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omments5.xml" ContentType="application/vnd.openxmlformats-officedocument.spreadsheetml.comments+xml"/>
  <Override PartName="/xl/drawings/drawing11.xml" ContentType="application/vnd.openxmlformats-officedocument.drawing+xml"/>
  <Override PartName="/xl/ctrlProps/ctrlProp21.xml" ContentType="application/vnd.ms-excel.controlproperties+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7"/>
  <workbookPr updateLinks="never" codeName="ThisWorkbook"/>
  <mc:AlternateContent xmlns:mc="http://schemas.openxmlformats.org/markup-compatibility/2006">
    <mc:Choice Requires="x15">
      <x15ac:absPath xmlns:x15ac="http://schemas.microsoft.com/office/spreadsheetml/2010/11/ac" url="C:\Users\Pro\Downloads\"/>
    </mc:Choice>
  </mc:AlternateContent>
  <xr:revisionPtr revIDLastSave="0" documentId="8_{53D53244-09A9-42BD-BEE4-26409823F7F8}" xr6:coauthVersionLast="36" xr6:coauthVersionMax="36" xr10:uidLastSave="{00000000-0000-0000-0000-000000000000}"/>
  <workbookProtection workbookPassword="ECEC" lockStructure="1"/>
  <bookViews>
    <workbookView xWindow="0" yWindow="0" windowWidth="20490" windowHeight="7245" tabRatio="823"/>
  </bookViews>
  <sheets>
    <sheet name="REPORT" sheetId="1" r:id="rId1"/>
    <sheet name="WELL TESTS" sheetId="2" r:id="rId2"/>
    <sheet name="WELL DATA" sheetId="3" r:id="rId3"/>
    <sheet name="WATER FLOOD WELLS" sheetId="4" r:id="rId4"/>
    <sheet name="INJECTION DATA" sheetId="5" r:id="rId5"/>
    <sheet name="MANIFOLDS" sheetId="6" r:id="rId6"/>
    <sheet name="EQUIPMENT DATA" sheetId="7" r:id="rId7"/>
    <sheet name="MOVEMENT" sheetId="8" r:id="rId8"/>
    <sheet name="TANKS" sheetId="9" r:id="rId9"/>
    <sheet name="DFL SHOTS" sheetId="10" r:id="rId10"/>
    <sheet name="LAB DATA" sheetId="11" r:id="rId11"/>
    <sheet name="PA &amp; TA " sheetId="12" r:id="rId12"/>
    <sheet name="DATA INPUT" sheetId="13" r:id="rId13"/>
    <sheet name="WELL LIST" sheetId="14" r:id="rId14"/>
    <sheet name="OAPCO FAX" sheetId="15" r:id="rId15"/>
    <sheet name="ADMIN" sheetId="16" r:id="rId16"/>
    <sheet name="TANK TABLES" sheetId="17" state="hidden" r:id="rId17"/>
    <sheet name="TEMPERATURE" sheetId="18" state="hidden" r:id="rId18"/>
  </sheets>
  <externalReferences>
    <externalReference r:id="rId19"/>
    <externalReference r:id="rId20"/>
    <externalReference r:id="rId21"/>
    <externalReference r:id="rId22"/>
  </externalReferences>
  <definedNames>
    <definedName name="_xlnm._FilterDatabase" localSheetId="12" hidden="1">'DATA INPUT'!$B$2:$F$49</definedName>
    <definedName name="_xlnm._FilterDatabase" localSheetId="2" hidden="1">'WELL DATA'!$D$1:$D$328</definedName>
    <definedName name="Actual_Ratio">REPORT!$N$7</definedName>
    <definedName name="Actual_TDY">'DATA INPUT'!$E$141:$E$156</definedName>
    <definedName name="Actual_YSD">'DATA INPUT'!$F$141:$F$156</definedName>
    <definedName name="AGActual_Ratio">REPORT!$H$5</definedName>
    <definedName name="API_RANGE">TEMPERATURE!$C$2:$BA$2</definedName>
    <definedName name="AUTOFILL01">'WELL DATA'!$CV$4:$DP$190</definedName>
    <definedName name="AUTOFILL02">'WATER FLOOD WELLS'!$AW$3:$BF$44</definedName>
    <definedName name="AUTOFILL03">'WELL TESTS'!$AR$3:$BK$14</definedName>
    <definedName name="AUTOFILL04">'WELL TESTS'!$L$3:$L$14</definedName>
    <definedName name="AUTOFILL05">'WELL TESTS'!$O$3:$O$14</definedName>
    <definedName name="AUTOFILL06" localSheetId="10">'LAB DATA'!#REF!</definedName>
    <definedName name="AUTOFILL06">'DFL SHOTS'!$Z$3:$AJ$20</definedName>
    <definedName name="AUTOFILL07" localSheetId="10">'LAB DATA'!$I$3:$I$23</definedName>
    <definedName name="AUTOFILL07">'DFL SHOTS'!$J$3:$J$20</definedName>
    <definedName name="AUTOFILL08">'WELL DATA'!$F$4:$F$190</definedName>
    <definedName name="AUTOFILL09">'WELL DATA'!$AM$4:$AM$190</definedName>
    <definedName name="AUTOFILL10">'WATER FLOOD WELLS'!$N$5:$N$11</definedName>
    <definedName name="AUTOFILL11">'WELL DATA'!$AG$4:$AG$190</definedName>
    <definedName name="AUTOFILL13">'EQUIPMENT DATA'!$AJ$3:$AT$26</definedName>
    <definedName name="AUTOFILL14">MANIFOLDS!$AJ$3:$AP$28</definedName>
    <definedName name="BFPD">'WELL DATA'!$AI$4:$AI$190</definedName>
    <definedName name="BOPD">'WELL DATA'!$AM:$AM</definedName>
    <definedName name="BSSTATUS">TANKS!$C$3:$C$6</definedName>
    <definedName name="BSW">'WELL DATA'!$AJ$4:$AJ$190</definedName>
    <definedName name="CALC01">'WELL DATA'!$CV$4:$DP$4</definedName>
    <definedName name="CALC02">'WATER FLOOD WELLS'!$AW$3:$BF$3</definedName>
    <definedName name="CALC03">'WELL TESTS'!$AR$4:$BK$4</definedName>
    <definedName name="CALC04">'WELL TESTS'!$L$3</definedName>
    <definedName name="CALC05">'WELL TESTS'!$O$3</definedName>
    <definedName name="CALC06" localSheetId="10">'LAB DATA'!#REF!</definedName>
    <definedName name="CALC06">'DFL SHOTS'!$Z$3:$AJ$3</definedName>
    <definedName name="CALC07" localSheetId="10">'LAB DATA'!$I$3</definedName>
    <definedName name="CALC07">'DFL SHOTS'!$J$3</definedName>
    <definedName name="CALC08">'WELL DATA'!$F$4</definedName>
    <definedName name="CALC09">'WELL DATA'!$AM$4</definedName>
    <definedName name="CALC10">'WATER FLOOD WELLS'!$N$5</definedName>
    <definedName name="CALC11">'WELL DATA'!$AG$4</definedName>
    <definedName name="CALC13">'EQUIPMENT DATA'!$AJ$3:$AT$3</definedName>
    <definedName name="CALC14">MANIFOLDS!$AJ$3:$AP$3</definedName>
    <definedName name="CASING_STATUS">ADMIN!$P$39:$P$40</definedName>
    <definedName name="CHOKE">ADMIN!$P$3:$P$35</definedName>
    <definedName name="CLEARPF">REPORT!#REF!</definedName>
    <definedName name="CLEARRANGE01">REPORT!$B$65:$O$73,REPORT!$B$75:$N$83,REPORT!$B$87:$O$110</definedName>
    <definedName name="CLEARRANGE02">'WELL TESTS'!$B$4:$K$8,'WELL TESTS'!$M$4:$N$8,'WELL TESTS'!$P$4:$Y$8</definedName>
    <definedName name="CLEARRANGE03">'WELL DATA'!$AN$5:$AO$190</definedName>
    <definedName name="CLEARRANGE05" localSheetId="10">'LAB DATA'!$B$4:$J$23</definedName>
    <definedName name="CLEARRANGE05">'DFL SHOTS'!$B$4:$M$20</definedName>
    <definedName name="CLEARRANGE06">'EQUIPMENT DATA'!$D$3:$I$26</definedName>
    <definedName name="CLEARRANGE07">'DATA INPUT'!$G$35:$I$132</definedName>
    <definedName name="CLEARRANGE08">'DATA INPUT'!$E$3:$E$30</definedName>
    <definedName name="CLEARRANGE09">'EQUIPMENT DATA'!$D$4:$I$26</definedName>
    <definedName name="CLOSINGSTK">REPORT!$D$38:$F$38</definedName>
    <definedName name="COMMENT">REPORT!$B$56:$L$106</definedName>
    <definedName name="COPYTARG02" localSheetId="10">#REF!</definedName>
    <definedName name="COPYTARG02">#REF!</definedName>
    <definedName name="CPF_LIST" localSheetId="10">ADMIN!#REF!</definedName>
    <definedName name="CPF_LIST">ADMIN!#REF!</definedName>
    <definedName name="DATATAG">'WELL TESTS'!$AR$4:$AR$14</definedName>
    <definedName name="DEF_PROD">'WELL DATA'!$F:$F</definedName>
    <definedName name="DELTA_DAY">'DATA INPUT'!$S$2</definedName>
    <definedName name="DEP_FGM">ADMIN!$R$10:$R$11</definedName>
    <definedName name="DFLRANGE" localSheetId="10">'LAB DATA'!#REF!</definedName>
    <definedName name="DFLRANGE">'DFL SHOTS'!$Z$3:$AJ$20</definedName>
    <definedName name="DT_CAUSE">ADMIN!$G$3:$G$121</definedName>
    <definedName name="DT_CAUSES">ADMIN!$G$3:$G$121</definedName>
    <definedName name="DTCAUSE">'WELL DATA'!$G:$G</definedName>
    <definedName name="EQUIP_DTCAUSE">ADMIN!$R$50:$R$59</definedName>
    <definedName name="EQUIPHRS">'EQUIPMENT DATA'!$D:$D</definedName>
    <definedName name="EST_GASPROD">'WELL DATA'!$AF:$AF</definedName>
    <definedName name="EST_PROD">'WELL DATA'!$AG:$AG</definedName>
    <definedName name="FACTOR_TABLE">TEMPERATURE!$C$3:$BA$213</definedName>
    <definedName name="FIELD">'WELL DATA'!$DP:$DP</definedName>
    <definedName name="FIELD_GM">ADMIN!$R$3:$R$7</definedName>
    <definedName name="FIELD_SHORT">'WATER FLOOD WELLS'!#REF!</definedName>
    <definedName name="FIELDLIST">ADMIN!$R$31:$R$41</definedName>
    <definedName name="FLUIDTOTAL">'WELL TESTS'!$J$4:$J$14</definedName>
    <definedName name="FLUIDTOTAL1">'WELL TESTS'!$F$4:$F$14</definedName>
    <definedName name="FMGDATA">'WELL DATA'!$CU$5:$DO$190</definedName>
    <definedName name="fr">ADMIN!#REF!</definedName>
    <definedName name="GAS">'WELL TESTS'!$M$4:$M$14</definedName>
    <definedName name="GAS_PROFAC">'WELL DATA'!$AF$1</definedName>
    <definedName name="_GAS1">'WELL TESTS'!$L$4:$L$14</definedName>
    <definedName name="GASLIFT">'WELL DATA'!$H:$H</definedName>
    <definedName name="GASLIQUID" localSheetId="10">REPORT!#REF!</definedName>
    <definedName name="GASLIQUID">REPORT!#REF!</definedName>
    <definedName name="GFH">'WELL TESTS'!$K$4:$K$14</definedName>
    <definedName name="GPCTANK1">'TANK TABLES'!$N$4:$O$1189</definedName>
    <definedName name="GPCTANK2">'TANK TABLES'!$Q$4:$R$779</definedName>
    <definedName name="GPCTANK3">'TANK TABLES'!$T$4:$U$728</definedName>
    <definedName name="GPCTANK4">'TANK TABLES'!$W$4:$X$868</definedName>
    <definedName name="GPCTANK5">'TANK TABLES'!$Z$4:$AA$859</definedName>
    <definedName name="HOURS">'WELL DATA'!$E:$E</definedName>
    <definedName name="INJ_ACTUAL">'WATER FLOOD WELLS'!$AY:$AY</definedName>
    <definedName name="INJ_FIELD">'WATER FLOOD WELLS'!$BJ$5:$BJ$44</definedName>
    <definedName name="INJ_RATE">'WATER FLOOD WELLS'!$H:$H</definedName>
    <definedName name="INJ_STATUS">'[1]WELL DATA'!$D$256:$D$260</definedName>
    <definedName name="INJ_WATER">'WATER FLOOD WELLS'!$AZ$5:$AZ$11</definedName>
    <definedName name="INJCUMTARG">'WATER FLOOD WELLS'!$V$3:$V$44</definedName>
    <definedName name="INJSTATUS">'WATER FLOOD WELLS'!$D$3:$D$44</definedName>
    <definedName name="INJTARG">'WATER FLOOD WELLS'!$BC:$BC</definedName>
    <definedName name="INPUTDATA">'DATA INPUT'!$E$3:$E$156</definedName>
    <definedName name="INPUTTARGET">'DATA INPUT'!$F$3</definedName>
    <definedName name="KDATA">REPORT!$E$213:$E$347</definedName>
    <definedName name="kpc_tankstctk">MOVEMENT!$AG$24:$AN$35</definedName>
    <definedName name="KRA_DRAIN" localSheetId="10">'DATA INPUT'!#REF!</definedName>
    <definedName name="KRA_DRAIN">'DATA INPUT'!#REF!</definedName>
    <definedName name="l">'WELL TESTS'!$L$4:$L$14</definedName>
    <definedName name="LocalPath">REPORT!$C$353</definedName>
    <definedName name="MEASURED_BY">[2]ADMIN!$I$24:$I$26</definedName>
    <definedName name="NIPCOTANK1">'TANK TABLES'!$AC$4:$AD$1195</definedName>
    <definedName name="NIPCOTANK2">'TANK TABLES'!$AF$4:$AG$1458</definedName>
    <definedName name="NOTECOUNT">REPORT!$E$86</definedName>
    <definedName name="NRQSHIPPED" localSheetId="12">'DATA INPUT'!$E$12</definedName>
    <definedName name="OAPCOLEVEL">'TANK TABLES'!$K$4:$K$497</definedName>
    <definedName name="OAPCOTANK">'TANK TABLES'!$K$4:$L$497</definedName>
    <definedName name="OHTL" localSheetId="10">'WELL DATA'!#REF!</definedName>
    <definedName name="OHTL">'WELL DATA'!#REF!</definedName>
    <definedName name="OIL">'WELL TESTS'!$L$4:$L$14</definedName>
    <definedName name="OIL_PROFAC">'WELL DATA'!$AG$1</definedName>
    <definedName name="OIL_PROFAC2">'WELL DATA'!$AE$1</definedName>
    <definedName name="OIL_PROFAC3">'WELL DATA'!$AD$1</definedName>
    <definedName name="_OIL1">'WELL TESTS'!$I$4:$I$14</definedName>
    <definedName name="_OIL14">'WELL TESTS'!$I$4:$I$14</definedName>
    <definedName name="_OIL2">'WELL TESTS'!$I$4:$I$14</definedName>
    <definedName name="_OIL3">'WELL TESTS'!$I$4:$I$14</definedName>
    <definedName name="OPENINGSTK">REPORT!$D$35:$F$35</definedName>
    <definedName name="PASTEEQUIPDATA">'EQUIPMENT DATA'!$AJ$4:$AT$26</definedName>
    <definedName name="PASTEINJDATA">'WATER FLOOD WELLS'!$AW$3:$BF$44</definedName>
    <definedName name="PASTEMETERDATA">REPORT!$BI$17:$BP$94</definedName>
    <definedName name="PASTENWELLDATA">'WELL DATA'!$EB$5:$FD$190</definedName>
    <definedName name="PASTEWATERSWR">'WATER FLOOD WELLS'!$BA$48:$BR$59</definedName>
    <definedName name="PASTEWELLDATA">'WELL DATA'!$CU$5:$DC$190</definedName>
    <definedName name="_xlnm.Print_Area" localSheetId="12">'DATA INPUT'!$A$1:$L$65</definedName>
    <definedName name="_xlnm.Print_Area" localSheetId="9">'DFL SHOTS'!$A$1:$M$20</definedName>
    <definedName name="_xlnm.Print_Area" localSheetId="6">'EQUIPMENT DATA'!$A$1:$I$27</definedName>
    <definedName name="_xlnm.Print_Area" localSheetId="4">'INJECTION DATA'!$A$1:$L$33</definedName>
    <definedName name="_xlnm.Print_Area" localSheetId="10">'LAB DATA'!$A$1:$J$23</definedName>
    <definedName name="_xlnm.Print_Area" localSheetId="5">MANIFOLDS!$B$1:$M$31</definedName>
    <definedName name="_xlnm.Print_Area" localSheetId="14">'OAPCO FAX'!$B$2:$H$27</definedName>
    <definedName name="_xlnm.Print_Area" localSheetId="11">'PA &amp; TA '!$A$1:$N$28</definedName>
    <definedName name="_xlnm.Print_Area" localSheetId="0">REPORT!$A$1:$P$118</definedName>
    <definedName name="_xlnm.Print_Area" localSheetId="8">TANKS!$B$1:$N$34</definedName>
    <definedName name="_xlnm.Print_Area" localSheetId="3">'WATER FLOOD WELLS'!$B$1:$W$80</definedName>
    <definedName name="_xlnm.Print_Area" localSheetId="2">'WELL DATA'!$B$1:$AN$192</definedName>
    <definedName name="_xlnm.Print_Area" localSheetId="1">'WELL TESTS'!$A$1:$Z$15</definedName>
    <definedName name="_xlnm.Print_Titles" localSheetId="2">'WELL DATA'!$1:$3</definedName>
    <definedName name="PUMP_SIZE">ADMIN!$P$56:$P$60</definedName>
    <definedName name="QARUN_DRAINED_WATER" localSheetId="10">REPORT!#REF!</definedName>
    <definedName name="QARUN_DRAINED_WATER">REPORT!#REF!</definedName>
    <definedName name="RECEIVEDFACILITY">MOVEMENT!$AG$7:$AK$13</definedName>
    <definedName name="REMOTE_CL" localSheetId="10">'DATA INPUT'!#REF!</definedName>
    <definedName name="REMOTE_CL">'DATA INPUT'!#REF!</definedName>
    <definedName name="REMOTE_LABEL" localSheetId="10">'DATA INPUT'!#REF!</definedName>
    <definedName name="REMOTE_LABEL">'DATA INPUT'!#REF!</definedName>
    <definedName name="REMOTE_OP" localSheetId="10">'DATA INPUT'!#REF!</definedName>
    <definedName name="REMOTE_OP">'DATA INPUT'!#REF!</definedName>
    <definedName name="rep">REPORT!$I$357:$J$387</definedName>
    <definedName name="REPDATE">REPORT!$C$351</definedName>
    <definedName name="REPORTDATE">REPORT!$K$3</definedName>
    <definedName name="ReportDate1">REPORT!$C$350</definedName>
    <definedName name="REPORTDAY">REPORT!$I$349:$J$379</definedName>
    <definedName name="ReportName">REPORT!$C$352</definedName>
    <definedName name="REQ_RATE">'WATER FLOOD WELLS'!$I:$I</definedName>
    <definedName name="RPTEXTRACT">REPORT!$B$210:$E$345</definedName>
    <definedName name="RPTMONTH">REPORT!$F$353:$G$364</definedName>
    <definedName name="rt">#REF!</definedName>
    <definedName name="RZKCL1">'DATA INPUT'!$M$37:$R$37</definedName>
    <definedName name="RZKCL10">'DATA INPUT'!$M$109:$R$109</definedName>
    <definedName name="RZKCL11">'DATA INPUT'!$M$117:$R$117</definedName>
    <definedName name="RZKCL12">'DATA INPUT'!$M$125:$R$125</definedName>
    <definedName name="RZKCL13">'DATA INPUT'!$M$133:$R$133</definedName>
    <definedName name="RZKCL2">'DATA INPUT'!$M$45:$R$45</definedName>
    <definedName name="RZKCL3">'DATA INPUT'!$M$53:$R$53</definedName>
    <definedName name="RZKCL4">'DATA INPUT'!$M$61:$R$61</definedName>
    <definedName name="RZKCL5">'DATA INPUT'!$M$69:$R$69</definedName>
    <definedName name="RZKCL6">'DATA INPUT'!$M$77:$R$77</definedName>
    <definedName name="RZKCL7">'DATA INPUT'!$M$85:$R$85</definedName>
    <definedName name="RZKCL8">'DATA INPUT'!$M$93:$R$93</definedName>
    <definedName name="RZKCL9">'DATA INPUT'!$M$101:$R$101</definedName>
    <definedName name="RZKOP1">'DATA INPUT'!$M$36</definedName>
    <definedName name="RZKOP10">'DATA INPUT'!$M$108</definedName>
    <definedName name="RZKOP11">'DATA INPUT'!$M$116</definedName>
    <definedName name="RZKOP12">'DATA INPUT'!$M$124</definedName>
    <definedName name="RZKOP13">'DATA INPUT'!$M$132</definedName>
    <definedName name="RZKOP2">'DATA INPUT'!$M$44:$R$44</definedName>
    <definedName name="RZKOP3">'DATA INPUT'!$M$52</definedName>
    <definedName name="RZKOP4">'DATA INPUT'!$M$60</definedName>
    <definedName name="RZKOP5">'DATA INPUT'!$M$68</definedName>
    <definedName name="RZKOP6">'DATA INPUT'!$M$76</definedName>
    <definedName name="RZKOP7">'DATA INPUT'!$M$84</definedName>
    <definedName name="RZKOP8">'DATA INPUT'!$M$92</definedName>
    <definedName name="RZKOP9">'DATA INPUT'!$M$100</definedName>
    <definedName name="SHELL_FACTOR">'TANK TABLES'!$AO$4:$AP$110</definedName>
    <definedName name="SHIPPED">REPORT!$D$36:$F$36</definedName>
    <definedName name="SORTLIST01">'WELL LIST'!$A$1:$B$294</definedName>
    <definedName name="SORTLIST02">ADMIN!$X$2:$X$64</definedName>
    <definedName name="TANK201">'TANK TABLES'!$B$4:$C$965</definedName>
    <definedName name="TANK201LEVEL">'TANK TABLES'!$B$4:$B$965</definedName>
    <definedName name="TANK202">'TANK TABLES'!$E$4:$F$965</definedName>
    <definedName name="TANK202LEVEL">'TANK TABLES'!$E$4:$E$965</definedName>
    <definedName name="TANKPOLEVEL">'TANK TABLES'!$H$4:$H$549</definedName>
    <definedName name="TANKPOWEROIL">'TANK TABLES'!$H$4:$I$549</definedName>
    <definedName name="TANKSLVL">MOVEMENT!$AG$16:$AQ$20</definedName>
    <definedName name="TANKSTCTK">MOVEMENT!$AG$24:$AN$35</definedName>
    <definedName name="TARG_FIELD">'WATER FLOOD WELLS'!$BK$5:$BK$11</definedName>
    <definedName name="TARG_WATER">'WATER FLOOD WELLS'!$BE$5:$BE$11</definedName>
    <definedName name="TDY_DELTA">'DATA INPUT'!$P$5:$Q$5</definedName>
    <definedName name="TDY_DELTA2">'DATA INPUT'!$P$6:$Q$6</definedName>
    <definedName name="TDYCUM">'WATER FLOOD WELLS'!$N$3:$N$44</definedName>
    <definedName name="TDYPROD">REPORT!$E$7:$E$27</definedName>
    <definedName name="TEMP_RANGE">TEMPERATURE!$B$3:$B$213</definedName>
    <definedName name="TEST_T">ADMIN!$P$63:$P$65</definedName>
    <definedName name="_TK1">'DATA INPUT'!$M$37</definedName>
    <definedName name="_TK10">'DATA INPUT'!$M$109</definedName>
    <definedName name="_TK11">'DATA INPUT'!$M$117</definedName>
    <definedName name="_TK12">'DATA INPUT'!$M$125</definedName>
    <definedName name="_TK13">'DATA INPUT'!$M$133</definedName>
    <definedName name="_TK2">'DATA INPUT'!$M$45</definedName>
    <definedName name="_TK3">'DATA INPUT'!$M$53</definedName>
    <definedName name="_TK4">'DATA INPUT'!$M$61</definedName>
    <definedName name="_TK5">'DATA INPUT'!$M$69</definedName>
    <definedName name="_TK6">'DATA INPUT'!$M$77</definedName>
    <definedName name="_TK7">'DATA INPUT'!$M$85</definedName>
    <definedName name="_TK8">'DATA INPUT'!$M$93</definedName>
    <definedName name="_TK9">'DATA INPUT'!$M$101</definedName>
    <definedName name="TOTPUMPED">REPORT!$G$36</definedName>
    <definedName name="validation_list_process_sample">'[3]source name'!$P$4:$P$25</definedName>
    <definedName name="validation_list_source_name">'[4]source name'!$G$4:$G$300</definedName>
    <definedName name="VERSION">ADMIN!$V$23</definedName>
    <definedName name="W">'WELL TESTS'!$L$4:$L$14</definedName>
    <definedName name="WATER_CORRECTION" localSheetId="10">REPORT!#REF!</definedName>
    <definedName name="WATER_CORRECTION">REPORT!#REF!</definedName>
    <definedName name="WATERDRAIN">REPORT!$D$37:$F$37</definedName>
    <definedName name="WATERWELL_DTCAUSE">ADMIN!$G$3:$G$121</definedName>
    <definedName name="WC">'WELL TESTS'!$K$4:$K$14</definedName>
    <definedName name="WELL">'WELL LIST'!$A$2</definedName>
    <definedName name="WELL_DTCAUSE">ADMIN!$G$3:$G$121</definedName>
    <definedName name="WELL_FIELD">'WELL LIST'!$A$2:$B$294</definedName>
    <definedName name="WELL_HEAD_SOURCE_NAME">'[3]source name'!$C$4:$C$320</definedName>
    <definedName name="WELL_NAME">'WELL LIST'!$A$2:$A$294</definedName>
    <definedName name="WELL_STATUS">ADMIN!$P$44:$P$53</definedName>
    <definedName name="WELLNAME">'WELL TESTS'!$C$4:$C$14</definedName>
    <definedName name="WELLNAME1">'WELL TESTS'!$B$4:$B$14</definedName>
    <definedName name="WELLNAME12">'WELL TESTS'!$B$4:$B$8</definedName>
    <definedName name="WEPCOF3">'TANK TABLES'!$AI$4:$AJ$1201</definedName>
    <definedName name="WSSTATUS">'WATER FLOOD WELLS'!$D$48:$D$59</definedName>
    <definedName name="WSTATUS">'WELL DATA'!$D:$D</definedName>
    <definedName name="YSTCUM">'WATER FLOOD WELLS'!$V$3:$V$44</definedName>
    <definedName name="YTD_DELTA">'DATA INPUT'!$N$5:$O$5</definedName>
    <definedName name="YTD_DELTA2">'DATA INPUT'!$N$6</definedName>
    <definedName name="YTDPROD">REPORT!$F$7:$F$27</definedName>
    <definedName name="Z_9FD33A57_86F0_4BF5_A6C0_5833A5B59516_.wvu.Cols" localSheetId="15" hidden="1">ADMIN!$L:$M</definedName>
    <definedName name="Z_9FD33A57_86F0_4BF5_A6C0_5833A5B59516_.wvu.Cols" localSheetId="2" hidden="1">'WELL DATA'!$AB:$AC,'WELL DATA'!$EI:$EJ,'WELL DATA'!$EP:$EP,'WELL DATA'!$EU:$EW,'WELL DATA'!$EY:$EY</definedName>
    <definedName name="Z_9FD33A57_86F0_4BF5_A6C0_5833A5B59516_.wvu.FilterData" localSheetId="12" hidden="1">'DATA INPUT'!$B$2:$F$49</definedName>
    <definedName name="Z_9FD33A57_86F0_4BF5_A6C0_5833A5B59516_.wvu.FilterData" localSheetId="2" hidden="1">'WELL DATA'!$D$1:$D$328</definedName>
    <definedName name="Z_9FD33A57_86F0_4BF5_A6C0_5833A5B59516_.wvu.PrintArea" localSheetId="12" hidden="1">'DATA INPUT'!$A$1:$L$65</definedName>
    <definedName name="Z_9FD33A57_86F0_4BF5_A6C0_5833A5B59516_.wvu.PrintArea" localSheetId="9" hidden="1">'DFL SHOTS'!$A$1:$M$20</definedName>
    <definedName name="Z_9FD33A57_86F0_4BF5_A6C0_5833A5B59516_.wvu.PrintArea" localSheetId="6" hidden="1">'EQUIPMENT DATA'!$A$1:$I$27</definedName>
    <definedName name="Z_9FD33A57_86F0_4BF5_A6C0_5833A5B59516_.wvu.PrintArea" localSheetId="4" hidden="1">'INJECTION DATA'!$A$1:$L$33</definedName>
    <definedName name="Z_9FD33A57_86F0_4BF5_A6C0_5833A5B59516_.wvu.PrintArea" localSheetId="10" hidden="1">'LAB DATA'!$A$1:$J$23</definedName>
    <definedName name="Z_9FD33A57_86F0_4BF5_A6C0_5833A5B59516_.wvu.PrintArea" localSheetId="5" hidden="1">MANIFOLDS!$B$1:$M$31</definedName>
    <definedName name="Z_9FD33A57_86F0_4BF5_A6C0_5833A5B59516_.wvu.PrintArea" localSheetId="14" hidden="1">'OAPCO FAX'!$B$2:$H$27</definedName>
    <definedName name="Z_9FD33A57_86F0_4BF5_A6C0_5833A5B59516_.wvu.PrintArea" localSheetId="11" hidden="1">'PA &amp; TA '!$A$1:$N$28</definedName>
    <definedName name="Z_9FD33A57_86F0_4BF5_A6C0_5833A5B59516_.wvu.PrintArea" localSheetId="0" hidden="1">REPORT!$B$2:$O$113</definedName>
    <definedName name="Z_9FD33A57_86F0_4BF5_A6C0_5833A5B59516_.wvu.PrintArea" localSheetId="8" hidden="1">TANKS!$B$1:$N$34</definedName>
    <definedName name="Z_9FD33A57_86F0_4BF5_A6C0_5833A5B59516_.wvu.PrintArea" localSheetId="3" hidden="1">'WATER FLOOD WELLS'!$B$1:$R$80</definedName>
    <definedName name="Z_9FD33A57_86F0_4BF5_A6C0_5833A5B59516_.wvu.PrintArea" localSheetId="2" hidden="1">'WELL DATA'!$B$1:$AM$192</definedName>
    <definedName name="Z_9FD33A57_86F0_4BF5_A6C0_5833A5B59516_.wvu.PrintArea" localSheetId="1" hidden="1">'WELL TESTS'!$C$1:$Z$15</definedName>
    <definedName name="Z_9FD33A57_86F0_4BF5_A6C0_5833A5B59516_.wvu.PrintTitles" localSheetId="2" hidden="1">'WELL DATA'!$1:$3</definedName>
    <definedName name="Z_9FD33A57_86F0_4BF5_A6C0_5833A5B59516_.wvu.Rows" localSheetId="12" hidden="1">'DATA INPUT'!$130:$137</definedName>
    <definedName name="Z_9FD33A57_86F0_4BF5_A6C0_5833A5B59516_.wvu.Rows" localSheetId="6" hidden="1">'EQUIPMENT DATA'!$3:$3</definedName>
    <definedName name="Z_9FD33A57_86F0_4BF5_A6C0_5833A5B59516_.wvu.Rows" localSheetId="10" hidden="1">'LAB DATA'!$3:$3</definedName>
    <definedName name="Z_9FD33A57_86F0_4BF5_A6C0_5833A5B59516_.wvu.Rows" localSheetId="5" hidden="1">MANIFOLDS!$3:$3</definedName>
    <definedName name="Z_9FD33A57_86F0_4BF5_A6C0_5833A5B59516_.wvu.Rows" localSheetId="0" hidden="1">REPORT!$67:$73,REPORT!$95:$96,REPORT!$100:$109</definedName>
    <definedName name="Z_9FD33A57_86F0_4BF5_A6C0_5833A5B59516_.wvu.Rows" localSheetId="8" hidden="1">TANKS!$37:$38</definedName>
    <definedName name="Z_9FD33A57_86F0_4BF5_A6C0_5833A5B59516_.wvu.Rows" localSheetId="2" hidden="1">'WELL DATA'!$4:$4</definedName>
    <definedName name="Z_9FD33A57_86F0_4BF5_A6C0_5833A5B59516_.wvu.Rows" localSheetId="1" hidden="1">'WELL TESTS'!$3:$3</definedName>
    <definedName name="Z_C6684BBD_BB70_4ED4_9421_47FEE46D3B62_.wvu.PrintArea" localSheetId="4" hidden="1">'INJECTION DATA'!$A$1:$L$33</definedName>
    <definedName name="ZONE">ADMIN!$R$14:$R$28</definedName>
    <definedName name="ZONES">ADMIN!$R$16</definedName>
  </definedNames>
  <calcPr calcId="191029" fullCalcOnLoad="1"/>
  <customWorkbookViews>
    <customWorkbookView name="Ahmed Wafiq - ( A/G - Process ) - Personal View" guid="{9FD33A57-86F0-4BF5-A6C0-5833A5B59516}" mergeInterval="0" personalView="1" maximized="1" xWindow="-8" yWindow="-8" windowWidth="1936" windowHeight="1056" tabRatio="842" activeSheetId="1"/>
  </customWorkbookViews>
</workbook>
</file>

<file path=xl/calcChain.xml><?xml version="1.0" encoding="utf-8"?>
<calcChain xmlns="http://schemas.openxmlformats.org/spreadsheetml/2006/main">
  <c r="O4" i="2" l="1"/>
  <c r="O5" i="2"/>
  <c r="O6" i="2"/>
  <c r="O7" i="2"/>
  <c r="O8" i="2"/>
  <c r="O9" i="2"/>
  <c r="O10" i="2"/>
  <c r="O11" i="2"/>
  <c r="O12" i="2"/>
  <c r="O13" i="2"/>
  <c r="O14" i="2"/>
  <c r="L4" i="2"/>
  <c r="L5" i="2"/>
  <c r="L6" i="2"/>
  <c r="L7" i="2"/>
  <c r="L8" i="2"/>
  <c r="L9" i="2"/>
  <c r="L10" i="2"/>
  <c r="L11" i="2"/>
  <c r="L12" i="2"/>
  <c r="L13" i="2"/>
  <c r="L14" i="2"/>
  <c r="N6" i="4"/>
  <c r="N7" i="4"/>
  <c r="N8" i="4"/>
  <c r="N9" i="4"/>
  <c r="N10" i="4"/>
  <c r="N11" i="4"/>
  <c r="AW4" i="4"/>
  <c r="AX4" i="4"/>
  <c r="AY4" i="4"/>
  <c r="BA4" i="4"/>
  <c r="BB4" i="4"/>
  <c r="AZ4" i="4"/>
  <c r="BC4" i="4"/>
  <c r="BD4" i="4"/>
  <c r="BE4" i="4"/>
  <c r="BF4" i="4"/>
  <c r="AW5" i="4"/>
  <c r="AX5" i="4"/>
  <c r="AY5" i="4"/>
  <c r="AZ5" i="4"/>
  <c r="BA5" i="4"/>
  <c r="BB5" i="4"/>
  <c r="BC5" i="4"/>
  <c r="BD5" i="4"/>
  <c r="BE5" i="4"/>
  <c r="BF5" i="4"/>
  <c r="AW6" i="4"/>
  <c r="AX6" i="4"/>
  <c r="AY6" i="4"/>
  <c r="BA6" i="4"/>
  <c r="BB6" i="4"/>
  <c r="AZ6" i="4"/>
  <c r="BC6" i="4"/>
  <c r="BD6" i="4"/>
  <c r="BE6" i="4"/>
  <c r="BF6" i="4"/>
  <c r="AW7" i="4"/>
  <c r="AX7" i="4"/>
  <c r="AY7" i="4"/>
  <c r="AZ7" i="4"/>
  <c r="BA7" i="4"/>
  <c r="BB7" i="4"/>
  <c r="BC7" i="4"/>
  <c r="BD7" i="4"/>
  <c r="BE7" i="4"/>
  <c r="BF7" i="4"/>
  <c r="AW8" i="4"/>
  <c r="AX8" i="4"/>
  <c r="AY8" i="4"/>
  <c r="AZ8" i="4"/>
  <c r="BA8" i="4"/>
  <c r="BB8" i="4"/>
  <c r="BC8" i="4"/>
  <c r="BD8" i="4"/>
  <c r="BE8" i="4"/>
  <c r="BF8" i="4"/>
  <c r="AW9" i="4"/>
  <c r="AX9" i="4"/>
  <c r="AY9" i="4"/>
  <c r="BA9" i="4"/>
  <c r="BB9" i="4"/>
  <c r="AZ9" i="4"/>
  <c r="BC9" i="4"/>
  <c r="BD9" i="4"/>
  <c r="BE9" i="4"/>
  <c r="BF9" i="4"/>
  <c r="AW10" i="4"/>
  <c r="AX10" i="4"/>
  <c r="AY10" i="4"/>
  <c r="AZ10" i="4"/>
  <c r="BA10" i="4"/>
  <c r="BB10" i="4"/>
  <c r="BC10" i="4"/>
  <c r="BD10" i="4"/>
  <c r="BE10" i="4"/>
  <c r="BF10" i="4"/>
  <c r="AW11" i="4"/>
  <c r="AX11" i="4"/>
  <c r="AY11" i="4"/>
  <c r="BA11" i="4"/>
  <c r="BB11" i="4"/>
  <c r="AZ11" i="4"/>
  <c r="BC11" i="4"/>
  <c r="BD11" i="4"/>
  <c r="BE11" i="4"/>
  <c r="BF11" i="4"/>
  <c r="AW12" i="4"/>
  <c r="AX12" i="4"/>
  <c r="AY12" i="4"/>
  <c r="AZ12" i="4"/>
  <c r="BA12" i="4"/>
  <c r="BB12" i="4"/>
  <c r="BC12" i="4"/>
  <c r="BD12" i="4"/>
  <c r="BE12" i="4"/>
  <c r="BF12" i="4"/>
  <c r="AW13" i="4"/>
  <c r="AX13" i="4"/>
  <c r="AY13" i="4"/>
  <c r="BA13" i="4"/>
  <c r="BB13" i="4"/>
  <c r="AZ13" i="4"/>
  <c r="BC13" i="4"/>
  <c r="BD13" i="4"/>
  <c r="BE13" i="4"/>
  <c r="BF13" i="4"/>
  <c r="AW14" i="4"/>
  <c r="AX14" i="4"/>
  <c r="AY14" i="4"/>
  <c r="AZ14" i="4"/>
  <c r="BA14" i="4"/>
  <c r="BB14" i="4"/>
  <c r="BC14" i="4"/>
  <c r="BD14" i="4"/>
  <c r="BE14" i="4"/>
  <c r="BF14" i="4"/>
  <c r="AW15" i="4"/>
  <c r="AX15" i="4"/>
  <c r="AY15" i="4"/>
  <c r="BA15" i="4"/>
  <c r="BB15" i="4"/>
  <c r="AZ15" i="4"/>
  <c r="BC15" i="4"/>
  <c r="BD15" i="4"/>
  <c r="BE15" i="4"/>
  <c r="BF15" i="4"/>
  <c r="AW16" i="4"/>
  <c r="AX16" i="4"/>
  <c r="AY16" i="4"/>
  <c r="AZ16" i="4"/>
  <c r="BA16" i="4"/>
  <c r="BB16" i="4"/>
  <c r="BC16" i="4"/>
  <c r="BD16" i="4"/>
  <c r="BE16" i="4"/>
  <c r="BF16" i="4"/>
  <c r="AW17" i="4"/>
  <c r="AX17" i="4"/>
  <c r="AY17" i="4"/>
  <c r="BA17" i="4"/>
  <c r="BB17" i="4"/>
  <c r="AZ17" i="4"/>
  <c r="BC17" i="4"/>
  <c r="BD17" i="4"/>
  <c r="BE17" i="4"/>
  <c r="BF17" i="4"/>
  <c r="AW18" i="4"/>
  <c r="AX18" i="4"/>
  <c r="AY18" i="4"/>
  <c r="AZ18" i="4"/>
  <c r="BA18" i="4"/>
  <c r="BB18" i="4"/>
  <c r="BC18" i="4"/>
  <c r="BD18" i="4"/>
  <c r="BE18" i="4"/>
  <c r="BF18" i="4"/>
  <c r="AW19" i="4"/>
  <c r="AX19" i="4"/>
  <c r="AY19" i="4"/>
  <c r="BA19" i="4"/>
  <c r="BB19" i="4"/>
  <c r="AZ19" i="4"/>
  <c r="BC19" i="4"/>
  <c r="BD19" i="4"/>
  <c r="BE19" i="4"/>
  <c r="BF19" i="4"/>
  <c r="AW20" i="4"/>
  <c r="AX20" i="4"/>
  <c r="AY20" i="4"/>
  <c r="AZ20" i="4"/>
  <c r="BA20" i="4"/>
  <c r="BB20" i="4"/>
  <c r="BC20" i="4"/>
  <c r="BD20" i="4"/>
  <c r="BE20" i="4"/>
  <c r="BF20" i="4"/>
  <c r="AW21" i="4"/>
  <c r="AX21" i="4"/>
  <c r="AY21" i="4"/>
  <c r="BA21" i="4"/>
  <c r="BB21" i="4"/>
  <c r="AZ21" i="4"/>
  <c r="BC21" i="4"/>
  <c r="BD21" i="4"/>
  <c r="BE21" i="4"/>
  <c r="BF21" i="4"/>
  <c r="AW22" i="4"/>
  <c r="AX22" i="4"/>
  <c r="AY22" i="4"/>
  <c r="AZ22" i="4"/>
  <c r="BA22" i="4"/>
  <c r="BB22" i="4"/>
  <c r="BC22" i="4"/>
  <c r="BD22" i="4"/>
  <c r="BE22" i="4"/>
  <c r="BF22" i="4"/>
  <c r="AW23" i="4"/>
  <c r="AX23" i="4"/>
  <c r="AY23" i="4"/>
  <c r="BA23" i="4"/>
  <c r="BB23" i="4"/>
  <c r="AZ23" i="4"/>
  <c r="BC23" i="4"/>
  <c r="BD23" i="4"/>
  <c r="BE23" i="4"/>
  <c r="BF23" i="4"/>
  <c r="AW24" i="4"/>
  <c r="AX24" i="4"/>
  <c r="AY24" i="4"/>
  <c r="AZ24" i="4"/>
  <c r="BA24" i="4"/>
  <c r="BB24" i="4"/>
  <c r="BC24" i="4"/>
  <c r="BD24" i="4"/>
  <c r="BE24" i="4"/>
  <c r="BF24" i="4"/>
  <c r="AW25" i="4"/>
  <c r="AX25" i="4"/>
  <c r="AY25" i="4"/>
  <c r="BA25" i="4"/>
  <c r="BB25" i="4"/>
  <c r="AZ25" i="4"/>
  <c r="BC25" i="4"/>
  <c r="BD25" i="4"/>
  <c r="BE25" i="4"/>
  <c r="BF25" i="4"/>
  <c r="AW26" i="4"/>
  <c r="AX26" i="4"/>
  <c r="AY26" i="4"/>
  <c r="AZ26" i="4"/>
  <c r="BA26" i="4"/>
  <c r="BB26" i="4"/>
  <c r="BC26" i="4"/>
  <c r="BD26" i="4"/>
  <c r="BE26" i="4"/>
  <c r="BF26" i="4"/>
  <c r="AW27" i="4"/>
  <c r="AX27" i="4"/>
  <c r="AY27" i="4"/>
  <c r="BA27" i="4"/>
  <c r="BB27" i="4"/>
  <c r="AZ27" i="4"/>
  <c r="BC27" i="4"/>
  <c r="BD27" i="4"/>
  <c r="BE27" i="4"/>
  <c r="BF27" i="4"/>
  <c r="AW28" i="4"/>
  <c r="AX28" i="4"/>
  <c r="AY28" i="4"/>
  <c r="AZ28" i="4"/>
  <c r="BA28" i="4"/>
  <c r="BB28" i="4"/>
  <c r="BC28" i="4"/>
  <c r="BD28" i="4"/>
  <c r="BE28" i="4"/>
  <c r="BF28" i="4"/>
  <c r="AW29" i="4"/>
  <c r="AX29" i="4"/>
  <c r="AY29" i="4"/>
  <c r="BA29" i="4"/>
  <c r="BB29" i="4"/>
  <c r="AZ29" i="4"/>
  <c r="BC29" i="4"/>
  <c r="BD29" i="4"/>
  <c r="BE29" i="4"/>
  <c r="BF29" i="4"/>
  <c r="AW30" i="4"/>
  <c r="AX30" i="4"/>
  <c r="AY30" i="4"/>
  <c r="AZ30" i="4"/>
  <c r="BA30" i="4"/>
  <c r="BB30" i="4"/>
  <c r="BC30" i="4"/>
  <c r="BD30" i="4"/>
  <c r="BE30" i="4"/>
  <c r="BF30" i="4"/>
  <c r="AW31" i="4"/>
  <c r="AX31" i="4"/>
  <c r="AY31" i="4"/>
  <c r="BA31" i="4"/>
  <c r="BB31" i="4"/>
  <c r="AZ31" i="4"/>
  <c r="BC31" i="4"/>
  <c r="BD31" i="4"/>
  <c r="BE31" i="4"/>
  <c r="BF31" i="4"/>
  <c r="AW32" i="4"/>
  <c r="AX32" i="4"/>
  <c r="AY32" i="4"/>
  <c r="AZ32" i="4"/>
  <c r="BA32" i="4"/>
  <c r="BB32" i="4"/>
  <c r="BC32" i="4"/>
  <c r="BD32" i="4"/>
  <c r="BE32" i="4"/>
  <c r="BF32" i="4"/>
  <c r="AW33" i="4"/>
  <c r="AX33" i="4"/>
  <c r="AY33" i="4"/>
  <c r="BA33" i="4"/>
  <c r="BB33" i="4"/>
  <c r="AZ33" i="4"/>
  <c r="BC33" i="4"/>
  <c r="BD33" i="4"/>
  <c r="BE33" i="4"/>
  <c r="BF33" i="4"/>
  <c r="AW34" i="4"/>
  <c r="AX34" i="4"/>
  <c r="AY34" i="4"/>
  <c r="AZ34" i="4"/>
  <c r="BA34" i="4"/>
  <c r="BB34" i="4"/>
  <c r="BC34" i="4"/>
  <c r="BD34" i="4"/>
  <c r="BE34" i="4"/>
  <c r="BF34" i="4"/>
  <c r="AW35" i="4"/>
  <c r="AX35" i="4"/>
  <c r="AY35" i="4"/>
  <c r="BA35" i="4"/>
  <c r="BB35" i="4"/>
  <c r="AZ35" i="4"/>
  <c r="BC35" i="4"/>
  <c r="BD35" i="4"/>
  <c r="BE35" i="4"/>
  <c r="BF35" i="4"/>
  <c r="AW36" i="4"/>
  <c r="AX36" i="4"/>
  <c r="AY36" i="4"/>
  <c r="AZ36" i="4"/>
  <c r="BA36" i="4"/>
  <c r="BB36" i="4"/>
  <c r="BC36" i="4"/>
  <c r="BD36" i="4"/>
  <c r="BE36" i="4"/>
  <c r="BF36" i="4"/>
  <c r="AW37" i="4"/>
  <c r="AX37" i="4"/>
  <c r="AY37" i="4"/>
  <c r="AZ37" i="4"/>
  <c r="BA37" i="4"/>
  <c r="BB37" i="4"/>
  <c r="BC37" i="4"/>
  <c r="BD37" i="4"/>
  <c r="BE37" i="4"/>
  <c r="BF37" i="4"/>
  <c r="AW38" i="4"/>
  <c r="AX38" i="4"/>
  <c r="AY38" i="4"/>
  <c r="AZ38" i="4"/>
  <c r="BA38" i="4"/>
  <c r="BB38" i="4"/>
  <c r="BC38" i="4"/>
  <c r="BD38" i="4"/>
  <c r="BE38" i="4"/>
  <c r="BF38" i="4"/>
  <c r="AW39" i="4"/>
  <c r="AX39" i="4"/>
  <c r="AY39" i="4"/>
  <c r="BA39" i="4"/>
  <c r="BB39" i="4"/>
  <c r="AZ39" i="4"/>
  <c r="BC39" i="4"/>
  <c r="BD39" i="4"/>
  <c r="BE39" i="4"/>
  <c r="BF39" i="4"/>
  <c r="AW40" i="4"/>
  <c r="AX40" i="4"/>
  <c r="AY40" i="4"/>
  <c r="AZ40" i="4"/>
  <c r="BA40" i="4"/>
  <c r="BB40" i="4"/>
  <c r="BC40" i="4"/>
  <c r="BD40" i="4"/>
  <c r="BE40" i="4"/>
  <c r="BF40" i="4"/>
  <c r="AW41" i="4"/>
  <c r="AX41" i="4"/>
  <c r="AY41" i="4"/>
  <c r="BA41" i="4"/>
  <c r="BB41" i="4"/>
  <c r="AZ41" i="4"/>
  <c r="BC41" i="4"/>
  <c r="BD41" i="4"/>
  <c r="BE41" i="4"/>
  <c r="BF41" i="4"/>
  <c r="AW42" i="4"/>
  <c r="AX42" i="4"/>
  <c r="AY42" i="4"/>
  <c r="AZ42" i="4"/>
  <c r="BA42" i="4"/>
  <c r="BB42" i="4"/>
  <c r="BC42" i="4"/>
  <c r="BD42" i="4"/>
  <c r="BE42" i="4"/>
  <c r="BF42" i="4"/>
  <c r="AW43" i="4"/>
  <c r="AX43" i="4"/>
  <c r="AY43" i="4"/>
  <c r="BA43" i="4"/>
  <c r="BB43" i="4"/>
  <c r="AZ43" i="4"/>
  <c r="BC43" i="4"/>
  <c r="BD43" i="4"/>
  <c r="BE43" i="4"/>
  <c r="BF43" i="4"/>
  <c r="AW44" i="4"/>
  <c r="AX44" i="4"/>
  <c r="AY44" i="4"/>
  <c r="AZ44" i="4"/>
  <c r="BA44" i="4"/>
  <c r="BB44" i="4"/>
  <c r="BC44" i="4"/>
  <c r="BD44" i="4"/>
  <c r="BE44" i="4"/>
  <c r="BF44" i="4"/>
  <c r="AK4" i="6"/>
  <c r="AL4" i="6"/>
  <c r="AM4" i="6"/>
  <c r="AN4" i="6"/>
  <c r="AO4" i="6"/>
  <c r="AP4" i="6"/>
  <c r="AK5" i="6"/>
  <c r="AL5" i="6"/>
  <c r="AM5" i="6"/>
  <c r="AN5" i="6"/>
  <c r="AO5" i="6"/>
  <c r="AP5" i="6"/>
  <c r="AK6" i="6"/>
  <c r="AL6" i="6"/>
  <c r="AM6" i="6"/>
  <c r="AN6" i="6"/>
  <c r="AO6" i="6"/>
  <c r="AP6" i="6"/>
  <c r="AK7" i="6"/>
  <c r="AL7" i="6"/>
  <c r="AM7" i="6"/>
  <c r="AN7" i="6"/>
  <c r="AO7" i="6"/>
  <c r="AP7" i="6"/>
  <c r="AK8" i="6"/>
  <c r="AL8" i="6"/>
  <c r="AM8" i="6"/>
  <c r="AN8" i="6"/>
  <c r="AO8" i="6"/>
  <c r="AP8" i="6"/>
  <c r="AK9" i="6"/>
  <c r="AL9" i="6"/>
  <c r="AM9" i="6"/>
  <c r="AN9" i="6"/>
  <c r="AO9" i="6"/>
  <c r="AP9" i="6"/>
  <c r="AK10" i="6"/>
  <c r="AL10" i="6"/>
  <c r="AM10" i="6"/>
  <c r="AN10" i="6"/>
  <c r="AO10" i="6"/>
  <c r="AP10" i="6"/>
  <c r="AK11" i="6"/>
  <c r="AL11" i="6"/>
  <c r="AM11" i="6"/>
  <c r="AN11" i="6"/>
  <c r="AO11" i="6"/>
  <c r="AP11" i="6"/>
  <c r="AK12" i="6"/>
  <c r="AL12" i="6"/>
  <c r="AM12" i="6"/>
  <c r="AN12" i="6"/>
  <c r="AO12" i="6"/>
  <c r="AP12" i="6"/>
  <c r="AK13" i="6"/>
  <c r="AL13" i="6"/>
  <c r="AM13" i="6"/>
  <c r="AN13" i="6"/>
  <c r="AO13" i="6"/>
  <c r="AP13" i="6"/>
  <c r="AK14" i="6"/>
  <c r="AL14" i="6"/>
  <c r="AM14" i="6"/>
  <c r="AN14" i="6"/>
  <c r="AO14" i="6"/>
  <c r="AP14" i="6"/>
  <c r="AK15" i="6"/>
  <c r="AL15" i="6"/>
  <c r="AM15" i="6"/>
  <c r="AN15" i="6"/>
  <c r="AO15" i="6"/>
  <c r="AP15" i="6"/>
  <c r="AK16" i="6"/>
  <c r="AL16" i="6"/>
  <c r="AM16" i="6"/>
  <c r="AN16" i="6"/>
  <c r="AO16" i="6"/>
  <c r="AP16" i="6"/>
  <c r="AK17" i="6"/>
  <c r="AL17" i="6"/>
  <c r="AM17" i="6"/>
  <c r="AN17" i="6"/>
  <c r="AO17" i="6"/>
  <c r="AP17" i="6"/>
  <c r="AK18" i="6"/>
  <c r="AL18" i="6"/>
  <c r="AM18" i="6"/>
  <c r="AN18" i="6"/>
  <c r="AO18" i="6"/>
  <c r="AP18" i="6"/>
  <c r="AK19" i="6"/>
  <c r="AL19" i="6"/>
  <c r="AM19" i="6"/>
  <c r="AN19" i="6"/>
  <c r="AO19" i="6"/>
  <c r="AP19" i="6"/>
  <c r="AK20" i="6"/>
  <c r="AL20" i="6"/>
  <c r="AM20" i="6"/>
  <c r="AN20" i="6"/>
  <c r="AO20" i="6"/>
  <c r="AP20" i="6"/>
  <c r="AK21" i="6"/>
  <c r="AL21" i="6"/>
  <c r="AM21" i="6"/>
  <c r="AN21" i="6"/>
  <c r="AO21" i="6"/>
  <c r="AP21" i="6"/>
  <c r="AK22" i="6"/>
  <c r="AL22" i="6"/>
  <c r="AM22" i="6"/>
  <c r="AN22" i="6"/>
  <c r="AO22" i="6"/>
  <c r="AP22" i="6"/>
  <c r="AK23" i="6"/>
  <c r="AL23" i="6"/>
  <c r="AM23" i="6"/>
  <c r="AN23" i="6"/>
  <c r="AO23" i="6"/>
  <c r="AP23" i="6"/>
  <c r="AK24" i="6"/>
  <c r="AL24" i="6"/>
  <c r="AM24" i="6"/>
  <c r="AN24" i="6"/>
  <c r="AO24" i="6"/>
  <c r="AP24" i="6"/>
  <c r="AK25" i="6"/>
  <c r="AL25" i="6"/>
  <c r="AM25" i="6"/>
  <c r="AN25" i="6"/>
  <c r="AO25" i="6"/>
  <c r="AP25" i="6"/>
  <c r="AK26" i="6"/>
  <c r="AL26" i="6"/>
  <c r="AM26" i="6"/>
  <c r="AN26" i="6"/>
  <c r="AO26" i="6"/>
  <c r="AP26" i="6"/>
  <c r="AK27" i="6"/>
  <c r="AL27" i="6"/>
  <c r="AM27" i="6"/>
  <c r="AN27" i="6"/>
  <c r="AO27" i="6"/>
  <c r="AP27" i="6"/>
  <c r="AK28" i="6"/>
  <c r="AL28" i="6"/>
  <c r="AM28" i="6"/>
  <c r="AN28" i="6"/>
  <c r="AO28" i="6"/>
  <c r="AP28" i="6"/>
  <c r="AK4" i="7"/>
  <c r="AL4" i="7"/>
  <c r="AM4" i="7"/>
  <c r="AN4" i="7"/>
  <c r="AO4" i="7"/>
  <c r="AP4" i="7"/>
  <c r="AQ4" i="7"/>
  <c r="AR4" i="7"/>
  <c r="AS4" i="7"/>
  <c r="AT4" i="7"/>
  <c r="AK5" i="7"/>
  <c r="AL5" i="7"/>
  <c r="AM5" i="7"/>
  <c r="AN5" i="7"/>
  <c r="AO5" i="7"/>
  <c r="AP5" i="7"/>
  <c r="AQ5" i="7"/>
  <c r="AR5" i="7"/>
  <c r="AS5" i="7"/>
  <c r="AT5" i="7"/>
  <c r="AK6" i="7"/>
  <c r="AL6" i="7"/>
  <c r="AM6" i="7"/>
  <c r="AN6" i="7"/>
  <c r="AO6" i="7"/>
  <c r="AP6" i="7"/>
  <c r="AQ6" i="7"/>
  <c r="AR6" i="7"/>
  <c r="AS6" i="7"/>
  <c r="AT6" i="7"/>
  <c r="AK7" i="7"/>
  <c r="AL7" i="7"/>
  <c r="AM7" i="7"/>
  <c r="AN7" i="7"/>
  <c r="AO7" i="7"/>
  <c r="AP7" i="7"/>
  <c r="AQ7" i="7"/>
  <c r="AR7" i="7"/>
  <c r="AS7" i="7"/>
  <c r="AT7" i="7"/>
  <c r="AK8" i="7"/>
  <c r="AL8" i="7"/>
  <c r="AM8" i="7"/>
  <c r="AN8" i="7"/>
  <c r="AO8" i="7"/>
  <c r="AP8" i="7"/>
  <c r="AQ8" i="7"/>
  <c r="AR8" i="7"/>
  <c r="AS8" i="7"/>
  <c r="AT8" i="7"/>
  <c r="AK9" i="7"/>
  <c r="AL9" i="7"/>
  <c r="AM9" i="7"/>
  <c r="AN9" i="7"/>
  <c r="AO9" i="7"/>
  <c r="AP9" i="7"/>
  <c r="AQ9" i="7"/>
  <c r="AR9" i="7"/>
  <c r="AS9" i="7"/>
  <c r="AT9" i="7"/>
  <c r="AK10" i="7"/>
  <c r="AL10" i="7"/>
  <c r="AM10" i="7"/>
  <c r="AN10" i="7"/>
  <c r="AO10" i="7"/>
  <c r="AP10" i="7"/>
  <c r="AQ10" i="7"/>
  <c r="AR10" i="7"/>
  <c r="AS10" i="7"/>
  <c r="AT10" i="7"/>
  <c r="AK11" i="7"/>
  <c r="AL11" i="7"/>
  <c r="AM11" i="7"/>
  <c r="AN11" i="7"/>
  <c r="AO11" i="7"/>
  <c r="AP11" i="7"/>
  <c r="AQ11" i="7"/>
  <c r="AR11" i="7"/>
  <c r="AS11" i="7"/>
  <c r="AT11" i="7"/>
  <c r="AK12" i="7"/>
  <c r="AL12" i="7"/>
  <c r="AM12" i="7"/>
  <c r="AN12" i="7"/>
  <c r="AO12" i="7"/>
  <c r="AP12" i="7"/>
  <c r="AQ12" i="7"/>
  <c r="AR12" i="7"/>
  <c r="AS12" i="7"/>
  <c r="AT12" i="7"/>
  <c r="AK13" i="7"/>
  <c r="AL13" i="7"/>
  <c r="AM13" i="7"/>
  <c r="AN13" i="7"/>
  <c r="AO13" i="7"/>
  <c r="AP13" i="7"/>
  <c r="AQ13" i="7"/>
  <c r="AR13" i="7"/>
  <c r="AS13" i="7"/>
  <c r="AT13" i="7"/>
  <c r="AK14" i="7"/>
  <c r="AL14" i="7"/>
  <c r="AM14" i="7"/>
  <c r="AN14" i="7"/>
  <c r="AO14" i="7"/>
  <c r="AP14" i="7"/>
  <c r="AQ14" i="7"/>
  <c r="AR14" i="7"/>
  <c r="AS14" i="7"/>
  <c r="AT14" i="7"/>
  <c r="AK15" i="7"/>
  <c r="AL15" i="7"/>
  <c r="AM15" i="7"/>
  <c r="AN15" i="7"/>
  <c r="AO15" i="7"/>
  <c r="AP15" i="7"/>
  <c r="AQ15" i="7"/>
  <c r="AR15" i="7"/>
  <c r="AS15" i="7"/>
  <c r="AT15" i="7"/>
  <c r="AK16" i="7"/>
  <c r="AL16" i="7"/>
  <c r="AM16" i="7"/>
  <c r="AN16" i="7"/>
  <c r="AO16" i="7"/>
  <c r="AP16" i="7"/>
  <c r="AQ16" i="7"/>
  <c r="AR16" i="7"/>
  <c r="AS16" i="7"/>
  <c r="AT16" i="7"/>
  <c r="AK17" i="7"/>
  <c r="AL17" i="7"/>
  <c r="AM17" i="7"/>
  <c r="AN17" i="7"/>
  <c r="AO17" i="7"/>
  <c r="AP17" i="7"/>
  <c r="AQ17" i="7"/>
  <c r="AR17" i="7"/>
  <c r="AS17" i="7"/>
  <c r="AT17" i="7"/>
  <c r="AK18" i="7"/>
  <c r="AL18" i="7"/>
  <c r="AM18" i="7"/>
  <c r="AN18" i="7"/>
  <c r="AO18" i="7"/>
  <c r="AP18" i="7"/>
  <c r="AQ18" i="7"/>
  <c r="AR18" i="7"/>
  <c r="AS18" i="7"/>
  <c r="AT18" i="7"/>
  <c r="AK19" i="7"/>
  <c r="AL19" i="7"/>
  <c r="AM19" i="7"/>
  <c r="AN19" i="7"/>
  <c r="AO19" i="7"/>
  <c r="AP19" i="7"/>
  <c r="AQ19" i="7"/>
  <c r="AR19" i="7"/>
  <c r="AS19" i="7"/>
  <c r="AT19" i="7"/>
  <c r="AK20" i="7"/>
  <c r="AL20" i="7"/>
  <c r="AM20" i="7"/>
  <c r="AN20" i="7"/>
  <c r="AO20" i="7"/>
  <c r="AP20" i="7"/>
  <c r="AQ20" i="7"/>
  <c r="AR20" i="7"/>
  <c r="AS20" i="7"/>
  <c r="AT20" i="7"/>
  <c r="AK21" i="7"/>
  <c r="AL21" i="7"/>
  <c r="AM21" i="7"/>
  <c r="AN21" i="7"/>
  <c r="AO21" i="7"/>
  <c r="AP21" i="7"/>
  <c r="AQ21" i="7"/>
  <c r="AR21" i="7"/>
  <c r="AS21" i="7"/>
  <c r="AT21" i="7"/>
  <c r="AK22" i="7"/>
  <c r="AL22" i="7"/>
  <c r="AM22" i="7"/>
  <c r="AN22" i="7"/>
  <c r="AO22" i="7"/>
  <c r="AP22" i="7"/>
  <c r="AQ22" i="7"/>
  <c r="AR22" i="7"/>
  <c r="AS22" i="7"/>
  <c r="AT22" i="7"/>
  <c r="AK23" i="7"/>
  <c r="AL23" i="7"/>
  <c r="AM23" i="7"/>
  <c r="AN23" i="7"/>
  <c r="AO23" i="7"/>
  <c r="AP23" i="7"/>
  <c r="AQ23" i="7"/>
  <c r="AR23" i="7"/>
  <c r="AS23" i="7"/>
  <c r="AT23" i="7"/>
  <c r="AK24" i="7"/>
  <c r="AL24" i="7"/>
  <c r="AM24" i="7"/>
  <c r="AN24" i="7"/>
  <c r="AO24" i="7"/>
  <c r="AP24" i="7"/>
  <c r="AQ24" i="7"/>
  <c r="AR24" i="7"/>
  <c r="AS24" i="7"/>
  <c r="AT24" i="7"/>
  <c r="AK25" i="7"/>
  <c r="AL25" i="7"/>
  <c r="AM25" i="7"/>
  <c r="AN25" i="7"/>
  <c r="AO25" i="7"/>
  <c r="AP25" i="7"/>
  <c r="AQ25" i="7"/>
  <c r="AR25" i="7"/>
  <c r="AS25" i="7"/>
  <c r="AT25" i="7"/>
  <c r="AK26" i="7"/>
  <c r="AL26" i="7"/>
  <c r="AM26" i="7"/>
  <c r="AN26" i="7"/>
  <c r="AO26" i="7"/>
  <c r="AP26" i="7"/>
  <c r="AQ26" i="7"/>
  <c r="AR26" i="7"/>
  <c r="AS26" i="7"/>
  <c r="AT26" i="7"/>
  <c r="DP98" i="3"/>
  <c r="O57" i="4"/>
  <c r="BN57" i="4"/>
  <c r="O59" i="4"/>
  <c r="BN59" i="4"/>
  <c r="BJ10" i="2"/>
  <c r="BJ7" i="2"/>
  <c r="BG4" i="4"/>
  <c r="BH4" i="4"/>
  <c r="BG5" i="4"/>
  <c r="BH5" i="4"/>
  <c r="BG6" i="4"/>
  <c r="BH6" i="4"/>
  <c r="BG7" i="4"/>
  <c r="BH7" i="4"/>
  <c r="BG8" i="4"/>
  <c r="BH8" i="4"/>
  <c r="BG9" i="4"/>
  <c r="BH9" i="4"/>
  <c r="BG10" i="4"/>
  <c r="BH10" i="4"/>
  <c r="BG11" i="4"/>
  <c r="BH11" i="4"/>
  <c r="BG12" i="4"/>
  <c r="BH12" i="4"/>
  <c r="BG13" i="4"/>
  <c r="BH13" i="4"/>
  <c r="BG14" i="4"/>
  <c r="BH14" i="4"/>
  <c r="BG15" i="4"/>
  <c r="BH15" i="4"/>
  <c r="BG16" i="4"/>
  <c r="BH16" i="4"/>
  <c r="BG17" i="4"/>
  <c r="BH17" i="4"/>
  <c r="BG18" i="4"/>
  <c r="BH18" i="4"/>
  <c r="BG19" i="4"/>
  <c r="BH19" i="4"/>
  <c r="BG20" i="4"/>
  <c r="BH20" i="4"/>
  <c r="BG21" i="4"/>
  <c r="BH21" i="4"/>
  <c r="BG22" i="4"/>
  <c r="BH22" i="4"/>
  <c r="BG23" i="4"/>
  <c r="BH23" i="4"/>
  <c r="BG24" i="4"/>
  <c r="BH24" i="4"/>
  <c r="N3" i="4"/>
  <c r="BG25" i="4"/>
  <c r="BH25" i="4"/>
  <c r="BG26" i="4"/>
  <c r="BH26" i="4"/>
  <c r="BG27" i="4"/>
  <c r="BH27" i="4"/>
  <c r="BG28" i="4"/>
  <c r="BH28" i="4"/>
  <c r="BG29" i="4"/>
  <c r="BH29" i="4"/>
  <c r="BG30" i="4"/>
  <c r="BH30" i="4"/>
  <c r="BG31" i="4"/>
  <c r="BH31" i="4"/>
  <c r="BG32" i="4"/>
  <c r="BH32" i="4"/>
  <c r="BG33" i="4"/>
  <c r="BH33" i="4"/>
  <c r="BG34" i="4"/>
  <c r="BH34" i="4"/>
  <c r="CW162" i="3"/>
  <c r="CX162" i="3"/>
  <c r="CY162" i="3"/>
  <c r="CZ162" i="3"/>
  <c r="DC162" i="3"/>
  <c r="DD162" i="3"/>
  <c r="DE162" i="3"/>
  <c r="DF162" i="3"/>
  <c r="DG162" i="3"/>
  <c r="DH162" i="3"/>
  <c r="DI162" i="3"/>
  <c r="DL162" i="3"/>
  <c r="DN162" i="3"/>
  <c r="DP162" i="3"/>
  <c r="EB162" i="3"/>
  <c r="ED162" i="3"/>
  <c r="EE162" i="3"/>
  <c r="EF162" i="3"/>
  <c r="EG162" i="3"/>
  <c r="EK162" i="3"/>
  <c r="EL162" i="3"/>
  <c r="EM162" i="3"/>
  <c r="EQ162" i="3"/>
  <c r="ER162" i="3"/>
  <c r="ES162" i="3"/>
  <c r="ET162" i="3"/>
  <c r="EX162" i="3"/>
  <c r="EZ162" i="3"/>
  <c r="FA162" i="3"/>
  <c r="FB162" i="3"/>
  <c r="FD162" i="3"/>
  <c r="CW163" i="3"/>
  <c r="CX163" i="3"/>
  <c r="CY163" i="3"/>
  <c r="CZ163" i="3"/>
  <c r="EH163" i="3"/>
  <c r="DC163" i="3"/>
  <c r="DD163" i="3"/>
  <c r="DE163" i="3"/>
  <c r="DF163" i="3"/>
  <c r="DG163" i="3"/>
  <c r="DH163" i="3"/>
  <c r="DI163" i="3"/>
  <c r="DL163" i="3"/>
  <c r="DN163" i="3"/>
  <c r="DP163" i="3"/>
  <c r="EB163" i="3"/>
  <c r="ED163" i="3"/>
  <c r="EE163" i="3"/>
  <c r="EF163" i="3"/>
  <c r="EG163" i="3"/>
  <c r="EK163" i="3"/>
  <c r="EL163" i="3"/>
  <c r="EM163" i="3"/>
  <c r="EQ163" i="3"/>
  <c r="ER163" i="3"/>
  <c r="ES163" i="3"/>
  <c r="ET163" i="3"/>
  <c r="EX163" i="3"/>
  <c r="EZ163" i="3"/>
  <c r="FA163" i="3"/>
  <c r="FB163" i="3"/>
  <c r="FD163" i="3"/>
  <c r="AM162" i="3"/>
  <c r="DO162" i="3"/>
  <c r="AF162" i="3"/>
  <c r="F162" i="3"/>
  <c r="O58" i="4"/>
  <c r="BN58" i="4"/>
  <c r="O56" i="4"/>
  <c r="BN56" i="4"/>
  <c r="O54" i="4"/>
  <c r="BN54" i="4"/>
  <c r="O53" i="4"/>
  <c r="BN53" i="4"/>
  <c r="O52" i="4"/>
  <c r="BN52" i="4"/>
  <c r="O51" i="4"/>
  <c r="BN51" i="4"/>
  <c r="O50" i="4"/>
  <c r="BN50" i="4"/>
  <c r="O48" i="4"/>
  <c r="BN48" i="4"/>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B49" i="16"/>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B83" i="16"/>
  <c r="F70" i="3"/>
  <c r="F71" i="3"/>
  <c r="F72" i="3"/>
  <c r="F73" i="3"/>
  <c r="F74" i="3"/>
  <c r="F75" i="3"/>
  <c r="F76" i="3"/>
  <c r="F77" i="3"/>
  <c r="F78" i="3"/>
  <c r="F79" i="3"/>
  <c r="F80" i="3"/>
  <c r="F81" i="3"/>
  <c r="F82" i="3"/>
  <c r="F83" i="3"/>
  <c r="F84" i="3"/>
  <c r="F85" i="3"/>
  <c r="B118" i="16"/>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B5" i="16"/>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3" i="3"/>
  <c r="F164" i="3"/>
  <c r="B25" i="16"/>
  <c r="F165" i="3"/>
  <c r="F166" i="3"/>
  <c r="F167" i="3"/>
  <c r="F168" i="3"/>
  <c r="F169" i="3"/>
  <c r="B58" i="16"/>
  <c r="F170" i="3"/>
  <c r="F171" i="3"/>
  <c r="B29" i="16"/>
  <c r="F172" i="3"/>
  <c r="F173" i="3"/>
  <c r="F174" i="3"/>
  <c r="F175" i="3"/>
  <c r="F176" i="3"/>
  <c r="F177" i="3"/>
  <c r="F178" i="3"/>
  <c r="F179" i="3"/>
  <c r="F180" i="3"/>
  <c r="F181" i="3"/>
  <c r="F182" i="3"/>
  <c r="F183" i="3"/>
  <c r="F184" i="3"/>
  <c r="F185" i="3"/>
  <c r="B108" i="16"/>
  <c r="B121" i="16"/>
  <c r="B106" i="16"/>
  <c r="F186" i="3"/>
  <c r="BJ9" i="2"/>
  <c r="DP174" i="3"/>
  <c r="EB160" i="3"/>
  <c r="ED160" i="3"/>
  <c r="EE160" i="3"/>
  <c r="EF160" i="3"/>
  <c r="EG160" i="3"/>
  <c r="EK160" i="3"/>
  <c r="EL160" i="3"/>
  <c r="EM160" i="3"/>
  <c r="EQ160" i="3"/>
  <c r="ER160" i="3"/>
  <c r="ES160" i="3"/>
  <c r="ET160" i="3"/>
  <c r="EX160" i="3"/>
  <c r="EZ160" i="3"/>
  <c r="FA160" i="3"/>
  <c r="FB160" i="3"/>
  <c r="FD160" i="3"/>
  <c r="EB161" i="3"/>
  <c r="ED161" i="3"/>
  <c r="EE161" i="3"/>
  <c r="EF161" i="3"/>
  <c r="EG161" i="3"/>
  <c r="EK161" i="3"/>
  <c r="EL161" i="3"/>
  <c r="EM161" i="3"/>
  <c r="EQ161" i="3"/>
  <c r="ER161" i="3"/>
  <c r="ES161" i="3"/>
  <c r="ET161" i="3"/>
  <c r="EX161" i="3"/>
  <c r="EZ161" i="3"/>
  <c r="FA161" i="3"/>
  <c r="FB161" i="3"/>
  <c r="FD161" i="3"/>
  <c r="EB164" i="3"/>
  <c r="ED164" i="3"/>
  <c r="EE164" i="3"/>
  <c r="EF164" i="3"/>
  <c r="EG164" i="3"/>
  <c r="EK164" i="3"/>
  <c r="EL164" i="3"/>
  <c r="EM164" i="3"/>
  <c r="EQ164" i="3"/>
  <c r="ER164" i="3"/>
  <c r="ES164" i="3"/>
  <c r="ET164" i="3"/>
  <c r="EX164" i="3"/>
  <c r="EZ164" i="3"/>
  <c r="FA164" i="3"/>
  <c r="FB164" i="3"/>
  <c r="FD164" i="3"/>
  <c r="EB165" i="3"/>
  <c r="ED165" i="3"/>
  <c r="EE165" i="3"/>
  <c r="EF165" i="3"/>
  <c r="EG165" i="3"/>
  <c r="EK165" i="3"/>
  <c r="EL165" i="3"/>
  <c r="EM165" i="3"/>
  <c r="EQ165" i="3"/>
  <c r="ER165" i="3"/>
  <c r="ES165" i="3"/>
  <c r="ET165" i="3"/>
  <c r="EX165" i="3"/>
  <c r="EZ165" i="3"/>
  <c r="FA165" i="3"/>
  <c r="FB165" i="3"/>
  <c r="FD165" i="3"/>
  <c r="EB166" i="3"/>
  <c r="ED166" i="3"/>
  <c r="EE166" i="3"/>
  <c r="EF166" i="3"/>
  <c r="EG166" i="3"/>
  <c r="EK166" i="3"/>
  <c r="EL166" i="3"/>
  <c r="EM166" i="3"/>
  <c r="EQ166" i="3"/>
  <c r="ER166" i="3"/>
  <c r="ES166" i="3"/>
  <c r="ET166" i="3"/>
  <c r="EX166" i="3"/>
  <c r="EZ166" i="3"/>
  <c r="FA166" i="3"/>
  <c r="FB166" i="3"/>
  <c r="FD166" i="3"/>
  <c r="EB167" i="3"/>
  <c r="ED167" i="3"/>
  <c r="EE167" i="3"/>
  <c r="EF167" i="3"/>
  <c r="EG167" i="3"/>
  <c r="EK167" i="3"/>
  <c r="EL167" i="3"/>
  <c r="EM167" i="3"/>
  <c r="EQ167" i="3"/>
  <c r="ER167" i="3"/>
  <c r="ES167" i="3"/>
  <c r="ET167" i="3"/>
  <c r="EX167" i="3"/>
  <c r="EZ167" i="3"/>
  <c r="FA167" i="3"/>
  <c r="FB167" i="3"/>
  <c r="FD167" i="3"/>
  <c r="EB168" i="3"/>
  <c r="ED168" i="3"/>
  <c r="EE168" i="3"/>
  <c r="EF168" i="3"/>
  <c r="EG168" i="3"/>
  <c r="EK168" i="3"/>
  <c r="EL168" i="3"/>
  <c r="EM168" i="3"/>
  <c r="EQ168" i="3"/>
  <c r="ER168" i="3"/>
  <c r="ES168" i="3"/>
  <c r="ET168" i="3"/>
  <c r="EX168" i="3"/>
  <c r="EZ168" i="3"/>
  <c r="FA168" i="3"/>
  <c r="FB168" i="3"/>
  <c r="FD168" i="3"/>
  <c r="EB169" i="3"/>
  <c r="ED169" i="3"/>
  <c r="EE169" i="3"/>
  <c r="EF169" i="3"/>
  <c r="EG169" i="3"/>
  <c r="EK169" i="3"/>
  <c r="EL169" i="3"/>
  <c r="EM169" i="3"/>
  <c r="EQ169" i="3"/>
  <c r="ER169" i="3"/>
  <c r="ES169" i="3"/>
  <c r="ET169" i="3"/>
  <c r="EX169" i="3"/>
  <c r="EZ169" i="3"/>
  <c r="FA169" i="3"/>
  <c r="FB169" i="3"/>
  <c r="FD169" i="3"/>
  <c r="CW160" i="3"/>
  <c r="CX160" i="3"/>
  <c r="CY160" i="3"/>
  <c r="CZ160" i="3"/>
  <c r="DA160" i="3"/>
  <c r="DC160" i="3"/>
  <c r="DD160" i="3"/>
  <c r="DE160" i="3"/>
  <c r="DF160" i="3"/>
  <c r="DG160" i="3"/>
  <c r="DH160" i="3"/>
  <c r="DI160" i="3"/>
  <c r="DL160" i="3"/>
  <c r="DN160" i="3"/>
  <c r="DP160" i="3"/>
  <c r="CW161" i="3"/>
  <c r="CX161" i="3"/>
  <c r="CY161" i="3"/>
  <c r="CZ161" i="3"/>
  <c r="DC161" i="3"/>
  <c r="DD161" i="3"/>
  <c r="DE161" i="3"/>
  <c r="DF161" i="3"/>
  <c r="DG161" i="3"/>
  <c r="DH161" i="3"/>
  <c r="DI161" i="3"/>
  <c r="DL161" i="3"/>
  <c r="DN161" i="3"/>
  <c r="DP161" i="3"/>
  <c r="CW164" i="3"/>
  <c r="CX164" i="3"/>
  <c r="CY164" i="3"/>
  <c r="CZ164" i="3"/>
  <c r="DA164" i="3"/>
  <c r="DC164" i="3"/>
  <c r="DD164" i="3"/>
  <c r="DE164" i="3"/>
  <c r="DF164" i="3"/>
  <c r="DG164" i="3"/>
  <c r="DH164" i="3"/>
  <c r="DI164" i="3"/>
  <c r="DL164" i="3"/>
  <c r="DN164" i="3"/>
  <c r="DP164" i="3"/>
  <c r="CW165" i="3"/>
  <c r="CX165" i="3"/>
  <c r="CY165" i="3"/>
  <c r="CZ165" i="3"/>
  <c r="DC165" i="3"/>
  <c r="DD165" i="3"/>
  <c r="DE165" i="3"/>
  <c r="DF165" i="3"/>
  <c r="DG165" i="3"/>
  <c r="DH165" i="3"/>
  <c r="DI165" i="3"/>
  <c r="DL165" i="3"/>
  <c r="DN165" i="3"/>
  <c r="DP165" i="3"/>
  <c r="CW166" i="3"/>
  <c r="CX166" i="3"/>
  <c r="CY166" i="3"/>
  <c r="CZ166" i="3"/>
  <c r="DC166" i="3"/>
  <c r="DD166" i="3"/>
  <c r="DE166" i="3"/>
  <c r="DF166" i="3"/>
  <c r="DG166" i="3"/>
  <c r="DH166" i="3"/>
  <c r="DI166" i="3"/>
  <c r="DL166" i="3"/>
  <c r="DN166" i="3"/>
  <c r="DP166" i="3"/>
  <c r="CW167" i="3"/>
  <c r="CX167" i="3"/>
  <c r="CY167" i="3"/>
  <c r="CZ167" i="3"/>
  <c r="DC167" i="3"/>
  <c r="DD167" i="3"/>
  <c r="DE167" i="3"/>
  <c r="DF167" i="3"/>
  <c r="DG167" i="3"/>
  <c r="DH167" i="3"/>
  <c r="DI167" i="3"/>
  <c r="DL167" i="3"/>
  <c r="DN167" i="3"/>
  <c r="DP167" i="3"/>
  <c r="CW168" i="3"/>
  <c r="CX168" i="3"/>
  <c r="CY168" i="3"/>
  <c r="CZ168" i="3"/>
  <c r="EH168" i="3"/>
  <c r="DC168" i="3"/>
  <c r="DD168" i="3"/>
  <c r="DE168" i="3"/>
  <c r="DF168" i="3"/>
  <c r="DG168" i="3"/>
  <c r="DH168" i="3"/>
  <c r="DI168" i="3"/>
  <c r="DL168" i="3"/>
  <c r="DN168" i="3"/>
  <c r="DP168" i="3"/>
  <c r="CW169" i="3"/>
  <c r="CX169" i="3"/>
  <c r="CY169" i="3"/>
  <c r="CZ169" i="3"/>
  <c r="EH169" i="3"/>
  <c r="DC169" i="3"/>
  <c r="DD169" i="3"/>
  <c r="DE169" i="3"/>
  <c r="DF169" i="3"/>
  <c r="DG169" i="3"/>
  <c r="DH169" i="3"/>
  <c r="DI169" i="3"/>
  <c r="DL169" i="3"/>
  <c r="DN169" i="3"/>
  <c r="DP169" i="3"/>
  <c r="CW170" i="3"/>
  <c r="CX170" i="3"/>
  <c r="CY170" i="3"/>
  <c r="CZ170" i="3"/>
  <c r="DC170" i="3"/>
  <c r="DD170" i="3"/>
  <c r="DE170" i="3"/>
  <c r="DF170" i="3"/>
  <c r="DG170" i="3"/>
  <c r="DH170" i="3"/>
  <c r="DI170" i="3"/>
  <c r="DL170" i="3"/>
  <c r="DN170" i="3"/>
  <c r="DP170" i="3"/>
  <c r="CW171" i="3"/>
  <c r="CX171" i="3"/>
  <c r="CY171" i="3"/>
  <c r="CZ171" i="3"/>
  <c r="EH171" i="3"/>
  <c r="DC171" i="3"/>
  <c r="DD171" i="3"/>
  <c r="DE171" i="3"/>
  <c r="DF171" i="3"/>
  <c r="DG171" i="3"/>
  <c r="DH171" i="3"/>
  <c r="DI171" i="3"/>
  <c r="DL171" i="3"/>
  <c r="DN171" i="3"/>
  <c r="DP171" i="3"/>
  <c r="CW172" i="3"/>
  <c r="CX172" i="3"/>
  <c r="CY172" i="3"/>
  <c r="CZ172" i="3"/>
  <c r="DC172" i="3"/>
  <c r="DD172" i="3"/>
  <c r="DE172" i="3"/>
  <c r="DF172" i="3"/>
  <c r="DG172" i="3"/>
  <c r="DH172" i="3"/>
  <c r="DI172" i="3"/>
  <c r="DL172" i="3"/>
  <c r="DN172" i="3"/>
  <c r="DP172" i="3"/>
  <c r="CW173" i="3"/>
  <c r="CX173" i="3"/>
  <c r="CY173" i="3"/>
  <c r="CZ173" i="3"/>
  <c r="EH173" i="3"/>
  <c r="DC173" i="3"/>
  <c r="DD173" i="3"/>
  <c r="DE173" i="3"/>
  <c r="DF173" i="3"/>
  <c r="DG173" i="3"/>
  <c r="DH173" i="3"/>
  <c r="DI173" i="3"/>
  <c r="DL173" i="3"/>
  <c r="DN173" i="3"/>
  <c r="DP173" i="3"/>
  <c r="CW174" i="3"/>
  <c r="CX174" i="3"/>
  <c r="CY174" i="3"/>
  <c r="CZ174" i="3"/>
  <c r="DA174" i="3"/>
  <c r="DC174" i="3"/>
  <c r="DD174" i="3"/>
  <c r="DE174" i="3"/>
  <c r="DF174" i="3"/>
  <c r="DG174" i="3"/>
  <c r="DH174" i="3"/>
  <c r="DI174" i="3"/>
  <c r="DL174" i="3"/>
  <c r="DN174" i="3"/>
  <c r="AM160" i="3"/>
  <c r="AM161" i="3"/>
  <c r="DO161" i="3"/>
  <c r="AF160" i="3"/>
  <c r="BI21" i="4"/>
  <c r="BJ21" i="4"/>
  <c r="BK21" i="4"/>
  <c r="BI22" i="4"/>
  <c r="BJ22" i="4"/>
  <c r="BK22" i="4"/>
  <c r="D70" i="4"/>
  <c r="C70" i="4"/>
  <c r="BJ6" i="2"/>
  <c r="AM44" i="3"/>
  <c r="B86" i="16"/>
  <c r="I6" i="17"/>
  <c r="I8" i="17"/>
  <c r="I10" i="17"/>
  <c r="I12" i="17"/>
  <c r="I13" i="17"/>
  <c r="I14" i="17"/>
  <c r="I16" i="17"/>
  <c r="I18" i="17"/>
  <c r="I20" i="17"/>
  <c r="I22" i="17"/>
  <c r="I24" i="17"/>
  <c r="I26" i="17"/>
  <c r="I28" i="17"/>
  <c r="I30" i="17"/>
  <c r="I32" i="17"/>
  <c r="I34" i="17"/>
  <c r="I36" i="17"/>
  <c r="I38" i="17"/>
  <c r="I40" i="17"/>
  <c r="I42" i="17"/>
  <c r="I44" i="17"/>
  <c r="I46" i="17"/>
  <c r="I48" i="17"/>
  <c r="I50" i="17"/>
  <c r="I52" i="17"/>
  <c r="I54" i="17"/>
  <c r="I56" i="17"/>
  <c r="I58" i="17"/>
  <c r="I60" i="17"/>
  <c r="I62" i="17"/>
  <c r="I64" i="17"/>
  <c r="I66" i="17"/>
  <c r="I68" i="17"/>
  <c r="I70" i="17"/>
  <c r="I72" i="17"/>
  <c r="I74" i="17"/>
  <c r="I76" i="17"/>
  <c r="I78" i="17"/>
  <c r="I80" i="17"/>
  <c r="I82" i="17"/>
  <c r="I84" i="17"/>
  <c r="I86" i="17"/>
  <c r="I88" i="17"/>
  <c r="I90" i="17"/>
  <c r="I92" i="17"/>
  <c r="I94" i="17"/>
  <c r="I96" i="17"/>
  <c r="I98" i="17"/>
  <c r="I100" i="17"/>
  <c r="I102" i="17"/>
  <c r="I104" i="17"/>
  <c r="I106" i="17"/>
  <c r="I108" i="17"/>
  <c r="I110" i="17"/>
  <c r="I112" i="17"/>
  <c r="I114" i="17"/>
  <c r="I116" i="17"/>
  <c r="I118" i="17"/>
  <c r="I120" i="17"/>
  <c r="I122" i="17"/>
  <c r="I124" i="17"/>
  <c r="I126" i="17"/>
  <c r="I128" i="17"/>
  <c r="I130" i="17"/>
  <c r="I132" i="17"/>
  <c r="I134" i="17"/>
  <c r="I136" i="17"/>
  <c r="I138" i="17"/>
  <c r="I140" i="17"/>
  <c r="I142" i="17"/>
  <c r="I144" i="17"/>
  <c r="I146" i="17"/>
  <c r="I148" i="17"/>
  <c r="I150" i="17"/>
  <c r="I152" i="17"/>
  <c r="I154" i="17"/>
  <c r="I156" i="17"/>
  <c r="I158" i="17"/>
  <c r="I160" i="17"/>
  <c r="I162" i="17"/>
  <c r="I164" i="17"/>
  <c r="I166" i="17"/>
  <c r="I168" i="17"/>
  <c r="I170" i="17"/>
  <c r="I172" i="17"/>
  <c r="I174" i="17"/>
  <c r="I176" i="17"/>
  <c r="I178" i="17"/>
  <c r="I180" i="17"/>
  <c r="I182" i="17"/>
  <c r="I184" i="17"/>
  <c r="I186" i="17"/>
  <c r="I188" i="17"/>
  <c r="I190" i="17"/>
  <c r="I192" i="17"/>
  <c r="I194" i="17"/>
  <c r="I196" i="17"/>
  <c r="I198" i="17"/>
  <c r="I200" i="17"/>
  <c r="I202" i="17"/>
  <c r="I204" i="17"/>
  <c r="I206" i="17"/>
  <c r="I208" i="17"/>
  <c r="I210" i="17"/>
  <c r="I212" i="17"/>
  <c r="I214" i="17"/>
  <c r="I216" i="17"/>
  <c r="I218" i="17"/>
  <c r="I220" i="17"/>
  <c r="I222" i="17"/>
  <c r="I224" i="17"/>
  <c r="I226" i="17"/>
  <c r="I228" i="17"/>
  <c r="I230" i="17"/>
  <c r="I232" i="17"/>
  <c r="I234" i="17"/>
  <c r="I236" i="17"/>
  <c r="I238" i="17"/>
  <c r="I240" i="17"/>
  <c r="I242" i="17"/>
  <c r="I244" i="17"/>
  <c r="I246" i="17"/>
  <c r="I248" i="17"/>
  <c r="I250" i="17"/>
  <c r="I252" i="17"/>
  <c r="I254" i="17"/>
  <c r="I256" i="17"/>
  <c r="I258" i="17"/>
  <c r="I260" i="17"/>
  <c r="I262" i="17"/>
  <c r="I264" i="17"/>
  <c r="I266" i="17"/>
  <c r="I268" i="17"/>
  <c r="I270" i="17"/>
  <c r="I272" i="17"/>
  <c r="I274" i="17"/>
  <c r="I276" i="17"/>
  <c r="I278" i="17"/>
  <c r="I280" i="17"/>
  <c r="I282" i="17"/>
  <c r="I284" i="17"/>
  <c r="I286" i="17"/>
  <c r="I288" i="17"/>
  <c r="I290" i="17"/>
  <c r="I292" i="17"/>
  <c r="I294" i="17"/>
  <c r="I296" i="17"/>
  <c r="I298" i="17"/>
  <c r="I300" i="17"/>
  <c r="I302" i="17"/>
  <c r="I304" i="17"/>
  <c r="I306" i="17"/>
  <c r="I308" i="17"/>
  <c r="I310" i="17"/>
  <c r="I312" i="17"/>
  <c r="I314" i="17"/>
  <c r="I316" i="17"/>
  <c r="I318" i="17"/>
  <c r="I320" i="17"/>
  <c r="I322" i="17"/>
  <c r="I324" i="17"/>
  <c r="I326" i="17"/>
  <c r="I328" i="17"/>
  <c r="I330" i="17"/>
  <c r="I332" i="17"/>
  <c r="I334" i="17"/>
  <c r="I336" i="17"/>
  <c r="I338" i="17"/>
  <c r="I340" i="17"/>
  <c r="I342" i="17"/>
  <c r="I344" i="17"/>
  <c r="I346" i="17"/>
  <c r="I348" i="17"/>
  <c r="I350" i="17"/>
  <c r="I352" i="17"/>
  <c r="I354" i="17"/>
  <c r="I356" i="17"/>
  <c r="I358" i="17"/>
  <c r="I360" i="17"/>
  <c r="I362" i="17"/>
  <c r="I364" i="17"/>
  <c r="I366" i="17"/>
  <c r="I368" i="17"/>
  <c r="I370" i="17"/>
  <c r="I372" i="17"/>
  <c r="I374" i="17"/>
  <c r="I376" i="17"/>
  <c r="I378" i="17"/>
  <c r="I380" i="17"/>
  <c r="I382" i="17"/>
  <c r="I384" i="17"/>
  <c r="I386" i="17"/>
  <c r="I388" i="17"/>
  <c r="I390" i="17"/>
  <c r="I392" i="17"/>
  <c r="I394" i="17"/>
  <c r="I396" i="17"/>
  <c r="I398" i="17"/>
  <c r="I400" i="17"/>
  <c r="I402" i="17"/>
  <c r="I404" i="17"/>
  <c r="I406" i="17"/>
  <c r="I408" i="17"/>
  <c r="I410" i="17"/>
  <c r="I412" i="17"/>
  <c r="I414" i="17"/>
  <c r="I416" i="17"/>
  <c r="I418" i="17"/>
  <c r="I420" i="17"/>
  <c r="I422" i="17"/>
  <c r="I424" i="17"/>
  <c r="I426" i="17"/>
  <c r="I428" i="17"/>
  <c r="I430" i="17"/>
  <c r="I432" i="17"/>
  <c r="I434" i="17"/>
  <c r="I436" i="17"/>
  <c r="I438" i="17"/>
  <c r="I440" i="17"/>
  <c r="I442" i="17"/>
  <c r="I444" i="17"/>
  <c r="I446" i="17"/>
  <c r="I448" i="17"/>
  <c r="I450" i="17"/>
  <c r="I452" i="17"/>
  <c r="I454" i="17"/>
  <c r="I456" i="17"/>
  <c r="I458" i="17"/>
  <c r="I460" i="17"/>
  <c r="I462" i="17"/>
  <c r="I464" i="17"/>
  <c r="I466" i="17"/>
  <c r="I468" i="17"/>
  <c r="I470" i="17"/>
  <c r="I472" i="17"/>
  <c r="I474" i="17"/>
  <c r="I476" i="17"/>
  <c r="I478" i="17"/>
  <c r="I480" i="17"/>
  <c r="I482" i="17"/>
  <c r="I484" i="17"/>
  <c r="I486" i="17"/>
  <c r="I488" i="17"/>
  <c r="I490" i="17"/>
  <c r="I492" i="17"/>
  <c r="I494" i="17"/>
  <c r="I496" i="17"/>
  <c r="I498" i="17"/>
  <c r="I500" i="17"/>
  <c r="I502" i="17"/>
  <c r="I504" i="17"/>
  <c r="I506" i="17"/>
  <c r="I508" i="17"/>
  <c r="I510" i="17"/>
  <c r="I512" i="17"/>
  <c r="I514" i="17"/>
  <c r="I516" i="17"/>
  <c r="I518" i="17"/>
  <c r="I520" i="17"/>
  <c r="I522" i="17"/>
  <c r="I524" i="17"/>
  <c r="I526" i="17"/>
  <c r="I528" i="17"/>
  <c r="I530" i="17"/>
  <c r="I532" i="17"/>
  <c r="I534" i="17"/>
  <c r="I536" i="17"/>
  <c r="I538" i="17"/>
  <c r="I540" i="17"/>
  <c r="I542" i="17"/>
  <c r="I544" i="17"/>
  <c r="I546" i="17"/>
  <c r="I548" i="17"/>
  <c r="B3" i="16"/>
  <c r="B4" i="16"/>
  <c r="B7" i="16"/>
  <c r="B8" i="16"/>
  <c r="B9" i="16"/>
  <c r="B10" i="16"/>
  <c r="B11" i="16"/>
  <c r="B12" i="16"/>
  <c r="B13" i="16"/>
  <c r="B15" i="16"/>
  <c r="B16" i="16"/>
  <c r="B18" i="16"/>
  <c r="B19" i="16"/>
  <c r="B20" i="16"/>
  <c r="B21" i="16"/>
  <c r="B22" i="16"/>
  <c r="B23" i="16"/>
  <c r="V23" i="16"/>
  <c r="B3" i="1"/>
  <c r="B27" i="16"/>
  <c r="B28" i="16"/>
  <c r="B31" i="16"/>
  <c r="B33" i="16"/>
  <c r="B34" i="16"/>
  <c r="B35" i="16"/>
  <c r="B37" i="16"/>
  <c r="B38" i="16"/>
  <c r="B39" i="16"/>
  <c r="B40" i="16"/>
  <c r="B41" i="16"/>
  <c r="B42" i="16"/>
  <c r="B43" i="16"/>
  <c r="B44" i="16"/>
  <c r="B46" i="16"/>
  <c r="B47" i="16"/>
  <c r="B48" i="16"/>
  <c r="B50" i="16"/>
  <c r="B51" i="16"/>
  <c r="B52" i="16"/>
  <c r="B53" i="16"/>
  <c r="B54" i="16"/>
  <c r="B55" i="16"/>
  <c r="B56" i="16"/>
  <c r="B57" i="16"/>
  <c r="B59" i="16"/>
  <c r="B60" i="16"/>
  <c r="B61" i="16"/>
  <c r="B62" i="16"/>
  <c r="B63" i="16"/>
  <c r="B64" i="16"/>
  <c r="B65" i="16"/>
  <c r="B66" i="16"/>
  <c r="B67" i="16"/>
  <c r="B68" i="16"/>
  <c r="B69" i="16"/>
  <c r="B70" i="16"/>
  <c r="B71" i="16"/>
  <c r="B72" i="16"/>
  <c r="B73" i="16"/>
  <c r="B74" i="16"/>
  <c r="B78" i="16"/>
  <c r="B79" i="16"/>
  <c r="B80" i="16"/>
  <c r="B81" i="16"/>
  <c r="B82" i="16"/>
  <c r="B85" i="16"/>
  <c r="B87" i="16"/>
  <c r="B89" i="16"/>
  <c r="B90" i="16"/>
  <c r="B92" i="16"/>
  <c r="B93" i="16"/>
  <c r="B94" i="16"/>
  <c r="B95" i="16"/>
  <c r="B96" i="16"/>
  <c r="B97" i="16"/>
  <c r="B98" i="16"/>
  <c r="B99" i="16"/>
  <c r="B101" i="16"/>
  <c r="B103" i="16"/>
  <c r="B104" i="16"/>
  <c r="B105" i="16"/>
  <c r="B107" i="16"/>
  <c r="B109" i="16"/>
  <c r="B110" i="16"/>
  <c r="B111" i="16"/>
  <c r="B112" i="16"/>
  <c r="B114" i="16"/>
  <c r="B115" i="16"/>
  <c r="B116" i="16"/>
  <c r="B117" i="16"/>
  <c r="B119" i="16"/>
  <c r="B120" i="16"/>
  <c r="H5" i="15"/>
  <c r="H34" i="15"/>
  <c r="E2" i="13"/>
  <c r="F2" i="13"/>
  <c r="S2" i="13"/>
  <c r="N26" i="13"/>
  <c r="N29" i="13"/>
  <c r="L54" i="1"/>
  <c r="E34" i="13"/>
  <c r="D4" i="9"/>
  <c r="E35" i="13"/>
  <c r="M3" i="9"/>
  <c r="D36" i="1"/>
  <c r="E36" i="13"/>
  <c r="N3" i="9"/>
  <c r="D37" i="1"/>
  <c r="K36" i="13"/>
  <c r="S36" i="13"/>
  <c r="V36" i="13"/>
  <c r="X36" i="13"/>
  <c r="U36" i="13"/>
  <c r="T36" i="13"/>
  <c r="W36" i="13"/>
  <c r="E37" i="13"/>
  <c r="D40" i="1"/>
  <c r="S37" i="13"/>
  <c r="U37" i="13"/>
  <c r="H4" i="9"/>
  <c r="W37" i="13"/>
  <c r="K4" i="9"/>
  <c r="E38" i="13"/>
  <c r="F4" i="9"/>
  <c r="M38" i="13"/>
  <c r="N38" i="13"/>
  <c r="O38" i="13"/>
  <c r="E39" i="13"/>
  <c r="J4" i="9"/>
  <c r="E40" i="13"/>
  <c r="D42" i="1"/>
  <c r="E41" i="13"/>
  <c r="D43" i="1"/>
  <c r="E42" i="13"/>
  <c r="D6" i="9"/>
  <c r="E43" i="13"/>
  <c r="M5" i="9"/>
  <c r="E36" i="1"/>
  <c r="E44" i="13"/>
  <c r="N5" i="9"/>
  <c r="E37" i="1"/>
  <c r="K44" i="13"/>
  <c r="S44" i="13"/>
  <c r="U44" i="13"/>
  <c r="T44" i="13"/>
  <c r="W44" i="13"/>
  <c r="E45" i="13"/>
  <c r="G6" i="9"/>
  <c r="S45" i="13"/>
  <c r="U45" i="13"/>
  <c r="H6" i="9"/>
  <c r="W45" i="13"/>
  <c r="K6" i="9"/>
  <c r="E46" i="13"/>
  <c r="F6" i="9"/>
  <c r="E47" i="13"/>
  <c r="E41" i="1"/>
  <c r="E48" i="13"/>
  <c r="E42" i="1"/>
  <c r="E49" i="13"/>
  <c r="E43" i="1"/>
  <c r="E50" i="13"/>
  <c r="D8" i="9"/>
  <c r="I8" i="9"/>
  <c r="E51" i="13"/>
  <c r="M7" i="9"/>
  <c r="F36" i="1"/>
  <c r="E52" i="13"/>
  <c r="N7" i="9"/>
  <c r="F37" i="1"/>
  <c r="K52" i="13"/>
  <c r="S52" i="13"/>
  <c r="T52" i="13"/>
  <c r="V52" i="13"/>
  <c r="X52" i="13"/>
  <c r="U52" i="13"/>
  <c r="W52" i="13"/>
  <c r="E53" i="13"/>
  <c r="S53" i="13"/>
  <c r="V53" i="13"/>
  <c r="E8" i="9"/>
  <c r="F38" i="1"/>
  <c r="F34" i="1"/>
  <c r="T53" i="13"/>
  <c r="U53" i="13"/>
  <c r="H8" i="9"/>
  <c r="W53" i="13"/>
  <c r="X53" i="13"/>
  <c r="E54" i="13"/>
  <c r="F8" i="9"/>
  <c r="E55" i="13"/>
  <c r="F41" i="1"/>
  <c r="V55" i="13"/>
  <c r="E56" i="13"/>
  <c r="F42" i="1"/>
  <c r="V56" i="13"/>
  <c r="E57" i="13"/>
  <c r="F43" i="1"/>
  <c r="E58" i="13"/>
  <c r="D12" i="9"/>
  <c r="I12" i="9"/>
  <c r="E59" i="13"/>
  <c r="M11" i="9"/>
  <c r="E60" i="13"/>
  <c r="N11" i="9"/>
  <c r="K60" i="13"/>
  <c r="S60" i="13"/>
  <c r="T60" i="13"/>
  <c r="U60" i="13"/>
  <c r="W60" i="13"/>
  <c r="X60" i="13"/>
  <c r="E61" i="13"/>
  <c r="G12" i="9"/>
  <c r="S61" i="13"/>
  <c r="T61" i="13"/>
  <c r="U61" i="13"/>
  <c r="H12" i="9"/>
  <c r="W61" i="13"/>
  <c r="K12" i="9"/>
  <c r="X61" i="13"/>
  <c r="E62" i="13"/>
  <c r="F12" i="9"/>
  <c r="E63" i="13"/>
  <c r="J12" i="9"/>
  <c r="V63" i="13"/>
  <c r="E64" i="13"/>
  <c r="V64" i="13"/>
  <c r="E65" i="13"/>
  <c r="E66" i="13"/>
  <c r="D16" i="9"/>
  <c r="I16" i="9"/>
  <c r="E67" i="13"/>
  <c r="M15" i="9"/>
  <c r="E68" i="13"/>
  <c r="N15" i="9"/>
  <c r="K68" i="13"/>
  <c r="S68" i="13"/>
  <c r="T68" i="13"/>
  <c r="U68" i="13"/>
  <c r="W68" i="13"/>
  <c r="V68" i="13"/>
  <c r="X68" i="13"/>
  <c r="E69" i="13"/>
  <c r="G16" i="9"/>
  <c r="S69" i="13"/>
  <c r="T69" i="13"/>
  <c r="U69" i="13"/>
  <c r="H16" i="9"/>
  <c r="W69" i="13"/>
  <c r="X69" i="13"/>
  <c r="E70" i="13"/>
  <c r="F16" i="9"/>
  <c r="E71" i="13"/>
  <c r="J16" i="9"/>
  <c r="V71" i="13"/>
  <c r="E72" i="13"/>
  <c r="V72" i="13"/>
  <c r="E73" i="13"/>
  <c r="E74" i="13"/>
  <c r="D18" i="9"/>
  <c r="I18" i="9"/>
  <c r="E75" i="13"/>
  <c r="M17" i="9"/>
  <c r="E76" i="13"/>
  <c r="N17" i="9"/>
  <c r="K76" i="13"/>
  <c r="S76" i="13"/>
  <c r="T76" i="13"/>
  <c r="U76" i="13"/>
  <c r="W76" i="13"/>
  <c r="V76" i="13"/>
  <c r="X76" i="13"/>
  <c r="E77" i="13"/>
  <c r="G18" i="9"/>
  <c r="S77" i="13"/>
  <c r="V77" i="13"/>
  <c r="E18" i="9"/>
  <c r="T77" i="13"/>
  <c r="U77" i="13"/>
  <c r="H18" i="9"/>
  <c r="W77" i="13"/>
  <c r="K18" i="9"/>
  <c r="X77" i="13"/>
  <c r="E78" i="13"/>
  <c r="F18" i="9"/>
  <c r="E79" i="13"/>
  <c r="J18" i="9"/>
  <c r="V79" i="13"/>
  <c r="E80" i="13"/>
  <c r="V80" i="13"/>
  <c r="E81" i="13"/>
  <c r="E82" i="13"/>
  <c r="D20" i="9"/>
  <c r="I20" i="9"/>
  <c r="E83" i="13"/>
  <c r="M19" i="9"/>
  <c r="E84" i="13"/>
  <c r="N19" i="9"/>
  <c r="K84" i="13"/>
  <c r="S84" i="13"/>
  <c r="V84" i="13"/>
  <c r="X84" i="13"/>
  <c r="T84" i="13"/>
  <c r="U84" i="13"/>
  <c r="W84" i="13"/>
  <c r="E85" i="13"/>
  <c r="G20" i="9"/>
  <c r="S85" i="13"/>
  <c r="T85" i="13"/>
  <c r="U85" i="13"/>
  <c r="H20" i="9"/>
  <c r="W85" i="13"/>
  <c r="K20" i="9"/>
  <c r="X85" i="13"/>
  <c r="E86" i="13"/>
  <c r="F20" i="9"/>
  <c r="E87" i="13"/>
  <c r="J20" i="9"/>
  <c r="V87" i="13"/>
  <c r="E88" i="13"/>
  <c r="V88" i="13"/>
  <c r="E89" i="13"/>
  <c r="E90" i="13"/>
  <c r="D22" i="9"/>
  <c r="I22" i="9"/>
  <c r="E91" i="13"/>
  <c r="M21" i="9"/>
  <c r="E92" i="13"/>
  <c r="N21" i="9"/>
  <c r="K92" i="13"/>
  <c r="S92" i="13"/>
  <c r="T92" i="13"/>
  <c r="U92" i="13"/>
  <c r="W92" i="13"/>
  <c r="E93" i="13"/>
  <c r="G22" i="9"/>
  <c r="S93" i="13"/>
  <c r="T93" i="13"/>
  <c r="V93" i="13"/>
  <c r="E22" i="9"/>
  <c r="U93" i="13"/>
  <c r="H22" i="9"/>
  <c r="W93" i="13"/>
  <c r="K22" i="9"/>
  <c r="X93" i="13"/>
  <c r="E94" i="13"/>
  <c r="F22" i="9"/>
  <c r="E95" i="13"/>
  <c r="J22" i="9"/>
  <c r="V95" i="13"/>
  <c r="E96" i="13"/>
  <c r="V96" i="13"/>
  <c r="E97" i="13"/>
  <c r="E98" i="13"/>
  <c r="D24" i="9"/>
  <c r="I24" i="9"/>
  <c r="E99" i="13"/>
  <c r="M23" i="9"/>
  <c r="E100" i="13"/>
  <c r="N23" i="9"/>
  <c r="K100" i="13"/>
  <c r="S100" i="13"/>
  <c r="T100" i="13"/>
  <c r="V100" i="13"/>
  <c r="X100" i="13"/>
  <c r="U100" i="13"/>
  <c r="W100" i="13"/>
  <c r="E101" i="13"/>
  <c r="G24" i="9"/>
  <c r="S101" i="13"/>
  <c r="V101" i="13"/>
  <c r="E24" i="9"/>
  <c r="L24" i="9"/>
  <c r="T101" i="13"/>
  <c r="U101" i="13"/>
  <c r="H24" i="9"/>
  <c r="W101" i="13"/>
  <c r="K24" i="9"/>
  <c r="X101" i="13"/>
  <c r="E102" i="13"/>
  <c r="F24" i="9"/>
  <c r="E103" i="13"/>
  <c r="J24" i="9"/>
  <c r="V103" i="13"/>
  <c r="E104" i="13"/>
  <c r="V104" i="13"/>
  <c r="E105" i="13"/>
  <c r="E106" i="13"/>
  <c r="D28" i="9"/>
  <c r="E107" i="13"/>
  <c r="M27" i="9"/>
  <c r="D47" i="1"/>
  <c r="E108" i="13"/>
  <c r="N27" i="9"/>
  <c r="D48" i="1"/>
  <c r="K108" i="13"/>
  <c r="S108" i="13"/>
  <c r="U108" i="13"/>
  <c r="T108" i="13"/>
  <c r="W108" i="13"/>
  <c r="V108" i="13"/>
  <c r="E109" i="13"/>
  <c r="G28" i="9"/>
  <c r="S109" i="13"/>
  <c r="U109" i="13"/>
  <c r="H28" i="9"/>
  <c r="W109" i="13"/>
  <c r="K28" i="9"/>
  <c r="E110" i="13"/>
  <c r="F28" i="9"/>
  <c r="E111" i="13"/>
  <c r="E112" i="13"/>
  <c r="D53" i="1"/>
  <c r="E113" i="13"/>
  <c r="D54" i="1"/>
  <c r="E114" i="13"/>
  <c r="D30" i="9"/>
  <c r="E115" i="13"/>
  <c r="M29" i="9"/>
  <c r="E116" i="13"/>
  <c r="N29" i="9"/>
  <c r="E48" i="1"/>
  <c r="K116" i="13"/>
  <c r="S116" i="13"/>
  <c r="U116" i="13"/>
  <c r="T116" i="13"/>
  <c r="W116" i="13"/>
  <c r="E117" i="13"/>
  <c r="E51" i="1"/>
  <c r="S117" i="13"/>
  <c r="U117" i="13"/>
  <c r="H30" i="9"/>
  <c r="W117" i="13"/>
  <c r="K30" i="9"/>
  <c r="E118" i="13"/>
  <c r="F30" i="9"/>
  <c r="E119" i="13"/>
  <c r="J30" i="9"/>
  <c r="E120" i="13"/>
  <c r="E53" i="1"/>
  <c r="E121" i="13"/>
  <c r="E54" i="1"/>
  <c r="E122" i="13"/>
  <c r="D32" i="9"/>
  <c r="I32" i="9"/>
  <c r="E123" i="13"/>
  <c r="M31" i="9"/>
  <c r="F47" i="1"/>
  <c r="E124" i="13"/>
  <c r="N31" i="9"/>
  <c r="F48" i="1"/>
  <c r="K124" i="13"/>
  <c r="S124" i="13"/>
  <c r="U124" i="13"/>
  <c r="T124" i="13"/>
  <c r="W124" i="13"/>
  <c r="E125" i="13"/>
  <c r="F51" i="1"/>
  <c r="S125" i="13"/>
  <c r="U125" i="13"/>
  <c r="H32" i="9"/>
  <c r="W125" i="13"/>
  <c r="K32" i="9"/>
  <c r="E126" i="13"/>
  <c r="F32" i="9"/>
  <c r="E127" i="13"/>
  <c r="E128" i="13"/>
  <c r="F53" i="1"/>
  <c r="E129" i="13"/>
  <c r="F54" i="1"/>
  <c r="E130" i="13"/>
  <c r="D38" i="9"/>
  <c r="I38" i="9"/>
  <c r="E131" i="13"/>
  <c r="M37" i="9"/>
  <c r="L38" i="9"/>
  <c r="E132" i="13"/>
  <c r="N37" i="9"/>
  <c r="K132" i="13"/>
  <c r="S132" i="13"/>
  <c r="V132" i="13"/>
  <c r="X132" i="13"/>
  <c r="T132" i="13"/>
  <c r="U132" i="13"/>
  <c r="W132" i="13"/>
  <c r="E133" i="13"/>
  <c r="G38" i="9"/>
  <c r="S133" i="13"/>
  <c r="E38" i="9"/>
  <c r="T133" i="13"/>
  <c r="U133" i="13"/>
  <c r="H38" i="9"/>
  <c r="W133" i="13"/>
  <c r="K38" i="9"/>
  <c r="X133" i="13"/>
  <c r="E134" i="13"/>
  <c r="F38" i="9"/>
  <c r="E135" i="13"/>
  <c r="J38" i="9"/>
  <c r="V135" i="13"/>
  <c r="E136" i="13"/>
  <c r="V136" i="13"/>
  <c r="E137" i="13"/>
  <c r="E139" i="13"/>
  <c r="J1" i="11"/>
  <c r="M1" i="10"/>
  <c r="Z3" i="10"/>
  <c r="AH3" i="10"/>
  <c r="Z4" i="10"/>
  <c r="AJ4" i="10"/>
  <c r="Z5" i="10"/>
  <c r="AI5" i="10"/>
  <c r="Z6" i="10"/>
  <c r="AH6" i="10"/>
  <c r="Z7" i="10"/>
  <c r="AF7" i="10"/>
  <c r="Z8" i="10"/>
  <c r="AC8" i="10"/>
  <c r="Z9" i="10"/>
  <c r="AB9" i="10"/>
  <c r="Z10" i="10"/>
  <c r="AD10" i="10"/>
  <c r="Z11" i="10"/>
  <c r="AJ11" i="10"/>
  <c r="Z12" i="10"/>
  <c r="AE12" i="10"/>
  <c r="Z13" i="10"/>
  <c r="AB13" i="10"/>
  <c r="Z14" i="10"/>
  <c r="Z15" i="10"/>
  <c r="AH15" i="10"/>
  <c r="Z16" i="10"/>
  <c r="AE16" i="10"/>
  <c r="Z17" i="10"/>
  <c r="AI17" i="10"/>
  <c r="Z18" i="10"/>
  <c r="AC18" i="10"/>
  <c r="Z19" i="10"/>
  <c r="AG19" i="10"/>
  <c r="Z20" i="10"/>
  <c r="D3" i="9"/>
  <c r="F3" i="9"/>
  <c r="H3" i="9"/>
  <c r="G3" i="9"/>
  <c r="I3" i="9"/>
  <c r="J3" i="9"/>
  <c r="D5" i="9"/>
  <c r="F5" i="9"/>
  <c r="G5" i="9"/>
  <c r="H5" i="9"/>
  <c r="J5" i="9"/>
  <c r="D7" i="9"/>
  <c r="I7" i="9"/>
  <c r="F7" i="9"/>
  <c r="G7" i="9"/>
  <c r="K7" i="9"/>
  <c r="J7" i="9"/>
  <c r="D11" i="9"/>
  <c r="F11" i="9"/>
  <c r="G11" i="9"/>
  <c r="K11" i="9"/>
  <c r="J11" i="9"/>
  <c r="D15" i="9"/>
  <c r="F15" i="9"/>
  <c r="G15" i="9"/>
  <c r="K15" i="9"/>
  <c r="J15" i="9"/>
  <c r="D17" i="9"/>
  <c r="F17" i="9"/>
  <c r="G17" i="9"/>
  <c r="H17" i="9"/>
  <c r="J17" i="9"/>
  <c r="D19" i="9"/>
  <c r="F19" i="9"/>
  <c r="G19" i="9"/>
  <c r="J19" i="9"/>
  <c r="D21" i="9"/>
  <c r="F21" i="9"/>
  <c r="G21" i="9"/>
  <c r="K21" i="9"/>
  <c r="J21" i="9"/>
  <c r="D23" i="9"/>
  <c r="F23" i="9"/>
  <c r="G23" i="9"/>
  <c r="K23" i="9"/>
  <c r="J23" i="9"/>
  <c r="D27" i="9"/>
  <c r="F27" i="9"/>
  <c r="G27" i="9"/>
  <c r="J27" i="9"/>
  <c r="D29" i="9"/>
  <c r="F29" i="9"/>
  <c r="G29" i="9"/>
  <c r="H29" i="9"/>
  <c r="J29" i="9"/>
  <c r="D31" i="9"/>
  <c r="F31" i="9"/>
  <c r="G31" i="9"/>
  <c r="K31" i="9"/>
  <c r="J31" i="9"/>
  <c r="D37" i="9"/>
  <c r="F37" i="9"/>
  <c r="G37" i="9"/>
  <c r="H37" i="9"/>
  <c r="J37" i="9"/>
  <c r="AH7" i="8"/>
  <c r="AH8" i="8"/>
  <c r="AH9" i="8"/>
  <c r="AH10" i="8"/>
  <c r="AH11" i="8"/>
  <c r="AH12" i="8"/>
  <c r="AH16" i="8"/>
  <c r="AH17" i="8"/>
  <c r="AH18" i="8"/>
  <c r="AH19" i="8"/>
  <c r="AH20" i="8"/>
  <c r="AH24" i="8"/>
  <c r="AH25" i="8"/>
  <c r="AH26" i="8"/>
  <c r="AH27" i="8"/>
  <c r="F28" i="8"/>
  <c r="AL26" i="8"/>
  <c r="AH28" i="8"/>
  <c r="AH29" i="8"/>
  <c r="AH30" i="8"/>
  <c r="F31" i="8"/>
  <c r="AH31" i="8"/>
  <c r="AH32" i="8"/>
  <c r="AH33" i="8"/>
  <c r="AJ33" i="8"/>
  <c r="AH34" i="8"/>
  <c r="AH35" i="8"/>
  <c r="F43" i="8"/>
  <c r="AW31" i="1"/>
  <c r="F44" i="8"/>
  <c r="AL33" i="8"/>
  <c r="F47" i="8"/>
  <c r="F48" i="8"/>
  <c r="F49" i="8"/>
  <c r="AK13" i="8"/>
  <c r="F50" i="8"/>
  <c r="AL20" i="8"/>
  <c r="AK3" i="7"/>
  <c r="AL3" i="7"/>
  <c r="AM3" i="7"/>
  <c r="AN3" i="7"/>
  <c r="AO3" i="7"/>
  <c r="AP3" i="7"/>
  <c r="AQ3" i="7"/>
  <c r="AR3" i="7"/>
  <c r="AS3" i="7"/>
  <c r="AT3" i="7"/>
  <c r="AK3" i="6"/>
  <c r="AL3" i="6"/>
  <c r="AM3" i="6"/>
  <c r="AN3" i="6"/>
  <c r="AO3" i="6"/>
  <c r="AP3" i="6"/>
  <c r="F4" i="5"/>
  <c r="N1" i="4"/>
  <c r="AW3" i="4"/>
  <c r="AY3" i="4"/>
  <c r="BA3" i="4"/>
  <c r="BB3" i="4"/>
  <c r="AZ3" i="4"/>
  <c r="BC3" i="4"/>
  <c r="BD3" i="4"/>
  <c r="BE3" i="4"/>
  <c r="BF3" i="4"/>
  <c r="BG3" i="4"/>
  <c r="BH3" i="4"/>
  <c r="BI3" i="4"/>
  <c r="BJ3" i="4"/>
  <c r="BK3" i="4"/>
  <c r="N4" i="4"/>
  <c r="BI4" i="4"/>
  <c r="BJ4" i="4"/>
  <c r="BK4" i="4"/>
  <c r="N5" i="4"/>
  <c r="BI5" i="4"/>
  <c r="BJ5" i="4"/>
  <c r="BK5" i="4"/>
  <c r="BI6" i="4"/>
  <c r="BJ6" i="4"/>
  <c r="BK6" i="4"/>
  <c r="BI7" i="4"/>
  <c r="BJ7" i="4"/>
  <c r="BK7" i="4"/>
  <c r="BI8" i="4"/>
  <c r="BJ8" i="4"/>
  <c r="BK8" i="4"/>
  <c r="BI9" i="4"/>
  <c r="BJ9" i="4"/>
  <c r="BK9" i="4"/>
  <c r="BI10" i="4"/>
  <c r="BJ10" i="4"/>
  <c r="BK10" i="4"/>
  <c r="BI11" i="4"/>
  <c r="BJ11" i="4"/>
  <c r="BK11" i="4"/>
  <c r="N12" i="4"/>
  <c r="BI12" i="4"/>
  <c r="BJ12" i="4"/>
  <c r="BK12" i="4"/>
  <c r="N13" i="4"/>
  <c r="BI13" i="4"/>
  <c r="BJ13" i="4"/>
  <c r="BK13" i="4"/>
  <c r="N14" i="4"/>
  <c r="BI14" i="4"/>
  <c r="BJ14" i="4"/>
  <c r="BK14" i="4"/>
  <c r="BI15" i="4"/>
  <c r="BJ15" i="4"/>
  <c r="BK15" i="4"/>
  <c r="BI16" i="4"/>
  <c r="BJ16" i="4"/>
  <c r="BK16" i="4"/>
  <c r="BI17" i="4"/>
  <c r="BJ17" i="4"/>
  <c r="BK17" i="4"/>
  <c r="N18" i="4"/>
  <c r="BI18" i="4"/>
  <c r="BJ18" i="4"/>
  <c r="BK18" i="4"/>
  <c r="BI19" i="4"/>
  <c r="BJ19" i="4"/>
  <c r="BK19" i="4"/>
  <c r="N20" i="4"/>
  <c r="BI20" i="4"/>
  <c r="BJ20" i="4"/>
  <c r="BK20" i="4"/>
  <c r="BI23" i="4"/>
  <c r="BJ23" i="4"/>
  <c r="BK23" i="4"/>
  <c r="BI24" i="4"/>
  <c r="BJ24" i="4"/>
  <c r="BK24" i="4"/>
  <c r="BI25" i="4"/>
  <c r="BJ25" i="4"/>
  <c r="BK25" i="4"/>
  <c r="N26" i="4"/>
  <c r="BI26" i="4"/>
  <c r="BJ26" i="4"/>
  <c r="BK26" i="4"/>
  <c r="BI27" i="4"/>
  <c r="BJ27" i="4"/>
  <c r="BK27" i="4"/>
  <c r="BI28" i="4"/>
  <c r="BJ28" i="4"/>
  <c r="BK28" i="4"/>
  <c r="BI29" i="4"/>
  <c r="BJ29" i="4"/>
  <c r="BK29" i="4"/>
  <c r="N30" i="4"/>
  <c r="BI30" i="4"/>
  <c r="BJ30" i="4"/>
  <c r="BK30" i="4"/>
  <c r="N31" i="4"/>
  <c r="BI31" i="4"/>
  <c r="N33" i="4"/>
  <c r="BI33" i="4"/>
  <c r="BJ33" i="4"/>
  <c r="BK33" i="4"/>
  <c r="BI34" i="4"/>
  <c r="BJ34" i="4"/>
  <c r="BK34" i="4"/>
  <c r="BG35" i="4"/>
  <c r="BH35" i="4"/>
  <c r="BI35" i="4"/>
  <c r="BJ35" i="4"/>
  <c r="BK35" i="4"/>
  <c r="BG36" i="4"/>
  <c r="BH36" i="4"/>
  <c r="BI36" i="4"/>
  <c r="BJ36" i="4"/>
  <c r="BK36" i="4"/>
  <c r="BG37" i="4"/>
  <c r="BH37" i="4"/>
  <c r="BI37" i="4"/>
  <c r="BJ37" i="4"/>
  <c r="BK37" i="4"/>
  <c r="BG38" i="4"/>
  <c r="BH38" i="4"/>
  <c r="BI38" i="4"/>
  <c r="BJ38" i="4"/>
  <c r="BK38" i="4"/>
  <c r="BG39" i="4"/>
  <c r="BH39" i="4"/>
  <c r="BI39" i="4"/>
  <c r="BJ39" i="4"/>
  <c r="BK39" i="4"/>
  <c r="BG40" i="4"/>
  <c r="BH40" i="4"/>
  <c r="BI40" i="4"/>
  <c r="BJ40" i="4"/>
  <c r="BK40" i="4"/>
  <c r="N41" i="4"/>
  <c r="BG41" i="4"/>
  <c r="BH41" i="4"/>
  <c r="BI41" i="4"/>
  <c r="BJ41" i="4"/>
  <c r="BK41" i="4"/>
  <c r="BG42" i="4"/>
  <c r="BH42" i="4"/>
  <c r="BI42" i="4"/>
  <c r="BJ42" i="4"/>
  <c r="BK42" i="4"/>
  <c r="BG43" i="4"/>
  <c r="BH43" i="4"/>
  <c r="BI43" i="4"/>
  <c r="BJ43" i="4"/>
  <c r="BK43" i="4"/>
  <c r="N44" i="4"/>
  <c r="BG44" i="4"/>
  <c r="BH44" i="4"/>
  <c r="BI44" i="4"/>
  <c r="BJ44" i="4"/>
  <c r="BK44" i="4"/>
  <c r="BC48" i="4"/>
  <c r="BD48" i="4"/>
  <c r="BE48" i="4"/>
  <c r="BF48" i="4"/>
  <c r="BH48" i="4"/>
  <c r="BI48" i="4"/>
  <c r="BJ48" i="4"/>
  <c r="BK48" i="4"/>
  <c r="BL48" i="4"/>
  <c r="BM48" i="4"/>
  <c r="BO48" i="4"/>
  <c r="BP48" i="4"/>
  <c r="BQ48" i="4"/>
  <c r="BC49" i="4"/>
  <c r="BD49" i="4"/>
  <c r="BE49" i="4"/>
  <c r="BF49" i="4"/>
  <c r="BH49" i="4"/>
  <c r="BI49" i="4"/>
  <c r="BJ49" i="4"/>
  <c r="BK49" i="4"/>
  <c r="BL49" i="4"/>
  <c r="BM49" i="4"/>
  <c r="BN49" i="4"/>
  <c r="BO49" i="4"/>
  <c r="BP49" i="4"/>
  <c r="BQ49" i="4"/>
  <c r="BC50" i="4"/>
  <c r="BD50" i="4"/>
  <c r="BE50" i="4"/>
  <c r="BF50" i="4"/>
  <c r="BH50" i="4"/>
  <c r="BI50" i="4"/>
  <c r="BJ50" i="4"/>
  <c r="BK50" i="4"/>
  <c r="BL50" i="4"/>
  <c r="BM50" i="4"/>
  <c r="BO50" i="4"/>
  <c r="BP50" i="4"/>
  <c r="BQ50" i="4"/>
  <c r="BC51" i="4"/>
  <c r="BD51" i="4"/>
  <c r="BE51" i="4"/>
  <c r="BF51" i="4"/>
  <c r="BH51" i="4"/>
  <c r="BI51" i="4"/>
  <c r="BJ51" i="4"/>
  <c r="BK51" i="4"/>
  <c r="BL51" i="4"/>
  <c r="BM51" i="4"/>
  <c r="BO51" i="4"/>
  <c r="BP51" i="4"/>
  <c r="BQ51" i="4"/>
  <c r="BC52" i="4"/>
  <c r="BD52" i="4"/>
  <c r="BE52" i="4"/>
  <c r="BF52" i="4"/>
  <c r="BH52" i="4"/>
  <c r="BI52" i="4"/>
  <c r="BJ52" i="4"/>
  <c r="BK52" i="4"/>
  <c r="BL52" i="4"/>
  <c r="BM52" i="4"/>
  <c r="BO52" i="4"/>
  <c r="BP52" i="4"/>
  <c r="BQ52" i="4"/>
  <c r="BC53" i="4"/>
  <c r="BD53" i="4"/>
  <c r="BE53" i="4"/>
  <c r="BF53" i="4"/>
  <c r="BH53" i="4"/>
  <c r="BI53" i="4"/>
  <c r="BJ53" i="4"/>
  <c r="BK53" i="4"/>
  <c r="BL53" i="4"/>
  <c r="BM53" i="4"/>
  <c r="BO53" i="4"/>
  <c r="BP53" i="4"/>
  <c r="BQ53" i="4"/>
  <c r="BC54" i="4"/>
  <c r="BD54" i="4"/>
  <c r="BE54" i="4"/>
  <c r="BF54" i="4"/>
  <c r="BH54" i="4"/>
  <c r="BI54" i="4"/>
  <c r="BJ54" i="4"/>
  <c r="BK54" i="4"/>
  <c r="BL54" i="4"/>
  <c r="BM54" i="4"/>
  <c r="BO54" i="4"/>
  <c r="BP54" i="4"/>
  <c r="BQ54" i="4"/>
  <c r="BC55" i="4"/>
  <c r="BD55" i="4"/>
  <c r="BE55" i="4"/>
  <c r="BF55" i="4"/>
  <c r="BH55" i="4"/>
  <c r="BI55" i="4"/>
  <c r="BJ55" i="4"/>
  <c r="BK55" i="4"/>
  <c r="BL55" i="4"/>
  <c r="BM55" i="4"/>
  <c r="BN55" i="4"/>
  <c r="BO55" i="4"/>
  <c r="BP55" i="4"/>
  <c r="BQ55" i="4"/>
  <c r="BC56" i="4"/>
  <c r="BD56" i="4"/>
  <c r="BE56" i="4"/>
  <c r="BF56" i="4"/>
  <c r="BH56" i="4"/>
  <c r="BI56" i="4"/>
  <c r="BJ56" i="4"/>
  <c r="BK56" i="4"/>
  <c r="BL56" i="4"/>
  <c r="BM56" i="4"/>
  <c r="BO56" i="4"/>
  <c r="BP56" i="4"/>
  <c r="BQ56" i="4"/>
  <c r="BC57" i="4"/>
  <c r="BD57" i="4"/>
  <c r="BE57" i="4"/>
  <c r="BF57" i="4"/>
  <c r="BH57" i="4"/>
  <c r="BI57" i="4"/>
  <c r="BJ57" i="4"/>
  <c r="BK57" i="4"/>
  <c r="BL57" i="4"/>
  <c r="BM57" i="4"/>
  <c r="BO57" i="4"/>
  <c r="BP57" i="4"/>
  <c r="BQ57" i="4"/>
  <c r="BC58" i="4"/>
  <c r="BD58" i="4"/>
  <c r="BE58" i="4"/>
  <c r="BF58" i="4"/>
  <c r="BH58" i="4"/>
  <c r="BI58" i="4"/>
  <c r="BJ58" i="4"/>
  <c r="BK58" i="4"/>
  <c r="BL58" i="4"/>
  <c r="BM58" i="4"/>
  <c r="BO58" i="4"/>
  <c r="BP58" i="4"/>
  <c r="BQ58" i="4"/>
  <c r="BC59" i="4"/>
  <c r="BD59" i="4"/>
  <c r="BE59" i="4"/>
  <c r="BF59" i="4"/>
  <c r="BH59" i="4"/>
  <c r="BI59" i="4"/>
  <c r="BJ59" i="4"/>
  <c r="BK59" i="4"/>
  <c r="BL59" i="4"/>
  <c r="BM59" i="4"/>
  <c r="BO59" i="4"/>
  <c r="BP59" i="4"/>
  <c r="BQ59" i="4"/>
  <c r="C63" i="4"/>
  <c r="D63" i="4"/>
  <c r="H63" i="4"/>
  <c r="I63" i="4"/>
  <c r="K63" i="4"/>
  <c r="C64" i="4"/>
  <c r="D64" i="4"/>
  <c r="H64" i="4"/>
  <c r="I64" i="4"/>
  <c r="K64" i="4"/>
  <c r="C66" i="4"/>
  <c r="D66" i="4"/>
  <c r="E66" i="4"/>
  <c r="C67" i="4"/>
  <c r="D67" i="4"/>
  <c r="C68" i="4"/>
  <c r="E68" i="4"/>
  <c r="D68" i="4"/>
  <c r="C69" i="4"/>
  <c r="D69" i="4"/>
  <c r="C71" i="4"/>
  <c r="D71" i="4"/>
  <c r="E71" i="4"/>
  <c r="C72" i="4"/>
  <c r="D72" i="4"/>
  <c r="C73" i="4"/>
  <c r="D73" i="4"/>
  <c r="E73" i="4"/>
  <c r="C74" i="4"/>
  <c r="D74" i="4"/>
  <c r="C75" i="4"/>
  <c r="E75" i="4"/>
  <c r="D75" i="4"/>
  <c r="C76" i="4"/>
  <c r="D76" i="4"/>
  <c r="C77" i="4"/>
  <c r="D77" i="4"/>
  <c r="C78" i="4"/>
  <c r="D78" i="4"/>
  <c r="E1" i="3"/>
  <c r="E2" i="3"/>
  <c r="O1" i="3"/>
  <c r="AF4" i="3"/>
  <c r="AM4" i="3"/>
  <c r="F4" i="3"/>
  <c r="CW4" i="3"/>
  <c r="CX4" i="3"/>
  <c r="CY4" i="3"/>
  <c r="CZ4" i="3"/>
  <c r="DA4" i="3"/>
  <c r="DC4" i="3"/>
  <c r="DD4" i="3"/>
  <c r="DE4" i="3"/>
  <c r="DF4" i="3"/>
  <c r="DG4" i="3"/>
  <c r="DH4" i="3"/>
  <c r="DI4" i="3"/>
  <c r="DL4" i="3"/>
  <c r="DN4" i="3"/>
  <c r="DP4" i="3"/>
  <c r="AF5" i="3"/>
  <c r="AM5" i="3"/>
  <c r="AG5" i="3"/>
  <c r="DM5" i="3"/>
  <c r="CJ5" i="3"/>
  <c r="CW5" i="3"/>
  <c r="CX5" i="3"/>
  <c r="CY5" i="3"/>
  <c r="CZ5" i="3"/>
  <c r="DC5" i="3"/>
  <c r="DD5" i="3"/>
  <c r="DE5" i="3"/>
  <c r="DF5" i="3"/>
  <c r="DG5" i="3"/>
  <c r="DH5" i="3"/>
  <c r="DI5" i="3"/>
  <c r="DL5" i="3"/>
  <c r="DN5" i="3"/>
  <c r="DP5" i="3"/>
  <c r="EB5" i="3"/>
  <c r="ED5" i="3"/>
  <c r="EE5" i="3"/>
  <c r="EF5" i="3"/>
  <c r="EG5" i="3"/>
  <c r="EK5" i="3"/>
  <c r="EL5" i="3"/>
  <c r="EM5" i="3"/>
  <c r="EQ5" i="3"/>
  <c r="ER5" i="3"/>
  <c r="ES5" i="3"/>
  <c r="ET5" i="3"/>
  <c r="EX5" i="3"/>
  <c r="EZ5" i="3"/>
  <c r="FA5" i="3"/>
  <c r="FB5" i="3"/>
  <c r="FD5" i="3"/>
  <c r="AF6" i="3"/>
  <c r="AM6" i="3"/>
  <c r="AG6" i="3"/>
  <c r="DM6" i="3"/>
  <c r="CJ6" i="3"/>
  <c r="CW6" i="3"/>
  <c r="CX6" i="3"/>
  <c r="CY6" i="3"/>
  <c r="CZ6" i="3"/>
  <c r="DA6" i="3"/>
  <c r="DC6" i="3"/>
  <c r="DD6" i="3"/>
  <c r="DE6" i="3"/>
  <c r="DF6" i="3"/>
  <c r="DG6" i="3"/>
  <c r="DH6" i="3"/>
  <c r="DI6" i="3"/>
  <c r="DL6" i="3"/>
  <c r="DN6" i="3"/>
  <c r="DP6" i="3"/>
  <c r="EB6" i="3"/>
  <c r="ED6" i="3"/>
  <c r="EE6" i="3"/>
  <c r="EF6" i="3"/>
  <c r="EG6" i="3"/>
  <c r="EK6" i="3"/>
  <c r="EL6" i="3"/>
  <c r="EM6" i="3"/>
  <c r="EQ6" i="3"/>
  <c r="ER6" i="3"/>
  <c r="ES6" i="3"/>
  <c r="ET6" i="3"/>
  <c r="EX6" i="3"/>
  <c r="EZ6" i="3"/>
  <c r="FA6" i="3"/>
  <c r="FB6" i="3"/>
  <c r="FD6" i="3"/>
  <c r="AF7" i="3"/>
  <c r="AM7" i="3"/>
  <c r="CJ7" i="3"/>
  <c r="CW7" i="3"/>
  <c r="CX7" i="3"/>
  <c r="CY7" i="3"/>
  <c r="CZ7" i="3"/>
  <c r="EH7" i="3"/>
  <c r="DC7" i="3"/>
  <c r="DD7" i="3"/>
  <c r="DE7" i="3"/>
  <c r="DF7" i="3"/>
  <c r="DG7" i="3"/>
  <c r="DH7" i="3"/>
  <c r="DI7" i="3"/>
  <c r="DL7" i="3"/>
  <c r="DN7" i="3"/>
  <c r="DP7" i="3"/>
  <c r="EB7" i="3"/>
  <c r="ED7" i="3"/>
  <c r="EE7" i="3"/>
  <c r="EF7" i="3"/>
  <c r="EG7" i="3"/>
  <c r="EK7" i="3"/>
  <c r="EL7" i="3"/>
  <c r="EM7" i="3"/>
  <c r="EQ7" i="3"/>
  <c r="ER7" i="3"/>
  <c r="ES7" i="3"/>
  <c r="ET7" i="3"/>
  <c r="EX7" i="3"/>
  <c r="EZ7" i="3"/>
  <c r="FA7" i="3"/>
  <c r="FB7" i="3"/>
  <c r="FD7" i="3"/>
  <c r="AF8" i="3"/>
  <c r="AM8" i="3"/>
  <c r="AG8" i="3"/>
  <c r="DM8" i="3"/>
  <c r="CJ8" i="3"/>
  <c r="CW8" i="3"/>
  <c r="CX8" i="3"/>
  <c r="CY8" i="3"/>
  <c r="CZ8" i="3"/>
  <c r="DA8" i="3"/>
  <c r="DC8" i="3"/>
  <c r="DD8" i="3"/>
  <c r="DE8" i="3"/>
  <c r="DF8" i="3"/>
  <c r="DG8" i="3"/>
  <c r="DH8" i="3"/>
  <c r="DI8" i="3"/>
  <c r="DL8" i="3"/>
  <c r="DN8" i="3"/>
  <c r="DP8" i="3"/>
  <c r="EB8" i="3"/>
  <c r="ED8" i="3"/>
  <c r="EE8" i="3"/>
  <c r="EF8" i="3"/>
  <c r="EG8" i="3"/>
  <c r="EK8" i="3"/>
  <c r="EL8" i="3"/>
  <c r="EM8" i="3"/>
  <c r="EQ8" i="3"/>
  <c r="ER8" i="3"/>
  <c r="ES8" i="3"/>
  <c r="ET8" i="3"/>
  <c r="EX8" i="3"/>
  <c r="EZ8" i="3"/>
  <c r="FA8" i="3"/>
  <c r="FB8" i="3"/>
  <c r="FD8" i="3"/>
  <c r="AF9" i="3"/>
  <c r="AM9" i="3"/>
  <c r="DO9" i="3"/>
  <c r="CJ9" i="3"/>
  <c r="CW9" i="3"/>
  <c r="CX9" i="3"/>
  <c r="CY9" i="3"/>
  <c r="CZ9" i="3"/>
  <c r="EH9" i="3"/>
  <c r="DC9" i="3"/>
  <c r="DD9" i="3"/>
  <c r="DE9" i="3"/>
  <c r="DF9" i="3"/>
  <c r="DG9" i="3"/>
  <c r="DH9" i="3"/>
  <c r="DI9" i="3"/>
  <c r="DL9" i="3"/>
  <c r="DN9" i="3"/>
  <c r="DP9" i="3"/>
  <c r="EB9" i="3"/>
  <c r="ED9" i="3"/>
  <c r="EE9" i="3"/>
  <c r="EF9" i="3"/>
  <c r="EG9" i="3"/>
  <c r="EK9" i="3"/>
  <c r="EL9" i="3"/>
  <c r="EM9" i="3"/>
  <c r="EQ9" i="3"/>
  <c r="ER9" i="3"/>
  <c r="ES9" i="3"/>
  <c r="ET9" i="3"/>
  <c r="EX9" i="3"/>
  <c r="EZ9" i="3"/>
  <c r="FA9" i="3"/>
  <c r="FB9" i="3"/>
  <c r="FD9" i="3"/>
  <c r="AF10" i="3"/>
  <c r="AM10" i="3"/>
  <c r="DO10" i="3"/>
  <c r="CJ10" i="3"/>
  <c r="CW10" i="3"/>
  <c r="CX10" i="3"/>
  <c r="CY10" i="3"/>
  <c r="CZ10" i="3"/>
  <c r="DC10" i="3"/>
  <c r="DD10" i="3"/>
  <c r="DE10" i="3"/>
  <c r="DF10" i="3"/>
  <c r="DG10" i="3"/>
  <c r="DH10" i="3"/>
  <c r="DI10" i="3"/>
  <c r="DL10" i="3"/>
  <c r="DN10" i="3"/>
  <c r="DP10" i="3"/>
  <c r="EB10" i="3"/>
  <c r="ED10" i="3"/>
  <c r="EE10" i="3"/>
  <c r="EF10" i="3"/>
  <c r="EG10" i="3"/>
  <c r="EK10" i="3"/>
  <c r="EL10" i="3"/>
  <c r="EM10" i="3"/>
  <c r="EQ10" i="3"/>
  <c r="ER10" i="3"/>
  <c r="ES10" i="3"/>
  <c r="ET10" i="3"/>
  <c r="EX10" i="3"/>
  <c r="EZ10" i="3"/>
  <c r="FA10" i="3"/>
  <c r="FB10" i="3"/>
  <c r="FD10" i="3"/>
  <c r="AF11" i="3"/>
  <c r="AM11" i="3"/>
  <c r="DO11" i="3"/>
  <c r="CJ11" i="3"/>
  <c r="CW11" i="3"/>
  <c r="CX11" i="3"/>
  <c r="CY11" i="3"/>
  <c r="CZ11" i="3"/>
  <c r="DC11" i="3"/>
  <c r="DD11" i="3"/>
  <c r="DE11" i="3"/>
  <c r="DF11" i="3"/>
  <c r="DG11" i="3"/>
  <c r="DH11" i="3"/>
  <c r="DI11" i="3"/>
  <c r="DL11" i="3"/>
  <c r="DN11" i="3"/>
  <c r="DP11" i="3"/>
  <c r="EB11" i="3"/>
  <c r="ED11" i="3"/>
  <c r="EE11" i="3"/>
  <c r="EF11" i="3"/>
  <c r="EG11" i="3"/>
  <c r="EK11" i="3"/>
  <c r="EL11" i="3"/>
  <c r="EM11" i="3"/>
  <c r="EQ11" i="3"/>
  <c r="ER11" i="3"/>
  <c r="ES11" i="3"/>
  <c r="ET11" i="3"/>
  <c r="EX11" i="3"/>
  <c r="EZ11" i="3"/>
  <c r="FA11" i="3"/>
  <c r="FB11" i="3"/>
  <c r="FD11" i="3"/>
  <c r="AF12" i="3"/>
  <c r="AM12" i="3"/>
  <c r="AG12" i="3"/>
  <c r="DM12" i="3"/>
  <c r="CJ12" i="3"/>
  <c r="CW12" i="3"/>
  <c r="CX12" i="3"/>
  <c r="CY12" i="3"/>
  <c r="CZ12" i="3"/>
  <c r="DA12" i="3"/>
  <c r="DC12" i="3"/>
  <c r="DD12" i="3"/>
  <c r="DE12" i="3"/>
  <c r="DF12" i="3"/>
  <c r="DG12" i="3"/>
  <c r="DH12" i="3"/>
  <c r="DI12" i="3"/>
  <c r="DL12" i="3"/>
  <c r="DN12" i="3"/>
  <c r="DP12" i="3"/>
  <c r="EB12" i="3"/>
  <c r="ED12" i="3"/>
  <c r="EE12" i="3"/>
  <c r="EF12" i="3"/>
  <c r="EG12" i="3"/>
  <c r="EK12" i="3"/>
  <c r="EL12" i="3"/>
  <c r="EM12" i="3"/>
  <c r="EQ12" i="3"/>
  <c r="ER12" i="3"/>
  <c r="ES12" i="3"/>
  <c r="ET12" i="3"/>
  <c r="EX12" i="3"/>
  <c r="EZ12" i="3"/>
  <c r="FA12" i="3"/>
  <c r="FB12" i="3"/>
  <c r="FD12" i="3"/>
  <c r="B6" i="16"/>
  <c r="AF13" i="3"/>
  <c r="AM13" i="3"/>
  <c r="AG13" i="3"/>
  <c r="DM13" i="3"/>
  <c r="CJ13" i="3"/>
  <c r="CW13" i="3"/>
  <c r="CX13" i="3"/>
  <c r="CY13" i="3"/>
  <c r="CZ13" i="3"/>
  <c r="EH13" i="3"/>
  <c r="DC13" i="3"/>
  <c r="DD13" i="3"/>
  <c r="DE13" i="3"/>
  <c r="DF13" i="3"/>
  <c r="DG13" i="3"/>
  <c r="DH13" i="3"/>
  <c r="DI13" i="3"/>
  <c r="DL13" i="3"/>
  <c r="DN13" i="3"/>
  <c r="DP13" i="3"/>
  <c r="EB13" i="3"/>
  <c r="ED13" i="3"/>
  <c r="EE13" i="3"/>
  <c r="EF13" i="3"/>
  <c r="EG13" i="3"/>
  <c r="EK13" i="3"/>
  <c r="EL13" i="3"/>
  <c r="EM13" i="3"/>
  <c r="EQ13" i="3"/>
  <c r="ER13" i="3"/>
  <c r="ES13" i="3"/>
  <c r="ET13" i="3"/>
  <c r="EX13" i="3"/>
  <c r="EZ13" i="3"/>
  <c r="FA13" i="3"/>
  <c r="FB13" i="3"/>
  <c r="FD13" i="3"/>
  <c r="AF14" i="3"/>
  <c r="AM14" i="3"/>
  <c r="DO14" i="3"/>
  <c r="CJ14" i="3"/>
  <c r="CW14" i="3"/>
  <c r="CX14" i="3"/>
  <c r="CY14" i="3"/>
  <c r="CZ14" i="3"/>
  <c r="DA14" i="3"/>
  <c r="DC14" i="3"/>
  <c r="DD14" i="3"/>
  <c r="DE14" i="3"/>
  <c r="DF14" i="3"/>
  <c r="DG14" i="3"/>
  <c r="DH14" i="3"/>
  <c r="DI14" i="3"/>
  <c r="DL14" i="3"/>
  <c r="DN14" i="3"/>
  <c r="DP14" i="3"/>
  <c r="EB14" i="3"/>
  <c r="ED14" i="3"/>
  <c r="EE14" i="3"/>
  <c r="EF14" i="3"/>
  <c r="EG14" i="3"/>
  <c r="EK14" i="3"/>
  <c r="EL14" i="3"/>
  <c r="EM14" i="3"/>
  <c r="EQ14" i="3"/>
  <c r="ER14" i="3"/>
  <c r="ES14" i="3"/>
  <c r="ET14" i="3"/>
  <c r="EX14" i="3"/>
  <c r="EZ14" i="3"/>
  <c r="FA14" i="3"/>
  <c r="FB14" i="3"/>
  <c r="FD14" i="3"/>
  <c r="AF15" i="3"/>
  <c r="AM15" i="3"/>
  <c r="CJ15" i="3"/>
  <c r="CW15" i="3"/>
  <c r="CX15" i="3"/>
  <c r="CY15" i="3"/>
  <c r="CZ15" i="3"/>
  <c r="EH15" i="3"/>
  <c r="DC15" i="3"/>
  <c r="DD15" i="3"/>
  <c r="DE15" i="3"/>
  <c r="DF15" i="3"/>
  <c r="DG15" i="3"/>
  <c r="DH15" i="3"/>
  <c r="DI15" i="3"/>
  <c r="DL15" i="3"/>
  <c r="DN15" i="3"/>
  <c r="DP15" i="3"/>
  <c r="EB15" i="3"/>
  <c r="ED15" i="3"/>
  <c r="EE15" i="3"/>
  <c r="EF15" i="3"/>
  <c r="EG15" i="3"/>
  <c r="EK15" i="3"/>
  <c r="EL15" i="3"/>
  <c r="EM15" i="3"/>
  <c r="EQ15" i="3"/>
  <c r="ER15" i="3"/>
  <c r="ES15" i="3"/>
  <c r="ET15" i="3"/>
  <c r="EX15" i="3"/>
  <c r="EZ15" i="3"/>
  <c r="FA15" i="3"/>
  <c r="FB15" i="3"/>
  <c r="FD15" i="3"/>
  <c r="AF16" i="3"/>
  <c r="AM16" i="3"/>
  <c r="DO16" i="3"/>
  <c r="CJ16" i="3"/>
  <c r="CW16" i="3"/>
  <c r="CX16" i="3"/>
  <c r="CY16" i="3"/>
  <c r="CZ16" i="3"/>
  <c r="DC16" i="3"/>
  <c r="DD16" i="3"/>
  <c r="DE16" i="3"/>
  <c r="DF16" i="3"/>
  <c r="DG16" i="3"/>
  <c r="DH16" i="3"/>
  <c r="DI16" i="3"/>
  <c r="DL16" i="3"/>
  <c r="DN16" i="3"/>
  <c r="DP16" i="3"/>
  <c r="EB16" i="3"/>
  <c r="ED16" i="3"/>
  <c r="EE16" i="3"/>
  <c r="EF16" i="3"/>
  <c r="EG16" i="3"/>
  <c r="EK16" i="3"/>
  <c r="EL16" i="3"/>
  <c r="EM16" i="3"/>
  <c r="EQ16" i="3"/>
  <c r="ER16" i="3"/>
  <c r="ES16" i="3"/>
  <c r="ET16" i="3"/>
  <c r="EX16" i="3"/>
  <c r="EZ16" i="3"/>
  <c r="FA16" i="3"/>
  <c r="FB16" i="3"/>
  <c r="FD16" i="3"/>
  <c r="AF17" i="3"/>
  <c r="AM17" i="3"/>
  <c r="CJ17" i="3"/>
  <c r="CW17" i="3"/>
  <c r="CX17" i="3"/>
  <c r="CY17" i="3"/>
  <c r="CZ17" i="3"/>
  <c r="EH17" i="3"/>
  <c r="DC17" i="3"/>
  <c r="DD17" i="3"/>
  <c r="DE17" i="3"/>
  <c r="DF17" i="3"/>
  <c r="DG17" i="3"/>
  <c r="DH17" i="3"/>
  <c r="DI17" i="3"/>
  <c r="DL17" i="3"/>
  <c r="DN17" i="3"/>
  <c r="DP17" i="3"/>
  <c r="EB17" i="3"/>
  <c r="ED17" i="3"/>
  <c r="EE17" i="3"/>
  <c r="EF17" i="3"/>
  <c r="EG17" i="3"/>
  <c r="EK17" i="3"/>
  <c r="EL17" i="3"/>
  <c r="EM17" i="3"/>
  <c r="EQ17" i="3"/>
  <c r="ER17" i="3"/>
  <c r="ES17" i="3"/>
  <c r="ET17" i="3"/>
  <c r="EX17" i="3"/>
  <c r="EZ17" i="3"/>
  <c r="FA17" i="3"/>
  <c r="FB17" i="3"/>
  <c r="FD17" i="3"/>
  <c r="AF18" i="3"/>
  <c r="AM18" i="3"/>
  <c r="DO18" i="3"/>
  <c r="CJ18" i="3"/>
  <c r="CW18" i="3"/>
  <c r="CX18" i="3"/>
  <c r="CY18" i="3"/>
  <c r="CZ18" i="3"/>
  <c r="DA18" i="3"/>
  <c r="DC18" i="3"/>
  <c r="DD18" i="3"/>
  <c r="DE18" i="3"/>
  <c r="DF18" i="3"/>
  <c r="DG18" i="3"/>
  <c r="DH18" i="3"/>
  <c r="DI18" i="3"/>
  <c r="DL18" i="3"/>
  <c r="DN18" i="3"/>
  <c r="DP18" i="3"/>
  <c r="EB18" i="3"/>
  <c r="ED18" i="3"/>
  <c r="EE18" i="3"/>
  <c r="EF18" i="3"/>
  <c r="EG18" i="3"/>
  <c r="EK18" i="3"/>
  <c r="EL18" i="3"/>
  <c r="EM18" i="3"/>
  <c r="EQ18" i="3"/>
  <c r="ER18" i="3"/>
  <c r="ES18" i="3"/>
  <c r="ET18" i="3"/>
  <c r="EX18" i="3"/>
  <c r="EZ18" i="3"/>
  <c r="FA18" i="3"/>
  <c r="FB18" i="3"/>
  <c r="FD18" i="3"/>
  <c r="AF19" i="3"/>
  <c r="AM19" i="3"/>
  <c r="DO19" i="3"/>
  <c r="CJ19" i="3"/>
  <c r="CW19" i="3"/>
  <c r="CX19" i="3"/>
  <c r="CY19" i="3"/>
  <c r="CZ19" i="3"/>
  <c r="DC19" i="3"/>
  <c r="DD19" i="3"/>
  <c r="DE19" i="3"/>
  <c r="DF19" i="3"/>
  <c r="DG19" i="3"/>
  <c r="DH19" i="3"/>
  <c r="DI19" i="3"/>
  <c r="DL19" i="3"/>
  <c r="DN19" i="3"/>
  <c r="DP19" i="3"/>
  <c r="EB19" i="3"/>
  <c r="ED19" i="3"/>
  <c r="EE19" i="3"/>
  <c r="EF19" i="3"/>
  <c r="EG19" i="3"/>
  <c r="EK19" i="3"/>
  <c r="EL19" i="3"/>
  <c r="EM19" i="3"/>
  <c r="EQ19" i="3"/>
  <c r="ER19" i="3"/>
  <c r="ES19" i="3"/>
  <c r="ET19" i="3"/>
  <c r="EX19" i="3"/>
  <c r="EZ19" i="3"/>
  <c r="FA19" i="3"/>
  <c r="FB19" i="3"/>
  <c r="FD19" i="3"/>
  <c r="AF20" i="3"/>
  <c r="AM20" i="3"/>
  <c r="CJ20" i="3"/>
  <c r="CW20" i="3"/>
  <c r="CX20" i="3"/>
  <c r="CY20" i="3"/>
  <c r="CZ20" i="3"/>
  <c r="DC20" i="3"/>
  <c r="DD20" i="3"/>
  <c r="DE20" i="3"/>
  <c r="DF20" i="3"/>
  <c r="DG20" i="3"/>
  <c r="DH20" i="3"/>
  <c r="DI20" i="3"/>
  <c r="DL20" i="3"/>
  <c r="DN20" i="3"/>
  <c r="DP20" i="3"/>
  <c r="EB20" i="3"/>
  <c r="ED20" i="3"/>
  <c r="EE20" i="3"/>
  <c r="EF20" i="3"/>
  <c r="EG20" i="3"/>
  <c r="EK20" i="3"/>
  <c r="EL20" i="3"/>
  <c r="EM20" i="3"/>
  <c r="EQ20" i="3"/>
  <c r="ER20" i="3"/>
  <c r="ES20" i="3"/>
  <c r="ET20" i="3"/>
  <c r="EX20" i="3"/>
  <c r="EZ20" i="3"/>
  <c r="FA20" i="3"/>
  <c r="FB20" i="3"/>
  <c r="FD20" i="3"/>
  <c r="AF21" i="3"/>
  <c r="AM21" i="3"/>
  <c r="CW21" i="3"/>
  <c r="CX21" i="3"/>
  <c r="CY21" i="3"/>
  <c r="CZ21" i="3"/>
  <c r="DA21" i="3"/>
  <c r="DC21" i="3"/>
  <c r="DD21" i="3"/>
  <c r="DE21" i="3"/>
  <c r="DF21" i="3"/>
  <c r="DG21" i="3"/>
  <c r="DH21" i="3"/>
  <c r="DI21" i="3"/>
  <c r="DL21" i="3"/>
  <c r="DN21" i="3"/>
  <c r="DP21" i="3"/>
  <c r="EB21" i="3"/>
  <c r="ED21" i="3"/>
  <c r="EE21" i="3"/>
  <c r="EF21" i="3"/>
  <c r="EG21" i="3"/>
  <c r="EK21" i="3"/>
  <c r="EL21" i="3"/>
  <c r="EM21" i="3"/>
  <c r="EQ21" i="3"/>
  <c r="ER21" i="3"/>
  <c r="ES21" i="3"/>
  <c r="ET21" i="3"/>
  <c r="EX21" i="3"/>
  <c r="EZ21" i="3"/>
  <c r="FA21" i="3"/>
  <c r="FB21" i="3"/>
  <c r="FD21" i="3"/>
  <c r="AF22" i="3"/>
  <c r="AM22" i="3"/>
  <c r="CJ22" i="3"/>
  <c r="CW22" i="3"/>
  <c r="CX22" i="3"/>
  <c r="CY22" i="3"/>
  <c r="CZ22" i="3"/>
  <c r="DA22" i="3"/>
  <c r="DC22" i="3"/>
  <c r="DD22" i="3"/>
  <c r="DE22" i="3"/>
  <c r="DF22" i="3"/>
  <c r="DG22" i="3"/>
  <c r="DH22" i="3"/>
  <c r="DI22" i="3"/>
  <c r="DL22" i="3"/>
  <c r="DN22" i="3"/>
  <c r="DP22" i="3"/>
  <c r="EB22" i="3"/>
  <c r="ED22" i="3"/>
  <c r="EE22" i="3"/>
  <c r="EF22" i="3"/>
  <c r="EG22" i="3"/>
  <c r="EK22" i="3"/>
  <c r="EL22" i="3"/>
  <c r="EM22" i="3"/>
  <c r="EQ22" i="3"/>
  <c r="ER22" i="3"/>
  <c r="ES22" i="3"/>
  <c r="ET22" i="3"/>
  <c r="EX22" i="3"/>
  <c r="EZ22" i="3"/>
  <c r="FA22" i="3"/>
  <c r="FB22" i="3"/>
  <c r="FD22" i="3"/>
  <c r="AF23" i="3"/>
  <c r="AM23" i="3"/>
  <c r="CJ23" i="3"/>
  <c r="CW23" i="3"/>
  <c r="CX23" i="3"/>
  <c r="CY23" i="3"/>
  <c r="CZ23" i="3"/>
  <c r="EH23" i="3"/>
  <c r="DC23" i="3"/>
  <c r="DD23" i="3"/>
  <c r="DE23" i="3"/>
  <c r="DF23" i="3"/>
  <c r="DG23" i="3"/>
  <c r="DH23" i="3"/>
  <c r="DI23" i="3"/>
  <c r="DL23" i="3"/>
  <c r="DN23" i="3"/>
  <c r="DP23" i="3"/>
  <c r="EB23" i="3"/>
  <c r="ED23" i="3"/>
  <c r="EE23" i="3"/>
  <c r="EF23" i="3"/>
  <c r="EG23" i="3"/>
  <c r="EK23" i="3"/>
  <c r="EL23" i="3"/>
  <c r="EM23" i="3"/>
  <c r="EQ23" i="3"/>
  <c r="ER23" i="3"/>
  <c r="ES23" i="3"/>
  <c r="ET23" i="3"/>
  <c r="EX23" i="3"/>
  <c r="EZ23" i="3"/>
  <c r="FA23" i="3"/>
  <c r="FB23" i="3"/>
  <c r="FD23" i="3"/>
  <c r="AF24" i="3"/>
  <c r="AM24" i="3"/>
  <c r="CJ24" i="3"/>
  <c r="CW24" i="3"/>
  <c r="CX24" i="3"/>
  <c r="CY24" i="3"/>
  <c r="CZ24" i="3"/>
  <c r="EH24" i="3"/>
  <c r="DC24" i="3"/>
  <c r="DD24" i="3"/>
  <c r="DE24" i="3"/>
  <c r="DF24" i="3"/>
  <c r="DG24" i="3"/>
  <c r="DH24" i="3"/>
  <c r="DI24" i="3"/>
  <c r="DL24" i="3"/>
  <c r="DN24" i="3"/>
  <c r="DP24" i="3"/>
  <c r="EB24" i="3"/>
  <c r="ED24" i="3"/>
  <c r="EE24" i="3"/>
  <c r="EF24" i="3"/>
  <c r="EG24" i="3"/>
  <c r="EK24" i="3"/>
  <c r="EL24" i="3"/>
  <c r="EM24" i="3"/>
  <c r="EQ24" i="3"/>
  <c r="ER24" i="3"/>
  <c r="ES24" i="3"/>
  <c r="ET24" i="3"/>
  <c r="EX24" i="3"/>
  <c r="EZ24" i="3"/>
  <c r="FA24" i="3"/>
  <c r="FB24" i="3"/>
  <c r="FD24" i="3"/>
  <c r="AF25" i="3"/>
  <c r="AM25" i="3"/>
  <c r="CJ25" i="3"/>
  <c r="CW25" i="3"/>
  <c r="CX25" i="3"/>
  <c r="CY25" i="3"/>
  <c r="CZ25" i="3"/>
  <c r="DC25" i="3"/>
  <c r="DD25" i="3"/>
  <c r="DE25" i="3"/>
  <c r="DF25" i="3"/>
  <c r="DG25" i="3"/>
  <c r="DH25" i="3"/>
  <c r="DI25" i="3"/>
  <c r="DL25" i="3"/>
  <c r="DN25" i="3"/>
  <c r="DP25" i="3"/>
  <c r="EB25" i="3"/>
  <c r="ED25" i="3"/>
  <c r="EE25" i="3"/>
  <c r="EF25" i="3"/>
  <c r="EG25" i="3"/>
  <c r="EK25" i="3"/>
  <c r="EL25" i="3"/>
  <c r="EM25" i="3"/>
  <c r="EQ25" i="3"/>
  <c r="ER25" i="3"/>
  <c r="ES25" i="3"/>
  <c r="ET25" i="3"/>
  <c r="EX25" i="3"/>
  <c r="EZ25" i="3"/>
  <c r="FA25" i="3"/>
  <c r="FB25" i="3"/>
  <c r="FD25" i="3"/>
  <c r="AF26" i="3"/>
  <c r="AM26" i="3"/>
  <c r="AG26" i="3"/>
  <c r="DM26" i="3"/>
  <c r="CJ26" i="3"/>
  <c r="CW26" i="3"/>
  <c r="CX26" i="3"/>
  <c r="CY26" i="3"/>
  <c r="CZ26" i="3"/>
  <c r="EH26" i="3"/>
  <c r="DC26" i="3"/>
  <c r="DD26" i="3"/>
  <c r="DE26" i="3"/>
  <c r="DF26" i="3"/>
  <c r="DG26" i="3"/>
  <c r="DH26" i="3"/>
  <c r="DI26" i="3"/>
  <c r="DL26" i="3"/>
  <c r="DN26" i="3"/>
  <c r="DP26" i="3"/>
  <c r="EB26" i="3"/>
  <c r="ED26" i="3"/>
  <c r="EE26" i="3"/>
  <c r="EF26" i="3"/>
  <c r="EG26" i="3"/>
  <c r="EK26" i="3"/>
  <c r="EL26" i="3"/>
  <c r="EM26" i="3"/>
  <c r="EQ26" i="3"/>
  <c r="ER26" i="3"/>
  <c r="ES26" i="3"/>
  <c r="ET26" i="3"/>
  <c r="EX26" i="3"/>
  <c r="EZ26" i="3"/>
  <c r="FA26" i="3"/>
  <c r="FB26" i="3"/>
  <c r="FD26" i="3"/>
  <c r="AF27" i="3"/>
  <c r="AM27" i="3"/>
  <c r="DO27" i="3"/>
  <c r="CJ27" i="3"/>
  <c r="CW27" i="3"/>
  <c r="CX27" i="3"/>
  <c r="CY27" i="3"/>
  <c r="CZ27" i="3"/>
  <c r="DA27" i="3"/>
  <c r="DC27" i="3"/>
  <c r="DD27" i="3"/>
  <c r="DE27" i="3"/>
  <c r="DF27" i="3"/>
  <c r="DG27" i="3"/>
  <c r="DH27" i="3"/>
  <c r="DI27" i="3"/>
  <c r="DL27" i="3"/>
  <c r="DN27" i="3"/>
  <c r="DP27" i="3"/>
  <c r="EB27" i="3"/>
  <c r="ED27" i="3"/>
  <c r="EE27" i="3"/>
  <c r="EF27" i="3"/>
  <c r="EG27" i="3"/>
  <c r="EK27" i="3"/>
  <c r="EL27" i="3"/>
  <c r="EM27" i="3"/>
  <c r="EQ27" i="3"/>
  <c r="ER27" i="3"/>
  <c r="ES27" i="3"/>
  <c r="ET27" i="3"/>
  <c r="EX27" i="3"/>
  <c r="EZ27" i="3"/>
  <c r="FA27" i="3"/>
  <c r="FB27" i="3"/>
  <c r="FD27" i="3"/>
  <c r="AF28" i="3"/>
  <c r="AM28" i="3"/>
  <c r="CJ28" i="3"/>
  <c r="CW28" i="3"/>
  <c r="CX28" i="3"/>
  <c r="CY28" i="3"/>
  <c r="CZ28" i="3"/>
  <c r="DC28" i="3"/>
  <c r="DD28" i="3"/>
  <c r="DE28" i="3"/>
  <c r="DF28" i="3"/>
  <c r="DG28" i="3"/>
  <c r="DH28" i="3"/>
  <c r="DI28" i="3"/>
  <c r="DL28" i="3"/>
  <c r="DN28" i="3"/>
  <c r="DP28" i="3"/>
  <c r="EB28" i="3"/>
  <c r="ED28" i="3"/>
  <c r="EE28" i="3"/>
  <c r="EF28" i="3"/>
  <c r="EG28" i="3"/>
  <c r="EK28" i="3"/>
  <c r="EL28" i="3"/>
  <c r="EM28" i="3"/>
  <c r="EQ28" i="3"/>
  <c r="ER28" i="3"/>
  <c r="ES28" i="3"/>
  <c r="ET28" i="3"/>
  <c r="EX28" i="3"/>
  <c r="EZ28" i="3"/>
  <c r="FA28" i="3"/>
  <c r="FB28" i="3"/>
  <c r="FD28" i="3"/>
  <c r="AF29" i="3"/>
  <c r="AM29" i="3"/>
  <c r="CJ29" i="3"/>
  <c r="CW29" i="3"/>
  <c r="CX29" i="3"/>
  <c r="CY29" i="3"/>
  <c r="CZ29" i="3"/>
  <c r="DC29" i="3"/>
  <c r="DD29" i="3"/>
  <c r="DE29" i="3"/>
  <c r="DF29" i="3"/>
  <c r="DG29" i="3"/>
  <c r="DH29" i="3"/>
  <c r="DI29" i="3"/>
  <c r="DL29" i="3"/>
  <c r="DN29" i="3"/>
  <c r="DP29" i="3"/>
  <c r="EB29" i="3"/>
  <c r="ED29" i="3"/>
  <c r="EE29" i="3"/>
  <c r="EF29" i="3"/>
  <c r="EG29" i="3"/>
  <c r="EK29" i="3"/>
  <c r="EL29" i="3"/>
  <c r="EM29" i="3"/>
  <c r="EQ29" i="3"/>
  <c r="ER29" i="3"/>
  <c r="ES29" i="3"/>
  <c r="ET29" i="3"/>
  <c r="EX29" i="3"/>
  <c r="EZ29" i="3"/>
  <c r="FA29" i="3"/>
  <c r="FB29" i="3"/>
  <c r="FD29" i="3"/>
  <c r="AF30" i="3"/>
  <c r="AM30" i="3"/>
  <c r="AG30" i="3"/>
  <c r="DM30" i="3"/>
  <c r="CJ30" i="3"/>
  <c r="CW30" i="3"/>
  <c r="CX30" i="3"/>
  <c r="CY30" i="3"/>
  <c r="CZ30" i="3"/>
  <c r="DC30" i="3"/>
  <c r="DD30" i="3"/>
  <c r="DE30" i="3"/>
  <c r="DF30" i="3"/>
  <c r="DG30" i="3"/>
  <c r="DH30" i="3"/>
  <c r="DI30" i="3"/>
  <c r="DL30" i="3"/>
  <c r="DN30" i="3"/>
  <c r="DP30" i="3"/>
  <c r="EB30" i="3"/>
  <c r="ED30" i="3"/>
  <c r="EE30" i="3"/>
  <c r="EF30" i="3"/>
  <c r="EG30" i="3"/>
  <c r="EK30" i="3"/>
  <c r="EL30" i="3"/>
  <c r="EM30" i="3"/>
  <c r="EQ30" i="3"/>
  <c r="ER30" i="3"/>
  <c r="ES30" i="3"/>
  <c r="ET30" i="3"/>
  <c r="EX30" i="3"/>
  <c r="EZ30" i="3"/>
  <c r="FA30" i="3"/>
  <c r="FB30" i="3"/>
  <c r="FD30" i="3"/>
  <c r="AF31" i="3"/>
  <c r="AM31" i="3"/>
  <c r="DO31" i="3"/>
  <c r="CJ31" i="3"/>
  <c r="CW31" i="3"/>
  <c r="CX31" i="3"/>
  <c r="CY31" i="3"/>
  <c r="CZ31" i="3"/>
  <c r="DC31" i="3"/>
  <c r="DD31" i="3"/>
  <c r="DE31" i="3"/>
  <c r="DF31" i="3"/>
  <c r="DG31" i="3"/>
  <c r="DH31" i="3"/>
  <c r="DI31" i="3"/>
  <c r="DL31" i="3"/>
  <c r="DN31" i="3"/>
  <c r="DP31" i="3"/>
  <c r="EB31" i="3"/>
  <c r="ED31" i="3"/>
  <c r="EE31" i="3"/>
  <c r="EF31" i="3"/>
  <c r="EG31" i="3"/>
  <c r="EK31" i="3"/>
  <c r="EL31" i="3"/>
  <c r="EM31" i="3"/>
  <c r="EQ31" i="3"/>
  <c r="ER31" i="3"/>
  <c r="ES31" i="3"/>
  <c r="ET31" i="3"/>
  <c r="EX31" i="3"/>
  <c r="EZ31" i="3"/>
  <c r="FA31" i="3"/>
  <c r="FB31" i="3"/>
  <c r="FD31" i="3"/>
  <c r="AF32" i="3"/>
  <c r="AM32" i="3"/>
  <c r="AG32" i="3"/>
  <c r="DM32" i="3"/>
  <c r="CJ32" i="3"/>
  <c r="CW32" i="3"/>
  <c r="CX32" i="3"/>
  <c r="CY32" i="3"/>
  <c r="CZ32" i="3"/>
  <c r="DA32" i="3"/>
  <c r="DC32" i="3"/>
  <c r="DD32" i="3"/>
  <c r="DE32" i="3"/>
  <c r="DF32" i="3"/>
  <c r="DG32" i="3"/>
  <c r="DH32" i="3"/>
  <c r="DI32" i="3"/>
  <c r="DL32" i="3"/>
  <c r="DN32" i="3"/>
  <c r="DP32" i="3"/>
  <c r="EB32" i="3"/>
  <c r="ED32" i="3"/>
  <c r="EE32" i="3"/>
  <c r="EF32" i="3"/>
  <c r="EG32" i="3"/>
  <c r="EK32" i="3"/>
  <c r="EL32" i="3"/>
  <c r="EM32" i="3"/>
  <c r="EQ32" i="3"/>
  <c r="ER32" i="3"/>
  <c r="ES32" i="3"/>
  <c r="ET32" i="3"/>
  <c r="EX32" i="3"/>
  <c r="EZ32" i="3"/>
  <c r="FA32" i="3"/>
  <c r="FB32" i="3"/>
  <c r="FD32" i="3"/>
  <c r="AF33" i="3"/>
  <c r="AM33" i="3"/>
  <c r="DO33" i="3"/>
  <c r="CJ33" i="3"/>
  <c r="CW33" i="3"/>
  <c r="CX33" i="3"/>
  <c r="CY33" i="3"/>
  <c r="CZ33" i="3"/>
  <c r="DA33" i="3"/>
  <c r="DC33" i="3"/>
  <c r="DD33" i="3"/>
  <c r="DE33" i="3"/>
  <c r="DF33" i="3"/>
  <c r="DG33" i="3"/>
  <c r="DH33" i="3"/>
  <c r="DI33" i="3"/>
  <c r="DL33" i="3"/>
  <c r="DN33" i="3"/>
  <c r="DP33" i="3"/>
  <c r="EB33" i="3"/>
  <c r="ED33" i="3"/>
  <c r="EE33" i="3"/>
  <c r="EF33" i="3"/>
  <c r="EG33" i="3"/>
  <c r="EK33" i="3"/>
  <c r="EL33" i="3"/>
  <c r="EM33" i="3"/>
  <c r="EQ33" i="3"/>
  <c r="ER33" i="3"/>
  <c r="ES33" i="3"/>
  <c r="ET33" i="3"/>
  <c r="EX33" i="3"/>
  <c r="EZ33" i="3"/>
  <c r="FA33" i="3"/>
  <c r="FB33" i="3"/>
  <c r="FD33" i="3"/>
  <c r="AF34" i="3"/>
  <c r="AM34" i="3"/>
  <c r="AG34" i="3"/>
  <c r="DM34" i="3"/>
  <c r="CJ34" i="3"/>
  <c r="CW34" i="3"/>
  <c r="CX34" i="3"/>
  <c r="CY34" i="3"/>
  <c r="CZ34" i="3"/>
  <c r="DC34" i="3"/>
  <c r="DD34" i="3"/>
  <c r="DE34" i="3"/>
  <c r="DF34" i="3"/>
  <c r="DG34" i="3"/>
  <c r="DH34" i="3"/>
  <c r="DI34" i="3"/>
  <c r="DL34" i="3"/>
  <c r="DN34" i="3"/>
  <c r="DP34" i="3"/>
  <c r="EB34" i="3"/>
  <c r="ED34" i="3"/>
  <c r="EE34" i="3"/>
  <c r="EF34" i="3"/>
  <c r="EG34" i="3"/>
  <c r="EK34" i="3"/>
  <c r="EL34" i="3"/>
  <c r="EM34" i="3"/>
  <c r="EQ34" i="3"/>
  <c r="ER34" i="3"/>
  <c r="ES34" i="3"/>
  <c r="ET34" i="3"/>
  <c r="EX34" i="3"/>
  <c r="EZ34" i="3"/>
  <c r="FA34" i="3"/>
  <c r="FB34" i="3"/>
  <c r="FD34" i="3"/>
  <c r="AF35" i="3"/>
  <c r="AM35" i="3"/>
  <c r="CJ35" i="3"/>
  <c r="CW35" i="3"/>
  <c r="CX35" i="3"/>
  <c r="CY35" i="3"/>
  <c r="CZ35" i="3"/>
  <c r="DA35" i="3"/>
  <c r="DC35" i="3"/>
  <c r="DD35" i="3"/>
  <c r="DE35" i="3"/>
  <c r="DF35" i="3"/>
  <c r="DG35" i="3"/>
  <c r="DH35" i="3"/>
  <c r="DI35" i="3"/>
  <c r="DL35" i="3"/>
  <c r="DN35" i="3"/>
  <c r="DP35" i="3"/>
  <c r="EB35" i="3"/>
  <c r="ED35" i="3"/>
  <c r="EE35" i="3"/>
  <c r="EF35" i="3"/>
  <c r="EG35" i="3"/>
  <c r="EK35" i="3"/>
  <c r="EL35" i="3"/>
  <c r="EM35" i="3"/>
  <c r="EQ35" i="3"/>
  <c r="ER35" i="3"/>
  <c r="ES35" i="3"/>
  <c r="ET35" i="3"/>
  <c r="EX35" i="3"/>
  <c r="EZ35" i="3"/>
  <c r="FA35" i="3"/>
  <c r="FB35" i="3"/>
  <c r="FD35" i="3"/>
  <c r="AF36" i="3"/>
  <c r="AM36" i="3"/>
  <c r="AG36" i="3"/>
  <c r="DM36" i="3"/>
  <c r="CJ36" i="3"/>
  <c r="CW36" i="3"/>
  <c r="CX36" i="3"/>
  <c r="CY36" i="3"/>
  <c r="CZ36" i="3"/>
  <c r="EH36" i="3"/>
  <c r="DC36" i="3"/>
  <c r="DD36" i="3"/>
  <c r="DE36" i="3"/>
  <c r="DF36" i="3"/>
  <c r="DG36" i="3"/>
  <c r="DH36" i="3"/>
  <c r="DI36" i="3"/>
  <c r="DL36" i="3"/>
  <c r="DN36" i="3"/>
  <c r="DP36" i="3"/>
  <c r="EB36" i="3"/>
  <c r="ED36" i="3"/>
  <c r="EE36" i="3"/>
  <c r="EF36" i="3"/>
  <c r="EG36" i="3"/>
  <c r="EK36" i="3"/>
  <c r="EL36" i="3"/>
  <c r="EM36" i="3"/>
  <c r="EQ36" i="3"/>
  <c r="ER36" i="3"/>
  <c r="ES36" i="3"/>
  <c r="ET36" i="3"/>
  <c r="EX36" i="3"/>
  <c r="EZ36" i="3"/>
  <c r="FA36" i="3"/>
  <c r="FB36" i="3"/>
  <c r="FD36" i="3"/>
  <c r="AF37" i="3"/>
  <c r="AM37" i="3"/>
  <c r="DO37" i="3"/>
  <c r="CJ37" i="3"/>
  <c r="CW37" i="3"/>
  <c r="CX37" i="3"/>
  <c r="CY37" i="3"/>
  <c r="CZ37" i="3"/>
  <c r="DC37" i="3"/>
  <c r="DD37" i="3"/>
  <c r="DE37" i="3"/>
  <c r="DF37" i="3"/>
  <c r="DG37" i="3"/>
  <c r="DH37" i="3"/>
  <c r="DI37" i="3"/>
  <c r="DL37" i="3"/>
  <c r="DN37" i="3"/>
  <c r="DP37" i="3"/>
  <c r="EB37" i="3"/>
  <c r="ED37" i="3"/>
  <c r="EE37" i="3"/>
  <c r="EF37" i="3"/>
  <c r="EG37" i="3"/>
  <c r="EK37" i="3"/>
  <c r="EL37" i="3"/>
  <c r="EM37" i="3"/>
  <c r="EQ37" i="3"/>
  <c r="ER37" i="3"/>
  <c r="ES37" i="3"/>
  <c r="ET37" i="3"/>
  <c r="EX37" i="3"/>
  <c r="EZ37" i="3"/>
  <c r="FA37" i="3"/>
  <c r="FB37" i="3"/>
  <c r="FD37" i="3"/>
  <c r="AF38" i="3"/>
  <c r="AM38" i="3"/>
  <c r="AG38" i="3"/>
  <c r="DM38" i="3"/>
  <c r="CJ38" i="3"/>
  <c r="CW38" i="3"/>
  <c r="CX38" i="3"/>
  <c r="CY38" i="3"/>
  <c r="CZ38" i="3"/>
  <c r="EH38" i="3"/>
  <c r="DC38" i="3"/>
  <c r="DD38" i="3"/>
  <c r="DE38" i="3"/>
  <c r="DF38" i="3"/>
  <c r="DG38" i="3"/>
  <c r="DH38" i="3"/>
  <c r="DI38" i="3"/>
  <c r="DL38" i="3"/>
  <c r="DN38" i="3"/>
  <c r="DP38" i="3"/>
  <c r="EB38" i="3"/>
  <c r="ED38" i="3"/>
  <c r="EE38" i="3"/>
  <c r="EF38" i="3"/>
  <c r="EG38" i="3"/>
  <c r="EK38" i="3"/>
  <c r="EL38" i="3"/>
  <c r="EM38" i="3"/>
  <c r="EQ38" i="3"/>
  <c r="ER38" i="3"/>
  <c r="ES38" i="3"/>
  <c r="ET38" i="3"/>
  <c r="EX38" i="3"/>
  <c r="EZ38" i="3"/>
  <c r="FA38" i="3"/>
  <c r="FB38" i="3"/>
  <c r="FD38" i="3"/>
  <c r="AF39" i="3"/>
  <c r="AM39" i="3"/>
  <c r="DO39" i="3"/>
  <c r="CJ39" i="3"/>
  <c r="CW39" i="3"/>
  <c r="CX39" i="3"/>
  <c r="CY39" i="3"/>
  <c r="CZ39" i="3"/>
  <c r="EH39" i="3"/>
  <c r="DC39" i="3"/>
  <c r="DD39" i="3"/>
  <c r="DE39" i="3"/>
  <c r="DF39" i="3"/>
  <c r="DG39" i="3"/>
  <c r="DH39" i="3"/>
  <c r="DI39" i="3"/>
  <c r="DL39" i="3"/>
  <c r="DN39" i="3"/>
  <c r="DP39" i="3"/>
  <c r="EB39" i="3"/>
  <c r="ED39" i="3"/>
  <c r="EE39" i="3"/>
  <c r="EF39" i="3"/>
  <c r="EG39" i="3"/>
  <c r="EK39" i="3"/>
  <c r="EL39" i="3"/>
  <c r="EM39" i="3"/>
  <c r="EQ39" i="3"/>
  <c r="ER39" i="3"/>
  <c r="ES39" i="3"/>
  <c r="ET39" i="3"/>
  <c r="EX39" i="3"/>
  <c r="EZ39" i="3"/>
  <c r="FA39" i="3"/>
  <c r="FB39" i="3"/>
  <c r="FD39" i="3"/>
  <c r="AF40" i="3"/>
  <c r="AM40" i="3"/>
  <c r="CW40" i="3"/>
  <c r="CX40" i="3"/>
  <c r="CY40" i="3"/>
  <c r="CZ40" i="3"/>
  <c r="EH40" i="3"/>
  <c r="DC40" i="3"/>
  <c r="DD40" i="3"/>
  <c r="DE40" i="3"/>
  <c r="DF40" i="3"/>
  <c r="DG40" i="3"/>
  <c r="DH40" i="3"/>
  <c r="DI40" i="3"/>
  <c r="DL40" i="3"/>
  <c r="DN40" i="3"/>
  <c r="DP40" i="3"/>
  <c r="EB40" i="3"/>
  <c r="ED40" i="3"/>
  <c r="EE40" i="3"/>
  <c r="EF40" i="3"/>
  <c r="EG40" i="3"/>
  <c r="EK40" i="3"/>
  <c r="EL40" i="3"/>
  <c r="EM40" i="3"/>
  <c r="EQ40" i="3"/>
  <c r="ER40" i="3"/>
  <c r="ES40" i="3"/>
  <c r="ET40" i="3"/>
  <c r="EX40" i="3"/>
  <c r="EZ40" i="3"/>
  <c r="FA40" i="3"/>
  <c r="FB40" i="3"/>
  <c r="FD40" i="3"/>
  <c r="AF41" i="3"/>
  <c r="AM41" i="3"/>
  <c r="DO41" i="3"/>
  <c r="CJ41" i="3"/>
  <c r="CW41" i="3"/>
  <c r="CX41" i="3"/>
  <c r="CY41" i="3"/>
  <c r="CZ41" i="3"/>
  <c r="EH41" i="3"/>
  <c r="DC41" i="3"/>
  <c r="DD41" i="3"/>
  <c r="DE41" i="3"/>
  <c r="DF41" i="3"/>
  <c r="DG41" i="3"/>
  <c r="DH41" i="3"/>
  <c r="DI41" i="3"/>
  <c r="DL41" i="3"/>
  <c r="DN41" i="3"/>
  <c r="DP41" i="3"/>
  <c r="EB41" i="3"/>
  <c r="ED41" i="3"/>
  <c r="EE41" i="3"/>
  <c r="EF41" i="3"/>
  <c r="EG41" i="3"/>
  <c r="EK41" i="3"/>
  <c r="EL41" i="3"/>
  <c r="EM41" i="3"/>
  <c r="EQ41" i="3"/>
  <c r="ER41" i="3"/>
  <c r="ES41" i="3"/>
  <c r="ET41" i="3"/>
  <c r="EX41" i="3"/>
  <c r="EZ41" i="3"/>
  <c r="FA41" i="3"/>
  <c r="FB41" i="3"/>
  <c r="FD41" i="3"/>
  <c r="AF42" i="3"/>
  <c r="AM42" i="3"/>
  <c r="CJ42" i="3"/>
  <c r="CW42" i="3"/>
  <c r="CX42" i="3"/>
  <c r="CY42" i="3"/>
  <c r="CZ42" i="3"/>
  <c r="EH42" i="3"/>
  <c r="DC42" i="3"/>
  <c r="DD42" i="3"/>
  <c r="DE42" i="3"/>
  <c r="DF42" i="3"/>
  <c r="DG42" i="3"/>
  <c r="DH42" i="3"/>
  <c r="DI42" i="3"/>
  <c r="DL42" i="3"/>
  <c r="DN42" i="3"/>
  <c r="DP42" i="3"/>
  <c r="EB42" i="3"/>
  <c r="ED42" i="3"/>
  <c r="EE42" i="3"/>
  <c r="EF42" i="3"/>
  <c r="EG42" i="3"/>
  <c r="EK42" i="3"/>
  <c r="EL42" i="3"/>
  <c r="EM42" i="3"/>
  <c r="EQ42" i="3"/>
  <c r="ER42" i="3"/>
  <c r="ES42" i="3"/>
  <c r="ET42" i="3"/>
  <c r="EX42" i="3"/>
  <c r="EZ42" i="3"/>
  <c r="FA42" i="3"/>
  <c r="FB42" i="3"/>
  <c r="FD42" i="3"/>
  <c r="B45" i="16"/>
  <c r="AF43" i="3"/>
  <c r="AM43" i="3"/>
  <c r="CJ43" i="3"/>
  <c r="CW43" i="3"/>
  <c r="CX43" i="3"/>
  <c r="CY43" i="3"/>
  <c r="CZ43" i="3"/>
  <c r="DC43" i="3"/>
  <c r="DD43" i="3"/>
  <c r="DE43" i="3"/>
  <c r="DF43" i="3"/>
  <c r="DG43" i="3"/>
  <c r="DH43" i="3"/>
  <c r="DI43" i="3"/>
  <c r="DL43" i="3"/>
  <c r="DN43" i="3"/>
  <c r="DP43" i="3"/>
  <c r="EB43" i="3"/>
  <c r="ED43" i="3"/>
  <c r="EE43" i="3"/>
  <c r="EF43" i="3"/>
  <c r="EG43" i="3"/>
  <c r="EK43" i="3"/>
  <c r="EL43" i="3"/>
  <c r="EM43" i="3"/>
  <c r="EQ43" i="3"/>
  <c r="ER43" i="3"/>
  <c r="ES43" i="3"/>
  <c r="ET43" i="3"/>
  <c r="EX43" i="3"/>
  <c r="EZ43" i="3"/>
  <c r="FA43" i="3"/>
  <c r="FB43" i="3"/>
  <c r="FD43" i="3"/>
  <c r="B75" i="16"/>
  <c r="AF44" i="3"/>
  <c r="CJ44" i="3"/>
  <c r="CW44" i="3"/>
  <c r="CX44" i="3"/>
  <c r="CY44" i="3"/>
  <c r="CZ44" i="3"/>
  <c r="DC44" i="3"/>
  <c r="DD44" i="3"/>
  <c r="DE44" i="3"/>
  <c r="DF44" i="3"/>
  <c r="DG44" i="3"/>
  <c r="DH44" i="3"/>
  <c r="DI44" i="3"/>
  <c r="DL44" i="3"/>
  <c r="DN44" i="3"/>
  <c r="DP44" i="3"/>
  <c r="EB44" i="3"/>
  <c r="ED44" i="3"/>
  <c r="EE44" i="3"/>
  <c r="EF44" i="3"/>
  <c r="EG44" i="3"/>
  <c r="EK44" i="3"/>
  <c r="EL44" i="3"/>
  <c r="EM44" i="3"/>
  <c r="EQ44" i="3"/>
  <c r="ER44" i="3"/>
  <c r="ES44" i="3"/>
  <c r="ET44" i="3"/>
  <c r="EX44" i="3"/>
  <c r="EZ44" i="3"/>
  <c r="FA44" i="3"/>
  <c r="FB44" i="3"/>
  <c r="FD44" i="3"/>
  <c r="AF45" i="3"/>
  <c r="AM45" i="3"/>
  <c r="CJ45" i="3"/>
  <c r="CW45" i="3"/>
  <c r="CX45" i="3"/>
  <c r="CY45" i="3"/>
  <c r="CZ45" i="3"/>
  <c r="DC45" i="3"/>
  <c r="DD45" i="3"/>
  <c r="DE45" i="3"/>
  <c r="DF45" i="3"/>
  <c r="DG45" i="3"/>
  <c r="DH45" i="3"/>
  <c r="DI45" i="3"/>
  <c r="DL45" i="3"/>
  <c r="DN45" i="3"/>
  <c r="DP45" i="3"/>
  <c r="EB45" i="3"/>
  <c r="ED45" i="3"/>
  <c r="EE45" i="3"/>
  <c r="EF45" i="3"/>
  <c r="EG45" i="3"/>
  <c r="EK45" i="3"/>
  <c r="EL45" i="3"/>
  <c r="EM45" i="3"/>
  <c r="EQ45" i="3"/>
  <c r="ER45" i="3"/>
  <c r="ES45" i="3"/>
  <c r="ET45" i="3"/>
  <c r="EX45" i="3"/>
  <c r="EZ45" i="3"/>
  <c r="FA45" i="3"/>
  <c r="FB45" i="3"/>
  <c r="FD45" i="3"/>
  <c r="AF46" i="3"/>
  <c r="AM46" i="3"/>
  <c r="DO46" i="3"/>
  <c r="CJ46" i="3"/>
  <c r="CW46" i="3"/>
  <c r="CX46" i="3"/>
  <c r="CY46" i="3"/>
  <c r="CZ46" i="3"/>
  <c r="DC46" i="3"/>
  <c r="DD46" i="3"/>
  <c r="DE46" i="3"/>
  <c r="DF46" i="3"/>
  <c r="DG46" i="3"/>
  <c r="DH46" i="3"/>
  <c r="DI46" i="3"/>
  <c r="DL46" i="3"/>
  <c r="DN46" i="3"/>
  <c r="DP46" i="3"/>
  <c r="EB46" i="3"/>
  <c r="ED46" i="3"/>
  <c r="EE46" i="3"/>
  <c r="EF46" i="3"/>
  <c r="EG46" i="3"/>
  <c r="EK46" i="3"/>
  <c r="EL46" i="3"/>
  <c r="EM46" i="3"/>
  <c r="EQ46" i="3"/>
  <c r="ER46" i="3"/>
  <c r="ES46" i="3"/>
  <c r="ET46" i="3"/>
  <c r="EX46" i="3"/>
  <c r="EZ46" i="3"/>
  <c r="FA46" i="3"/>
  <c r="FB46" i="3"/>
  <c r="FD46" i="3"/>
  <c r="AF47" i="3"/>
  <c r="AG47" i="3"/>
  <c r="DM47" i="3"/>
  <c r="CJ47" i="3"/>
  <c r="CW47" i="3"/>
  <c r="CX47" i="3"/>
  <c r="CY47" i="3"/>
  <c r="CZ47" i="3"/>
  <c r="EH47" i="3"/>
  <c r="DC47" i="3"/>
  <c r="DD47" i="3"/>
  <c r="DE47" i="3"/>
  <c r="DF47" i="3"/>
  <c r="DG47" i="3"/>
  <c r="DH47" i="3"/>
  <c r="DI47" i="3"/>
  <c r="DL47" i="3"/>
  <c r="DN47" i="3"/>
  <c r="DO47" i="3"/>
  <c r="DP47" i="3"/>
  <c r="EB47" i="3"/>
  <c r="ED47" i="3"/>
  <c r="EE47" i="3"/>
  <c r="EF47" i="3"/>
  <c r="EG47" i="3"/>
  <c r="EK47" i="3"/>
  <c r="EL47" i="3"/>
  <c r="EM47" i="3"/>
  <c r="EQ47" i="3"/>
  <c r="ER47" i="3"/>
  <c r="ES47" i="3"/>
  <c r="ET47" i="3"/>
  <c r="EX47" i="3"/>
  <c r="EZ47" i="3"/>
  <c r="FA47" i="3"/>
  <c r="FB47" i="3"/>
  <c r="FD47" i="3"/>
  <c r="AF48" i="3"/>
  <c r="AM48" i="3"/>
  <c r="DO48" i="3"/>
  <c r="CJ48" i="3"/>
  <c r="CW48" i="3"/>
  <c r="CX48" i="3"/>
  <c r="CY48" i="3"/>
  <c r="CZ48" i="3"/>
  <c r="DC48" i="3"/>
  <c r="DD48" i="3"/>
  <c r="DE48" i="3"/>
  <c r="DF48" i="3"/>
  <c r="DG48" i="3"/>
  <c r="DH48" i="3"/>
  <c r="DI48" i="3"/>
  <c r="DL48" i="3"/>
  <c r="DN48" i="3"/>
  <c r="DP48" i="3"/>
  <c r="EB48" i="3"/>
  <c r="ED48" i="3"/>
  <c r="EE48" i="3"/>
  <c r="EF48" i="3"/>
  <c r="EG48" i="3"/>
  <c r="EK48" i="3"/>
  <c r="EL48" i="3"/>
  <c r="EM48" i="3"/>
  <c r="EQ48" i="3"/>
  <c r="ER48" i="3"/>
  <c r="ES48" i="3"/>
  <c r="ET48" i="3"/>
  <c r="EX48" i="3"/>
  <c r="EZ48" i="3"/>
  <c r="FA48" i="3"/>
  <c r="FB48" i="3"/>
  <c r="FD48" i="3"/>
  <c r="AF49" i="3"/>
  <c r="AM49" i="3"/>
  <c r="AG49" i="3"/>
  <c r="DM49" i="3"/>
  <c r="CJ49" i="3"/>
  <c r="CW49" i="3"/>
  <c r="CX49" i="3"/>
  <c r="CY49" i="3"/>
  <c r="CZ49" i="3"/>
  <c r="DC49" i="3"/>
  <c r="DD49" i="3"/>
  <c r="DE49" i="3"/>
  <c r="DF49" i="3"/>
  <c r="DG49" i="3"/>
  <c r="DH49" i="3"/>
  <c r="DI49" i="3"/>
  <c r="DL49" i="3"/>
  <c r="DN49" i="3"/>
  <c r="DP49" i="3"/>
  <c r="EB49" i="3"/>
  <c r="ED49" i="3"/>
  <c r="EE49" i="3"/>
  <c r="EF49" i="3"/>
  <c r="EG49" i="3"/>
  <c r="EK49" i="3"/>
  <c r="EL49" i="3"/>
  <c r="EM49" i="3"/>
  <c r="EQ49" i="3"/>
  <c r="ER49" i="3"/>
  <c r="ES49" i="3"/>
  <c r="ET49" i="3"/>
  <c r="EX49" i="3"/>
  <c r="EZ49" i="3"/>
  <c r="FA49" i="3"/>
  <c r="FB49" i="3"/>
  <c r="FD49" i="3"/>
  <c r="AF50" i="3"/>
  <c r="AM50" i="3"/>
  <c r="CJ50" i="3"/>
  <c r="CW50" i="3"/>
  <c r="CX50" i="3"/>
  <c r="CY50" i="3"/>
  <c r="CZ50" i="3"/>
  <c r="EH50" i="3"/>
  <c r="DC50" i="3"/>
  <c r="DD50" i="3"/>
  <c r="DE50" i="3"/>
  <c r="DF50" i="3"/>
  <c r="DG50" i="3"/>
  <c r="DH50" i="3"/>
  <c r="DI50" i="3"/>
  <c r="DL50" i="3"/>
  <c r="DN50" i="3"/>
  <c r="DP50" i="3"/>
  <c r="EB50" i="3"/>
  <c r="ED50" i="3"/>
  <c r="EE50" i="3"/>
  <c r="EF50" i="3"/>
  <c r="EG50" i="3"/>
  <c r="EK50" i="3"/>
  <c r="EL50" i="3"/>
  <c r="EM50" i="3"/>
  <c r="EQ50" i="3"/>
  <c r="ER50" i="3"/>
  <c r="ES50" i="3"/>
  <c r="ET50" i="3"/>
  <c r="EX50" i="3"/>
  <c r="EZ50" i="3"/>
  <c r="FA50" i="3"/>
  <c r="FB50" i="3"/>
  <c r="FD50" i="3"/>
  <c r="AF51" i="3"/>
  <c r="AG51" i="3"/>
  <c r="DM51" i="3"/>
  <c r="CJ51" i="3"/>
  <c r="CW51" i="3"/>
  <c r="CX51" i="3"/>
  <c r="CY51" i="3"/>
  <c r="CZ51" i="3"/>
  <c r="DC51" i="3"/>
  <c r="DD51" i="3"/>
  <c r="DE51" i="3"/>
  <c r="DF51" i="3"/>
  <c r="DG51" i="3"/>
  <c r="DH51" i="3"/>
  <c r="DI51" i="3"/>
  <c r="DL51" i="3"/>
  <c r="DN51" i="3"/>
  <c r="DO51" i="3"/>
  <c r="DP51" i="3"/>
  <c r="EB51" i="3"/>
  <c r="ED51" i="3"/>
  <c r="EE51" i="3"/>
  <c r="EF51" i="3"/>
  <c r="EG51" i="3"/>
  <c r="EK51" i="3"/>
  <c r="EL51" i="3"/>
  <c r="EM51" i="3"/>
  <c r="EQ51" i="3"/>
  <c r="ER51" i="3"/>
  <c r="ES51" i="3"/>
  <c r="ET51" i="3"/>
  <c r="EX51" i="3"/>
  <c r="EZ51" i="3"/>
  <c r="FA51" i="3"/>
  <c r="FB51" i="3"/>
  <c r="FD51" i="3"/>
  <c r="AF52" i="3"/>
  <c r="AM52" i="3"/>
  <c r="AG52" i="3"/>
  <c r="DM52" i="3"/>
  <c r="CJ52" i="3"/>
  <c r="CW52" i="3"/>
  <c r="CX52" i="3"/>
  <c r="CY52" i="3"/>
  <c r="CZ52" i="3"/>
  <c r="EH52" i="3"/>
  <c r="DC52" i="3"/>
  <c r="DD52" i="3"/>
  <c r="DE52" i="3"/>
  <c r="DF52" i="3"/>
  <c r="DG52" i="3"/>
  <c r="DH52" i="3"/>
  <c r="DI52" i="3"/>
  <c r="DL52" i="3"/>
  <c r="DN52" i="3"/>
  <c r="DP52" i="3"/>
  <c r="EB52" i="3"/>
  <c r="ED52" i="3"/>
  <c r="EE52" i="3"/>
  <c r="EF52" i="3"/>
  <c r="EG52" i="3"/>
  <c r="EK52" i="3"/>
  <c r="EL52" i="3"/>
  <c r="EM52" i="3"/>
  <c r="EQ52" i="3"/>
  <c r="ER52" i="3"/>
  <c r="ES52" i="3"/>
  <c r="ET52" i="3"/>
  <c r="EX52" i="3"/>
  <c r="EZ52" i="3"/>
  <c r="FA52" i="3"/>
  <c r="FB52" i="3"/>
  <c r="FD52" i="3"/>
  <c r="AF53" i="3"/>
  <c r="AM53" i="3"/>
  <c r="DO53" i="3"/>
  <c r="CJ53" i="3"/>
  <c r="CW53" i="3"/>
  <c r="CX53" i="3"/>
  <c r="CY53" i="3"/>
  <c r="CZ53" i="3"/>
  <c r="DC53" i="3"/>
  <c r="DD53" i="3"/>
  <c r="DE53" i="3"/>
  <c r="DF53" i="3"/>
  <c r="DG53" i="3"/>
  <c r="DH53" i="3"/>
  <c r="DI53" i="3"/>
  <c r="DL53" i="3"/>
  <c r="DN53" i="3"/>
  <c r="DP53" i="3"/>
  <c r="EB53" i="3"/>
  <c r="ED53" i="3"/>
  <c r="EE53" i="3"/>
  <c r="EF53" i="3"/>
  <c r="EG53" i="3"/>
  <c r="EK53" i="3"/>
  <c r="EL53" i="3"/>
  <c r="EM53" i="3"/>
  <c r="EQ53" i="3"/>
  <c r="ER53" i="3"/>
  <c r="ES53" i="3"/>
  <c r="ET53" i="3"/>
  <c r="EX53" i="3"/>
  <c r="EZ53" i="3"/>
  <c r="FA53" i="3"/>
  <c r="FB53" i="3"/>
  <c r="FD53" i="3"/>
  <c r="AF54" i="3"/>
  <c r="AM54" i="3"/>
  <c r="CJ54" i="3"/>
  <c r="CW54" i="3"/>
  <c r="CX54" i="3"/>
  <c r="CY54" i="3"/>
  <c r="CZ54" i="3"/>
  <c r="DC54" i="3"/>
  <c r="DD54" i="3"/>
  <c r="DE54" i="3"/>
  <c r="DF54" i="3"/>
  <c r="DG54" i="3"/>
  <c r="DH54" i="3"/>
  <c r="DI54" i="3"/>
  <c r="DL54" i="3"/>
  <c r="DN54" i="3"/>
  <c r="DP54" i="3"/>
  <c r="EB54" i="3"/>
  <c r="ED54" i="3"/>
  <c r="EE54" i="3"/>
  <c r="EF54" i="3"/>
  <c r="EG54" i="3"/>
  <c r="EK54" i="3"/>
  <c r="EL54" i="3"/>
  <c r="EM54" i="3"/>
  <c r="EQ54" i="3"/>
  <c r="ER54" i="3"/>
  <c r="ES54" i="3"/>
  <c r="ET54" i="3"/>
  <c r="EX54" i="3"/>
  <c r="EZ54" i="3"/>
  <c r="FA54" i="3"/>
  <c r="FB54" i="3"/>
  <c r="FD54" i="3"/>
  <c r="B84" i="16"/>
  <c r="AF55" i="3"/>
  <c r="AM55" i="3"/>
  <c r="AG55" i="3"/>
  <c r="DM55" i="3"/>
  <c r="CJ55" i="3"/>
  <c r="CW55" i="3"/>
  <c r="CX55" i="3"/>
  <c r="CY55" i="3"/>
  <c r="CZ55" i="3"/>
  <c r="DC55" i="3"/>
  <c r="DD55" i="3"/>
  <c r="DE55" i="3"/>
  <c r="DF55" i="3"/>
  <c r="DG55" i="3"/>
  <c r="DH55" i="3"/>
  <c r="DI55" i="3"/>
  <c r="DL55" i="3"/>
  <c r="DN55" i="3"/>
  <c r="DP55" i="3"/>
  <c r="EB55" i="3"/>
  <c r="ED55" i="3"/>
  <c r="EE55" i="3"/>
  <c r="EF55" i="3"/>
  <c r="EG55" i="3"/>
  <c r="EK55" i="3"/>
  <c r="EL55" i="3"/>
  <c r="EM55" i="3"/>
  <c r="EQ55" i="3"/>
  <c r="ER55" i="3"/>
  <c r="ES55" i="3"/>
  <c r="ET55" i="3"/>
  <c r="EX55" i="3"/>
  <c r="EZ55" i="3"/>
  <c r="FA55" i="3"/>
  <c r="FB55" i="3"/>
  <c r="FD55" i="3"/>
  <c r="AF56" i="3"/>
  <c r="AM56" i="3"/>
  <c r="AG56" i="3"/>
  <c r="DM56" i="3"/>
  <c r="CJ56" i="3"/>
  <c r="CW56" i="3"/>
  <c r="CX56" i="3"/>
  <c r="CY56" i="3"/>
  <c r="CZ56" i="3"/>
  <c r="DA56" i="3"/>
  <c r="DC56" i="3"/>
  <c r="DD56" i="3"/>
  <c r="DE56" i="3"/>
  <c r="DF56" i="3"/>
  <c r="DG56" i="3"/>
  <c r="DH56" i="3"/>
  <c r="DI56" i="3"/>
  <c r="DL56" i="3"/>
  <c r="DN56" i="3"/>
  <c r="DP56" i="3"/>
  <c r="EB56" i="3"/>
  <c r="ED56" i="3"/>
  <c r="EE56" i="3"/>
  <c r="EF56" i="3"/>
  <c r="EG56" i="3"/>
  <c r="EK56" i="3"/>
  <c r="EL56" i="3"/>
  <c r="EM56" i="3"/>
  <c r="EQ56" i="3"/>
  <c r="ER56" i="3"/>
  <c r="ES56" i="3"/>
  <c r="ET56" i="3"/>
  <c r="EX56" i="3"/>
  <c r="EZ56" i="3"/>
  <c r="FA56" i="3"/>
  <c r="FB56" i="3"/>
  <c r="FD56" i="3"/>
  <c r="AF57" i="3"/>
  <c r="AG57" i="3"/>
  <c r="DM57" i="3"/>
  <c r="CJ57" i="3"/>
  <c r="CW57" i="3"/>
  <c r="CX57" i="3"/>
  <c r="CY57" i="3"/>
  <c r="CZ57" i="3"/>
  <c r="EH57" i="3"/>
  <c r="DC57" i="3"/>
  <c r="DD57" i="3"/>
  <c r="DE57" i="3"/>
  <c r="DF57" i="3"/>
  <c r="DG57" i="3"/>
  <c r="DH57" i="3"/>
  <c r="DI57" i="3"/>
  <c r="DL57" i="3"/>
  <c r="DN57" i="3"/>
  <c r="DO57" i="3"/>
  <c r="DP57" i="3"/>
  <c r="EB57" i="3"/>
  <c r="ED57" i="3"/>
  <c r="EE57" i="3"/>
  <c r="EF57" i="3"/>
  <c r="EG57" i="3"/>
  <c r="EK57" i="3"/>
  <c r="EL57" i="3"/>
  <c r="EM57" i="3"/>
  <c r="EQ57" i="3"/>
  <c r="ER57" i="3"/>
  <c r="ES57" i="3"/>
  <c r="ET57" i="3"/>
  <c r="EX57" i="3"/>
  <c r="EZ57" i="3"/>
  <c r="FA57" i="3"/>
  <c r="FB57" i="3"/>
  <c r="FD57" i="3"/>
  <c r="AF58" i="3"/>
  <c r="AM58" i="3"/>
  <c r="CJ58" i="3"/>
  <c r="CW58" i="3"/>
  <c r="CX58" i="3"/>
  <c r="CY58" i="3"/>
  <c r="CZ58" i="3"/>
  <c r="EH58" i="3"/>
  <c r="DC58" i="3"/>
  <c r="DD58" i="3"/>
  <c r="DE58" i="3"/>
  <c r="DF58" i="3"/>
  <c r="DG58" i="3"/>
  <c r="DH58" i="3"/>
  <c r="DI58" i="3"/>
  <c r="DL58" i="3"/>
  <c r="DN58" i="3"/>
  <c r="DP58" i="3"/>
  <c r="EB58" i="3"/>
  <c r="ED58" i="3"/>
  <c r="EE58" i="3"/>
  <c r="EF58" i="3"/>
  <c r="EG58" i="3"/>
  <c r="EK58" i="3"/>
  <c r="EL58" i="3"/>
  <c r="EM58" i="3"/>
  <c r="EQ58" i="3"/>
  <c r="ER58" i="3"/>
  <c r="ES58" i="3"/>
  <c r="ET58" i="3"/>
  <c r="EX58" i="3"/>
  <c r="EZ58" i="3"/>
  <c r="FA58" i="3"/>
  <c r="FB58" i="3"/>
  <c r="FD58" i="3"/>
  <c r="AF59" i="3"/>
  <c r="AM59" i="3"/>
  <c r="CJ59" i="3"/>
  <c r="CW59" i="3"/>
  <c r="CX59" i="3"/>
  <c r="CY59" i="3"/>
  <c r="CZ59" i="3"/>
  <c r="EH59" i="3"/>
  <c r="DC59" i="3"/>
  <c r="DD59" i="3"/>
  <c r="DE59" i="3"/>
  <c r="DF59" i="3"/>
  <c r="DG59" i="3"/>
  <c r="DH59" i="3"/>
  <c r="DI59" i="3"/>
  <c r="DL59" i="3"/>
  <c r="DN59" i="3"/>
  <c r="DP59" i="3"/>
  <c r="EB59" i="3"/>
  <c r="ED59" i="3"/>
  <c r="EE59" i="3"/>
  <c r="EF59" i="3"/>
  <c r="EG59" i="3"/>
  <c r="EK59" i="3"/>
  <c r="EL59" i="3"/>
  <c r="EM59" i="3"/>
  <c r="EQ59" i="3"/>
  <c r="ER59" i="3"/>
  <c r="ES59" i="3"/>
  <c r="ET59" i="3"/>
  <c r="EX59" i="3"/>
  <c r="EZ59" i="3"/>
  <c r="FA59" i="3"/>
  <c r="FB59" i="3"/>
  <c r="FD59" i="3"/>
  <c r="AF60" i="3"/>
  <c r="AM60" i="3"/>
  <c r="CJ60" i="3"/>
  <c r="CW60" i="3"/>
  <c r="CX60" i="3"/>
  <c r="CY60" i="3"/>
  <c r="CZ60" i="3"/>
  <c r="DC60" i="3"/>
  <c r="DD60" i="3"/>
  <c r="DE60" i="3"/>
  <c r="DF60" i="3"/>
  <c r="DG60" i="3"/>
  <c r="DH60" i="3"/>
  <c r="DI60" i="3"/>
  <c r="DL60" i="3"/>
  <c r="DN60" i="3"/>
  <c r="DP60" i="3"/>
  <c r="EB60" i="3"/>
  <c r="ED60" i="3"/>
  <c r="EE60" i="3"/>
  <c r="EF60" i="3"/>
  <c r="EG60" i="3"/>
  <c r="EK60" i="3"/>
  <c r="EL60" i="3"/>
  <c r="EM60" i="3"/>
  <c r="EQ60" i="3"/>
  <c r="ER60" i="3"/>
  <c r="ES60" i="3"/>
  <c r="ET60" i="3"/>
  <c r="EX60" i="3"/>
  <c r="EZ60" i="3"/>
  <c r="FA60" i="3"/>
  <c r="FB60" i="3"/>
  <c r="FD60" i="3"/>
  <c r="AF61" i="3"/>
  <c r="AM61" i="3"/>
  <c r="DO61" i="3"/>
  <c r="CJ61" i="3"/>
  <c r="CW61" i="3"/>
  <c r="CX61" i="3"/>
  <c r="CY61" i="3"/>
  <c r="CZ61" i="3"/>
  <c r="EH61" i="3"/>
  <c r="DC61" i="3"/>
  <c r="DD61" i="3"/>
  <c r="DE61" i="3"/>
  <c r="DF61" i="3"/>
  <c r="DG61" i="3"/>
  <c r="DH61" i="3"/>
  <c r="DI61" i="3"/>
  <c r="DL61" i="3"/>
  <c r="DN61" i="3"/>
  <c r="DP61" i="3"/>
  <c r="EB61" i="3"/>
  <c r="ED61" i="3"/>
  <c r="EE61" i="3"/>
  <c r="EF61" i="3"/>
  <c r="EG61" i="3"/>
  <c r="EK61" i="3"/>
  <c r="EL61" i="3"/>
  <c r="EM61" i="3"/>
  <c r="EQ61" i="3"/>
  <c r="ER61" i="3"/>
  <c r="ES61" i="3"/>
  <c r="ET61" i="3"/>
  <c r="EX61" i="3"/>
  <c r="EZ61" i="3"/>
  <c r="FA61" i="3"/>
  <c r="FB61" i="3"/>
  <c r="FD61" i="3"/>
  <c r="AF62" i="3"/>
  <c r="AM62" i="3"/>
  <c r="DO62" i="3"/>
  <c r="CJ62" i="3"/>
  <c r="CW62" i="3"/>
  <c r="CX62" i="3"/>
  <c r="CY62" i="3"/>
  <c r="CZ62" i="3"/>
  <c r="EH62" i="3"/>
  <c r="DC62" i="3"/>
  <c r="DD62" i="3"/>
  <c r="DE62" i="3"/>
  <c r="DF62" i="3"/>
  <c r="DG62" i="3"/>
  <c r="DH62" i="3"/>
  <c r="DI62" i="3"/>
  <c r="DL62" i="3"/>
  <c r="DN62" i="3"/>
  <c r="DP62" i="3"/>
  <c r="EB62" i="3"/>
  <c r="ED62" i="3"/>
  <c r="EE62" i="3"/>
  <c r="EF62" i="3"/>
  <c r="EG62" i="3"/>
  <c r="EK62" i="3"/>
  <c r="EL62" i="3"/>
  <c r="EM62" i="3"/>
  <c r="EQ62" i="3"/>
  <c r="ER62" i="3"/>
  <c r="ES62" i="3"/>
  <c r="ET62" i="3"/>
  <c r="EX62" i="3"/>
  <c r="EZ62" i="3"/>
  <c r="FA62" i="3"/>
  <c r="FB62" i="3"/>
  <c r="FD62" i="3"/>
  <c r="AF63" i="3"/>
  <c r="AM63" i="3"/>
  <c r="DO63" i="3"/>
  <c r="CJ63" i="3"/>
  <c r="CW63" i="3"/>
  <c r="CX63" i="3"/>
  <c r="CY63" i="3"/>
  <c r="CZ63" i="3"/>
  <c r="DC63" i="3"/>
  <c r="DD63" i="3"/>
  <c r="DE63" i="3"/>
  <c r="DF63" i="3"/>
  <c r="DG63" i="3"/>
  <c r="DH63" i="3"/>
  <c r="DI63" i="3"/>
  <c r="DL63" i="3"/>
  <c r="DN63" i="3"/>
  <c r="DP63" i="3"/>
  <c r="EB63" i="3"/>
  <c r="ED63" i="3"/>
  <c r="EE63" i="3"/>
  <c r="EF63" i="3"/>
  <c r="EG63" i="3"/>
  <c r="EK63" i="3"/>
  <c r="EL63" i="3"/>
  <c r="EM63" i="3"/>
  <c r="EQ63" i="3"/>
  <c r="ER63" i="3"/>
  <c r="ES63" i="3"/>
  <c r="ET63" i="3"/>
  <c r="EX63" i="3"/>
  <c r="EZ63" i="3"/>
  <c r="FA63" i="3"/>
  <c r="FB63" i="3"/>
  <c r="FD63" i="3"/>
  <c r="AF64" i="3"/>
  <c r="AM64" i="3"/>
  <c r="AG64" i="3"/>
  <c r="DM64" i="3"/>
  <c r="CJ64" i="3"/>
  <c r="CW64" i="3"/>
  <c r="CX64" i="3"/>
  <c r="CY64" i="3"/>
  <c r="CZ64" i="3"/>
  <c r="EH64" i="3"/>
  <c r="DC64" i="3"/>
  <c r="DD64" i="3"/>
  <c r="DE64" i="3"/>
  <c r="DF64" i="3"/>
  <c r="DG64" i="3"/>
  <c r="DH64" i="3"/>
  <c r="DI64" i="3"/>
  <c r="DL64" i="3"/>
  <c r="DN64" i="3"/>
  <c r="DP64" i="3"/>
  <c r="EB64" i="3"/>
  <c r="ED64" i="3"/>
  <c r="EE64" i="3"/>
  <c r="EF64" i="3"/>
  <c r="EG64" i="3"/>
  <c r="EK64" i="3"/>
  <c r="EL64" i="3"/>
  <c r="EM64" i="3"/>
  <c r="EQ64" i="3"/>
  <c r="ER64" i="3"/>
  <c r="ES64" i="3"/>
  <c r="ET64" i="3"/>
  <c r="EX64" i="3"/>
  <c r="EZ64" i="3"/>
  <c r="FA64" i="3"/>
  <c r="FB64" i="3"/>
  <c r="FD64" i="3"/>
  <c r="AF65" i="3"/>
  <c r="AM65" i="3"/>
  <c r="AG65" i="3"/>
  <c r="DM65" i="3"/>
  <c r="CJ65" i="3"/>
  <c r="CW65" i="3"/>
  <c r="CX65" i="3"/>
  <c r="CY65" i="3"/>
  <c r="CZ65" i="3"/>
  <c r="DA65" i="3"/>
  <c r="DC65" i="3"/>
  <c r="DD65" i="3"/>
  <c r="DE65" i="3"/>
  <c r="DF65" i="3"/>
  <c r="DG65" i="3"/>
  <c r="DH65" i="3"/>
  <c r="DI65" i="3"/>
  <c r="DL65" i="3"/>
  <c r="DN65" i="3"/>
  <c r="DP65" i="3"/>
  <c r="EB65" i="3"/>
  <c r="ED65" i="3"/>
  <c r="EE65" i="3"/>
  <c r="EF65" i="3"/>
  <c r="EG65" i="3"/>
  <c r="EK65" i="3"/>
  <c r="EL65" i="3"/>
  <c r="EM65" i="3"/>
  <c r="EQ65" i="3"/>
  <c r="ER65" i="3"/>
  <c r="ES65" i="3"/>
  <c r="ET65" i="3"/>
  <c r="EX65" i="3"/>
  <c r="EZ65" i="3"/>
  <c r="FA65" i="3"/>
  <c r="FB65" i="3"/>
  <c r="FD65" i="3"/>
  <c r="AF66" i="3"/>
  <c r="AM66" i="3"/>
  <c r="CJ66" i="3"/>
  <c r="CW66" i="3"/>
  <c r="CX66" i="3"/>
  <c r="CY66" i="3"/>
  <c r="CZ66" i="3"/>
  <c r="EH66" i="3"/>
  <c r="DC66" i="3"/>
  <c r="DD66" i="3"/>
  <c r="DE66" i="3"/>
  <c r="DF66" i="3"/>
  <c r="DG66" i="3"/>
  <c r="DH66" i="3"/>
  <c r="DI66" i="3"/>
  <c r="DL66" i="3"/>
  <c r="DN66" i="3"/>
  <c r="DP66" i="3"/>
  <c r="EB66" i="3"/>
  <c r="ED66" i="3"/>
  <c r="EE66" i="3"/>
  <c r="EF66" i="3"/>
  <c r="EG66" i="3"/>
  <c r="EK66" i="3"/>
  <c r="EL66" i="3"/>
  <c r="EM66" i="3"/>
  <c r="EQ66" i="3"/>
  <c r="ER66" i="3"/>
  <c r="ES66" i="3"/>
  <c r="ET66" i="3"/>
  <c r="EX66" i="3"/>
  <c r="EZ66" i="3"/>
  <c r="FA66" i="3"/>
  <c r="FB66" i="3"/>
  <c r="FD66" i="3"/>
  <c r="AF67" i="3"/>
  <c r="AM67" i="3"/>
  <c r="CJ67" i="3"/>
  <c r="CW67" i="3"/>
  <c r="CX67" i="3"/>
  <c r="CY67" i="3"/>
  <c r="CZ67" i="3"/>
  <c r="DA67" i="3"/>
  <c r="DC67" i="3"/>
  <c r="DD67" i="3"/>
  <c r="DE67" i="3"/>
  <c r="DF67" i="3"/>
  <c r="DG67" i="3"/>
  <c r="DH67" i="3"/>
  <c r="DI67" i="3"/>
  <c r="DL67" i="3"/>
  <c r="DN67" i="3"/>
  <c r="DP67" i="3"/>
  <c r="EB67" i="3"/>
  <c r="ED67" i="3"/>
  <c r="EE67" i="3"/>
  <c r="EF67" i="3"/>
  <c r="EG67" i="3"/>
  <c r="EK67" i="3"/>
  <c r="EL67" i="3"/>
  <c r="EM67" i="3"/>
  <c r="EQ67" i="3"/>
  <c r="ER67" i="3"/>
  <c r="ES67" i="3"/>
  <c r="ET67" i="3"/>
  <c r="EX67" i="3"/>
  <c r="EZ67" i="3"/>
  <c r="FA67" i="3"/>
  <c r="FB67" i="3"/>
  <c r="FD67" i="3"/>
  <c r="AF68" i="3"/>
  <c r="AM68" i="3"/>
  <c r="DO68" i="3"/>
  <c r="CJ68" i="3"/>
  <c r="CW68" i="3"/>
  <c r="CX68" i="3"/>
  <c r="CY68" i="3"/>
  <c r="CZ68" i="3"/>
  <c r="EH68" i="3"/>
  <c r="DC68" i="3"/>
  <c r="DD68" i="3"/>
  <c r="DE68" i="3"/>
  <c r="DF68" i="3"/>
  <c r="DG68" i="3"/>
  <c r="DH68" i="3"/>
  <c r="DI68" i="3"/>
  <c r="DL68" i="3"/>
  <c r="DN68" i="3"/>
  <c r="DP68" i="3"/>
  <c r="EB68" i="3"/>
  <c r="ED68" i="3"/>
  <c r="EE68" i="3"/>
  <c r="EF68" i="3"/>
  <c r="EG68" i="3"/>
  <c r="EK68" i="3"/>
  <c r="EL68" i="3"/>
  <c r="EM68" i="3"/>
  <c r="EQ68" i="3"/>
  <c r="ER68" i="3"/>
  <c r="ES68" i="3"/>
  <c r="ET68" i="3"/>
  <c r="EX68" i="3"/>
  <c r="EZ68" i="3"/>
  <c r="FA68" i="3"/>
  <c r="FB68" i="3"/>
  <c r="FD68" i="3"/>
  <c r="AF69" i="3"/>
  <c r="AM69" i="3"/>
  <c r="CJ69" i="3"/>
  <c r="CW69" i="3"/>
  <c r="CX69" i="3"/>
  <c r="CY69" i="3"/>
  <c r="CZ69" i="3"/>
  <c r="DC69" i="3"/>
  <c r="DD69" i="3"/>
  <c r="DE69" i="3"/>
  <c r="DF69" i="3"/>
  <c r="DG69" i="3"/>
  <c r="DH69" i="3"/>
  <c r="DI69" i="3"/>
  <c r="DL69" i="3"/>
  <c r="DN69" i="3"/>
  <c r="DP69" i="3"/>
  <c r="EB69" i="3"/>
  <c r="ED69" i="3"/>
  <c r="EE69" i="3"/>
  <c r="EF69" i="3"/>
  <c r="EG69" i="3"/>
  <c r="EK69" i="3"/>
  <c r="EL69" i="3"/>
  <c r="EM69" i="3"/>
  <c r="EQ69" i="3"/>
  <c r="ER69" i="3"/>
  <c r="ES69" i="3"/>
  <c r="ET69" i="3"/>
  <c r="EX69" i="3"/>
  <c r="EZ69" i="3"/>
  <c r="FA69" i="3"/>
  <c r="FB69" i="3"/>
  <c r="FD69" i="3"/>
  <c r="AF70" i="3"/>
  <c r="AM70" i="3"/>
  <c r="DO70" i="3"/>
  <c r="CJ70" i="3"/>
  <c r="CW70" i="3"/>
  <c r="CX70" i="3"/>
  <c r="CY70" i="3"/>
  <c r="CZ70" i="3"/>
  <c r="DA70" i="3"/>
  <c r="DC70" i="3"/>
  <c r="DD70" i="3"/>
  <c r="DE70" i="3"/>
  <c r="DF70" i="3"/>
  <c r="DG70" i="3"/>
  <c r="DH70" i="3"/>
  <c r="DI70" i="3"/>
  <c r="DL70" i="3"/>
  <c r="DN70" i="3"/>
  <c r="DP70" i="3"/>
  <c r="EB70" i="3"/>
  <c r="ED70" i="3"/>
  <c r="EE70" i="3"/>
  <c r="EF70" i="3"/>
  <c r="EG70" i="3"/>
  <c r="EK70" i="3"/>
  <c r="EL70" i="3"/>
  <c r="EM70" i="3"/>
  <c r="EQ70" i="3"/>
  <c r="ER70" i="3"/>
  <c r="ES70" i="3"/>
  <c r="ET70" i="3"/>
  <c r="EX70" i="3"/>
  <c r="EZ70" i="3"/>
  <c r="FA70" i="3"/>
  <c r="FB70" i="3"/>
  <c r="FD70" i="3"/>
  <c r="B100" i="16"/>
  <c r="AF71" i="3"/>
  <c r="AM71" i="3"/>
  <c r="CJ71" i="3"/>
  <c r="CW71" i="3"/>
  <c r="CX71" i="3"/>
  <c r="CY71" i="3"/>
  <c r="CZ71" i="3"/>
  <c r="EH71" i="3"/>
  <c r="DC71" i="3"/>
  <c r="DD71" i="3"/>
  <c r="DE71" i="3"/>
  <c r="DF71" i="3"/>
  <c r="DG71" i="3"/>
  <c r="DH71" i="3"/>
  <c r="DI71" i="3"/>
  <c r="DL71" i="3"/>
  <c r="DN71" i="3"/>
  <c r="DP71" i="3"/>
  <c r="EB71" i="3"/>
  <c r="ED71" i="3"/>
  <c r="EE71" i="3"/>
  <c r="EF71" i="3"/>
  <c r="EG71" i="3"/>
  <c r="EK71" i="3"/>
  <c r="EL71" i="3"/>
  <c r="EM71" i="3"/>
  <c r="EQ71" i="3"/>
  <c r="ER71" i="3"/>
  <c r="ES71" i="3"/>
  <c r="ET71" i="3"/>
  <c r="EX71" i="3"/>
  <c r="EZ71" i="3"/>
  <c r="FA71" i="3"/>
  <c r="FB71" i="3"/>
  <c r="FD71" i="3"/>
  <c r="AF72" i="3"/>
  <c r="AM72" i="3"/>
  <c r="DO72" i="3"/>
  <c r="CW72" i="3"/>
  <c r="CX72" i="3"/>
  <c r="CY72" i="3"/>
  <c r="CZ72" i="3"/>
  <c r="DC72" i="3"/>
  <c r="DD72" i="3"/>
  <c r="DE72" i="3"/>
  <c r="DF72" i="3"/>
  <c r="DG72" i="3"/>
  <c r="DH72" i="3"/>
  <c r="DI72" i="3"/>
  <c r="DL72" i="3"/>
  <c r="DN72" i="3"/>
  <c r="DP72" i="3"/>
  <c r="EB72" i="3"/>
  <c r="ED72" i="3"/>
  <c r="EE72" i="3"/>
  <c r="EF72" i="3"/>
  <c r="EG72" i="3"/>
  <c r="EK72" i="3"/>
  <c r="EL72" i="3"/>
  <c r="EM72" i="3"/>
  <c r="EQ72" i="3"/>
  <c r="ER72" i="3"/>
  <c r="ES72" i="3"/>
  <c r="ET72" i="3"/>
  <c r="EX72" i="3"/>
  <c r="EZ72" i="3"/>
  <c r="FA72" i="3"/>
  <c r="FB72" i="3"/>
  <c r="FD72" i="3"/>
  <c r="AF73" i="3"/>
  <c r="AM73" i="3"/>
  <c r="CJ73" i="3"/>
  <c r="CW73" i="3"/>
  <c r="CX73" i="3"/>
  <c r="CY73" i="3"/>
  <c r="CZ73" i="3"/>
  <c r="DC73" i="3"/>
  <c r="DD73" i="3"/>
  <c r="DE73" i="3"/>
  <c r="DF73" i="3"/>
  <c r="DG73" i="3"/>
  <c r="DH73" i="3"/>
  <c r="DI73" i="3"/>
  <c r="DL73" i="3"/>
  <c r="DN73" i="3"/>
  <c r="DP73" i="3"/>
  <c r="EB73" i="3"/>
  <c r="ED73" i="3"/>
  <c r="EE73" i="3"/>
  <c r="EF73" i="3"/>
  <c r="EG73" i="3"/>
  <c r="EK73" i="3"/>
  <c r="EL73" i="3"/>
  <c r="EM73" i="3"/>
  <c r="EQ73" i="3"/>
  <c r="ER73" i="3"/>
  <c r="ES73" i="3"/>
  <c r="ET73" i="3"/>
  <c r="EX73" i="3"/>
  <c r="EZ73" i="3"/>
  <c r="FA73" i="3"/>
  <c r="FB73" i="3"/>
  <c r="FD73" i="3"/>
  <c r="AF74" i="3"/>
  <c r="AM74" i="3"/>
  <c r="CJ74" i="3"/>
  <c r="CW74" i="3"/>
  <c r="CX74" i="3"/>
  <c r="CY74" i="3"/>
  <c r="CZ74" i="3"/>
  <c r="DC74" i="3"/>
  <c r="DD74" i="3"/>
  <c r="DE74" i="3"/>
  <c r="DF74" i="3"/>
  <c r="DG74" i="3"/>
  <c r="DH74" i="3"/>
  <c r="DI74" i="3"/>
  <c r="DL74" i="3"/>
  <c r="DN74" i="3"/>
  <c r="DP74" i="3"/>
  <c r="EB74" i="3"/>
  <c r="ED74" i="3"/>
  <c r="EE74" i="3"/>
  <c r="EF74" i="3"/>
  <c r="EG74" i="3"/>
  <c r="EK74" i="3"/>
  <c r="EL74" i="3"/>
  <c r="EM74" i="3"/>
  <c r="EQ74" i="3"/>
  <c r="ER74" i="3"/>
  <c r="ES74" i="3"/>
  <c r="ET74" i="3"/>
  <c r="EX74" i="3"/>
  <c r="EZ74" i="3"/>
  <c r="FA74" i="3"/>
  <c r="FB74" i="3"/>
  <c r="FD74" i="3"/>
  <c r="AF75" i="3"/>
  <c r="AM75" i="3"/>
  <c r="DO75" i="3"/>
  <c r="CJ75" i="3"/>
  <c r="CW75" i="3"/>
  <c r="CX75" i="3"/>
  <c r="CY75" i="3"/>
  <c r="CZ75" i="3"/>
  <c r="DC75" i="3"/>
  <c r="DD75" i="3"/>
  <c r="DE75" i="3"/>
  <c r="DF75" i="3"/>
  <c r="DG75" i="3"/>
  <c r="DH75" i="3"/>
  <c r="DI75" i="3"/>
  <c r="DL75" i="3"/>
  <c r="DN75" i="3"/>
  <c r="DP75" i="3"/>
  <c r="EB75" i="3"/>
  <c r="ED75" i="3"/>
  <c r="EE75" i="3"/>
  <c r="EF75" i="3"/>
  <c r="EG75" i="3"/>
  <c r="EK75" i="3"/>
  <c r="EL75" i="3"/>
  <c r="EM75" i="3"/>
  <c r="EQ75" i="3"/>
  <c r="ER75" i="3"/>
  <c r="ES75" i="3"/>
  <c r="ET75" i="3"/>
  <c r="EX75" i="3"/>
  <c r="EZ75" i="3"/>
  <c r="FA75" i="3"/>
  <c r="FB75" i="3"/>
  <c r="FD75" i="3"/>
  <c r="AF76" i="3"/>
  <c r="AM76" i="3"/>
  <c r="CJ76" i="3"/>
  <c r="CW76" i="3"/>
  <c r="CX76" i="3"/>
  <c r="CY76" i="3"/>
  <c r="CZ76" i="3"/>
  <c r="DA76" i="3"/>
  <c r="DC76" i="3"/>
  <c r="DD76" i="3"/>
  <c r="DE76" i="3"/>
  <c r="DF76" i="3"/>
  <c r="DG76" i="3"/>
  <c r="DH76" i="3"/>
  <c r="DI76" i="3"/>
  <c r="DL76" i="3"/>
  <c r="DN76" i="3"/>
  <c r="DP76" i="3"/>
  <c r="EB76" i="3"/>
  <c r="ED76" i="3"/>
  <c r="EE76" i="3"/>
  <c r="EF76" i="3"/>
  <c r="EG76" i="3"/>
  <c r="EK76" i="3"/>
  <c r="EL76" i="3"/>
  <c r="EM76" i="3"/>
  <c r="EQ76" i="3"/>
  <c r="ER76" i="3"/>
  <c r="ES76" i="3"/>
  <c r="ET76" i="3"/>
  <c r="EX76" i="3"/>
  <c r="EZ76" i="3"/>
  <c r="FA76" i="3"/>
  <c r="FB76" i="3"/>
  <c r="FD76" i="3"/>
  <c r="AF77" i="3"/>
  <c r="AM77" i="3"/>
  <c r="CJ77" i="3"/>
  <c r="CW77" i="3"/>
  <c r="CX77" i="3"/>
  <c r="CY77" i="3"/>
  <c r="CZ77" i="3"/>
  <c r="DA77" i="3"/>
  <c r="DC77" i="3"/>
  <c r="DD77" i="3"/>
  <c r="DE77" i="3"/>
  <c r="DF77" i="3"/>
  <c r="DG77" i="3"/>
  <c r="DH77" i="3"/>
  <c r="DI77" i="3"/>
  <c r="DL77" i="3"/>
  <c r="DN77" i="3"/>
  <c r="DP77" i="3"/>
  <c r="EB77" i="3"/>
  <c r="ED77" i="3"/>
  <c r="EE77" i="3"/>
  <c r="EF77" i="3"/>
  <c r="EG77" i="3"/>
  <c r="EK77" i="3"/>
  <c r="EL77" i="3"/>
  <c r="EM77" i="3"/>
  <c r="EQ77" i="3"/>
  <c r="ER77" i="3"/>
  <c r="ES77" i="3"/>
  <c r="ET77" i="3"/>
  <c r="EX77" i="3"/>
  <c r="EZ77" i="3"/>
  <c r="FA77" i="3"/>
  <c r="FB77" i="3"/>
  <c r="FD77" i="3"/>
  <c r="AF78" i="3"/>
  <c r="AM78" i="3"/>
  <c r="AG78" i="3"/>
  <c r="DM78" i="3"/>
  <c r="CJ78" i="3"/>
  <c r="CW78" i="3"/>
  <c r="CX78" i="3"/>
  <c r="CY78" i="3"/>
  <c r="CZ78" i="3"/>
  <c r="DC78" i="3"/>
  <c r="DD78" i="3"/>
  <c r="DE78" i="3"/>
  <c r="DF78" i="3"/>
  <c r="DG78" i="3"/>
  <c r="DH78" i="3"/>
  <c r="DI78" i="3"/>
  <c r="DL78" i="3"/>
  <c r="DN78" i="3"/>
  <c r="DP78" i="3"/>
  <c r="EB78" i="3"/>
  <c r="ED78" i="3"/>
  <c r="EE78" i="3"/>
  <c r="EF78" i="3"/>
  <c r="EG78" i="3"/>
  <c r="EK78" i="3"/>
  <c r="EL78" i="3"/>
  <c r="EM78" i="3"/>
  <c r="EQ78" i="3"/>
  <c r="ER78" i="3"/>
  <c r="ES78" i="3"/>
  <c r="ET78" i="3"/>
  <c r="EX78" i="3"/>
  <c r="EZ78" i="3"/>
  <c r="FA78" i="3"/>
  <c r="FB78" i="3"/>
  <c r="FD78" i="3"/>
  <c r="AF79" i="3"/>
  <c r="AM79" i="3"/>
  <c r="AG79" i="3"/>
  <c r="DM79" i="3"/>
  <c r="CJ79" i="3"/>
  <c r="CW79" i="3"/>
  <c r="CX79" i="3"/>
  <c r="CY79" i="3"/>
  <c r="CZ79" i="3"/>
  <c r="DC79" i="3"/>
  <c r="DD79" i="3"/>
  <c r="DE79" i="3"/>
  <c r="DF79" i="3"/>
  <c r="DG79" i="3"/>
  <c r="DH79" i="3"/>
  <c r="DI79" i="3"/>
  <c r="DL79" i="3"/>
  <c r="DN79" i="3"/>
  <c r="DP79" i="3"/>
  <c r="EB79" i="3"/>
  <c r="ED79" i="3"/>
  <c r="EE79" i="3"/>
  <c r="EF79" i="3"/>
  <c r="EG79" i="3"/>
  <c r="EK79" i="3"/>
  <c r="EL79" i="3"/>
  <c r="EM79" i="3"/>
  <c r="EQ79" i="3"/>
  <c r="ER79" i="3"/>
  <c r="ES79" i="3"/>
  <c r="ET79" i="3"/>
  <c r="EX79" i="3"/>
  <c r="EZ79" i="3"/>
  <c r="FA79" i="3"/>
  <c r="FB79" i="3"/>
  <c r="FD79" i="3"/>
  <c r="AF80" i="3"/>
  <c r="AM80" i="3"/>
  <c r="DO80" i="3"/>
  <c r="CJ80" i="3"/>
  <c r="CW80" i="3"/>
  <c r="CX80" i="3"/>
  <c r="CY80" i="3"/>
  <c r="CZ80" i="3"/>
  <c r="EH80" i="3"/>
  <c r="DC80" i="3"/>
  <c r="DD80" i="3"/>
  <c r="DE80" i="3"/>
  <c r="DF80" i="3"/>
  <c r="DG80" i="3"/>
  <c r="DH80" i="3"/>
  <c r="DI80" i="3"/>
  <c r="DL80" i="3"/>
  <c r="DN80" i="3"/>
  <c r="DP80" i="3"/>
  <c r="EB80" i="3"/>
  <c r="ED80" i="3"/>
  <c r="EE80" i="3"/>
  <c r="EF80" i="3"/>
  <c r="EG80" i="3"/>
  <c r="EK80" i="3"/>
  <c r="EL80" i="3"/>
  <c r="EM80" i="3"/>
  <c r="EQ80" i="3"/>
  <c r="ER80" i="3"/>
  <c r="ES80" i="3"/>
  <c r="ET80" i="3"/>
  <c r="EX80" i="3"/>
  <c r="EZ80" i="3"/>
  <c r="FA80" i="3"/>
  <c r="FB80" i="3"/>
  <c r="FD80" i="3"/>
  <c r="AF81" i="3"/>
  <c r="AM81" i="3"/>
  <c r="AG81" i="3"/>
  <c r="DM81" i="3"/>
  <c r="CJ81" i="3"/>
  <c r="CW81" i="3"/>
  <c r="CX81" i="3"/>
  <c r="CY81" i="3"/>
  <c r="CZ81" i="3"/>
  <c r="DA81" i="3"/>
  <c r="DC81" i="3"/>
  <c r="DD81" i="3"/>
  <c r="DE81" i="3"/>
  <c r="DF81" i="3"/>
  <c r="DG81" i="3"/>
  <c r="DH81" i="3"/>
  <c r="DI81" i="3"/>
  <c r="DL81" i="3"/>
  <c r="DN81" i="3"/>
  <c r="DP81" i="3"/>
  <c r="EB81" i="3"/>
  <c r="ED81" i="3"/>
  <c r="EE81" i="3"/>
  <c r="EF81" i="3"/>
  <c r="EG81" i="3"/>
  <c r="EK81" i="3"/>
  <c r="EL81" i="3"/>
  <c r="EM81" i="3"/>
  <c r="EQ81" i="3"/>
  <c r="ER81" i="3"/>
  <c r="ES81" i="3"/>
  <c r="ET81" i="3"/>
  <c r="EX81" i="3"/>
  <c r="EZ81" i="3"/>
  <c r="FA81" i="3"/>
  <c r="FB81" i="3"/>
  <c r="FD81" i="3"/>
  <c r="AF82" i="3"/>
  <c r="AM82" i="3"/>
  <c r="DO82" i="3"/>
  <c r="CJ82" i="3"/>
  <c r="CW82" i="3"/>
  <c r="CX82" i="3"/>
  <c r="CY82" i="3"/>
  <c r="CZ82" i="3"/>
  <c r="EH82" i="3"/>
  <c r="DC82" i="3"/>
  <c r="DD82" i="3"/>
  <c r="DE82" i="3"/>
  <c r="DF82" i="3"/>
  <c r="DG82" i="3"/>
  <c r="DH82" i="3"/>
  <c r="DI82" i="3"/>
  <c r="DL82" i="3"/>
  <c r="DN82" i="3"/>
  <c r="DP82" i="3"/>
  <c r="EB82" i="3"/>
  <c r="ED82" i="3"/>
  <c r="EE82" i="3"/>
  <c r="EF82" i="3"/>
  <c r="EG82" i="3"/>
  <c r="EK82" i="3"/>
  <c r="EL82" i="3"/>
  <c r="EM82" i="3"/>
  <c r="EQ82" i="3"/>
  <c r="ER82" i="3"/>
  <c r="ES82" i="3"/>
  <c r="ET82" i="3"/>
  <c r="EX82" i="3"/>
  <c r="EZ82" i="3"/>
  <c r="FA82" i="3"/>
  <c r="FB82" i="3"/>
  <c r="FD82" i="3"/>
  <c r="AF83" i="3"/>
  <c r="AM83" i="3"/>
  <c r="AG83" i="3"/>
  <c r="DM83" i="3"/>
  <c r="CJ83" i="3"/>
  <c r="CW83" i="3"/>
  <c r="CX83" i="3"/>
  <c r="CY83" i="3"/>
  <c r="CZ83" i="3"/>
  <c r="DA83" i="3"/>
  <c r="DC83" i="3"/>
  <c r="DD83" i="3"/>
  <c r="DE83" i="3"/>
  <c r="DF83" i="3"/>
  <c r="DG83" i="3"/>
  <c r="DH83" i="3"/>
  <c r="DI83" i="3"/>
  <c r="DL83" i="3"/>
  <c r="DN83" i="3"/>
  <c r="DP83" i="3"/>
  <c r="EB83" i="3"/>
  <c r="ED83" i="3"/>
  <c r="EE83" i="3"/>
  <c r="EF83" i="3"/>
  <c r="EG83" i="3"/>
  <c r="EK83" i="3"/>
  <c r="EL83" i="3"/>
  <c r="EM83" i="3"/>
  <c r="EQ83" i="3"/>
  <c r="ER83" i="3"/>
  <c r="ES83" i="3"/>
  <c r="ET83" i="3"/>
  <c r="EX83" i="3"/>
  <c r="EZ83" i="3"/>
  <c r="FA83" i="3"/>
  <c r="FB83" i="3"/>
  <c r="FD83" i="3"/>
  <c r="AM84" i="3"/>
  <c r="DO84" i="3"/>
  <c r="CW84" i="3"/>
  <c r="CX84" i="3"/>
  <c r="CY84" i="3"/>
  <c r="CZ84" i="3"/>
  <c r="DC84" i="3"/>
  <c r="DD84" i="3"/>
  <c r="DE84" i="3"/>
  <c r="DF84" i="3"/>
  <c r="DG84" i="3"/>
  <c r="DH84" i="3"/>
  <c r="DI84" i="3"/>
  <c r="DL84" i="3"/>
  <c r="DN84" i="3"/>
  <c r="DP84" i="3"/>
  <c r="EB84" i="3"/>
  <c r="ED84" i="3"/>
  <c r="EE84" i="3"/>
  <c r="EF84" i="3"/>
  <c r="EG84" i="3"/>
  <c r="EK84" i="3"/>
  <c r="EL84" i="3"/>
  <c r="EM84" i="3"/>
  <c r="EQ84" i="3"/>
  <c r="ER84" i="3"/>
  <c r="ES84" i="3"/>
  <c r="ET84" i="3"/>
  <c r="EX84" i="3"/>
  <c r="EZ84" i="3"/>
  <c r="FA84" i="3"/>
  <c r="FB84" i="3"/>
  <c r="FD84" i="3"/>
  <c r="AM85" i="3"/>
  <c r="CW85" i="3"/>
  <c r="CX85" i="3"/>
  <c r="CY85" i="3"/>
  <c r="CZ85" i="3"/>
  <c r="EH85" i="3"/>
  <c r="DC85" i="3"/>
  <c r="DD85" i="3"/>
  <c r="DE85" i="3"/>
  <c r="DF85" i="3"/>
  <c r="DG85" i="3"/>
  <c r="DH85" i="3"/>
  <c r="DI85" i="3"/>
  <c r="DL85" i="3"/>
  <c r="DN85" i="3"/>
  <c r="DP85" i="3"/>
  <c r="EB85" i="3"/>
  <c r="ED85" i="3"/>
  <c r="EE85" i="3"/>
  <c r="EF85" i="3"/>
  <c r="EG85" i="3"/>
  <c r="EK85" i="3"/>
  <c r="EL85" i="3"/>
  <c r="EM85" i="3"/>
  <c r="EQ85" i="3"/>
  <c r="ER85" i="3"/>
  <c r="ES85" i="3"/>
  <c r="ET85" i="3"/>
  <c r="EX85" i="3"/>
  <c r="EZ85" i="3"/>
  <c r="FA85" i="3"/>
  <c r="FB85" i="3"/>
  <c r="FD85" i="3"/>
  <c r="AF86" i="3"/>
  <c r="AM86" i="3"/>
  <c r="CJ86" i="3"/>
  <c r="CW86" i="3"/>
  <c r="CX86" i="3"/>
  <c r="CY86" i="3"/>
  <c r="CZ86" i="3"/>
  <c r="DC86" i="3"/>
  <c r="DD86" i="3"/>
  <c r="DE86" i="3"/>
  <c r="DF86" i="3"/>
  <c r="DG86" i="3"/>
  <c r="DH86" i="3"/>
  <c r="DI86" i="3"/>
  <c r="DL86" i="3"/>
  <c r="DN86" i="3"/>
  <c r="DP86" i="3"/>
  <c r="EB86" i="3"/>
  <c r="ED86" i="3"/>
  <c r="EE86" i="3"/>
  <c r="EF86" i="3"/>
  <c r="EG86" i="3"/>
  <c r="EK86" i="3"/>
  <c r="EL86" i="3"/>
  <c r="EM86" i="3"/>
  <c r="EQ86" i="3"/>
  <c r="ER86" i="3"/>
  <c r="ES86" i="3"/>
  <c r="ET86" i="3"/>
  <c r="EX86" i="3"/>
  <c r="EZ86" i="3"/>
  <c r="FA86" i="3"/>
  <c r="FB86" i="3"/>
  <c r="FD86" i="3"/>
  <c r="B91" i="16"/>
  <c r="AF87" i="3"/>
  <c r="AM87" i="3"/>
  <c r="CW87" i="3"/>
  <c r="CX87" i="3"/>
  <c r="CY87" i="3"/>
  <c r="CZ87" i="3"/>
  <c r="DA87" i="3"/>
  <c r="DC87" i="3"/>
  <c r="DD87" i="3"/>
  <c r="DE87" i="3"/>
  <c r="DF87" i="3"/>
  <c r="DG87" i="3"/>
  <c r="DH87" i="3"/>
  <c r="DI87" i="3"/>
  <c r="DL87" i="3"/>
  <c r="DN87" i="3"/>
  <c r="DP87" i="3"/>
  <c r="EB87" i="3"/>
  <c r="ED87" i="3"/>
  <c r="EE87" i="3"/>
  <c r="EF87" i="3"/>
  <c r="EG87" i="3"/>
  <c r="EK87" i="3"/>
  <c r="EL87" i="3"/>
  <c r="EM87" i="3"/>
  <c r="EQ87" i="3"/>
  <c r="ER87" i="3"/>
  <c r="ES87" i="3"/>
  <c r="ET87" i="3"/>
  <c r="EX87" i="3"/>
  <c r="EZ87" i="3"/>
  <c r="FA87" i="3"/>
  <c r="FB87" i="3"/>
  <c r="FD87" i="3"/>
  <c r="AF88" i="3"/>
  <c r="AM88" i="3"/>
  <c r="CJ88" i="3"/>
  <c r="CW88" i="3"/>
  <c r="CX88" i="3"/>
  <c r="CY88" i="3"/>
  <c r="CZ88" i="3"/>
  <c r="DA88" i="3"/>
  <c r="DC88" i="3"/>
  <c r="DD88" i="3"/>
  <c r="DE88" i="3"/>
  <c r="DF88" i="3"/>
  <c r="DG88" i="3"/>
  <c r="DH88" i="3"/>
  <c r="DI88" i="3"/>
  <c r="DL88" i="3"/>
  <c r="DN88" i="3"/>
  <c r="DP88" i="3"/>
  <c r="EB88" i="3"/>
  <c r="ED88" i="3"/>
  <c r="EE88" i="3"/>
  <c r="EF88" i="3"/>
  <c r="EG88" i="3"/>
  <c r="EK88" i="3"/>
  <c r="EL88" i="3"/>
  <c r="EM88" i="3"/>
  <c r="EQ88" i="3"/>
  <c r="ER88" i="3"/>
  <c r="ES88" i="3"/>
  <c r="ET88" i="3"/>
  <c r="EX88" i="3"/>
  <c r="EZ88" i="3"/>
  <c r="FA88" i="3"/>
  <c r="FB88" i="3"/>
  <c r="FD88" i="3"/>
  <c r="AF89" i="3"/>
  <c r="AM89" i="3"/>
  <c r="DO89" i="3"/>
  <c r="CW89" i="3"/>
  <c r="CX89" i="3"/>
  <c r="CY89" i="3"/>
  <c r="CZ89" i="3"/>
  <c r="EH89" i="3"/>
  <c r="DC89" i="3"/>
  <c r="DD89" i="3"/>
  <c r="DE89" i="3"/>
  <c r="DF89" i="3"/>
  <c r="DG89" i="3"/>
  <c r="DH89" i="3"/>
  <c r="DI89" i="3"/>
  <c r="DL89" i="3"/>
  <c r="DN89" i="3"/>
  <c r="DP89" i="3"/>
  <c r="EB89" i="3"/>
  <c r="ED89" i="3"/>
  <c r="EE89" i="3"/>
  <c r="EF89" i="3"/>
  <c r="EG89" i="3"/>
  <c r="EK89" i="3"/>
  <c r="EL89" i="3"/>
  <c r="EM89" i="3"/>
  <c r="EQ89" i="3"/>
  <c r="ER89" i="3"/>
  <c r="ES89" i="3"/>
  <c r="ET89" i="3"/>
  <c r="EX89" i="3"/>
  <c r="EZ89" i="3"/>
  <c r="FA89" i="3"/>
  <c r="FB89" i="3"/>
  <c r="FD89" i="3"/>
  <c r="AF90" i="3"/>
  <c r="AM90" i="3"/>
  <c r="DO90" i="3"/>
  <c r="CW90" i="3"/>
  <c r="CX90" i="3"/>
  <c r="CY90" i="3"/>
  <c r="CZ90" i="3"/>
  <c r="DC90" i="3"/>
  <c r="DD90" i="3"/>
  <c r="DE90" i="3"/>
  <c r="DF90" i="3"/>
  <c r="DG90" i="3"/>
  <c r="DH90" i="3"/>
  <c r="DI90" i="3"/>
  <c r="DL90" i="3"/>
  <c r="DN90" i="3"/>
  <c r="DP90" i="3"/>
  <c r="EB90" i="3"/>
  <c r="ED90" i="3"/>
  <c r="EE90" i="3"/>
  <c r="EF90" i="3"/>
  <c r="EG90" i="3"/>
  <c r="EK90" i="3"/>
  <c r="EL90" i="3"/>
  <c r="EM90" i="3"/>
  <c r="EQ90" i="3"/>
  <c r="ER90" i="3"/>
  <c r="ES90" i="3"/>
  <c r="ET90" i="3"/>
  <c r="EX90" i="3"/>
  <c r="EZ90" i="3"/>
  <c r="FA90" i="3"/>
  <c r="FB90" i="3"/>
  <c r="FD90" i="3"/>
  <c r="AF91" i="3"/>
  <c r="AM91" i="3"/>
  <c r="CW91" i="3"/>
  <c r="CX91" i="3"/>
  <c r="CY91" i="3"/>
  <c r="CZ91" i="3"/>
  <c r="EH91" i="3"/>
  <c r="DC91" i="3"/>
  <c r="DD91" i="3"/>
  <c r="DE91" i="3"/>
  <c r="DF91" i="3"/>
  <c r="DG91" i="3"/>
  <c r="DH91" i="3"/>
  <c r="DI91" i="3"/>
  <c r="DL91" i="3"/>
  <c r="DN91" i="3"/>
  <c r="DP91" i="3"/>
  <c r="EB91" i="3"/>
  <c r="ED91" i="3"/>
  <c r="EE91" i="3"/>
  <c r="EF91" i="3"/>
  <c r="EG91" i="3"/>
  <c r="EK91" i="3"/>
  <c r="EL91" i="3"/>
  <c r="EM91" i="3"/>
  <c r="EQ91" i="3"/>
  <c r="ER91" i="3"/>
  <c r="ES91" i="3"/>
  <c r="ET91" i="3"/>
  <c r="EX91" i="3"/>
  <c r="EZ91" i="3"/>
  <c r="FA91" i="3"/>
  <c r="FB91" i="3"/>
  <c r="FD91" i="3"/>
  <c r="AF92" i="3"/>
  <c r="AM92" i="3"/>
  <c r="DO92" i="3"/>
  <c r="CJ92" i="3"/>
  <c r="CW92" i="3"/>
  <c r="CX92" i="3"/>
  <c r="CY92" i="3"/>
  <c r="CZ92" i="3"/>
  <c r="DC92" i="3"/>
  <c r="DD92" i="3"/>
  <c r="DE92" i="3"/>
  <c r="DF92" i="3"/>
  <c r="DG92" i="3"/>
  <c r="DH92" i="3"/>
  <c r="DI92" i="3"/>
  <c r="DL92" i="3"/>
  <c r="DN92" i="3"/>
  <c r="DP92" i="3"/>
  <c r="EB92" i="3"/>
  <c r="ED92" i="3"/>
  <c r="EE92" i="3"/>
  <c r="EF92" i="3"/>
  <c r="EG92" i="3"/>
  <c r="EK92" i="3"/>
  <c r="EL92" i="3"/>
  <c r="EM92" i="3"/>
  <c r="EQ92" i="3"/>
  <c r="ER92" i="3"/>
  <c r="ES92" i="3"/>
  <c r="ET92" i="3"/>
  <c r="EX92" i="3"/>
  <c r="EZ92" i="3"/>
  <c r="FA92" i="3"/>
  <c r="FB92" i="3"/>
  <c r="FD92" i="3"/>
  <c r="AF93" i="3"/>
  <c r="AM93" i="3"/>
  <c r="CJ93" i="3"/>
  <c r="CW93" i="3"/>
  <c r="CX93" i="3"/>
  <c r="CY93" i="3"/>
  <c r="CZ93" i="3"/>
  <c r="DC93" i="3"/>
  <c r="DD93" i="3"/>
  <c r="DE93" i="3"/>
  <c r="DF93" i="3"/>
  <c r="DG93" i="3"/>
  <c r="DH93" i="3"/>
  <c r="DI93" i="3"/>
  <c r="DL93" i="3"/>
  <c r="DN93" i="3"/>
  <c r="DP93" i="3"/>
  <c r="EB93" i="3"/>
  <c r="ED93" i="3"/>
  <c r="EE93" i="3"/>
  <c r="EF93" i="3"/>
  <c r="EG93" i="3"/>
  <c r="EK93" i="3"/>
  <c r="EL93" i="3"/>
  <c r="EM93" i="3"/>
  <c r="EQ93" i="3"/>
  <c r="ER93" i="3"/>
  <c r="ES93" i="3"/>
  <c r="ET93" i="3"/>
  <c r="EX93" i="3"/>
  <c r="EZ93" i="3"/>
  <c r="FA93" i="3"/>
  <c r="FB93" i="3"/>
  <c r="FD93" i="3"/>
  <c r="AF94" i="3"/>
  <c r="AM94" i="3"/>
  <c r="AG94" i="3"/>
  <c r="DM94" i="3"/>
  <c r="CJ94" i="3"/>
  <c r="CW94" i="3"/>
  <c r="CX94" i="3"/>
  <c r="CY94" i="3"/>
  <c r="CZ94" i="3"/>
  <c r="DC94" i="3"/>
  <c r="DD94" i="3"/>
  <c r="DE94" i="3"/>
  <c r="DF94" i="3"/>
  <c r="DG94" i="3"/>
  <c r="DH94" i="3"/>
  <c r="DI94" i="3"/>
  <c r="DL94" i="3"/>
  <c r="DN94" i="3"/>
  <c r="DP94" i="3"/>
  <c r="EB94" i="3"/>
  <c r="ED94" i="3"/>
  <c r="EE94" i="3"/>
  <c r="EF94" i="3"/>
  <c r="EG94" i="3"/>
  <c r="EK94" i="3"/>
  <c r="EL94" i="3"/>
  <c r="EM94" i="3"/>
  <c r="EQ94" i="3"/>
  <c r="ER94" i="3"/>
  <c r="ES94" i="3"/>
  <c r="ET94" i="3"/>
  <c r="EX94" i="3"/>
  <c r="EZ94" i="3"/>
  <c r="FA94" i="3"/>
  <c r="FB94" i="3"/>
  <c r="FD94" i="3"/>
  <c r="B88" i="16"/>
  <c r="AF95" i="3"/>
  <c r="AM95" i="3"/>
  <c r="AG95" i="3"/>
  <c r="DM95" i="3"/>
  <c r="CJ95" i="3"/>
  <c r="CW95" i="3"/>
  <c r="CX95" i="3"/>
  <c r="CY95" i="3"/>
  <c r="CZ95" i="3"/>
  <c r="EH95" i="3"/>
  <c r="DC95" i="3"/>
  <c r="DD95" i="3"/>
  <c r="DE95" i="3"/>
  <c r="DF95" i="3"/>
  <c r="DG95" i="3"/>
  <c r="DH95" i="3"/>
  <c r="DI95" i="3"/>
  <c r="DL95" i="3"/>
  <c r="DN95" i="3"/>
  <c r="DP95" i="3"/>
  <c r="EB95" i="3"/>
  <c r="ED95" i="3"/>
  <c r="EE95" i="3"/>
  <c r="EF95" i="3"/>
  <c r="EG95" i="3"/>
  <c r="EK95" i="3"/>
  <c r="EL95" i="3"/>
  <c r="EM95" i="3"/>
  <c r="EQ95" i="3"/>
  <c r="ER95" i="3"/>
  <c r="ES95" i="3"/>
  <c r="ET95" i="3"/>
  <c r="EX95" i="3"/>
  <c r="EZ95" i="3"/>
  <c r="FA95" i="3"/>
  <c r="FB95" i="3"/>
  <c r="FD95" i="3"/>
  <c r="AF96" i="3"/>
  <c r="AM96" i="3"/>
  <c r="CW96" i="3"/>
  <c r="CX96" i="3"/>
  <c r="CY96" i="3"/>
  <c r="CZ96" i="3"/>
  <c r="DC96" i="3"/>
  <c r="DD96" i="3"/>
  <c r="DE96" i="3"/>
  <c r="DF96" i="3"/>
  <c r="DG96" i="3"/>
  <c r="DH96" i="3"/>
  <c r="DI96" i="3"/>
  <c r="DL96" i="3"/>
  <c r="DN96" i="3"/>
  <c r="DP96" i="3"/>
  <c r="EB96" i="3"/>
  <c r="ED96" i="3"/>
  <c r="EE96" i="3"/>
  <c r="EF96" i="3"/>
  <c r="EG96" i="3"/>
  <c r="EK96" i="3"/>
  <c r="EL96" i="3"/>
  <c r="EM96" i="3"/>
  <c r="EQ96" i="3"/>
  <c r="ER96" i="3"/>
  <c r="ES96" i="3"/>
  <c r="ET96" i="3"/>
  <c r="EX96" i="3"/>
  <c r="EZ96" i="3"/>
  <c r="FA96" i="3"/>
  <c r="FB96" i="3"/>
  <c r="FD96" i="3"/>
  <c r="AF97" i="3"/>
  <c r="AM97" i="3"/>
  <c r="CJ97" i="3"/>
  <c r="CW97" i="3"/>
  <c r="CX97" i="3"/>
  <c r="CY97" i="3"/>
  <c r="CZ97" i="3"/>
  <c r="EH97" i="3"/>
  <c r="DC97" i="3"/>
  <c r="DD97" i="3"/>
  <c r="DE97" i="3"/>
  <c r="DF97" i="3"/>
  <c r="DG97" i="3"/>
  <c r="DH97" i="3"/>
  <c r="DI97" i="3"/>
  <c r="DL97" i="3"/>
  <c r="DN97" i="3"/>
  <c r="DP97" i="3"/>
  <c r="EB97" i="3"/>
  <c r="ED97" i="3"/>
  <c r="EE97" i="3"/>
  <c r="EF97" i="3"/>
  <c r="EG97" i="3"/>
  <c r="EK97" i="3"/>
  <c r="EL97" i="3"/>
  <c r="EM97" i="3"/>
  <c r="EQ97" i="3"/>
  <c r="ER97" i="3"/>
  <c r="ES97" i="3"/>
  <c r="ET97" i="3"/>
  <c r="EX97" i="3"/>
  <c r="EZ97" i="3"/>
  <c r="FA97" i="3"/>
  <c r="FB97" i="3"/>
  <c r="FD97" i="3"/>
  <c r="AF98" i="3"/>
  <c r="AM98" i="3"/>
  <c r="CW98" i="3"/>
  <c r="CX98" i="3"/>
  <c r="CY98" i="3"/>
  <c r="CZ98" i="3"/>
  <c r="DA98" i="3"/>
  <c r="DC98" i="3"/>
  <c r="DD98" i="3"/>
  <c r="DE98" i="3"/>
  <c r="DF98" i="3"/>
  <c r="DG98" i="3"/>
  <c r="DH98" i="3"/>
  <c r="DI98" i="3"/>
  <c r="DL98" i="3"/>
  <c r="DN98" i="3"/>
  <c r="EB98" i="3"/>
  <c r="ED98" i="3"/>
  <c r="EE98" i="3"/>
  <c r="EF98" i="3"/>
  <c r="EG98" i="3"/>
  <c r="EK98" i="3"/>
  <c r="EL98" i="3"/>
  <c r="EM98" i="3"/>
  <c r="EQ98" i="3"/>
  <c r="ER98" i="3"/>
  <c r="ES98" i="3"/>
  <c r="ET98" i="3"/>
  <c r="EX98" i="3"/>
  <c r="EZ98" i="3"/>
  <c r="FA98" i="3"/>
  <c r="FB98" i="3"/>
  <c r="FD98" i="3"/>
  <c r="AF99" i="3"/>
  <c r="AM99" i="3"/>
  <c r="AG99" i="3"/>
  <c r="DM99" i="3"/>
  <c r="CJ99" i="3"/>
  <c r="CW99" i="3"/>
  <c r="CX99" i="3"/>
  <c r="CY99" i="3"/>
  <c r="CZ99" i="3"/>
  <c r="DC99" i="3"/>
  <c r="DD99" i="3"/>
  <c r="DE99" i="3"/>
  <c r="DF99" i="3"/>
  <c r="DG99" i="3"/>
  <c r="DH99" i="3"/>
  <c r="DI99" i="3"/>
  <c r="DL99" i="3"/>
  <c r="DN99" i="3"/>
  <c r="DP99" i="3"/>
  <c r="EB99" i="3"/>
  <c r="ED99" i="3"/>
  <c r="EE99" i="3"/>
  <c r="EF99" i="3"/>
  <c r="EG99" i="3"/>
  <c r="EK99" i="3"/>
  <c r="EL99" i="3"/>
  <c r="EM99" i="3"/>
  <c r="EQ99" i="3"/>
  <c r="ER99" i="3"/>
  <c r="ES99" i="3"/>
  <c r="ET99" i="3"/>
  <c r="EX99" i="3"/>
  <c r="EZ99" i="3"/>
  <c r="FA99" i="3"/>
  <c r="FB99" i="3"/>
  <c r="FD99" i="3"/>
  <c r="AF100" i="3"/>
  <c r="AM100" i="3"/>
  <c r="DO100" i="3"/>
  <c r="CJ100" i="3"/>
  <c r="CW100" i="3"/>
  <c r="CX100" i="3"/>
  <c r="CY100" i="3"/>
  <c r="CZ100" i="3"/>
  <c r="DC100" i="3"/>
  <c r="DD100" i="3"/>
  <c r="DE100" i="3"/>
  <c r="DF100" i="3"/>
  <c r="DG100" i="3"/>
  <c r="DH100" i="3"/>
  <c r="DI100" i="3"/>
  <c r="DL100" i="3"/>
  <c r="DN100" i="3"/>
  <c r="DP100" i="3"/>
  <c r="EB100" i="3"/>
  <c r="ED100" i="3"/>
  <c r="EE100" i="3"/>
  <c r="EF100" i="3"/>
  <c r="EG100" i="3"/>
  <c r="EK100" i="3"/>
  <c r="EL100" i="3"/>
  <c r="EM100" i="3"/>
  <c r="EQ100" i="3"/>
  <c r="ER100" i="3"/>
  <c r="ES100" i="3"/>
  <c r="ET100" i="3"/>
  <c r="EX100" i="3"/>
  <c r="EZ100" i="3"/>
  <c r="FA100" i="3"/>
  <c r="FB100" i="3"/>
  <c r="FD100" i="3"/>
  <c r="AF101" i="3"/>
  <c r="AM101" i="3"/>
  <c r="DO101" i="3"/>
  <c r="CJ101" i="3"/>
  <c r="CW101" i="3"/>
  <c r="CX101" i="3"/>
  <c r="CY101" i="3"/>
  <c r="CZ101" i="3"/>
  <c r="DC101" i="3"/>
  <c r="DD101" i="3"/>
  <c r="DE101" i="3"/>
  <c r="DF101" i="3"/>
  <c r="DG101" i="3"/>
  <c r="DH101" i="3"/>
  <c r="DI101" i="3"/>
  <c r="DL101" i="3"/>
  <c r="DN101" i="3"/>
  <c r="DP101" i="3"/>
  <c r="EB101" i="3"/>
  <c r="ED101" i="3"/>
  <c r="EE101" i="3"/>
  <c r="EF101" i="3"/>
  <c r="EG101" i="3"/>
  <c r="EK101" i="3"/>
  <c r="EL101" i="3"/>
  <c r="EM101" i="3"/>
  <c r="EQ101" i="3"/>
  <c r="ER101" i="3"/>
  <c r="ES101" i="3"/>
  <c r="ET101" i="3"/>
  <c r="EX101" i="3"/>
  <c r="EZ101" i="3"/>
  <c r="FA101" i="3"/>
  <c r="FB101" i="3"/>
  <c r="FD101" i="3"/>
  <c r="AF102" i="3"/>
  <c r="AM102" i="3"/>
  <c r="CJ102" i="3"/>
  <c r="CW102" i="3"/>
  <c r="CX102" i="3"/>
  <c r="CY102" i="3"/>
  <c r="CZ102" i="3"/>
  <c r="DC102" i="3"/>
  <c r="DD102" i="3"/>
  <c r="DE102" i="3"/>
  <c r="DF102" i="3"/>
  <c r="DG102" i="3"/>
  <c r="DH102" i="3"/>
  <c r="DI102" i="3"/>
  <c r="DL102" i="3"/>
  <c r="DN102" i="3"/>
  <c r="DP102" i="3"/>
  <c r="EB102" i="3"/>
  <c r="ED102" i="3"/>
  <c r="EE102" i="3"/>
  <c r="EF102" i="3"/>
  <c r="EG102" i="3"/>
  <c r="EK102" i="3"/>
  <c r="EL102" i="3"/>
  <c r="EM102" i="3"/>
  <c r="EQ102" i="3"/>
  <c r="ER102" i="3"/>
  <c r="ES102" i="3"/>
  <c r="ET102" i="3"/>
  <c r="EX102" i="3"/>
  <c r="EZ102" i="3"/>
  <c r="FA102" i="3"/>
  <c r="FB102" i="3"/>
  <c r="FD102" i="3"/>
  <c r="AF103" i="3"/>
  <c r="AM103" i="3"/>
  <c r="AG103" i="3"/>
  <c r="DM103" i="3"/>
  <c r="CJ103" i="3"/>
  <c r="CW103" i="3"/>
  <c r="CX103" i="3"/>
  <c r="CY103" i="3"/>
  <c r="CZ103" i="3"/>
  <c r="DA103" i="3"/>
  <c r="DC103" i="3"/>
  <c r="DD103" i="3"/>
  <c r="DE103" i="3"/>
  <c r="DF103" i="3"/>
  <c r="DG103" i="3"/>
  <c r="DH103" i="3"/>
  <c r="DI103" i="3"/>
  <c r="DL103" i="3"/>
  <c r="DN103" i="3"/>
  <c r="DP103" i="3"/>
  <c r="EB103" i="3"/>
  <c r="ED103" i="3"/>
  <c r="EE103" i="3"/>
  <c r="EF103" i="3"/>
  <c r="EG103" i="3"/>
  <c r="EK103" i="3"/>
  <c r="EL103" i="3"/>
  <c r="EM103" i="3"/>
  <c r="EQ103" i="3"/>
  <c r="ER103" i="3"/>
  <c r="ES103" i="3"/>
  <c r="ET103" i="3"/>
  <c r="EX103" i="3"/>
  <c r="EZ103" i="3"/>
  <c r="FA103" i="3"/>
  <c r="FB103" i="3"/>
  <c r="FD103" i="3"/>
  <c r="AF104" i="3"/>
  <c r="AM104" i="3"/>
  <c r="CJ104" i="3"/>
  <c r="CW104" i="3"/>
  <c r="CX104" i="3"/>
  <c r="CY104" i="3"/>
  <c r="CZ104" i="3"/>
  <c r="DA104" i="3"/>
  <c r="DC104" i="3"/>
  <c r="DD104" i="3"/>
  <c r="DE104" i="3"/>
  <c r="DF104" i="3"/>
  <c r="DG104" i="3"/>
  <c r="DH104" i="3"/>
  <c r="DI104" i="3"/>
  <c r="DL104" i="3"/>
  <c r="DN104" i="3"/>
  <c r="DP104" i="3"/>
  <c r="EB104" i="3"/>
  <c r="ED104" i="3"/>
  <c r="EE104" i="3"/>
  <c r="EF104" i="3"/>
  <c r="EG104" i="3"/>
  <c r="EK104" i="3"/>
  <c r="EL104" i="3"/>
  <c r="EM104" i="3"/>
  <c r="EQ104" i="3"/>
  <c r="ER104" i="3"/>
  <c r="ES104" i="3"/>
  <c r="ET104" i="3"/>
  <c r="EX104" i="3"/>
  <c r="EZ104" i="3"/>
  <c r="FA104" i="3"/>
  <c r="FB104" i="3"/>
  <c r="FD104" i="3"/>
  <c r="AF105" i="3"/>
  <c r="AM105" i="3"/>
  <c r="AG105" i="3"/>
  <c r="DM105" i="3"/>
  <c r="CJ105" i="3"/>
  <c r="CW105" i="3"/>
  <c r="CX105" i="3"/>
  <c r="CY105" i="3"/>
  <c r="CZ105" i="3"/>
  <c r="DC105" i="3"/>
  <c r="DD105" i="3"/>
  <c r="DE105" i="3"/>
  <c r="DF105" i="3"/>
  <c r="DG105" i="3"/>
  <c r="DH105" i="3"/>
  <c r="DI105" i="3"/>
  <c r="DL105" i="3"/>
  <c r="DN105" i="3"/>
  <c r="DP105" i="3"/>
  <c r="EB105" i="3"/>
  <c r="ED105" i="3"/>
  <c r="EE105" i="3"/>
  <c r="EF105" i="3"/>
  <c r="EG105" i="3"/>
  <c r="EK105" i="3"/>
  <c r="EL105" i="3"/>
  <c r="EM105" i="3"/>
  <c r="EQ105" i="3"/>
  <c r="ER105" i="3"/>
  <c r="ES105" i="3"/>
  <c r="ET105" i="3"/>
  <c r="EX105" i="3"/>
  <c r="EZ105" i="3"/>
  <c r="FA105" i="3"/>
  <c r="FB105" i="3"/>
  <c r="FD105" i="3"/>
  <c r="AF106" i="3"/>
  <c r="AM106" i="3"/>
  <c r="AG106" i="3"/>
  <c r="DM106" i="3"/>
  <c r="CJ106" i="3"/>
  <c r="CW106" i="3"/>
  <c r="CX106" i="3"/>
  <c r="CY106" i="3"/>
  <c r="CZ106" i="3"/>
  <c r="DC106" i="3"/>
  <c r="DD106" i="3"/>
  <c r="DE106" i="3"/>
  <c r="DF106" i="3"/>
  <c r="DG106" i="3"/>
  <c r="DH106" i="3"/>
  <c r="DI106" i="3"/>
  <c r="DL106" i="3"/>
  <c r="DN106" i="3"/>
  <c r="DP106" i="3"/>
  <c r="EB106" i="3"/>
  <c r="ED106" i="3"/>
  <c r="EE106" i="3"/>
  <c r="EF106" i="3"/>
  <c r="EG106" i="3"/>
  <c r="EK106" i="3"/>
  <c r="EL106" i="3"/>
  <c r="EM106" i="3"/>
  <c r="EQ106" i="3"/>
  <c r="ER106" i="3"/>
  <c r="ES106" i="3"/>
  <c r="ET106" i="3"/>
  <c r="EX106" i="3"/>
  <c r="EZ106" i="3"/>
  <c r="FA106" i="3"/>
  <c r="FB106" i="3"/>
  <c r="FD106" i="3"/>
  <c r="AF107" i="3"/>
  <c r="AM107" i="3"/>
  <c r="CJ107" i="3"/>
  <c r="CW107" i="3"/>
  <c r="CX107" i="3"/>
  <c r="CY107" i="3"/>
  <c r="CZ107" i="3"/>
  <c r="DC107" i="3"/>
  <c r="DD107" i="3"/>
  <c r="DE107" i="3"/>
  <c r="DF107" i="3"/>
  <c r="DG107" i="3"/>
  <c r="DH107" i="3"/>
  <c r="DI107" i="3"/>
  <c r="DL107" i="3"/>
  <c r="DN107" i="3"/>
  <c r="DP107" i="3"/>
  <c r="EB107" i="3"/>
  <c r="ED107" i="3"/>
  <c r="EE107" i="3"/>
  <c r="EF107" i="3"/>
  <c r="EG107" i="3"/>
  <c r="EK107" i="3"/>
  <c r="EL107" i="3"/>
  <c r="EM107" i="3"/>
  <c r="EQ107" i="3"/>
  <c r="ER107" i="3"/>
  <c r="ES107" i="3"/>
  <c r="ET107" i="3"/>
  <c r="EX107" i="3"/>
  <c r="EZ107" i="3"/>
  <c r="FA107" i="3"/>
  <c r="FB107" i="3"/>
  <c r="FD107" i="3"/>
  <c r="AF108" i="3"/>
  <c r="AM108" i="3"/>
  <c r="CJ108" i="3"/>
  <c r="CW108" i="3"/>
  <c r="CX108" i="3"/>
  <c r="CY108" i="3"/>
  <c r="CZ108" i="3"/>
  <c r="DC108" i="3"/>
  <c r="DD108" i="3"/>
  <c r="DE108" i="3"/>
  <c r="DF108" i="3"/>
  <c r="DG108" i="3"/>
  <c r="DH108" i="3"/>
  <c r="DI108" i="3"/>
  <c r="DL108" i="3"/>
  <c r="DN108" i="3"/>
  <c r="DP108" i="3"/>
  <c r="EB108" i="3"/>
  <c r="ED108" i="3"/>
  <c r="EE108" i="3"/>
  <c r="EF108" i="3"/>
  <c r="EG108" i="3"/>
  <c r="EK108" i="3"/>
  <c r="EL108" i="3"/>
  <c r="EM108" i="3"/>
  <c r="EQ108" i="3"/>
  <c r="ER108" i="3"/>
  <c r="ES108" i="3"/>
  <c r="ET108" i="3"/>
  <c r="EX108" i="3"/>
  <c r="EZ108" i="3"/>
  <c r="FA108" i="3"/>
  <c r="FB108" i="3"/>
  <c r="FD108" i="3"/>
  <c r="AF109" i="3"/>
  <c r="AM109" i="3"/>
  <c r="CJ109" i="3"/>
  <c r="CW109" i="3"/>
  <c r="CX109" i="3"/>
  <c r="CY109" i="3"/>
  <c r="CZ109" i="3"/>
  <c r="DC109" i="3"/>
  <c r="DD109" i="3"/>
  <c r="DE109" i="3"/>
  <c r="DF109" i="3"/>
  <c r="DG109" i="3"/>
  <c r="DH109" i="3"/>
  <c r="DI109" i="3"/>
  <c r="DL109" i="3"/>
  <c r="DN109" i="3"/>
  <c r="DP109" i="3"/>
  <c r="EB109" i="3"/>
  <c r="ED109" i="3"/>
  <c r="EE109" i="3"/>
  <c r="EF109" i="3"/>
  <c r="EG109" i="3"/>
  <c r="EK109" i="3"/>
  <c r="EL109" i="3"/>
  <c r="EM109" i="3"/>
  <c r="EQ109" i="3"/>
  <c r="ER109" i="3"/>
  <c r="ES109" i="3"/>
  <c r="ET109" i="3"/>
  <c r="EX109" i="3"/>
  <c r="EZ109" i="3"/>
  <c r="FA109" i="3"/>
  <c r="FB109" i="3"/>
  <c r="FD109" i="3"/>
  <c r="AF110" i="3"/>
  <c r="AM110" i="3"/>
  <c r="CJ110" i="3"/>
  <c r="CW110" i="3"/>
  <c r="CX110" i="3"/>
  <c r="CY110" i="3"/>
  <c r="CZ110" i="3"/>
  <c r="DC110" i="3"/>
  <c r="DD110" i="3"/>
  <c r="DE110" i="3"/>
  <c r="DF110" i="3"/>
  <c r="DG110" i="3"/>
  <c r="DH110" i="3"/>
  <c r="DI110" i="3"/>
  <c r="DL110" i="3"/>
  <c r="DN110" i="3"/>
  <c r="DP110" i="3"/>
  <c r="EB110" i="3"/>
  <c r="ED110" i="3"/>
  <c r="EE110" i="3"/>
  <c r="EF110" i="3"/>
  <c r="EG110" i="3"/>
  <c r="EK110" i="3"/>
  <c r="EL110" i="3"/>
  <c r="EM110" i="3"/>
  <c r="EQ110" i="3"/>
  <c r="ER110" i="3"/>
  <c r="ES110" i="3"/>
  <c r="ET110" i="3"/>
  <c r="EX110" i="3"/>
  <c r="EZ110" i="3"/>
  <c r="FA110" i="3"/>
  <c r="FB110" i="3"/>
  <c r="FD110" i="3"/>
  <c r="AF111" i="3"/>
  <c r="AM111" i="3"/>
  <c r="DO111" i="3"/>
  <c r="CW111" i="3"/>
  <c r="CX111" i="3"/>
  <c r="CY111" i="3"/>
  <c r="CZ111" i="3"/>
  <c r="EH111" i="3"/>
  <c r="DC111" i="3"/>
  <c r="DD111" i="3"/>
  <c r="DE111" i="3"/>
  <c r="DF111" i="3"/>
  <c r="DG111" i="3"/>
  <c r="DH111" i="3"/>
  <c r="DI111" i="3"/>
  <c r="DL111" i="3"/>
  <c r="DN111" i="3"/>
  <c r="DP111" i="3"/>
  <c r="EB111" i="3"/>
  <c r="ED111" i="3"/>
  <c r="EE111" i="3"/>
  <c r="EF111" i="3"/>
  <c r="EG111" i="3"/>
  <c r="EK111" i="3"/>
  <c r="EL111" i="3"/>
  <c r="EM111" i="3"/>
  <c r="EQ111" i="3"/>
  <c r="ER111" i="3"/>
  <c r="ES111" i="3"/>
  <c r="ET111" i="3"/>
  <c r="EX111" i="3"/>
  <c r="EZ111" i="3"/>
  <c r="FA111" i="3"/>
  <c r="FB111" i="3"/>
  <c r="FD111" i="3"/>
  <c r="AF112" i="3"/>
  <c r="AM112" i="3"/>
  <c r="DO112" i="3"/>
  <c r="CJ112" i="3"/>
  <c r="CW112" i="3"/>
  <c r="CX112" i="3"/>
  <c r="CY112" i="3"/>
  <c r="CZ112" i="3"/>
  <c r="DA112" i="3"/>
  <c r="DC112" i="3"/>
  <c r="DD112" i="3"/>
  <c r="DE112" i="3"/>
  <c r="DF112" i="3"/>
  <c r="DG112" i="3"/>
  <c r="DH112" i="3"/>
  <c r="DI112" i="3"/>
  <c r="DL112" i="3"/>
  <c r="DN112" i="3"/>
  <c r="DP112" i="3"/>
  <c r="EB112" i="3"/>
  <c r="ED112" i="3"/>
  <c r="EE112" i="3"/>
  <c r="EF112" i="3"/>
  <c r="EG112" i="3"/>
  <c r="EK112" i="3"/>
  <c r="EL112" i="3"/>
  <c r="EM112" i="3"/>
  <c r="EQ112" i="3"/>
  <c r="ER112" i="3"/>
  <c r="ES112" i="3"/>
  <c r="ET112" i="3"/>
  <c r="EX112" i="3"/>
  <c r="EZ112" i="3"/>
  <c r="FA112" i="3"/>
  <c r="FB112" i="3"/>
  <c r="FD112" i="3"/>
  <c r="AF113" i="3"/>
  <c r="AM113" i="3"/>
  <c r="CJ113" i="3"/>
  <c r="CW113" i="3"/>
  <c r="CX113" i="3"/>
  <c r="CY113" i="3"/>
  <c r="CZ113" i="3"/>
  <c r="DC113" i="3"/>
  <c r="DD113" i="3"/>
  <c r="DE113" i="3"/>
  <c r="DF113" i="3"/>
  <c r="DG113" i="3"/>
  <c r="DH113" i="3"/>
  <c r="DI113" i="3"/>
  <c r="DL113" i="3"/>
  <c r="DN113" i="3"/>
  <c r="DP113" i="3"/>
  <c r="EB113" i="3"/>
  <c r="ED113" i="3"/>
  <c r="EE113" i="3"/>
  <c r="EF113" i="3"/>
  <c r="EG113" i="3"/>
  <c r="EK113" i="3"/>
  <c r="EL113" i="3"/>
  <c r="EM113" i="3"/>
  <c r="EQ113" i="3"/>
  <c r="ER113" i="3"/>
  <c r="ES113" i="3"/>
  <c r="ET113" i="3"/>
  <c r="EX113" i="3"/>
  <c r="EZ113" i="3"/>
  <c r="FA113" i="3"/>
  <c r="FB113" i="3"/>
  <c r="FD113" i="3"/>
  <c r="AF114" i="3"/>
  <c r="AM114" i="3"/>
  <c r="DO114" i="3"/>
  <c r="CW114" i="3"/>
  <c r="CX114" i="3"/>
  <c r="CY114" i="3"/>
  <c r="CZ114" i="3"/>
  <c r="DC114" i="3"/>
  <c r="DD114" i="3"/>
  <c r="DE114" i="3"/>
  <c r="DF114" i="3"/>
  <c r="DG114" i="3"/>
  <c r="DH114" i="3"/>
  <c r="DI114" i="3"/>
  <c r="DL114" i="3"/>
  <c r="DN114" i="3"/>
  <c r="DP114" i="3"/>
  <c r="EB114" i="3"/>
  <c r="ED114" i="3"/>
  <c r="EE114" i="3"/>
  <c r="EF114" i="3"/>
  <c r="EG114" i="3"/>
  <c r="EK114" i="3"/>
  <c r="EL114" i="3"/>
  <c r="EM114" i="3"/>
  <c r="EQ114" i="3"/>
  <c r="ER114" i="3"/>
  <c r="ES114" i="3"/>
  <c r="ET114" i="3"/>
  <c r="EX114" i="3"/>
  <c r="EZ114" i="3"/>
  <c r="FA114" i="3"/>
  <c r="FB114" i="3"/>
  <c r="FD114" i="3"/>
  <c r="AF115" i="3"/>
  <c r="AM115" i="3"/>
  <c r="CW115" i="3"/>
  <c r="CX115" i="3"/>
  <c r="CY115" i="3"/>
  <c r="CZ115" i="3"/>
  <c r="DA115" i="3"/>
  <c r="DC115" i="3"/>
  <c r="DD115" i="3"/>
  <c r="DE115" i="3"/>
  <c r="DF115" i="3"/>
  <c r="DG115" i="3"/>
  <c r="DH115" i="3"/>
  <c r="DI115" i="3"/>
  <c r="DL115" i="3"/>
  <c r="DN115" i="3"/>
  <c r="DP115" i="3"/>
  <c r="EB115" i="3"/>
  <c r="ED115" i="3"/>
  <c r="EE115" i="3"/>
  <c r="EF115" i="3"/>
  <c r="EG115" i="3"/>
  <c r="EK115" i="3"/>
  <c r="EL115" i="3"/>
  <c r="EM115" i="3"/>
  <c r="EQ115" i="3"/>
  <c r="ER115" i="3"/>
  <c r="ES115" i="3"/>
  <c r="ET115" i="3"/>
  <c r="EX115" i="3"/>
  <c r="EZ115" i="3"/>
  <c r="FA115" i="3"/>
  <c r="FB115" i="3"/>
  <c r="FD115" i="3"/>
  <c r="AF116" i="3"/>
  <c r="AM116" i="3"/>
  <c r="AG116" i="3"/>
  <c r="DM116" i="3"/>
  <c r="CJ116" i="3"/>
  <c r="CW116" i="3"/>
  <c r="CX116" i="3"/>
  <c r="CY116" i="3"/>
  <c r="CZ116" i="3"/>
  <c r="DA116" i="3"/>
  <c r="DC116" i="3"/>
  <c r="DD116" i="3"/>
  <c r="DE116" i="3"/>
  <c r="DF116" i="3"/>
  <c r="DG116" i="3"/>
  <c r="DH116" i="3"/>
  <c r="DI116" i="3"/>
  <c r="DL116" i="3"/>
  <c r="DN116" i="3"/>
  <c r="DP116" i="3"/>
  <c r="EB116" i="3"/>
  <c r="ED116" i="3"/>
  <c r="EE116" i="3"/>
  <c r="EF116" i="3"/>
  <c r="EG116" i="3"/>
  <c r="EK116" i="3"/>
  <c r="EL116" i="3"/>
  <c r="EM116" i="3"/>
  <c r="EQ116" i="3"/>
  <c r="ER116" i="3"/>
  <c r="ES116" i="3"/>
  <c r="ET116" i="3"/>
  <c r="EX116" i="3"/>
  <c r="EZ116" i="3"/>
  <c r="FA116" i="3"/>
  <c r="FB116" i="3"/>
  <c r="FD116" i="3"/>
  <c r="AF117" i="3"/>
  <c r="AM117" i="3"/>
  <c r="AG117" i="3"/>
  <c r="DM117" i="3"/>
  <c r="CJ117" i="3"/>
  <c r="CW117" i="3"/>
  <c r="CX117" i="3"/>
  <c r="CY117" i="3"/>
  <c r="CZ117" i="3"/>
  <c r="DC117" i="3"/>
  <c r="DD117" i="3"/>
  <c r="DE117" i="3"/>
  <c r="DF117" i="3"/>
  <c r="DG117" i="3"/>
  <c r="DH117" i="3"/>
  <c r="DI117" i="3"/>
  <c r="DL117" i="3"/>
  <c r="DN117" i="3"/>
  <c r="DP117" i="3"/>
  <c r="EB117" i="3"/>
  <c r="ED117" i="3"/>
  <c r="EE117" i="3"/>
  <c r="EF117" i="3"/>
  <c r="EG117" i="3"/>
  <c r="EK117" i="3"/>
  <c r="EL117" i="3"/>
  <c r="EM117" i="3"/>
  <c r="EQ117" i="3"/>
  <c r="ER117" i="3"/>
  <c r="ES117" i="3"/>
  <c r="ET117" i="3"/>
  <c r="EX117" i="3"/>
  <c r="EZ117" i="3"/>
  <c r="FA117" i="3"/>
  <c r="FB117" i="3"/>
  <c r="FD117" i="3"/>
  <c r="AF118" i="3"/>
  <c r="AM118" i="3"/>
  <c r="CW118" i="3"/>
  <c r="CX118" i="3"/>
  <c r="CY118" i="3"/>
  <c r="CZ118" i="3"/>
  <c r="DA118" i="3"/>
  <c r="DC118" i="3"/>
  <c r="DD118" i="3"/>
  <c r="DE118" i="3"/>
  <c r="DF118" i="3"/>
  <c r="DG118" i="3"/>
  <c r="DH118" i="3"/>
  <c r="DI118" i="3"/>
  <c r="DL118" i="3"/>
  <c r="DN118" i="3"/>
  <c r="DP118" i="3"/>
  <c r="EB118" i="3"/>
  <c r="ED118" i="3"/>
  <c r="EE118" i="3"/>
  <c r="EF118" i="3"/>
  <c r="EG118" i="3"/>
  <c r="EK118" i="3"/>
  <c r="EL118" i="3"/>
  <c r="EM118" i="3"/>
  <c r="EQ118" i="3"/>
  <c r="ER118" i="3"/>
  <c r="ES118" i="3"/>
  <c r="ET118" i="3"/>
  <c r="EX118" i="3"/>
  <c r="EZ118" i="3"/>
  <c r="FA118" i="3"/>
  <c r="FB118" i="3"/>
  <c r="FD118" i="3"/>
  <c r="AF119" i="3"/>
  <c r="AM119" i="3"/>
  <c r="CJ119" i="3"/>
  <c r="CW119" i="3"/>
  <c r="CX119" i="3"/>
  <c r="CY119" i="3"/>
  <c r="CZ119" i="3"/>
  <c r="DC119" i="3"/>
  <c r="DD119" i="3"/>
  <c r="DE119" i="3"/>
  <c r="DF119" i="3"/>
  <c r="DG119" i="3"/>
  <c r="DH119" i="3"/>
  <c r="DI119" i="3"/>
  <c r="DL119" i="3"/>
  <c r="DN119" i="3"/>
  <c r="DP119" i="3"/>
  <c r="EB119" i="3"/>
  <c r="ED119" i="3"/>
  <c r="EE119" i="3"/>
  <c r="EF119" i="3"/>
  <c r="EG119" i="3"/>
  <c r="EK119" i="3"/>
  <c r="EL119" i="3"/>
  <c r="EM119" i="3"/>
  <c r="EQ119" i="3"/>
  <c r="ER119" i="3"/>
  <c r="ES119" i="3"/>
  <c r="ET119" i="3"/>
  <c r="EX119" i="3"/>
  <c r="EZ119" i="3"/>
  <c r="FA119" i="3"/>
  <c r="FB119" i="3"/>
  <c r="FD119" i="3"/>
  <c r="AF120" i="3"/>
  <c r="AM120" i="3"/>
  <c r="CJ120" i="3"/>
  <c r="CW120" i="3"/>
  <c r="CX120" i="3"/>
  <c r="CY120" i="3"/>
  <c r="CZ120" i="3"/>
  <c r="DC120" i="3"/>
  <c r="DD120" i="3"/>
  <c r="DE120" i="3"/>
  <c r="DF120" i="3"/>
  <c r="DG120" i="3"/>
  <c r="DH120" i="3"/>
  <c r="DI120" i="3"/>
  <c r="DL120" i="3"/>
  <c r="DN120" i="3"/>
  <c r="DP120" i="3"/>
  <c r="EB120" i="3"/>
  <c r="ED120" i="3"/>
  <c r="EE120" i="3"/>
  <c r="EF120" i="3"/>
  <c r="EG120" i="3"/>
  <c r="EK120" i="3"/>
  <c r="EL120" i="3"/>
  <c r="EM120" i="3"/>
  <c r="EQ120" i="3"/>
  <c r="ER120" i="3"/>
  <c r="ES120" i="3"/>
  <c r="ET120" i="3"/>
  <c r="EX120" i="3"/>
  <c r="EZ120" i="3"/>
  <c r="FA120" i="3"/>
  <c r="FB120" i="3"/>
  <c r="FD120" i="3"/>
  <c r="AF121" i="3"/>
  <c r="AM121" i="3"/>
  <c r="AG121" i="3"/>
  <c r="DM121" i="3"/>
  <c r="CJ121" i="3"/>
  <c r="CW121" i="3"/>
  <c r="CX121" i="3"/>
  <c r="CY121" i="3"/>
  <c r="CZ121" i="3"/>
  <c r="EH121" i="3"/>
  <c r="DC121" i="3"/>
  <c r="DD121" i="3"/>
  <c r="DE121" i="3"/>
  <c r="DF121" i="3"/>
  <c r="DG121" i="3"/>
  <c r="DH121" i="3"/>
  <c r="DI121" i="3"/>
  <c r="DL121" i="3"/>
  <c r="DN121" i="3"/>
  <c r="DP121" i="3"/>
  <c r="EB121" i="3"/>
  <c r="ED121" i="3"/>
  <c r="EE121" i="3"/>
  <c r="EF121" i="3"/>
  <c r="EG121" i="3"/>
  <c r="EK121" i="3"/>
  <c r="EL121" i="3"/>
  <c r="EM121" i="3"/>
  <c r="EQ121" i="3"/>
  <c r="ER121" i="3"/>
  <c r="ES121" i="3"/>
  <c r="ET121" i="3"/>
  <c r="EX121" i="3"/>
  <c r="EZ121" i="3"/>
  <c r="FA121" i="3"/>
  <c r="FB121" i="3"/>
  <c r="FD121" i="3"/>
  <c r="AF122" i="3"/>
  <c r="AM122" i="3"/>
  <c r="DO122" i="3"/>
  <c r="CJ122" i="3"/>
  <c r="CW122" i="3"/>
  <c r="CX122" i="3"/>
  <c r="CY122" i="3"/>
  <c r="CZ122" i="3"/>
  <c r="EH122" i="3"/>
  <c r="DC122" i="3"/>
  <c r="DD122" i="3"/>
  <c r="DE122" i="3"/>
  <c r="DF122" i="3"/>
  <c r="DG122" i="3"/>
  <c r="DH122" i="3"/>
  <c r="DI122" i="3"/>
  <c r="DL122" i="3"/>
  <c r="DN122" i="3"/>
  <c r="DP122" i="3"/>
  <c r="EB122" i="3"/>
  <c r="ED122" i="3"/>
  <c r="EE122" i="3"/>
  <c r="EF122" i="3"/>
  <c r="EG122" i="3"/>
  <c r="EK122" i="3"/>
  <c r="EL122" i="3"/>
  <c r="EM122" i="3"/>
  <c r="EQ122" i="3"/>
  <c r="ER122" i="3"/>
  <c r="ES122" i="3"/>
  <c r="ET122" i="3"/>
  <c r="EX122" i="3"/>
  <c r="EZ122" i="3"/>
  <c r="FA122" i="3"/>
  <c r="FB122" i="3"/>
  <c r="FD122" i="3"/>
  <c r="AF123" i="3"/>
  <c r="AM123" i="3"/>
  <c r="DO123" i="3"/>
  <c r="CJ123" i="3"/>
  <c r="CW123" i="3"/>
  <c r="CX123" i="3"/>
  <c r="CY123" i="3"/>
  <c r="CZ123" i="3"/>
  <c r="DA123" i="3"/>
  <c r="DC123" i="3"/>
  <c r="DD123" i="3"/>
  <c r="DE123" i="3"/>
  <c r="DF123" i="3"/>
  <c r="DG123" i="3"/>
  <c r="DH123" i="3"/>
  <c r="DI123" i="3"/>
  <c r="DL123" i="3"/>
  <c r="DN123" i="3"/>
  <c r="DP123" i="3"/>
  <c r="EB123" i="3"/>
  <c r="ED123" i="3"/>
  <c r="EE123" i="3"/>
  <c r="EF123" i="3"/>
  <c r="EG123" i="3"/>
  <c r="EK123" i="3"/>
  <c r="EL123" i="3"/>
  <c r="EM123" i="3"/>
  <c r="EQ123" i="3"/>
  <c r="ER123" i="3"/>
  <c r="ES123" i="3"/>
  <c r="ET123" i="3"/>
  <c r="EX123" i="3"/>
  <c r="EZ123" i="3"/>
  <c r="FA123" i="3"/>
  <c r="FB123" i="3"/>
  <c r="FD123" i="3"/>
  <c r="AF124" i="3"/>
  <c r="AM124" i="3"/>
  <c r="DO124" i="3"/>
  <c r="CJ124" i="3"/>
  <c r="CW124" i="3"/>
  <c r="CX124" i="3"/>
  <c r="CY124" i="3"/>
  <c r="CZ124" i="3"/>
  <c r="DA124" i="3"/>
  <c r="DC124" i="3"/>
  <c r="DD124" i="3"/>
  <c r="DE124" i="3"/>
  <c r="DF124" i="3"/>
  <c r="DG124" i="3"/>
  <c r="DH124" i="3"/>
  <c r="DI124" i="3"/>
  <c r="DL124" i="3"/>
  <c r="DN124" i="3"/>
  <c r="DP124" i="3"/>
  <c r="EB124" i="3"/>
  <c r="ED124" i="3"/>
  <c r="EE124" i="3"/>
  <c r="EF124" i="3"/>
  <c r="EG124" i="3"/>
  <c r="EK124" i="3"/>
  <c r="EL124" i="3"/>
  <c r="EM124" i="3"/>
  <c r="EQ124" i="3"/>
  <c r="ER124" i="3"/>
  <c r="ES124" i="3"/>
  <c r="ET124" i="3"/>
  <c r="EX124" i="3"/>
  <c r="EZ124" i="3"/>
  <c r="FA124" i="3"/>
  <c r="FB124" i="3"/>
  <c r="FD124" i="3"/>
  <c r="AF125" i="3"/>
  <c r="AM125" i="3"/>
  <c r="CW125" i="3"/>
  <c r="CX125" i="3"/>
  <c r="CY125" i="3"/>
  <c r="CZ125" i="3"/>
  <c r="DA125" i="3"/>
  <c r="DC125" i="3"/>
  <c r="DD125" i="3"/>
  <c r="DE125" i="3"/>
  <c r="DF125" i="3"/>
  <c r="DG125" i="3"/>
  <c r="DH125" i="3"/>
  <c r="DI125" i="3"/>
  <c r="DL125" i="3"/>
  <c r="DN125" i="3"/>
  <c r="DP125" i="3"/>
  <c r="EB125" i="3"/>
  <c r="ED125" i="3"/>
  <c r="EE125" i="3"/>
  <c r="EF125" i="3"/>
  <c r="EG125" i="3"/>
  <c r="EK125" i="3"/>
  <c r="EL125" i="3"/>
  <c r="EM125" i="3"/>
  <c r="EQ125" i="3"/>
  <c r="ER125" i="3"/>
  <c r="ES125" i="3"/>
  <c r="ET125" i="3"/>
  <c r="EX125" i="3"/>
  <c r="EZ125" i="3"/>
  <c r="FA125" i="3"/>
  <c r="FB125" i="3"/>
  <c r="FD125" i="3"/>
  <c r="AF126" i="3"/>
  <c r="AM126" i="3"/>
  <c r="DO126" i="3"/>
  <c r="CJ126" i="3"/>
  <c r="CW126" i="3"/>
  <c r="CX126" i="3"/>
  <c r="CY126" i="3"/>
  <c r="CZ126" i="3"/>
  <c r="EH126" i="3"/>
  <c r="DC126" i="3"/>
  <c r="DD126" i="3"/>
  <c r="DE126" i="3"/>
  <c r="DF126" i="3"/>
  <c r="DG126" i="3"/>
  <c r="DH126" i="3"/>
  <c r="DI126" i="3"/>
  <c r="DL126" i="3"/>
  <c r="DN126" i="3"/>
  <c r="DP126" i="3"/>
  <c r="EB126" i="3"/>
  <c r="ED126" i="3"/>
  <c r="EE126" i="3"/>
  <c r="EF126" i="3"/>
  <c r="EG126" i="3"/>
  <c r="EK126" i="3"/>
  <c r="EL126" i="3"/>
  <c r="EM126" i="3"/>
  <c r="EQ126" i="3"/>
  <c r="ER126" i="3"/>
  <c r="ES126" i="3"/>
  <c r="ET126" i="3"/>
  <c r="EX126" i="3"/>
  <c r="EZ126" i="3"/>
  <c r="FA126" i="3"/>
  <c r="FB126" i="3"/>
  <c r="FD126" i="3"/>
  <c r="AF127" i="3"/>
  <c r="AM127" i="3"/>
  <c r="AG127" i="3"/>
  <c r="DM127" i="3"/>
  <c r="CJ127" i="3"/>
  <c r="CW127" i="3"/>
  <c r="CX127" i="3"/>
  <c r="CY127" i="3"/>
  <c r="CZ127" i="3"/>
  <c r="EH127" i="3"/>
  <c r="DC127" i="3"/>
  <c r="DD127" i="3"/>
  <c r="DE127" i="3"/>
  <c r="DF127" i="3"/>
  <c r="DG127" i="3"/>
  <c r="DH127" i="3"/>
  <c r="DI127" i="3"/>
  <c r="DL127" i="3"/>
  <c r="DN127" i="3"/>
  <c r="DP127" i="3"/>
  <c r="EB127" i="3"/>
  <c r="ED127" i="3"/>
  <c r="EE127" i="3"/>
  <c r="EF127" i="3"/>
  <c r="EG127" i="3"/>
  <c r="EK127" i="3"/>
  <c r="EL127" i="3"/>
  <c r="EM127" i="3"/>
  <c r="EQ127" i="3"/>
  <c r="ER127" i="3"/>
  <c r="ES127" i="3"/>
  <c r="ET127" i="3"/>
  <c r="EX127" i="3"/>
  <c r="EZ127" i="3"/>
  <c r="FA127" i="3"/>
  <c r="FB127" i="3"/>
  <c r="FD127" i="3"/>
  <c r="AF128" i="3"/>
  <c r="AM128" i="3"/>
  <c r="CJ128" i="3"/>
  <c r="CW128" i="3"/>
  <c r="CX128" i="3"/>
  <c r="CY128" i="3"/>
  <c r="CZ128" i="3"/>
  <c r="DC128" i="3"/>
  <c r="DD128" i="3"/>
  <c r="DE128" i="3"/>
  <c r="DF128" i="3"/>
  <c r="DG128" i="3"/>
  <c r="DH128" i="3"/>
  <c r="DI128" i="3"/>
  <c r="DL128" i="3"/>
  <c r="DN128" i="3"/>
  <c r="DP128" i="3"/>
  <c r="EB128" i="3"/>
  <c r="ED128" i="3"/>
  <c r="EE128" i="3"/>
  <c r="EF128" i="3"/>
  <c r="EG128" i="3"/>
  <c r="EK128" i="3"/>
  <c r="EL128" i="3"/>
  <c r="EM128" i="3"/>
  <c r="EQ128" i="3"/>
  <c r="ER128" i="3"/>
  <c r="ES128" i="3"/>
  <c r="ET128" i="3"/>
  <c r="EX128" i="3"/>
  <c r="EZ128" i="3"/>
  <c r="FA128" i="3"/>
  <c r="FB128" i="3"/>
  <c r="FD128" i="3"/>
  <c r="AF129" i="3"/>
  <c r="AM129" i="3"/>
  <c r="CW129" i="3"/>
  <c r="CX129" i="3"/>
  <c r="CY129" i="3"/>
  <c r="CZ129" i="3"/>
  <c r="DC129" i="3"/>
  <c r="DD129" i="3"/>
  <c r="DE129" i="3"/>
  <c r="DF129" i="3"/>
  <c r="DG129" i="3"/>
  <c r="DH129" i="3"/>
  <c r="DI129" i="3"/>
  <c r="DL129" i="3"/>
  <c r="DN129" i="3"/>
  <c r="DP129" i="3"/>
  <c r="EB129" i="3"/>
  <c r="ED129" i="3"/>
  <c r="EE129" i="3"/>
  <c r="EF129" i="3"/>
  <c r="EG129" i="3"/>
  <c r="EK129" i="3"/>
  <c r="EL129" i="3"/>
  <c r="EM129" i="3"/>
  <c r="EQ129" i="3"/>
  <c r="ER129" i="3"/>
  <c r="ES129" i="3"/>
  <c r="ET129" i="3"/>
  <c r="EX129" i="3"/>
  <c r="EZ129" i="3"/>
  <c r="FA129" i="3"/>
  <c r="FB129" i="3"/>
  <c r="FD129" i="3"/>
  <c r="AF130" i="3"/>
  <c r="AM130" i="3"/>
  <c r="AG130" i="3"/>
  <c r="CW130" i="3"/>
  <c r="CX130" i="3"/>
  <c r="CY130" i="3"/>
  <c r="CZ130" i="3"/>
  <c r="DA130" i="3"/>
  <c r="DC130" i="3"/>
  <c r="DD130" i="3"/>
  <c r="DE130" i="3"/>
  <c r="DF130" i="3"/>
  <c r="DG130" i="3"/>
  <c r="DH130" i="3"/>
  <c r="DI130" i="3"/>
  <c r="DL130" i="3"/>
  <c r="DN130" i="3"/>
  <c r="DP130" i="3"/>
  <c r="EB130" i="3"/>
  <c r="ED130" i="3"/>
  <c r="EE130" i="3"/>
  <c r="EF130" i="3"/>
  <c r="EG130" i="3"/>
  <c r="EK130" i="3"/>
  <c r="EL130" i="3"/>
  <c r="EM130" i="3"/>
  <c r="EQ130" i="3"/>
  <c r="ER130" i="3"/>
  <c r="ES130" i="3"/>
  <c r="ET130" i="3"/>
  <c r="EX130" i="3"/>
  <c r="EZ130" i="3"/>
  <c r="FA130" i="3"/>
  <c r="FB130" i="3"/>
  <c r="FD130" i="3"/>
  <c r="AF131" i="3"/>
  <c r="AM131" i="3"/>
  <c r="AG131" i="3"/>
  <c r="DM131" i="3"/>
  <c r="CW131" i="3"/>
  <c r="CX131" i="3"/>
  <c r="CY131" i="3"/>
  <c r="CZ131" i="3"/>
  <c r="DA131" i="3"/>
  <c r="DC131" i="3"/>
  <c r="DD131" i="3"/>
  <c r="DE131" i="3"/>
  <c r="DF131" i="3"/>
  <c r="DG131" i="3"/>
  <c r="DH131" i="3"/>
  <c r="DI131" i="3"/>
  <c r="DL131" i="3"/>
  <c r="DN131" i="3"/>
  <c r="DP131" i="3"/>
  <c r="EB131" i="3"/>
  <c r="ED131" i="3"/>
  <c r="EE131" i="3"/>
  <c r="EF131" i="3"/>
  <c r="EG131" i="3"/>
  <c r="EK131" i="3"/>
  <c r="EL131" i="3"/>
  <c r="EM131" i="3"/>
  <c r="EQ131" i="3"/>
  <c r="ER131" i="3"/>
  <c r="ES131" i="3"/>
  <c r="ET131" i="3"/>
  <c r="EX131" i="3"/>
  <c r="EZ131" i="3"/>
  <c r="FA131" i="3"/>
  <c r="FB131" i="3"/>
  <c r="FD131" i="3"/>
  <c r="AF132" i="3"/>
  <c r="AM132" i="3"/>
  <c r="CW132" i="3"/>
  <c r="CX132" i="3"/>
  <c r="CY132" i="3"/>
  <c r="CZ132" i="3"/>
  <c r="DC132" i="3"/>
  <c r="DD132" i="3"/>
  <c r="DE132" i="3"/>
  <c r="DF132" i="3"/>
  <c r="DG132" i="3"/>
  <c r="DH132" i="3"/>
  <c r="DI132" i="3"/>
  <c r="DL132" i="3"/>
  <c r="DN132" i="3"/>
  <c r="DP132" i="3"/>
  <c r="EB132" i="3"/>
  <c r="ED132" i="3"/>
  <c r="EE132" i="3"/>
  <c r="EF132" i="3"/>
  <c r="EG132" i="3"/>
  <c r="EK132" i="3"/>
  <c r="EL132" i="3"/>
  <c r="EM132" i="3"/>
  <c r="EQ132" i="3"/>
  <c r="ER132" i="3"/>
  <c r="ES132" i="3"/>
  <c r="ET132" i="3"/>
  <c r="EX132" i="3"/>
  <c r="EZ132" i="3"/>
  <c r="FA132" i="3"/>
  <c r="FB132" i="3"/>
  <c r="FD132" i="3"/>
  <c r="AF133" i="3"/>
  <c r="AM133" i="3"/>
  <c r="CJ133" i="3"/>
  <c r="CW133" i="3"/>
  <c r="CX133" i="3"/>
  <c r="CY133" i="3"/>
  <c r="CZ133" i="3"/>
  <c r="DC133" i="3"/>
  <c r="DD133" i="3"/>
  <c r="DE133" i="3"/>
  <c r="DF133" i="3"/>
  <c r="DG133" i="3"/>
  <c r="DH133" i="3"/>
  <c r="DI133" i="3"/>
  <c r="DL133" i="3"/>
  <c r="DN133" i="3"/>
  <c r="DP133" i="3"/>
  <c r="EB133" i="3"/>
  <c r="ED133" i="3"/>
  <c r="EE133" i="3"/>
  <c r="EF133" i="3"/>
  <c r="EG133" i="3"/>
  <c r="EK133" i="3"/>
  <c r="EL133" i="3"/>
  <c r="EM133" i="3"/>
  <c r="EQ133" i="3"/>
  <c r="ER133" i="3"/>
  <c r="ES133" i="3"/>
  <c r="ET133" i="3"/>
  <c r="EX133" i="3"/>
  <c r="EZ133" i="3"/>
  <c r="FA133" i="3"/>
  <c r="FB133" i="3"/>
  <c r="FD133" i="3"/>
  <c r="AF134" i="3"/>
  <c r="AM134" i="3"/>
  <c r="CJ134" i="3"/>
  <c r="CW134" i="3"/>
  <c r="CX134" i="3"/>
  <c r="CY134" i="3"/>
  <c r="CZ134" i="3"/>
  <c r="DA134" i="3"/>
  <c r="DC134" i="3"/>
  <c r="DD134" i="3"/>
  <c r="DE134" i="3"/>
  <c r="DF134" i="3"/>
  <c r="DG134" i="3"/>
  <c r="DH134" i="3"/>
  <c r="DI134" i="3"/>
  <c r="DL134" i="3"/>
  <c r="DN134" i="3"/>
  <c r="DP134" i="3"/>
  <c r="EB134" i="3"/>
  <c r="ED134" i="3"/>
  <c r="EE134" i="3"/>
  <c r="EF134" i="3"/>
  <c r="EG134" i="3"/>
  <c r="EK134" i="3"/>
  <c r="EL134" i="3"/>
  <c r="EM134" i="3"/>
  <c r="EQ134" i="3"/>
  <c r="ER134" i="3"/>
  <c r="ES134" i="3"/>
  <c r="ET134" i="3"/>
  <c r="EX134" i="3"/>
  <c r="EZ134" i="3"/>
  <c r="FA134" i="3"/>
  <c r="FB134" i="3"/>
  <c r="FD134" i="3"/>
  <c r="AF135" i="3"/>
  <c r="AM135" i="3"/>
  <c r="AG135" i="3"/>
  <c r="DM135" i="3"/>
  <c r="CW135" i="3"/>
  <c r="CX135" i="3"/>
  <c r="CY135" i="3"/>
  <c r="CZ135" i="3"/>
  <c r="DC135" i="3"/>
  <c r="DD135" i="3"/>
  <c r="DE135" i="3"/>
  <c r="DF135" i="3"/>
  <c r="DG135" i="3"/>
  <c r="DH135" i="3"/>
  <c r="DI135" i="3"/>
  <c r="DL135" i="3"/>
  <c r="DN135" i="3"/>
  <c r="DP135" i="3"/>
  <c r="EB135" i="3"/>
  <c r="ED135" i="3"/>
  <c r="EE135" i="3"/>
  <c r="EF135" i="3"/>
  <c r="EG135" i="3"/>
  <c r="EK135" i="3"/>
  <c r="EL135" i="3"/>
  <c r="EM135" i="3"/>
  <c r="EQ135" i="3"/>
  <c r="ER135" i="3"/>
  <c r="ES135" i="3"/>
  <c r="ET135" i="3"/>
  <c r="EX135" i="3"/>
  <c r="EZ135" i="3"/>
  <c r="FA135" i="3"/>
  <c r="FB135" i="3"/>
  <c r="FD135" i="3"/>
  <c r="AF136" i="3"/>
  <c r="AM136" i="3"/>
  <c r="CW136" i="3"/>
  <c r="CX136" i="3"/>
  <c r="CY136" i="3"/>
  <c r="CZ136" i="3"/>
  <c r="EH136" i="3"/>
  <c r="DC136" i="3"/>
  <c r="DD136" i="3"/>
  <c r="DE136" i="3"/>
  <c r="DF136" i="3"/>
  <c r="DG136" i="3"/>
  <c r="DH136" i="3"/>
  <c r="DI136" i="3"/>
  <c r="DL136" i="3"/>
  <c r="DN136" i="3"/>
  <c r="DP136" i="3"/>
  <c r="EB136" i="3"/>
  <c r="ED136" i="3"/>
  <c r="EE136" i="3"/>
  <c r="EF136" i="3"/>
  <c r="EG136" i="3"/>
  <c r="EK136" i="3"/>
  <c r="EL136" i="3"/>
  <c r="EM136" i="3"/>
  <c r="EQ136" i="3"/>
  <c r="ER136" i="3"/>
  <c r="ES136" i="3"/>
  <c r="ET136" i="3"/>
  <c r="EX136" i="3"/>
  <c r="EZ136" i="3"/>
  <c r="FA136" i="3"/>
  <c r="FB136" i="3"/>
  <c r="FD136" i="3"/>
  <c r="AF137" i="3"/>
  <c r="AM137" i="3"/>
  <c r="DO137" i="3"/>
  <c r="CW137" i="3"/>
  <c r="CX137" i="3"/>
  <c r="CY137" i="3"/>
  <c r="CZ137" i="3"/>
  <c r="DC137" i="3"/>
  <c r="DD137" i="3"/>
  <c r="DE137" i="3"/>
  <c r="DF137" i="3"/>
  <c r="DG137" i="3"/>
  <c r="DH137" i="3"/>
  <c r="DI137" i="3"/>
  <c r="DL137" i="3"/>
  <c r="DN137" i="3"/>
  <c r="DP137" i="3"/>
  <c r="EB137" i="3"/>
  <c r="ED137" i="3"/>
  <c r="EE137" i="3"/>
  <c r="EF137" i="3"/>
  <c r="EG137" i="3"/>
  <c r="EK137" i="3"/>
  <c r="EL137" i="3"/>
  <c r="EM137" i="3"/>
  <c r="EQ137" i="3"/>
  <c r="ER137" i="3"/>
  <c r="ES137" i="3"/>
  <c r="ET137" i="3"/>
  <c r="EX137" i="3"/>
  <c r="EZ137" i="3"/>
  <c r="FA137" i="3"/>
  <c r="FB137" i="3"/>
  <c r="FD137" i="3"/>
  <c r="AF138" i="3"/>
  <c r="AM138" i="3"/>
  <c r="AG138" i="3"/>
  <c r="DM138" i="3"/>
  <c r="CW138" i="3"/>
  <c r="CX138" i="3"/>
  <c r="CY138" i="3"/>
  <c r="CZ138" i="3"/>
  <c r="EH138" i="3"/>
  <c r="DC138" i="3"/>
  <c r="DD138" i="3"/>
  <c r="DE138" i="3"/>
  <c r="DF138" i="3"/>
  <c r="DG138" i="3"/>
  <c r="DH138" i="3"/>
  <c r="DI138" i="3"/>
  <c r="DL138" i="3"/>
  <c r="DN138" i="3"/>
  <c r="DP138" i="3"/>
  <c r="EB138" i="3"/>
  <c r="ED138" i="3"/>
  <c r="EE138" i="3"/>
  <c r="EF138" i="3"/>
  <c r="EG138" i="3"/>
  <c r="EK138" i="3"/>
  <c r="EL138" i="3"/>
  <c r="EM138" i="3"/>
  <c r="EQ138" i="3"/>
  <c r="ER138" i="3"/>
  <c r="ES138" i="3"/>
  <c r="ET138" i="3"/>
  <c r="EX138" i="3"/>
  <c r="EZ138" i="3"/>
  <c r="FA138" i="3"/>
  <c r="FB138" i="3"/>
  <c r="FD138" i="3"/>
  <c r="AF139" i="3"/>
  <c r="AM139" i="3"/>
  <c r="CJ139" i="3"/>
  <c r="CW139" i="3"/>
  <c r="CX139" i="3"/>
  <c r="CY139" i="3"/>
  <c r="CZ139" i="3"/>
  <c r="DC139" i="3"/>
  <c r="DD139" i="3"/>
  <c r="DE139" i="3"/>
  <c r="DF139" i="3"/>
  <c r="DG139" i="3"/>
  <c r="DH139" i="3"/>
  <c r="DI139" i="3"/>
  <c r="DL139" i="3"/>
  <c r="DN139" i="3"/>
  <c r="DP139" i="3"/>
  <c r="EB139" i="3"/>
  <c r="ED139" i="3"/>
  <c r="EE139" i="3"/>
  <c r="EF139" i="3"/>
  <c r="EG139" i="3"/>
  <c r="EK139" i="3"/>
  <c r="EL139" i="3"/>
  <c r="EM139" i="3"/>
  <c r="EQ139" i="3"/>
  <c r="ER139" i="3"/>
  <c r="ES139" i="3"/>
  <c r="ET139" i="3"/>
  <c r="EX139" i="3"/>
  <c r="EZ139" i="3"/>
  <c r="FA139" i="3"/>
  <c r="FB139" i="3"/>
  <c r="FD139" i="3"/>
  <c r="AF140" i="3"/>
  <c r="AM140" i="3"/>
  <c r="CJ140" i="3"/>
  <c r="CW140" i="3"/>
  <c r="CX140" i="3"/>
  <c r="CY140" i="3"/>
  <c r="CZ140" i="3"/>
  <c r="DC140" i="3"/>
  <c r="DD140" i="3"/>
  <c r="DE140" i="3"/>
  <c r="DF140" i="3"/>
  <c r="DG140" i="3"/>
  <c r="DH140" i="3"/>
  <c r="DI140" i="3"/>
  <c r="DL140" i="3"/>
  <c r="DN140" i="3"/>
  <c r="DP140" i="3"/>
  <c r="EB140" i="3"/>
  <c r="ED140" i="3"/>
  <c r="EE140" i="3"/>
  <c r="EF140" i="3"/>
  <c r="EG140" i="3"/>
  <c r="EK140" i="3"/>
  <c r="EL140" i="3"/>
  <c r="EM140" i="3"/>
  <c r="EQ140" i="3"/>
  <c r="ER140" i="3"/>
  <c r="ES140" i="3"/>
  <c r="ET140" i="3"/>
  <c r="EX140" i="3"/>
  <c r="EZ140" i="3"/>
  <c r="FA140" i="3"/>
  <c r="FB140" i="3"/>
  <c r="FD140" i="3"/>
  <c r="AF141" i="3"/>
  <c r="AM141" i="3"/>
  <c r="CJ141" i="3"/>
  <c r="CW141" i="3"/>
  <c r="CX141" i="3"/>
  <c r="CY141" i="3"/>
  <c r="CZ141" i="3"/>
  <c r="DA141" i="3"/>
  <c r="DC141" i="3"/>
  <c r="DD141" i="3"/>
  <c r="DE141" i="3"/>
  <c r="DF141" i="3"/>
  <c r="DG141" i="3"/>
  <c r="DH141" i="3"/>
  <c r="DI141" i="3"/>
  <c r="DL141" i="3"/>
  <c r="DN141" i="3"/>
  <c r="DP141" i="3"/>
  <c r="EB141" i="3"/>
  <c r="ED141" i="3"/>
  <c r="EE141" i="3"/>
  <c r="EF141" i="3"/>
  <c r="EG141" i="3"/>
  <c r="EK141" i="3"/>
  <c r="EL141" i="3"/>
  <c r="EM141" i="3"/>
  <c r="EQ141" i="3"/>
  <c r="ER141" i="3"/>
  <c r="ES141" i="3"/>
  <c r="ET141" i="3"/>
  <c r="EX141" i="3"/>
  <c r="EZ141" i="3"/>
  <c r="FA141" i="3"/>
  <c r="FB141" i="3"/>
  <c r="FD141" i="3"/>
  <c r="AF142" i="3"/>
  <c r="AM142" i="3"/>
  <c r="DO142" i="3"/>
  <c r="CJ142" i="3"/>
  <c r="CW142" i="3"/>
  <c r="CX142" i="3"/>
  <c r="CY142" i="3"/>
  <c r="CZ142" i="3"/>
  <c r="EH142" i="3"/>
  <c r="DC142" i="3"/>
  <c r="DD142" i="3"/>
  <c r="DE142" i="3"/>
  <c r="DF142" i="3"/>
  <c r="DG142" i="3"/>
  <c r="DH142" i="3"/>
  <c r="DI142" i="3"/>
  <c r="DL142" i="3"/>
  <c r="DN142" i="3"/>
  <c r="DP142" i="3"/>
  <c r="EB142" i="3"/>
  <c r="ED142" i="3"/>
  <c r="EE142" i="3"/>
  <c r="EF142" i="3"/>
  <c r="EG142" i="3"/>
  <c r="EK142" i="3"/>
  <c r="EL142" i="3"/>
  <c r="EM142" i="3"/>
  <c r="EQ142" i="3"/>
  <c r="ER142" i="3"/>
  <c r="ES142" i="3"/>
  <c r="ET142" i="3"/>
  <c r="EX142" i="3"/>
  <c r="EZ142" i="3"/>
  <c r="FA142" i="3"/>
  <c r="FB142" i="3"/>
  <c r="FD142" i="3"/>
  <c r="AF143" i="3"/>
  <c r="AM143" i="3"/>
  <c r="DO143" i="3"/>
  <c r="CJ143" i="3"/>
  <c r="CW143" i="3"/>
  <c r="CX143" i="3"/>
  <c r="CY143" i="3"/>
  <c r="CZ143" i="3"/>
  <c r="EH143" i="3"/>
  <c r="DC143" i="3"/>
  <c r="DD143" i="3"/>
  <c r="DE143" i="3"/>
  <c r="DF143" i="3"/>
  <c r="DG143" i="3"/>
  <c r="DH143" i="3"/>
  <c r="DI143" i="3"/>
  <c r="DL143" i="3"/>
  <c r="DN143" i="3"/>
  <c r="DP143" i="3"/>
  <c r="EB143" i="3"/>
  <c r="ED143" i="3"/>
  <c r="EE143" i="3"/>
  <c r="EF143" i="3"/>
  <c r="EG143" i="3"/>
  <c r="EK143" i="3"/>
  <c r="EL143" i="3"/>
  <c r="EM143" i="3"/>
  <c r="EQ143" i="3"/>
  <c r="ER143" i="3"/>
  <c r="ES143" i="3"/>
  <c r="ET143" i="3"/>
  <c r="EX143" i="3"/>
  <c r="EZ143" i="3"/>
  <c r="FA143" i="3"/>
  <c r="FB143" i="3"/>
  <c r="FD143" i="3"/>
  <c r="AF144" i="3"/>
  <c r="AM144" i="3"/>
  <c r="DO144" i="3"/>
  <c r="CJ144" i="3"/>
  <c r="CW144" i="3"/>
  <c r="CX144" i="3"/>
  <c r="CY144" i="3"/>
  <c r="CZ144" i="3"/>
  <c r="EH144" i="3"/>
  <c r="DC144" i="3"/>
  <c r="DD144" i="3"/>
  <c r="DE144" i="3"/>
  <c r="DF144" i="3"/>
  <c r="DG144" i="3"/>
  <c r="DH144" i="3"/>
  <c r="DI144" i="3"/>
  <c r="DL144" i="3"/>
  <c r="DN144" i="3"/>
  <c r="DP144" i="3"/>
  <c r="EB144" i="3"/>
  <c r="ED144" i="3"/>
  <c r="EE144" i="3"/>
  <c r="EF144" i="3"/>
  <c r="EG144" i="3"/>
  <c r="EK144" i="3"/>
  <c r="EL144" i="3"/>
  <c r="EM144" i="3"/>
  <c r="EQ144" i="3"/>
  <c r="ER144" i="3"/>
  <c r="ES144" i="3"/>
  <c r="ET144" i="3"/>
  <c r="EX144" i="3"/>
  <c r="EZ144" i="3"/>
  <c r="FA144" i="3"/>
  <c r="FB144" i="3"/>
  <c r="FD144" i="3"/>
  <c r="AF145" i="3"/>
  <c r="AM145" i="3"/>
  <c r="CJ145" i="3"/>
  <c r="CW145" i="3"/>
  <c r="CX145" i="3"/>
  <c r="CY145" i="3"/>
  <c r="CZ145" i="3"/>
  <c r="DC145" i="3"/>
  <c r="DD145" i="3"/>
  <c r="DE145" i="3"/>
  <c r="DF145" i="3"/>
  <c r="DG145" i="3"/>
  <c r="DH145" i="3"/>
  <c r="DI145" i="3"/>
  <c r="DL145" i="3"/>
  <c r="DN145" i="3"/>
  <c r="DP145" i="3"/>
  <c r="EB145" i="3"/>
  <c r="ED145" i="3"/>
  <c r="EE145" i="3"/>
  <c r="EF145" i="3"/>
  <c r="EG145" i="3"/>
  <c r="EK145" i="3"/>
  <c r="EL145" i="3"/>
  <c r="EM145" i="3"/>
  <c r="EQ145" i="3"/>
  <c r="ER145" i="3"/>
  <c r="ES145" i="3"/>
  <c r="ET145" i="3"/>
  <c r="EX145" i="3"/>
  <c r="EZ145" i="3"/>
  <c r="FA145" i="3"/>
  <c r="FB145" i="3"/>
  <c r="FD145" i="3"/>
  <c r="AF146" i="3"/>
  <c r="AM146" i="3"/>
  <c r="CJ146" i="3"/>
  <c r="CW146" i="3"/>
  <c r="CX146" i="3"/>
  <c r="CY146" i="3"/>
  <c r="CZ146" i="3"/>
  <c r="DC146" i="3"/>
  <c r="DD146" i="3"/>
  <c r="DE146" i="3"/>
  <c r="DF146" i="3"/>
  <c r="DG146" i="3"/>
  <c r="DH146" i="3"/>
  <c r="DI146" i="3"/>
  <c r="DL146" i="3"/>
  <c r="DN146" i="3"/>
  <c r="DP146" i="3"/>
  <c r="EB146" i="3"/>
  <c r="ED146" i="3"/>
  <c r="EE146" i="3"/>
  <c r="EF146" i="3"/>
  <c r="EG146" i="3"/>
  <c r="EK146" i="3"/>
  <c r="EL146" i="3"/>
  <c r="EM146" i="3"/>
  <c r="EQ146" i="3"/>
  <c r="ER146" i="3"/>
  <c r="ES146" i="3"/>
  <c r="ET146" i="3"/>
  <c r="EX146" i="3"/>
  <c r="EZ146" i="3"/>
  <c r="FA146" i="3"/>
  <c r="FB146" i="3"/>
  <c r="FD146" i="3"/>
  <c r="AF147" i="3"/>
  <c r="AM147" i="3"/>
  <c r="CJ147" i="3"/>
  <c r="CW147" i="3"/>
  <c r="CX147" i="3"/>
  <c r="CY147" i="3"/>
  <c r="CZ147" i="3"/>
  <c r="DC147" i="3"/>
  <c r="DD147" i="3"/>
  <c r="DE147" i="3"/>
  <c r="DF147" i="3"/>
  <c r="DG147" i="3"/>
  <c r="DH147" i="3"/>
  <c r="DI147" i="3"/>
  <c r="DL147" i="3"/>
  <c r="DN147" i="3"/>
  <c r="DP147" i="3"/>
  <c r="EB147" i="3"/>
  <c r="ED147" i="3"/>
  <c r="EE147" i="3"/>
  <c r="EF147" i="3"/>
  <c r="EG147" i="3"/>
  <c r="EK147" i="3"/>
  <c r="EL147" i="3"/>
  <c r="EM147" i="3"/>
  <c r="EQ147" i="3"/>
  <c r="ER147" i="3"/>
  <c r="ES147" i="3"/>
  <c r="ET147" i="3"/>
  <c r="EX147" i="3"/>
  <c r="EZ147" i="3"/>
  <c r="FA147" i="3"/>
  <c r="FB147" i="3"/>
  <c r="FD147" i="3"/>
  <c r="AF148" i="3"/>
  <c r="AM148" i="3"/>
  <c r="AG148" i="3"/>
  <c r="DM148" i="3"/>
  <c r="CJ148" i="3"/>
  <c r="CW148" i="3"/>
  <c r="CX148" i="3"/>
  <c r="CY148" i="3"/>
  <c r="CZ148" i="3"/>
  <c r="DC148" i="3"/>
  <c r="DD148" i="3"/>
  <c r="DE148" i="3"/>
  <c r="DF148" i="3"/>
  <c r="DG148" i="3"/>
  <c r="DH148" i="3"/>
  <c r="DI148" i="3"/>
  <c r="DL148" i="3"/>
  <c r="DN148" i="3"/>
  <c r="DP148" i="3"/>
  <c r="EB148" i="3"/>
  <c r="ED148" i="3"/>
  <c r="EE148" i="3"/>
  <c r="EF148" i="3"/>
  <c r="EG148" i="3"/>
  <c r="EK148" i="3"/>
  <c r="EL148" i="3"/>
  <c r="EM148" i="3"/>
  <c r="EQ148" i="3"/>
  <c r="ER148" i="3"/>
  <c r="ES148" i="3"/>
  <c r="ET148" i="3"/>
  <c r="EX148" i="3"/>
  <c r="EZ148" i="3"/>
  <c r="FA148" i="3"/>
  <c r="FB148" i="3"/>
  <c r="FD148" i="3"/>
  <c r="AF149" i="3"/>
  <c r="AM149" i="3"/>
  <c r="AG149" i="3"/>
  <c r="DM149" i="3"/>
  <c r="CJ149" i="3"/>
  <c r="CW149" i="3"/>
  <c r="CX149" i="3"/>
  <c r="CY149" i="3"/>
  <c r="CZ149" i="3"/>
  <c r="EH149" i="3"/>
  <c r="DC149" i="3"/>
  <c r="DD149" i="3"/>
  <c r="DE149" i="3"/>
  <c r="DF149" i="3"/>
  <c r="DG149" i="3"/>
  <c r="DH149" i="3"/>
  <c r="DI149" i="3"/>
  <c r="DL149" i="3"/>
  <c r="DN149" i="3"/>
  <c r="DP149" i="3"/>
  <c r="EB149" i="3"/>
  <c r="ED149" i="3"/>
  <c r="EE149" i="3"/>
  <c r="EF149" i="3"/>
  <c r="EG149" i="3"/>
  <c r="EK149" i="3"/>
  <c r="EL149" i="3"/>
  <c r="EM149" i="3"/>
  <c r="EQ149" i="3"/>
  <c r="ER149" i="3"/>
  <c r="ES149" i="3"/>
  <c r="ET149" i="3"/>
  <c r="EX149" i="3"/>
  <c r="EZ149" i="3"/>
  <c r="FA149" i="3"/>
  <c r="FB149" i="3"/>
  <c r="FD149" i="3"/>
  <c r="AF150" i="3"/>
  <c r="AM150" i="3"/>
  <c r="DO150" i="3"/>
  <c r="CJ150" i="3"/>
  <c r="CW150" i="3"/>
  <c r="CX150" i="3"/>
  <c r="CY150" i="3"/>
  <c r="CZ150" i="3"/>
  <c r="EH150" i="3"/>
  <c r="DA150" i="3"/>
  <c r="DC150" i="3"/>
  <c r="DD150" i="3"/>
  <c r="DE150" i="3"/>
  <c r="DF150" i="3"/>
  <c r="DG150" i="3"/>
  <c r="DH150" i="3"/>
  <c r="DI150" i="3"/>
  <c r="DL150" i="3"/>
  <c r="DN150" i="3"/>
  <c r="DP150" i="3"/>
  <c r="EB150" i="3"/>
  <c r="ED150" i="3"/>
  <c r="EE150" i="3"/>
  <c r="EF150" i="3"/>
  <c r="EG150" i="3"/>
  <c r="EK150" i="3"/>
  <c r="EL150" i="3"/>
  <c r="EM150" i="3"/>
  <c r="EQ150" i="3"/>
  <c r="ER150" i="3"/>
  <c r="ES150" i="3"/>
  <c r="ET150" i="3"/>
  <c r="EX150" i="3"/>
  <c r="EZ150" i="3"/>
  <c r="FA150" i="3"/>
  <c r="FB150" i="3"/>
  <c r="FD150" i="3"/>
  <c r="AF151" i="3"/>
  <c r="AM151" i="3"/>
  <c r="CJ151" i="3"/>
  <c r="CW151" i="3"/>
  <c r="CX151" i="3"/>
  <c r="CY151" i="3"/>
  <c r="CZ151" i="3"/>
  <c r="DC151" i="3"/>
  <c r="DD151" i="3"/>
  <c r="DE151" i="3"/>
  <c r="DF151" i="3"/>
  <c r="DG151" i="3"/>
  <c r="DH151" i="3"/>
  <c r="DI151" i="3"/>
  <c r="DL151" i="3"/>
  <c r="DN151" i="3"/>
  <c r="DP151" i="3"/>
  <c r="EB151" i="3"/>
  <c r="ED151" i="3"/>
  <c r="EE151" i="3"/>
  <c r="EF151" i="3"/>
  <c r="EG151" i="3"/>
  <c r="EK151" i="3"/>
  <c r="EL151" i="3"/>
  <c r="EM151" i="3"/>
  <c r="EQ151" i="3"/>
  <c r="ER151" i="3"/>
  <c r="ES151" i="3"/>
  <c r="ET151" i="3"/>
  <c r="EX151" i="3"/>
  <c r="EZ151" i="3"/>
  <c r="FA151" i="3"/>
  <c r="FB151" i="3"/>
  <c r="FD151" i="3"/>
  <c r="AF152" i="3"/>
  <c r="AM152" i="3"/>
  <c r="CW152" i="3"/>
  <c r="CX152" i="3"/>
  <c r="CY152" i="3"/>
  <c r="CZ152" i="3"/>
  <c r="DC152" i="3"/>
  <c r="DD152" i="3"/>
  <c r="DE152" i="3"/>
  <c r="DF152" i="3"/>
  <c r="DG152" i="3"/>
  <c r="DH152" i="3"/>
  <c r="DI152" i="3"/>
  <c r="DL152" i="3"/>
  <c r="DN152" i="3"/>
  <c r="DP152" i="3"/>
  <c r="EB152" i="3"/>
  <c r="ED152" i="3"/>
  <c r="EE152" i="3"/>
  <c r="EF152" i="3"/>
  <c r="EG152" i="3"/>
  <c r="EK152" i="3"/>
  <c r="EL152" i="3"/>
  <c r="EM152" i="3"/>
  <c r="EQ152" i="3"/>
  <c r="ER152" i="3"/>
  <c r="ES152" i="3"/>
  <c r="ET152" i="3"/>
  <c r="EX152" i="3"/>
  <c r="EZ152" i="3"/>
  <c r="FA152" i="3"/>
  <c r="FB152" i="3"/>
  <c r="FD152" i="3"/>
  <c r="AF153" i="3"/>
  <c r="AM153" i="3"/>
  <c r="CJ153" i="3"/>
  <c r="CW153" i="3"/>
  <c r="CX153" i="3"/>
  <c r="CY153" i="3"/>
  <c r="CZ153" i="3"/>
  <c r="DC153" i="3"/>
  <c r="DD153" i="3"/>
  <c r="DE153" i="3"/>
  <c r="DF153" i="3"/>
  <c r="DG153" i="3"/>
  <c r="DH153" i="3"/>
  <c r="DI153" i="3"/>
  <c r="DL153" i="3"/>
  <c r="DN153" i="3"/>
  <c r="DP153" i="3"/>
  <c r="EB153" i="3"/>
  <c r="ED153" i="3"/>
  <c r="EE153" i="3"/>
  <c r="EF153" i="3"/>
  <c r="EG153" i="3"/>
  <c r="EK153" i="3"/>
  <c r="EL153" i="3"/>
  <c r="EM153" i="3"/>
  <c r="EQ153" i="3"/>
  <c r="ER153" i="3"/>
  <c r="ES153" i="3"/>
  <c r="ET153" i="3"/>
  <c r="EX153" i="3"/>
  <c r="EZ153" i="3"/>
  <c r="FA153" i="3"/>
  <c r="FB153" i="3"/>
  <c r="FD153" i="3"/>
  <c r="AF154" i="3"/>
  <c r="AM154" i="3"/>
  <c r="CW154" i="3"/>
  <c r="CX154" i="3"/>
  <c r="CY154" i="3"/>
  <c r="CZ154" i="3"/>
  <c r="DC154" i="3"/>
  <c r="DD154" i="3"/>
  <c r="DE154" i="3"/>
  <c r="DF154" i="3"/>
  <c r="DG154" i="3"/>
  <c r="DH154" i="3"/>
  <c r="DI154" i="3"/>
  <c r="DL154" i="3"/>
  <c r="DN154" i="3"/>
  <c r="DP154" i="3"/>
  <c r="EB154" i="3"/>
  <c r="ED154" i="3"/>
  <c r="EE154" i="3"/>
  <c r="EF154" i="3"/>
  <c r="EG154" i="3"/>
  <c r="EK154" i="3"/>
  <c r="EL154" i="3"/>
  <c r="EM154" i="3"/>
  <c r="EQ154" i="3"/>
  <c r="ER154" i="3"/>
  <c r="ES154" i="3"/>
  <c r="ET154" i="3"/>
  <c r="EX154" i="3"/>
  <c r="EZ154" i="3"/>
  <c r="FA154" i="3"/>
  <c r="FB154" i="3"/>
  <c r="FD154" i="3"/>
  <c r="AF155" i="3"/>
  <c r="AM155" i="3"/>
  <c r="CW155" i="3"/>
  <c r="CX155" i="3"/>
  <c r="CY155" i="3"/>
  <c r="CZ155" i="3"/>
  <c r="DC155" i="3"/>
  <c r="DD155" i="3"/>
  <c r="DE155" i="3"/>
  <c r="DF155" i="3"/>
  <c r="DG155" i="3"/>
  <c r="DH155" i="3"/>
  <c r="DI155" i="3"/>
  <c r="DL155" i="3"/>
  <c r="DN155" i="3"/>
  <c r="DP155" i="3"/>
  <c r="E8" i="1"/>
  <c r="C8" i="1"/>
  <c r="EB155" i="3"/>
  <c r="ED155" i="3"/>
  <c r="EE155" i="3"/>
  <c r="EF155" i="3"/>
  <c r="EG155" i="3"/>
  <c r="EK155" i="3"/>
  <c r="EL155" i="3"/>
  <c r="EM155" i="3"/>
  <c r="EQ155" i="3"/>
  <c r="ER155" i="3"/>
  <c r="ES155" i="3"/>
  <c r="ET155" i="3"/>
  <c r="EX155" i="3"/>
  <c r="EZ155" i="3"/>
  <c r="FA155" i="3"/>
  <c r="FB155" i="3"/>
  <c r="FD155" i="3"/>
  <c r="AF156" i="3"/>
  <c r="AM156" i="3"/>
  <c r="CW156" i="3"/>
  <c r="CX156" i="3"/>
  <c r="CY156" i="3"/>
  <c r="CZ156" i="3"/>
  <c r="DA156" i="3"/>
  <c r="DC156" i="3"/>
  <c r="DD156" i="3"/>
  <c r="DE156" i="3"/>
  <c r="DF156" i="3"/>
  <c r="DG156" i="3"/>
  <c r="DH156" i="3"/>
  <c r="DI156" i="3"/>
  <c r="DL156" i="3"/>
  <c r="DN156" i="3"/>
  <c r="DP156" i="3"/>
  <c r="EB156" i="3"/>
  <c r="ED156" i="3"/>
  <c r="EE156" i="3"/>
  <c r="EF156" i="3"/>
  <c r="EG156" i="3"/>
  <c r="EK156" i="3"/>
  <c r="EL156" i="3"/>
  <c r="EM156" i="3"/>
  <c r="EQ156" i="3"/>
  <c r="ER156" i="3"/>
  <c r="ES156" i="3"/>
  <c r="ET156" i="3"/>
  <c r="EX156" i="3"/>
  <c r="EZ156" i="3"/>
  <c r="FA156" i="3"/>
  <c r="FB156" i="3"/>
  <c r="FD156" i="3"/>
  <c r="AF157" i="3"/>
  <c r="AM157" i="3"/>
  <c r="AG157" i="3"/>
  <c r="DM157" i="3"/>
  <c r="CW157" i="3"/>
  <c r="CX157" i="3"/>
  <c r="CY157" i="3"/>
  <c r="CZ157" i="3"/>
  <c r="DA157" i="3"/>
  <c r="DC157" i="3"/>
  <c r="DD157" i="3"/>
  <c r="DE157" i="3"/>
  <c r="DF157" i="3"/>
  <c r="DG157" i="3"/>
  <c r="DH157" i="3"/>
  <c r="DI157" i="3"/>
  <c r="DL157" i="3"/>
  <c r="DN157" i="3"/>
  <c r="DP157" i="3"/>
  <c r="EB157" i="3"/>
  <c r="ED157" i="3"/>
  <c r="EE157" i="3"/>
  <c r="EF157" i="3"/>
  <c r="EG157" i="3"/>
  <c r="EK157" i="3"/>
  <c r="EL157" i="3"/>
  <c r="EM157" i="3"/>
  <c r="EQ157" i="3"/>
  <c r="ER157" i="3"/>
  <c r="ES157" i="3"/>
  <c r="ET157" i="3"/>
  <c r="EX157" i="3"/>
  <c r="EZ157" i="3"/>
  <c r="FA157" i="3"/>
  <c r="FB157" i="3"/>
  <c r="FD157" i="3"/>
  <c r="AF158" i="3"/>
  <c r="AM158" i="3"/>
  <c r="DO158" i="3"/>
  <c r="CW158" i="3"/>
  <c r="CX158" i="3"/>
  <c r="CY158" i="3"/>
  <c r="CZ158" i="3"/>
  <c r="DC158" i="3"/>
  <c r="DD158" i="3"/>
  <c r="DE158" i="3"/>
  <c r="DF158" i="3"/>
  <c r="DG158" i="3"/>
  <c r="DH158" i="3"/>
  <c r="DI158" i="3"/>
  <c r="DL158" i="3"/>
  <c r="DN158" i="3"/>
  <c r="DP158" i="3"/>
  <c r="EB158" i="3"/>
  <c r="ED158" i="3"/>
  <c r="EE158" i="3"/>
  <c r="EF158" i="3"/>
  <c r="EG158" i="3"/>
  <c r="EK158" i="3"/>
  <c r="EL158" i="3"/>
  <c r="EM158" i="3"/>
  <c r="EQ158" i="3"/>
  <c r="ER158" i="3"/>
  <c r="ES158" i="3"/>
  <c r="ET158" i="3"/>
  <c r="EX158" i="3"/>
  <c r="EZ158" i="3"/>
  <c r="FA158" i="3"/>
  <c r="FB158" i="3"/>
  <c r="FD158" i="3"/>
  <c r="AF159" i="3"/>
  <c r="AM159" i="3"/>
  <c r="AG159" i="3"/>
  <c r="DM159" i="3"/>
  <c r="CW159" i="3"/>
  <c r="CX159" i="3"/>
  <c r="CY159" i="3"/>
  <c r="CZ159" i="3"/>
  <c r="DA159" i="3"/>
  <c r="DC159" i="3"/>
  <c r="DD159" i="3"/>
  <c r="DE159" i="3"/>
  <c r="DF159" i="3"/>
  <c r="DG159" i="3"/>
  <c r="DH159" i="3"/>
  <c r="DI159" i="3"/>
  <c r="DL159" i="3"/>
  <c r="DN159" i="3"/>
  <c r="DP159" i="3"/>
  <c r="EB159" i="3"/>
  <c r="ED159" i="3"/>
  <c r="EE159" i="3"/>
  <c r="EF159" i="3"/>
  <c r="EG159" i="3"/>
  <c r="EK159" i="3"/>
  <c r="EL159" i="3"/>
  <c r="EM159" i="3"/>
  <c r="EQ159" i="3"/>
  <c r="ER159" i="3"/>
  <c r="ES159" i="3"/>
  <c r="ET159" i="3"/>
  <c r="EX159" i="3"/>
  <c r="EZ159" i="3"/>
  <c r="FA159" i="3"/>
  <c r="FB159" i="3"/>
  <c r="FD159" i="3"/>
  <c r="AF161" i="3"/>
  <c r="AM163" i="3"/>
  <c r="DO163" i="3"/>
  <c r="AM164" i="3"/>
  <c r="DO164" i="3"/>
  <c r="AM165" i="3"/>
  <c r="AF166" i="3"/>
  <c r="AM166" i="3"/>
  <c r="DO166" i="3"/>
  <c r="CJ166" i="3"/>
  <c r="AF167" i="3"/>
  <c r="AM167" i="3"/>
  <c r="AG167" i="3"/>
  <c r="DM167" i="3"/>
  <c r="CJ167" i="3"/>
  <c r="AF168" i="3"/>
  <c r="AM168" i="3"/>
  <c r="DO168" i="3"/>
  <c r="CJ168" i="3"/>
  <c r="AF169" i="3"/>
  <c r="AM169" i="3"/>
  <c r="CJ169" i="3"/>
  <c r="AF170" i="3"/>
  <c r="AM170" i="3"/>
  <c r="CJ170" i="3"/>
  <c r="EB170" i="3"/>
  <c r="ED170" i="3"/>
  <c r="EE170" i="3"/>
  <c r="EF170" i="3"/>
  <c r="EG170" i="3"/>
  <c r="EK170" i="3"/>
  <c r="EL170" i="3"/>
  <c r="EM170" i="3"/>
  <c r="EQ170" i="3"/>
  <c r="ER170" i="3"/>
  <c r="ES170" i="3"/>
  <c r="ET170" i="3"/>
  <c r="EX170" i="3"/>
  <c r="EZ170" i="3"/>
  <c r="FA170" i="3"/>
  <c r="FB170" i="3"/>
  <c r="FD170" i="3"/>
  <c r="AF171" i="3"/>
  <c r="AM171" i="3"/>
  <c r="AG171" i="3"/>
  <c r="CJ171" i="3"/>
  <c r="EB171" i="3"/>
  <c r="ED171" i="3"/>
  <c r="EE171" i="3"/>
  <c r="EF171" i="3"/>
  <c r="EG171" i="3"/>
  <c r="EK171" i="3"/>
  <c r="EL171" i="3"/>
  <c r="EM171" i="3"/>
  <c r="EQ171" i="3"/>
  <c r="ER171" i="3"/>
  <c r="ES171" i="3"/>
  <c r="ET171" i="3"/>
  <c r="EX171" i="3"/>
  <c r="EZ171" i="3"/>
  <c r="FA171" i="3"/>
  <c r="FB171" i="3"/>
  <c r="FD171" i="3"/>
  <c r="B102" i="16"/>
  <c r="AF172" i="3"/>
  <c r="AM172" i="3"/>
  <c r="AG172" i="3"/>
  <c r="DM172" i="3"/>
  <c r="CJ172" i="3"/>
  <c r="EB172" i="3"/>
  <c r="ED172" i="3"/>
  <c r="EE172" i="3"/>
  <c r="EF172" i="3"/>
  <c r="EG172" i="3"/>
  <c r="EK172" i="3"/>
  <c r="EL172" i="3"/>
  <c r="EM172" i="3"/>
  <c r="EQ172" i="3"/>
  <c r="ER172" i="3"/>
  <c r="ES172" i="3"/>
  <c r="ET172" i="3"/>
  <c r="EX172" i="3"/>
  <c r="EZ172" i="3"/>
  <c r="FA172" i="3"/>
  <c r="FB172" i="3"/>
  <c r="FD172" i="3"/>
  <c r="AF173" i="3"/>
  <c r="AM173" i="3"/>
  <c r="AG173" i="3"/>
  <c r="DM173" i="3"/>
  <c r="CJ173" i="3"/>
  <c r="EB173" i="3"/>
  <c r="ED173" i="3"/>
  <c r="EE173" i="3"/>
  <c r="EF173" i="3"/>
  <c r="EG173" i="3"/>
  <c r="EK173" i="3"/>
  <c r="EL173" i="3"/>
  <c r="EM173" i="3"/>
  <c r="EQ173" i="3"/>
  <c r="ER173" i="3"/>
  <c r="ES173" i="3"/>
  <c r="ET173" i="3"/>
  <c r="EX173" i="3"/>
  <c r="EZ173" i="3"/>
  <c r="FA173" i="3"/>
  <c r="FB173" i="3"/>
  <c r="FD173" i="3"/>
  <c r="AF174" i="3"/>
  <c r="AM174" i="3"/>
  <c r="DO174" i="3"/>
  <c r="EB174" i="3"/>
  <c r="ED174" i="3"/>
  <c r="EE174" i="3"/>
  <c r="EF174" i="3"/>
  <c r="EG174" i="3"/>
  <c r="EK174" i="3"/>
  <c r="EL174" i="3"/>
  <c r="EM174" i="3"/>
  <c r="EQ174" i="3"/>
  <c r="ER174" i="3"/>
  <c r="ES174" i="3"/>
  <c r="ET174" i="3"/>
  <c r="EX174" i="3"/>
  <c r="EZ174" i="3"/>
  <c r="FA174" i="3"/>
  <c r="FB174" i="3"/>
  <c r="FD174" i="3"/>
  <c r="AF175" i="3"/>
  <c r="AM175" i="3"/>
  <c r="CW175" i="3"/>
  <c r="CX175" i="3"/>
  <c r="CY175" i="3"/>
  <c r="CZ175" i="3"/>
  <c r="DC175" i="3"/>
  <c r="DD175" i="3"/>
  <c r="DE175" i="3"/>
  <c r="DF175" i="3"/>
  <c r="DG175" i="3"/>
  <c r="DH175" i="3"/>
  <c r="DI175" i="3"/>
  <c r="DL175" i="3"/>
  <c r="DN175" i="3"/>
  <c r="DP175" i="3"/>
  <c r="EB175" i="3"/>
  <c r="ED175" i="3"/>
  <c r="EE175" i="3"/>
  <c r="EF175" i="3"/>
  <c r="EG175" i="3"/>
  <c r="EK175" i="3"/>
  <c r="EL175" i="3"/>
  <c r="EM175" i="3"/>
  <c r="EQ175" i="3"/>
  <c r="ER175" i="3"/>
  <c r="ES175" i="3"/>
  <c r="ET175" i="3"/>
  <c r="EX175" i="3"/>
  <c r="EZ175" i="3"/>
  <c r="FA175" i="3"/>
  <c r="FB175" i="3"/>
  <c r="FD175" i="3"/>
  <c r="AF176" i="3"/>
  <c r="AM176" i="3"/>
  <c r="CW176" i="3"/>
  <c r="CX176" i="3"/>
  <c r="CY176" i="3"/>
  <c r="CZ176" i="3"/>
  <c r="DA176" i="3"/>
  <c r="DC176" i="3"/>
  <c r="DD176" i="3"/>
  <c r="DE176" i="3"/>
  <c r="DF176" i="3"/>
  <c r="DG176" i="3"/>
  <c r="DH176" i="3"/>
  <c r="DI176" i="3"/>
  <c r="DL176" i="3"/>
  <c r="DN176" i="3"/>
  <c r="DP176" i="3"/>
  <c r="EB176" i="3"/>
  <c r="ED176" i="3"/>
  <c r="EE176" i="3"/>
  <c r="EF176" i="3"/>
  <c r="EG176" i="3"/>
  <c r="EK176" i="3"/>
  <c r="EL176" i="3"/>
  <c r="EM176" i="3"/>
  <c r="EQ176" i="3"/>
  <c r="ER176" i="3"/>
  <c r="ES176" i="3"/>
  <c r="ET176" i="3"/>
  <c r="EX176" i="3"/>
  <c r="EZ176" i="3"/>
  <c r="FA176" i="3"/>
  <c r="FB176" i="3"/>
  <c r="FD176" i="3"/>
  <c r="B36" i="16"/>
  <c r="B17" i="16"/>
  <c r="B113" i="16"/>
  <c r="AF177" i="3"/>
  <c r="AM177" i="3"/>
  <c r="AG177" i="3"/>
  <c r="DM177" i="3"/>
  <c r="CW177" i="3"/>
  <c r="CX177" i="3"/>
  <c r="CY177" i="3"/>
  <c r="CZ177" i="3"/>
  <c r="DA177" i="3"/>
  <c r="DC177" i="3"/>
  <c r="DD177" i="3"/>
  <c r="DE177" i="3"/>
  <c r="DF177" i="3"/>
  <c r="DG177" i="3"/>
  <c r="DH177" i="3"/>
  <c r="DI177" i="3"/>
  <c r="DL177" i="3"/>
  <c r="DN177" i="3"/>
  <c r="DP177" i="3"/>
  <c r="EB177" i="3"/>
  <c r="ED177" i="3"/>
  <c r="EE177" i="3"/>
  <c r="EF177" i="3"/>
  <c r="EG177" i="3"/>
  <c r="EK177" i="3"/>
  <c r="EL177" i="3"/>
  <c r="EM177" i="3"/>
  <c r="EQ177" i="3"/>
  <c r="ER177" i="3"/>
  <c r="ES177" i="3"/>
  <c r="ET177" i="3"/>
  <c r="EX177" i="3"/>
  <c r="EZ177" i="3"/>
  <c r="FA177" i="3"/>
  <c r="FB177" i="3"/>
  <c r="FD177" i="3"/>
  <c r="AF178" i="3"/>
  <c r="AM178" i="3"/>
  <c r="DO178" i="3"/>
  <c r="CW178" i="3"/>
  <c r="CX178" i="3"/>
  <c r="CY178" i="3"/>
  <c r="CZ178" i="3"/>
  <c r="EH178" i="3"/>
  <c r="DC178" i="3"/>
  <c r="DD178" i="3"/>
  <c r="DE178" i="3"/>
  <c r="DF178" i="3"/>
  <c r="DG178" i="3"/>
  <c r="DH178" i="3"/>
  <c r="DI178" i="3"/>
  <c r="DL178" i="3"/>
  <c r="DN178" i="3"/>
  <c r="DP178" i="3"/>
  <c r="EB178" i="3"/>
  <c r="ED178" i="3"/>
  <c r="EE178" i="3"/>
  <c r="EF178" i="3"/>
  <c r="EG178" i="3"/>
  <c r="EK178" i="3"/>
  <c r="EL178" i="3"/>
  <c r="EM178" i="3"/>
  <c r="EQ178" i="3"/>
  <c r="ER178" i="3"/>
  <c r="ES178" i="3"/>
  <c r="ET178" i="3"/>
  <c r="EX178" i="3"/>
  <c r="EZ178" i="3"/>
  <c r="FA178" i="3"/>
  <c r="FB178" i="3"/>
  <c r="FD178" i="3"/>
  <c r="AF179" i="3"/>
  <c r="AM179" i="3"/>
  <c r="AG179" i="3"/>
  <c r="DM179" i="3"/>
  <c r="CW179" i="3"/>
  <c r="CX179" i="3"/>
  <c r="CY179" i="3"/>
  <c r="CZ179" i="3"/>
  <c r="DA179" i="3"/>
  <c r="DC179" i="3"/>
  <c r="DD179" i="3"/>
  <c r="DE179" i="3"/>
  <c r="DF179" i="3"/>
  <c r="DG179" i="3"/>
  <c r="DH179" i="3"/>
  <c r="DI179" i="3"/>
  <c r="DL179" i="3"/>
  <c r="DN179" i="3"/>
  <c r="DP179" i="3"/>
  <c r="EB179" i="3"/>
  <c r="ED179" i="3"/>
  <c r="EE179" i="3"/>
  <c r="EF179" i="3"/>
  <c r="EG179" i="3"/>
  <c r="EK179" i="3"/>
  <c r="EL179" i="3"/>
  <c r="EM179" i="3"/>
  <c r="EQ179" i="3"/>
  <c r="ER179" i="3"/>
  <c r="ES179" i="3"/>
  <c r="ET179" i="3"/>
  <c r="EX179" i="3"/>
  <c r="EZ179" i="3"/>
  <c r="FA179" i="3"/>
  <c r="FB179" i="3"/>
  <c r="FD179" i="3"/>
  <c r="AF180" i="3"/>
  <c r="AM180" i="3"/>
  <c r="DO180" i="3"/>
  <c r="CW180" i="3"/>
  <c r="CX180" i="3"/>
  <c r="CY180" i="3"/>
  <c r="CZ180" i="3"/>
  <c r="DA180" i="3"/>
  <c r="DC180" i="3"/>
  <c r="DD180" i="3"/>
  <c r="DE180" i="3"/>
  <c r="DF180" i="3"/>
  <c r="DG180" i="3"/>
  <c r="DH180" i="3"/>
  <c r="DI180" i="3"/>
  <c r="DL180" i="3"/>
  <c r="DN180" i="3"/>
  <c r="DP180" i="3"/>
  <c r="EB180" i="3"/>
  <c r="ED180" i="3"/>
  <c r="EE180" i="3"/>
  <c r="EF180" i="3"/>
  <c r="EG180" i="3"/>
  <c r="EK180" i="3"/>
  <c r="EL180" i="3"/>
  <c r="EM180" i="3"/>
  <c r="EQ180" i="3"/>
  <c r="ER180" i="3"/>
  <c r="ES180" i="3"/>
  <c r="ET180" i="3"/>
  <c r="EX180" i="3"/>
  <c r="EZ180" i="3"/>
  <c r="FA180" i="3"/>
  <c r="FB180" i="3"/>
  <c r="FD180" i="3"/>
  <c r="AF181" i="3"/>
  <c r="AM181" i="3"/>
  <c r="AG181" i="3"/>
  <c r="DM181" i="3"/>
  <c r="CW181" i="3"/>
  <c r="CX181" i="3"/>
  <c r="CY181" i="3"/>
  <c r="CZ181" i="3"/>
  <c r="EH181" i="3"/>
  <c r="DC181" i="3"/>
  <c r="DD181" i="3"/>
  <c r="DE181" i="3"/>
  <c r="DF181" i="3"/>
  <c r="DG181" i="3"/>
  <c r="DH181" i="3"/>
  <c r="DI181" i="3"/>
  <c r="DL181" i="3"/>
  <c r="DN181" i="3"/>
  <c r="DP181" i="3"/>
  <c r="EB181" i="3"/>
  <c r="ED181" i="3"/>
  <c r="EE181" i="3"/>
  <c r="EF181" i="3"/>
  <c r="EG181" i="3"/>
  <c r="EK181" i="3"/>
  <c r="EL181" i="3"/>
  <c r="EM181" i="3"/>
  <c r="EQ181" i="3"/>
  <c r="ER181" i="3"/>
  <c r="ES181" i="3"/>
  <c r="ET181" i="3"/>
  <c r="EX181" i="3"/>
  <c r="EZ181" i="3"/>
  <c r="FA181" i="3"/>
  <c r="FB181" i="3"/>
  <c r="FD181" i="3"/>
  <c r="AF182" i="3"/>
  <c r="AM182" i="3"/>
  <c r="DO182" i="3"/>
  <c r="CJ182" i="3"/>
  <c r="CW182" i="3"/>
  <c r="CX182" i="3"/>
  <c r="CY182" i="3"/>
  <c r="CZ182" i="3"/>
  <c r="DA182" i="3"/>
  <c r="DC182" i="3"/>
  <c r="DD182" i="3"/>
  <c r="DE182" i="3"/>
  <c r="DF182" i="3"/>
  <c r="DG182" i="3"/>
  <c r="DH182" i="3"/>
  <c r="DI182" i="3"/>
  <c r="DL182" i="3"/>
  <c r="DN182" i="3"/>
  <c r="DP182" i="3"/>
  <c r="EB182" i="3"/>
  <c r="ED182" i="3"/>
  <c r="EE182" i="3"/>
  <c r="EF182" i="3"/>
  <c r="EG182" i="3"/>
  <c r="EK182" i="3"/>
  <c r="EL182" i="3"/>
  <c r="EM182" i="3"/>
  <c r="EQ182" i="3"/>
  <c r="ER182" i="3"/>
  <c r="ES182" i="3"/>
  <c r="ET182" i="3"/>
  <c r="EX182" i="3"/>
  <c r="EZ182" i="3"/>
  <c r="FA182" i="3"/>
  <c r="FB182" i="3"/>
  <c r="FD182" i="3"/>
  <c r="AF183" i="3"/>
  <c r="AM183" i="3"/>
  <c r="AG183" i="3"/>
  <c r="DM183" i="3"/>
  <c r="CJ183" i="3"/>
  <c r="CJ191" i="3"/>
  <c r="AB3" i="13"/>
  <c r="CW183" i="3"/>
  <c r="CX183" i="3"/>
  <c r="CY183" i="3"/>
  <c r="CZ183" i="3"/>
  <c r="DA183" i="3"/>
  <c r="DC183" i="3"/>
  <c r="DD183" i="3"/>
  <c r="DE183" i="3"/>
  <c r="DF183" i="3"/>
  <c r="DG183" i="3"/>
  <c r="DH183" i="3"/>
  <c r="DI183" i="3"/>
  <c r="DL183" i="3"/>
  <c r="DN183" i="3"/>
  <c r="DP183" i="3"/>
  <c r="EB183" i="3"/>
  <c r="ED183" i="3"/>
  <c r="EE183" i="3"/>
  <c r="EF183" i="3"/>
  <c r="EG183" i="3"/>
  <c r="EK183" i="3"/>
  <c r="EL183" i="3"/>
  <c r="EM183" i="3"/>
  <c r="EQ183" i="3"/>
  <c r="ER183" i="3"/>
  <c r="ES183" i="3"/>
  <c r="ET183" i="3"/>
  <c r="EX183" i="3"/>
  <c r="EZ183" i="3"/>
  <c r="FA183" i="3"/>
  <c r="FB183" i="3"/>
  <c r="FD183" i="3"/>
  <c r="B32" i="16"/>
  <c r="B77" i="16"/>
  <c r="AF184" i="3"/>
  <c r="AM184" i="3"/>
  <c r="CW184" i="3"/>
  <c r="CX184" i="3"/>
  <c r="CY184" i="3"/>
  <c r="CZ184" i="3"/>
  <c r="DC184" i="3"/>
  <c r="DD184" i="3"/>
  <c r="DE184" i="3"/>
  <c r="DF184" i="3"/>
  <c r="DG184" i="3"/>
  <c r="DH184" i="3"/>
  <c r="DI184" i="3"/>
  <c r="DL184" i="3"/>
  <c r="DN184" i="3"/>
  <c r="DP184" i="3"/>
  <c r="EB184" i="3"/>
  <c r="ED184" i="3"/>
  <c r="EE184" i="3"/>
  <c r="EF184" i="3"/>
  <c r="EG184" i="3"/>
  <c r="EK184" i="3"/>
  <c r="EL184" i="3"/>
  <c r="EM184" i="3"/>
  <c r="EQ184" i="3"/>
  <c r="ER184" i="3"/>
  <c r="ES184" i="3"/>
  <c r="ET184" i="3"/>
  <c r="EX184" i="3"/>
  <c r="EZ184" i="3"/>
  <c r="FA184" i="3"/>
  <c r="FB184" i="3"/>
  <c r="FD184" i="3"/>
  <c r="AF185" i="3"/>
  <c r="AM185" i="3"/>
  <c r="CW185" i="3"/>
  <c r="CX185" i="3"/>
  <c r="CY185" i="3"/>
  <c r="CZ185" i="3"/>
  <c r="EH185" i="3"/>
  <c r="DC185" i="3"/>
  <c r="DD185" i="3"/>
  <c r="DE185" i="3"/>
  <c r="DF185" i="3"/>
  <c r="DG185" i="3"/>
  <c r="DH185" i="3"/>
  <c r="DI185" i="3"/>
  <c r="DL185" i="3"/>
  <c r="DN185" i="3"/>
  <c r="DP185" i="3"/>
  <c r="EB185" i="3"/>
  <c r="ED185" i="3"/>
  <c r="EE185" i="3"/>
  <c r="EF185" i="3"/>
  <c r="EG185" i="3"/>
  <c r="EK185" i="3"/>
  <c r="EL185" i="3"/>
  <c r="EM185" i="3"/>
  <c r="EQ185" i="3"/>
  <c r="ER185" i="3"/>
  <c r="ES185" i="3"/>
  <c r="ET185" i="3"/>
  <c r="EX185" i="3"/>
  <c r="EZ185" i="3"/>
  <c r="FA185" i="3"/>
  <c r="FB185" i="3"/>
  <c r="FD185" i="3"/>
  <c r="AF186" i="3"/>
  <c r="AM186" i="3"/>
  <c r="CW186" i="3"/>
  <c r="CX186" i="3"/>
  <c r="CY186" i="3"/>
  <c r="CZ186" i="3"/>
  <c r="EH186" i="3"/>
  <c r="DC186" i="3"/>
  <c r="DD186" i="3"/>
  <c r="DE186" i="3"/>
  <c r="DF186" i="3"/>
  <c r="DG186" i="3"/>
  <c r="DH186" i="3"/>
  <c r="DI186" i="3"/>
  <c r="DL186" i="3"/>
  <c r="DN186" i="3"/>
  <c r="DP186" i="3"/>
  <c r="EB186" i="3"/>
  <c r="ED186" i="3"/>
  <c r="EE186" i="3"/>
  <c r="EF186" i="3"/>
  <c r="EG186" i="3"/>
  <c r="EK186" i="3"/>
  <c r="EL186" i="3"/>
  <c r="EM186" i="3"/>
  <c r="EQ186" i="3"/>
  <c r="ER186" i="3"/>
  <c r="ES186" i="3"/>
  <c r="ET186" i="3"/>
  <c r="EX186" i="3"/>
  <c r="EZ186" i="3"/>
  <c r="FA186" i="3"/>
  <c r="FB186" i="3"/>
  <c r="FD186" i="3"/>
  <c r="F187" i="3"/>
  <c r="B14" i="16"/>
  <c r="B26" i="16"/>
  <c r="AF187" i="3"/>
  <c r="AM187" i="3"/>
  <c r="AG187" i="3"/>
  <c r="DM187" i="3"/>
  <c r="CW187" i="3"/>
  <c r="CX187" i="3"/>
  <c r="CY187" i="3"/>
  <c r="CZ187" i="3"/>
  <c r="DC187" i="3"/>
  <c r="DD187" i="3"/>
  <c r="DE187" i="3"/>
  <c r="DF187" i="3"/>
  <c r="DG187" i="3"/>
  <c r="DH187" i="3"/>
  <c r="DI187" i="3"/>
  <c r="DL187" i="3"/>
  <c r="DN187" i="3"/>
  <c r="DP187" i="3"/>
  <c r="EB187" i="3"/>
  <c r="ED187" i="3"/>
  <c r="EE187" i="3"/>
  <c r="EF187" i="3"/>
  <c r="EG187" i="3"/>
  <c r="EK187" i="3"/>
  <c r="EL187" i="3"/>
  <c r="EM187" i="3"/>
  <c r="EQ187" i="3"/>
  <c r="ER187" i="3"/>
  <c r="ES187" i="3"/>
  <c r="ET187" i="3"/>
  <c r="EX187" i="3"/>
  <c r="EZ187" i="3"/>
  <c r="FA187" i="3"/>
  <c r="FB187" i="3"/>
  <c r="FD187" i="3"/>
  <c r="F188" i="3"/>
  <c r="AM188" i="3"/>
  <c r="CW188" i="3"/>
  <c r="CX188" i="3"/>
  <c r="CY188" i="3"/>
  <c r="CZ188" i="3"/>
  <c r="EH188" i="3"/>
  <c r="DC188" i="3"/>
  <c r="DD188" i="3"/>
  <c r="DE188" i="3"/>
  <c r="DF188" i="3"/>
  <c r="DG188" i="3"/>
  <c r="DH188" i="3"/>
  <c r="DI188" i="3"/>
  <c r="DL188" i="3"/>
  <c r="DN188" i="3"/>
  <c r="DP188" i="3"/>
  <c r="EB188" i="3"/>
  <c r="ED188" i="3"/>
  <c r="EE188" i="3"/>
  <c r="EF188" i="3"/>
  <c r="EG188" i="3"/>
  <c r="EK188" i="3"/>
  <c r="EL188" i="3"/>
  <c r="EM188" i="3"/>
  <c r="EQ188" i="3"/>
  <c r="ER188" i="3"/>
  <c r="ES188" i="3"/>
  <c r="ET188" i="3"/>
  <c r="EX188" i="3"/>
  <c r="EZ188" i="3"/>
  <c r="FA188" i="3"/>
  <c r="FB188" i="3"/>
  <c r="FD188" i="3"/>
  <c r="F189" i="3"/>
  <c r="AM189" i="3"/>
  <c r="AG189" i="3"/>
  <c r="DM189" i="3"/>
  <c r="CW189" i="3"/>
  <c r="CX189" i="3"/>
  <c r="CY189" i="3"/>
  <c r="CZ189" i="3"/>
  <c r="EH189" i="3"/>
  <c r="DC189" i="3"/>
  <c r="DD189" i="3"/>
  <c r="DE189" i="3"/>
  <c r="DF189" i="3"/>
  <c r="DG189" i="3"/>
  <c r="DH189" i="3"/>
  <c r="DI189" i="3"/>
  <c r="DL189" i="3"/>
  <c r="DN189" i="3"/>
  <c r="DP189" i="3"/>
  <c r="EB189" i="3"/>
  <c r="ED189" i="3"/>
  <c r="EE189" i="3"/>
  <c r="EF189" i="3"/>
  <c r="EG189" i="3"/>
  <c r="EK189" i="3"/>
  <c r="EL189" i="3"/>
  <c r="EM189" i="3"/>
  <c r="EQ189" i="3"/>
  <c r="ER189" i="3"/>
  <c r="ES189" i="3"/>
  <c r="ET189" i="3"/>
  <c r="EX189" i="3"/>
  <c r="EZ189" i="3"/>
  <c r="FA189" i="3"/>
  <c r="FB189" i="3"/>
  <c r="FD189" i="3"/>
  <c r="F190" i="3"/>
  <c r="AF190" i="3"/>
  <c r="AM190" i="3"/>
  <c r="CJ190" i="3"/>
  <c r="CW190" i="3"/>
  <c r="CX190" i="3"/>
  <c r="CY190" i="3"/>
  <c r="CZ190" i="3"/>
  <c r="DA190" i="3"/>
  <c r="DC190" i="3"/>
  <c r="DD190" i="3"/>
  <c r="DE190" i="3"/>
  <c r="DF190" i="3"/>
  <c r="DG190" i="3"/>
  <c r="DH190" i="3"/>
  <c r="DI190" i="3"/>
  <c r="DL190" i="3"/>
  <c r="DN190" i="3"/>
  <c r="DP190" i="3"/>
  <c r="EB190" i="3"/>
  <c r="ED190" i="3"/>
  <c r="EE190" i="3"/>
  <c r="EF190" i="3"/>
  <c r="EG190" i="3"/>
  <c r="EK190" i="3"/>
  <c r="EL190" i="3"/>
  <c r="EM190" i="3"/>
  <c r="EQ190" i="3"/>
  <c r="ER190" i="3"/>
  <c r="ES190" i="3"/>
  <c r="ET190" i="3"/>
  <c r="EX190" i="3"/>
  <c r="EZ190" i="3"/>
  <c r="FA190" i="3"/>
  <c r="FB190" i="3"/>
  <c r="FD190" i="3"/>
  <c r="Y1" i="2"/>
  <c r="L3" i="2"/>
  <c r="O3" i="2"/>
  <c r="AR3" i="2"/>
  <c r="BJ3" i="2"/>
  <c r="BJ4" i="2"/>
  <c r="AR5" i="2"/>
  <c r="BJ5" i="2"/>
  <c r="AR6" i="2"/>
  <c r="AR7" i="2"/>
  <c r="BD7" i="2"/>
  <c r="AR8" i="2"/>
  <c r="AT8" i="2"/>
  <c r="BJ8" i="2"/>
  <c r="AR9" i="2"/>
  <c r="AZ9" i="2"/>
  <c r="AR10" i="2"/>
  <c r="AR11" i="2"/>
  <c r="BJ11" i="2"/>
  <c r="AR12" i="2"/>
  <c r="BE12" i="2"/>
  <c r="BJ12" i="2"/>
  <c r="AR13" i="2"/>
  <c r="AV13" i="2"/>
  <c r="BJ13" i="2"/>
  <c r="AR14" i="2"/>
  <c r="AU14" i="2"/>
  <c r="BJ14" i="2"/>
  <c r="K3" i="1"/>
  <c r="BB5" i="1"/>
  <c r="BA8" i="1"/>
  <c r="L9" i="1"/>
  <c r="M9" i="1"/>
  <c r="L10" i="1"/>
  <c r="M10" i="1"/>
  <c r="O76" i="1"/>
  <c r="L11" i="1"/>
  <c r="M11" i="1"/>
  <c r="O77" i="1"/>
  <c r="BA11" i="1"/>
  <c r="L14" i="1"/>
  <c r="AW22" i="1"/>
  <c r="M14" i="1"/>
  <c r="L15" i="1"/>
  <c r="M15" i="1"/>
  <c r="L16" i="1"/>
  <c r="M16" i="1"/>
  <c r="L17" i="1"/>
  <c r="M17" i="1"/>
  <c r="L18" i="1"/>
  <c r="M18" i="1"/>
  <c r="O82" i="1"/>
  <c r="M19" i="1"/>
  <c r="O83" i="1"/>
  <c r="BA19" i="1"/>
  <c r="AV22" i="1"/>
  <c r="AY22" i="1"/>
  <c r="F20" i="8"/>
  <c r="AW23" i="1"/>
  <c r="AX23" i="1"/>
  <c r="BO23" i="1"/>
  <c r="AX24" i="1"/>
  <c r="G26" i="1"/>
  <c r="H26" i="1"/>
  <c r="BP26" i="1"/>
  <c r="BP27" i="1"/>
  <c r="L28" i="1"/>
  <c r="AX22" i="1"/>
  <c r="AW28" i="1"/>
  <c r="AX28" i="1"/>
  <c r="BP28" i="1"/>
  <c r="L29" i="1"/>
  <c r="AW29" i="1"/>
  <c r="AX29" i="1"/>
  <c r="BP29" i="1"/>
  <c r="L30" i="1"/>
  <c r="AV30" i="1"/>
  <c r="AW30" i="1"/>
  <c r="AX30" i="1"/>
  <c r="AY30" i="1"/>
  <c r="BP30" i="1"/>
  <c r="L31" i="1"/>
  <c r="AX27" i="1"/>
  <c r="AV31" i="1"/>
  <c r="BP31" i="1"/>
  <c r="L32" i="1"/>
  <c r="AX32" i="1"/>
  <c r="BP32" i="1"/>
  <c r="L33" i="1"/>
  <c r="BP33" i="1"/>
  <c r="L34" i="1"/>
  <c r="BP34" i="1"/>
  <c r="L35" i="1"/>
  <c r="BP35" i="1"/>
  <c r="L36" i="1"/>
  <c r="BP36" i="1"/>
  <c r="L37" i="1"/>
  <c r="BP37" i="1"/>
  <c r="L38" i="1"/>
  <c r="AX26" i="1"/>
  <c r="BA25" i="1"/>
  <c r="BP38" i="1"/>
  <c r="BP39" i="1"/>
  <c r="BP40" i="1"/>
  <c r="BP41" i="1"/>
  <c r="L42" i="1"/>
  <c r="P6" i="13"/>
  <c r="N42" i="1"/>
  <c r="BP42" i="1"/>
  <c r="L43" i="1"/>
  <c r="N43" i="1"/>
  <c r="BP43" i="1"/>
  <c r="L44" i="1"/>
  <c r="N44" i="1"/>
  <c r="BP44" i="1"/>
  <c r="BP45" i="1"/>
  <c r="BP46" i="1"/>
  <c r="BP47" i="1"/>
  <c r="BP48" i="1"/>
  <c r="L49" i="1"/>
  <c r="BP49" i="1"/>
  <c r="L50" i="1"/>
  <c r="BP50" i="1"/>
  <c r="BP51" i="1"/>
  <c r="L52" i="1"/>
  <c r="BP52" i="1"/>
  <c r="BP53" i="1"/>
  <c r="BP54" i="1"/>
  <c r="BP55" i="1"/>
  <c r="D56" i="1"/>
  <c r="AV25" i="1"/>
  <c r="F22" i="8"/>
  <c r="AK18" i="8"/>
  <c r="E56" i="1"/>
  <c r="BP56" i="1"/>
  <c r="D57" i="1"/>
  <c r="AW25" i="1"/>
  <c r="E57" i="1"/>
  <c r="BP57" i="1"/>
  <c r="D58" i="1"/>
  <c r="AX25" i="1"/>
  <c r="E58" i="1"/>
  <c r="BP58" i="1"/>
  <c r="D59" i="1"/>
  <c r="AY25" i="1"/>
  <c r="F25" i="8"/>
  <c r="E59" i="1"/>
  <c r="K59" i="1"/>
  <c r="M59" i="1"/>
  <c r="BP59" i="1"/>
  <c r="K60" i="1"/>
  <c r="M60" i="1"/>
  <c r="BP60" i="1"/>
  <c r="K61" i="1"/>
  <c r="M61" i="1"/>
  <c r="BP61" i="1"/>
  <c r="M62" i="1"/>
  <c r="BP62" i="1"/>
  <c r="BP63" i="1"/>
  <c r="BP64" i="1"/>
  <c r="BP65" i="1"/>
  <c r="BP70" i="1"/>
  <c r="BP71" i="1"/>
  <c r="BP72" i="1"/>
  <c r="BP73" i="1"/>
  <c r="BP74" i="1"/>
  <c r="BP75" i="1"/>
  <c r="BP76" i="1"/>
  <c r="BP77" i="1"/>
  <c r="BP78" i="1"/>
  <c r="BP79" i="1"/>
  <c r="BP90" i="1"/>
  <c r="BP91" i="1"/>
  <c r="BP92" i="1"/>
  <c r="E215" i="1"/>
  <c r="E218" i="1"/>
  <c r="E219" i="1"/>
  <c r="E224" i="1"/>
  <c r="E225" i="1"/>
  <c r="E226" i="1"/>
  <c r="C227" i="1"/>
  <c r="E227" i="1"/>
  <c r="C228" i="1"/>
  <c r="E228" i="1"/>
  <c r="C229" i="1"/>
  <c r="E229" i="1"/>
  <c r="C230" i="1"/>
  <c r="E230" i="1"/>
  <c r="C231" i="1"/>
  <c r="E231" i="1"/>
  <c r="C232" i="1"/>
  <c r="E232" i="1"/>
  <c r="C233" i="1"/>
  <c r="E233" i="1"/>
  <c r="E234" i="1"/>
  <c r="C235" i="1"/>
  <c r="E235" i="1"/>
  <c r="C236" i="1"/>
  <c r="E236" i="1"/>
  <c r="C237" i="1"/>
  <c r="E237" i="1"/>
  <c r="C238" i="1"/>
  <c r="E238" i="1"/>
  <c r="C239" i="1"/>
  <c r="E239" i="1"/>
  <c r="C240" i="1"/>
  <c r="E240" i="1"/>
  <c r="C241" i="1"/>
  <c r="E241" i="1"/>
  <c r="C242" i="1"/>
  <c r="E242" i="1"/>
  <c r="C243" i="1"/>
  <c r="E243" i="1"/>
  <c r="C244" i="1"/>
  <c r="E244" i="1"/>
  <c r="E245" i="1"/>
  <c r="C246" i="1"/>
  <c r="E246" i="1"/>
  <c r="C247" i="1"/>
  <c r="E247" i="1"/>
  <c r="C248" i="1"/>
  <c r="E248" i="1"/>
  <c r="E249" i="1"/>
  <c r="E250" i="1"/>
  <c r="E251" i="1"/>
  <c r="E252" i="1"/>
  <c r="E253" i="1"/>
  <c r="E254" i="1"/>
  <c r="E255" i="1"/>
  <c r="E256" i="1"/>
  <c r="E257" i="1"/>
  <c r="E258" i="1"/>
  <c r="E260" i="1"/>
  <c r="E262" i="1"/>
  <c r="E263" i="1"/>
  <c r="E221" i="1"/>
  <c r="E264" i="1"/>
  <c r="E266" i="1"/>
  <c r="E268" i="1"/>
  <c r="E269" i="1"/>
  <c r="E267" i="1"/>
  <c r="E270" i="1"/>
  <c r="E271" i="1"/>
  <c r="E272" i="1"/>
  <c r="E273" i="1"/>
  <c r="E274" i="1"/>
  <c r="E276" i="1"/>
  <c r="E277" i="1"/>
  <c r="E275" i="1"/>
  <c r="E278" i="1"/>
  <c r="E280" i="1"/>
  <c r="E281" i="1"/>
  <c r="E279" i="1"/>
  <c r="E282" i="1"/>
  <c r="E283" i="1"/>
  <c r="E284" i="1"/>
  <c r="E285" i="1"/>
  <c r="E286" i="1"/>
  <c r="E288" i="1"/>
  <c r="E289" i="1"/>
  <c r="E287" i="1"/>
  <c r="E290" i="1"/>
  <c r="E292" i="1"/>
  <c r="E293" i="1"/>
  <c r="E291" i="1"/>
  <c r="E294" i="1"/>
  <c r="E296" i="1"/>
  <c r="E297" i="1"/>
  <c r="E298" i="1"/>
  <c r="E300" i="1"/>
  <c r="E301" i="1"/>
  <c r="E299" i="1"/>
  <c r="E302" i="1"/>
  <c r="E303" i="1"/>
  <c r="E304" i="1"/>
  <c r="E305" i="1"/>
  <c r="E306" i="1"/>
  <c r="E308" i="1"/>
  <c r="E309" i="1"/>
  <c r="E307" i="1"/>
  <c r="E310" i="1"/>
  <c r="E312" i="1"/>
  <c r="E313" i="1"/>
  <c r="E314" i="1"/>
  <c r="E315" i="1"/>
  <c r="E316" i="1"/>
  <c r="E317" i="1"/>
  <c r="E318" i="1"/>
  <c r="E320" i="1"/>
  <c r="E321" i="1"/>
  <c r="E322" i="1"/>
  <c r="E323" i="1"/>
  <c r="E324" i="1"/>
  <c r="E325" i="1"/>
  <c r="E326" i="1"/>
  <c r="E328" i="1"/>
  <c r="E329" i="1"/>
  <c r="E327" i="1"/>
  <c r="E330" i="1"/>
  <c r="E332" i="1"/>
  <c r="E333" i="1"/>
  <c r="E331" i="1"/>
  <c r="E334" i="1"/>
  <c r="E335" i="1"/>
  <c r="E336" i="1"/>
  <c r="E337" i="1"/>
  <c r="E338" i="1"/>
  <c r="E339" i="1"/>
  <c r="E340" i="1"/>
  <c r="E342" i="1"/>
  <c r="E343" i="1"/>
  <c r="E344" i="1"/>
  <c r="E345" i="1"/>
  <c r="E346" i="1"/>
  <c r="C350" i="1"/>
  <c r="C354" i="1"/>
  <c r="AR4" i="2"/>
  <c r="BF4" i="2"/>
  <c r="B24" i="16"/>
  <c r="EH27" i="3"/>
  <c r="B30" i="16"/>
  <c r="AG100" i="3"/>
  <c r="DM100" i="3"/>
  <c r="DO135" i="3"/>
  <c r="EH18" i="3"/>
  <c r="DO13" i="3"/>
  <c r="AG33" i="3"/>
  <c r="DM33" i="3"/>
  <c r="EH103" i="3"/>
  <c r="EH174" i="3"/>
  <c r="AG39" i="3"/>
  <c r="DM39" i="3"/>
  <c r="EH6" i="3"/>
  <c r="DA95" i="3"/>
  <c r="DO65" i="3"/>
  <c r="DO52" i="3"/>
  <c r="B76" i="16"/>
  <c r="DO6" i="3"/>
  <c r="AG90" i="3"/>
  <c r="DM90" i="3"/>
  <c r="AG162" i="3"/>
  <c r="DM162" i="3"/>
  <c r="AD11" i="10"/>
  <c r="EH125" i="3"/>
  <c r="DO12" i="3"/>
  <c r="DA163" i="3"/>
  <c r="H21" i="9"/>
  <c r="AE9" i="10"/>
  <c r="AG68" i="3"/>
  <c r="DM68" i="3"/>
  <c r="AG9" i="3"/>
  <c r="DM9" i="3"/>
  <c r="DO30" i="3"/>
  <c r="DA23" i="3"/>
  <c r="AG41" i="3"/>
  <c r="DM41" i="3"/>
  <c r="DA47" i="3"/>
  <c r="DA38" i="3"/>
  <c r="AD12" i="10"/>
  <c r="DA168" i="3"/>
  <c r="DA171" i="3"/>
  <c r="EH8" i="3"/>
  <c r="DA89" i="3"/>
  <c r="DA127" i="3"/>
  <c r="DA61" i="3"/>
  <c r="DA144" i="3"/>
  <c r="DO83" i="3"/>
  <c r="EH32" i="3"/>
  <c r="AI16" i="10"/>
  <c r="EH164" i="3"/>
  <c r="DA173" i="3"/>
  <c r="EH12" i="3"/>
  <c r="DA9" i="3"/>
  <c r="AG16" i="3"/>
  <c r="DM16" i="3"/>
  <c r="DO56" i="3"/>
  <c r="DA178" i="3"/>
  <c r="DA24" i="3"/>
  <c r="AG19" i="3"/>
  <c r="DM19" i="3"/>
  <c r="AG158" i="3"/>
  <c r="DM158" i="3"/>
  <c r="DO99" i="3"/>
  <c r="AG53" i="3"/>
  <c r="DM53" i="3"/>
  <c r="EH49" i="3"/>
  <c r="DA49" i="3"/>
  <c r="AG10" i="3"/>
  <c r="DM10" i="3"/>
  <c r="DO4" i="3"/>
  <c r="AG4" i="3"/>
  <c r="DM4" i="3"/>
  <c r="D52" i="1"/>
  <c r="J28" i="9"/>
  <c r="EH115" i="3"/>
  <c r="EH60" i="3"/>
  <c r="DA60" i="3"/>
  <c r="DA34" i="3"/>
  <c r="EH34" i="3"/>
  <c r="AG17" i="3"/>
  <c r="DM17" i="3"/>
  <c r="DO17" i="3"/>
  <c r="AG14" i="3"/>
  <c r="DM14" i="3"/>
  <c r="DA10" i="3"/>
  <c r="EH10" i="3"/>
  <c r="DA7" i="3"/>
  <c r="AH12" i="10"/>
  <c r="AC12" i="10"/>
  <c r="AI12" i="10"/>
  <c r="AJ12" i="10"/>
  <c r="AB12" i="10"/>
  <c r="AF12" i="10"/>
  <c r="AG12" i="10"/>
  <c r="EH166" i="3"/>
  <c r="DA166" i="3"/>
  <c r="AG82" i="3"/>
  <c r="DM82" i="3"/>
  <c r="DO87" i="3"/>
  <c r="AG87" i="3"/>
  <c r="DM87" i="3"/>
  <c r="DO34" i="3"/>
  <c r="DO105" i="3"/>
  <c r="DO79" i="3"/>
  <c r="DA121" i="3"/>
  <c r="DA82" i="3"/>
  <c r="E70" i="4"/>
  <c r="EH131" i="3"/>
  <c r="AG63" i="3"/>
  <c r="DM63" i="3"/>
  <c r="DA66" i="3"/>
  <c r="AG86" i="3"/>
  <c r="DM86" i="3"/>
  <c r="DO86" i="3"/>
  <c r="EH130" i="3"/>
  <c r="DA13" i="3"/>
  <c r="AG77" i="3"/>
  <c r="DM77" i="3"/>
  <c r="DO77" i="3"/>
  <c r="EH28" i="3"/>
  <c r="DA28" i="3"/>
  <c r="DA25" i="3"/>
  <c r="EH25" i="3"/>
  <c r="EH22" i="3"/>
  <c r="DA57" i="3"/>
  <c r="DO106" i="3"/>
  <c r="EH81" i="3"/>
  <c r="EH83" i="3"/>
  <c r="EH51" i="3"/>
  <c r="DA51" i="3"/>
  <c r="AG18" i="3"/>
  <c r="DM18" i="3"/>
  <c r="DO45" i="3"/>
  <c r="AG45" i="3"/>
  <c r="DM45" i="3"/>
  <c r="DA41" i="3"/>
  <c r="DO36" i="3"/>
  <c r="DO24" i="3"/>
  <c r="AG24" i="3"/>
  <c r="DM24" i="3"/>
  <c r="AG27" i="3"/>
  <c r="DM27" i="3"/>
  <c r="DO76" i="3"/>
  <c r="AG76" i="3"/>
  <c r="DM76" i="3"/>
  <c r="F40" i="1"/>
  <c r="G8" i="9"/>
  <c r="AG111" i="3"/>
  <c r="DM111" i="3"/>
  <c r="DA78" i="3"/>
  <c r="EH78" i="3"/>
  <c r="AG174" i="3"/>
  <c r="DM174" i="3"/>
  <c r="DO159" i="3"/>
  <c r="AG180" i="3"/>
  <c r="DM180" i="3"/>
  <c r="DA138" i="3"/>
  <c r="EH141" i="3"/>
  <c r="H7" i="9"/>
  <c r="DO78" i="3"/>
  <c r="DO59" i="3"/>
  <c r="AG59" i="3"/>
  <c r="DM59" i="3"/>
  <c r="AH9" i="10"/>
  <c r="AG15" i="10"/>
  <c r="AJ9" i="10"/>
  <c r="AG9" i="10"/>
  <c r="AF9" i="10"/>
  <c r="AI9" i="10"/>
  <c r="AD9" i="10"/>
  <c r="AC9" i="10"/>
  <c r="J6" i="9"/>
  <c r="DA142" i="3"/>
  <c r="EH145" i="3"/>
  <c r="DA145" i="3"/>
  <c r="DO189" i="3"/>
  <c r="DA111" i="3"/>
  <c r="DA63" i="3"/>
  <c r="EH63" i="3"/>
  <c r="EH37" i="3"/>
  <c r="DA37" i="3"/>
  <c r="AG112" i="3"/>
  <c r="DM112" i="3"/>
  <c r="AG92" i="3"/>
  <c r="DM92" i="3"/>
  <c r="AG54" i="3"/>
  <c r="DM54" i="3"/>
  <c r="DO54" i="3"/>
  <c r="DA26" i="3"/>
  <c r="AG114" i="3"/>
  <c r="DM114" i="3"/>
  <c r="EH134" i="3"/>
  <c r="AG163" i="3"/>
  <c r="DM163" i="3"/>
  <c r="AC5" i="10"/>
  <c r="AG5" i="10"/>
  <c r="AJ5" i="10"/>
  <c r="EH21" i="3"/>
  <c r="EH98" i="3"/>
  <c r="AG122" i="3"/>
  <c r="DM122" i="3"/>
  <c r="AH18" i="10"/>
  <c r="DA69" i="3"/>
  <c r="EH69" i="3"/>
  <c r="EH65" i="3"/>
  <c r="AD18" i="10"/>
  <c r="AE18" i="10"/>
  <c r="AH11" i="10"/>
  <c r="AF18" i="10"/>
  <c r="AI11" i="10"/>
  <c r="AC11" i="10"/>
  <c r="AG18" i="10"/>
  <c r="AI18" i="10"/>
  <c r="AB18" i="10"/>
  <c r="AG11" i="10"/>
  <c r="AE11" i="10"/>
  <c r="AJ18" i="10"/>
  <c r="AB11" i="10"/>
  <c r="AF11" i="10"/>
  <c r="K16" i="9"/>
  <c r="J8" i="9"/>
  <c r="H15" i="9"/>
  <c r="DA169" i="3"/>
  <c r="BK14" i="2"/>
  <c r="AY14" i="2"/>
  <c r="AZ14" i="2"/>
  <c r="BC14" i="2"/>
  <c r="DO172" i="3"/>
  <c r="DA119" i="3"/>
  <c r="EH119" i="3"/>
  <c r="AG168" i="3"/>
  <c r="DM168" i="3"/>
  <c r="EH118" i="3"/>
  <c r="EH45" i="3"/>
  <c r="DA45" i="3"/>
  <c r="DO26" i="3"/>
  <c r="AG128" i="3"/>
  <c r="DM128" i="3"/>
  <c r="DO128" i="3"/>
  <c r="AB5" i="10"/>
  <c r="L51" i="1"/>
  <c r="AG46" i="3"/>
  <c r="DM46" i="3"/>
  <c r="AG48" i="3"/>
  <c r="DM48" i="3"/>
  <c r="AG145" i="3"/>
  <c r="DM145" i="3"/>
  <c r="DO145" i="3"/>
  <c r="EH76" i="3"/>
  <c r="DO64" i="3"/>
  <c r="EH48" i="3"/>
  <c r="DA48" i="3"/>
  <c r="AG142" i="3"/>
  <c r="DM142" i="3"/>
  <c r="DO139" i="3"/>
  <c r="AG139" i="3"/>
  <c r="DM139" i="3"/>
  <c r="AG132" i="3"/>
  <c r="DM132" i="3"/>
  <c r="DO132" i="3"/>
  <c r="DA99" i="3"/>
  <c r="EH99" i="3"/>
  <c r="DA84" i="3"/>
  <c r="EH84" i="3"/>
  <c r="EH70" i="3"/>
  <c r="EH67" i="3"/>
  <c r="EH35" i="3"/>
  <c r="DA31" i="3"/>
  <c r="EH31" i="3"/>
  <c r="AD5" i="10"/>
  <c r="DA68" i="3"/>
  <c r="AG164" i="3"/>
  <c r="DM164" i="3"/>
  <c r="EH165" i="3"/>
  <c r="DA165" i="3"/>
  <c r="AE5" i="10"/>
  <c r="AH5" i="10"/>
  <c r="DO103" i="3"/>
  <c r="DA128" i="3"/>
  <c r="EH128" i="3"/>
  <c r="DA71" i="3"/>
  <c r="EH104" i="3"/>
  <c r="AF5" i="10"/>
  <c r="DA64" i="3"/>
  <c r="DA30" i="3"/>
  <c r="EH30" i="3"/>
  <c r="AG137" i="3"/>
  <c r="DM137" i="3"/>
  <c r="EH77" i="3"/>
  <c r="AG42" i="3"/>
  <c r="DM42" i="3"/>
  <c r="DO42" i="3"/>
  <c r="EH116" i="3"/>
  <c r="EH75" i="3"/>
  <c r="DA75" i="3"/>
  <c r="AE10" i="10"/>
  <c r="AT7" i="2"/>
  <c r="EH5" i="3"/>
  <c r="DA5" i="3"/>
  <c r="I11" i="9"/>
  <c r="E11" i="9"/>
  <c r="EH161" i="3"/>
  <c r="DA161" i="3"/>
  <c r="EH159" i="3"/>
  <c r="AG178" i="3"/>
  <c r="DM178" i="3"/>
  <c r="EH157" i="3"/>
  <c r="DA91" i="3"/>
  <c r="AG89" i="3"/>
  <c r="DM89" i="3"/>
  <c r="DA136" i="3"/>
  <c r="E64" i="4"/>
  <c r="DO183" i="3"/>
  <c r="AG182" i="3"/>
  <c r="DM182" i="3"/>
  <c r="EH132" i="3"/>
  <c r="DA132" i="3"/>
  <c r="AG70" i="3"/>
  <c r="DM70" i="3"/>
  <c r="DA53" i="3"/>
  <c r="EH53" i="3"/>
  <c r="DO38" i="3"/>
  <c r="AV14" i="2"/>
  <c r="BF14" i="2"/>
  <c r="EH151" i="3"/>
  <c r="DA151" i="3"/>
  <c r="I17" i="9"/>
  <c r="K3" i="9"/>
  <c r="N28" i="13"/>
  <c r="L53" i="1"/>
  <c r="AG20" i="10"/>
  <c r="AG14" i="10"/>
  <c r="AE13" i="10"/>
  <c r="AG7" i="10"/>
  <c r="AE6" i="10"/>
  <c r="AF14" i="10"/>
  <c r="AH7" i="10"/>
  <c r="AI13" i="10"/>
  <c r="AD6" i="10"/>
  <c r="AB7" i="10"/>
  <c r="AG13" i="10"/>
  <c r="AJ6" i="10"/>
  <c r="AE7" i="10"/>
  <c r="AJ14" i="10"/>
  <c r="AH13" i="10"/>
  <c r="AC13" i="10"/>
  <c r="AF13" i="10"/>
  <c r="AI7" i="10"/>
  <c r="AH14" i="10"/>
  <c r="AC7" i="10"/>
  <c r="AJ7" i="10"/>
  <c r="AD13" i="10"/>
  <c r="AD7" i="10"/>
  <c r="AB14" i="10"/>
  <c r="AJ13" i="10"/>
  <c r="AI14" i="10"/>
  <c r="AZ11" i="2"/>
  <c r="BA11" i="2"/>
  <c r="G32" i="9"/>
  <c r="BF7" i="2"/>
  <c r="BC13" i="2"/>
  <c r="DA40" i="3"/>
  <c r="DA17" i="3"/>
  <c r="DA62" i="3"/>
  <c r="AG11" i="3"/>
  <c r="DM11" i="3"/>
  <c r="AV7" i="2"/>
  <c r="AX31" i="1"/>
  <c r="AG16" i="10"/>
  <c r="AU11" i="2"/>
  <c r="AW14" i="2"/>
  <c r="DO157" i="3"/>
  <c r="EH88" i="3"/>
  <c r="BA7" i="2"/>
  <c r="AW7" i="2"/>
  <c r="AJ10" i="10"/>
  <c r="DA143" i="3"/>
  <c r="EH156" i="3"/>
  <c r="AW3" i="2"/>
  <c r="AT14" i="2"/>
  <c r="AG101" i="3"/>
  <c r="DM101" i="3"/>
  <c r="EH160" i="3"/>
  <c r="AI4" i="10"/>
  <c r="EH112" i="3"/>
  <c r="DO127" i="3"/>
  <c r="DA126" i="3"/>
  <c r="DA85" i="3"/>
  <c r="AB16" i="10"/>
  <c r="DO8" i="3"/>
  <c r="EH14" i="3"/>
  <c r="DO5" i="3"/>
  <c r="AG166" i="3"/>
  <c r="DM166" i="3"/>
  <c r="AG84" i="3"/>
  <c r="DM84" i="3"/>
  <c r="BC7" i="2"/>
  <c r="BD14" i="2"/>
  <c r="DO32" i="3"/>
  <c r="BB7" i="2"/>
  <c r="AB10" i="10"/>
  <c r="DA80" i="3"/>
  <c r="AE4" i="10"/>
  <c r="DO49" i="3"/>
  <c r="AX11" i="2"/>
  <c r="AY7" i="2"/>
  <c r="AH10" i="10"/>
  <c r="AG72" i="3"/>
  <c r="DM72" i="3"/>
  <c r="AK9" i="8"/>
  <c r="DA52" i="3"/>
  <c r="DO81" i="3"/>
  <c r="AT11" i="2"/>
  <c r="DO121" i="3"/>
  <c r="DA181" i="3"/>
  <c r="BI7" i="2"/>
  <c r="AI10" i="10"/>
  <c r="AC10" i="10"/>
  <c r="AX14" i="2"/>
  <c r="BI14" i="2"/>
  <c r="BB14" i="2"/>
  <c r="EH179" i="3"/>
  <c r="DA189" i="3"/>
  <c r="DA59" i="3"/>
  <c r="AF16" i="10"/>
  <c r="AG161" i="3"/>
  <c r="DM161" i="3"/>
  <c r="AU7" i="2"/>
  <c r="EH177" i="3"/>
  <c r="BE7" i="2"/>
  <c r="AF10" i="10"/>
  <c r="AG10" i="10"/>
  <c r="BE14" i="2"/>
  <c r="BA14" i="2"/>
  <c r="DO138" i="3"/>
  <c r="AG144" i="3"/>
  <c r="DM144" i="3"/>
  <c r="AG150" i="3"/>
  <c r="DM150" i="3"/>
  <c r="AD16" i="10"/>
  <c r="AJ16" i="10"/>
  <c r="AH16" i="10"/>
  <c r="AC16" i="10"/>
  <c r="CV183" i="3"/>
  <c r="DO44" i="3"/>
  <c r="AG44" i="3"/>
  <c r="DM44" i="3"/>
  <c r="EH170" i="3"/>
  <c r="DA170" i="3"/>
  <c r="DO55" i="3"/>
  <c r="DA42" i="3"/>
  <c r="AE14" i="10"/>
  <c r="AD14" i="10"/>
  <c r="AC14" i="10"/>
  <c r="AD8" i="10"/>
  <c r="AF8" i="10"/>
  <c r="DO117" i="3"/>
  <c r="BK12" i="2"/>
  <c r="AG143" i="3"/>
  <c r="DM143" i="3"/>
  <c r="AG126" i="3"/>
  <c r="DM126" i="3"/>
  <c r="C65" i="4"/>
  <c r="L23" i="1"/>
  <c r="L25" i="1"/>
  <c r="E63" i="4"/>
  <c r="H23" i="9"/>
  <c r="DO149" i="3"/>
  <c r="DA73" i="3"/>
  <c r="EH73" i="3"/>
  <c r="AG43" i="3"/>
  <c r="DM43" i="3"/>
  <c r="DO43" i="3"/>
  <c r="AG40" i="3"/>
  <c r="DM40" i="3"/>
  <c r="DO40" i="3"/>
  <c r="AG37" i="3"/>
  <c r="DM37" i="3"/>
  <c r="AG31" i="3"/>
  <c r="DM31" i="3"/>
  <c r="DO28" i="3"/>
  <c r="AG28" i="3"/>
  <c r="DM28" i="3"/>
  <c r="DO25" i="3"/>
  <c r="AG25" i="3"/>
  <c r="DM25" i="3"/>
  <c r="DO22" i="3"/>
  <c r="AG22" i="3"/>
  <c r="DM22" i="3"/>
  <c r="DA19" i="3"/>
  <c r="EH19" i="3"/>
  <c r="DA16" i="3"/>
  <c r="EH16" i="3"/>
  <c r="AG7" i="3"/>
  <c r="DM7" i="3"/>
  <c r="DO7" i="3"/>
  <c r="BJ85" i="1"/>
  <c r="EC115" i="3"/>
  <c r="BF12" i="2"/>
  <c r="DO152" i="3"/>
  <c r="AG152" i="3"/>
  <c r="DM152" i="3"/>
  <c r="AG146" i="3"/>
  <c r="DM146" i="3"/>
  <c r="DO146" i="3"/>
  <c r="EH137" i="3"/>
  <c r="DA137" i="3"/>
  <c r="EH135" i="3"/>
  <c r="DA135" i="3"/>
  <c r="DA100" i="3"/>
  <c r="EH100" i="3"/>
  <c r="AG96" i="3"/>
  <c r="DM96" i="3"/>
  <c r="DO96" i="3"/>
  <c r="EH92" i="3"/>
  <c r="DA92" i="3"/>
  <c r="BD13" i="2"/>
  <c r="E76" i="4"/>
  <c r="E69" i="4"/>
  <c r="V85" i="13"/>
  <c r="E20" i="9"/>
  <c r="DO131" i="3"/>
  <c r="DA186" i="3"/>
  <c r="DO116" i="3"/>
  <c r="DA188" i="3"/>
  <c r="EH123" i="3"/>
  <c r="DO187" i="3"/>
  <c r="E319" i="1"/>
  <c r="DA50" i="3"/>
  <c r="AG61" i="3"/>
  <c r="DM61" i="3"/>
  <c r="AG62" i="3"/>
  <c r="DM62" i="3"/>
  <c r="DO94" i="3"/>
  <c r="AX7" i="2"/>
  <c r="BK7" i="2"/>
  <c r="AZ7" i="2"/>
  <c r="AG69" i="3"/>
  <c r="DM69" i="3"/>
  <c r="DO69" i="3"/>
  <c r="DO66" i="3"/>
  <c r="AG66" i="3"/>
  <c r="DM66" i="3"/>
  <c r="DA149" i="3"/>
  <c r="EH167" i="3"/>
  <c r="DA167" i="3"/>
  <c r="BA12" i="2"/>
  <c r="EH56" i="3"/>
  <c r="DA44" i="3"/>
  <c r="EH44" i="3"/>
  <c r="EC9" i="3"/>
  <c r="AV12" i="2"/>
  <c r="BI12" i="2"/>
  <c r="EH182" i="3"/>
  <c r="EH187" i="3"/>
  <c r="DA187" i="3"/>
  <c r="E74" i="4"/>
  <c r="D65" i="4"/>
  <c r="K23" i="1"/>
  <c r="K25" i="1"/>
  <c r="C79" i="4"/>
  <c r="L24" i="1"/>
  <c r="V69" i="13"/>
  <c r="E16" i="9"/>
  <c r="EH124" i="3"/>
  <c r="AG123" i="3"/>
  <c r="DM123" i="3"/>
  <c r="AG124" i="3"/>
  <c r="DM124" i="3"/>
  <c r="DA122" i="3"/>
  <c r="DA101" i="3"/>
  <c r="EH101" i="3"/>
  <c r="AG85" i="3"/>
  <c r="DM85" i="3"/>
  <c r="DO85" i="3"/>
  <c r="DO67" i="3"/>
  <c r="AG67" i="3"/>
  <c r="DM67" i="3"/>
  <c r="J32" i="9"/>
  <c r="F52" i="1"/>
  <c r="K8" i="9"/>
  <c r="AX33" i="1"/>
  <c r="AG125" i="3"/>
  <c r="DM125" i="3"/>
  <c r="DO125" i="3"/>
  <c r="DO113" i="3"/>
  <c r="AG113" i="3"/>
  <c r="DM113" i="3"/>
  <c r="EH20" i="3"/>
  <c r="DA20" i="3"/>
  <c r="DO21" i="3"/>
  <c r="AG21" i="3"/>
  <c r="DM21" i="3"/>
  <c r="EH183" i="3"/>
  <c r="DA97" i="3"/>
  <c r="AG80" i="3"/>
  <c r="DM80" i="3"/>
  <c r="BI4" i="2"/>
  <c r="AG169" i="3"/>
  <c r="DM169" i="3"/>
  <c r="DO169" i="3"/>
  <c r="AY4" i="2"/>
  <c r="DO95" i="3"/>
  <c r="CV82" i="3"/>
  <c r="CV99" i="3"/>
  <c r="EC10" i="3"/>
  <c r="BJ64" i="1"/>
  <c r="EH162" i="3"/>
  <c r="DA162" i="3"/>
  <c r="E72" i="4"/>
  <c r="AG75" i="3"/>
  <c r="DM75" i="3"/>
  <c r="EH190" i="3"/>
  <c r="EH176" i="3"/>
  <c r="DA172" i="3"/>
  <c r="EH172" i="3"/>
  <c r="AX5" i="2"/>
  <c r="AZ5" i="2"/>
  <c r="AU5" i="2"/>
  <c r="AT5" i="2"/>
  <c r="AY5" i="2"/>
  <c r="BI5" i="2"/>
  <c r="BK5" i="2"/>
  <c r="BC5" i="2"/>
  <c r="DA113" i="3"/>
  <c r="EH113" i="3"/>
  <c r="DA90" i="3"/>
  <c r="EH90" i="3"/>
  <c r="AG71" i="3"/>
  <c r="DM71" i="3"/>
  <c r="DO71" i="3"/>
  <c r="DA55" i="3"/>
  <c r="EH55" i="3"/>
  <c r="DO50" i="3"/>
  <c r="AG50" i="3"/>
  <c r="DM50" i="3"/>
  <c r="DA29" i="3"/>
  <c r="EH29" i="3"/>
  <c r="AG20" i="3"/>
  <c r="DM20" i="3"/>
  <c r="DO20" i="3"/>
  <c r="EH11" i="3"/>
  <c r="DA11" i="3"/>
  <c r="DO179" i="3"/>
  <c r="BA5" i="2"/>
  <c r="BF5" i="2"/>
  <c r="BA4" i="2"/>
  <c r="AV4" i="2"/>
  <c r="EH158" i="3"/>
  <c r="DA158" i="3"/>
  <c r="AW5" i="2"/>
  <c r="BE10" i="2"/>
  <c r="AT10" i="2"/>
  <c r="AV10" i="2"/>
  <c r="AJ19" i="10"/>
  <c r="AJ8" i="10"/>
  <c r="AI8" i="10"/>
  <c r="AE8" i="10"/>
  <c r="AF4" i="10"/>
  <c r="AC4" i="10"/>
  <c r="AI6" i="10"/>
  <c r="AF6" i="10"/>
  <c r="AB15" i="10"/>
  <c r="AA4" i="10"/>
  <c r="AB8" i="10"/>
  <c r="AH8" i="10"/>
  <c r="AG8" i="10"/>
  <c r="AH4" i="10"/>
  <c r="AC6" i="10"/>
  <c r="AB4" i="10"/>
  <c r="AC15" i="10"/>
  <c r="AB6" i="10"/>
  <c r="AE19" i="10"/>
  <c r="AD4" i="10"/>
  <c r="AG4" i="10"/>
  <c r="AG6" i="10"/>
  <c r="AK35" i="8"/>
  <c r="O78" i="1"/>
  <c r="K17" i="9"/>
  <c r="AU9" i="2"/>
  <c r="AV9" i="2"/>
  <c r="BB9" i="2"/>
  <c r="BC9" i="2"/>
  <c r="BF9" i="2"/>
  <c r="BA9" i="2"/>
  <c r="AY9" i="2"/>
  <c r="AX9" i="2"/>
  <c r="BK9" i="2"/>
  <c r="AT9" i="2"/>
  <c r="BI9" i="2"/>
  <c r="BE9" i="2"/>
  <c r="AW9" i="2"/>
  <c r="BD9" i="2"/>
  <c r="EH87" i="3"/>
  <c r="DA39" i="3"/>
  <c r="DA15" i="3"/>
  <c r="T109" i="13"/>
  <c r="V109" i="13"/>
  <c r="BA27" i="1"/>
  <c r="DO181" i="3"/>
  <c r="AW27" i="1"/>
  <c r="EH175" i="3"/>
  <c r="DA175" i="3"/>
  <c r="DA154" i="3"/>
  <c r="EH154" i="3"/>
  <c r="DA107" i="3"/>
  <c r="EH107" i="3"/>
  <c r="EH96" i="3"/>
  <c r="DA96" i="3"/>
  <c r="AG176" i="3"/>
  <c r="DM176" i="3"/>
  <c r="DO176" i="3"/>
  <c r="AG155" i="3"/>
  <c r="DM155" i="3"/>
  <c r="DO155" i="3"/>
  <c r="AG140" i="3"/>
  <c r="DM140" i="3"/>
  <c r="DO140" i="3"/>
  <c r="DA109" i="3"/>
  <c r="EH109" i="3"/>
  <c r="AG93" i="3"/>
  <c r="DM93" i="3"/>
  <c r="DO93" i="3"/>
  <c r="DO120" i="3"/>
  <c r="AG120" i="3"/>
  <c r="DM120" i="3"/>
  <c r="EH110" i="3"/>
  <c r="DA110" i="3"/>
  <c r="AG102" i="3"/>
  <c r="DM102" i="3"/>
  <c r="DO102" i="3"/>
  <c r="DA93" i="3"/>
  <c r="EH93" i="3"/>
  <c r="DO74" i="3"/>
  <c r="AG74" i="3"/>
  <c r="DM74" i="3"/>
  <c r="DA155" i="3"/>
  <c r="EH155" i="3"/>
  <c r="DA120" i="3"/>
  <c r="EH120" i="3"/>
  <c r="EH94" i="3"/>
  <c r="DA94" i="3"/>
  <c r="DA74" i="3"/>
  <c r="EH74" i="3"/>
  <c r="BF10" i="2"/>
  <c r="BD10" i="2"/>
  <c r="AZ10" i="2"/>
  <c r="AU10" i="2"/>
  <c r="BB10" i="2"/>
  <c r="BI10" i="2"/>
  <c r="AY10" i="2"/>
  <c r="BK10" i="2"/>
  <c r="AW10" i="2"/>
  <c r="AX10" i="2"/>
  <c r="BC10" i="2"/>
  <c r="BA10" i="2"/>
  <c r="AG175" i="3"/>
  <c r="DM175" i="3"/>
  <c r="DO175" i="3"/>
  <c r="DA86" i="3"/>
  <c r="EH86" i="3"/>
  <c r="EH46" i="3"/>
  <c r="DA46" i="3"/>
  <c r="AG170" i="3"/>
  <c r="DM170" i="3"/>
  <c r="DO170" i="3"/>
  <c r="DA148" i="3"/>
  <c r="EH148" i="3"/>
  <c r="EC123" i="3"/>
  <c r="CV131" i="3"/>
  <c r="CV127" i="3"/>
  <c r="CV17" i="3"/>
  <c r="CV57" i="3"/>
  <c r="EC148" i="3"/>
  <c r="EC165" i="3"/>
  <c r="EC37" i="3"/>
  <c r="AS11" i="2"/>
  <c r="AV8" i="1"/>
  <c r="CV137" i="3"/>
  <c r="BJ29" i="1"/>
  <c r="CV89" i="3"/>
  <c r="EC120" i="3"/>
  <c r="CV114" i="3"/>
  <c r="CV67" i="3"/>
  <c r="BB54" i="4"/>
  <c r="EC108" i="3"/>
  <c r="CV61" i="3"/>
  <c r="EC48" i="3"/>
  <c r="BJ25" i="1"/>
  <c r="EC47" i="3"/>
  <c r="BJ72" i="1"/>
  <c r="EC44" i="3"/>
  <c r="EC83" i="3"/>
  <c r="BJ56" i="1"/>
  <c r="BJ62" i="1"/>
  <c r="EC153" i="3"/>
  <c r="CV16" i="3"/>
  <c r="CV156" i="3"/>
  <c r="CV5" i="3"/>
  <c r="BJ39" i="1"/>
  <c r="CV96" i="3"/>
  <c r="EC142" i="3"/>
  <c r="CV141" i="3"/>
  <c r="EC124" i="3"/>
  <c r="CV75" i="3"/>
  <c r="CV173" i="3"/>
  <c r="EC90" i="3"/>
  <c r="CV165" i="3"/>
  <c r="EC72" i="3"/>
  <c r="EC164" i="3"/>
  <c r="CV18" i="3"/>
  <c r="CV148" i="3"/>
  <c r="CV15" i="3"/>
  <c r="EC60" i="3"/>
  <c r="EC77" i="3"/>
  <c r="EC57" i="3"/>
  <c r="EC17" i="3"/>
  <c r="CV176" i="3"/>
  <c r="CV189" i="3"/>
  <c r="AV7" i="1"/>
  <c r="CV179" i="3"/>
  <c r="EC56" i="3"/>
  <c r="CV35" i="3"/>
  <c r="EC93" i="3"/>
  <c r="CV46" i="3"/>
  <c r="CV55" i="3"/>
  <c r="AS14" i="2"/>
  <c r="AS7" i="2"/>
  <c r="CV87" i="3"/>
  <c r="EC188" i="3"/>
  <c r="EC106" i="3"/>
  <c r="CV162" i="3"/>
  <c r="EC19" i="3"/>
  <c r="CV91" i="3"/>
  <c r="CV77" i="3"/>
  <c r="CV120" i="3"/>
  <c r="CV134" i="3"/>
  <c r="CV7" i="3"/>
  <c r="EC29" i="3"/>
  <c r="CV109" i="3"/>
  <c r="BJ17" i="1"/>
  <c r="CV187" i="3"/>
  <c r="EC137" i="3"/>
  <c r="CV105" i="3"/>
  <c r="CV31" i="3"/>
  <c r="AV2" i="1"/>
  <c r="AA11" i="10"/>
  <c r="BJ55" i="1"/>
  <c r="BJ79" i="1"/>
  <c r="EC64" i="3"/>
  <c r="CV26" i="3"/>
  <c r="EC138" i="3"/>
  <c r="EC70" i="3"/>
  <c r="EC110" i="3"/>
  <c r="BJ74" i="1"/>
  <c r="BJ38" i="1"/>
  <c r="EC38" i="3"/>
  <c r="BJ75" i="1"/>
  <c r="AS13" i="2"/>
  <c r="CV136" i="3"/>
  <c r="F1" i="8"/>
  <c r="EC62" i="3"/>
  <c r="BJ53" i="1"/>
  <c r="BJ52" i="1"/>
  <c r="CV63" i="3"/>
  <c r="CV152" i="3"/>
  <c r="EC185" i="3"/>
  <c r="EC23" i="3"/>
  <c r="BJ69" i="1"/>
  <c r="BJ89" i="1"/>
  <c r="EC87" i="3"/>
  <c r="CV12" i="3"/>
  <c r="EC149" i="3"/>
  <c r="BJ32" i="1"/>
  <c r="EC155" i="3"/>
  <c r="EC159" i="3"/>
  <c r="CV22" i="3"/>
  <c r="EC24" i="3"/>
  <c r="CV168" i="3"/>
  <c r="EC21" i="3"/>
  <c r="CV143" i="3"/>
  <c r="CV119" i="3"/>
  <c r="EC128" i="3"/>
  <c r="CV52" i="3"/>
  <c r="CV149" i="3"/>
  <c r="CV160" i="3"/>
  <c r="CV86" i="3"/>
  <c r="EC173" i="3"/>
  <c r="EC46" i="3"/>
  <c r="CV170" i="3"/>
  <c r="EC176" i="3"/>
  <c r="CV60" i="3"/>
  <c r="CV122" i="3"/>
  <c r="EC121" i="3"/>
  <c r="CV97" i="3"/>
  <c r="BJ46" i="1"/>
  <c r="CV38" i="3"/>
  <c r="CV171" i="3"/>
  <c r="EC84" i="3"/>
  <c r="CV54" i="3"/>
  <c r="BJ40" i="1"/>
  <c r="CV110" i="3"/>
  <c r="CV53" i="3"/>
  <c r="CV64" i="3"/>
  <c r="BJ23" i="1"/>
  <c r="EC172" i="3"/>
  <c r="EC94" i="3"/>
  <c r="BJ34" i="1"/>
  <c r="CV48" i="3"/>
  <c r="CV150" i="3"/>
  <c r="BJ28" i="1"/>
  <c r="CV167" i="3"/>
  <c r="CV98" i="3"/>
  <c r="EC8" i="3"/>
  <c r="EC175" i="3"/>
  <c r="BJ36" i="1"/>
  <c r="CV24" i="3"/>
  <c r="EC154" i="3"/>
  <c r="EC92" i="3"/>
  <c r="CV144" i="3"/>
  <c r="EC114" i="3"/>
  <c r="EC20" i="3"/>
  <c r="CV169" i="3"/>
  <c r="AV5" i="1"/>
  <c r="CV70" i="3"/>
  <c r="EC190" i="3"/>
  <c r="EC6" i="3"/>
  <c r="EC54" i="3"/>
  <c r="EC59" i="3"/>
  <c r="CV185" i="3"/>
  <c r="BJ35" i="1"/>
  <c r="BJ54" i="1"/>
  <c r="EC28" i="3"/>
  <c r="CV23" i="3"/>
  <c r="EC181" i="3"/>
  <c r="CV68" i="3"/>
  <c r="BJ44" i="1"/>
  <c r="CV125" i="3"/>
  <c r="EC134" i="3"/>
  <c r="CV25" i="3"/>
  <c r="BJ84" i="1"/>
  <c r="CV66" i="3"/>
  <c r="EC12" i="3"/>
  <c r="EC168" i="3"/>
  <c r="EC58" i="3"/>
  <c r="CV20" i="3"/>
  <c r="EC178" i="3"/>
  <c r="CV94" i="3"/>
  <c r="BJ37" i="1"/>
  <c r="EC14" i="3"/>
  <c r="EC101" i="3"/>
  <c r="CV88" i="3"/>
  <c r="CV147" i="3"/>
  <c r="EC160" i="3"/>
  <c r="EC103" i="3"/>
  <c r="CV190" i="3"/>
  <c r="EC107" i="3"/>
  <c r="EC97" i="3"/>
  <c r="BJ42" i="1"/>
  <c r="CV6" i="3"/>
  <c r="CV115" i="3"/>
  <c r="BJ22" i="1"/>
  <c r="EC158" i="3"/>
  <c r="BJ60" i="1"/>
  <c r="EC40" i="3"/>
  <c r="EC76" i="3"/>
  <c r="CV73" i="3"/>
  <c r="CV186" i="3"/>
  <c r="BJ26" i="1"/>
  <c r="EC183" i="3"/>
  <c r="CV128" i="3"/>
  <c r="EC131" i="3"/>
  <c r="CV11" i="3"/>
  <c r="EC113" i="3"/>
  <c r="EC140" i="3"/>
  <c r="EC112" i="3"/>
  <c r="BB49" i="4"/>
  <c r="EC132" i="3"/>
  <c r="BJ50" i="1"/>
  <c r="CV113" i="3"/>
  <c r="CV124" i="3"/>
  <c r="EC116" i="3"/>
  <c r="AS10" i="2"/>
  <c r="AA6" i="10"/>
  <c r="BJ66" i="1"/>
  <c r="CV78" i="3"/>
  <c r="CV106" i="3"/>
  <c r="AA14" i="10"/>
  <c r="CV159" i="3"/>
  <c r="EC109" i="3"/>
  <c r="BJ49" i="1"/>
  <c r="EC5" i="3"/>
  <c r="BJ59" i="1"/>
  <c r="CV163" i="3"/>
  <c r="EC150" i="3"/>
  <c r="EC66" i="3"/>
  <c r="BJ19" i="1"/>
  <c r="EC187" i="3"/>
  <c r="BJ43" i="1"/>
  <c r="CV10" i="3"/>
  <c r="EC31" i="3"/>
  <c r="AA18" i="10"/>
  <c r="CV166" i="3"/>
  <c r="EC89" i="3"/>
  <c r="CV65" i="3"/>
  <c r="EC122" i="3"/>
  <c r="CV59" i="3"/>
  <c r="EC144" i="3"/>
  <c r="CV145" i="3"/>
  <c r="CV69" i="3"/>
  <c r="BJ65" i="1"/>
  <c r="CV112" i="3"/>
  <c r="CV28" i="3"/>
  <c r="CV74" i="3"/>
  <c r="EC52" i="3"/>
  <c r="EC71" i="3"/>
  <c r="CV188" i="3"/>
  <c r="CV84" i="3"/>
  <c r="EC68" i="3"/>
  <c r="CV56" i="3"/>
  <c r="EC170" i="3"/>
  <c r="EC147" i="3"/>
  <c r="AS5" i="2"/>
  <c r="CV58" i="3"/>
  <c r="AA12" i="10"/>
  <c r="BJ63" i="1"/>
  <c r="EC166" i="3"/>
  <c r="EC65" i="3"/>
  <c r="EC81" i="3"/>
  <c r="EC152" i="3"/>
  <c r="CV180" i="3"/>
  <c r="BB57" i="4"/>
  <c r="E265" i="1"/>
  <c r="BJ24" i="1"/>
  <c r="CV4" i="3"/>
  <c r="EC163" i="3"/>
  <c r="BJ87" i="1"/>
  <c r="BJ92" i="1"/>
  <c r="EC33" i="3"/>
  <c r="EC15" i="3"/>
  <c r="CV37" i="3"/>
  <c r="BB56" i="4"/>
  <c r="AV3" i="1"/>
  <c r="EC55" i="3"/>
  <c r="EC95" i="3"/>
  <c r="CV146" i="3"/>
  <c r="BB52" i="4"/>
  <c r="CV172" i="3"/>
  <c r="EC88" i="3"/>
  <c r="EC167" i="3"/>
  <c r="BJ18" i="1"/>
  <c r="CV121" i="3"/>
  <c r="CV100" i="3"/>
  <c r="BJ88" i="1"/>
  <c r="CV135" i="3"/>
  <c r="BB50" i="4"/>
  <c r="CV33" i="3"/>
  <c r="CV47" i="3"/>
  <c r="CV81" i="3"/>
  <c r="CV76" i="3"/>
  <c r="EC105" i="3"/>
  <c r="E311" i="1"/>
  <c r="E295" i="1"/>
  <c r="L19" i="1"/>
  <c r="F45" i="8"/>
  <c r="G42" i="8"/>
  <c r="F27" i="8"/>
  <c r="F15" i="8"/>
  <c r="AJ25" i="8"/>
  <c r="H31" i="9"/>
  <c r="H19" i="9"/>
  <c r="K19" i="9"/>
  <c r="O81" i="1"/>
  <c r="AS4" i="2"/>
  <c r="BC4" i="2"/>
  <c r="AU4" i="2"/>
  <c r="AT4" i="2"/>
  <c r="AW4" i="2"/>
  <c r="BB4" i="2"/>
  <c r="AZ4" i="2"/>
  <c r="AX4" i="2"/>
  <c r="BE4" i="2"/>
  <c r="BI8" i="2"/>
  <c r="BK4" i="2"/>
  <c r="BD4" i="2"/>
  <c r="EH33" i="3"/>
  <c r="DA36" i="3"/>
  <c r="DO177" i="3"/>
  <c r="AU12" i="2"/>
  <c r="AX12" i="2"/>
  <c r="AS12" i="2"/>
  <c r="AZ12" i="2"/>
  <c r="AW12" i="2"/>
  <c r="BD12" i="2"/>
  <c r="BC12" i="2"/>
  <c r="BB12" i="2"/>
  <c r="AY12" i="2"/>
  <c r="AT12" i="2"/>
  <c r="E52" i="1"/>
  <c r="G30" i="9"/>
  <c r="T125" i="13"/>
  <c r="V125" i="13"/>
  <c r="T37" i="13"/>
  <c r="DA152" i="3"/>
  <c r="EH152" i="3"/>
  <c r="DA185" i="3"/>
  <c r="AG119" i="3"/>
  <c r="DM119" i="3"/>
  <c r="DO119" i="3"/>
  <c r="DO186" i="3"/>
  <c r="AG186" i="3"/>
  <c r="DM186" i="3"/>
  <c r="AG156" i="3"/>
  <c r="DM156" i="3"/>
  <c r="DO156" i="3"/>
  <c r="DO153" i="3"/>
  <c r="AG153" i="3"/>
  <c r="DM153" i="3"/>
  <c r="DO167" i="3"/>
  <c r="EH146" i="3"/>
  <c r="DA146" i="3"/>
  <c r="DA139" i="3"/>
  <c r="EH139" i="3"/>
  <c r="BD3" i="2"/>
  <c r="BF3" i="2"/>
  <c r="AZ3" i="2"/>
  <c r="AV3" i="2"/>
  <c r="BC3" i="2"/>
  <c r="AX3" i="2"/>
  <c r="BA3" i="2"/>
  <c r="BE3" i="2"/>
  <c r="AS3" i="2"/>
  <c r="AU3" i="2"/>
  <c r="DO188" i="3"/>
  <c r="AG188" i="3"/>
  <c r="DM188" i="3"/>
  <c r="DO171" i="3"/>
  <c r="DO147" i="3"/>
  <c r="AG147" i="3"/>
  <c r="DM147" i="3"/>
  <c r="EH129" i="3"/>
  <c r="DA129" i="3"/>
  <c r="I31" i="9"/>
  <c r="E31" i="9"/>
  <c r="F46" i="1"/>
  <c r="F45" i="1"/>
  <c r="AY3" i="2"/>
  <c r="DO136" i="3"/>
  <c r="AG136" i="3"/>
  <c r="DM136" i="3"/>
  <c r="EH133" i="3"/>
  <c r="DA133" i="3"/>
  <c r="DA114" i="3"/>
  <c r="EH114" i="3"/>
  <c r="BI3" i="2"/>
  <c r="AG134" i="3"/>
  <c r="DM134" i="3"/>
  <c r="DO134" i="3"/>
  <c r="AG115" i="3"/>
  <c r="DM115" i="3"/>
  <c r="DO115" i="3"/>
  <c r="V61" i="13"/>
  <c r="E12" i="9"/>
  <c r="DM171" i="3"/>
  <c r="AI15" i="10"/>
  <c r="AC17" i="10"/>
  <c r="AB19" i="10"/>
  <c r="AA17" i="10"/>
  <c r="AA19" i="10"/>
  <c r="AH17" i="10"/>
  <c r="AE15" i="10"/>
  <c r="AF17" i="10"/>
  <c r="AI19" i="10"/>
  <c r="AD17" i="10"/>
  <c r="AD19" i="10"/>
  <c r="AD15" i="10"/>
  <c r="AE17" i="10"/>
  <c r="AH19" i="10"/>
  <c r="AF15" i="10"/>
  <c r="AG17" i="10"/>
  <c r="AJ15" i="10"/>
  <c r="AF19" i="10"/>
  <c r="AC19" i="10"/>
  <c r="AB17" i="10"/>
  <c r="AJ17" i="10"/>
  <c r="V133" i="13"/>
  <c r="V124" i="13"/>
  <c r="X124" i="13"/>
  <c r="D51" i="1"/>
  <c r="G4" i="9"/>
  <c r="D41" i="1"/>
  <c r="I5" i="9"/>
  <c r="E5" i="9"/>
  <c r="E35" i="1"/>
  <c r="K5" i="9"/>
  <c r="O80" i="1"/>
  <c r="I23" i="9"/>
  <c r="E23" i="9"/>
  <c r="K29" i="9"/>
  <c r="E7" i="9"/>
  <c r="F35" i="1"/>
  <c r="AV8" i="2"/>
  <c r="BB8" i="2"/>
  <c r="AZ8" i="2"/>
  <c r="AS8" i="2"/>
  <c r="AX8" i="2"/>
  <c r="BA8" i="2"/>
  <c r="DO130" i="3"/>
  <c r="BB6" i="2"/>
  <c r="AU6" i="2"/>
  <c r="E67" i="4"/>
  <c r="E79" i="4"/>
  <c r="N24" i="1"/>
  <c r="T117" i="13"/>
  <c r="V117" i="13"/>
  <c r="E30" i="9"/>
  <c r="E40" i="1"/>
  <c r="AL35" i="8"/>
  <c r="AY31" i="1"/>
  <c r="AK33" i="8"/>
  <c r="L20" i="1"/>
  <c r="D182" i="13"/>
  <c r="AG110" i="3"/>
  <c r="DM110" i="3"/>
  <c r="DO110" i="3"/>
  <c r="AG107" i="3"/>
  <c r="DM107" i="3"/>
  <c r="DO107" i="3"/>
  <c r="DA102" i="3"/>
  <c r="EH102" i="3"/>
  <c r="DO35" i="3"/>
  <c r="AG35" i="3"/>
  <c r="DM35" i="3"/>
  <c r="AG29" i="3"/>
  <c r="DM29" i="3"/>
  <c r="DO29" i="3"/>
  <c r="DO15" i="3"/>
  <c r="AG15" i="3"/>
  <c r="DM15" i="3"/>
  <c r="EH180" i="3"/>
  <c r="DA58" i="3"/>
  <c r="EC177" i="3"/>
  <c r="EC174" i="3"/>
  <c r="BJ31" i="1"/>
  <c r="CV36" i="3"/>
  <c r="CV32" i="3"/>
  <c r="BB58" i="4"/>
  <c r="EC69" i="3"/>
  <c r="BJ83" i="1"/>
  <c r="AA16" i="10"/>
  <c r="CV102" i="3"/>
  <c r="EC169" i="3"/>
  <c r="CV132" i="3"/>
  <c r="EC139" i="3"/>
  <c r="EC179" i="3"/>
  <c r="BJ67" i="1"/>
  <c r="CV139" i="3"/>
  <c r="EC127" i="3"/>
  <c r="AV11" i="1"/>
  <c r="EC45" i="3"/>
  <c r="EC99" i="3"/>
  <c r="CV42" i="3"/>
  <c r="CV129" i="3"/>
  <c r="CV101" i="3"/>
  <c r="EC7" i="3"/>
  <c r="BJ45" i="1"/>
  <c r="EC26" i="3"/>
  <c r="CV161" i="3"/>
  <c r="CV14" i="3"/>
  <c r="EC80" i="3"/>
  <c r="BJ57" i="1"/>
  <c r="EC34" i="3"/>
  <c r="EC11" i="3"/>
  <c r="CV9" i="3"/>
  <c r="BJ51" i="1"/>
  <c r="BJ48" i="1"/>
  <c r="AS9" i="2"/>
  <c r="CV177" i="3"/>
  <c r="BJ21" i="1"/>
  <c r="EC136" i="3"/>
  <c r="EC79" i="3"/>
  <c r="CV142" i="3"/>
  <c r="AA8" i="10"/>
  <c r="CV72" i="3"/>
  <c r="CV184" i="3"/>
  <c r="AA10" i="10"/>
  <c r="CV130" i="3"/>
  <c r="AV4" i="1"/>
  <c r="EC145" i="3"/>
  <c r="CV83" i="3"/>
  <c r="EC32" i="3"/>
  <c r="CV157" i="3"/>
  <c r="CV79" i="3"/>
  <c r="CV174" i="3"/>
  <c r="CV44" i="3"/>
  <c r="BJ68" i="1"/>
  <c r="BJ80" i="1"/>
  <c r="AA7" i="10"/>
  <c r="CV62" i="3"/>
  <c r="AA5" i="10"/>
  <c r="EC74" i="3"/>
  <c r="CV80" i="3"/>
  <c r="BJ81" i="1"/>
  <c r="CV116" i="3"/>
  <c r="EC49" i="3"/>
  <c r="BB59" i="4"/>
  <c r="EC161" i="3"/>
  <c r="EC53" i="3"/>
  <c r="CV51" i="3"/>
  <c r="BJ61" i="1"/>
  <c r="CV175" i="3"/>
  <c r="BJ58" i="1"/>
  <c r="EC133" i="3"/>
  <c r="CV93" i="3"/>
  <c r="EC157" i="3"/>
  <c r="BJ27" i="1"/>
  <c r="CV85" i="3"/>
  <c r="CV13" i="3"/>
  <c r="CV49" i="3"/>
  <c r="CV138" i="3"/>
  <c r="EC96" i="3"/>
  <c r="BJ47" i="1"/>
  <c r="BB51" i="4"/>
  <c r="BJ73" i="1"/>
  <c r="CV43" i="3"/>
  <c r="CV182" i="3"/>
  <c r="EC50" i="3"/>
  <c r="EC63" i="3"/>
  <c r="CV151" i="3"/>
  <c r="CV29" i="3"/>
  <c r="EC125" i="3"/>
  <c r="EC73" i="3"/>
  <c r="EC162" i="3"/>
  <c r="EC119" i="3"/>
  <c r="CV41" i="3"/>
  <c r="CV178" i="3"/>
  <c r="EC104" i="3"/>
  <c r="EC98" i="3"/>
  <c r="EC85" i="3"/>
  <c r="CV126" i="3"/>
  <c r="EC67" i="3"/>
  <c r="EC13" i="3"/>
  <c r="EC118" i="3"/>
  <c r="EC30" i="3"/>
  <c r="CV39" i="3"/>
  <c r="CV71" i="3"/>
  <c r="AA15" i="10"/>
  <c r="CV154" i="3"/>
  <c r="EC43" i="3"/>
  <c r="CV21" i="3"/>
  <c r="AA9" i="10"/>
  <c r="BJ90" i="1"/>
  <c r="CV27" i="3"/>
  <c r="EC61" i="3"/>
  <c r="CV107" i="3"/>
  <c r="EC41" i="3"/>
  <c r="EC189" i="3"/>
  <c r="EC171" i="3"/>
  <c r="AV9" i="1"/>
  <c r="CV133" i="3"/>
  <c r="EC51" i="3"/>
  <c r="EC75" i="3"/>
  <c r="CV90" i="3"/>
  <c r="CV181" i="3"/>
  <c r="CV92" i="3"/>
  <c r="BJ70" i="1"/>
  <c r="EC151" i="3"/>
  <c r="EC156" i="3"/>
  <c r="EC18" i="3"/>
  <c r="BJ77" i="1"/>
  <c r="BJ71" i="1"/>
  <c r="EC35" i="3"/>
  <c r="BJ20" i="1"/>
  <c r="EC126" i="3"/>
  <c r="BB53" i="4"/>
  <c r="AA13" i="10"/>
  <c r="EC100" i="3"/>
  <c r="BJ91" i="1"/>
  <c r="CV103" i="3"/>
  <c r="CV50" i="3"/>
  <c r="BB55" i="4"/>
  <c r="BJ78" i="1"/>
  <c r="CV158" i="3"/>
  <c r="BJ30" i="1"/>
  <c r="EC111" i="3"/>
  <c r="EC129" i="3"/>
  <c r="EC135" i="3"/>
  <c r="EC78" i="3"/>
  <c r="CV95" i="3"/>
  <c r="CV123" i="3"/>
  <c r="BJ82" i="1"/>
  <c r="EC39" i="3"/>
  <c r="CV118" i="3"/>
  <c r="EC143" i="3"/>
  <c r="BJ33" i="1"/>
  <c r="CV108" i="3"/>
  <c r="EC182" i="3"/>
  <c r="EC91" i="3"/>
  <c r="EC130" i="3"/>
  <c r="CV140" i="3"/>
  <c r="AX3" i="4"/>
  <c r="AV10" i="1"/>
  <c r="EC117" i="3"/>
  <c r="EC16" i="3"/>
  <c r="EC146" i="3"/>
  <c r="BB48" i="4"/>
  <c r="AV6" i="1"/>
  <c r="CV155" i="3"/>
  <c r="EC180" i="3"/>
  <c r="BJ86" i="1"/>
  <c r="EC27" i="3"/>
  <c r="EC102" i="3"/>
  <c r="CV117" i="3"/>
  <c r="CV40" i="3"/>
  <c r="EC82" i="3"/>
  <c r="EC141" i="3"/>
  <c r="EC86" i="3"/>
  <c r="CV8" i="3"/>
  <c r="CV34" i="3"/>
  <c r="EC42" i="3"/>
  <c r="BJ41" i="1"/>
  <c r="EC186" i="3"/>
  <c r="CV45" i="3"/>
  <c r="EC36" i="3"/>
  <c r="BJ76" i="1"/>
  <c r="CV30" i="3"/>
  <c r="EC184" i="3"/>
  <c r="EC25" i="3"/>
  <c r="CV153" i="3"/>
  <c r="CV19" i="3"/>
  <c r="EC22" i="3"/>
  <c r="CV111" i="3"/>
  <c r="CV104" i="3"/>
  <c r="EH117" i="3"/>
  <c r="DA117" i="3"/>
  <c r="DO173" i="3"/>
  <c r="DO141" i="3"/>
  <c r="AG141" i="3"/>
  <c r="DM141" i="3"/>
  <c r="E65" i="4"/>
  <c r="N23" i="1"/>
  <c r="DO148" i="3"/>
  <c r="BB5" i="2"/>
  <c r="AV5" i="2"/>
  <c r="BE5" i="2"/>
  <c r="BD5" i="2"/>
  <c r="DA147" i="3"/>
  <c r="EH147" i="3"/>
  <c r="AG118" i="3"/>
  <c r="DM118" i="3"/>
  <c r="DO118" i="3"/>
  <c r="DO108" i="3"/>
  <c r="AG108" i="3"/>
  <c r="DM108" i="3"/>
  <c r="DO104" i="3"/>
  <c r="AG104" i="3"/>
  <c r="DM104" i="3"/>
  <c r="AG98" i="3"/>
  <c r="DM98" i="3"/>
  <c r="DO98" i="3"/>
  <c r="DA72" i="3"/>
  <c r="EH72" i="3"/>
  <c r="DA184" i="3"/>
  <c r="EH184" i="3"/>
  <c r="EH108" i="3"/>
  <c r="DA108" i="3"/>
  <c r="DO88" i="3"/>
  <c r="AG88" i="3"/>
  <c r="DM88" i="3"/>
  <c r="AG73" i="3"/>
  <c r="DM73" i="3"/>
  <c r="DO73" i="3"/>
  <c r="DA54" i="3"/>
  <c r="EH54" i="3"/>
  <c r="EH43" i="3"/>
  <c r="DA43" i="3"/>
  <c r="BF8" i="2"/>
  <c r="AY8" i="2"/>
  <c r="BA13" i="2"/>
  <c r="AW11" i="2"/>
  <c r="BI11" i="2"/>
  <c r="BC11" i="2"/>
  <c r="BF11" i="2"/>
  <c r="BK11" i="2"/>
  <c r="BD11" i="2"/>
  <c r="BB11" i="2"/>
  <c r="AY11" i="2"/>
  <c r="BE11" i="2"/>
  <c r="AV11" i="2"/>
  <c r="AG185" i="3"/>
  <c r="DO185" i="3"/>
  <c r="AG109" i="3"/>
  <c r="DM109" i="3"/>
  <c r="DO109" i="3"/>
  <c r="EH105" i="3"/>
  <c r="DA105" i="3"/>
  <c r="AW13" i="2"/>
  <c r="AT13" i="2"/>
  <c r="AZ13" i="2"/>
  <c r="AX13" i="2"/>
  <c r="BI13" i="2"/>
  <c r="AU13" i="2"/>
  <c r="AY13" i="2"/>
  <c r="BE13" i="2"/>
  <c r="BB13" i="2"/>
  <c r="BF13" i="2"/>
  <c r="DO133" i="3"/>
  <c r="AG133" i="3"/>
  <c r="DM133" i="3"/>
  <c r="EH106" i="3"/>
  <c r="DA106" i="3"/>
  <c r="DO58" i="3"/>
  <c r="AG58" i="3"/>
  <c r="DM58" i="3"/>
  <c r="X108" i="13"/>
  <c r="H37" i="1"/>
  <c r="G37" i="1"/>
  <c r="E222" i="1"/>
  <c r="AJ28" i="8"/>
  <c r="AJ35" i="8"/>
  <c r="AK20" i="8"/>
  <c r="O79" i="1"/>
  <c r="M20" i="1"/>
  <c r="E182" i="13"/>
  <c r="K27" i="9"/>
  <c r="H27" i="9"/>
  <c r="I27" i="9"/>
  <c r="E27" i="9"/>
  <c r="D46" i="1"/>
  <c r="I21" i="9"/>
  <c r="E21" i="9"/>
  <c r="L22" i="9"/>
  <c r="I19" i="9"/>
  <c r="E19" i="9"/>
  <c r="L20" i="9"/>
  <c r="E3" i="9"/>
  <c r="F7" i="8"/>
  <c r="AK17" i="8"/>
  <c r="I37" i="9"/>
  <c r="E37" i="9"/>
  <c r="I29" i="9"/>
  <c r="E29" i="9"/>
  <c r="E46" i="1"/>
  <c r="K37" i="9"/>
  <c r="H11" i="9"/>
  <c r="AZ6" i="2"/>
  <c r="AW8" i="2"/>
  <c r="BK8" i="2"/>
  <c r="AU8" i="2"/>
  <c r="BD8" i="2"/>
  <c r="BE8" i="2"/>
  <c r="AA3" i="10"/>
  <c r="AI3" i="10"/>
  <c r="AD3" i="10"/>
  <c r="AJ3" i="10"/>
  <c r="AG3" i="10"/>
  <c r="AF3" i="10"/>
  <c r="AC3" i="10"/>
  <c r="AB3" i="10"/>
  <c r="AE3" i="10"/>
  <c r="DM130" i="3"/>
  <c r="DM185" i="3"/>
  <c r="BC8" i="2"/>
  <c r="D79" i="4"/>
  <c r="K24" i="1"/>
  <c r="D80" i="4"/>
  <c r="X117" i="13"/>
  <c r="V116" i="13"/>
  <c r="X116" i="13"/>
  <c r="V119" i="13"/>
  <c r="I30" i="9"/>
  <c r="V112" i="13"/>
  <c r="I28" i="9"/>
  <c r="X125" i="13"/>
  <c r="V127" i="13"/>
  <c r="V128" i="13"/>
  <c r="E32" i="9"/>
  <c r="F49" i="1"/>
  <c r="H36" i="1"/>
  <c r="L27" i="1"/>
  <c r="L39" i="1"/>
  <c r="G36" i="1"/>
  <c r="AX21" i="1"/>
  <c r="I4" i="9"/>
  <c r="V37" i="13"/>
  <c r="E4" i="9"/>
  <c r="L4" i="9"/>
  <c r="E49" i="1"/>
  <c r="E45" i="1"/>
  <c r="V120" i="13"/>
  <c r="T45" i="13"/>
  <c r="V45" i="13"/>
  <c r="I6" i="9"/>
  <c r="AK28" i="8"/>
  <c r="AL18" i="8"/>
  <c r="BA24" i="1"/>
  <c r="N25" i="1"/>
  <c r="BA28" i="1"/>
  <c r="BA23" i="1"/>
  <c r="AL17" i="8"/>
  <c r="AK25" i="8"/>
  <c r="BA22" i="1"/>
  <c r="AX34" i="1"/>
  <c r="BA26" i="1"/>
  <c r="E47" i="1"/>
  <c r="G47" i="1"/>
  <c r="AX18" i="1"/>
  <c r="F4" i="8"/>
  <c r="AL30" i="8"/>
  <c r="L30" i="9"/>
  <c r="E6" i="9"/>
  <c r="X45" i="13"/>
  <c r="AK16" i="8"/>
  <c r="AJ24" i="8"/>
  <c r="DO160" i="3"/>
  <c r="AG160" i="3"/>
  <c r="DM160" i="3"/>
  <c r="F13" i="8"/>
  <c r="DO97" i="3"/>
  <c r="AG97" i="3"/>
  <c r="DM97" i="3"/>
  <c r="DA79" i="3"/>
  <c r="EH79" i="3"/>
  <c r="DO60" i="3"/>
  <c r="AG60" i="3"/>
  <c r="DM60" i="3"/>
  <c r="DO23" i="3"/>
  <c r="AG23" i="3"/>
  <c r="DM23" i="3"/>
  <c r="AC20" i="10"/>
  <c r="AI20" i="10"/>
  <c r="AD20" i="10"/>
  <c r="AF20" i="10"/>
  <c r="AA20" i="10"/>
  <c r="AJ1" i="10"/>
  <c r="AJ20" i="10"/>
  <c r="AE20" i="10"/>
  <c r="AB20" i="10"/>
  <c r="AH1" i="10"/>
  <c r="AH20" i="10"/>
  <c r="D38" i="1"/>
  <c r="X109" i="13"/>
  <c r="V111" i="13"/>
  <c r="E28" i="9"/>
  <c r="DO184" i="3"/>
  <c r="AG184" i="3"/>
  <c r="DM184" i="3"/>
  <c r="EH140" i="3"/>
  <c r="DA140" i="3"/>
  <c r="AE1" i="3"/>
  <c r="E24" i="1"/>
  <c r="C24" i="1"/>
  <c r="DO129" i="3"/>
  <c r="AG129" i="3"/>
  <c r="DM129" i="3"/>
  <c r="L8" i="9"/>
  <c r="DO91" i="3"/>
  <c r="AG91" i="3"/>
  <c r="DM91" i="3"/>
  <c r="G46" i="1"/>
  <c r="L12" i="9"/>
  <c r="DO165" i="3"/>
  <c r="AG165" i="3"/>
  <c r="DM165" i="3"/>
  <c r="E347" i="1"/>
  <c r="DO190" i="3"/>
  <c r="AG190" i="3"/>
  <c r="DM190" i="3"/>
  <c r="EH153" i="3"/>
  <c r="DA153" i="3"/>
  <c r="AG151" i="3"/>
  <c r="DM151" i="3"/>
  <c r="DO151" i="3"/>
  <c r="AD1" i="3"/>
  <c r="E23" i="1"/>
  <c r="C23" i="1"/>
  <c r="D35" i="1"/>
  <c r="L32" i="9"/>
  <c r="X37" i="13"/>
  <c r="V39" i="13"/>
  <c r="V40" i="13"/>
  <c r="AY6" i="2"/>
  <c r="AW1" i="2"/>
  <c r="AV6" i="2"/>
  <c r="BD6" i="2"/>
  <c r="AT6" i="2"/>
  <c r="BC6" i="2"/>
  <c r="BI6" i="2"/>
  <c r="AU1" i="2"/>
  <c r="BA6" i="2"/>
  <c r="AX6" i="2"/>
  <c r="BK6" i="2"/>
  <c r="AW6" i="2"/>
  <c r="BF6" i="2"/>
  <c r="AS6" i="2"/>
  <c r="BE6" i="2"/>
  <c r="DO154" i="3"/>
  <c r="AG154" i="3"/>
  <c r="DM154" i="3"/>
  <c r="BK13" i="2"/>
  <c r="V60" i="13"/>
  <c r="V44" i="13"/>
  <c r="C80" i="4"/>
  <c r="E80" i="4"/>
  <c r="E17" i="9"/>
  <c r="L18" i="9"/>
  <c r="I15" i="9"/>
  <c r="E15" i="9"/>
  <c r="L16" i="9"/>
  <c r="G48" i="1"/>
  <c r="CV164" i="3"/>
  <c r="V92" i="13"/>
  <c r="X92" i="13"/>
  <c r="D34" i="1"/>
  <c r="F2" i="8"/>
  <c r="AV18" i="1"/>
  <c r="L28" i="9"/>
  <c r="J34" i="9"/>
  <c r="D49" i="1"/>
  <c r="AK24" i="8"/>
  <c r="AL16" i="8"/>
  <c r="X44" i="13"/>
  <c r="V47" i="13"/>
  <c r="V48" i="13"/>
  <c r="G35" i="1"/>
  <c r="H35" i="1"/>
  <c r="L6" i="9"/>
  <c r="E38" i="1"/>
  <c r="E34" i="1"/>
  <c r="AJ30" i="8"/>
  <c r="AK19" i="8"/>
  <c r="E220" i="1"/>
  <c r="L57" i="1"/>
  <c r="AV21" i="1"/>
  <c r="H38" i="1"/>
  <c r="H39" i="1"/>
  <c r="G49" i="1"/>
  <c r="D45" i="1"/>
  <c r="G38" i="1"/>
  <c r="L8" i="1"/>
  <c r="E223" i="1"/>
  <c r="L56" i="1"/>
  <c r="AY21" i="1"/>
  <c r="G39" i="1"/>
  <c r="AW21" i="1"/>
  <c r="AW34" i="1"/>
  <c r="F5" i="8"/>
  <c r="F56" i="1"/>
  <c r="AY18" i="1"/>
  <c r="G50" i="1"/>
  <c r="AL19" i="8"/>
  <c r="AK30" i="8"/>
  <c r="D181" i="13"/>
  <c r="D180" i="13"/>
  <c r="L12" i="1"/>
  <c r="L13" i="1"/>
  <c r="M8" i="1"/>
  <c r="L40" i="1"/>
  <c r="AW18" i="1"/>
  <c r="BA21" i="1"/>
  <c r="M12" i="1"/>
  <c r="E181" i="13"/>
  <c r="E180" i="13"/>
  <c r="M13" i="1"/>
  <c r="F3" i="8"/>
  <c r="BA18" i="1"/>
  <c r="L6" i="1"/>
  <c r="AZ19" i="1"/>
  <c r="L41" i="1"/>
  <c r="D172" i="13"/>
  <c r="P5" i="13"/>
  <c r="N41" i="1"/>
  <c r="AZ29" i="1"/>
  <c r="AZ27" i="1"/>
  <c r="AZ25" i="1"/>
  <c r="AZ23" i="1"/>
  <c r="AZ22" i="1"/>
  <c r="AZ33" i="1"/>
  <c r="N37" i="1"/>
  <c r="AZ30" i="1"/>
  <c r="AZ31" i="1"/>
  <c r="AZ34" i="1"/>
  <c r="AZ21" i="1"/>
  <c r="AZ24" i="1"/>
  <c r="N35" i="1"/>
  <c r="N27" i="1"/>
  <c r="AZ32" i="1"/>
  <c r="N36" i="1"/>
  <c r="AZ28" i="1"/>
  <c r="I5" i="8"/>
  <c r="D178" i="13"/>
  <c r="D179" i="13"/>
  <c r="M6" i="1"/>
  <c r="N28" i="1"/>
  <c r="F19" i="8"/>
  <c r="BB22" i="1"/>
  <c r="N14" i="1"/>
  <c r="F24" i="8"/>
  <c r="N29" i="1"/>
  <c r="F10" i="8"/>
  <c r="BB24" i="1"/>
  <c r="F23" i="8"/>
  <c r="BB26" i="1"/>
  <c r="N16" i="1"/>
  <c r="N31" i="1"/>
  <c r="BB28" i="1"/>
  <c r="N19" i="1"/>
  <c r="N34" i="1"/>
  <c r="BO19" i="1"/>
  <c r="BB30" i="1"/>
  <c r="N30" i="1"/>
  <c r="BB27" i="1"/>
  <c r="N18" i="1"/>
  <c r="N33" i="1"/>
  <c r="F9" i="8"/>
  <c r="E12" i="15"/>
  <c r="F12" i="8"/>
  <c r="BB21" i="1"/>
  <c r="N7" i="1"/>
  <c r="BB23" i="1"/>
  <c r="N15" i="1"/>
  <c r="N32" i="1"/>
  <c r="N38" i="1"/>
  <c r="BA4" i="1"/>
  <c r="BB25" i="1"/>
  <c r="BO89" i="1"/>
  <c r="BB29" i="1"/>
  <c r="N17" i="1"/>
  <c r="O84" i="1"/>
  <c r="E178" i="13"/>
  <c r="E179" i="13"/>
  <c r="O75" i="1"/>
  <c r="O74" i="1"/>
  <c r="E155" i="13"/>
  <c r="O17" i="1"/>
  <c r="BO88" i="1"/>
  <c r="AK7" i="8"/>
  <c r="AL24" i="8"/>
  <c r="AK11" i="8"/>
  <c r="AL28" i="8"/>
  <c r="N10" i="1"/>
  <c r="N9" i="1"/>
  <c r="N11" i="1"/>
  <c r="N8" i="1"/>
  <c r="N13" i="1"/>
  <c r="AL29" i="8"/>
  <c r="AL34" i="8"/>
  <c r="AK12" i="8"/>
  <c r="BO67" i="1"/>
  <c r="E154" i="13"/>
  <c r="O19" i="1"/>
  <c r="N20" i="1"/>
  <c r="D169" i="13"/>
  <c r="E150" i="13"/>
  <c r="BO20" i="1"/>
  <c r="F37" i="8"/>
  <c r="AL31" i="8"/>
  <c r="F40" i="8"/>
  <c r="AL32" i="8"/>
  <c r="BO21" i="1"/>
  <c r="F34" i="8"/>
  <c r="I3" i="8"/>
  <c r="L47" i="1"/>
  <c r="BO22" i="1"/>
  <c r="AK8" i="8"/>
  <c r="AL25" i="8"/>
  <c r="F16" i="8"/>
  <c r="I20" i="8"/>
  <c r="E152" i="13"/>
  <c r="O15" i="1"/>
  <c r="BO68" i="1"/>
  <c r="F36" i="8"/>
  <c r="BO66" i="1"/>
  <c r="F39" i="8"/>
  <c r="E153" i="13"/>
  <c r="O18" i="1"/>
  <c r="F33" i="8"/>
  <c r="BO69" i="1"/>
  <c r="E151" i="13"/>
  <c r="O16" i="1"/>
  <c r="BO18" i="1"/>
  <c r="BA3" i="1"/>
  <c r="F11" i="8"/>
  <c r="E144" i="13"/>
  <c r="O9" i="1"/>
  <c r="E145" i="13"/>
  <c r="O10" i="1"/>
  <c r="BA9" i="1"/>
  <c r="BO24" i="1"/>
  <c r="O14" i="1"/>
  <c r="O20" i="1"/>
  <c r="E169" i="13"/>
  <c r="E156" i="13"/>
  <c r="BA10" i="1"/>
  <c r="E146" i="13"/>
  <c r="O11" i="1"/>
  <c r="AK10" i="8"/>
  <c r="AL27" i="8"/>
  <c r="E148" i="13"/>
  <c r="O13" i="1"/>
  <c r="N6" i="1"/>
  <c r="D168" i="13"/>
  <c r="D167" i="13"/>
  <c r="E143" i="13"/>
  <c r="O8" i="1"/>
  <c r="H27" i="1"/>
  <c r="BA2" i="1"/>
  <c r="BA7" i="1"/>
  <c r="BO17" i="1"/>
  <c r="N12" i="1"/>
  <c r="E147" i="13"/>
  <c r="E168" i="13"/>
  <c r="E167" i="13"/>
  <c r="O12" i="1"/>
  <c r="D165" i="13"/>
  <c r="D166" i="13"/>
  <c r="BA6" i="1"/>
  <c r="E141" i="13"/>
  <c r="O6" i="1"/>
  <c r="E165" i="13"/>
  <c r="F8" i="8"/>
  <c r="I13" i="8"/>
  <c r="E166" i="13"/>
  <c r="AF1" i="3"/>
  <c r="N48" i="1"/>
  <c r="J48" i="1"/>
  <c r="E261" i="1"/>
  <c r="AG1" i="3"/>
  <c r="E9" i="1"/>
  <c r="C9" i="1"/>
  <c r="E10" i="1"/>
  <c r="E15" i="1"/>
  <c r="C15" i="1"/>
  <c r="E19" i="1"/>
  <c r="G19" i="1"/>
  <c r="E11" i="1"/>
  <c r="E18" i="1"/>
  <c r="C18" i="1"/>
  <c r="E21" i="1"/>
  <c r="E12" i="1"/>
  <c r="C12" i="1"/>
  <c r="E214" i="1"/>
  <c r="E213" i="1"/>
  <c r="E14" i="1"/>
  <c r="C14" i="1"/>
  <c r="G14" i="1"/>
  <c r="N46" i="1"/>
  <c r="J46" i="1"/>
  <c r="E259" i="1"/>
  <c r="G15" i="1"/>
  <c r="D8" i="1"/>
  <c r="D7" i="1"/>
  <c r="D9" i="1"/>
  <c r="D11" i="1"/>
  <c r="D21" i="1"/>
  <c r="D16" i="1"/>
  <c r="D13" i="1"/>
  <c r="D14" i="1"/>
  <c r="D17" i="1"/>
  <c r="D15" i="1"/>
  <c r="D10" i="1"/>
  <c r="D20" i="1"/>
  <c r="D18" i="1"/>
  <c r="D12" i="1"/>
  <c r="D19" i="1"/>
  <c r="D22" i="1"/>
  <c r="G8" i="1"/>
  <c r="N47" i="1"/>
  <c r="G23" i="1"/>
  <c r="G12" i="1"/>
  <c r="G9" i="1"/>
  <c r="G18" i="1"/>
  <c r="C19" i="1"/>
  <c r="E217" i="1"/>
  <c r="E216" i="1"/>
  <c r="G24" i="1"/>
  <c r="E13" i="1"/>
  <c r="E22" i="1"/>
  <c r="E17" i="1"/>
  <c r="E7" i="1"/>
  <c r="E16" i="1"/>
  <c r="E20" i="1"/>
  <c r="C21" i="1"/>
  <c r="G21" i="1"/>
  <c r="C10" i="1"/>
  <c r="G10" i="1"/>
  <c r="C11" i="1"/>
  <c r="G11" i="1"/>
  <c r="D25" i="1"/>
  <c r="G17" i="1"/>
  <c r="C17" i="1"/>
  <c r="G22" i="1"/>
  <c r="C22" i="1"/>
  <c r="G13" i="1"/>
  <c r="C13" i="1"/>
  <c r="E25" i="1"/>
  <c r="C20" i="1"/>
  <c r="G20" i="1"/>
  <c r="C16" i="1"/>
  <c r="G16" i="1"/>
  <c r="G7" i="1"/>
  <c r="C7" i="1"/>
  <c r="G25" i="1"/>
  <c r="E27" i="1"/>
  <c r="C25" i="1"/>
  <c r="G27" i="1"/>
  <c r="H5" i="1"/>
  <c r="H10" i="1"/>
  <c r="H9" i="1"/>
  <c r="H17" i="1"/>
  <c r="H23" i="1"/>
  <c r="H13" i="1"/>
  <c r="H11" i="1"/>
  <c r="H19" i="1"/>
  <c r="H14" i="1"/>
  <c r="H15" i="1"/>
  <c r="H20" i="1"/>
  <c r="H21" i="1"/>
  <c r="H24" i="1"/>
  <c r="H8" i="1"/>
  <c r="H16" i="1"/>
  <c r="H7" i="1"/>
  <c r="H22" i="1"/>
  <c r="H12" i="1"/>
  <c r="H18" i="1"/>
  <c r="H25" i="1"/>
</calcChain>
</file>

<file path=xl/comments1.xml><?xml version="1.0" encoding="utf-8"?>
<comments xmlns="http://schemas.openxmlformats.org/spreadsheetml/2006/main">
  <authors>
    <author>A satisfied Microsoft Office User</author>
  </authors>
  <commentList>
    <comment ref="J7" authorId="0" shapeId="0">
      <text>
        <r>
          <rPr>
            <b/>
            <sz val="9"/>
            <color indexed="81"/>
            <rFont val="Tahoma"/>
            <family val="2"/>
          </rPr>
          <t>Shereen Elsaid ( Reservoir ):</t>
        </r>
        <r>
          <rPr>
            <sz val="9"/>
            <color indexed="81"/>
            <rFont val="Tahoma"/>
            <family val="2"/>
          </rPr>
          <t xml:space="preserve">
Doesn't include third party
</t>
        </r>
      </text>
    </comment>
  </commentList>
</comments>
</file>

<file path=xl/comments2.xml><?xml version="1.0" encoding="utf-8"?>
<comments xmlns="http://schemas.openxmlformats.org/spreadsheetml/2006/main">
  <authors>
    <author>Author</author>
  </authors>
  <commentList>
    <comment ref="Q2" authorId="0" shapeId="0">
      <text>
        <r>
          <rPr>
            <sz val="8"/>
            <color indexed="81"/>
            <rFont val="Tahoma"/>
            <family val="2"/>
          </rPr>
          <t xml:space="preserve">
Dynamic Fluid Level</t>
        </r>
      </text>
    </comment>
    <comment ref="R2" authorId="0" shapeId="0">
      <text>
        <r>
          <rPr>
            <sz val="8"/>
            <color indexed="81"/>
            <rFont val="Tahoma"/>
            <family val="2"/>
          </rPr>
          <t xml:space="preserve">
Net Level Above Pump</t>
        </r>
      </text>
    </comment>
    <comment ref="Z2" authorId="0" shapeId="0">
      <text>
        <r>
          <rPr>
            <sz val="8"/>
            <color indexed="81"/>
            <rFont val="Tahoma"/>
            <family val="2"/>
          </rPr>
          <t xml:space="preserve">test typ to be valied </t>
        </r>
      </text>
    </comment>
  </commentList>
</comments>
</file>

<file path=xl/comments3.xml><?xml version="1.0" encoding="utf-8"?>
<comments xmlns="http://schemas.openxmlformats.org/spreadsheetml/2006/main">
  <authors>
    <author>A satisfied Microsoft Office User</author>
    <author>Ahmed Abdelaziz ( Reservoir )</author>
    <author>Bruce Barby</author>
  </authors>
  <commentList>
    <comment ref="AA1" authorId="0" shapeId="0">
      <text>
        <r>
          <rPr>
            <sz val="8"/>
            <color indexed="81"/>
            <rFont val="Tahoma"/>
            <family val="2"/>
          </rPr>
          <t xml:space="preserve">Ahmed Abdelaziz ( Reservoir ):
ProFac2: WD-33-15 PROFAC
</t>
        </r>
      </text>
    </comment>
    <comment ref="AD1" authorId="1" shapeId="0">
      <text>
        <r>
          <rPr>
            <sz val="9"/>
            <color indexed="81"/>
            <rFont val="Tahoma"/>
            <family val="2"/>
          </rPr>
          <t>Ahmed Abdelaziz ( Reservoir ):</t>
        </r>
        <r>
          <rPr>
            <sz val="9"/>
            <color indexed="81"/>
            <rFont val="Tahoma"/>
            <family val="2"/>
          </rPr>
          <t xml:space="preserve">
ProFac3: WD33 Oil ProFac</t>
        </r>
      </text>
    </comment>
    <comment ref="AG1" authorId="1" shapeId="0">
      <text>
        <r>
          <rPr>
            <sz val="8"/>
            <color indexed="81"/>
            <rFont val="Tahoma"/>
            <family val="2"/>
          </rPr>
          <t>Ahmed Abdelaziz ( Reservoir ):
OIL PROFAC W/O WD-33-15 and WD-33-05
(OIL CORRECTION IS SUBTRACTED</t>
        </r>
      </text>
    </comment>
    <comment ref="E2" authorId="2" shapeId="0">
      <text>
        <r>
          <rPr>
            <b/>
            <sz val="10"/>
            <color indexed="81"/>
            <rFont val="Tahoma"/>
            <family val="2"/>
          </rPr>
          <t>If this cell changes to red, it means there is a well shut-in with hours online. Set the hours to zero or correct the well status.</t>
        </r>
      </text>
    </comment>
    <comment ref="AK3" authorId="1" shapeId="0">
      <text>
        <r>
          <rPr>
            <sz val="9"/>
            <color indexed="81"/>
            <rFont val="Tahoma"/>
            <family val="2"/>
          </rPr>
          <t>Without GAS LIFT</t>
        </r>
      </text>
    </comment>
  </commentList>
</comments>
</file>

<file path=xl/comments4.xml><?xml version="1.0" encoding="utf-8"?>
<comments xmlns="http://schemas.openxmlformats.org/spreadsheetml/2006/main">
  <authors>
    <author>Author</author>
  </authors>
  <commentList>
    <comment ref="AJ1" authorId="0" shapeId="0">
      <text>
        <r>
          <rPr>
            <sz val="9"/>
            <color indexed="81"/>
            <rFont val="Verdana"/>
            <family val="2"/>
          </rPr>
          <t xml:space="preserve">This expression is used by the Visual Basic code in the Extractor to determine the </t>
        </r>
        <r>
          <rPr>
            <b/>
            <sz val="9"/>
            <color indexed="81"/>
            <rFont val="Verdana"/>
            <family val="2"/>
          </rPr>
          <t>copy range</t>
        </r>
        <r>
          <rPr>
            <sz val="9"/>
            <color indexed="81"/>
            <rFont val="Verdana"/>
            <family val="2"/>
          </rPr>
          <t xml:space="preserve"> for DFL Shots.
</t>
        </r>
      </text>
    </comment>
  </commentList>
</comments>
</file>

<file path=xl/comments5.xml><?xml version="1.0" encoding="utf-8"?>
<comments xmlns="http://schemas.openxmlformats.org/spreadsheetml/2006/main">
  <authors>
    <author>Sara Mikhael (Engineering)</author>
  </authors>
  <commentList>
    <comment ref="E26" authorId="0" shapeId="0">
      <text>
        <r>
          <rPr>
            <b/>
            <sz val="9"/>
            <color indexed="81"/>
            <rFont val="Tahoma"/>
            <family val="2"/>
          </rPr>
          <t>Sara Mikhael (Engineering):</t>
        </r>
        <r>
          <rPr>
            <sz val="9"/>
            <color indexed="81"/>
            <rFont val="Tahoma"/>
            <family val="2"/>
          </rPr>
          <t xml:space="preserve">
Calculation from movement.</t>
        </r>
      </text>
    </comment>
  </commentList>
</comments>
</file>

<file path=xl/sharedStrings.xml><?xml version="1.0" encoding="utf-8"?>
<sst xmlns="http://schemas.openxmlformats.org/spreadsheetml/2006/main" count="7823" uniqueCount="2795">
  <si>
    <t>BFPD</t>
  </si>
  <si>
    <t>NLAP</t>
  </si>
  <si>
    <t>SRP</t>
  </si>
  <si>
    <t>ESP</t>
  </si>
  <si>
    <t>ZONE</t>
  </si>
  <si>
    <t>WELL NAME</t>
  </si>
  <si>
    <t>FIELD</t>
  </si>
  <si>
    <t>WELL</t>
  </si>
  <si>
    <t>TYPE</t>
  </si>
  <si>
    <t>CHOKE</t>
  </si>
  <si>
    <t>WELL DATA - OIL WELLS</t>
  </si>
  <si>
    <t>STATUS</t>
  </si>
  <si>
    <t>CHOKE
64"</t>
  </si>
  <si>
    <t>WHFP PSI</t>
  </si>
  <si>
    <t>AMPS</t>
  </si>
  <si>
    <t>HRS ONLINE</t>
  </si>
  <si>
    <t>DATE</t>
  </si>
  <si>
    <t>DFL</t>
  </si>
  <si>
    <t>SI</t>
  </si>
  <si>
    <t>UBAH</t>
  </si>
  <si>
    <t>LBAH</t>
  </si>
  <si>
    <t>ARG</t>
  </si>
  <si>
    <t>INJ</t>
  </si>
  <si>
    <t>FIELD_GM</t>
  </si>
  <si>
    <t>BAH</t>
  </si>
  <si>
    <t>BOPD</t>
  </si>
  <si>
    <t>GOR scf/bbl</t>
  </si>
  <si>
    <t>HRS ON TEST</t>
  </si>
  <si>
    <t>ITEM</t>
  </si>
  <si>
    <t>COMMENTS</t>
  </si>
  <si>
    <t>WATER FLOOD WELL DATA</t>
  </si>
  <si>
    <t>CSG PSI</t>
  </si>
  <si>
    <t>HOURS</t>
  </si>
  <si>
    <t>DYNAMIC FLUID LEVELS</t>
  </si>
  <si>
    <t>MID OF PERF DEPTH</t>
  </si>
  <si>
    <t>PUMP DEPTH</t>
  </si>
  <si>
    <t>FLUID LEVEL</t>
  </si>
  <si>
    <t>LIQUID IN FLUID</t>
  </si>
  <si>
    <t>BHP PUMP INTAKE</t>
  </si>
  <si>
    <t>BHP MID PERF</t>
  </si>
  <si>
    <t>REMARKS</t>
  </si>
  <si>
    <t>SEP
PSI</t>
  </si>
  <si>
    <t>BS&amp;W
%</t>
  </si>
  <si>
    <t>WELL TESTS</t>
  </si>
  <si>
    <t>TOTALS</t>
  </si>
  <si>
    <t>DATA TYPE</t>
  </si>
  <si>
    <t>UNITS</t>
  </si>
  <si>
    <t>BBLS</t>
  </si>
  <si>
    <t>BS&amp;W</t>
  </si>
  <si>
    <t>%</t>
  </si>
  <si>
    <t>°F</t>
  </si>
  <si>
    <t>PRODUCTION SUMMARY</t>
  </si>
  <si>
    <t>FIELD NAME</t>
  </si>
  <si>
    <t>Oil Stock - Today</t>
  </si>
  <si>
    <t>Opening Stock</t>
  </si>
  <si>
    <t>Closing Stock</t>
  </si>
  <si>
    <t>Tank Status</t>
  </si>
  <si>
    <t>INJECTION</t>
  </si>
  <si>
    <t>WHIP</t>
  </si>
  <si>
    <t>FV TAG</t>
  </si>
  <si>
    <t>DESCRIPTION</t>
  </si>
  <si>
    <t>Original report sheet</t>
  </si>
  <si>
    <t>B</t>
  </si>
  <si>
    <t>L</t>
  </si>
  <si>
    <t>RECORD</t>
  </si>
  <si>
    <t>SEP</t>
  </si>
  <si>
    <t>WELLS SUPPORTED</t>
  </si>
  <si>
    <t>INJ TARG</t>
  </si>
  <si>
    <t>SUPPORTED WELLS</t>
  </si>
  <si>
    <t>KSW</t>
  </si>
  <si>
    <t>RABWA</t>
  </si>
  <si>
    <t>KARAMA</t>
  </si>
  <si>
    <t>YOMNA</t>
  </si>
  <si>
    <t>DIYUR</t>
  </si>
  <si>
    <t>SAMRA</t>
  </si>
  <si>
    <t>Hz</t>
  </si>
  <si>
    <t>FTHT
°F</t>
  </si>
  <si>
    <t>LAST WELL TEST</t>
  </si>
  <si>
    <t>BS&amp;W %</t>
  </si>
  <si>
    <t>FLOWING WELLS</t>
  </si>
  <si>
    <t>17</t>
  </si>
  <si>
    <t>30</t>
  </si>
  <si>
    <t>31</t>
  </si>
  <si>
    <t>18</t>
  </si>
  <si>
    <t>25</t>
  </si>
  <si>
    <t>26</t>
  </si>
  <si>
    <t>27</t>
  </si>
  <si>
    <t>28</t>
  </si>
  <si>
    <t>24</t>
  </si>
  <si>
    <t>15</t>
  </si>
  <si>
    <t>29</t>
  </si>
  <si>
    <t>14</t>
  </si>
  <si>
    <t>13</t>
  </si>
  <si>
    <t>16</t>
  </si>
  <si>
    <t>23</t>
  </si>
  <si>
    <t>20</t>
  </si>
  <si>
    <t>19</t>
  </si>
  <si>
    <t>12</t>
  </si>
  <si>
    <t>22</t>
  </si>
  <si>
    <t>21</t>
  </si>
  <si>
    <t>WHP
PSI</t>
  </si>
  <si>
    <t>BOPD
STB</t>
  </si>
  <si>
    <t>DEFER'd PROD STB</t>
  </si>
  <si>
    <t>Water Drained</t>
  </si>
  <si>
    <t>TANK CLOSING STOCK</t>
  </si>
  <si>
    <t>Net Pumped</t>
  </si>
  <si>
    <t>CUM INJ</t>
  </si>
  <si>
    <t>PLANT</t>
  </si>
  <si>
    <t>METER NAME</t>
  </si>
  <si>
    <t>LIQUID</t>
  </si>
  <si>
    <t>MT</t>
  </si>
  <si>
    <t>AVOCET TAG</t>
  </si>
  <si>
    <t>DOWNTIME CAUSE</t>
  </si>
  <si>
    <t>WELL_DTCAUSE</t>
  </si>
  <si>
    <t>FACILITY CONSTRAINT</t>
  </si>
  <si>
    <t>FLOWLINE FAILURE</t>
  </si>
  <si>
    <t>Lookup table for date string determination</t>
  </si>
  <si>
    <t>01</t>
  </si>
  <si>
    <t>02</t>
  </si>
  <si>
    <t>03</t>
  </si>
  <si>
    <t>05</t>
  </si>
  <si>
    <t>04</t>
  </si>
  <si>
    <t>07</t>
  </si>
  <si>
    <t>06</t>
  </si>
  <si>
    <t>08</t>
  </si>
  <si>
    <t>09</t>
  </si>
  <si>
    <t>10</t>
  </si>
  <si>
    <t>11</t>
  </si>
  <si>
    <t>LOCAL PATH</t>
  </si>
  <si>
    <t>C:\MORNING REPORT\</t>
  </si>
  <si>
    <t>WEATHER / FOG</t>
  </si>
  <si>
    <t>GENERATOR PROBLEM/FAILURE</t>
  </si>
  <si>
    <t>JAN</t>
  </si>
  <si>
    <t>FEB</t>
  </si>
  <si>
    <t>MAR</t>
  </si>
  <si>
    <t>APR</t>
  </si>
  <si>
    <t>MAY</t>
  </si>
  <si>
    <t>JUN</t>
  </si>
  <si>
    <t>JUL</t>
  </si>
  <si>
    <t>AUG</t>
  </si>
  <si>
    <t>OCT</t>
  </si>
  <si>
    <t>NOV</t>
  </si>
  <si>
    <t>DEC</t>
  </si>
  <si>
    <t>WATERWELL_DTCAUSE</t>
  </si>
  <si>
    <t>SOURCE WELL DOWN</t>
  </si>
  <si>
    <t>VALUE</t>
  </si>
  <si>
    <t>TODAY'S PROD</t>
  </si>
  <si>
    <t>N EL DIYUR</t>
  </si>
  <si>
    <t>OPENING STOCK</t>
  </si>
  <si>
    <t>NET PUMPED</t>
  </si>
  <si>
    <t>WATER DRAINED</t>
  </si>
  <si>
    <t>CLOSING STOCK</t>
  </si>
  <si>
    <t>TRUCKING TO QARUN</t>
  </si>
  <si>
    <t>DEFERRED PROD</t>
  </si>
  <si>
    <t>TRUCKING</t>
  </si>
  <si>
    <t>TARGET INJECTION</t>
  </si>
  <si>
    <t>ACTUAL INJECTION</t>
  </si>
  <si>
    <t>DYNAMIC FLUID LEVEL</t>
  </si>
  <si>
    <t>WORK OVER</t>
  </si>
  <si>
    <t>SUCKER ROD PUMP DATA</t>
  </si>
  <si>
    <t>DHP</t>
  </si>
  <si>
    <t>SPM</t>
  </si>
  <si>
    <t>SL</t>
  </si>
  <si>
    <t>RPM</t>
  </si>
  <si>
    <t>PUMP_SIZE</t>
  </si>
  <si>
    <t>GROSS PUMPED</t>
  </si>
  <si>
    <t>Oil Stock - Yesterday</t>
  </si>
  <si>
    <t>Test is &gt; 30 days old</t>
  </si>
  <si>
    <t>KHAR</t>
  </si>
  <si>
    <t>OVER/UNDER VOLTAGE</t>
  </si>
  <si>
    <t>OTHER</t>
  </si>
  <si>
    <t>TANK LOW LEVEL</t>
  </si>
  <si>
    <t>TOP THREE DOWNTIME CAUSES</t>
  </si>
  <si>
    <t>DOWTIME CAUSE 1</t>
  </si>
  <si>
    <t>DOWTIME CAUSE 2</t>
  </si>
  <si>
    <t>DOWTIME CAUSE 3</t>
  </si>
  <si>
    <t>W/O</t>
  </si>
  <si>
    <t>RES ZONES</t>
  </si>
  <si>
    <t>AH4:AV4</t>
  </si>
  <si>
    <t>ADMINISTRATION PANEL</t>
  </si>
  <si>
    <t>CURRENT VERSION</t>
  </si>
  <si>
    <t>REVISION HISTORY</t>
  </si>
  <si>
    <t>VER</t>
  </si>
  <si>
    <t>NET PROD TODAY</t>
  </si>
  <si>
    <t>NET PROD YESTERDAY</t>
  </si>
  <si>
    <t>IN CONVOY TO QARUN</t>
  </si>
  <si>
    <t>WATER DISP TO DESERT</t>
  </si>
  <si>
    <t>PUMP DATA</t>
  </si>
  <si>
    <t>TANK DATA</t>
  </si>
  <si>
    <t>PRODUCT MOVEMENT</t>
  </si>
  <si>
    <t>DOWNTIME AMOUNT 1</t>
  </si>
  <si>
    <t>DOWNTIME AMOUNT 2</t>
  </si>
  <si>
    <t>DOWNTIME AMOUNT 3</t>
  </si>
  <si>
    <t>WATER DISPOSAL</t>
  </si>
  <si>
    <t>DEFAULT DATE</t>
  </si>
  <si>
    <t>USER SELECTED DATE</t>
  </si>
  <si>
    <t>REPORT NAME</t>
  </si>
  <si>
    <t>NEW REPORT NAME</t>
  </si>
  <si>
    <t>WATER DRAINAGE</t>
  </si>
  <si>
    <t>AT QARUN</t>
  </si>
  <si>
    <t>KARAMA CPF TANKS</t>
  </si>
  <si>
    <t>NET SHIPPING</t>
  </si>
  <si>
    <t>DRAINAGE</t>
  </si>
  <si>
    <t>PRODUCTION</t>
  </si>
  <si>
    <t>KARAMA FIELD TANKS</t>
  </si>
  <si>
    <t>KARAMA SW FIELD TANKS</t>
  </si>
  <si>
    <t>HAMRA FIELD TANKS</t>
  </si>
  <si>
    <t>YOMNA FIELD TANKS</t>
  </si>
  <si>
    <t>AQSA FIELD TANKS</t>
  </si>
  <si>
    <t>KARAMA NW FIELD TANKS</t>
  </si>
  <si>
    <t>FARASHA FIELD TANKS</t>
  </si>
  <si>
    <t>AMANA FIELD TANKS</t>
  </si>
  <si>
    <t>RABWA FIELD TANKS</t>
  </si>
  <si>
    <t>RAHMA FIELD TANKS</t>
  </si>
  <si>
    <t>YAMAMA FIELD TANKS</t>
  </si>
  <si>
    <t>ZIENA FIELD TANKS</t>
  </si>
  <si>
    <t>EL DIYUR FIELD TANKS</t>
  </si>
  <si>
    <t>N EL DIYUR FIELD TANKS</t>
  </si>
  <si>
    <t>SAMRA FIELD TANKS</t>
  </si>
  <si>
    <t>EL BASHA FIELD TANKS</t>
  </si>
  <si>
    <t>NEAMA FIELD TANKS</t>
  </si>
  <si>
    <t>MESADA FIELD TANKS</t>
  </si>
  <si>
    <t>SHAKRA FIELD TANKS</t>
  </si>
  <si>
    <t>FTHT</t>
  </si>
  <si>
    <t>AMP 1</t>
  </si>
  <si>
    <t>AMP 2</t>
  </si>
  <si>
    <t>AMP 3</t>
  </si>
  <si>
    <t>HZ</t>
  </si>
  <si>
    <r>
      <t>CHOKE 64</t>
    </r>
    <r>
      <rPr>
        <b/>
        <vertAlign val="superscript"/>
        <sz val="10"/>
        <color indexed="9"/>
        <rFont val="Verdana"/>
        <family val="2"/>
      </rPr>
      <t>th</t>
    </r>
  </si>
  <si>
    <t>WHIP
PSI</t>
  </si>
  <si>
    <t>DAILY BS&amp;W</t>
  </si>
  <si>
    <t>BARAKA FIELD TANKS</t>
  </si>
  <si>
    <t>EST PROD</t>
  </si>
  <si>
    <t xml:space="preserve">EL DIYUR </t>
  </si>
  <si>
    <t>QPC PRORATION FACTOR @ KARAMA</t>
  </si>
  <si>
    <t>شركة قارون لليترول - حقول كرامة</t>
  </si>
  <si>
    <t>Produced water to reinjection</t>
  </si>
  <si>
    <t>All Fields</t>
  </si>
  <si>
    <t xml:space="preserve">FUEL GAS </t>
  </si>
  <si>
    <t>FUEL GAS FORM GUPCO</t>
  </si>
  <si>
    <t>OHTL PROBLEM</t>
  </si>
  <si>
    <t>POWER HOUSE PROBLEM</t>
  </si>
  <si>
    <t>Temperature (°F)</t>
  </si>
  <si>
    <t>API gravity (DEG)</t>
  </si>
  <si>
    <t>BS&amp;W (%)</t>
  </si>
  <si>
    <t>KHALDA PETROLEUM COMPANY</t>
  </si>
  <si>
    <t>TANK 201</t>
  </si>
  <si>
    <t>TANK 202</t>
  </si>
  <si>
    <t xml:space="preserve">API VS TEMPERATURE CORRECTION FACTOR FROM 45°F - 150°F &amp; API FROM 20° - 45° </t>
  </si>
  <si>
    <t>TANK</t>
  </si>
  <si>
    <t>GROSS BBLS</t>
  </si>
  <si>
    <t>AMB TEMP °F</t>
  </si>
  <si>
    <t>SHELL FACTOR</t>
  </si>
  <si>
    <t>API</t>
  </si>
  <si>
    <t>CORR FACTOR</t>
  </si>
  <si>
    <t>OPEN</t>
  </si>
  <si>
    <t>CLOSE</t>
  </si>
  <si>
    <t>T201</t>
  </si>
  <si>
    <t>T202</t>
  </si>
  <si>
    <t>ROTATING EQUIPMENT STATUS</t>
  </si>
  <si>
    <t>UNIT</t>
  </si>
  <si>
    <t>SERVICE</t>
  </si>
  <si>
    <t>RUN HOURS</t>
  </si>
  <si>
    <t>STANBY HOURS</t>
  </si>
  <si>
    <t>OUT OF SERVICE HRS</t>
  </si>
  <si>
    <t>Salt (PTB)</t>
  </si>
  <si>
    <t>SALT</t>
  </si>
  <si>
    <t>PTB</t>
  </si>
  <si>
    <t>NET SHIPPED</t>
  </si>
  <si>
    <t>AMBIENT TEMPERATURE</t>
  </si>
  <si>
    <t>°</t>
  </si>
  <si>
    <t>ALB</t>
  </si>
  <si>
    <t>MULTIZONE</t>
  </si>
  <si>
    <t>ACTUAL INJ QTY bbl</t>
  </si>
  <si>
    <t>REQ INJ QTY
bbl</t>
  </si>
  <si>
    <t>KHALDA_METER</t>
  </si>
  <si>
    <t>EQUIP_DTCAUSE</t>
  </si>
  <si>
    <t>AVAILABLE BUT NOT REQUIRED</t>
  </si>
  <si>
    <t>FACILITY CONSTRAINTS</t>
  </si>
  <si>
    <t>PLANNED INSPECTION / TEST</t>
  </si>
  <si>
    <t>PLANNED SERVICE</t>
  </si>
  <si>
    <t>TRIP/UNPLANNED SHUTDOWN</t>
  </si>
  <si>
    <t>EQUIPMENT BREAKDOWN</t>
  </si>
  <si>
    <t>UNKNOWN/OTHER</t>
  </si>
  <si>
    <t>PROCESS UPSET</t>
  </si>
  <si>
    <t>COMMISSIONING</t>
  </si>
  <si>
    <t>NF</t>
  </si>
  <si>
    <t>CL</t>
  </si>
  <si>
    <t>OP</t>
  </si>
  <si>
    <t>CASING STATUS</t>
  </si>
  <si>
    <t>AMB °F</t>
  </si>
  <si>
    <t>ft, in</t>
  </si>
  <si>
    <t>0,0</t>
  </si>
  <si>
    <t>0,1/2</t>
  </si>
  <si>
    <t>0,1</t>
  </si>
  <si>
    <t>0,1 1/2</t>
  </si>
  <si>
    <t>0,2</t>
  </si>
  <si>
    <t>0,2 1/2</t>
  </si>
  <si>
    <t>0,3</t>
  </si>
  <si>
    <t>0,3 1/2</t>
  </si>
  <si>
    <t>0,4</t>
  </si>
  <si>
    <t>0,4 1/2</t>
  </si>
  <si>
    <t>0,5</t>
  </si>
  <si>
    <t>0,5 1/2</t>
  </si>
  <si>
    <t>0,6</t>
  </si>
  <si>
    <t>0,6 1/2</t>
  </si>
  <si>
    <t>0,7</t>
  </si>
  <si>
    <t>0,7 1/2</t>
  </si>
  <si>
    <t>0,8</t>
  </si>
  <si>
    <t>0,8 1/2</t>
  </si>
  <si>
    <t>0,9</t>
  </si>
  <si>
    <t>0,9 1/2</t>
  </si>
  <si>
    <t>0,10</t>
  </si>
  <si>
    <t>0,10 1/2</t>
  </si>
  <si>
    <t>0,11</t>
  </si>
  <si>
    <t>0,11 1/2</t>
  </si>
  <si>
    <t>1,0</t>
  </si>
  <si>
    <t>1,1</t>
  </si>
  <si>
    <t>1,1 1/2</t>
  </si>
  <si>
    <t>1,2</t>
  </si>
  <si>
    <t>1,2 1/2</t>
  </si>
  <si>
    <t>1,3</t>
  </si>
  <si>
    <t>1,3 1/2</t>
  </si>
  <si>
    <t>1,4</t>
  </si>
  <si>
    <t>1,4 1/2</t>
  </si>
  <si>
    <t>1,5</t>
  </si>
  <si>
    <t>1,5 1/2</t>
  </si>
  <si>
    <t>1,6</t>
  </si>
  <si>
    <t>1,6 1/2</t>
  </si>
  <si>
    <t>1,7</t>
  </si>
  <si>
    <t>1,7 1/2</t>
  </si>
  <si>
    <t>1,8</t>
  </si>
  <si>
    <t>1,8 1/2</t>
  </si>
  <si>
    <t>1,9</t>
  </si>
  <si>
    <t>1,9 1/2</t>
  </si>
  <si>
    <t>1,10</t>
  </si>
  <si>
    <t>1,10 1/2</t>
  </si>
  <si>
    <t>1,11</t>
  </si>
  <si>
    <t>1,11 1/2</t>
  </si>
  <si>
    <t>2,0</t>
  </si>
  <si>
    <t>1,1/2</t>
  </si>
  <si>
    <t>2,1</t>
  </si>
  <si>
    <t>2,2</t>
  </si>
  <si>
    <t>2,3</t>
  </si>
  <si>
    <t>2,3 1/2</t>
  </si>
  <si>
    <t>2,4</t>
  </si>
  <si>
    <t>2,4 1/2</t>
  </si>
  <si>
    <t>2,5</t>
  </si>
  <si>
    <t>2,5 1/2</t>
  </si>
  <si>
    <t>2,6</t>
  </si>
  <si>
    <t>2,6 1/2</t>
  </si>
  <si>
    <t>2,7</t>
  </si>
  <si>
    <t>2,7 1/2</t>
  </si>
  <si>
    <t>2,8</t>
  </si>
  <si>
    <t>2,8 1/2</t>
  </si>
  <si>
    <t>2,9</t>
  </si>
  <si>
    <t>2,9 1/2</t>
  </si>
  <si>
    <t>2,10</t>
  </si>
  <si>
    <t>2,10 1/2</t>
  </si>
  <si>
    <t>2,11</t>
  </si>
  <si>
    <t>2.11 1/2</t>
  </si>
  <si>
    <t>3,0</t>
  </si>
  <si>
    <t>3,1/2</t>
  </si>
  <si>
    <t>3,1</t>
  </si>
  <si>
    <t>3,1 1/2</t>
  </si>
  <si>
    <t>3,2</t>
  </si>
  <si>
    <t>3,2 1/2</t>
  </si>
  <si>
    <t>3,3</t>
  </si>
  <si>
    <t>3,3 1/2</t>
  </si>
  <si>
    <t>3,4</t>
  </si>
  <si>
    <t>3,4 1/2</t>
  </si>
  <si>
    <t>3,5</t>
  </si>
  <si>
    <t>3,5 1/2</t>
  </si>
  <si>
    <t>3,6</t>
  </si>
  <si>
    <t>3,6 1/2</t>
  </si>
  <si>
    <t>3,7</t>
  </si>
  <si>
    <t>3,7 1/2</t>
  </si>
  <si>
    <t>3,8</t>
  </si>
  <si>
    <t>3,8 1/2</t>
  </si>
  <si>
    <t>3,9</t>
  </si>
  <si>
    <t>3,9 1/2</t>
  </si>
  <si>
    <t>3,10</t>
  </si>
  <si>
    <t>3,10 1/2</t>
  </si>
  <si>
    <t>3,11</t>
  </si>
  <si>
    <t>3,11 1/2</t>
  </si>
  <si>
    <t>4,0</t>
  </si>
  <si>
    <t>4,1/2</t>
  </si>
  <si>
    <t>4,1</t>
  </si>
  <si>
    <t>4,1 1/2</t>
  </si>
  <si>
    <t>4,2</t>
  </si>
  <si>
    <t>4,2 1/2</t>
  </si>
  <si>
    <t>4,3</t>
  </si>
  <si>
    <t>4,3 1/2</t>
  </si>
  <si>
    <t>4,4</t>
  </si>
  <si>
    <t>4,4 1/2</t>
  </si>
  <si>
    <t>4,5</t>
  </si>
  <si>
    <t>4,5 1/2</t>
  </si>
  <si>
    <t>4,6</t>
  </si>
  <si>
    <t>4,6 1/2</t>
  </si>
  <si>
    <t>4,7</t>
  </si>
  <si>
    <t>4,7 1/2</t>
  </si>
  <si>
    <t>4,8</t>
  </si>
  <si>
    <t>4,8 1/2</t>
  </si>
  <si>
    <t>4,9</t>
  </si>
  <si>
    <t>4,9 1/2</t>
  </si>
  <si>
    <t>4,10</t>
  </si>
  <si>
    <t>4,10 1/2</t>
  </si>
  <si>
    <t>4,11</t>
  </si>
  <si>
    <t>4,11 1/2</t>
  </si>
  <si>
    <t>5,0</t>
  </si>
  <si>
    <t>5,1/2</t>
  </si>
  <si>
    <t>5,1</t>
  </si>
  <si>
    <t>5,1 1/2</t>
  </si>
  <si>
    <t>5,2</t>
  </si>
  <si>
    <t>5,2 1/2</t>
  </si>
  <si>
    <t>5,3</t>
  </si>
  <si>
    <t>5,3 1/2</t>
  </si>
  <si>
    <t>5,4</t>
  </si>
  <si>
    <t>5,4 1/2</t>
  </si>
  <si>
    <t>5,5</t>
  </si>
  <si>
    <t>5,5 1/2</t>
  </si>
  <si>
    <t>5,6</t>
  </si>
  <si>
    <t>5,6 1/2</t>
  </si>
  <si>
    <t>5,7</t>
  </si>
  <si>
    <t>5,7 1/2</t>
  </si>
  <si>
    <t>5,8</t>
  </si>
  <si>
    <t>5,8 1/2</t>
  </si>
  <si>
    <t>5,9</t>
  </si>
  <si>
    <t>5,9 1/2</t>
  </si>
  <si>
    <t>5,10</t>
  </si>
  <si>
    <t>5,10 1/2</t>
  </si>
  <si>
    <t>5,11</t>
  </si>
  <si>
    <t>5,11 1/2</t>
  </si>
  <si>
    <t>6,0</t>
  </si>
  <si>
    <t>6,1/2</t>
  </si>
  <si>
    <t>6,1</t>
  </si>
  <si>
    <t>6,1 1/2</t>
  </si>
  <si>
    <t>6,2</t>
  </si>
  <si>
    <t>6,2 1/2</t>
  </si>
  <si>
    <t>6,3</t>
  </si>
  <si>
    <t>6,3 1/2</t>
  </si>
  <si>
    <t>6,4</t>
  </si>
  <si>
    <t>6,4 1/2</t>
  </si>
  <si>
    <t>6,5</t>
  </si>
  <si>
    <t>6,5 1/2</t>
  </si>
  <si>
    <t>6,6</t>
  </si>
  <si>
    <t>6,6 1/2</t>
  </si>
  <si>
    <t>6,7</t>
  </si>
  <si>
    <t>6,7 1/2</t>
  </si>
  <si>
    <t>6,8</t>
  </si>
  <si>
    <t>6,8 1/2</t>
  </si>
  <si>
    <t>6,9</t>
  </si>
  <si>
    <t>6,9 1/2</t>
  </si>
  <si>
    <t>6,10</t>
  </si>
  <si>
    <t xml:space="preserve">6,10 1/2 </t>
  </si>
  <si>
    <t>6,11</t>
  </si>
  <si>
    <t>6,11 1/2</t>
  </si>
  <si>
    <t>7,0</t>
  </si>
  <si>
    <t>7,1/2</t>
  </si>
  <si>
    <t>7,1</t>
  </si>
  <si>
    <t>7,1 1/2</t>
  </si>
  <si>
    <t>7,2</t>
  </si>
  <si>
    <t>7,2 1/2</t>
  </si>
  <si>
    <t>7,3</t>
  </si>
  <si>
    <t>7,3 1/2</t>
  </si>
  <si>
    <t>7,4</t>
  </si>
  <si>
    <t>7,4 1/2</t>
  </si>
  <si>
    <t>7,5</t>
  </si>
  <si>
    <t>7,5 1/2</t>
  </si>
  <si>
    <t>7,6</t>
  </si>
  <si>
    <t>7,6 1/2</t>
  </si>
  <si>
    <t>7,7</t>
  </si>
  <si>
    <t>7,7 1/2</t>
  </si>
  <si>
    <t>7,8</t>
  </si>
  <si>
    <t>7,8 1/2</t>
  </si>
  <si>
    <t>7,9</t>
  </si>
  <si>
    <t>7,9 1/2</t>
  </si>
  <si>
    <t>7,10</t>
  </si>
  <si>
    <t>7,10 1/2</t>
  </si>
  <si>
    <t>7,11</t>
  </si>
  <si>
    <t>7,11 1/2</t>
  </si>
  <si>
    <t>8,0</t>
  </si>
  <si>
    <t>8,1/2</t>
  </si>
  <si>
    <t>8,1</t>
  </si>
  <si>
    <t>8,1 1/2</t>
  </si>
  <si>
    <t>8,2</t>
  </si>
  <si>
    <t>8,2 1/2</t>
  </si>
  <si>
    <t>8,3</t>
  </si>
  <si>
    <t>8,3 1/2</t>
  </si>
  <si>
    <t>8,4</t>
  </si>
  <si>
    <t>8,4 1/2</t>
  </si>
  <si>
    <t>8,5</t>
  </si>
  <si>
    <t>8,5 1/2</t>
  </si>
  <si>
    <t>8,6</t>
  </si>
  <si>
    <t>8,6 1/2</t>
  </si>
  <si>
    <t>8,7</t>
  </si>
  <si>
    <t>8,7 1/2</t>
  </si>
  <si>
    <t>8,8</t>
  </si>
  <si>
    <t>8,8 1/2</t>
  </si>
  <si>
    <t>8,9</t>
  </si>
  <si>
    <t>8,9 1/2</t>
  </si>
  <si>
    <t>8,10</t>
  </si>
  <si>
    <t>8,10 1/2</t>
  </si>
  <si>
    <t>8,11</t>
  </si>
  <si>
    <t>8,11 1/2</t>
  </si>
  <si>
    <t>9,0</t>
  </si>
  <si>
    <t>9,1/2</t>
  </si>
  <si>
    <t>9,1</t>
  </si>
  <si>
    <t>9,1 1/2</t>
  </si>
  <si>
    <t>9,2</t>
  </si>
  <si>
    <t>9,2 1/2</t>
  </si>
  <si>
    <t>9,3</t>
  </si>
  <si>
    <t>9,3 1/2</t>
  </si>
  <si>
    <t>9,4</t>
  </si>
  <si>
    <t>9,4 1/2</t>
  </si>
  <si>
    <t>9,5</t>
  </si>
  <si>
    <t>9,5 1/2</t>
  </si>
  <si>
    <t>9,6</t>
  </si>
  <si>
    <t>9,6 1/2</t>
  </si>
  <si>
    <t>9,7</t>
  </si>
  <si>
    <t>9,7 1/2</t>
  </si>
  <si>
    <t>9,8</t>
  </si>
  <si>
    <t>9,8 1/2</t>
  </si>
  <si>
    <t>9,9</t>
  </si>
  <si>
    <t>9,9 1/2</t>
  </si>
  <si>
    <t>9,10</t>
  </si>
  <si>
    <t>9,10 1/2</t>
  </si>
  <si>
    <t>9,11</t>
  </si>
  <si>
    <t>9,11 1/2</t>
  </si>
  <si>
    <t>10,0</t>
  </si>
  <si>
    <t>10,1/2</t>
  </si>
  <si>
    <t>10,1</t>
  </si>
  <si>
    <t>10,1 1/2</t>
  </si>
  <si>
    <t>10,2</t>
  </si>
  <si>
    <t>10,2 1/2</t>
  </si>
  <si>
    <t>10,3</t>
  </si>
  <si>
    <t>10,3 1/2</t>
  </si>
  <si>
    <t>10,4</t>
  </si>
  <si>
    <t>10,4 1/2</t>
  </si>
  <si>
    <t>10,5</t>
  </si>
  <si>
    <t>10,5 1/2</t>
  </si>
  <si>
    <t>10,6</t>
  </si>
  <si>
    <t>10,6 1/2</t>
  </si>
  <si>
    <t>10,7</t>
  </si>
  <si>
    <t>10,7 1/2</t>
  </si>
  <si>
    <t>10,8</t>
  </si>
  <si>
    <t>10,8 1/2</t>
  </si>
  <si>
    <t>10,9</t>
  </si>
  <si>
    <t>10,9 1/2</t>
  </si>
  <si>
    <t>10,10</t>
  </si>
  <si>
    <t>10,10 1/2</t>
  </si>
  <si>
    <t>10,11</t>
  </si>
  <si>
    <t>10,11 1/2</t>
  </si>
  <si>
    <t>11,0</t>
  </si>
  <si>
    <t>11,1/2</t>
  </si>
  <si>
    <t>11,1</t>
  </si>
  <si>
    <t>11,1 1/2</t>
  </si>
  <si>
    <t>11,2</t>
  </si>
  <si>
    <t>11,2 1/2</t>
  </si>
  <si>
    <t>11,3</t>
  </si>
  <si>
    <t>11,3 1/2</t>
  </si>
  <si>
    <t>11,4</t>
  </si>
  <si>
    <t>11,4 1/2</t>
  </si>
  <si>
    <t>11,5</t>
  </si>
  <si>
    <t>11,5 1/2</t>
  </si>
  <si>
    <t>11,6</t>
  </si>
  <si>
    <t>11,6 1/2</t>
  </si>
  <si>
    <t>11,7</t>
  </si>
  <si>
    <t>11,7 1/2</t>
  </si>
  <si>
    <t>11,8</t>
  </si>
  <si>
    <t>11,8 1/2</t>
  </si>
  <si>
    <t>11,9</t>
  </si>
  <si>
    <t>11,9 1/2</t>
  </si>
  <si>
    <t>11,10</t>
  </si>
  <si>
    <t>11,10 1/2</t>
  </si>
  <si>
    <t>11,11</t>
  </si>
  <si>
    <t>11,11 1/2</t>
  </si>
  <si>
    <t>12,0</t>
  </si>
  <si>
    <t>12,1/2</t>
  </si>
  <si>
    <t>12,1</t>
  </si>
  <si>
    <t>12,1 1/2</t>
  </si>
  <si>
    <t>12,2</t>
  </si>
  <si>
    <t>12,2 1/2</t>
  </si>
  <si>
    <t>12,3</t>
  </si>
  <si>
    <t>12,3 1/2</t>
  </si>
  <si>
    <t>12,4</t>
  </si>
  <si>
    <t>12,4 1/2</t>
  </si>
  <si>
    <t>12,5</t>
  </si>
  <si>
    <t>12,5 1/2</t>
  </si>
  <si>
    <t>12,6</t>
  </si>
  <si>
    <t>12,6 1/2</t>
  </si>
  <si>
    <t>12,7</t>
  </si>
  <si>
    <t>12,7 1/2</t>
  </si>
  <si>
    <t>12,8</t>
  </si>
  <si>
    <t>12,8 1/2</t>
  </si>
  <si>
    <t>12,9</t>
  </si>
  <si>
    <t>12,9 1/2</t>
  </si>
  <si>
    <t>12,10</t>
  </si>
  <si>
    <t>12,10 1/2</t>
  </si>
  <si>
    <t>12,11</t>
  </si>
  <si>
    <t>12,11 1/2</t>
  </si>
  <si>
    <t>13,0</t>
  </si>
  <si>
    <t>13,1/2</t>
  </si>
  <si>
    <t>13,1</t>
  </si>
  <si>
    <t>13,1 1/2</t>
  </si>
  <si>
    <t>13,2</t>
  </si>
  <si>
    <t>13,2 1/2</t>
  </si>
  <si>
    <t>13,3</t>
  </si>
  <si>
    <t>13,3 1/2</t>
  </si>
  <si>
    <t>13,4</t>
  </si>
  <si>
    <t>13,4 1/2</t>
  </si>
  <si>
    <t>13,5</t>
  </si>
  <si>
    <t>13,5 1/2</t>
  </si>
  <si>
    <t>13,6</t>
  </si>
  <si>
    <t>13,6 1/2</t>
  </si>
  <si>
    <t>13,7</t>
  </si>
  <si>
    <t>13,7 1/2</t>
  </si>
  <si>
    <t>13,8</t>
  </si>
  <si>
    <t>13,8 1/2</t>
  </si>
  <si>
    <t>13,9</t>
  </si>
  <si>
    <t>13,9 1/2</t>
  </si>
  <si>
    <t>13,10</t>
  </si>
  <si>
    <t>13, 10 1/2</t>
  </si>
  <si>
    <t>13,11</t>
  </si>
  <si>
    <t>13,11 1/2</t>
  </si>
  <si>
    <t>14,0</t>
  </si>
  <si>
    <t>14,1/2</t>
  </si>
  <si>
    <t>14,1</t>
  </si>
  <si>
    <t>14,1 1/2</t>
  </si>
  <si>
    <t>14,2</t>
  </si>
  <si>
    <t>14,2 1/2</t>
  </si>
  <si>
    <t>14,3</t>
  </si>
  <si>
    <t>14,3 1/2</t>
  </si>
  <si>
    <t>14,4</t>
  </si>
  <si>
    <t>14,4 1/2</t>
  </si>
  <si>
    <t>14,5</t>
  </si>
  <si>
    <t>14,5 1/2</t>
  </si>
  <si>
    <t>14,6</t>
  </si>
  <si>
    <t>14,6 1/2</t>
  </si>
  <si>
    <t>14,7</t>
  </si>
  <si>
    <t>14,7 1/2</t>
  </si>
  <si>
    <t>14,8</t>
  </si>
  <si>
    <t>14,8 1/2</t>
  </si>
  <si>
    <t>14,9</t>
  </si>
  <si>
    <t>14,9 1/2</t>
  </si>
  <si>
    <t>14,10</t>
  </si>
  <si>
    <t>14,10 1/2</t>
  </si>
  <si>
    <t>14,11</t>
  </si>
  <si>
    <t>14,11 1/2</t>
  </si>
  <si>
    <t>15,0</t>
  </si>
  <si>
    <t>15,1/2</t>
  </si>
  <si>
    <t>15,1</t>
  </si>
  <si>
    <t>15,1 1/2</t>
  </si>
  <si>
    <t>15,2</t>
  </si>
  <si>
    <t>15,2 1/2</t>
  </si>
  <si>
    <t>15,3</t>
  </si>
  <si>
    <t>15,3 1/2</t>
  </si>
  <si>
    <t>15,4</t>
  </si>
  <si>
    <t>15,4 1/2</t>
  </si>
  <si>
    <t>15,5</t>
  </si>
  <si>
    <t>15,5 1/2</t>
  </si>
  <si>
    <t>15,6</t>
  </si>
  <si>
    <t>15,6 1/2</t>
  </si>
  <si>
    <t>15,7</t>
  </si>
  <si>
    <t>15,7 1/2</t>
  </si>
  <si>
    <t>15,8</t>
  </si>
  <si>
    <t>15,8 1/2</t>
  </si>
  <si>
    <t>15,9</t>
  </si>
  <si>
    <t>15,9 1/2</t>
  </si>
  <si>
    <t>15,10</t>
  </si>
  <si>
    <t>15,10 1/2</t>
  </si>
  <si>
    <t>15,11</t>
  </si>
  <si>
    <t>15,11 1/2</t>
  </si>
  <si>
    <t>16,0</t>
  </si>
  <si>
    <t>16,1/2</t>
  </si>
  <si>
    <t>16,1</t>
  </si>
  <si>
    <t>16,1 1/2</t>
  </si>
  <si>
    <t>16,2</t>
  </si>
  <si>
    <t>16,2 1/2</t>
  </si>
  <si>
    <t>16,3</t>
  </si>
  <si>
    <t>16,3 1/2</t>
  </si>
  <si>
    <t>16,4</t>
  </si>
  <si>
    <t>16,4 1/2</t>
  </si>
  <si>
    <t>16,5</t>
  </si>
  <si>
    <t>16,5 1/2</t>
  </si>
  <si>
    <t>16,6</t>
  </si>
  <si>
    <t>16,6 1/2</t>
  </si>
  <si>
    <t>16,7</t>
  </si>
  <si>
    <t>16,7 1/2</t>
  </si>
  <si>
    <t>16,8</t>
  </si>
  <si>
    <t>16,8 1/2</t>
  </si>
  <si>
    <t>16,9</t>
  </si>
  <si>
    <t>16,9 1/2</t>
  </si>
  <si>
    <t>16,10</t>
  </si>
  <si>
    <t>16,10 1/2</t>
  </si>
  <si>
    <t>16,11</t>
  </si>
  <si>
    <t>16,11 1/2</t>
  </si>
  <si>
    <t>17,0</t>
  </si>
  <si>
    <t>17,1/2</t>
  </si>
  <si>
    <t>17,1</t>
  </si>
  <si>
    <t>17,1 1/2</t>
  </si>
  <si>
    <t>17,2</t>
  </si>
  <si>
    <t>17,2 1/2</t>
  </si>
  <si>
    <t>17,3</t>
  </si>
  <si>
    <t>17,3 1/2</t>
  </si>
  <si>
    <t>17,4</t>
  </si>
  <si>
    <t>17,4 1/2</t>
  </si>
  <si>
    <t>17,5</t>
  </si>
  <si>
    <t>17,5 1/2</t>
  </si>
  <si>
    <t>17,6</t>
  </si>
  <si>
    <t>17,6 1/2</t>
  </si>
  <si>
    <t>17,7</t>
  </si>
  <si>
    <t>17,7 1/2</t>
  </si>
  <si>
    <t>17,8</t>
  </si>
  <si>
    <t>17,8 1/2</t>
  </si>
  <si>
    <t>17,9</t>
  </si>
  <si>
    <t>17,9 1/2</t>
  </si>
  <si>
    <t>17,10</t>
  </si>
  <si>
    <t>17,10 1/2</t>
  </si>
  <si>
    <t>17,11</t>
  </si>
  <si>
    <t>17,11 1/2</t>
  </si>
  <si>
    <t>18,0</t>
  </si>
  <si>
    <t>18,1/2</t>
  </si>
  <si>
    <t>18,1</t>
  </si>
  <si>
    <t>18,1 1/2</t>
  </si>
  <si>
    <t>18,2</t>
  </si>
  <si>
    <t>18,2 1/2</t>
  </si>
  <si>
    <t>18,3</t>
  </si>
  <si>
    <t>18,3 1/2</t>
  </si>
  <si>
    <t>18,4</t>
  </si>
  <si>
    <t>18,4 1/2</t>
  </si>
  <si>
    <t>18,5</t>
  </si>
  <si>
    <t>18,5 1/2</t>
  </si>
  <si>
    <t>18,6</t>
  </si>
  <si>
    <t>18,6 1/2</t>
  </si>
  <si>
    <t>18,7</t>
  </si>
  <si>
    <t>18,7 1/2</t>
  </si>
  <si>
    <t>18,8</t>
  </si>
  <si>
    <t>18,8 1/2</t>
  </si>
  <si>
    <t>18,9</t>
  </si>
  <si>
    <t>18,9 1/2</t>
  </si>
  <si>
    <t>18,10</t>
  </si>
  <si>
    <t>18,10 1/2</t>
  </si>
  <si>
    <t>18,11</t>
  </si>
  <si>
    <t>18,11 1/2</t>
  </si>
  <si>
    <t>19,0</t>
  </si>
  <si>
    <t>19,1/2</t>
  </si>
  <si>
    <t>19,1</t>
  </si>
  <si>
    <t>19,1 1/2</t>
  </si>
  <si>
    <t>19,2</t>
  </si>
  <si>
    <t>19,2 1/2</t>
  </si>
  <si>
    <t>19,3</t>
  </si>
  <si>
    <t>19,3 1/2</t>
  </si>
  <si>
    <t>19,4</t>
  </si>
  <si>
    <t>19,4 1/2</t>
  </si>
  <si>
    <t>19,5</t>
  </si>
  <si>
    <t>19,5 1/2</t>
  </si>
  <si>
    <t>19,6</t>
  </si>
  <si>
    <t>19,6 1/2</t>
  </si>
  <si>
    <t>19,7</t>
  </si>
  <si>
    <t>19,7 1/2</t>
  </si>
  <si>
    <t>19,8</t>
  </si>
  <si>
    <t>19,8 1/2</t>
  </si>
  <si>
    <t>19,9</t>
  </si>
  <si>
    <t>19,9 1/2</t>
  </si>
  <si>
    <t>19,10</t>
  </si>
  <si>
    <t>19,10 1/2</t>
  </si>
  <si>
    <t>19,11</t>
  </si>
  <si>
    <t>19,11 1/2</t>
  </si>
  <si>
    <t>20,0</t>
  </si>
  <si>
    <t>20,1/2</t>
  </si>
  <si>
    <t>20,1</t>
  </si>
  <si>
    <t>20,1 1/2</t>
  </si>
  <si>
    <t>20,2</t>
  </si>
  <si>
    <t>20,2 1/2</t>
  </si>
  <si>
    <t>20,3</t>
  </si>
  <si>
    <t>20,3 1/2</t>
  </si>
  <si>
    <t>20,4</t>
  </si>
  <si>
    <t>20,4 1/2</t>
  </si>
  <si>
    <t>20,5</t>
  </si>
  <si>
    <t>20,5 1/2</t>
  </si>
  <si>
    <t>20,6</t>
  </si>
  <si>
    <t>20,6 1/2</t>
  </si>
  <si>
    <t>20,7</t>
  </si>
  <si>
    <t>20,7 1/2</t>
  </si>
  <si>
    <t>20,8</t>
  </si>
  <si>
    <t>20,8 1/2</t>
  </si>
  <si>
    <t>20,9</t>
  </si>
  <si>
    <t>20,9 1/2</t>
  </si>
  <si>
    <t>20,10</t>
  </si>
  <si>
    <t>20,10 1/2</t>
  </si>
  <si>
    <t>20,11</t>
  </si>
  <si>
    <t>20,11 1/2</t>
  </si>
  <si>
    <t>21,0</t>
  </si>
  <si>
    <t>21,1/2</t>
  </si>
  <si>
    <t>21,1</t>
  </si>
  <si>
    <t>21,1 1/2</t>
  </si>
  <si>
    <t>21,2</t>
  </si>
  <si>
    <t>21,2 1/2</t>
  </si>
  <si>
    <t>21,3</t>
  </si>
  <si>
    <t>21,3 1/2</t>
  </si>
  <si>
    <t>21,4</t>
  </si>
  <si>
    <t>21,4 1/2</t>
  </si>
  <si>
    <t>21,5</t>
  </si>
  <si>
    <t>21,5 1/2</t>
  </si>
  <si>
    <t>21,6</t>
  </si>
  <si>
    <t>21,6 1/2</t>
  </si>
  <si>
    <t>21,7</t>
  </si>
  <si>
    <t>21,7 1/2</t>
  </si>
  <si>
    <t>21,8</t>
  </si>
  <si>
    <t>21,8 1/2</t>
  </si>
  <si>
    <t>21,9</t>
  </si>
  <si>
    <t>21,9 1/2</t>
  </si>
  <si>
    <t>21,10</t>
  </si>
  <si>
    <t>21,10 1/2</t>
  </si>
  <si>
    <t>21,11</t>
  </si>
  <si>
    <t>21,11 1/2</t>
  </si>
  <si>
    <t>22,0</t>
  </si>
  <si>
    <t>22,1/2</t>
  </si>
  <si>
    <t>22,1</t>
  </si>
  <si>
    <t>22,1 1/2</t>
  </si>
  <si>
    <t>22,2</t>
  </si>
  <si>
    <t>22,2 1/2</t>
  </si>
  <si>
    <t>22,3</t>
  </si>
  <si>
    <t>22,3 1/2</t>
  </si>
  <si>
    <t>22,4</t>
  </si>
  <si>
    <t>22,4 1/2</t>
  </si>
  <si>
    <t>22,5</t>
  </si>
  <si>
    <t>22,5 1/2</t>
  </si>
  <si>
    <t>22,6</t>
  </si>
  <si>
    <t>22,6 1/2</t>
  </si>
  <si>
    <t>22,7</t>
  </si>
  <si>
    <t>22,7 1/2</t>
  </si>
  <si>
    <t>22,8</t>
  </si>
  <si>
    <t>22,8 1/2</t>
  </si>
  <si>
    <t>22,9</t>
  </si>
  <si>
    <t>22,9 1/2</t>
  </si>
  <si>
    <t>22,10</t>
  </si>
  <si>
    <t>22,10 1/2</t>
  </si>
  <si>
    <t>22,11</t>
  </si>
  <si>
    <t>22,11 1/2</t>
  </si>
  <si>
    <t>23,0</t>
  </si>
  <si>
    <t>23,1/2</t>
  </si>
  <si>
    <t>23,1</t>
  </si>
  <si>
    <t>23,1 1/2</t>
  </si>
  <si>
    <t>23,2</t>
  </si>
  <si>
    <t>23,2 1/2</t>
  </si>
  <si>
    <t>23,3</t>
  </si>
  <si>
    <t>23,3 1/2</t>
  </si>
  <si>
    <t>23,4</t>
  </si>
  <si>
    <t>23,4 1/2</t>
  </si>
  <si>
    <t>23,5</t>
  </si>
  <si>
    <t>23,5 1/2</t>
  </si>
  <si>
    <t>23,6</t>
  </si>
  <si>
    <t>23,6 1/2</t>
  </si>
  <si>
    <t>23,7</t>
  </si>
  <si>
    <t>23,7 1/2</t>
  </si>
  <si>
    <t>23,8</t>
  </si>
  <si>
    <t>23,8 1/2</t>
  </si>
  <si>
    <t>23,9</t>
  </si>
  <si>
    <t>23,9 1/2</t>
  </si>
  <si>
    <t>23,10</t>
  </si>
  <si>
    <t>23,10 1/2</t>
  </si>
  <si>
    <t>23,11</t>
  </si>
  <si>
    <t>23,11 1/2</t>
  </si>
  <si>
    <t>24,0</t>
  </si>
  <si>
    <t>24,1/2</t>
  </si>
  <si>
    <t>24,1</t>
  </si>
  <si>
    <t>24,1 1/2</t>
  </si>
  <si>
    <t>24,2</t>
  </si>
  <si>
    <t>24,2 1/2</t>
  </si>
  <si>
    <t>24,3</t>
  </si>
  <si>
    <t>24,3 1/2</t>
  </si>
  <si>
    <t>24,4</t>
  </si>
  <si>
    <t>24,4 1/2</t>
  </si>
  <si>
    <t>24,5</t>
  </si>
  <si>
    <t>24,5 1/2</t>
  </si>
  <si>
    <t>24,6</t>
  </si>
  <si>
    <t>24,6 1/2</t>
  </si>
  <si>
    <t>24,7</t>
  </si>
  <si>
    <t>24,7 1/2</t>
  </si>
  <si>
    <t>24,8</t>
  </si>
  <si>
    <t>24,8 1/2</t>
  </si>
  <si>
    <t>24,9</t>
  </si>
  <si>
    <t>24,9 1/2</t>
  </si>
  <si>
    <t>24,10</t>
  </si>
  <si>
    <t>24,10 1/2</t>
  </si>
  <si>
    <t>24,11</t>
  </si>
  <si>
    <t>24,11 1/2</t>
  </si>
  <si>
    <t>25,0</t>
  </si>
  <si>
    <t>25,1/2</t>
  </si>
  <si>
    <t>25,1</t>
  </si>
  <si>
    <t>25,1 1/2</t>
  </si>
  <si>
    <t>25,2</t>
  </si>
  <si>
    <t>25,2 1/2</t>
  </si>
  <si>
    <t>25,3</t>
  </si>
  <si>
    <t>25,3 1/2</t>
  </si>
  <si>
    <t>25,4</t>
  </si>
  <si>
    <t>25,4 1/2</t>
  </si>
  <si>
    <t>25,5</t>
  </si>
  <si>
    <t>25,5 1/2</t>
  </si>
  <si>
    <t>25,6</t>
  </si>
  <si>
    <t>25,6 1/2</t>
  </si>
  <si>
    <t>25,7</t>
  </si>
  <si>
    <t>25,7 1/2</t>
  </si>
  <si>
    <t>25,8</t>
  </si>
  <si>
    <t>25,8 1/2</t>
  </si>
  <si>
    <t>25,9</t>
  </si>
  <si>
    <t>25,9 1/2</t>
  </si>
  <si>
    <t>25,10</t>
  </si>
  <si>
    <t>25,10 1/2</t>
  </si>
  <si>
    <t>25,11</t>
  </si>
  <si>
    <t>25,11 1/2</t>
  </si>
  <si>
    <t>26,0</t>
  </si>
  <si>
    <t>26,1/2</t>
  </si>
  <si>
    <t>26,1</t>
  </si>
  <si>
    <t>26,1 1/2</t>
  </si>
  <si>
    <t>26,2</t>
  </si>
  <si>
    <t>26,2 1/2</t>
  </si>
  <si>
    <t>26,3</t>
  </si>
  <si>
    <t>26,3 1/2</t>
  </si>
  <si>
    <t>26,4</t>
  </si>
  <si>
    <t>26,4 1/2</t>
  </si>
  <si>
    <t>26,5</t>
  </si>
  <si>
    <t>26,5 1/2</t>
  </si>
  <si>
    <t>26,6</t>
  </si>
  <si>
    <t>26,6 1/2</t>
  </si>
  <si>
    <t>26,7</t>
  </si>
  <si>
    <t>26,7 1/2</t>
  </si>
  <si>
    <t>26,8</t>
  </si>
  <si>
    <t>26,8 1/2</t>
  </si>
  <si>
    <t>26,9</t>
  </si>
  <si>
    <t>26,9 1/2</t>
  </si>
  <si>
    <t>26,10</t>
  </si>
  <si>
    <t>26,10 1/2</t>
  </si>
  <si>
    <t>26,11</t>
  </si>
  <si>
    <t>26,11 1/2</t>
  </si>
  <si>
    <t>27,10</t>
  </si>
  <si>
    <t>28,3</t>
  </si>
  <si>
    <t>28,10</t>
  </si>
  <si>
    <t>29,10</t>
  </si>
  <si>
    <t>30,10</t>
  </si>
  <si>
    <t>31,10</t>
  </si>
  <si>
    <t>32,10</t>
  </si>
  <si>
    <t>33,10</t>
  </si>
  <si>
    <t>34,10</t>
  </si>
  <si>
    <t>35,10</t>
  </si>
  <si>
    <t>36,10</t>
  </si>
  <si>
    <t>37,10</t>
  </si>
  <si>
    <t>DOWNTIME CAUSE
Input will be blue if cause required</t>
  </si>
  <si>
    <t>Degree</t>
  </si>
  <si>
    <t>Factor</t>
  </si>
  <si>
    <t>FLUID TEMPERATURE</t>
  </si>
  <si>
    <t>FLUID TEMP °F</t>
  </si>
  <si>
    <t>STEEL TEMP °F</t>
  </si>
  <si>
    <t>FT, IN</t>
  </si>
  <si>
    <t>Click this button to save the file to the X: drive (as FILE1,xls)</t>
  </si>
  <si>
    <t>39,5</t>
  </si>
  <si>
    <t>29,5</t>
  </si>
  <si>
    <t>31,4</t>
  </si>
  <si>
    <t>27,5</t>
  </si>
  <si>
    <t>27,6</t>
  </si>
  <si>
    <t>27,7</t>
  </si>
  <si>
    <t>27,8</t>
  </si>
  <si>
    <t>27,9</t>
  </si>
  <si>
    <t>27,11</t>
  </si>
  <si>
    <t>27,11 1/2</t>
  </si>
  <si>
    <t>28,1</t>
  </si>
  <si>
    <t>28,2</t>
  </si>
  <si>
    <t>28,4</t>
  </si>
  <si>
    <t>28,5</t>
  </si>
  <si>
    <t>28,6</t>
  </si>
  <si>
    <t>28,7</t>
  </si>
  <si>
    <t>28,8</t>
  </si>
  <si>
    <t>28,9</t>
  </si>
  <si>
    <t>28,11</t>
  </si>
  <si>
    <t>29,1</t>
  </si>
  <si>
    <t>29,2</t>
  </si>
  <si>
    <t>29,3</t>
  </si>
  <si>
    <t>29,4</t>
  </si>
  <si>
    <t>29,6</t>
  </si>
  <si>
    <t>29,7</t>
  </si>
  <si>
    <t>29,8</t>
  </si>
  <si>
    <t>29,9</t>
  </si>
  <si>
    <t>29,11</t>
  </si>
  <si>
    <t>30,1</t>
  </si>
  <si>
    <t>30,2</t>
  </si>
  <si>
    <t>30,3</t>
  </si>
  <si>
    <t>30,4</t>
  </si>
  <si>
    <t>30,5</t>
  </si>
  <si>
    <t>30,7</t>
  </si>
  <si>
    <t>30,8</t>
  </si>
  <si>
    <t>30,9</t>
  </si>
  <si>
    <t>30,11</t>
  </si>
  <si>
    <t>31,1</t>
  </si>
  <si>
    <t>31,2</t>
  </si>
  <si>
    <t>31,3</t>
  </si>
  <si>
    <t>31,4 1/2</t>
  </si>
  <si>
    <t>31,5</t>
  </si>
  <si>
    <t>31,7</t>
  </si>
  <si>
    <t>31,8</t>
  </si>
  <si>
    <t>31,9</t>
  </si>
  <si>
    <t>32,1</t>
  </si>
  <si>
    <t>32,2</t>
  </si>
  <si>
    <t>32,3</t>
  </si>
  <si>
    <t>32,4</t>
  </si>
  <si>
    <t>32,5</t>
  </si>
  <si>
    <t>32,7</t>
  </si>
  <si>
    <t>32,8</t>
  </si>
  <si>
    <t>32,9</t>
  </si>
  <si>
    <t>32,11</t>
  </si>
  <si>
    <t>33,1</t>
  </si>
  <si>
    <t>33,2</t>
  </si>
  <si>
    <t>33,3</t>
  </si>
  <si>
    <t>33,4</t>
  </si>
  <si>
    <t>33,5</t>
  </si>
  <si>
    <t>33,5 1/2</t>
  </si>
  <si>
    <t>33,7</t>
  </si>
  <si>
    <t>33,8</t>
  </si>
  <si>
    <t>33,9</t>
  </si>
  <si>
    <t>33,11</t>
  </si>
  <si>
    <t>34,1</t>
  </si>
  <si>
    <t>34,2</t>
  </si>
  <si>
    <t>34,3</t>
  </si>
  <si>
    <t>34,4</t>
  </si>
  <si>
    <t>34,5</t>
  </si>
  <si>
    <t>34,7</t>
  </si>
  <si>
    <t>34,8</t>
  </si>
  <si>
    <t>34,9</t>
  </si>
  <si>
    <t>34,11</t>
  </si>
  <si>
    <t>35,1</t>
  </si>
  <si>
    <t>35,2</t>
  </si>
  <si>
    <t>35,3</t>
  </si>
  <si>
    <t>35,4</t>
  </si>
  <si>
    <t>35,5</t>
  </si>
  <si>
    <t>35,7</t>
  </si>
  <si>
    <t>35,8</t>
  </si>
  <si>
    <t>35,9</t>
  </si>
  <si>
    <t>35,11</t>
  </si>
  <si>
    <t>36,1</t>
  </si>
  <si>
    <t>36,1 1/2</t>
  </si>
  <si>
    <t>36,2</t>
  </si>
  <si>
    <t>36,3</t>
  </si>
  <si>
    <t>36,4</t>
  </si>
  <si>
    <t>36,5</t>
  </si>
  <si>
    <t>36,7</t>
  </si>
  <si>
    <t>36,8</t>
  </si>
  <si>
    <t>36,9</t>
  </si>
  <si>
    <t>36,11 1/2</t>
  </si>
  <si>
    <t>36,11</t>
  </si>
  <si>
    <t>37,1</t>
  </si>
  <si>
    <t>37,2</t>
  </si>
  <si>
    <t>37,3</t>
  </si>
  <si>
    <t>37,4</t>
  </si>
  <si>
    <t>37,5</t>
  </si>
  <si>
    <t>37,7</t>
  </si>
  <si>
    <t>37,8</t>
  </si>
  <si>
    <t>37,9</t>
  </si>
  <si>
    <t>37,11</t>
  </si>
  <si>
    <t>GROSS BBL</t>
  </si>
  <si>
    <t>NET BBL</t>
  </si>
  <si>
    <t>27,1</t>
  </si>
  <si>
    <t>27,2</t>
  </si>
  <si>
    <t>30,4 1/2</t>
  </si>
  <si>
    <t>31,2 1/2</t>
  </si>
  <si>
    <t>31,3 1/2</t>
  </si>
  <si>
    <t>36,4 1/2</t>
  </si>
  <si>
    <t>POWER OIL TANK</t>
  </si>
  <si>
    <t>2,1/2</t>
  </si>
  <si>
    <t>2,1 1/2</t>
  </si>
  <si>
    <t>2,2 1/2</t>
  </si>
  <si>
    <t>27,1/2</t>
  </si>
  <si>
    <t>27,1 1/2</t>
  </si>
  <si>
    <t>27,2 1/2</t>
  </si>
  <si>
    <t>27,3 1/2</t>
  </si>
  <si>
    <t>27,41/2</t>
  </si>
  <si>
    <t>27,5 1/2</t>
  </si>
  <si>
    <t>27,6 1/2</t>
  </si>
  <si>
    <t>27,7 1/2</t>
  </si>
  <si>
    <t>27,8 1/2</t>
  </si>
  <si>
    <t>27,9 1/2</t>
  </si>
  <si>
    <t>28, 1/2</t>
  </si>
  <si>
    <t>28,1 1/2</t>
  </si>
  <si>
    <t>28,2 1/2</t>
  </si>
  <si>
    <t>28,3 1/2</t>
  </si>
  <si>
    <t>28,4 1/2</t>
  </si>
  <si>
    <t>28,5 1/2</t>
  </si>
  <si>
    <t>28,6 1/2</t>
  </si>
  <si>
    <t>28,7 1/2</t>
  </si>
  <si>
    <t>28,8 1/2</t>
  </si>
  <si>
    <t>28,9 1/2</t>
  </si>
  <si>
    <t>28,10 1/2</t>
  </si>
  <si>
    <t>28,11 1/2</t>
  </si>
  <si>
    <t>29, 1/2</t>
  </si>
  <si>
    <t>29,1 1/2</t>
  </si>
  <si>
    <t>29,2 1/2</t>
  </si>
  <si>
    <t>29,3 1/2</t>
  </si>
  <si>
    <t>29,4 1/2</t>
  </si>
  <si>
    <t>29,5 1/2</t>
  </si>
  <si>
    <t>29,6 1/2</t>
  </si>
  <si>
    <t>29,7 1/2</t>
  </si>
  <si>
    <t>29,8 1/2</t>
  </si>
  <si>
    <t>29,9 1/2</t>
  </si>
  <si>
    <t>29,10 1/2</t>
  </si>
  <si>
    <t>29,11 1/2</t>
  </si>
  <si>
    <t>30,1/2</t>
  </si>
  <si>
    <t>30,1 1/2</t>
  </si>
  <si>
    <t>30,2 1/2</t>
  </si>
  <si>
    <t>30,3 1/2</t>
  </si>
  <si>
    <t>30,5 1/2</t>
  </si>
  <si>
    <t xml:space="preserve">30,6 </t>
  </si>
  <si>
    <t>30,6 1/2</t>
  </si>
  <si>
    <t>30,7 1/2</t>
  </si>
  <si>
    <t>30,8 1/2</t>
  </si>
  <si>
    <t>30,9 1/2</t>
  </si>
  <si>
    <t>30,10 1/2</t>
  </si>
  <si>
    <t>30,11 1/2</t>
  </si>
  <si>
    <t>31,1/2</t>
  </si>
  <si>
    <t>31,1 1/2</t>
  </si>
  <si>
    <t>31,5 1/2</t>
  </si>
  <si>
    <t xml:space="preserve">31,6 </t>
  </si>
  <si>
    <t>31,6 1/2</t>
  </si>
  <si>
    <t>31,7 1/2</t>
  </si>
  <si>
    <t>31,8 1/2</t>
  </si>
  <si>
    <t>31,9 1/2</t>
  </si>
  <si>
    <t>31,10 1/2</t>
  </si>
  <si>
    <t>31,11</t>
  </si>
  <si>
    <t>31,11 1/2</t>
  </si>
  <si>
    <t>32,1/2</t>
  </si>
  <si>
    <t>32,1 1/2</t>
  </si>
  <si>
    <t>32,2 1/2</t>
  </si>
  <si>
    <t>32,3 1/2</t>
  </si>
  <si>
    <t>32,4 1/2</t>
  </si>
  <si>
    <t>32,5 1/2</t>
  </si>
  <si>
    <t xml:space="preserve">32,6 </t>
  </si>
  <si>
    <t>32,6 1/2</t>
  </si>
  <si>
    <t>32,7 1/2</t>
  </si>
  <si>
    <t>32,8 1/2</t>
  </si>
  <si>
    <t>32,9 1/2</t>
  </si>
  <si>
    <t>32,10 1/2</t>
  </si>
  <si>
    <t>32,11 1/2</t>
  </si>
  <si>
    <t>33,1/2</t>
  </si>
  <si>
    <t>33,1 1/2</t>
  </si>
  <si>
    <t>33,2 1/2</t>
  </si>
  <si>
    <t>33,3 1/2</t>
  </si>
  <si>
    <t>33,4 1/2</t>
  </si>
  <si>
    <t xml:space="preserve">33,6 </t>
  </si>
  <si>
    <t>33,6 1/2</t>
  </si>
  <si>
    <t>33,7 1/2</t>
  </si>
  <si>
    <t>33,8 1/2</t>
  </si>
  <si>
    <t>33,9 1/2</t>
  </si>
  <si>
    <t>33,10 1/2</t>
  </si>
  <si>
    <t>33,11 1/2</t>
  </si>
  <si>
    <t>34,1/2</t>
  </si>
  <si>
    <t>34,1 1/2</t>
  </si>
  <si>
    <t>34,2 1/2</t>
  </si>
  <si>
    <t>34,3 1/2</t>
  </si>
  <si>
    <t>34,4 1/2</t>
  </si>
  <si>
    <t>34,5 1/2</t>
  </si>
  <si>
    <t xml:space="preserve">34,6 </t>
  </si>
  <si>
    <t>34,6 1/2</t>
  </si>
  <si>
    <t>34,7 1/2</t>
  </si>
  <si>
    <t>34,8 1/2</t>
  </si>
  <si>
    <t>34,9 1/2</t>
  </si>
  <si>
    <t>34,10 1/2</t>
  </si>
  <si>
    <t>34,11 1/2</t>
  </si>
  <si>
    <t>35,1/2</t>
  </si>
  <si>
    <t>35,1 1/2</t>
  </si>
  <si>
    <t>35,2 1/2</t>
  </si>
  <si>
    <t>35,3 1/2</t>
  </si>
  <si>
    <t>35,4 1/2</t>
  </si>
  <si>
    <t>35,5 1/2</t>
  </si>
  <si>
    <t xml:space="preserve">35,6 </t>
  </si>
  <si>
    <t>35,6 1/2</t>
  </si>
  <si>
    <t>35,7 1/2</t>
  </si>
  <si>
    <t>35,8 1/2</t>
  </si>
  <si>
    <t>35,9 1/2</t>
  </si>
  <si>
    <t>35,10 1/2</t>
  </si>
  <si>
    <t>35,11 1/2</t>
  </si>
  <si>
    <t>36,1/2</t>
  </si>
  <si>
    <t>36,2 1/2</t>
  </si>
  <si>
    <t>36,3 1/2</t>
  </si>
  <si>
    <t>36,5 1/2</t>
  </si>
  <si>
    <t xml:space="preserve">36,6 </t>
  </si>
  <si>
    <t>36,6 1/2</t>
  </si>
  <si>
    <t>36,7 1/2</t>
  </si>
  <si>
    <t>36,8 1/2</t>
  </si>
  <si>
    <t>36,9 1/2</t>
  </si>
  <si>
    <t>36,10 1/2</t>
  </si>
  <si>
    <t>37,1/2</t>
  </si>
  <si>
    <t>37,1 1/2</t>
  </si>
  <si>
    <t>37,2 1/2</t>
  </si>
  <si>
    <t>37,3 1/2</t>
  </si>
  <si>
    <t>37,4 1/2</t>
  </si>
  <si>
    <t>37,5 1/2</t>
  </si>
  <si>
    <t xml:space="preserve">37,6 </t>
  </si>
  <si>
    <t>37,6 1/2</t>
  </si>
  <si>
    <t>37,7 1/2</t>
  </si>
  <si>
    <t>37,8 1/2</t>
  </si>
  <si>
    <t>37,9 1/2</t>
  </si>
  <si>
    <t>37,10 1/2</t>
  </si>
  <si>
    <t>37,11 1/2</t>
  </si>
  <si>
    <t>38,1/2</t>
  </si>
  <si>
    <t>38,1</t>
  </si>
  <si>
    <t>38,1 1/2</t>
  </si>
  <si>
    <t>38,2</t>
  </si>
  <si>
    <t>38,2 1/2</t>
  </si>
  <si>
    <t>38,3</t>
  </si>
  <si>
    <t>38,3 1/2</t>
  </si>
  <si>
    <t>38,4</t>
  </si>
  <si>
    <t>38,4 1/2</t>
  </si>
  <si>
    <t>38,5</t>
  </si>
  <si>
    <t>38,5 1/2</t>
  </si>
  <si>
    <t xml:space="preserve">38,6 </t>
  </si>
  <si>
    <t>38,6 1/2</t>
  </si>
  <si>
    <t>38,7</t>
  </si>
  <si>
    <t>38,7 1/2</t>
  </si>
  <si>
    <t>38,8</t>
  </si>
  <si>
    <t>38,8 1/2</t>
  </si>
  <si>
    <t>38,9</t>
  </si>
  <si>
    <t>38,9 1/2</t>
  </si>
  <si>
    <t>38,10</t>
  </si>
  <si>
    <t>38,10 1/2</t>
  </si>
  <si>
    <t>38,11</t>
  </si>
  <si>
    <t>38,11 1/2</t>
  </si>
  <si>
    <t>39,1/2</t>
  </si>
  <si>
    <t>39,1</t>
  </si>
  <si>
    <t>39,1 1/2</t>
  </si>
  <si>
    <t>39,2</t>
  </si>
  <si>
    <t>39,2 1/2</t>
  </si>
  <si>
    <t>39,3</t>
  </si>
  <si>
    <t>39,3 1/2</t>
  </si>
  <si>
    <t>39,4</t>
  </si>
  <si>
    <t>39,4 1/2</t>
  </si>
  <si>
    <t>39,5 1/2</t>
  </si>
  <si>
    <t xml:space="preserve">39,6 </t>
  </si>
  <si>
    <t>39,6 1/2</t>
  </si>
  <si>
    <t>39,7</t>
  </si>
  <si>
    <t>39,7 1/2</t>
  </si>
  <si>
    <t>39,8</t>
  </si>
  <si>
    <t>39,8 1/2</t>
  </si>
  <si>
    <t>39,9</t>
  </si>
  <si>
    <t>39,9 1/2</t>
  </si>
  <si>
    <t>39,10</t>
  </si>
  <si>
    <t>39,10 1/2</t>
  </si>
  <si>
    <t>39,11</t>
  </si>
  <si>
    <t>39,11 1/2</t>
  </si>
  <si>
    <t>25, 1</t>
  </si>
  <si>
    <t>OAPCO TANK</t>
  </si>
  <si>
    <t>CM</t>
  </si>
  <si>
    <t>GPC TANK 4</t>
  </si>
  <si>
    <t>GPC TANK 1</t>
  </si>
  <si>
    <t>GPC TANK 3</t>
  </si>
  <si>
    <t>LOOKUP TABLES FOR AG OIL AREA</t>
  </si>
  <si>
    <t>ABU ELGHARADIG (AG) OIL PLANT</t>
  </si>
  <si>
    <t>PRODUCTION TANK SUMMARY</t>
  </si>
  <si>
    <t>BBL</t>
  </si>
  <si>
    <t>POWER</t>
  </si>
  <si>
    <t>POWER OIL</t>
  </si>
  <si>
    <t>Net Volume for the current movement</t>
  </si>
  <si>
    <t>OAPCO</t>
  </si>
  <si>
    <t>cm</t>
  </si>
  <si>
    <t>OBSER'D BBL</t>
  </si>
  <si>
    <t>OAPCO TANK SUMMARY - 0500 HRS</t>
  </si>
  <si>
    <t>GPC TANK 2</t>
  </si>
  <si>
    <t>GPC TANK SUMMARY - 0500 HRS</t>
  </si>
  <si>
    <t>Need Avocet 'Equip' template</t>
  </si>
  <si>
    <t>CASING PSI</t>
  </si>
  <si>
    <t>F/LINE PSI</t>
  </si>
  <si>
    <t>AG-03</t>
  </si>
  <si>
    <t>AG-10</t>
  </si>
  <si>
    <t>AG-13</t>
  </si>
  <si>
    <t>AG-14</t>
  </si>
  <si>
    <t>AG-24</t>
  </si>
  <si>
    <t>AG-28</t>
  </si>
  <si>
    <t>AG-31</t>
  </si>
  <si>
    <t>AG-53</t>
  </si>
  <si>
    <t>AG-54</t>
  </si>
  <si>
    <t>AG-62</t>
  </si>
  <si>
    <t>AG-64</t>
  </si>
  <si>
    <t>AG-65</t>
  </si>
  <si>
    <t>AG-68</t>
  </si>
  <si>
    <t>AG-69</t>
  </si>
  <si>
    <t>AG-80</t>
  </si>
  <si>
    <t>AG-81</t>
  </si>
  <si>
    <t>AG-83</t>
  </si>
  <si>
    <t>AG-87</t>
  </si>
  <si>
    <t>AG-88</t>
  </si>
  <si>
    <t>AG-90</t>
  </si>
  <si>
    <t>AG-91</t>
  </si>
  <si>
    <t>AG-96</t>
  </si>
  <si>
    <t>AG-97</t>
  </si>
  <si>
    <t>AG-98</t>
  </si>
  <si>
    <t>AG-99</t>
  </si>
  <si>
    <t>TEMPLATE MOD NEEDED</t>
  </si>
  <si>
    <t>CASING
STATUS</t>
  </si>
  <si>
    <t>Requires template change/addition</t>
  </si>
  <si>
    <t>MANIFOLD</t>
  </si>
  <si>
    <t>PRESS PSIG</t>
  </si>
  <si>
    <t>CONNECTED WELLS</t>
  </si>
  <si>
    <t>SPYGLASS</t>
  </si>
  <si>
    <t>G/L</t>
  </si>
  <si>
    <t>AG AREA TANK SUMMARY - 0500 HRS</t>
  </si>
  <si>
    <t>MANIFOLDS</t>
  </si>
  <si>
    <t>AG-08</t>
  </si>
  <si>
    <t>ARE</t>
  </si>
  <si>
    <t>AG-25ST1</t>
  </si>
  <si>
    <t>ARC</t>
  </si>
  <si>
    <t>AG-29A</t>
  </si>
  <si>
    <t>AG-42ST1</t>
  </si>
  <si>
    <t>AG-48ST2</t>
  </si>
  <si>
    <t>AG-67A</t>
  </si>
  <si>
    <t>NAG-01</t>
  </si>
  <si>
    <t>NEAG-01</t>
  </si>
  <si>
    <t>NEAG-03B</t>
  </si>
  <si>
    <t>ARD</t>
  </si>
  <si>
    <t>AG-02A</t>
  </si>
  <si>
    <t>AG-57ST2</t>
  </si>
  <si>
    <t>AG-79ST</t>
  </si>
  <si>
    <t>SWAG-01</t>
  </si>
  <si>
    <t>SWAG-02</t>
  </si>
  <si>
    <t>SPYGLASS-01</t>
  </si>
  <si>
    <t>RIVIERA-01</t>
  </si>
  <si>
    <t>SHADOW-01</t>
  </si>
  <si>
    <t>WD33-15-5</t>
  </si>
  <si>
    <t>AG-86</t>
  </si>
  <si>
    <t>WD33-15-4</t>
  </si>
  <si>
    <t>AG</t>
  </si>
  <si>
    <t>NEAG</t>
  </si>
  <si>
    <t>HAWK</t>
  </si>
  <si>
    <t>SWAG</t>
  </si>
  <si>
    <t>RIVIERA</t>
  </si>
  <si>
    <t>SHADOW</t>
  </si>
  <si>
    <t>WD33-15</t>
  </si>
  <si>
    <t>SAG</t>
  </si>
  <si>
    <t>NAG</t>
  </si>
  <si>
    <t>GAS RATES MMSCF/D</t>
  </si>
  <si>
    <t>GAS RATES MMSCF</t>
  </si>
  <si>
    <t>KHALDA_EQUIP</t>
  </si>
  <si>
    <t>UNIT 1</t>
  </si>
  <si>
    <t>NEED THESE PARAMETRES ADDING TO TEMPLATE</t>
  </si>
  <si>
    <t>ARF</t>
  </si>
  <si>
    <t>KHALDA_MANIFOLDS</t>
  </si>
  <si>
    <t>FIELDS</t>
  </si>
  <si>
    <t>GAS LIFT
MMSCFD</t>
  </si>
  <si>
    <t xml:space="preserve">GAS MMSCFD </t>
  </si>
  <si>
    <t>9AG OIL PLANT</t>
  </si>
  <si>
    <t>AG OIL</t>
  </si>
  <si>
    <t>GAS</t>
  </si>
  <si>
    <t>AG COND</t>
  </si>
  <si>
    <t>TEST SEQUENCE</t>
  </si>
  <si>
    <t>WHP</t>
  </si>
  <si>
    <t>BSW</t>
  </si>
  <si>
    <t>LIQ TYPE</t>
  </si>
  <si>
    <t>PRODUCTION FLARE GAS</t>
  </si>
  <si>
    <t>GPC</t>
  </si>
  <si>
    <t>O</t>
  </si>
  <si>
    <t>GPC TANK 5</t>
  </si>
  <si>
    <t>AG OIL REPORT</t>
  </si>
  <si>
    <t>MMSCF</t>
  </si>
  <si>
    <t>OIL</t>
  </si>
  <si>
    <t>AG CONDENSATE</t>
  </si>
  <si>
    <t>NIPCO TANK 1</t>
  </si>
  <si>
    <t>NIPCO TANK 2</t>
  </si>
  <si>
    <t>WEPCO F-3</t>
  </si>
  <si>
    <t>NEW TANK</t>
  </si>
  <si>
    <t>ALAMEIN TANK SUMMARY - 0500 HRS</t>
  </si>
  <si>
    <t>SALT PTB</t>
  </si>
  <si>
    <t>RAZZAK SHIPPED OIL</t>
  </si>
  <si>
    <t>AG SHIPPED OIL</t>
  </si>
  <si>
    <t>OIL RECEIVED AT ALAMEIN</t>
  </si>
  <si>
    <t>OIL SHIPPED TO ALAMEIN</t>
  </si>
  <si>
    <t>Updated after field input</t>
  </si>
  <si>
    <t>CONDENSATE</t>
  </si>
  <si>
    <t>TODAY</t>
  </si>
  <si>
    <t>YESTERDAY</t>
  </si>
  <si>
    <t>SHIPPING DELTA - MONTH TO DATE RUNNING TOTALS</t>
  </si>
  <si>
    <t>WELL STATUS</t>
  </si>
  <si>
    <t>GAS LIFT</t>
  </si>
  <si>
    <t>UNIT 2</t>
  </si>
  <si>
    <t>UNIT 3</t>
  </si>
  <si>
    <t>UNIT 4</t>
  </si>
  <si>
    <t>UNIT 5</t>
  </si>
  <si>
    <t>UNIT 6</t>
  </si>
  <si>
    <t>BOOSTER PUMP 2</t>
  </si>
  <si>
    <t>BOOSTER PUMP 3</t>
  </si>
  <si>
    <t>B.J PUMP 1</t>
  </si>
  <si>
    <t>B.J PUMP 2</t>
  </si>
  <si>
    <t>B.J PUMP 1 ALAMEIN</t>
  </si>
  <si>
    <t>DISCHARGE PRESSURE
PIG</t>
  </si>
  <si>
    <t>SHIPPING MOVEMENTS</t>
  </si>
  <si>
    <t>Free Water</t>
  </si>
  <si>
    <t>DRAINED/FREE WATER</t>
  </si>
  <si>
    <t>DRAIN/FREE BBLS</t>
  </si>
  <si>
    <t>Net received in Alamein Tanks</t>
  </si>
  <si>
    <t>ALAMEIN vs ELHAMRA</t>
  </si>
  <si>
    <t>SHIPPING vs RECEIVED AT ALAMEIN</t>
  </si>
  <si>
    <t>DELTA ALAMEIN vs ELHAMRA</t>
  </si>
  <si>
    <t>NRQ PRODUCED OIL</t>
  </si>
  <si>
    <t>NRQ SHIPPED OIL</t>
  </si>
  <si>
    <t>RAZZAK PRODUCED OIL</t>
  </si>
  <si>
    <t>AG NET OIL PRODUCTION</t>
  </si>
  <si>
    <t>WD TOTAL OIL PRODUCTION</t>
  </si>
  <si>
    <t>ENTER THESE TWO VALUES FROM REPORT TAB</t>
  </si>
  <si>
    <t>MMSCFD</t>
  </si>
  <si>
    <t>EST OIL PRODN</t>
  </si>
  <si>
    <t>EST GAS PRODN</t>
  </si>
  <si>
    <t>GAS PROD MMSCFD</t>
  </si>
  <si>
    <t>TOTAL AG LIQUIDS INVENTORY</t>
  </si>
  <si>
    <t>SWAG-03</t>
  </si>
  <si>
    <t>HAWK-02</t>
  </si>
  <si>
    <t>RIVIERA-02</t>
  </si>
  <si>
    <t>AG-107</t>
  </si>
  <si>
    <t>AG-106</t>
  </si>
  <si>
    <t>NO RECOVERY - CEASE TO FLOW</t>
  </si>
  <si>
    <t>ASSOCIATED GAS FROM OIL WELLS</t>
  </si>
  <si>
    <t>OIL RECEIVED AT ELHAMRA 
(YESTERDAY'S GROSS AFTER DEFFER)</t>
  </si>
  <si>
    <t>TOTAL</t>
  </si>
  <si>
    <t>9AG GAS PLANT</t>
  </si>
  <si>
    <t>P</t>
  </si>
  <si>
    <t>OIL CORRECTION</t>
  </si>
  <si>
    <t>OIL SHIPPED TO ELHAMRA
(YESTERDAY'S GROSS)</t>
  </si>
  <si>
    <t>AG TOTAL OIL PRODUCTION</t>
  </si>
  <si>
    <t>Reference Meter:COND PRODUCTION</t>
  </si>
  <si>
    <t>Reference Meter</t>
  </si>
  <si>
    <t>Reference Meter: FLARE GAS BETWEEN OIL PLANT AND GAS PLANT</t>
  </si>
  <si>
    <t>Reference Meter: AG TOTAL OIL + COND + RZK PROD + NRQ PROD</t>
  </si>
  <si>
    <t>Reference Meter: AG PROD FROM TANKS (all wells including SAG SEP wells) - AG Cond - OAPCO ( bec. it is coming on the same tanks</t>
  </si>
  <si>
    <t>Add Meter: Summation of oil production of wells producing on SAG SEP</t>
  </si>
  <si>
    <t>KHALDA_WELL1</t>
  </si>
  <si>
    <t>LIFT GAS MSCF/D</t>
  </si>
  <si>
    <t>GROSS PROD</t>
  </si>
  <si>
    <t>MIN SAG MANIFOLD (6") A</t>
  </si>
  <si>
    <t>MIN SAG MANIFOLD (8") B</t>
  </si>
  <si>
    <t>AG-104</t>
  </si>
  <si>
    <t>LIFT GAS MMSCF/D</t>
  </si>
  <si>
    <t>RAZZAK OIL PRODUCTION</t>
  </si>
  <si>
    <t>NRQ OIL PRODUCTION</t>
  </si>
  <si>
    <t>SWAG-04</t>
  </si>
  <si>
    <t>AG-01</t>
  </si>
  <si>
    <t>AG-04A</t>
  </si>
  <si>
    <t>AG-11</t>
  </si>
  <si>
    <t>AG-12</t>
  </si>
  <si>
    <t>AG-16A</t>
  </si>
  <si>
    <t>AG-17</t>
  </si>
  <si>
    <t>AG-22</t>
  </si>
  <si>
    <t>AG-27ST2</t>
  </si>
  <si>
    <t>AG-41ST1</t>
  </si>
  <si>
    <t>AG-43</t>
  </si>
  <si>
    <t>AG-44</t>
  </si>
  <si>
    <t>AG-46ST1</t>
  </si>
  <si>
    <t>AG-52</t>
  </si>
  <si>
    <t>AG-56</t>
  </si>
  <si>
    <t>AG-82ST</t>
  </si>
  <si>
    <t>AG-85</t>
  </si>
  <si>
    <t>AG-89</t>
  </si>
  <si>
    <t>SPYGLASS-02</t>
  </si>
  <si>
    <t>BFBD
STB</t>
  </si>
  <si>
    <t>TEST FACILITY</t>
  </si>
  <si>
    <t>CSG
PSI</t>
  </si>
  <si>
    <t>CSG
STATUS</t>
  </si>
  <si>
    <t>ESP TYPE</t>
  </si>
  <si>
    <t>DATE OF DONWLOAD</t>
  </si>
  <si>
    <t>LAST FLUID LEVELS</t>
  </si>
  <si>
    <t>PUMP INIT SIZE</t>
  </si>
  <si>
    <t>PUMP SIZE</t>
  </si>
  <si>
    <t>DAILY SAM DATA</t>
  </si>
  <si>
    <t>RUNTIME %</t>
  </si>
  <si>
    <t>INF PROD</t>
  </si>
  <si>
    <t>PUMP FILLAGE%</t>
  </si>
  <si>
    <t>WD33-05</t>
  </si>
  <si>
    <t>WD33</t>
  </si>
  <si>
    <t>AG-110</t>
  </si>
  <si>
    <t>INJECTED WATER</t>
  </si>
  <si>
    <t>WATER FLOOD
METER BPD</t>
  </si>
  <si>
    <t>WELL WATER
METER BPD</t>
  </si>
  <si>
    <t>TOTAL INJECTED WATER</t>
  </si>
  <si>
    <t>SOURCE WELL STATUS</t>
  </si>
  <si>
    <t>FRESH WATER WELL STATUS</t>
  </si>
  <si>
    <t>WATER FLOOD PUMP STATUS</t>
  </si>
  <si>
    <t>PUMP</t>
  </si>
  <si>
    <t>HOURS ON</t>
  </si>
  <si>
    <t>DOWN TIME</t>
  </si>
  <si>
    <t>METERED RATE</t>
  </si>
  <si>
    <t>TURBIDITY DATA</t>
  </si>
  <si>
    <t>TIME (hrs)</t>
  </si>
  <si>
    <t>IN SOURCE</t>
  </si>
  <si>
    <t>OUT SOURCE</t>
  </si>
  <si>
    <t>TURBIDITY</t>
  </si>
  <si>
    <t>2 micron</t>
  </si>
  <si>
    <t>WATER FLOOD COMMENTS</t>
  </si>
  <si>
    <t>WRITE THE SAME VALUE WITH DECIMALS</t>
  </si>
  <si>
    <t>AG-108</t>
  </si>
  <si>
    <t>MOHRA</t>
  </si>
  <si>
    <t>WSW</t>
  </si>
  <si>
    <t>WD-33-15 SHIPPED OIL</t>
  </si>
  <si>
    <t>WD-33-15 PRODUCED OIL</t>
  </si>
  <si>
    <t>VBA Code changes in DFL and Data Input - AZ</t>
  </si>
  <si>
    <t>Net calculation removed from tanks and decimals - AZ</t>
  </si>
  <si>
    <t>Oil Correction and Loading Meters - AZ</t>
  </si>
  <si>
    <t>New adds in Report, Tanks working properly, list of wells updated - AZ</t>
  </si>
  <si>
    <t>WD-33-15 tanks added to the sheet w/o calculations - AZ</t>
  </si>
  <si>
    <t>WD-33-15 OIL PRODUCTION</t>
  </si>
  <si>
    <t>WD-33-15 Closing stock</t>
  </si>
  <si>
    <t>Production</t>
  </si>
  <si>
    <t>AG-109</t>
  </si>
  <si>
    <t>DEFERRED PRODUCTION (DUE TO OPERATIONAL ACTIVITIES)</t>
  </si>
  <si>
    <t>Date:</t>
  </si>
  <si>
    <t>1- OIL SHIPPING</t>
  </si>
  <si>
    <t xml:space="preserve">BBLS </t>
  </si>
  <si>
    <t>POUR POINT</t>
  </si>
  <si>
    <t>AG-102</t>
  </si>
  <si>
    <t>ADD Meter:ALLOCATED ON OIL WELLS W/O SAG SEP WELLS and WD-33-15</t>
  </si>
  <si>
    <t>9WD-33-15</t>
  </si>
  <si>
    <t>WD-33-15 OIL</t>
  </si>
  <si>
    <t>ADD Meter: WD-33-15 Oil for production</t>
  </si>
  <si>
    <t>AG INJ</t>
  </si>
  <si>
    <t>Reference Meter: Used for injection in AG</t>
  </si>
  <si>
    <t>RIVIERA SW-01</t>
  </si>
  <si>
    <t>AG-101</t>
  </si>
  <si>
    <t>SWAG-05</t>
  </si>
  <si>
    <t>WD33-06</t>
  </si>
  <si>
    <t>WATER INJ TARGET</t>
  </si>
  <si>
    <t>WATER INJ ACTUAL</t>
  </si>
  <si>
    <t>RAZZAK</t>
  </si>
  <si>
    <t>WD-33 AREA</t>
  </si>
  <si>
    <t>NRQ AREA</t>
  </si>
  <si>
    <t>WATER INJECTION SUMMARY</t>
  </si>
  <si>
    <t>DELTA</t>
  </si>
  <si>
    <t>AG AREA</t>
  </si>
  <si>
    <t>SWAG-08</t>
  </si>
  <si>
    <t>TOTAL AG PRODUCTION</t>
  </si>
  <si>
    <t>TOTAL RAZZAK PRODUCTION</t>
  </si>
  <si>
    <t>SWAG-07</t>
  </si>
  <si>
    <t>SWAG-06</t>
  </si>
  <si>
    <t xml:space="preserve">       </t>
  </si>
  <si>
    <t>1780</t>
  </si>
  <si>
    <t xml:space="preserve"> </t>
  </si>
  <si>
    <t>HAWK-01</t>
  </si>
  <si>
    <t>MEGHAR-01</t>
  </si>
  <si>
    <t>MEGHAR-02</t>
  </si>
  <si>
    <t>MEGHAR-03</t>
  </si>
  <si>
    <t>MEGHAR-05</t>
  </si>
  <si>
    <t>MEGHAR-06</t>
  </si>
  <si>
    <t>SHADOW-E01</t>
  </si>
  <si>
    <t>WD33-01</t>
  </si>
  <si>
    <t>WD33 PRODUCED OIL</t>
  </si>
  <si>
    <t>WD-33 OIL PRODUCTION</t>
  </si>
  <si>
    <t>9WD-33</t>
  </si>
  <si>
    <t>WD-33 OIL</t>
  </si>
  <si>
    <t>MIN SAG MANIFOLD (6") C</t>
  </si>
  <si>
    <t>MIN SAG MANIFOLD (6") D</t>
  </si>
  <si>
    <t>MIN SAG MANIFOLD (8") F</t>
  </si>
  <si>
    <t>SHADOW-03</t>
  </si>
  <si>
    <t>HAWK-03</t>
  </si>
  <si>
    <t>WD33-02</t>
  </si>
  <si>
    <t>AG-78</t>
  </si>
  <si>
    <t>MEGHAR-08</t>
  </si>
  <si>
    <t>NIPCO TK 1</t>
  </si>
  <si>
    <t>NIPCO TK 2</t>
  </si>
  <si>
    <t>ALAMEIN REMAINING STOCK</t>
  </si>
  <si>
    <t>Month to Date Cum</t>
  </si>
  <si>
    <t>TDY V YST</t>
  </si>
  <si>
    <t>FIRESTONE-01</t>
  </si>
  <si>
    <t>AG-118</t>
  </si>
  <si>
    <t>MEGHAR-E01</t>
  </si>
  <si>
    <t xml:space="preserve">NEW ALAMEIN METER OPEN </t>
  </si>
  <si>
    <t>NEW ALAMEIN METER CLOSE</t>
  </si>
  <si>
    <t>BS&amp;W READING</t>
  </si>
  <si>
    <t>TOTAL INJ WATER</t>
  </si>
  <si>
    <t>AREA</t>
  </si>
  <si>
    <t>WATER INJ</t>
  </si>
  <si>
    <t>WHP PSI</t>
  </si>
  <si>
    <t>ESP DOWN HOLE PROBLEM/FAILURE</t>
  </si>
  <si>
    <t>GENERATOR PM</t>
  </si>
  <si>
    <t>HIGH LINE PRESSURE</t>
  </si>
  <si>
    <t>OVER/UNDER LOAD</t>
  </si>
  <si>
    <t>PANEL/VSD PROBLEM/FAILURE</t>
  </si>
  <si>
    <t>PUMP OFF MODE ZERO PROD LOST</t>
  </si>
  <si>
    <t>SAMS PANEL FAILURE</t>
  </si>
  <si>
    <t>SHUT IN FOR BUILD UP</t>
  </si>
  <si>
    <t>SRP DOWN HOLE PROBLEM/FAILURE</t>
  </si>
  <si>
    <t>STUFFING BOX FAILURE/REPAIR</t>
  </si>
  <si>
    <t>SUCKER ROD UNIT PM</t>
  </si>
  <si>
    <t>TURBINE PROBLEM</t>
  </si>
  <si>
    <t>VANDALISM/THEFT</t>
  </si>
  <si>
    <t>WEATHER/FOG</t>
  </si>
  <si>
    <t xml:space="preserve">WIRELINE WORK </t>
  </si>
  <si>
    <t>SR UNIT REPAIR/ADJUSTMENT</t>
  </si>
  <si>
    <t>OLYMPIC</t>
  </si>
  <si>
    <t>OLYMPIC-01</t>
  </si>
  <si>
    <t>WD33-10</t>
  </si>
  <si>
    <t>AG-121</t>
  </si>
  <si>
    <t>WD33-11</t>
  </si>
  <si>
    <t xml:space="preserve">  </t>
  </si>
  <si>
    <t>`</t>
  </si>
  <si>
    <t>SHADOW-02</t>
  </si>
  <si>
    <t>SN-3600</t>
  </si>
  <si>
    <t>MEGHAR-10</t>
  </si>
  <si>
    <t>MEGHAR-07</t>
  </si>
  <si>
    <t>REDSTONE</t>
  </si>
  <si>
    <t>RIDGEWOOD</t>
  </si>
  <si>
    <t>REDSTONE-01</t>
  </si>
  <si>
    <t>RIDGEWOOD-01</t>
  </si>
  <si>
    <t>SWAG-10H</t>
  </si>
  <si>
    <t>AG-125</t>
  </si>
  <si>
    <t>WD33-12</t>
  </si>
  <si>
    <t>SAMPLE NUMBER</t>
  </si>
  <si>
    <t>TIME HRS</t>
  </si>
  <si>
    <t>API @ 60°F</t>
  </si>
  <si>
    <t>SG 60/60°F</t>
  </si>
  <si>
    <t>P POINT °F</t>
  </si>
  <si>
    <t>CHLORIDE PPM</t>
  </si>
  <si>
    <t>Status</t>
  </si>
  <si>
    <t>Remarks</t>
  </si>
  <si>
    <t>Last Measurements</t>
  </si>
  <si>
    <t>MMSCF/D</t>
  </si>
  <si>
    <t>GOR</t>
  </si>
  <si>
    <t>Operator</t>
  </si>
  <si>
    <t>P&amp;A</t>
  </si>
  <si>
    <t>Depletion</t>
  </si>
  <si>
    <t>KPC</t>
  </si>
  <si>
    <t>AG-05</t>
  </si>
  <si>
    <t>AG-06</t>
  </si>
  <si>
    <t>AG-07</t>
  </si>
  <si>
    <t>Dry Hole</t>
  </si>
  <si>
    <t>AG-09</t>
  </si>
  <si>
    <t xml:space="preserve"> TA</t>
  </si>
  <si>
    <t>AG-15</t>
  </si>
  <si>
    <t>AG-18</t>
  </si>
  <si>
    <t>AG-20</t>
  </si>
  <si>
    <t>AG-21</t>
  </si>
  <si>
    <t>AG-23</t>
  </si>
  <si>
    <t>TA</t>
  </si>
  <si>
    <t>AG-32</t>
  </si>
  <si>
    <t>AG-34B</t>
  </si>
  <si>
    <t>AG-36</t>
  </si>
  <si>
    <t>AG-37</t>
  </si>
  <si>
    <t>AG-39</t>
  </si>
  <si>
    <t>AG-40B</t>
  </si>
  <si>
    <t>AG-47A</t>
  </si>
  <si>
    <t>AG-50A</t>
  </si>
  <si>
    <t>AG-51</t>
  </si>
  <si>
    <t>AG-55</t>
  </si>
  <si>
    <t>AG-58</t>
  </si>
  <si>
    <t>AG-60</t>
  </si>
  <si>
    <t>AG-63</t>
  </si>
  <si>
    <t>NAG-02A</t>
  </si>
  <si>
    <t>NAG-03</t>
  </si>
  <si>
    <t>NAG-04</t>
  </si>
  <si>
    <t>NWAG-01</t>
  </si>
  <si>
    <t>NWD349-02ST2</t>
  </si>
  <si>
    <t>NWD350-01</t>
  </si>
  <si>
    <t>Isolate ARC,D&amp;E reservoirs and perforate ARF but showed no flow even after acid</t>
  </si>
  <si>
    <t>SWAG-E01</t>
  </si>
  <si>
    <t>WD33-03</t>
  </si>
  <si>
    <t>WD33-04</t>
  </si>
  <si>
    <t>Depletion in ARE then the well was tested on ARF but showed no flow</t>
  </si>
  <si>
    <t>WD33-07ST1</t>
  </si>
  <si>
    <t>Bad hole condition</t>
  </si>
  <si>
    <t>WD33-15-1</t>
  </si>
  <si>
    <t>WD33-15-2</t>
  </si>
  <si>
    <t>WD33-15-6</t>
  </si>
  <si>
    <t>Minor gas</t>
  </si>
  <si>
    <t>WD33-15-7</t>
  </si>
  <si>
    <t>WD33-15-8</t>
  </si>
  <si>
    <t>NWAG</t>
  </si>
  <si>
    <t>NWD</t>
  </si>
  <si>
    <t>WD33-16</t>
  </si>
  <si>
    <t>MEGHAR-09</t>
  </si>
  <si>
    <t>WD33-08</t>
  </si>
  <si>
    <t>AG-113</t>
  </si>
  <si>
    <t>PACIFIC-01</t>
  </si>
  <si>
    <t>MEGHAR-11</t>
  </si>
  <si>
    <t>AG-132</t>
  </si>
  <si>
    <t>AG-30</t>
  </si>
  <si>
    <t>MAG-WSW-01</t>
  </si>
  <si>
    <t>WD33-14</t>
  </si>
  <si>
    <t>SWAG-WSW-01</t>
  </si>
  <si>
    <t>SWAG-09</t>
  </si>
  <si>
    <t>WD33-19</t>
  </si>
  <si>
    <t>WD33-13</t>
  </si>
  <si>
    <t>AG-103</t>
  </si>
  <si>
    <t>WELL TO GAS PLANT</t>
  </si>
  <si>
    <t>AG-120</t>
  </si>
  <si>
    <t>BWPD</t>
  </si>
  <si>
    <t>WD TOTAL INJ</t>
  </si>
  <si>
    <t>AG AREA TOTAL</t>
  </si>
  <si>
    <t>RZK AREA TOTAL</t>
  </si>
  <si>
    <t xml:space="preserve">RAZZAK AREA </t>
  </si>
  <si>
    <t>SWAG AREA</t>
  </si>
  <si>
    <t>FEEDING WELLS</t>
  </si>
  <si>
    <t>AG-130</t>
  </si>
  <si>
    <t>TOTAL OIL</t>
  </si>
  <si>
    <t>INJ TARGET</t>
  </si>
  <si>
    <t>INJ ACTUAL</t>
  </si>
  <si>
    <t xml:space="preserve">   </t>
  </si>
  <si>
    <t>AG-127</t>
  </si>
  <si>
    <t xml:space="preserve">                    </t>
  </si>
  <si>
    <t>WD 33-01 MANIFOLD (6")</t>
  </si>
  <si>
    <t>WD 33-15 MANIFOLD (8")</t>
  </si>
  <si>
    <t>F.O</t>
  </si>
  <si>
    <t>Cable in hole T&amp;A</t>
  </si>
  <si>
    <t>Tubing corroed and stuck in hole T&amp;A</t>
  </si>
  <si>
    <t>AG-119</t>
  </si>
  <si>
    <t>PACIFIC-02</t>
  </si>
  <si>
    <t>EBED-A01</t>
  </si>
  <si>
    <t>EBED</t>
  </si>
  <si>
    <t>AG-131</t>
  </si>
  <si>
    <t>AG-134</t>
  </si>
  <si>
    <t>GROSS TOTAL SHIPPED</t>
  </si>
  <si>
    <t>NET WATER SHIPPED</t>
  </si>
  <si>
    <t>NET OIL SHIPPED</t>
  </si>
  <si>
    <t xml:space="preserve">NEW ALAMEIN METER CLOSE </t>
  </si>
  <si>
    <t xml:space="preserve">NET OIL SHIPPED </t>
  </si>
  <si>
    <t>WD33-21</t>
  </si>
  <si>
    <t xml:space="preserve">AG-80-WSW </t>
  </si>
  <si>
    <t>PACIFIC</t>
  </si>
  <si>
    <t>WD33-20</t>
  </si>
  <si>
    <t>Production BBLs</t>
  </si>
  <si>
    <t>Actual BBLs</t>
  </si>
  <si>
    <t>Open</t>
  </si>
  <si>
    <t>Received</t>
  </si>
  <si>
    <t>Shipped</t>
  </si>
  <si>
    <t>Close</t>
  </si>
  <si>
    <t>Alamein</t>
  </si>
  <si>
    <t>Prod</t>
  </si>
  <si>
    <t>RZK</t>
  </si>
  <si>
    <t>WD</t>
  </si>
  <si>
    <t>NRQ</t>
  </si>
  <si>
    <t>RZK Close</t>
  </si>
  <si>
    <t>Reconciled Prod</t>
  </si>
  <si>
    <t>Reconciled Shipped</t>
  </si>
  <si>
    <t>ACTUAL</t>
  </si>
  <si>
    <t>ASSOCIATED GAS OIL WELLS</t>
  </si>
  <si>
    <t>SHIP vs RECEIVED ALAMEIN</t>
  </si>
  <si>
    <t>Actual BBL</t>
  </si>
  <si>
    <t>SAG SEP</t>
  </si>
  <si>
    <r>
      <t>CHOKE 64</t>
    </r>
    <r>
      <rPr>
        <b/>
        <vertAlign val="superscript"/>
        <sz val="10"/>
        <color indexed="9"/>
        <rFont val="Verdana"/>
        <family val="2"/>
      </rPr>
      <t>th</t>
    </r>
  </si>
  <si>
    <t>SHIPPING SUMMARY</t>
  </si>
  <si>
    <t>25/7/2016</t>
  </si>
  <si>
    <t>26/8/2016</t>
  </si>
  <si>
    <t>AG-100</t>
  </si>
  <si>
    <t>NA</t>
  </si>
  <si>
    <t xml:space="preserve"> STATUS</t>
  </si>
  <si>
    <t>GL</t>
  </si>
  <si>
    <t>WIW</t>
  </si>
  <si>
    <t xml:space="preserve">TOTAL WELLS </t>
  </si>
  <si>
    <t>MEASURED BY</t>
  </si>
  <si>
    <t>LAST MEASUREMENT DATE</t>
  </si>
  <si>
    <t>MEASURED</t>
  </si>
  <si>
    <t>ULTRA SONIC</t>
  </si>
  <si>
    <t>FIXED FLOW METER</t>
  </si>
  <si>
    <t>ESTIMATED</t>
  </si>
  <si>
    <t>ARD MANIFOLD (10") F</t>
  </si>
  <si>
    <t xml:space="preserve">STATUS </t>
  </si>
  <si>
    <t>LIFT</t>
  </si>
  <si>
    <t>NORTH RAS QATTARA</t>
  </si>
  <si>
    <t>AG-108 GL</t>
  </si>
  <si>
    <t>AG-13 GL</t>
  </si>
  <si>
    <t>AG-130 GL</t>
  </si>
  <si>
    <t>AG-24 GL</t>
  </si>
  <si>
    <t>AG-25ST1 GL</t>
  </si>
  <si>
    <t>AG-29A GL</t>
  </si>
  <si>
    <t>AG-31 GL</t>
  </si>
  <si>
    <t>AG-42ST1 GL</t>
  </si>
  <si>
    <t>AG-53 GL</t>
  </si>
  <si>
    <t>AG-57ST2 GL</t>
  </si>
  <si>
    <t>AG-65 GL</t>
  </si>
  <si>
    <t>AG-81 GL</t>
  </si>
  <si>
    <t>AG-90 GL</t>
  </si>
  <si>
    <t>NAG-01 GL</t>
  </si>
  <si>
    <t>CSG STAT</t>
  </si>
  <si>
    <t xml:space="preserve">DOWNTIME CAUSE
</t>
  </si>
  <si>
    <t>DEFER PROD</t>
  </si>
  <si>
    <t>FLINE PSI</t>
  </si>
  <si>
    <t>PUMP UNIT SIZE</t>
  </si>
  <si>
    <t>SPM"Strock Per Minute"</t>
  </si>
  <si>
    <t>DATE OF DOWNLOAD</t>
  </si>
  <si>
    <t>SL"Strock Length"</t>
  </si>
  <si>
    <t>AMP1</t>
  </si>
  <si>
    <t>AMP2</t>
  </si>
  <si>
    <t>AMP3</t>
  </si>
  <si>
    <t>PUMP TYPE</t>
  </si>
  <si>
    <t>PUMP FILL SET PT%</t>
  </si>
  <si>
    <t>SUB SURFACE</t>
  </si>
  <si>
    <t xml:space="preserve">WELL PERFORMANCE </t>
  </si>
  <si>
    <t>BACK WASH</t>
  </si>
  <si>
    <t>BACK_WASH</t>
  </si>
  <si>
    <t>CEASE TO FLOW</t>
  </si>
  <si>
    <t>CEASE_T_FLOW</t>
  </si>
  <si>
    <t xml:space="preserve">SURFACE </t>
  </si>
  <si>
    <t xml:space="preserve">VENDOR RELAED </t>
  </si>
  <si>
    <t>CHEMICAL TREATMENT</t>
  </si>
  <si>
    <t>CHEMICAL_TREATMENT</t>
  </si>
  <si>
    <t>PROCESS/FACILITY RELATED</t>
  </si>
  <si>
    <t>COMPRESSOR SHUT DOWN</t>
  </si>
  <si>
    <t>COMP_SD</t>
  </si>
  <si>
    <t>CONSTRUCTION</t>
  </si>
  <si>
    <t>ELECTRICAL FAILURE</t>
  </si>
  <si>
    <t>ELECTRICAL_F</t>
  </si>
  <si>
    <t>EQUIPMENT FAILURE</t>
  </si>
  <si>
    <t>EQUIPMENT_F</t>
  </si>
  <si>
    <t>ESD</t>
  </si>
  <si>
    <t>ELECTRICAL SUBMERSABLE PUMP STSTEM</t>
  </si>
  <si>
    <t>ESP_DH_F</t>
  </si>
  <si>
    <t>FACILITY/PROCESS CONSTRAINT</t>
  </si>
  <si>
    <t>FACILITY_PROCESS_CONSTRAINT</t>
  </si>
  <si>
    <t>SHIPPING RELATED</t>
  </si>
  <si>
    <t>FLOWLINE LEAK/FAILURE</t>
  </si>
  <si>
    <t>FLOWLINE_LEAK_F</t>
  </si>
  <si>
    <t>WEATHER RELATED</t>
  </si>
  <si>
    <t>FOG / BAD WEATHER</t>
  </si>
  <si>
    <t>FOG_BAD_WEATHER</t>
  </si>
  <si>
    <t>GAS LIFT SYSTEM</t>
  </si>
  <si>
    <t xml:space="preserve">GAS LIFT PROBLEM SURFACE </t>
  </si>
  <si>
    <t>GL_PROB_SUR</t>
  </si>
  <si>
    <t xml:space="preserve">GAS LIFT PROBLEM SUB SURFACE </t>
  </si>
  <si>
    <t>GL_PROB_SUBSUR</t>
  </si>
  <si>
    <t>GAS PLANT PROBLEM</t>
  </si>
  <si>
    <t>GP_PROB</t>
  </si>
  <si>
    <t>MAINTANCE RELATED</t>
  </si>
  <si>
    <t>GEN_PM</t>
  </si>
  <si>
    <t>GEN_PROB_F</t>
  </si>
  <si>
    <t>HIGH_LINE_PRS</t>
  </si>
  <si>
    <t>HIGH WATER CUT</t>
  </si>
  <si>
    <t>H_WC</t>
  </si>
  <si>
    <t>HYDRATES</t>
  </si>
  <si>
    <t>INSTRUMENT FAILURE</t>
  </si>
  <si>
    <t>INSTRUMENT_F</t>
  </si>
  <si>
    <t>LOW CGR WELL</t>
  </si>
  <si>
    <t>LOW_CGR</t>
  </si>
  <si>
    <t>LOW WHP - NEED COMPRESOR</t>
  </si>
  <si>
    <t>LOW_WHP_NEED_COMP</t>
  </si>
  <si>
    <t>NO_REC_CEASE_T_FLOW</t>
  </si>
  <si>
    <t>NO RECOVERY - LOW GAS RATE</t>
  </si>
  <si>
    <t>NO_REC_LOW_GAS_RATE</t>
  </si>
  <si>
    <t>OHTL_PROB</t>
  </si>
  <si>
    <t>OTHER-COMMENT</t>
  </si>
  <si>
    <t>OTHER_COMMENT</t>
  </si>
  <si>
    <t>OVER_UNDER_LOAD</t>
  </si>
  <si>
    <t>OVER_UNDER_VOLT</t>
  </si>
  <si>
    <t>PANEL_VSD_PROB_F</t>
  </si>
  <si>
    <t>Paraffin/Salt/Scale/Other Solids</t>
  </si>
  <si>
    <t>PRFN_SALT_SCALE_OTH_SOLIDS</t>
  </si>
  <si>
    <t>PCP SYSTEM</t>
  </si>
  <si>
    <t>PCP PROBLEM/FAILURE SURFACE</t>
  </si>
  <si>
    <t>PCP_PROB_F_SUR</t>
  </si>
  <si>
    <t>PCP PROBLEM/FAILURE SUB SURFACE</t>
  </si>
  <si>
    <t>PCP_PROB_F_SUBSUR</t>
  </si>
  <si>
    <t>PIPELINE CONSTRAINT</t>
  </si>
  <si>
    <t>PL_CONSTRAINT</t>
  </si>
  <si>
    <t>PLANNED INSPECTION/TEST</t>
  </si>
  <si>
    <t>PLND_INSPECTION_TEST</t>
  </si>
  <si>
    <t>PLANT/PROCESS MAINTENANCE</t>
  </si>
  <si>
    <t>PLND_PROCESS_MAINTENANCE</t>
  </si>
  <si>
    <t>PLANT/PROCESS SHUT DOWN</t>
  </si>
  <si>
    <t>PLANT_PROCESS_SD</t>
  </si>
  <si>
    <t>PLANT/PROCESS UPSET</t>
  </si>
  <si>
    <t>PLANT_PROCESS_UPSET</t>
  </si>
  <si>
    <t>PLUGGED FILTER/STRAINER</t>
  </si>
  <si>
    <t>PLUG_F_STRAINER</t>
  </si>
  <si>
    <t>PM/SERVICE PLANNED</t>
  </si>
  <si>
    <t>PM_SERVICE_PLND</t>
  </si>
  <si>
    <t>PM/SERVICE UNPLANNED</t>
  </si>
  <si>
    <t>PM_SERVICE_UNPLND</t>
  </si>
  <si>
    <t>POWER_HOUSE_PROB</t>
  </si>
  <si>
    <t>PUMP_OFF_MODE</t>
  </si>
  <si>
    <t>REDUCE FLARED GAS</t>
  </si>
  <si>
    <t>REDUCE_FGAS</t>
  </si>
  <si>
    <t>RESEVOIR DRIVEN</t>
  </si>
  <si>
    <t>RES_DRIVEN</t>
  </si>
  <si>
    <t>SSUCKER ROD PUMP SYSTEM</t>
  </si>
  <si>
    <t>SAMS_PANEL_F</t>
  </si>
  <si>
    <t>SI_FOR_BUILD_UP</t>
  </si>
  <si>
    <t>SOURCE_WELL_DOWN</t>
  </si>
  <si>
    <t>SR_UNIT_REPAIR/ADJUSTMENT</t>
  </si>
  <si>
    <t>SRP_DH_PROB_F</t>
  </si>
  <si>
    <t>STUFF_BOX_F_REPAIR</t>
  </si>
  <si>
    <t>SUCKER_ROD_UNIT_PM</t>
  </si>
  <si>
    <t>SURFACE EQUIPMENT PROBLEM</t>
  </si>
  <si>
    <t>SURFACE_EQUP_PROB</t>
  </si>
  <si>
    <t>T&amp;A</t>
  </si>
  <si>
    <t>TANK_LOW_LEVEL</t>
  </si>
  <si>
    <t>TURBINE_PROB</t>
  </si>
  <si>
    <t>UNLOADING</t>
  </si>
  <si>
    <t>VANDALISM_THEFT</t>
  </si>
  <si>
    <t>WEATHER_FOG</t>
  </si>
  <si>
    <t>WELL NOT ACCEPTING WATER</t>
  </si>
  <si>
    <t>NOT_ACCEPTING_WATER</t>
  </si>
  <si>
    <t xml:space="preserve">WIRELINE_WORK </t>
  </si>
  <si>
    <t>WO</t>
  </si>
  <si>
    <t>HIGH LEVEL PARENT</t>
  </si>
  <si>
    <t>PARENT</t>
  </si>
  <si>
    <t>DT CAUSE</t>
  </si>
  <si>
    <t xml:space="preserve"> SHORT DT CAUSE</t>
  </si>
  <si>
    <t>AMPS 1</t>
  </si>
  <si>
    <t>AMPS 2</t>
  </si>
  <si>
    <t>AMPS 3</t>
  </si>
  <si>
    <t>WATER_SWR</t>
  </si>
  <si>
    <t>KHARITA</t>
  </si>
  <si>
    <t>SHADOW-05</t>
  </si>
  <si>
    <t>SHADOW-E02</t>
  </si>
  <si>
    <t>15/5/2017</t>
  </si>
  <si>
    <t>AG-136</t>
  </si>
  <si>
    <t>KHALDA_WELL2</t>
  </si>
  <si>
    <t>1)   ALAMEIN  AREA  FACILITIES  :</t>
  </si>
  <si>
    <t>A)   OPENING   STOCK</t>
  </si>
  <si>
    <t>B)   OIL  RECEIVED</t>
  </si>
  <si>
    <t>C)   OIL  PUMPED  TO  HAMRA</t>
  </si>
  <si>
    <t>D)   CLOSING  STOCK</t>
  </si>
  <si>
    <t>2)   A/G  AREA  FACILITIES</t>
  </si>
  <si>
    <t>A)  OPENING  STOCK</t>
  </si>
  <si>
    <t>B)  OIL &amp; COND.  RECEIVED</t>
  </si>
  <si>
    <t>D)  OIL RECEIVED FROM WD-33-15</t>
  </si>
  <si>
    <t>E)  OIL DELIVERED</t>
  </si>
  <si>
    <t>F)  OIL PUMPED TO ALAMEIN</t>
  </si>
  <si>
    <t>G)  CLOSING  STOCK</t>
  </si>
  <si>
    <t>3)  RZK AREA FACILITIES</t>
  </si>
  <si>
    <t>A)   OPENING  STOCK</t>
  </si>
  <si>
    <t>B)   RZK. PRODUCTION</t>
  </si>
  <si>
    <t>G)   OIL RECEIVED</t>
  </si>
  <si>
    <t>H)   OIL DELIVERED</t>
  </si>
  <si>
    <t xml:space="preserve"> I )   OIL  PUMPED  TO  ALAMEIN</t>
  </si>
  <si>
    <t>J )   CLOSING STOCK</t>
  </si>
  <si>
    <t>4)   WD (33-15) AREA FACILITIES</t>
  </si>
  <si>
    <t>A)   OPENING STOCK</t>
  </si>
  <si>
    <t>B)   TOTAL PRODUCTION</t>
  </si>
  <si>
    <t>C )   OIL  PUMPED  TO  ALAMEIN</t>
  </si>
  <si>
    <t>D )   CLOSING STOCK</t>
  </si>
  <si>
    <t>5)   G. P. C. OIL  PUMP TO ALAMEIN</t>
  </si>
  <si>
    <t>A)   GROSS  OIL  PUMPED</t>
  </si>
  <si>
    <t>B)   NET  OIL  PUMPED</t>
  </si>
  <si>
    <t>C)   CORRECTED  OIL   PUMPED</t>
  </si>
  <si>
    <t xml:space="preserve">6)    OAPCO OIL RECEIVED </t>
  </si>
  <si>
    <t>C)  PUMP TO ALAM. THROUGH A/G</t>
  </si>
  <si>
    <t xml:space="preserve">7)    WELL # N. R. Q. 2551 </t>
  </si>
  <si>
    <t>A)  TOTAL PRODUCTION</t>
  </si>
  <si>
    <t>B)  OIL  PUMPED  TO  ALAMEIN</t>
  </si>
  <si>
    <t>KPC_RECEIVEDFACILITY</t>
  </si>
  <si>
    <t>From Facility</t>
  </si>
  <si>
    <t xml:space="preserve">TO Facility </t>
  </si>
  <si>
    <t>OIL RECEIVED</t>
  </si>
  <si>
    <t>AG OIL PLANT</t>
  </si>
  <si>
    <t>ALAMEIN</t>
  </si>
  <si>
    <t>RAZAAK OP</t>
  </si>
  <si>
    <t>WD-33-15</t>
  </si>
  <si>
    <t>Tank Name</t>
  </si>
  <si>
    <t>Open Stock (STB)</t>
  </si>
  <si>
    <t>Closing Stock (STB)</t>
  </si>
  <si>
    <t>API (°)</t>
  </si>
  <si>
    <t>SC (PTB)</t>
  </si>
  <si>
    <t>Pour Point (°F)</t>
  </si>
  <si>
    <t>KPC_TANKSLVL</t>
  </si>
  <si>
    <t xml:space="preserve">Shipment (Tickets) </t>
  </si>
  <si>
    <t>T_DIS_TYPE</t>
  </si>
  <si>
    <t>DESTENATION</t>
  </si>
  <si>
    <t>KPC_TANKSTCTK</t>
  </si>
  <si>
    <t>EXP_GP</t>
  </si>
  <si>
    <t>EXPORT</t>
  </si>
  <si>
    <t>EXP_TERM</t>
  </si>
  <si>
    <t>EL HAMRA TANK H1</t>
  </si>
  <si>
    <t>MEGHAR-12</t>
  </si>
  <si>
    <t>KHALDA_WELL4</t>
  </si>
  <si>
    <t>KHALDA_WELL5</t>
  </si>
  <si>
    <t>KHALDA_WELL6</t>
  </si>
  <si>
    <t>KHALDA_WELL7</t>
  </si>
  <si>
    <t>KHALDA_WELL8</t>
  </si>
  <si>
    <t>KHALDA_WELL11</t>
  </si>
  <si>
    <t>KHALDA_WELL12</t>
  </si>
  <si>
    <t>KHALDA_WELL13</t>
  </si>
  <si>
    <t>KHALDA_WELL14</t>
  </si>
  <si>
    <t>KHALDA_WELL15</t>
  </si>
  <si>
    <t>KHALDA_WELL16</t>
  </si>
  <si>
    <t>KHALDA_WELL17</t>
  </si>
  <si>
    <t>KHALDA_WELL18</t>
  </si>
  <si>
    <t>KHALDA_WELL20</t>
  </si>
  <si>
    <t>KHALDA_WELL21</t>
  </si>
  <si>
    <t>KHALDA_WELL22</t>
  </si>
  <si>
    <t>KHALDA_WELL23</t>
  </si>
  <si>
    <t>KHALDA_WELL24</t>
  </si>
  <si>
    <t>KHALDA_WELL25</t>
  </si>
  <si>
    <t>KHALDA_WELL26</t>
  </si>
  <si>
    <t>KHALDA_WELL27</t>
  </si>
  <si>
    <t>KHALDA_WELL29</t>
  </si>
  <si>
    <t>KHALDA_WELL30</t>
  </si>
  <si>
    <t>KHALDA_WELL31</t>
  </si>
  <si>
    <t>KHALDA_WELL32</t>
  </si>
  <si>
    <t>KHALDA_WELL33</t>
  </si>
  <si>
    <t>KHALDA_WELL35</t>
  </si>
  <si>
    <t>KHALDA_WELL36</t>
  </si>
  <si>
    <t>KHALDA_WELL37</t>
  </si>
  <si>
    <t>KHALDA_WELL38</t>
  </si>
  <si>
    <t>KHALDA_WELL39</t>
  </si>
  <si>
    <t>KHALDA_WELL41</t>
  </si>
  <si>
    <t>KHALDA_WELL42</t>
  </si>
  <si>
    <t>KHALDA_WELL44</t>
  </si>
  <si>
    <t>KHALDA_WELL45</t>
  </si>
  <si>
    <t>KHALDA_WELL46</t>
  </si>
  <si>
    <t>KHALDA_WELL47</t>
  </si>
  <si>
    <t>KHALDA_WELL48</t>
  </si>
  <si>
    <t>KHALDA_WELL49</t>
  </si>
  <si>
    <t>KHALDA_WELL50</t>
  </si>
  <si>
    <t>KHALDA_WELL51</t>
  </si>
  <si>
    <t>KHALDA_WELL52</t>
  </si>
  <si>
    <t>KHALDA_WELL53</t>
  </si>
  <si>
    <t>KHALDA_WELL54</t>
  </si>
  <si>
    <t>KHALDA_WELL55</t>
  </si>
  <si>
    <t>KHALDA_WELL57</t>
  </si>
  <si>
    <t>KHALDA_WELL58</t>
  </si>
  <si>
    <t>KHALDA_WELL59</t>
  </si>
  <si>
    <t>KHALDA_WELL60</t>
  </si>
  <si>
    <t>KHALDA_WELL61</t>
  </si>
  <si>
    <t>KHALDA_WELL62</t>
  </si>
  <si>
    <t>KHALDA_WELL63</t>
  </si>
  <si>
    <t>KHALDA_WELL64</t>
  </si>
  <si>
    <t>AG-115H</t>
  </si>
  <si>
    <t>AG-123A</t>
  </si>
  <si>
    <t>Openning . Stock</t>
  </si>
  <si>
    <t>KHALDA_WELL56</t>
  </si>
  <si>
    <t>KHALDA_WELL65</t>
  </si>
  <si>
    <t>KHALDA_WELL66</t>
  </si>
  <si>
    <t>KHALDA_WELL67</t>
  </si>
  <si>
    <t>KHALDA_WELL69</t>
  </si>
  <si>
    <t>KHALDA_WELL70</t>
  </si>
  <si>
    <t>KHALDA_WELL71</t>
  </si>
  <si>
    <t>KHALDA_WELL72</t>
  </si>
  <si>
    <t>KHALDA_WELL73</t>
  </si>
  <si>
    <t>KHALDA_WELL74</t>
  </si>
  <si>
    <t>KHALDA_WELL75</t>
  </si>
  <si>
    <t>KHALDA_WELL76</t>
  </si>
  <si>
    <t>KHALDA_WELL77</t>
  </si>
  <si>
    <t>KHALDA_WELL78</t>
  </si>
  <si>
    <t>KHALDA_WELL80</t>
  </si>
  <si>
    <t>KHALDA_WELL81</t>
  </si>
  <si>
    <t>KHALDA_WELL82</t>
  </si>
  <si>
    <t>KHALDA_WELL83</t>
  </si>
  <si>
    <t>KHALDA_WELL84</t>
  </si>
  <si>
    <t>KHALDA_WELL86</t>
  </si>
  <si>
    <t>KHALDA_WELL87</t>
  </si>
  <si>
    <t>KHALDA_WELL88</t>
  </si>
  <si>
    <t>KHALDA_WELL89</t>
  </si>
  <si>
    <t>KHALDA_WELL90</t>
  </si>
  <si>
    <t>KHALDA_WELL91</t>
  </si>
  <si>
    <t>KHALDA_WELL92</t>
  </si>
  <si>
    <t>KHALDA_WELL93</t>
  </si>
  <si>
    <t>KHALDA_WELL94</t>
  </si>
  <si>
    <t>KHALDA_WELL95</t>
  </si>
  <si>
    <t>KHALDA_WELL96</t>
  </si>
  <si>
    <t>KHALDA_WELL97</t>
  </si>
  <si>
    <t>KHALDA_WELL98</t>
  </si>
  <si>
    <t>KHALDA_WELL99</t>
  </si>
  <si>
    <t>KHALDA_WELL100</t>
  </si>
  <si>
    <t>KHALDA_WELL101</t>
  </si>
  <si>
    <t>KHALDA_WELL102</t>
  </si>
  <si>
    <t>KHALDA_WELL103</t>
  </si>
  <si>
    <t>KHALDA_WELL104</t>
  </si>
  <si>
    <t>KHALDA_WELL105</t>
  </si>
  <si>
    <t xml:space="preserve">SAG </t>
  </si>
  <si>
    <t xml:space="preserve">AG </t>
  </si>
  <si>
    <t>MEGHAR</t>
  </si>
  <si>
    <t>AG-114ST</t>
  </si>
  <si>
    <t>AG-117ST</t>
  </si>
  <si>
    <t>AG-124ST</t>
  </si>
  <si>
    <t>AG-126ST2</t>
  </si>
  <si>
    <t>SHADOW-04HST</t>
  </si>
  <si>
    <t>WD33-NE05</t>
  </si>
  <si>
    <t>HORST MANIFOLD (6") C</t>
  </si>
  <si>
    <t>TEST TYPE</t>
  </si>
  <si>
    <t>True</t>
  </si>
  <si>
    <t>False</t>
  </si>
  <si>
    <t>AG-93</t>
  </si>
  <si>
    <t>AG-142</t>
  </si>
  <si>
    <t>KHALDA_WELL3</t>
  </si>
  <si>
    <t>KHALDA_WELL10</t>
  </si>
  <si>
    <t>KHALDA_WELL19</t>
  </si>
  <si>
    <t>SHADOW-E03</t>
  </si>
  <si>
    <t>AG-86 GL</t>
  </si>
  <si>
    <t>AG-119 GL</t>
  </si>
  <si>
    <t>SHADOW-05 GL</t>
  </si>
  <si>
    <t>THIRD PARTY CONDENSATE</t>
  </si>
  <si>
    <t>TOTAL AG PRODUCTION WITHOUT THIRD PARTY</t>
  </si>
  <si>
    <t>KHALDA_WELL40</t>
  </si>
  <si>
    <t>KHALDA_WELL79</t>
  </si>
  <si>
    <t>KHALDA_WELL85</t>
  </si>
  <si>
    <t>KHALDA_WELL108</t>
  </si>
  <si>
    <t>KHALDA_WELL109</t>
  </si>
  <si>
    <t>KHALDA_WELL110</t>
  </si>
  <si>
    <t>KHALDA_WELL111</t>
  </si>
  <si>
    <t>KHALDA_WELL112</t>
  </si>
  <si>
    <t>UNIT 7</t>
  </si>
  <si>
    <t>UNIT 8</t>
  </si>
  <si>
    <t>UNIT 9</t>
  </si>
  <si>
    <t>UNIT 10</t>
  </si>
  <si>
    <t>AG-140</t>
  </si>
  <si>
    <t>Downhole integrity problem(CMT &amp; gas return from TBG)</t>
  </si>
  <si>
    <t xml:space="preserve">Circulation gas </t>
  </si>
  <si>
    <t>WAES-C01</t>
  </si>
  <si>
    <t>WAES</t>
  </si>
  <si>
    <t>SHADOW-E05</t>
  </si>
  <si>
    <t>AG-141</t>
  </si>
  <si>
    <t>INTERMITTENT PRODUCTION</t>
  </si>
  <si>
    <t>INTERM_PROD</t>
  </si>
  <si>
    <t>GAS PLANT</t>
  </si>
  <si>
    <t>GAS_PLANT</t>
  </si>
  <si>
    <t>Circulating gas</t>
  </si>
  <si>
    <t>ARE/LBAH</t>
  </si>
  <si>
    <t>ARD/ARG</t>
  </si>
  <si>
    <t>20/2/2019</t>
  </si>
  <si>
    <t>SHADOW-E02 GL</t>
  </si>
  <si>
    <t>SWAG-05 GL</t>
  </si>
  <si>
    <t>KHALDA_WELL68</t>
  </si>
  <si>
    <t>KHALDA_WELL106</t>
  </si>
  <si>
    <t>KHALDA_WELL113</t>
  </si>
  <si>
    <t>KHALDA_WELL114</t>
  </si>
  <si>
    <t>KHALDA_WELL115</t>
  </si>
  <si>
    <t>28/7/2019</t>
  </si>
  <si>
    <t>GN-1600</t>
  </si>
  <si>
    <t>EAST MANIFOLD TEST (6") A</t>
  </si>
  <si>
    <t>EAST MANIFOLD NEW LINE (8") B</t>
  </si>
  <si>
    <t>EAST MANIFOLD NEW LINE (8") C</t>
  </si>
  <si>
    <t>ARD MANIFOLD (6") A</t>
  </si>
  <si>
    <t>ARD NEW LINE - TEST (6") B</t>
  </si>
  <si>
    <t>ARD MANIFOLD (8") C</t>
  </si>
  <si>
    <t>ARD MANIFOLD (8") D</t>
  </si>
  <si>
    <t>HORST MANIFOLD (6") D</t>
  </si>
  <si>
    <t>SAG MANIFOLD (6") A</t>
  </si>
  <si>
    <t>SAG MANIFOLD (6") B</t>
  </si>
  <si>
    <t>SAG AR MANIFOLD (6") C</t>
  </si>
  <si>
    <t>SAG AR MANIFOLD (6") D</t>
  </si>
  <si>
    <t>18/12/2019</t>
  </si>
  <si>
    <t>24/12/2019</t>
  </si>
  <si>
    <t>23/1/2020</t>
  </si>
  <si>
    <t>WELLS</t>
  </si>
  <si>
    <t>21/2/2020</t>
  </si>
  <si>
    <t>AG-143</t>
  </si>
  <si>
    <t>WD09-A</t>
  </si>
  <si>
    <t>MEGHAR-14</t>
  </si>
  <si>
    <t>SWAG-N01</t>
  </si>
  <si>
    <t>AG-146</t>
  </si>
  <si>
    <t>FIRESTONE</t>
  </si>
  <si>
    <t>SPY GLASS  (8") A</t>
  </si>
  <si>
    <t>SPY GLASS  (6") B from SPY till ARD</t>
  </si>
  <si>
    <t>The well is SI due to low production &amp; gas lift optimization</t>
  </si>
  <si>
    <t>Flowing to GP</t>
  </si>
  <si>
    <t>Is considered as condensate at the GP report.</t>
  </si>
  <si>
    <t>Gas well</t>
  </si>
  <si>
    <t>22/7/2020</t>
  </si>
  <si>
    <t>23/7/2020</t>
  </si>
  <si>
    <t>25/8/2020</t>
  </si>
  <si>
    <t>AG-125 GL</t>
  </si>
  <si>
    <t>SWAG-N01 GL</t>
  </si>
  <si>
    <t>RIDGEWOOD-01 GL</t>
  </si>
  <si>
    <t>FLUSH HRS</t>
  </si>
  <si>
    <t>FLUSH BWPD</t>
  </si>
  <si>
    <t>LINE LEAK FAILURE</t>
  </si>
  <si>
    <t xml:space="preserve">T&amp;A </t>
  </si>
  <si>
    <t>NO LONGER NEEDED</t>
  </si>
  <si>
    <t>WATER FLOOD FACILITY DOWN PM/CM</t>
  </si>
  <si>
    <t>PROCESS/FACILITY CONSTRAIN</t>
  </si>
  <si>
    <t>SI FOR RESERVOIR MONTIORING</t>
  </si>
  <si>
    <t>DOWN HOLE TBG-CSG COMMUNICATION</t>
  </si>
  <si>
    <t>NO OFFSET PRODUCER</t>
  </si>
  <si>
    <t>SI FOR OFFSET WELL W/O</t>
  </si>
  <si>
    <t>ISOLATED AS PER CAIRO ENGINEERING REQUEST.</t>
  </si>
  <si>
    <t>GN-2100</t>
  </si>
  <si>
    <t>SN-2600</t>
  </si>
  <si>
    <t>AG-[93,134]</t>
  </si>
  <si>
    <t>FLUSH RATE</t>
  </si>
  <si>
    <t>CASING PRESS</t>
  </si>
  <si>
    <t>FLINE
PSI</t>
  </si>
  <si>
    <t>FLUSH
HRS</t>
  </si>
  <si>
    <t>CHOKE PSI</t>
  </si>
  <si>
    <t>MEGHAR-08 GL</t>
  </si>
  <si>
    <t>MEGHAR-14 GL</t>
  </si>
  <si>
    <t>OLD SWAG oil MFD</t>
  </si>
  <si>
    <t>NEW SWAG oil MFD</t>
  </si>
  <si>
    <t>FLUSH INJ QTY bbl</t>
  </si>
  <si>
    <t>AG-15 GL</t>
  </si>
  <si>
    <t>AG-80 MFD</t>
  </si>
  <si>
    <t>ARG/ARE</t>
  </si>
  <si>
    <t>KHALDA_WELL116</t>
  </si>
  <si>
    <t>KHALDA_WELL117</t>
  </si>
  <si>
    <t>KHALDA_WELL119</t>
  </si>
  <si>
    <t>KHALDA_WELL120</t>
  </si>
  <si>
    <t>KHALDA_WELL121</t>
  </si>
  <si>
    <t>KHALDA_WELL122</t>
  </si>
  <si>
    <t>KHALDA_WELL123</t>
  </si>
  <si>
    <t>KHALDA_WELL124</t>
  </si>
  <si>
    <t>KHALDA_WELL125</t>
  </si>
  <si>
    <t>KHALDA_WELL126</t>
  </si>
  <si>
    <t>KHALDA_WELL9</t>
  </si>
  <si>
    <t>KHALDA_WELL28</t>
  </si>
  <si>
    <t>SWAG-03 GL</t>
  </si>
  <si>
    <t>AG-91 GL</t>
  </si>
  <si>
    <t>HORST MANIFOLD (8") A</t>
  </si>
  <si>
    <t>⁰c</t>
  </si>
  <si>
    <t>AG-131 GL</t>
  </si>
  <si>
    <t>26/7/2021</t>
  </si>
  <si>
    <t>SWAG-N02</t>
  </si>
  <si>
    <t>Fluid level couldn’t be detected</t>
  </si>
  <si>
    <t>USAFA</t>
  </si>
  <si>
    <t>MEGHAR-16</t>
  </si>
  <si>
    <t>AG-110 GL</t>
  </si>
  <si>
    <t>AG-154 GL</t>
  </si>
  <si>
    <t>AG-154</t>
  </si>
  <si>
    <t>AG-155</t>
  </si>
  <si>
    <t>AG-157</t>
  </si>
  <si>
    <t>KHALDA_WELL127</t>
  </si>
  <si>
    <t>SWAG-N02 GL</t>
  </si>
  <si>
    <t>MEGHAR-16 GL</t>
  </si>
  <si>
    <t>24/5/2023</t>
  </si>
  <si>
    <t>AG-157 GL</t>
  </si>
  <si>
    <t>16/6/2022</t>
  </si>
  <si>
    <t>AG-146 GL</t>
  </si>
  <si>
    <t>HAWK-05ST</t>
  </si>
  <si>
    <t>MAHROUSSA-A</t>
  </si>
  <si>
    <t>HAWK-05ST GL</t>
  </si>
  <si>
    <t>PACIFIC-03</t>
  </si>
  <si>
    <t>HORST MANIFOLD (6") G</t>
  </si>
  <si>
    <t>WHT
 °F</t>
  </si>
  <si>
    <t>WHT</t>
  </si>
  <si>
    <t>SWAG-N03</t>
  </si>
  <si>
    <t>SWAG-N05ST</t>
  </si>
  <si>
    <t>NWRZK PRODUCED OIL</t>
  </si>
  <si>
    <t>NWRZK SHIPPED OIL</t>
  </si>
  <si>
    <t>NWRZK OIL PRODUCTION</t>
  </si>
  <si>
    <t>NWRZK</t>
  </si>
  <si>
    <t>8)    NWRZK OIL RECEIVED</t>
  </si>
  <si>
    <t>SWAG-N05ST GL</t>
  </si>
  <si>
    <t>FLEX-47</t>
  </si>
  <si>
    <t>B 538-1500</t>
  </si>
  <si>
    <t>AKIK OIL PRODUCTION</t>
  </si>
  <si>
    <t>AKIK PRODUCED OIL</t>
  </si>
  <si>
    <t>AKIK SHIPPED OIL</t>
  </si>
  <si>
    <t>AKIK-NE</t>
  </si>
  <si>
    <t>AG-152</t>
  </si>
  <si>
    <t>MAPLE</t>
  </si>
  <si>
    <t>MAPLE-01</t>
  </si>
  <si>
    <t>9)    AKIK-NE OIL RECEIVED</t>
  </si>
  <si>
    <t>water produced</t>
  </si>
  <si>
    <t>AG-158</t>
  </si>
  <si>
    <t>SHADOW-E08</t>
  </si>
  <si>
    <t>RAFIKI OIL PRODUCTION</t>
  </si>
  <si>
    <t>4)   RAFIKI AREA FACILITIES</t>
  </si>
  <si>
    <t>RAFIKI</t>
  </si>
  <si>
    <t>RAFIKI PRODUCED OIL</t>
  </si>
  <si>
    <t>RAFIKI SHIPPED OIL</t>
  </si>
  <si>
    <t>21/2/2023</t>
  </si>
  <si>
    <t>NET OIL RECEIVED AT AG OFFLOADING STATION</t>
  </si>
  <si>
    <t>rep</t>
  </si>
  <si>
    <t>SPYGLASS-W01</t>
  </si>
  <si>
    <t>SPYGLASS-W</t>
  </si>
  <si>
    <t>SPYGLASS-W01 GL</t>
  </si>
  <si>
    <t>Production Day Ending @ 0600 Hours</t>
  </si>
  <si>
    <t>OAKHILL-W</t>
  </si>
  <si>
    <t>SPYGLASS-W &amp; SPYGLASS</t>
  </si>
  <si>
    <t>SHADOW-06</t>
  </si>
  <si>
    <t>BOLTNAIL</t>
  </si>
  <si>
    <t>SHADOW-W01</t>
  </si>
  <si>
    <t>SHADOW-W</t>
  </si>
  <si>
    <t>MONTEZUMA-01</t>
  </si>
  <si>
    <t>MONTEZUMA</t>
  </si>
  <si>
    <t>SHADOW-06 GL</t>
  </si>
  <si>
    <t>P23(PMX-SHD-H6)</t>
  </si>
  <si>
    <t>SHADOW-E04</t>
  </si>
  <si>
    <t>WD33-15-11</t>
  </si>
  <si>
    <t>RIDGEWOOD-03</t>
  </si>
  <si>
    <t>NEAG-02</t>
  </si>
  <si>
    <t>WD33-15-12</t>
  </si>
  <si>
    <t>KHALDA_WELL128</t>
  </si>
  <si>
    <t>WD33-C01</t>
  </si>
  <si>
    <t>SHADOW-E09</t>
  </si>
  <si>
    <t>RAFIKI-RAW</t>
  </si>
  <si>
    <t>NWRZK-RAW</t>
  </si>
  <si>
    <t>NORTH RAS QATTARA-RAW</t>
  </si>
  <si>
    <t>AKIK-NE-RAW</t>
  </si>
  <si>
    <t>KHALDA_WELL118</t>
  </si>
  <si>
    <t>SHADOW-W02</t>
  </si>
  <si>
    <t xml:space="preserve"> GP report</t>
  </si>
  <si>
    <t>SHADOW-E10</t>
  </si>
  <si>
    <t>AG-141 GL</t>
  </si>
  <si>
    <t>SHADOW-E10 GL</t>
  </si>
  <si>
    <t>SHADOW-W02 GL</t>
  </si>
  <si>
    <t>SHADOW-E09 GL</t>
  </si>
  <si>
    <t>SHADOW-W01 GL</t>
  </si>
  <si>
    <t>SHADOW-E12</t>
  </si>
  <si>
    <t>ENPEDCO</t>
  </si>
  <si>
    <t>TOTALS 
WITHOUT OIL RECEIVED FROM OFFLOADING
STATION</t>
  </si>
  <si>
    <t>RECEIVED AT ALAMEIN TANKS</t>
  </si>
  <si>
    <t xml:space="preserve">Actual production </t>
  </si>
  <si>
    <t>PROD. (bbl.)</t>
  </si>
  <si>
    <t>Diff. (bbl)</t>
  </si>
  <si>
    <t>Total WD  prod. ( oil + cond)</t>
  </si>
  <si>
    <t xml:space="preserve">KPC cond. </t>
  </si>
  <si>
    <t>WD oil prod.   ( without cond.)</t>
  </si>
  <si>
    <t>AG prod. Oil (without cond.)</t>
  </si>
  <si>
    <t xml:space="preserve">Total RZK prod. ( RZK + NRQ+NWRZK+AKIK+RAFIKI) </t>
  </si>
  <si>
    <t>OIL &amp; GAS GEN. MGR.</t>
  </si>
  <si>
    <t>C)  OIL RECEIVED FROM  { ENPEDCO }</t>
  </si>
  <si>
    <t>WD33-1</t>
  </si>
  <si>
    <t>AG OIL FAC</t>
  </si>
  <si>
    <t>WD09-B</t>
  </si>
  <si>
    <t xml:space="preserve"> TANK ACTIVITIES</t>
  </si>
  <si>
    <t xml:space="preserve">                                       KHALDA PETROLEUM COMPANY</t>
  </si>
  <si>
    <t>SMS</t>
  </si>
  <si>
    <t>Alamien Diff</t>
  </si>
  <si>
    <t xml:space="preserve">Before actual </t>
  </si>
  <si>
    <t>WD09-C01ST03</t>
  </si>
  <si>
    <t>WD09-C</t>
  </si>
  <si>
    <t>MAHROUSSA-D01</t>
  </si>
  <si>
    <t>MAHROUSSA-D</t>
  </si>
  <si>
    <t>OLYMPIC-N</t>
  </si>
  <si>
    <t>Mahroussa-D</t>
  </si>
  <si>
    <t>MEGHAR &amp; Reviera</t>
  </si>
  <si>
    <t>OLYMPIC-03</t>
  </si>
  <si>
    <t>538-3600
(FP-TA-HSS-SS) (BORETS)</t>
  </si>
  <si>
    <t xml:space="preserve">sulzer pump at Alamein  </t>
  </si>
  <si>
    <t xml:space="preserve">BOOSTER PUMP 1 </t>
  </si>
  <si>
    <t>skimmer pump  -1</t>
  </si>
  <si>
    <t>skimmer pump  -2</t>
  </si>
  <si>
    <t xml:space="preserve">charge  pump 1 </t>
  </si>
  <si>
    <t xml:space="preserve">charge  pump 2 </t>
  </si>
  <si>
    <t>UNIT 11</t>
  </si>
  <si>
    <t>EA Dep Field Manager</t>
  </si>
  <si>
    <t>EA Field Manager</t>
  </si>
  <si>
    <t>EA TOTAL OIL PRODUCTION</t>
  </si>
  <si>
    <t>SHADOW-E04 GL</t>
  </si>
  <si>
    <t>SHADOW-E08 GL</t>
  </si>
  <si>
    <t>Olympic</t>
  </si>
  <si>
    <t>Olympic-03</t>
  </si>
  <si>
    <t>DT</t>
  </si>
  <si>
    <t>BBL.</t>
  </si>
  <si>
    <t xml:space="preserve">AG Prod. Wells	</t>
  </si>
  <si>
    <t>]</t>
  </si>
  <si>
    <t>NO P.CK</t>
  </si>
  <si>
    <t>128/64</t>
  </si>
  <si>
    <t>F-Open</t>
  </si>
  <si>
    <t>0PEN</t>
  </si>
  <si>
    <t>SI  as per reservoir recommendation and follow up same by S.F.L shots to check reservoir BUP</t>
  </si>
  <si>
    <t>WD09-K</t>
  </si>
  <si>
    <t>Maple</t>
  </si>
  <si>
    <t>Leak</t>
  </si>
  <si>
    <t>SWAG-[6,7,9,10,N01x, N02]</t>
  </si>
  <si>
    <t>Active</t>
  </si>
  <si>
    <t>NET OIL RECEIVED from TAG</t>
  </si>
  <si>
    <t>OIL FROM TAG</t>
  </si>
  <si>
    <t>OIL FROM BOLT</t>
  </si>
  <si>
    <t>TAG</t>
  </si>
  <si>
    <t>BOLT</t>
  </si>
  <si>
    <t>BOLT-12-02</t>
  </si>
  <si>
    <t>Bolt-Nail-03-01 GL</t>
  </si>
  <si>
    <t>Pacific-02-GL</t>
  </si>
  <si>
    <t xml:space="preserve">Total </t>
  </si>
  <si>
    <t>ARE/ARC</t>
  </si>
  <si>
    <t>PACIFIC-01 GL</t>
  </si>
  <si>
    <t>PIP</t>
  </si>
  <si>
    <t>FREQUENCY</t>
  </si>
  <si>
    <t>AG-81, 91,57, 152</t>
  </si>
  <si>
    <t>NAG-06</t>
  </si>
  <si>
    <t>SWAG-N01, N02</t>
  </si>
  <si>
    <t>WD33-10, 21</t>
  </si>
  <si>
    <t>14/8/2024</t>
  </si>
  <si>
    <t>ENPEDCO  CRUDE OIL DAILY PUMPING REPORT</t>
  </si>
  <si>
    <t>NET PUMPED (In the line)</t>
  </si>
  <si>
    <t>GROSS PUMPED (In the line)</t>
  </si>
  <si>
    <t>CORRECTION FACTOR</t>
  </si>
  <si>
    <t>ENPEDCO REP.</t>
  </si>
  <si>
    <t>TAG CRUDE OIL DAILY PUMPING REPORT</t>
  </si>
  <si>
    <t>2- SAMPLES ANALYSIS &amp; FACTORS</t>
  </si>
  <si>
    <t>WD33-15-19</t>
  </si>
  <si>
    <t>KHALDA_WELL129</t>
  </si>
  <si>
    <t>WD09-D</t>
  </si>
  <si>
    <t>WD-33K</t>
  </si>
  <si>
    <t>Bolt-Nail-03-01</t>
  </si>
  <si>
    <t>AG-116</t>
  </si>
  <si>
    <t>WD09-A-01</t>
  </si>
  <si>
    <t>WD09-A-02</t>
  </si>
  <si>
    <t>WD09-A-03</t>
  </si>
  <si>
    <t>WD09-A-06</t>
  </si>
  <si>
    <t>WD09-B-01</t>
  </si>
  <si>
    <t>WD09-K-01</t>
  </si>
  <si>
    <t>WD33-K-01</t>
  </si>
  <si>
    <t>MAHROUSSA-A01</t>
  </si>
  <si>
    <t>OAKHIL-W01ST</t>
  </si>
  <si>
    <t>RIVIERA-SW02</t>
  </si>
  <si>
    <t>ENPEDCO MGR.</t>
  </si>
  <si>
    <t>OAKHIL-01</t>
  </si>
  <si>
    <t>OLYMPIC-N01ST</t>
  </si>
  <si>
    <t>WD33-C</t>
  </si>
  <si>
    <t>AG-117STGL</t>
  </si>
  <si>
    <t>OAKHILL-SW</t>
  </si>
  <si>
    <t>WD-33-15-7</t>
  </si>
  <si>
    <t>OAKHILL-SW01</t>
  </si>
  <si>
    <t>538-3600
(FP-TA-HSS-SS)</t>
  </si>
  <si>
    <t>WD33-C03</t>
  </si>
  <si>
    <t>WD-33-15-11</t>
  </si>
  <si>
    <t>WD33-15-14</t>
  </si>
  <si>
    <t>NERZK PRODUCED OIL</t>
  </si>
  <si>
    <t>NERZK OIL PRODUCTION</t>
  </si>
  <si>
    <t>NERZK</t>
  </si>
  <si>
    <t>NERZK SHIPPED OIL</t>
  </si>
  <si>
    <t>OIL FROM NERZK-A</t>
  </si>
  <si>
    <t>538-7000
(PK-TA-HSS-SS) (BORETS)</t>
  </si>
  <si>
    <t>WD-09A01 &amp; A02</t>
  </si>
  <si>
    <t>WD-09A</t>
  </si>
  <si>
    <t>Operations Comments</t>
  </si>
  <si>
    <t>WD09-A-09</t>
  </si>
  <si>
    <t>SAG GAS MFD Line C &amp; REVIERA.SW2</t>
  </si>
  <si>
    <t>WD33-15-20</t>
  </si>
  <si>
    <t>WD33-15-22</t>
  </si>
  <si>
    <t>KHALDA_WELL130</t>
  </si>
  <si>
    <t>KHALDA_WELL131</t>
  </si>
  <si>
    <t>NERZK A-RAW</t>
  </si>
  <si>
    <t>NERZK A</t>
  </si>
  <si>
    <t>WD33 V-1X</t>
  </si>
  <si>
    <t>WD33 V</t>
  </si>
  <si>
    <t>WD09-E</t>
  </si>
  <si>
    <t>WD09-E-01X(A)</t>
  </si>
  <si>
    <t>WD09 (A, B &amp;D, E)</t>
  </si>
  <si>
    <t>WD-33</t>
  </si>
  <si>
    <t>WD33 Closing stock</t>
  </si>
  <si>
    <t>WD33 SHIPPED OIL</t>
  </si>
  <si>
    <t>4)   WD-33 AREA FACILITIES</t>
  </si>
  <si>
    <t>WD-33 SHIPPED OIL</t>
  </si>
  <si>
    <t>WD09-A-04</t>
  </si>
  <si>
    <t>WD-09A03 &amp; A09</t>
  </si>
  <si>
    <t>WD33 H-01X</t>
  </si>
  <si>
    <t>WD33 H</t>
  </si>
  <si>
    <t>AG-229</t>
  </si>
  <si>
    <t>AG-231</t>
  </si>
  <si>
    <t>Kharita</t>
  </si>
  <si>
    <t>AG-229, AG-231</t>
  </si>
  <si>
    <t>WD-33C01, C03</t>
  </si>
  <si>
    <t>WD-33C</t>
  </si>
  <si>
    <t>WD-33-15-20</t>
  </si>
  <si>
    <t>LEVEL 1 TEXT</t>
  </si>
  <si>
    <t>LEVEL 2 TEXT</t>
  </si>
  <si>
    <t>LEVEL 3 TEXT</t>
  </si>
  <si>
    <t>LEVEL 4 TEXT</t>
  </si>
  <si>
    <t>LEVEL 5 TEXT</t>
  </si>
  <si>
    <t>Unplanned</t>
  </si>
  <si>
    <t>Wells</t>
  </si>
  <si>
    <t>Lift System</t>
  </si>
  <si>
    <t>ESP DH Electrical</t>
  </si>
  <si>
    <t>Back Spin</t>
  </si>
  <si>
    <t>Completion And Bore</t>
  </si>
  <si>
    <t>Casing</t>
  </si>
  <si>
    <t>Planned</t>
  </si>
  <si>
    <t>Well Work</t>
  </si>
  <si>
    <t>Chemical Treatment</t>
  </si>
  <si>
    <t>Facilities</t>
  </si>
  <si>
    <t>Surface Facility</t>
  </si>
  <si>
    <t>Compression</t>
  </si>
  <si>
    <t>Compressor Offline</t>
  </si>
  <si>
    <t>Maintenance</t>
  </si>
  <si>
    <t>Construction</t>
  </si>
  <si>
    <t>Current Unbalance (ESP DH Electrical)</t>
  </si>
  <si>
    <t>ESP Power Related</t>
  </si>
  <si>
    <t>Current Unbalance (ESP Power Related)</t>
  </si>
  <si>
    <t>PCP</t>
  </si>
  <si>
    <t>Current Unbalance (PCP)</t>
  </si>
  <si>
    <t>Display No/Zero Reading (ESP DH Electrical)</t>
  </si>
  <si>
    <t>ESP DH Sensor</t>
  </si>
  <si>
    <t>Display No/Zero Reading (ESP DH Sensor)</t>
  </si>
  <si>
    <t>ESP Surface Electrical</t>
  </si>
  <si>
    <t>Display No/Zero Reading (ESP Surface Electrical)</t>
  </si>
  <si>
    <t>Rod Pump</t>
  </si>
  <si>
    <t>Downhole Problem</t>
  </si>
  <si>
    <t>Drive Overload (PCP)</t>
  </si>
  <si>
    <t>Drive Replacement</t>
  </si>
  <si>
    <t>Elective Rigless Work</t>
  </si>
  <si>
    <t>Elective Slickline And Coil Tubing</t>
  </si>
  <si>
    <t>Elective Wireline Work</t>
  </si>
  <si>
    <t>Elective Wireline</t>
  </si>
  <si>
    <t>Elective Workover</t>
  </si>
  <si>
    <t>Electrical Systems Khalda OHTL</t>
  </si>
  <si>
    <t>Electrical Systems Khalda (Planned)</t>
  </si>
  <si>
    <t>Transformer Maintenance</t>
  </si>
  <si>
    <t>Electrical Systems Khalda (Transformer Maintenance)</t>
  </si>
  <si>
    <t>Electrical Systems Khalda (Unplanned)</t>
  </si>
  <si>
    <t>Equipment Maintenance</t>
  </si>
  <si>
    <t>Facility Constraint</t>
  </si>
  <si>
    <t>Flowline Failure</t>
  </si>
  <si>
    <t>Flowline Maintenance</t>
  </si>
  <si>
    <t>Gas Lift</t>
  </si>
  <si>
    <t>Gas Lift Network Malfunction</t>
  </si>
  <si>
    <t>Export</t>
  </si>
  <si>
    <t>Third Party</t>
  </si>
  <si>
    <t>Gas Takeaway</t>
  </si>
  <si>
    <t>Generator</t>
  </si>
  <si>
    <t>Generator (Planned)</t>
  </si>
  <si>
    <t>Generator (Unplanned)</t>
  </si>
  <si>
    <t>High Delta P</t>
  </si>
  <si>
    <t>High Frequency</t>
  </si>
  <si>
    <t>High Line Pressure</t>
  </si>
  <si>
    <t>High PD</t>
  </si>
  <si>
    <t>High PIP</t>
  </si>
  <si>
    <t>High TM</t>
  </si>
  <si>
    <t>High Vibration</t>
  </si>
  <si>
    <t>High Vsd Temp</t>
  </si>
  <si>
    <t>High Vsd Temp + Vsd Internal Codes</t>
  </si>
  <si>
    <t>Reservoir</t>
  </si>
  <si>
    <t>High Watercut</t>
  </si>
  <si>
    <t>Well Safety System</t>
  </si>
  <si>
    <t>Whcp</t>
  </si>
  <si>
    <t>Hydraulic/Solar Panel And Battery System (Planned)</t>
  </si>
  <si>
    <t>Hydraulic/Solar Panel And Battery System (Unplanned)</t>
  </si>
  <si>
    <t>Injection And Disposal Well Problems</t>
  </si>
  <si>
    <t>Low Delta P</t>
  </si>
  <si>
    <t>ESP Mechanical Problems</t>
  </si>
  <si>
    <t>Low Flow</t>
  </si>
  <si>
    <t>Low Frequency</t>
  </si>
  <si>
    <t>Low PD</t>
  </si>
  <si>
    <t>Low PIP</t>
  </si>
  <si>
    <t>Low Reservoir  Pressure</t>
  </si>
  <si>
    <t>Low Reservoir Pressure/Depleted</t>
  </si>
  <si>
    <t>Low Suction Pressure</t>
  </si>
  <si>
    <t>Low Suction</t>
  </si>
  <si>
    <t>Manual Stop</t>
  </si>
  <si>
    <t>Mechanical Weakening Detection (Over Torque)</t>
  </si>
  <si>
    <t>Mechanical Weakening Detection (Under Torque)</t>
  </si>
  <si>
    <t>Metering</t>
  </si>
  <si>
    <t>Meter Calibration/Repair</t>
  </si>
  <si>
    <t>Motor High Temp Shutdown</t>
  </si>
  <si>
    <t>No Flow (ESP Mechanical Problems)</t>
  </si>
  <si>
    <t>No Flow (Gas Lift)</t>
  </si>
  <si>
    <t>No Production</t>
  </si>
  <si>
    <t>Oil Takeaway</t>
  </si>
  <si>
    <t>Optimize Lift Or  Other Production Systems</t>
  </si>
  <si>
    <t>Optimize Lift Or Other Production Systems</t>
  </si>
  <si>
    <t>Over Load/Current (ESP DH Electrical)</t>
  </si>
  <si>
    <t>Over Load/Current (ESP Mechanical Problems)</t>
  </si>
  <si>
    <t>Over Load/Current (ESP Power Related)</t>
  </si>
  <si>
    <t>Over Load/Current (ESP Surface Electrical)</t>
  </si>
  <si>
    <t>Over Torque Detection</t>
  </si>
  <si>
    <t>Over Volt</t>
  </si>
  <si>
    <t>Overload (Rod Pump)</t>
  </si>
  <si>
    <t>Parted Rod</t>
  </si>
  <si>
    <t>PCP Over Current</t>
  </si>
  <si>
    <t>PCP Over Voltage</t>
  </si>
  <si>
    <t>PCP Overload</t>
  </si>
  <si>
    <t>PCP Under Voltage</t>
  </si>
  <si>
    <t>PCP Underload</t>
  </si>
  <si>
    <t>Peak Energy Management Mode</t>
  </si>
  <si>
    <t>Power House</t>
  </si>
  <si>
    <t>Power Generation (Planned)</t>
  </si>
  <si>
    <t>Power Generation (Unplanned)</t>
  </si>
  <si>
    <t>Power House (Planned)</t>
  </si>
  <si>
    <t>Power House (Unplanned)</t>
  </si>
  <si>
    <t>Power Unit Output Phase Loss</t>
  </si>
  <si>
    <t>Production Flow Line High Pressure</t>
  </si>
  <si>
    <t>Production Network Bottleneck</t>
  </si>
  <si>
    <t>Pump Off (ESP)</t>
  </si>
  <si>
    <t>Pumping Unit Pump Jack</t>
  </si>
  <si>
    <t>Pump Off Mode (SRP)</t>
  </si>
  <si>
    <t>Pumping Unit/Pump Jack (Planned)</t>
  </si>
  <si>
    <t>Pumping Unit/Pump Jack (Unplanned)</t>
  </si>
  <si>
    <t>Resv Study</t>
  </si>
  <si>
    <t>Reservoir Study/Management</t>
  </si>
  <si>
    <t>Sam Alarm</t>
  </si>
  <si>
    <t>Sam/Vsd/Panel Failure</t>
  </si>
  <si>
    <t>Separation Issues</t>
  </si>
  <si>
    <t>Separator</t>
  </si>
  <si>
    <t>Short Circuit (ESP DH Electrical)</t>
  </si>
  <si>
    <t>Short Circuit (ESP Surface Electrical)</t>
  </si>
  <si>
    <t>Simops</t>
  </si>
  <si>
    <t>Simops Level2</t>
  </si>
  <si>
    <t>Spacing</t>
  </si>
  <si>
    <t>Stall (ESP DH Electrical)</t>
  </si>
  <si>
    <t>Stall (ESP Mechanical Problems)</t>
  </si>
  <si>
    <t>Stall (ESP Power Related)</t>
  </si>
  <si>
    <t>Stall (ESP Surface Electrical)</t>
  </si>
  <si>
    <t>Storage Full</t>
  </si>
  <si>
    <t>Stuffing Box Failure Or Repair</t>
  </si>
  <si>
    <t>Surface Short Circuit (ESP Power Related)</t>
  </si>
  <si>
    <t>Surface Unit Pm</t>
  </si>
  <si>
    <t>Third Party Activity General</t>
  </si>
  <si>
    <t>Third Party Activity - General - Enter Description In Comments</t>
  </si>
  <si>
    <t>Third Party Utility</t>
  </si>
  <si>
    <t>Turnaround</t>
  </si>
  <si>
    <t>Under Load/Current (ESP DH Electrical)</t>
  </si>
  <si>
    <t>Under Load/Current (ESP Mechanical Problems)</t>
  </si>
  <si>
    <t>Under Load/Current (ESP Power Related)</t>
  </si>
  <si>
    <t>Under Load/Current (ESP Surface Electrical)</t>
  </si>
  <si>
    <t>Under Torque Detection</t>
  </si>
  <si>
    <t>Under Volt</t>
  </si>
  <si>
    <t>Underload (Rod Pump)</t>
  </si>
  <si>
    <t>ESP Back Wash</t>
  </si>
  <si>
    <t>Unplug Pump</t>
  </si>
  <si>
    <t>Weather</t>
  </si>
  <si>
    <t>Weather General</t>
  </si>
  <si>
    <t>Weather General (Facilities)</t>
  </si>
  <si>
    <t>Weather General (Wells)</t>
  </si>
  <si>
    <t>Well Testing</t>
  </si>
  <si>
    <t>Well Testing (Bhp, Potential, Plt)</t>
  </si>
  <si>
    <t>Wellhead  Xtree</t>
  </si>
  <si>
    <t>Wellhead/Xtree</t>
  </si>
  <si>
    <t>Wireline Intervention - Gauging</t>
  </si>
  <si>
    <t>Wireline Intervention - Gl Survey</t>
  </si>
  <si>
    <t>Wireline Intervention - Gl Valve Change</t>
  </si>
  <si>
    <t>Workvoer</t>
  </si>
  <si>
    <t>MAHROUSSA-B-1X</t>
  </si>
  <si>
    <t>MAHROUSSA-B</t>
  </si>
  <si>
    <t>WD33-C02ST</t>
  </si>
  <si>
    <t>Internal RPF losses</t>
  </si>
  <si>
    <t>Salinity, PPM</t>
  </si>
  <si>
    <t>AG-115H GL</t>
  </si>
  <si>
    <t>MAPLE-01, NAG &amp; NEAG</t>
  </si>
  <si>
    <t>NEAG-04X GL</t>
  </si>
  <si>
    <t>OAKHIL</t>
  </si>
  <si>
    <t>NAG-06ST GL</t>
  </si>
  <si>
    <t>MAHROUSSA-A02</t>
  </si>
  <si>
    <t>WD33-C05</t>
  </si>
  <si>
    <t>AG-16&amp;BOLT NILE-3</t>
  </si>
  <si>
    <t>538-5000 
(PK-TA-HSS)</t>
  </si>
  <si>
    <t>CL, PPM</t>
  </si>
  <si>
    <t>NAG-06ST</t>
  </si>
  <si>
    <t>AG 52 &amp; SPYGLASS- A</t>
  </si>
  <si>
    <t>WD33-15-[1,4,14]</t>
  </si>
  <si>
    <t xml:space="preserve">WD-33-15-[4,5,11,12,19,20,22], WD-33-[C01, c03, c05] </t>
  </si>
  <si>
    <t>SWAG-[2,3,5], OLYMPIC-01x, Montezuma-01</t>
  </si>
  <si>
    <t>NEAG-04X</t>
  </si>
  <si>
    <t>WD30 A-01A</t>
  </si>
  <si>
    <t>WD30 A</t>
  </si>
  <si>
    <t>WD09-A-07</t>
  </si>
  <si>
    <t>WD33-N01</t>
  </si>
  <si>
    <t>WD33-N</t>
  </si>
  <si>
    <t>WD30 A-01A GL</t>
  </si>
  <si>
    <t>AG-351 GL</t>
  </si>
  <si>
    <t>AG-351</t>
  </si>
  <si>
    <t>AG-152 GL</t>
  </si>
  <si>
    <t>CK</t>
  </si>
  <si>
    <t>NEAG-06</t>
  </si>
  <si>
    <t>WD09-B-05</t>
  </si>
  <si>
    <t>NEAG-06 GL</t>
  </si>
  <si>
    <t>538-2600M
(PK-TA-HSS)</t>
  </si>
  <si>
    <t>NEAG-01C GL</t>
  </si>
  <si>
    <t>WD33 V-05</t>
  </si>
  <si>
    <t>WD33 J-01X</t>
  </si>
  <si>
    <t>WD33 J</t>
  </si>
  <si>
    <t>WD09-E-02</t>
  </si>
  <si>
    <t>KHALDA_WELL132</t>
  </si>
  <si>
    <t>Leak - Closed</t>
  </si>
  <si>
    <t>Closed</t>
  </si>
  <si>
    <t>Karam Abd Elmegeed</t>
  </si>
  <si>
    <t>NEAG-05</t>
  </si>
  <si>
    <t>NEAG-07</t>
  </si>
  <si>
    <t>Neag-05</t>
  </si>
  <si>
    <t xml:space="preserve">538-9000
(CP-TA-HSS-SS) </t>
  </si>
  <si>
    <t>OAKHIL-SW01</t>
  </si>
  <si>
    <t>MAPLE-01, WD09-A-04, WD09-A-06, 
WD09-A07 , NEAG-07</t>
  </si>
  <si>
    <t>WD33-C06</t>
  </si>
  <si>
    <t>WD-33C01, C03 &amp; C05</t>
  </si>
  <si>
    <t>SHADOW-NW01X</t>
  </si>
  <si>
    <t>SHADOW-NW</t>
  </si>
  <si>
    <t>SHADOW &amp; SHADOW-W , NW</t>
  </si>
  <si>
    <t>WD09-E-03</t>
  </si>
  <si>
    <t>SHADOW-E04,E8, E10</t>
  </si>
  <si>
    <t xml:space="preserve">AG-[80,83,132,146], HAWK-(3, 5), SHADOW-[E01,E02,E04,E10] </t>
  </si>
  <si>
    <t>WD09-B-05-01 ST1</t>
  </si>
  <si>
    <t>RIDGEWOOD-04</t>
  </si>
  <si>
    <t>FLEX-10</t>
  </si>
  <si>
    <t xml:space="preserve">SAG Line C </t>
  </si>
  <si>
    <t xml:space="preserve">  WD-33-[5x,10,19,20,21]</t>
  </si>
  <si>
    <t>Essam Nagib</t>
  </si>
  <si>
    <t>WD-09-K01X, AG-13, NAG-01</t>
  </si>
  <si>
    <t>RIDGEWOOD-1X, RIDGEWOOD-03,  FIRESTONE-1X &amp; PACIFIC-2 SPYGLASS wst 1 - SPYGLASS1, reviera.SW2 &amp;RIVIERA-2</t>
  </si>
  <si>
    <t>538-7000
(PK-TA-HSS-SS)</t>
  </si>
  <si>
    <t>538-7000  
(PK TA HSS SS)</t>
  </si>
  <si>
    <t>WD33-15-10 ST1</t>
  </si>
  <si>
    <t>Mazen El-Lahony</t>
  </si>
  <si>
    <t>*AG-54, SAG Line A, Shadow-W01
*SAG Line D</t>
  </si>
  <si>
    <t>*Outlet SWAG Old MFD (Olympic-01, Montezuma-01x)
*Outlet Shadow MFD [Shadow-(1,2,5,6, E08, E09)].
*AG-(44,64,65,68)</t>
  </si>
  <si>
    <t>0.9849&amp;0.9855</t>
  </si>
  <si>
    <t>42.2&amp;42.5</t>
  </si>
  <si>
    <t>202&amp;212</t>
  </si>
  <si>
    <t>1.2&amp;0.43</t>
  </si>
  <si>
    <t>AG-02</t>
  </si>
  <si>
    <t>WD09-D-01 ST2</t>
  </si>
  <si>
    <t>AG-155, AG-89, Ridgwood-04, AG-69</t>
  </si>
  <si>
    <t>Test on min sep</t>
  </si>
  <si>
    <t>NEAG-10</t>
  </si>
  <si>
    <t>HAWK-06</t>
  </si>
  <si>
    <t>HAWK-07</t>
  </si>
  <si>
    <t>WD09-B-02</t>
  </si>
  <si>
    <t>WD33 J-03</t>
  </si>
  <si>
    <t>KHALDA_WELL133</t>
  </si>
  <si>
    <t>NEAG-03 &amp; 06</t>
  </si>
  <si>
    <t>WD33 J01</t>
  </si>
  <si>
    <t xml:space="preserve">   MAHROUSA-A02X, AG-140</t>
  </si>
  <si>
    <t>Rate Estimated, Scanner Battery Empty</t>
  </si>
  <si>
    <t>HANI ELBARBARY</t>
  </si>
  <si>
    <t>MAPLE-01, WD09-A-04, WD09-A-06, 
WD09-A07 , NEAG-07 ,NEAG-10</t>
  </si>
  <si>
    <t>MAHROUSSA N-01X</t>
  </si>
  <si>
    <t>MAHROUSSA N</t>
  </si>
  <si>
    <t>WE-5500 
(CMP, AR B, HS, FH, SSHB)</t>
  </si>
  <si>
    <t>WD33-24</t>
  </si>
  <si>
    <t>Maple-02ST1</t>
  </si>
  <si>
    <t>Shadow-E12 &amp; Swag-N05 ,HAWK05</t>
  </si>
  <si>
    <t xml:space="preserve"> MAHROUSA-A01X</t>
  </si>
  <si>
    <t>na</t>
  </si>
  <si>
    <t>WD09-B-06</t>
  </si>
  <si>
    <t>KHALDA_WELL134</t>
  </si>
  <si>
    <t>SHADOW-E03, AG-134 , AG-93</t>
  </si>
  <si>
    <t>MAHROUSA-N01, AG-104, Meghar-(1, 6), Pacific-3
AG-79
AG-104</t>
  </si>
  <si>
    <t>Isolated</t>
  </si>
  <si>
    <t>*Shadow-(W02, NW01).
*WD30-A01, AG-(15,24,43,62,121,130,131).
*SPY Line B [Ridgewood-01, Firestone-01, SAG Oil MFD Share, Pacific-02, Spyglass-(01, 02,W01), Riviera-(2, SW02)].
*SWAG New MFD [SWAG-(6,7,8,9,10)].</t>
  </si>
  <si>
    <t xml:space="preserve">SAG GAS MFD Line -A, SWAG-(N01, N02) </t>
  </si>
  <si>
    <t>AG-[2,57,67,81,86,87,88,90,91,96,97,100,101,102,103,106,108,107,110,115,116,117,118,120,125,136,143, 152, 154, 157], MEGHAR-[2,5,7,8,9,10,14,16,E1X] Mahroussa-D01 &amp; PACIFIC-3</t>
  </si>
  <si>
    <t>AG-[2,57,67,81,86,87,88,90,91,96,97,100,101,102,103,106,108,107,110,115,116,117,118,120,125,136,143, 152, 154, 157], MEGHAR-[2,5,7,8,9,10,14,16,E1X] Mahroussa-D01 &amp; PACIFIC-4</t>
  </si>
  <si>
    <t>AG-[2,57,67,81,86,87,88,90,91,96,97,100,101,102,103,106,108,107,110,115,116,117,118,120,125,136,143, 152, 154, 157], MEGHAR-[2,5,7,8,9,10,14,16,E1X] Mahroussa-D01 &amp; PACIFIC-1</t>
  </si>
  <si>
    <t>AG-[2,57,67,81,86,87,88,90,91,96,97,100,101,102,103,106,108,107,110,115,116,117,118,120,125,136,143, 152, 154, 157], MEGHAR-[2,5,7,8,9,10,14,16,E1X] Mahroussa-D01 &amp; PACIFIC-2</t>
  </si>
  <si>
    <t>Checked the well found cease to flow, SI same for PBU.</t>
  </si>
  <si>
    <t>Scanner Battery Empty</t>
  </si>
  <si>
    <t>WD33-[C02, C06], WD33 J-03</t>
  </si>
  <si>
    <t>WD09-A-08</t>
  </si>
  <si>
    <t>Scanner disconnected, not taking water.</t>
  </si>
  <si>
    <t>WD33-[2,5,11,12]</t>
  </si>
  <si>
    <t>Scanner disconnected, well not taking water.</t>
  </si>
  <si>
    <t>400-3700</t>
  </si>
  <si>
    <t>G.W</t>
  </si>
  <si>
    <t>N/A</t>
  </si>
  <si>
    <t xml:space="preserve">AR/G </t>
  </si>
  <si>
    <t>G.L</t>
  </si>
  <si>
    <t>No P.ch</t>
  </si>
  <si>
    <t>MAHROUSSA-A01X</t>
  </si>
  <si>
    <t>ARC-BTM</t>
  </si>
  <si>
    <t>ARG , E , C</t>
  </si>
  <si>
    <t>N.F</t>
  </si>
  <si>
    <t>24/64</t>
  </si>
  <si>
    <t>80-120</t>
  </si>
  <si>
    <t>F.Open</t>
  </si>
  <si>
    <t>521-525</t>
  </si>
  <si>
    <t>0 /
Closed</t>
  </si>
  <si>
    <t>0 Closed</t>
  </si>
  <si>
    <t>0 to flare.</t>
  </si>
  <si>
    <t>BS&amp;W F/ MTU &amp;  Lab
H2S = 8 PPM, CO2 = 4 %, API= 47, M.F = 0.54
PICO-04</t>
  </si>
  <si>
    <t>Flowing-PBU survey On GI 1 MMSCFD
BS&amp;W F/ Lab = 20 % &amp; F/ MTU = 12 %
M.F= 1, H2S = 1 PPM, CO2 = 4 %, API = 34
AL Mansoori-03</t>
  </si>
  <si>
    <t>BS&amp;W F/ MTU &amp; Lab
H2S = 10 PPM, CO2 = 4 %, API = 46  , M.F= 0.54
PICO-04</t>
  </si>
  <si>
    <t>(Min. press., Liq. T/ tank &amp; gas flare)
Choking back WHP via 2" globe vlv on MTU inlet. 
BS&amp;W F/ MTU &amp; Lab 
CO2 = 2 %, H2S=0 PPM, MF=1 , CL=53 KPPM
Tanmia-09</t>
  </si>
  <si>
    <t>(Min. press., Liq. T/ tank &amp; gas partially T/ prod.)
BS&amp;W F/ MTU&amp; lab.
H2S= 5 PPM, CO2= 3 %, API= 37 , M.F= 1
"Gas to production line +/-  1.254 MMSCFD"
Sigma ZFU</t>
  </si>
  <si>
    <t>(Min. press., Liq. T/ tank &amp; gas partially T/ prod.)
IG = 1.2 MMSCFD       BS&amp;W F/ MTU &amp;  lab 
H2S= 3 PPM, CO2= 4 %, API=34, M.F=1  
"Gas to production line +/-  1.477 MMSCFD"
Sigma Fixed ZFU</t>
  </si>
  <si>
    <t>On Freq 55 HZ             BS&amp;W F/ MTU &amp; lab
 API= 35, MF= 0.93 , CL= 68 KPPM, CO2= 3 %, H2S = 0 PPM
AL Mansoori-04</t>
  </si>
  <si>
    <t>DFL, CSG open to flare 
SAM Read.= 57 , RT= 87 % , PF= 95 %</t>
  </si>
  <si>
    <t>DFL, CSG open to flare 
SAM Read.= 29 , RT= 59 % , PF=73 %</t>
  </si>
  <si>
    <t>DFL, CSG open to flare 
SAM Read.= 80 , RT= 84 % , PF= 99 %</t>
  </si>
  <si>
    <t>•	Cont. testing the well on Min. Sep. pressure (liquid to tank &amp; gas to flare) while choking back WHP via 2" globe vlv on MTU inlet, the well showed fluctuation in WHP between 80 and 120 psi, while the well showed Avg, rate 146 BFPD with average WC of 25.7 %
•	Plan to continue testing the well to Min Sep. Pressure.</t>
  </si>
  <si>
    <t xml:space="preserve">
SPYGLASS-02</t>
  </si>
  <si>
    <t>•	Cont. testing the well on Freq 55 HZ showed avg liquid rate 3179 BFPD, while WC 81 %, PIP fluctuated F/ 500 psi T/ 545 psi,  psi, and motor current fluctuated F/ 61 A T/ 65 A,
•	after that the well dropped due to underload alarm, ESP team started the pump on freq 50 HZ  for 3hrs showed avg liquid rate 2080 BFPD, 83% WC, then increased pump freq gradually to 53 HZ but unfortunately the pump stopped due to underload alarm.
•	ESP team started -up the well after 2hrs on freq 55 HZ the well showed avg liquid rate 3289 BFPD, 83% WC while motor current fluctuated F/ 54 A T/61.5 A, after 5 hrs the well tripped due to underload alarm.
•	ESP team started -up the well after 2hrs on freq 55 HZ.    
•	Plan to Cont testing the well for more Optimization.</t>
  </si>
  <si>
    <t xml:space="preserve">•	Allocated TMU, and tested the well on prod. condition after setting 2 Expro MG'S (flowing survey) On GI 0.96 MMSCFD showed avg liquid rate  6 BFPD with 12 % WC while DSP dropped from 810 psi to 520 PSI ( -290 PSI).
•	after that Decreased GI to 0.7 MMSCFD, the well showed no flow for 3 hrs. with avg total gas 0.715 MMSCFD.
•	increased GI to 1 MMSCFD the well showed improvement in liquid rate with avg 20 BFPD, 20 % WC @ DSP 520 psi.    
•	Cont. testing the well On GI 1 MMSCFD showed avg liquid rate  43 BFPD with 20 % WC while DSP 510 PSI     
•	End test, plan to SI the well “ tomorrow morning”.  for 14 days after Completing 72 hrs as a flowing period.    </t>
  </si>
  <si>
    <t>•Cont. testing the well thru SIGMA mobile ZFU to min. press.(Liquid to tank &amp; gas partially to PL using SIGMA compressor) on IG 0.735 MMSCFD Showed a avg liquid rate +/- 816 BFPD with avg. W.C of  34.1% and avg total gas of +/- 1.630 MMSCFD while Gas to production line +/- 1.254 MMSCFD.                            
•	 Plan to Cont testing the well on Min. Sep. pres</t>
  </si>
  <si>
    <t>•	Continue testing the well thru SIGMA fixed ZFU to min. press.(Liquid to tank &amp; gas partially to PL using SIGMA compressor), on G.I 1.2 MMSCFD, the well showed avg liquid rate +/- 234 BFPD with avg. W.C of  29 % and avg total gas rate 1.53 MMSCFD while Gas to production line +/- 1.477 MMSCFD
•	Plan to Cont. testing the well on Min. Sep. press.</t>
  </si>
  <si>
    <t>AG Ambient temp.</t>
  </si>
  <si>
    <t xml:space="preserve">Water Flood System </t>
  </si>
  <si>
    <t xml:space="preserve">Intermittent Flow Wells    </t>
  </si>
  <si>
    <t>NEAG-12" TL</t>
  </si>
  <si>
    <t>Mahroussa-D01</t>
  </si>
  <si>
    <t>•	Open the following wells AG-(24, 64, 87), Rivera-02, Spyglass-01.
•	SI  the following wells AG-(58, 68, 79), Firestone-1</t>
  </si>
  <si>
    <t>•	No oil truck received today from the well’s EPF.</t>
  </si>
  <si>
    <t>Shadow-01</t>
  </si>
  <si>
    <t>•	Production crew found the panel screen show no data and the well running normally. 
•	Ongoing troubleshooting by Lufkin crew.</t>
  </si>
  <si>
    <t>•	Checked the well found 1.36 G.I MMSCFD , Adjusted same to be 1.47 MMSCFD (Optimum).</t>
  </si>
  <si>
    <t>•	Valves team Replaced 2”1/16 5k CSG`s valve &amp; Install well circulation loop.</t>
  </si>
  <si>
    <t>•	Checked the well found minor leakage from corroded flange on flow line. Plan to replace same.</t>
  </si>
  <si>
    <t>AG-123</t>
  </si>
  <si>
    <t>•	Lufkin crew checked the well and replaced the damaged stuffing box rubber packing and back to normal.</t>
  </si>
  <si>
    <t>AG condensate</t>
  </si>
  <si>
    <t>Tank dipping.</t>
  </si>
  <si>
    <t>See RZK Report.</t>
  </si>
  <si>
    <t>AKIK</t>
  </si>
  <si>
    <t xml:space="preserve">RAFIKI </t>
  </si>
  <si>
    <t>• AG-87:DT 12 hrs Scheduled Intermittent Production [Back To Production].
• Firestone-1X:DT 24 hrs Scheduled Intermittent Production [Still Down].</t>
  </si>
  <si>
    <t>Tank dipping.
WD33-15-11:D/T 6 hrs due to Underload Alarm. (Same D/T as yesterday.)( 0 BO)</t>
  </si>
  <si>
    <t>AG-(24, 64, 87), Rivera-02, Spyglass-01</t>
  </si>
  <si>
    <t>AG-(58, 68, 79), Firestone-01</t>
  </si>
  <si>
    <t>WD09-B05-1, AG-351</t>
  </si>
  <si>
    <t>Scheduled Intermittent Production. [Back to production].</t>
  </si>
  <si>
    <t>Scheduled Intermittent Production. [Still Down].</t>
  </si>
  <si>
    <t>No oil truck received today compared with one truck (90 BO) yesterday</t>
  </si>
  <si>
    <t>On Prod. 24 hrs.</t>
  </si>
  <si>
    <t>W.L Work</t>
  </si>
  <si>
    <t xml:space="preserve"> AG-31</t>
  </si>
  <si>
    <t>•	RIH W/ 2.15” G.C, passed free to 10500 ft (TOS) , POOH &amp; R/D all.</t>
  </si>
  <si>
    <t>•	RIH W/ 2.15” G.C, Passed free to 11737 ft (TOS) , POOH &amp; R/D all.</t>
  </si>
  <si>
    <t>Max:82.4F @ 5:00 PM - Min:68F @5:30AM</t>
  </si>
  <si>
    <t>Lines and wells performance:
• NEAG EPF: Today shipped (1443 BO) compared with (1445 BO) yesterday. (-2 BO)
• AG-115:Testing via Zero flare unit. Today pumped (531 BO) compared with (538 BO) yesterday. (-7BO)
• Spyglass-02: Today pumped ( 108 BO) through MTU (Min. Sep. P.) same as yesterday. (0 BO)
• Shadow-E08:Today pumped (166 BO) through fixed zero flare unit same as yesterday. (0 BO)
• Bolt 12-02: Received today one truck (47 BO) compared with one oil truck yesterday (43 BO).(4 BO)
• AG OP: drain (86 Bbls) VS yesterday drain (61 Bbls). (25 Bbls).</t>
  </si>
  <si>
    <t>AG-21, AG-31</t>
  </si>
  <si>
    <t>• AG-119,  EBED-A01, Redstone-01,  WD33-15-7, WD33-08: Online 24 hrs.
AG-99: D/T 4 hrs. due to GEN. PM.
WD33-N01, SWAG-01, SWAG-02: D/T 2 hrs due to Gen. PM.
Olympic-N1x: D/24 hrs. S/I the well till fix Olympic-03 Flowline.
• WD33-15 WTU: Stopped as per sigma request since 21-9-2026 (poor water specs).
• OAKHILL-01: S/I 24 hrs due to Reservoir Mangement.</t>
  </si>
  <si>
    <t>•	Prod. Team checked the FL, recorded P.11 pressure found 185 Psi at 09:00 AM and 180 psi at night. Plan to keep close monitoring the TL pressure to follow up the line performance.</t>
  </si>
  <si>
    <t>•Tested the well showed Drop in WHFP F/ 922 psi to 860 psi ( - 62 psi) accompanied with decrease in gas rate +/- 0.78 MMSCFD with avg 14.241 MMSCFD with same liquid rate with avg 170 BFPD, and 22% WC compared to last test dated 13-Aug-2026.
•	Plan to follow up the well parameters, and update test later on.</t>
  </si>
  <si>
    <t>• 	Tested the well showed improvement in liquid rate +/- 12 BFPD with avg 131 BFPD, 22% WC while gas rate 11.163 MMSCFD (- 0.14 MMSCFD) Compared to last test dated 03-Sep-2026.                    
• Plan to follow up the well parameters till test same later on.</t>
  </si>
  <si>
    <t>Checked the well performance, found it pumping with (PF= 81% &amp; yes. RT= 40%), then performed a TBG P/T to 500 psi, found it hold, (pressure increased F/180 psi, T/ 500 psi, within 6 min.). (The well runs intermittently &amp; was running since 24-Sep-2026)</t>
  </si>
  <si>
    <t>Checked well performance, found good pumping action with (PF= 81% &amp; Avg. RT= 83%), then performed a TBG P/T to 500 psi found it hold. (pressure increased F/160 psi , T/500 psi within 12 min.), also VSD/LWM2 control panel adjusted to run the well with pumping speed (F/2 spm, T/4 spm, Avg. speed 2 spm), (Checked the DBR fans found they working normally), (CSG open to flare through 2" line without return), (NLAP = 1403', 100% liq %, dated on 02-Oct-026)</t>
  </si>
  <si>
    <t>Ahmed Sabry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</si>
</sst>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3">
    <numFmt numFmtId="169" formatCode="_-* #,##0_-;\-* #,##0_-;_-* &quot;-&quot;_-;_-@_-"/>
    <numFmt numFmtId="170" formatCode="_-&quot;£&quot;* #,##0.00_-;\-&quot;£&quot;* #,##0.00_-;_-&quot;£&quot;* &quot;-&quot;??_-;_-@_-"/>
    <numFmt numFmtId="171" formatCode="_-* #,##0.00_-;\-* #,##0.00_-;_-* &quot;-&quot;??_-;_-@_-"/>
    <numFmt numFmtId="172" formatCode="_-* #,##0.00_-;_-* #,##0.00\-;_-* &quot;-&quot;??_-;_-@_-"/>
    <numFmt numFmtId="173" formatCode="_-&quot;£&quot;\ * #,##0.00_-;_-&quot;£&quot;\ * #,##0.00\-;_-&quot;£&quot;\ * &quot;-&quot;??_-;_-@_-"/>
    <numFmt numFmtId="174" formatCode="0.0"/>
    <numFmt numFmtId="175" formatCode="0.0000"/>
    <numFmt numFmtId="176" formatCode="0;\-"/>
    <numFmt numFmtId="177" formatCode="dd\-mmm\-yyyy"/>
    <numFmt numFmtId="178" formatCode="0&quot;/64th&quot;"/>
    <numFmt numFmtId="179" formatCode="0;;\-"/>
    <numFmt numFmtId="180" formatCode="0.000;;\-"/>
    <numFmt numFmtId="181" formatCode="0.0;;\-"/>
    <numFmt numFmtId="182" formatCode="0_ ;[Red]\-0\ "/>
    <numFmt numFmtId="183" formatCode="#,##0;;\-"/>
    <numFmt numFmtId="184" formatCode="yyyymmdd"/>
    <numFmt numFmtId="185" formatCode="0.0;\-"/>
    <numFmt numFmtId="186" formatCode="dd/mmm/yyyy"/>
    <numFmt numFmtId="187" formatCode="dd\-mmmm\-yyyy"/>
    <numFmt numFmtId="188" formatCode="0.000"/>
    <numFmt numFmtId="189" formatCode="0.00000"/>
    <numFmt numFmtId="190" formatCode="0.000000"/>
    <numFmt numFmtId="191" formatCode="0.0000;;\-"/>
    <numFmt numFmtId="192" formatCode="[$-F800]dddd\,\ mmmm\ dd\,\ yyyy"/>
    <numFmt numFmtId="193" formatCode="0.00;;\-"/>
    <numFmt numFmtId="194" formatCode="0.00000;;\-"/>
    <numFmt numFmtId="195" formatCode="0.000_ ;\-0.000\ "/>
    <numFmt numFmtId="196" formatCode="0&quot; BBL&quot;"/>
    <numFmt numFmtId="197" formatCode="#,##0.0;;\-"/>
    <numFmt numFmtId="198" formatCode="0.000000;;\-"/>
    <numFmt numFmtId="199" formatCode="_(* #,##0.0_);_(* \(#,##0.0\);_(* &quot;-&quot;??_);_(@_)"/>
    <numFmt numFmtId="200" formatCode="#,##0&quot;F&quot;_);[Red]\(#,##0&quot;F&quot;\)"/>
    <numFmt numFmtId="201" formatCode="_-&quot;ر.س.&quot;\ * #,##0_-;_-&quot;ر.س.&quot;\ * #,##0\-;_-&quot;ر.س.&quot;\ * &quot;-&quot;_-;_-@_-"/>
    <numFmt numFmtId="202" formatCode="&quot;ر.س.&quot;#,##0_);&quot;ر.س.&quot;\ \ \ \ \ \ \ \ \ \(#,##0\)"/>
    <numFmt numFmtId="203" formatCode="&quot;ر.س.&quot;##,##0_);[Red]\(&quot;ر.س.&quot;#,##0\)"/>
    <numFmt numFmtId="204" formatCode="0.00_)"/>
    <numFmt numFmtId="205" formatCode="#,##0\ &quot;BBL&quot;"/>
    <numFmt numFmtId="206" formatCode="_(&quot;£&quot;* #,##0.00_);_(&quot;£&quot;* \(#,##0.00\);_(&quot;£&quot;* &quot;-&quot;??_);_(@_)"/>
    <numFmt numFmtId="207" formatCode="[$-409]dd\-mmm\-yy;@"/>
    <numFmt numFmtId="208" formatCode="[$-409]d\-mmm\-yy;@"/>
    <numFmt numFmtId="209" formatCode="m/d/yy;@"/>
    <numFmt numFmtId="210" formatCode="[$-409]h:mm\ AM/PM;@"/>
    <numFmt numFmtId="211" formatCode="00000"/>
  </numFmts>
  <fonts count="191">
    <font>
      <sz val="10"/>
      <name val="Arial"/>
    </font>
    <font>
      <sz val="10"/>
      <name val="Arial"/>
      <family val="2"/>
    </font>
    <font>
      <sz val="8"/>
      <name val="Arial"/>
      <family val="2"/>
    </font>
    <font>
      <sz val="11"/>
      <name val="Arial"/>
      <family val="2"/>
    </font>
    <font>
      <b/>
      <sz val="11"/>
      <color indexed="9"/>
      <name val="Verdana"/>
      <family val="2"/>
    </font>
    <font>
      <sz val="10"/>
      <color indexed="56"/>
      <name val="Verdana"/>
      <family val="2"/>
    </font>
    <font>
      <sz val="10"/>
      <name val="Verdana"/>
      <family val="2"/>
    </font>
    <font>
      <b/>
      <sz val="10"/>
      <color indexed="9"/>
      <name val="Verdana"/>
      <family val="2"/>
    </font>
    <font>
      <b/>
      <sz val="12"/>
      <color indexed="18"/>
      <name val="Verdana"/>
      <family val="2"/>
    </font>
    <font>
      <b/>
      <u/>
      <sz val="12"/>
      <color indexed="56"/>
      <name val="Verdana"/>
      <family val="2"/>
    </font>
    <font>
      <sz val="12"/>
      <name val="Verdana"/>
      <family val="2"/>
    </font>
    <font>
      <b/>
      <sz val="10"/>
      <color indexed="63"/>
      <name val="Verdana"/>
      <family val="2"/>
    </font>
    <font>
      <sz val="10"/>
      <color indexed="12"/>
      <name val="Verdana"/>
      <family val="2"/>
    </font>
    <font>
      <sz val="9"/>
      <name val="Verdana"/>
      <family val="2"/>
    </font>
    <font>
      <sz val="8"/>
      <color indexed="9"/>
      <name val="Verdana"/>
      <family val="2"/>
    </font>
    <font>
      <b/>
      <sz val="10"/>
      <color indexed="8"/>
      <name val="Verdana"/>
      <family val="2"/>
    </font>
    <font>
      <sz val="11"/>
      <name val="Verdana"/>
      <family val="2"/>
    </font>
    <font>
      <sz val="12"/>
      <color indexed="12"/>
      <name val="Verdana"/>
      <family val="2"/>
    </font>
    <font>
      <b/>
      <sz val="11"/>
      <color indexed="18"/>
      <name val="Verdana"/>
      <family val="2"/>
    </font>
    <font>
      <sz val="10"/>
      <color indexed="10"/>
      <name val="Verdana"/>
      <family val="2"/>
    </font>
    <font>
      <b/>
      <sz val="10"/>
      <color indexed="18"/>
      <name val="Verdana"/>
      <family val="2"/>
    </font>
    <font>
      <sz val="12"/>
      <color indexed="56"/>
      <name val="Verdana"/>
      <family val="2"/>
    </font>
    <font>
      <b/>
      <sz val="10"/>
      <name val="Verdana"/>
      <family val="2"/>
    </font>
    <font>
      <sz val="8"/>
      <color indexed="12"/>
      <name val="Verdana"/>
      <family val="2"/>
    </font>
    <font>
      <sz val="8"/>
      <color indexed="56"/>
      <name val="Verdana"/>
      <family val="2"/>
    </font>
    <font>
      <sz val="10"/>
      <color indexed="8"/>
      <name val="Verdana"/>
      <family val="2"/>
    </font>
    <font>
      <sz val="10"/>
      <color indexed="9"/>
      <name val="Verdana"/>
      <family val="2"/>
    </font>
    <font>
      <b/>
      <sz val="10"/>
      <color indexed="56"/>
      <name val="Verdana"/>
      <family val="2"/>
    </font>
    <font>
      <sz val="9"/>
      <color indexed="56"/>
      <name val="Verdana"/>
      <family val="2"/>
    </font>
    <font>
      <sz val="10"/>
      <color indexed="63"/>
      <name val="Verdana"/>
      <family val="2"/>
    </font>
    <font>
      <b/>
      <sz val="10"/>
      <color indexed="10"/>
      <name val="Verdana"/>
      <family val="2"/>
    </font>
    <font>
      <sz val="8"/>
      <name val="Verdana"/>
      <family val="2"/>
    </font>
    <font>
      <sz val="9"/>
      <name val="Verdana"/>
      <family val="2"/>
    </font>
    <font>
      <b/>
      <sz val="9"/>
      <color indexed="9"/>
      <name val="Arial"/>
      <family val="2"/>
    </font>
    <font>
      <b/>
      <sz val="9"/>
      <color indexed="9"/>
      <name val="Verdana"/>
      <family val="2"/>
    </font>
    <font>
      <b/>
      <sz val="9"/>
      <color indexed="9"/>
      <name val="Verdana"/>
      <family val="2"/>
    </font>
    <font>
      <sz val="9"/>
      <color indexed="8"/>
      <name val="Verdana"/>
      <family val="2"/>
    </font>
    <font>
      <b/>
      <sz val="12"/>
      <color indexed="56"/>
      <name val="Verdana"/>
      <family val="2"/>
    </font>
    <font>
      <sz val="9"/>
      <name val="Arial"/>
      <family val="2"/>
    </font>
    <font>
      <sz val="11"/>
      <color indexed="12"/>
      <name val="Verdana"/>
      <family val="2"/>
    </font>
    <font>
      <sz val="10"/>
      <color indexed="55"/>
      <name val="Times New Roman"/>
      <family val="1"/>
    </font>
    <font>
      <sz val="12"/>
      <color indexed="55"/>
      <name val="Verdana"/>
      <family val="2"/>
    </font>
    <font>
      <sz val="10"/>
      <color indexed="55"/>
      <name val="Verdana"/>
      <family val="2"/>
    </font>
    <font>
      <sz val="10"/>
      <color indexed="55"/>
      <name val="Arial"/>
      <family val="2"/>
    </font>
    <font>
      <sz val="11"/>
      <color indexed="10"/>
      <name val="Verdana"/>
      <family val="2"/>
    </font>
    <font>
      <sz val="8"/>
      <color indexed="81"/>
      <name val="Tahoma"/>
      <family val="2"/>
    </font>
    <font>
      <b/>
      <sz val="8"/>
      <name val="Verdana"/>
      <family val="2"/>
    </font>
    <font>
      <b/>
      <sz val="8"/>
      <color indexed="56"/>
      <name val="Verdana"/>
      <family val="2"/>
    </font>
    <font>
      <b/>
      <sz val="8"/>
      <color indexed="10"/>
      <name val="Verdana"/>
      <family val="2"/>
    </font>
    <font>
      <b/>
      <sz val="8"/>
      <color indexed="8"/>
      <name val="Verdana"/>
      <family val="2"/>
    </font>
    <font>
      <sz val="8"/>
      <color indexed="8"/>
      <name val="Verdana"/>
      <family val="2"/>
    </font>
    <font>
      <sz val="9"/>
      <color indexed="81"/>
      <name val="Verdana"/>
      <family val="2"/>
    </font>
    <font>
      <b/>
      <sz val="9"/>
      <color indexed="81"/>
      <name val="Verdana"/>
      <family val="2"/>
    </font>
    <font>
      <sz val="9"/>
      <color indexed="8"/>
      <name val="Verdana"/>
      <family val="2"/>
    </font>
    <font>
      <b/>
      <sz val="11"/>
      <color indexed="12"/>
      <name val="Courier"/>
      <family val="3"/>
    </font>
    <font>
      <sz val="10"/>
      <color indexed="8"/>
      <name val="Arial"/>
      <family val="2"/>
    </font>
    <font>
      <sz val="8"/>
      <color indexed="10"/>
      <name val="Arial"/>
      <family val="2"/>
    </font>
    <font>
      <sz val="9"/>
      <color indexed="9"/>
      <name val="Arial"/>
      <family val="2"/>
    </font>
    <font>
      <b/>
      <sz val="10"/>
      <color indexed="81"/>
      <name val="Tahoma"/>
      <family val="2"/>
    </font>
    <font>
      <sz val="12"/>
      <color indexed="9"/>
      <name val="Verdana"/>
      <family val="2"/>
    </font>
    <font>
      <b/>
      <sz val="8"/>
      <color indexed="9"/>
      <name val="Verdana"/>
      <family val="2"/>
    </font>
    <font>
      <b/>
      <u/>
      <sz val="12"/>
      <color indexed="8"/>
      <name val="Verdana"/>
      <family val="2"/>
    </font>
    <font>
      <b/>
      <vertAlign val="superscript"/>
      <sz val="10"/>
      <color indexed="9"/>
      <name val="Verdana"/>
      <family val="2"/>
    </font>
    <font>
      <sz val="10"/>
      <name val="Arial"/>
      <family val="2"/>
    </font>
    <font>
      <sz val="7"/>
      <color indexed="8"/>
      <name val="Verdana"/>
      <family val="2"/>
    </font>
    <font>
      <sz val="9"/>
      <color indexed="16"/>
      <name val="Verdana"/>
      <family val="2"/>
    </font>
    <font>
      <sz val="10"/>
      <color indexed="9"/>
      <name val="Arial"/>
      <family val="2"/>
    </font>
    <font>
      <b/>
      <sz val="8"/>
      <color indexed="12"/>
      <name val="Verdana"/>
      <family val="2"/>
    </font>
    <font>
      <b/>
      <sz val="9"/>
      <color indexed="63"/>
      <name val="Verdana"/>
      <family val="2"/>
    </font>
    <font>
      <b/>
      <sz val="10"/>
      <name val="Arial"/>
      <family val="2"/>
    </font>
    <font>
      <b/>
      <sz val="12"/>
      <color indexed="9"/>
      <name val="Verdana"/>
      <family val="2"/>
    </font>
    <font>
      <sz val="9"/>
      <color indexed="12"/>
      <name val="Verdana"/>
      <family val="2"/>
    </font>
    <font>
      <sz val="9"/>
      <color indexed="23"/>
      <name val="Arial"/>
      <family val="2"/>
    </font>
    <font>
      <b/>
      <sz val="9"/>
      <color indexed="18"/>
      <name val="Verdana"/>
      <family val="2"/>
    </font>
    <font>
      <sz val="9"/>
      <color indexed="81"/>
      <name val="Tahoma"/>
      <family val="2"/>
    </font>
    <font>
      <b/>
      <sz val="8.5"/>
      <color indexed="9"/>
      <name val="Verdana"/>
      <family val="2"/>
    </font>
    <font>
      <sz val="10"/>
      <name val="Arial"/>
      <family val="2"/>
    </font>
    <font>
      <sz val="10"/>
      <name val="Arial"/>
      <family val="2"/>
    </font>
    <font>
      <sz val="10"/>
      <name val="Arial"/>
      <family val="2"/>
    </font>
    <font>
      <sz val="10"/>
      <name val="Arial"/>
      <family val="2"/>
    </font>
    <font>
      <sz val="10"/>
      <name val="Arial"/>
      <family val="2"/>
    </font>
    <font>
      <sz val="12"/>
      <name val="Arial"/>
      <family val="2"/>
    </font>
    <font>
      <b/>
      <sz val="8"/>
      <name val="MS Sans Serif"/>
      <family val="2"/>
    </font>
    <font>
      <sz val="10"/>
      <color indexed="22"/>
      <name val="Arial"/>
      <family val="2"/>
    </font>
    <font>
      <b/>
      <sz val="10"/>
      <name val="Times New Roman"/>
      <family val="1"/>
      <charset val="178"/>
    </font>
    <font>
      <b/>
      <sz val="12"/>
      <color indexed="22"/>
      <name val="Arial"/>
      <family val="2"/>
    </font>
    <font>
      <sz val="12"/>
      <name val="Tms Rmn"/>
      <charset val="178"/>
    </font>
    <font>
      <b/>
      <i/>
      <sz val="16"/>
      <name val="Helv"/>
      <charset val="178"/>
    </font>
    <font>
      <sz val="6"/>
      <name val="Helv"/>
      <charset val="178"/>
    </font>
    <font>
      <sz val="6"/>
      <color indexed="10"/>
      <name val="Helv"/>
      <charset val="178"/>
    </font>
    <font>
      <b/>
      <sz val="12"/>
      <color indexed="13"/>
      <name val="Arial MT"/>
      <charset val="178"/>
    </font>
    <font>
      <b/>
      <u/>
      <sz val="14"/>
      <name val="TimesNewRomanPS"/>
      <charset val="178"/>
    </font>
    <font>
      <sz val="12"/>
      <name val="TimesNewRomanPS"/>
      <charset val="178"/>
    </font>
    <font>
      <b/>
      <sz val="12"/>
      <name val="TimesNewRomanPS"/>
      <charset val="178"/>
    </font>
    <font>
      <sz val="8"/>
      <color indexed="12"/>
      <name val="Helv"/>
      <charset val="178"/>
    </font>
    <font>
      <sz val="8"/>
      <color indexed="14"/>
      <name val="Helv"/>
      <charset val="178"/>
    </font>
    <font>
      <b/>
      <sz val="8"/>
      <name val="Helv"/>
      <charset val="178"/>
    </font>
    <font>
      <sz val="10"/>
      <name val="Arial"/>
      <family val="2"/>
    </font>
    <font>
      <sz val="10"/>
      <name val="Arial"/>
      <family val="2"/>
    </font>
    <font>
      <sz val="10"/>
      <name val="Arial"/>
      <family val="2"/>
    </font>
    <font>
      <sz val="16"/>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b/>
      <sz val="11"/>
      <color indexed="10"/>
      <name val="Verdana"/>
      <family val="2"/>
    </font>
    <font>
      <b/>
      <sz val="9"/>
      <color indexed="41"/>
      <name val="Arial"/>
      <family val="2"/>
    </font>
    <font>
      <b/>
      <sz val="9"/>
      <color indexed="10"/>
      <name val="Arial"/>
      <family val="2"/>
    </font>
    <font>
      <b/>
      <sz val="11"/>
      <color indexed="12"/>
      <name val="Verdana"/>
      <family val="2"/>
    </font>
    <font>
      <b/>
      <sz val="10"/>
      <color indexed="41"/>
      <name val="Verdana"/>
      <family val="2"/>
    </font>
    <font>
      <b/>
      <sz val="10"/>
      <color indexed="41"/>
      <name val="Arial"/>
      <family val="2"/>
    </font>
    <font>
      <b/>
      <sz val="11"/>
      <color indexed="10"/>
      <name val="Arial"/>
      <family val="2"/>
    </font>
    <font>
      <sz val="10"/>
      <name val="Arial"/>
      <family val="2"/>
    </font>
    <font>
      <sz val="9"/>
      <color indexed="81"/>
      <name val="Tahoma"/>
      <family val="2"/>
    </font>
    <font>
      <sz val="10"/>
      <name val="Arial"/>
      <family val="2"/>
    </font>
    <font>
      <sz val="10"/>
      <name val="Arial"/>
      <family val="2"/>
    </font>
    <font>
      <sz val="10"/>
      <name val="Arial"/>
      <family val="2"/>
    </font>
    <font>
      <sz val="10"/>
      <name val="Arial"/>
      <family val="2"/>
    </font>
    <font>
      <sz val="13"/>
      <color indexed="10"/>
      <name val="Verdana"/>
      <family val="2"/>
    </font>
    <font>
      <b/>
      <sz val="13"/>
      <color indexed="56"/>
      <name val="Verdana"/>
      <family val="2"/>
    </font>
    <font>
      <b/>
      <sz val="13"/>
      <color indexed="10"/>
      <name val="Verdana"/>
      <family val="2"/>
    </font>
    <font>
      <b/>
      <sz val="13"/>
      <color indexed="8"/>
      <name val="Verdana"/>
      <family val="2"/>
    </font>
    <font>
      <sz val="13"/>
      <name val="Verdana"/>
      <family val="2"/>
    </font>
    <font>
      <b/>
      <u/>
      <sz val="10"/>
      <color indexed="63"/>
      <name val="Verdana"/>
      <family val="2"/>
    </font>
    <font>
      <b/>
      <sz val="9"/>
      <name val="Verdana"/>
      <family val="2"/>
    </font>
    <font>
      <b/>
      <sz val="13"/>
      <name val="Verdana"/>
      <family val="2"/>
    </font>
    <font>
      <b/>
      <vertAlign val="superscript"/>
      <sz val="10"/>
      <color indexed="9"/>
      <name val="Verdana"/>
      <family val="2"/>
    </font>
    <font>
      <sz val="10"/>
      <color indexed="18"/>
      <name val="Verdana"/>
      <family val="2"/>
    </font>
    <font>
      <sz val="10"/>
      <color indexed="10"/>
      <name val="Verdana"/>
      <family val="2"/>
    </font>
    <font>
      <sz val="10"/>
      <color indexed="10"/>
      <name val="Arial"/>
      <family val="2"/>
    </font>
    <font>
      <sz val="10"/>
      <color indexed="18"/>
      <name val="Arial"/>
      <family val="2"/>
    </font>
    <font>
      <b/>
      <sz val="9"/>
      <color indexed="10"/>
      <name val="Verdana"/>
      <family val="2"/>
    </font>
    <font>
      <b/>
      <u/>
      <sz val="12"/>
      <color indexed="10"/>
      <name val="Verdana"/>
      <family val="2"/>
    </font>
    <font>
      <b/>
      <sz val="12"/>
      <color indexed="10"/>
      <name val="Verdana"/>
      <family val="2"/>
    </font>
    <font>
      <sz val="11"/>
      <color indexed="10"/>
      <name val="Verdana"/>
      <family val="2"/>
    </font>
    <font>
      <sz val="12"/>
      <color indexed="10"/>
      <name val="Verdana"/>
      <family val="2"/>
    </font>
    <font>
      <sz val="10"/>
      <color indexed="9"/>
      <name val="Arial"/>
      <family val="2"/>
    </font>
    <font>
      <sz val="12"/>
      <color indexed="18"/>
      <name val="Verdana"/>
      <family val="2"/>
    </font>
    <font>
      <b/>
      <sz val="9"/>
      <color indexed="18"/>
      <name val="Verdana"/>
      <family val="2"/>
    </font>
    <font>
      <sz val="9"/>
      <color indexed="9"/>
      <name val="Verdana"/>
      <family val="2"/>
    </font>
    <font>
      <sz val="11"/>
      <color indexed="18"/>
      <name val="Verdana"/>
      <family val="2"/>
    </font>
    <font>
      <sz val="18"/>
      <name val="Calibri"/>
      <family val="2"/>
    </font>
    <font>
      <b/>
      <sz val="16"/>
      <color indexed="13"/>
      <name val="Calibri"/>
      <family val="2"/>
    </font>
    <font>
      <b/>
      <sz val="10"/>
      <color indexed="9"/>
      <name val="Verdana"/>
      <family val="2"/>
    </font>
    <font>
      <sz val="13"/>
      <color indexed="9"/>
      <name val="Verdana"/>
      <family val="2"/>
    </font>
    <font>
      <sz val="11"/>
      <name val="Calibri"/>
      <family val="2"/>
    </font>
    <font>
      <b/>
      <sz val="10"/>
      <color indexed="56"/>
      <name val="Verdana"/>
      <family val="2"/>
    </font>
    <font>
      <b/>
      <sz val="10"/>
      <color indexed="9"/>
      <name val="Verdana"/>
      <family val="2"/>
    </font>
    <font>
      <sz val="11"/>
      <name val="Calibri"/>
      <family val="2"/>
    </font>
    <font>
      <sz val="8"/>
      <name val="Arial"/>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b/>
      <sz val="14"/>
      <color indexed="10"/>
      <name val="Verdana"/>
      <family val="2"/>
    </font>
    <font>
      <sz val="9"/>
      <color indexed="81"/>
      <name val="Tahoma"/>
      <family val="2"/>
    </font>
    <font>
      <b/>
      <sz val="9"/>
      <color indexed="81"/>
      <name val="Tahoma"/>
      <family val="2"/>
    </font>
    <font>
      <sz val="14"/>
      <color indexed="12"/>
      <name val="Verdana"/>
      <family val="2"/>
    </font>
    <font>
      <sz val="10"/>
      <name val="Arial"/>
      <family val="2"/>
    </font>
    <font>
      <sz val="10"/>
      <color indexed="10"/>
      <name val="Verdana"/>
      <family val="2"/>
    </font>
    <font>
      <b/>
      <sz val="9"/>
      <color indexed="10"/>
      <name val="Verdana"/>
      <family val="2"/>
    </font>
    <font>
      <sz val="10"/>
      <color indexed="9"/>
      <name val="Verdana"/>
      <family val="2"/>
    </font>
    <font>
      <b/>
      <sz val="12"/>
      <name val="Arial"/>
      <family val="2"/>
    </font>
    <font>
      <b/>
      <sz val="16"/>
      <name val="Arial"/>
      <family val="2"/>
    </font>
    <font>
      <b/>
      <sz val="16"/>
      <color indexed="56"/>
      <name val="Verdana"/>
      <family val="2"/>
    </font>
    <font>
      <b/>
      <sz val="15"/>
      <color indexed="12"/>
      <name val="Verdana"/>
      <family val="2"/>
    </font>
    <font>
      <b/>
      <sz val="14"/>
      <color indexed="12"/>
      <name val="Verdana"/>
      <family val="2"/>
    </font>
    <font>
      <b/>
      <sz val="20"/>
      <color indexed="9"/>
      <name val="Verdana"/>
      <family val="2"/>
    </font>
    <font>
      <b/>
      <sz val="13"/>
      <color indexed="9"/>
      <name val="Verdana"/>
      <family val="2"/>
    </font>
    <font>
      <b/>
      <sz val="16"/>
      <name val="Verdana"/>
      <family val="2"/>
    </font>
    <font>
      <b/>
      <sz val="16"/>
      <color indexed="10"/>
      <name val="Verdana"/>
      <family val="2"/>
    </font>
    <font>
      <sz val="14"/>
      <color indexed="56"/>
      <name val="Verdana"/>
      <family val="2"/>
    </font>
    <font>
      <sz val="13"/>
      <color indexed="56"/>
      <name val="Verdana"/>
      <family val="2"/>
    </font>
    <font>
      <sz val="16"/>
      <color indexed="56"/>
      <name val="Verdana"/>
      <family val="2"/>
    </font>
    <font>
      <sz val="14"/>
      <color indexed="10"/>
      <name val="Verdana"/>
      <family val="2"/>
    </font>
    <font>
      <b/>
      <sz val="14"/>
      <color indexed="56"/>
      <name val="Verdana"/>
      <family val="2"/>
    </font>
    <font>
      <sz val="14"/>
      <color indexed="8"/>
      <name val="Verdana"/>
      <family val="2"/>
    </font>
    <font>
      <b/>
      <u/>
      <sz val="14"/>
      <color indexed="10"/>
      <name val="Calibri"/>
      <family val="2"/>
    </font>
    <font>
      <sz val="16"/>
      <color indexed="12"/>
      <name val="Verdana"/>
      <family val="2"/>
    </font>
    <font>
      <sz val="11"/>
      <color theme="1"/>
      <name val="Arial"/>
      <family val="2"/>
    </font>
    <font>
      <sz val="11"/>
      <color rgb="FF9C0006"/>
      <name val="Calibri"/>
      <family val="2"/>
    </font>
    <font>
      <u/>
      <sz val="10"/>
      <color theme="10"/>
      <name val="Arial"/>
      <family val="2"/>
    </font>
    <font>
      <sz val="11"/>
      <color theme="1"/>
      <name val="Arial"/>
      <family val="2"/>
      <charset val="178"/>
    </font>
    <font>
      <sz val="11"/>
      <color theme="1"/>
      <name val="Calibri"/>
      <family val="2"/>
      <charset val="178"/>
    </font>
    <font>
      <sz val="11"/>
      <color theme="1"/>
      <name val="Calibri"/>
      <family val="2"/>
    </font>
  </fonts>
  <fills count="20">
    <fill>
      <patternFill patternType="none"/>
    </fill>
    <fill>
      <patternFill patternType="gray125"/>
    </fill>
    <fill>
      <patternFill patternType="solid">
        <fgColor indexed="26"/>
      </patternFill>
    </fill>
    <fill>
      <patternFill patternType="solid">
        <fgColor indexed="22"/>
      </patternFill>
    </fill>
    <fill>
      <patternFill patternType="solid">
        <fgColor indexed="46"/>
      </patternFill>
    </fill>
    <fill>
      <patternFill patternType="solid">
        <fgColor indexed="10"/>
        <bgColor indexed="9"/>
      </patternFill>
    </fill>
    <fill>
      <patternFill patternType="solid">
        <fgColor indexed="9"/>
        <bgColor indexed="64"/>
      </patternFill>
    </fill>
    <fill>
      <patternFill patternType="solid">
        <fgColor indexed="47"/>
        <bgColor indexed="64"/>
      </patternFill>
    </fill>
    <fill>
      <patternFill patternType="solid">
        <fgColor indexed="51"/>
        <bgColor indexed="64"/>
      </patternFill>
    </fill>
    <fill>
      <patternFill patternType="solid">
        <fgColor indexed="41"/>
        <bgColor indexed="64"/>
      </patternFill>
    </fill>
    <fill>
      <patternFill patternType="solid">
        <fgColor indexed="40"/>
        <bgColor indexed="64"/>
      </patternFill>
    </fill>
    <fill>
      <patternFill patternType="solid">
        <fgColor indexed="17"/>
        <bgColor indexed="64"/>
      </patternFill>
    </fill>
    <fill>
      <patternFill patternType="solid">
        <fgColor indexed="45"/>
        <bgColor indexed="64"/>
      </patternFill>
    </fill>
    <fill>
      <patternFill patternType="solid">
        <fgColor indexed="29"/>
        <bgColor indexed="64"/>
      </patternFill>
    </fill>
    <fill>
      <patternFill patternType="solid">
        <fgColor indexed="26"/>
        <bgColor indexed="64"/>
      </patternFill>
    </fill>
    <fill>
      <patternFill patternType="solid">
        <fgColor indexed="13"/>
        <bgColor indexed="64"/>
      </patternFill>
    </fill>
    <fill>
      <patternFill patternType="solid">
        <fgColor indexed="34"/>
        <bgColor indexed="64"/>
      </patternFill>
    </fill>
    <fill>
      <patternFill patternType="solid">
        <fgColor indexed="31"/>
        <bgColor indexed="64"/>
      </patternFill>
    </fill>
    <fill>
      <patternFill patternType="solid">
        <fgColor indexed="9"/>
        <bgColor indexed="8"/>
      </patternFill>
    </fill>
    <fill>
      <patternFill patternType="solid">
        <fgColor indexed="22"/>
        <bgColor indexed="64"/>
      </patternFill>
    </fill>
  </fills>
  <borders count="216">
    <border>
      <left/>
      <right/>
      <top/>
      <bottom/>
      <diagonal/>
    </border>
    <border>
      <left style="thin">
        <color indexed="55"/>
      </left>
      <right style="thin">
        <color indexed="55"/>
      </right>
      <top style="thin">
        <color indexed="55"/>
      </top>
      <bottom style="thin">
        <color indexed="55"/>
      </bottom>
      <diagonal/>
    </border>
    <border>
      <left style="double">
        <color indexed="64"/>
      </left>
      <right/>
      <top/>
      <bottom/>
      <diagonal/>
    </border>
    <border>
      <left/>
      <right/>
      <top/>
      <bottom style="double">
        <color indexed="8"/>
      </bottom>
      <diagonal/>
    </border>
    <border>
      <left style="double">
        <color indexed="64"/>
      </left>
      <right/>
      <top style="double">
        <color indexed="64"/>
      </top>
      <bottom/>
      <diagonal/>
    </border>
    <border>
      <left style="hair">
        <color indexed="64"/>
      </left>
      <right/>
      <top/>
      <bottom style="hair">
        <color indexed="64"/>
      </bottom>
      <diagonal/>
    </border>
    <border>
      <left style="hair">
        <color indexed="64"/>
      </left>
      <right/>
      <top style="double">
        <color indexed="64"/>
      </top>
      <bottom style="hair">
        <color indexed="64"/>
      </bottom>
      <diagonal/>
    </border>
    <border>
      <left style="thin">
        <color indexed="43"/>
      </left>
      <right style="thin">
        <color indexed="43"/>
      </right>
      <top style="thin">
        <color indexed="43"/>
      </top>
      <bottom style="thin">
        <color indexed="43"/>
      </bottom>
      <diagonal/>
    </border>
    <border>
      <left style="medium">
        <color indexed="64"/>
      </left>
      <right style="medium">
        <color indexed="64"/>
      </right>
      <top style="medium">
        <color indexed="64"/>
      </top>
      <bottom style="medium">
        <color indexed="64"/>
      </bottom>
      <diagonal/>
    </border>
    <border>
      <left style="hair">
        <color indexed="64"/>
      </left>
      <right style="hair">
        <color indexed="64"/>
      </right>
      <top/>
      <bottom/>
      <diagonal/>
    </border>
    <border>
      <left style="thick">
        <color indexed="64"/>
      </left>
      <right/>
      <top style="hair">
        <color indexed="64"/>
      </top>
      <bottom style="double">
        <color indexed="64"/>
      </bottom>
      <diagonal/>
    </border>
    <border>
      <left style="thin">
        <color indexed="64"/>
      </left>
      <right style="thin">
        <color indexed="55"/>
      </right>
      <top style="thin">
        <color indexed="55"/>
      </top>
      <bottom style="thin">
        <color indexed="55"/>
      </bottom>
      <diagonal/>
    </border>
    <border>
      <left style="thin">
        <color indexed="22"/>
      </left>
      <right style="thin">
        <color indexed="22"/>
      </right>
      <top style="thin">
        <color indexed="64"/>
      </top>
      <bottom style="thin">
        <color indexed="55"/>
      </bottom>
      <diagonal/>
    </border>
    <border>
      <left style="thin">
        <color indexed="64"/>
      </left>
      <right style="thin">
        <color indexed="22"/>
      </right>
      <top style="thin">
        <color indexed="64"/>
      </top>
      <bottom style="thin">
        <color indexed="55"/>
      </bottom>
      <diagonal/>
    </border>
    <border>
      <left style="thin">
        <color indexed="64"/>
      </left>
      <right style="thin">
        <color indexed="22"/>
      </right>
      <top style="thin">
        <color indexed="22"/>
      </top>
      <bottom/>
      <diagonal/>
    </border>
    <border>
      <left style="thin">
        <color indexed="22"/>
      </left>
      <right style="thin">
        <color indexed="22"/>
      </right>
      <top style="thin">
        <color indexed="22"/>
      </top>
      <bottom/>
      <diagonal/>
    </border>
    <border>
      <left style="thin">
        <color indexed="22"/>
      </left>
      <right style="thin">
        <color indexed="64"/>
      </right>
      <top style="thin">
        <color indexed="22"/>
      </top>
      <bottom/>
      <diagonal/>
    </border>
    <border>
      <left style="thin">
        <color indexed="64"/>
      </left>
      <right style="thin">
        <color indexed="22"/>
      </right>
      <top style="thin">
        <color indexed="64"/>
      </top>
      <bottom style="thin">
        <color indexed="64"/>
      </bottom>
      <diagonal/>
    </border>
    <border>
      <left style="thin">
        <color indexed="22"/>
      </left>
      <right style="thin">
        <color indexed="22"/>
      </right>
      <top style="thin">
        <color indexed="64"/>
      </top>
      <bottom style="thin">
        <color indexed="64"/>
      </bottom>
      <diagonal/>
    </border>
    <border>
      <left style="thin">
        <color indexed="64"/>
      </left>
      <right style="thin">
        <color indexed="64"/>
      </right>
      <top style="thin">
        <color indexed="64"/>
      </top>
      <bottom/>
      <diagonal/>
    </border>
    <border>
      <left style="thin">
        <color indexed="22"/>
      </left>
      <right style="thin">
        <color indexed="22"/>
      </right>
      <top style="thin">
        <color indexed="64"/>
      </top>
      <bottom/>
      <diagonal/>
    </border>
    <border>
      <left style="thin">
        <color indexed="64"/>
      </left>
      <right style="thin">
        <color indexed="64"/>
      </right>
      <top style="thin">
        <color indexed="55"/>
      </top>
      <bottom style="thin">
        <color indexed="55"/>
      </bottom>
      <diagonal/>
    </border>
    <border>
      <left style="thin">
        <color indexed="64"/>
      </left>
      <right style="thin">
        <color indexed="64"/>
      </right>
      <top style="thin">
        <color indexed="55"/>
      </top>
      <bottom style="thin">
        <color indexed="64"/>
      </bottom>
      <diagonal/>
    </border>
    <border>
      <left style="thin">
        <color indexed="22"/>
      </left>
      <right/>
      <top style="thin">
        <color indexed="64"/>
      </top>
      <bottom/>
      <diagonal/>
    </border>
    <border>
      <left style="thin">
        <color indexed="55"/>
      </left>
      <right/>
      <top style="thin">
        <color indexed="55"/>
      </top>
      <bottom style="thin">
        <color indexed="55"/>
      </bottom>
      <diagonal/>
    </border>
    <border>
      <left style="thin">
        <color indexed="55"/>
      </left>
      <right style="thin">
        <color indexed="64"/>
      </right>
      <top style="thin">
        <color indexed="55"/>
      </top>
      <bottom style="thin">
        <color indexed="55"/>
      </bottom>
      <diagonal/>
    </border>
    <border>
      <left style="thin">
        <color indexed="9"/>
      </left>
      <right style="thin">
        <color indexed="64"/>
      </right>
      <top style="thin">
        <color indexed="64"/>
      </top>
      <bottom style="thin">
        <color indexed="55"/>
      </bottom>
      <diagonal/>
    </border>
    <border>
      <left/>
      <right/>
      <top/>
      <bottom style="thin">
        <color indexed="64"/>
      </bottom>
      <diagonal/>
    </border>
    <border>
      <left style="thin">
        <color indexed="55"/>
      </left>
      <right style="thin">
        <color indexed="55"/>
      </right>
      <top style="thin">
        <color indexed="55"/>
      </top>
      <bottom/>
      <diagonal/>
    </border>
    <border>
      <left/>
      <right/>
      <top style="thin">
        <color indexed="64"/>
      </top>
      <bottom/>
      <diagonal/>
    </border>
    <border>
      <left style="thin">
        <color indexed="55"/>
      </left>
      <right style="thin">
        <color indexed="22"/>
      </right>
      <top style="thin">
        <color indexed="55"/>
      </top>
      <bottom style="thin">
        <color indexed="55"/>
      </bottom>
      <diagonal/>
    </border>
    <border>
      <left style="thin">
        <color indexed="22"/>
      </left>
      <right style="thin">
        <color indexed="55"/>
      </right>
      <top style="thin">
        <color indexed="55"/>
      </top>
      <bottom style="thin">
        <color indexed="55"/>
      </bottom>
      <diagonal/>
    </border>
    <border>
      <left style="thin">
        <color indexed="64"/>
      </left>
      <right style="thin">
        <color indexed="64"/>
      </right>
      <top style="thin">
        <color indexed="64"/>
      </top>
      <bottom style="thin">
        <color indexed="64"/>
      </bottom>
      <diagonal/>
    </border>
    <border>
      <left/>
      <right style="thin">
        <color indexed="22"/>
      </right>
      <top style="thin">
        <color indexed="64"/>
      </top>
      <bottom/>
      <diagonal/>
    </border>
    <border>
      <left style="thin">
        <color indexed="22"/>
      </left>
      <right/>
      <top style="thin">
        <color indexed="22"/>
      </top>
      <bottom/>
      <diagonal/>
    </border>
    <border>
      <left style="thin">
        <color indexed="64"/>
      </left>
      <right style="thin">
        <color indexed="22"/>
      </right>
      <top style="thin">
        <color indexed="64"/>
      </top>
      <bottom/>
      <diagonal/>
    </border>
    <border>
      <left style="thin">
        <color indexed="22"/>
      </left>
      <right style="thin">
        <color indexed="64"/>
      </right>
      <top style="thin">
        <color indexed="64"/>
      </top>
      <bottom/>
      <diagonal/>
    </border>
    <border>
      <left style="thin">
        <color indexed="55"/>
      </left>
      <right style="thin">
        <color indexed="55"/>
      </right>
      <top style="thin">
        <color indexed="55"/>
      </top>
      <bottom style="thin">
        <color indexed="22"/>
      </bottom>
      <diagonal/>
    </border>
    <border>
      <left/>
      <right style="thin">
        <color indexed="55"/>
      </right>
      <top style="thin">
        <color indexed="55"/>
      </top>
      <bottom style="thin">
        <color indexed="55"/>
      </bottom>
      <diagonal/>
    </border>
    <border>
      <left style="thin">
        <color indexed="55"/>
      </left>
      <right style="thin">
        <color indexed="55"/>
      </right>
      <top style="thin">
        <color indexed="22"/>
      </top>
      <bottom style="thin">
        <color indexed="22"/>
      </bottom>
      <diagonal/>
    </border>
    <border>
      <left style="thin">
        <color indexed="55"/>
      </left>
      <right style="thin">
        <color indexed="55"/>
      </right>
      <top style="thin">
        <color indexed="22"/>
      </top>
      <bottom style="thin">
        <color indexed="55"/>
      </bottom>
      <diagonal/>
    </border>
    <border>
      <left/>
      <right/>
      <top style="thin">
        <color indexed="55"/>
      </top>
      <bottom style="thin">
        <color indexed="55"/>
      </bottom>
      <diagonal/>
    </border>
    <border>
      <left/>
      <right style="thin">
        <color indexed="64"/>
      </right>
      <top style="thin">
        <color indexed="55"/>
      </top>
      <bottom style="thin">
        <color indexed="55"/>
      </bottom>
      <diagonal/>
    </border>
    <border>
      <left style="thin">
        <color indexed="64"/>
      </left>
      <right style="thin">
        <color indexed="55"/>
      </right>
      <top style="thin">
        <color indexed="55"/>
      </top>
      <bottom style="thin">
        <color indexed="64"/>
      </bottom>
      <diagonal/>
    </border>
    <border>
      <left style="thin">
        <color indexed="55"/>
      </left>
      <right/>
      <top style="thin">
        <color indexed="55"/>
      </top>
      <bottom style="thin">
        <color indexed="64"/>
      </bottom>
      <diagonal/>
    </border>
    <border>
      <left/>
      <right style="thin">
        <color indexed="55"/>
      </right>
      <top style="thin">
        <color indexed="55"/>
      </top>
      <bottom style="thin">
        <color indexed="64"/>
      </bottom>
      <diagonal/>
    </border>
    <border>
      <left style="thin">
        <color indexed="55"/>
      </left>
      <right style="thin">
        <color indexed="64"/>
      </right>
      <top style="thin">
        <color indexed="55"/>
      </top>
      <bottom style="thin">
        <color indexed="64"/>
      </bottom>
      <diagonal/>
    </border>
    <border>
      <left style="thin">
        <color indexed="64"/>
      </left>
      <right style="thin">
        <color indexed="55"/>
      </right>
      <top style="thin">
        <color indexed="55"/>
      </top>
      <bottom/>
      <diagonal/>
    </border>
    <border>
      <left style="thin">
        <color indexed="55"/>
      </left>
      <right/>
      <top style="thin">
        <color indexed="55"/>
      </top>
      <bottom/>
      <diagonal/>
    </border>
    <border>
      <left/>
      <right style="thin">
        <color indexed="55"/>
      </right>
      <top style="thin">
        <color indexed="55"/>
      </top>
      <bottom/>
      <diagonal/>
    </border>
    <border>
      <left style="thin">
        <color indexed="55"/>
      </left>
      <right style="thin">
        <color indexed="64"/>
      </right>
      <top style="thin">
        <color indexed="55"/>
      </top>
      <bottom/>
      <diagonal/>
    </border>
    <border diagonalDown="1">
      <left style="thin">
        <color indexed="64"/>
      </left>
      <right style="thin">
        <color indexed="55"/>
      </right>
      <top style="thin">
        <color indexed="64"/>
      </top>
      <bottom style="thin">
        <color indexed="55"/>
      </bottom>
      <diagonal style="thin">
        <color indexed="22"/>
      </diagonal>
    </border>
    <border>
      <left style="thin">
        <color indexed="55"/>
      </left>
      <right style="thin">
        <color indexed="55"/>
      </right>
      <top style="thin">
        <color indexed="64"/>
      </top>
      <bottom style="thin">
        <color indexed="55"/>
      </bottom>
      <diagonal/>
    </border>
    <border>
      <left style="thin">
        <color indexed="55"/>
      </left>
      <right style="thin">
        <color indexed="64"/>
      </right>
      <top style="thin">
        <color indexed="64"/>
      </top>
      <bottom style="thin">
        <color indexed="55"/>
      </bottom>
      <diagonal/>
    </border>
    <border>
      <left style="thin">
        <color indexed="55"/>
      </left>
      <right style="thin">
        <color indexed="55"/>
      </right>
      <top style="thin">
        <color indexed="55"/>
      </top>
      <bottom style="thin">
        <color indexed="64"/>
      </bottom>
      <diagonal/>
    </border>
    <border>
      <left style="thin">
        <color indexed="55"/>
      </left>
      <right style="thin">
        <color indexed="22"/>
      </right>
      <top/>
      <bottom style="thin">
        <color indexed="55"/>
      </bottom>
      <diagonal/>
    </border>
    <border>
      <left/>
      <right style="thin">
        <color indexed="55"/>
      </right>
      <top/>
      <bottom style="thin">
        <color indexed="55"/>
      </bottom>
      <diagonal/>
    </border>
    <border>
      <left/>
      <right style="thin">
        <color indexed="22"/>
      </right>
      <top style="thin">
        <color indexed="64"/>
      </top>
      <bottom style="thin">
        <color indexed="55"/>
      </bottom>
      <diagonal/>
    </border>
    <border>
      <left style="thin">
        <color indexed="22"/>
      </left>
      <right style="thin">
        <color indexed="64"/>
      </right>
      <top style="thin">
        <color indexed="64"/>
      </top>
      <bottom style="thin">
        <color indexed="55"/>
      </bottom>
      <diagonal/>
    </border>
    <border>
      <left style="thin">
        <color indexed="64"/>
      </left>
      <right style="thin">
        <color indexed="43"/>
      </right>
      <top style="thin">
        <color indexed="43"/>
      </top>
      <bottom style="thin">
        <color indexed="43"/>
      </bottom>
      <diagonal/>
    </border>
    <border>
      <left style="thin">
        <color indexed="43"/>
      </left>
      <right style="thin">
        <color indexed="43"/>
      </right>
      <top style="thin">
        <color indexed="43"/>
      </top>
      <bottom/>
      <diagonal/>
    </border>
    <border>
      <left style="thin">
        <color indexed="55"/>
      </left>
      <right style="thin">
        <color indexed="55"/>
      </right>
      <top/>
      <bottom style="thin">
        <color indexed="55"/>
      </bottom>
      <diagonal/>
    </border>
    <border>
      <left/>
      <right style="thin">
        <color indexed="64"/>
      </right>
      <top/>
      <bottom/>
      <diagonal/>
    </border>
    <border>
      <left/>
      <right/>
      <top style="thin">
        <color indexed="64"/>
      </top>
      <bottom style="thin">
        <color indexed="64"/>
      </bottom>
      <diagonal/>
    </border>
    <border>
      <left style="thin">
        <color indexed="43"/>
      </left>
      <right style="thin">
        <color indexed="64"/>
      </right>
      <top style="thin">
        <color indexed="43"/>
      </top>
      <bottom style="thin">
        <color indexed="43"/>
      </bottom>
      <diagonal/>
    </border>
    <border>
      <left style="thin">
        <color indexed="43"/>
      </left>
      <right style="thin">
        <color indexed="64"/>
      </right>
      <top style="thin">
        <color indexed="43"/>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55"/>
      </bottom>
      <diagonal/>
    </border>
    <border>
      <left style="thin">
        <color indexed="22"/>
      </left>
      <right style="thin">
        <color indexed="22"/>
      </right>
      <top style="thin">
        <color indexed="55"/>
      </top>
      <bottom style="thin">
        <color indexed="55"/>
      </bottom>
      <diagonal/>
    </border>
    <border>
      <left style="thin">
        <color indexed="64"/>
      </left>
      <right style="thin">
        <color indexed="55"/>
      </right>
      <top style="thin">
        <color indexed="55"/>
      </top>
      <bottom style="thin">
        <color indexed="43"/>
      </bottom>
      <diagonal/>
    </border>
    <border>
      <left style="thin">
        <color indexed="55"/>
      </left>
      <right style="thin">
        <color indexed="55"/>
      </right>
      <top style="thin">
        <color indexed="55"/>
      </top>
      <bottom style="thin">
        <color indexed="43"/>
      </bottom>
      <diagonal/>
    </border>
    <border>
      <left/>
      <right style="thin">
        <color indexed="55"/>
      </right>
      <top style="thin">
        <color indexed="43"/>
      </top>
      <bottom style="thin">
        <color indexed="43"/>
      </bottom>
      <diagonal/>
    </border>
    <border>
      <left style="thin">
        <color indexed="55"/>
      </left>
      <right style="thin">
        <color indexed="55"/>
      </right>
      <top style="thin">
        <color indexed="43"/>
      </top>
      <bottom style="thin">
        <color indexed="43"/>
      </bottom>
      <diagonal/>
    </border>
    <border>
      <left style="thin">
        <color indexed="43"/>
      </left>
      <right style="thin">
        <color indexed="64"/>
      </right>
      <top style="thin">
        <color indexed="64"/>
      </top>
      <bottom style="thin">
        <color indexed="43"/>
      </bottom>
      <diagonal/>
    </border>
    <border>
      <left style="thin">
        <color indexed="9"/>
      </left>
      <right style="thin">
        <color indexed="9"/>
      </right>
      <top style="thin">
        <color indexed="9"/>
      </top>
      <bottom/>
      <diagonal/>
    </border>
    <border>
      <left style="thin">
        <color indexed="9"/>
      </left>
      <right style="thin">
        <color indexed="64"/>
      </right>
      <top style="thin">
        <color indexed="9"/>
      </top>
      <bottom/>
      <diagonal/>
    </border>
    <border>
      <left style="thin">
        <color indexed="55"/>
      </left>
      <right/>
      <top style="thin">
        <color indexed="64"/>
      </top>
      <bottom style="thin">
        <color indexed="55"/>
      </bottom>
      <diagonal/>
    </border>
    <border>
      <left/>
      <right/>
      <top style="thin">
        <color indexed="64"/>
      </top>
      <bottom style="thin">
        <color indexed="55"/>
      </bottom>
      <diagonal/>
    </border>
    <border>
      <left/>
      <right style="thin">
        <color indexed="64"/>
      </right>
      <top style="thin">
        <color indexed="64"/>
      </top>
      <bottom style="thin">
        <color indexed="55"/>
      </bottom>
      <diagonal/>
    </border>
    <border>
      <left/>
      <right style="thin">
        <color indexed="64"/>
      </right>
      <top/>
      <bottom style="thin">
        <color indexed="64"/>
      </bottom>
      <diagonal/>
    </border>
    <border>
      <left/>
      <right style="thin">
        <color indexed="64"/>
      </right>
      <top style="thin">
        <color indexed="64"/>
      </top>
      <bottom/>
      <diagonal/>
    </border>
    <border>
      <left style="thin">
        <color indexed="45"/>
      </left>
      <right style="thin">
        <color indexed="45"/>
      </right>
      <top style="thin">
        <color indexed="64"/>
      </top>
      <bottom/>
      <diagonal/>
    </border>
    <border>
      <left style="thin">
        <color indexed="45"/>
      </left>
      <right style="thin">
        <color indexed="45"/>
      </right>
      <top/>
      <bottom style="thin">
        <color indexed="64"/>
      </bottom>
      <diagonal/>
    </border>
    <border>
      <left/>
      <right style="thin">
        <color indexed="55"/>
      </right>
      <top style="thin">
        <color indexed="43"/>
      </top>
      <bottom style="thin">
        <color indexed="64"/>
      </bottom>
      <diagonal/>
    </border>
    <border>
      <left style="thin">
        <color indexed="55"/>
      </left>
      <right style="thin">
        <color indexed="55"/>
      </right>
      <top style="thin">
        <color indexed="43"/>
      </top>
      <bottom style="thin">
        <color indexed="64"/>
      </bottom>
      <diagonal/>
    </border>
    <border>
      <left style="thin">
        <color indexed="55"/>
      </left>
      <right style="thin">
        <color indexed="64"/>
      </right>
      <top style="thin">
        <color indexed="43"/>
      </top>
      <bottom style="thin">
        <color indexed="64"/>
      </bottom>
      <diagonal/>
    </border>
    <border>
      <left/>
      <right style="thin">
        <color indexed="55"/>
      </right>
      <top style="thin">
        <color indexed="64"/>
      </top>
      <bottom style="thin">
        <color indexed="43"/>
      </bottom>
      <diagonal/>
    </border>
    <border>
      <left style="thin">
        <color indexed="55"/>
      </left>
      <right style="thin">
        <color indexed="55"/>
      </right>
      <top style="thin">
        <color indexed="64"/>
      </top>
      <bottom style="thin">
        <color indexed="43"/>
      </bottom>
      <diagonal/>
    </border>
    <border>
      <left style="thin">
        <color indexed="55"/>
      </left>
      <right style="thin">
        <color indexed="64"/>
      </right>
      <top style="thin">
        <color indexed="64"/>
      </top>
      <bottom style="thin">
        <color indexed="43"/>
      </bottom>
      <diagonal/>
    </border>
    <border>
      <left style="thin">
        <color indexed="55"/>
      </left>
      <right/>
      <top/>
      <bottom/>
      <diagonal/>
    </border>
    <border>
      <left/>
      <right style="thin">
        <color indexed="55"/>
      </right>
      <top/>
      <bottom/>
      <diagonal/>
    </border>
    <border>
      <left style="thin">
        <color indexed="55"/>
      </left>
      <right/>
      <top/>
      <bottom style="thin">
        <color indexed="55"/>
      </bottom>
      <diagonal/>
    </border>
    <border>
      <left style="thin">
        <color indexed="55"/>
      </left>
      <right style="thin">
        <color indexed="64"/>
      </right>
      <top style="thin">
        <color indexed="43"/>
      </top>
      <bottom style="thin">
        <color indexed="43"/>
      </bottom>
      <diagonal/>
    </border>
    <border>
      <left style="thin">
        <color indexed="43"/>
      </left>
      <right/>
      <top style="thin">
        <color indexed="64"/>
      </top>
      <bottom style="thin">
        <color indexed="43"/>
      </bottom>
      <diagonal/>
    </border>
    <border>
      <left style="thin">
        <color indexed="43"/>
      </left>
      <right/>
      <top style="thin">
        <color indexed="43"/>
      </top>
      <bottom style="thin">
        <color indexed="64"/>
      </bottom>
      <diagonal/>
    </border>
    <border>
      <left style="thin">
        <color indexed="64"/>
      </left>
      <right/>
      <top style="thin">
        <color indexed="64"/>
      </top>
      <bottom style="thin">
        <color indexed="55"/>
      </bottom>
      <diagonal/>
    </border>
    <border>
      <left style="thin">
        <color indexed="22"/>
      </left>
      <right style="thin">
        <color indexed="22"/>
      </right>
      <top/>
      <bottom style="thin">
        <color indexed="55"/>
      </bottom>
      <diagonal/>
    </border>
    <border>
      <left/>
      <right style="thin">
        <color indexed="22"/>
      </right>
      <top/>
      <bottom/>
      <diagonal/>
    </border>
    <border>
      <left style="thin">
        <color indexed="22"/>
      </left>
      <right style="thin">
        <color indexed="22"/>
      </right>
      <top/>
      <bottom/>
      <diagonal/>
    </border>
    <border>
      <left style="thin">
        <color indexed="43"/>
      </left>
      <right style="thin">
        <color indexed="43"/>
      </right>
      <top style="thin">
        <color indexed="43"/>
      </top>
      <bottom style="thin">
        <color indexed="55"/>
      </bottom>
      <diagonal/>
    </border>
    <border>
      <left style="thin">
        <color indexed="64"/>
      </left>
      <right style="thin">
        <color indexed="43"/>
      </right>
      <top style="thin">
        <color indexed="43"/>
      </top>
      <bottom style="thin">
        <color indexed="55"/>
      </bottom>
      <diagonal/>
    </border>
    <border>
      <left style="thin">
        <color indexed="43"/>
      </left>
      <right style="thin">
        <color indexed="64"/>
      </right>
      <top style="thin">
        <color indexed="43"/>
      </top>
      <bottom style="thin">
        <color indexed="55"/>
      </bottom>
      <diagonal/>
    </border>
    <border>
      <left style="thin">
        <color indexed="64"/>
      </left>
      <right style="thin">
        <color indexed="43"/>
      </right>
      <top style="thin">
        <color indexed="55"/>
      </top>
      <bottom style="thin">
        <color indexed="64"/>
      </bottom>
      <diagonal/>
    </border>
    <border>
      <left style="thin">
        <color indexed="43"/>
      </left>
      <right style="thin">
        <color indexed="43"/>
      </right>
      <top style="thin">
        <color indexed="55"/>
      </top>
      <bottom style="thin">
        <color indexed="64"/>
      </bottom>
      <diagonal/>
    </border>
    <border>
      <left style="thin">
        <color indexed="43"/>
      </left>
      <right style="thin">
        <color indexed="64"/>
      </right>
      <top style="thin">
        <color indexed="55"/>
      </top>
      <bottom style="thin">
        <color indexed="64"/>
      </bottom>
      <diagonal/>
    </border>
    <border>
      <left style="thin">
        <color indexed="64"/>
      </left>
      <right style="thin">
        <color indexed="43"/>
      </right>
      <top style="thin">
        <color indexed="43"/>
      </top>
      <bottom style="thin">
        <color indexed="64"/>
      </bottom>
      <diagonal/>
    </border>
    <border>
      <left style="thin">
        <color indexed="43"/>
      </left>
      <right style="thin">
        <color indexed="43"/>
      </right>
      <top style="thin">
        <color indexed="43"/>
      </top>
      <bottom style="thin">
        <color indexed="64"/>
      </bottom>
      <diagonal/>
    </border>
    <border>
      <left style="thin">
        <color indexed="43"/>
      </left>
      <right style="thin">
        <color indexed="43"/>
      </right>
      <top style="thin">
        <color indexed="55"/>
      </top>
      <bottom style="thin">
        <color indexed="43"/>
      </bottom>
      <diagonal/>
    </border>
    <border>
      <left style="thin">
        <color indexed="64"/>
      </left>
      <right style="thin">
        <color indexed="43"/>
      </right>
      <top style="thin">
        <color indexed="55"/>
      </top>
      <bottom style="thin">
        <color indexed="43"/>
      </bottom>
      <diagonal/>
    </border>
    <border>
      <left style="thin">
        <color indexed="43"/>
      </left>
      <right style="thin">
        <color indexed="64"/>
      </right>
      <top style="thin">
        <color indexed="55"/>
      </top>
      <bottom style="thin">
        <color indexed="43"/>
      </bottom>
      <diagonal/>
    </border>
    <border>
      <left style="thin">
        <color indexed="64"/>
      </left>
      <right/>
      <top style="thin">
        <color indexed="64"/>
      </top>
      <bottom/>
      <diagonal/>
    </border>
    <border>
      <left style="thin">
        <color indexed="64"/>
      </left>
      <right/>
      <top style="thin">
        <color indexed="55"/>
      </top>
      <bottom style="thin">
        <color indexed="55"/>
      </bottom>
      <diagonal/>
    </border>
    <border>
      <left style="thin">
        <color indexed="64"/>
      </left>
      <right/>
      <top style="thin">
        <color indexed="55"/>
      </top>
      <bottom style="thin">
        <color indexed="64"/>
      </bottom>
      <diagonal/>
    </border>
    <border>
      <left style="thin">
        <color indexed="55"/>
      </left>
      <right style="thin">
        <color indexed="55"/>
      </right>
      <top style="thin">
        <color indexed="55"/>
      </top>
      <bottom style="thin">
        <color indexed="8"/>
      </bottom>
      <diagonal/>
    </border>
    <border>
      <left style="thin">
        <color indexed="55"/>
      </left>
      <right style="thin">
        <color indexed="64"/>
      </right>
      <top style="thin">
        <color indexed="55"/>
      </top>
      <bottom style="thin">
        <color indexed="8"/>
      </bottom>
      <diagonal/>
    </border>
    <border>
      <left style="thin">
        <color indexed="64"/>
      </left>
      <right/>
      <top/>
      <bottom style="thin">
        <color indexed="64"/>
      </bottom>
      <diagonal/>
    </border>
    <border>
      <left style="thin">
        <color indexed="55"/>
      </left>
      <right style="thin">
        <color indexed="55"/>
      </right>
      <top style="thin">
        <color indexed="64"/>
      </top>
      <bottom style="thin">
        <color indexed="64"/>
      </bottom>
      <diagonal/>
    </border>
    <border>
      <left style="thin">
        <color indexed="55"/>
      </left>
      <right style="thin">
        <color indexed="55"/>
      </right>
      <top/>
      <bottom style="thin">
        <color indexed="64"/>
      </bottom>
      <diagonal/>
    </border>
    <border>
      <left style="thin">
        <color indexed="64"/>
      </left>
      <right/>
      <top style="thin">
        <color indexed="55"/>
      </top>
      <bottom/>
      <diagonal/>
    </border>
    <border>
      <left style="thin">
        <color indexed="64"/>
      </left>
      <right/>
      <top/>
      <bottom/>
      <diagonal/>
    </border>
    <border>
      <left/>
      <right/>
      <top style="thin">
        <color indexed="55"/>
      </top>
      <bottom/>
      <diagonal/>
    </border>
    <border>
      <left style="thin">
        <color indexed="43"/>
      </left>
      <right style="thin">
        <color indexed="43"/>
      </right>
      <top style="thin">
        <color indexed="64"/>
      </top>
      <bottom style="thin">
        <color indexed="43"/>
      </bottom>
      <diagonal/>
    </border>
    <border>
      <left style="thin">
        <color indexed="64"/>
      </left>
      <right style="thin">
        <color indexed="43"/>
      </right>
      <top style="thin">
        <color indexed="64"/>
      </top>
      <bottom style="thin">
        <color indexed="43"/>
      </bottom>
      <diagonal/>
    </border>
    <border>
      <left/>
      <right/>
      <top/>
      <bottom style="double">
        <color indexed="64"/>
      </bottom>
      <diagonal/>
    </border>
    <border>
      <left style="thin">
        <color indexed="55"/>
      </left>
      <right style="thin">
        <color indexed="64"/>
      </right>
      <top/>
      <bottom style="thin">
        <color indexed="55"/>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bottom/>
      <diagonal/>
    </border>
    <border>
      <left style="thin">
        <color indexed="64"/>
      </left>
      <right style="thin">
        <color indexed="55"/>
      </right>
      <top/>
      <bottom style="thin">
        <color indexed="55"/>
      </bottom>
      <diagonal/>
    </border>
    <border>
      <left style="thin">
        <color indexed="64"/>
      </left>
      <right/>
      <top style="thin">
        <color indexed="43"/>
      </top>
      <bottom style="thin">
        <color indexed="64"/>
      </bottom>
      <diagonal/>
    </border>
    <border>
      <left/>
      <right style="thin">
        <color indexed="43"/>
      </right>
      <top style="thin">
        <color indexed="43"/>
      </top>
      <bottom style="thin">
        <color indexed="64"/>
      </bottom>
      <diagonal/>
    </border>
    <border>
      <left/>
      <right/>
      <top style="thin">
        <color indexed="43"/>
      </top>
      <bottom style="thin">
        <color indexed="64"/>
      </bottom>
      <diagonal/>
    </border>
    <border>
      <left style="thin">
        <color indexed="64"/>
      </left>
      <right/>
      <top style="thin">
        <color indexed="64"/>
      </top>
      <bottom style="thin">
        <color indexed="43"/>
      </bottom>
      <diagonal/>
    </border>
    <border>
      <left/>
      <right style="thin">
        <color indexed="43"/>
      </right>
      <top style="thin">
        <color indexed="64"/>
      </top>
      <bottom style="thin">
        <color indexed="43"/>
      </bottom>
      <diagonal/>
    </border>
    <border>
      <left style="thin">
        <color indexed="55"/>
      </left>
      <right/>
      <top style="thin">
        <color indexed="64"/>
      </top>
      <bottom style="thin">
        <color indexed="64"/>
      </bottom>
      <diagonal/>
    </border>
    <border>
      <left style="thin">
        <color indexed="55"/>
      </left>
      <right style="thin">
        <color indexed="64"/>
      </right>
      <top style="thin">
        <color indexed="64"/>
      </top>
      <bottom style="thin">
        <color indexed="64"/>
      </bottom>
      <diagonal/>
    </border>
    <border>
      <left/>
      <right style="thin">
        <color indexed="9"/>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right/>
      <top/>
      <bottom style="medium">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43"/>
      </left>
      <right style="thin">
        <color indexed="43"/>
      </right>
      <top style="thin">
        <color indexed="64"/>
      </top>
      <bottom style="thin">
        <color indexed="64"/>
      </bottom>
      <diagonal/>
    </border>
    <border>
      <left style="thin">
        <color indexed="43"/>
      </left>
      <right style="thin">
        <color indexed="64"/>
      </right>
      <top style="thin">
        <color indexed="64"/>
      </top>
      <bottom style="thin">
        <color indexed="64"/>
      </bottom>
      <diagonal/>
    </border>
    <border>
      <left style="thin">
        <color indexed="43"/>
      </left>
      <right style="thin">
        <color indexed="64"/>
      </right>
      <top style="thin">
        <color indexed="43"/>
      </top>
      <bottom/>
      <diagonal/>
    </border>
    <border>
      <left style="thin">
        <color indexed="64"/>
      </left>
      <right style="thin">
        <color indexed="55"/>
      </right>
      <top style="thin">
        <color indexed="64"/>
      </top>
      <bottom style="thin">
        <color indexed="55"/>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right style="thin">
        <color indexed="9"/>
      </right>
      <top style="thin">
        <color indexed="64"/>
      </top>
      <bottom style="thin">
        <color indexed="55"/>
      </bottom>
      <diagonal/>
    </border>
    <border>
      <left/>
      <right style="thin">
        <color indexed="43"/>
      </right>
      <top style="thin">
        <color indexed="64"/>
      </top>
      <bottom style="thin">
        <color indexed="64"/>
      </bottom>
      <diagonal/>
    </border>
    <border>
      <left/>
      <right style="thin">
        <color indexed="64"/>
      </right>
      <top style="thin">
        <color indexed="55"/>
      </top>
      <bottom style="thin">
        <color indexed="64"/>
      </bottom>
      <diagonal/>
    </border>
    <border>
      <left/>
      <right style="thin">
        <color indexed="43"/>
      </right>
      <top/>
      <bottom style="thin">
        <color indexed="64"/>
      </bottom>
      <diagonal/>
    </border>
    <border>
      <left style="thin">
        <color indexed="64"/>
      </left>
      <right/>
      <top style="thin">
        <color indexed="9"/>
      </top>
      <bottom style="thin">
        <color indexed="9"/>
      </bottom>
      <diagonal/>
    </border>
    <border>
      <left/>
      <right style="thin">
        <color indexed="43"/>
      </right>
      <top style="thin">
        <color indexed="9"/>
      </top>
      <bottom style="thin">
        <color indexed="9"/>
      </bottom>
      <diagonal/>
    </border>
    <border>
      <left/>
      <right style="thin">
        <color indexed="43"/>
      </right>
      <top style="thin">
        <color indexed="64"/>
      </top>
      <bottom/>
      <diagonal/>
    </border>
    <border>
      <left style="thin">
        <color indexed="43"/>
      </left>
      <right style="thin">
        <color indexed="43"/>
      </right>
      <top style="thin">
        <color indexed="64"/>
      </top>
      <bottom/>
      <diagonal/>
    </border>
    <border>
      <left style="thin">
        <color indexed="43"/>
      </left>
      <right style="thin">
        <color indexed="43"/>
      </right>
      <top/>
      <bottom style="thin">
        <color indexed="43"/>
      </bottom>
      <diagonal/>
    </border>
    <border>
      <left style="thin">
        <color indexed="64"/>
      </left>
      <right/>
      <top style="thin">
        <color indexed="43"/>
      </top>
      <bottom style="thin">
        <color indexed="43"/>
      </bottom>
      <diagonal/>
    </border>
    <border>
      <left/>
      <right style="thin">
        <color indexed="43"/>
      </right>
      <top style="thin">
        <color indexed="43"/>
      </top>
      <bottom style="thin">
        <color indexed="43"/>
      </bottom>
      <diagonal/>
    </border>
    <border>
      <left style="thin">
        <color indexed="64"/>
      </left>
      <right/>
      <top style="thin">
        <color indexed="64"/>
      </top>
      <bottom style="thin">
        <color indexed="9"/>
      </bottom>
      <diagonal/>
    </border>
    <border>
      <left/>
      <right style="thin">
        <color indexed="43"/>
      </right>
      <top style="thin">
        <color indexed="64"/>
      </top>
      <bottom style="thin">
        <color indexed="9"/>
      </bottom>
      <diagonal/>
    </border>
    <border>
      <left/>
      <right style="thin">
        <color indexed="55"/>
      </right>
      <top style="thin">
        <color indexed="64"/>
      </top>
      <bottom style="thin">
        <color indexed="55"/>
      </bottom>
      <diagonal/>
    </border>
    <border>
      <left/>
      <right style="thin">
        <color indexed="55"/>
      </right>
      <top style="thin">
        <color indexed="64"/>
      </top>
      <bottom style="thin">
        <color indexed="64"/>
      </bottom>
      <diagonal/>
    </border>
    <border>
      <left style="thin">
        <color indexed="55"/>
      </left>
      <right/>
      <top style="thin">
        <color indexed="64"/>
      </top>
      <bottom/>
      <diagonal/>
    </border>
    <border>
      <left style="thin">
        <color indexed="55"/>
      </left>
      <right/>
      <top/>
      <bottom style="thin">
        <color indexed="64"/>
      </bottom>
      <diagonal/>
    </border>
    <border>
      <left style="thin">
        <color indexed="22"/>
      </left>
      <right/>
      <top style="thin">
        <color indexed="64"/>
      </top>
      <bottom style="thin">
        <color indexed="55"/>
      </bottom>
      <diagonal/>
    </border>
    <border>
      <left style="thin">
        <color indexed="22"/>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22"/>
      </right>
      <top style="thin">
        <color indexed="64"/>
      </top>
      <bottom style="thin">
        <color indexed="22"/>
      </bottom>
      <diagonal/>
    </border>
    <border>
      <left style="thin">
        <color indexed="64"/>
      </left>
      <right style="thin">
        <color indexed="22"/>
      </right>
      <top style="thin">
        <color indexed="64"/>
      </top>
      <bottom style="thin">
        <color indexed="22"/>
      </bottom>
      <diagonal/>
    </border>
    <border>
      <left style="thin">
        <color indexed="45"/>
      </left>
      <right style="thin">
        <color indexed="45"/>
      </right>
      <top style="thin">
        <color indexed="64"/>
      </top>
      <bottom style="thin">
        <color indexed="22"/>
      </bottom>
      <diagonal/>
    </border>
    <border>
      <left style="thin">
        <color indexed="45"/>
      </left>
      <right style="thin">
        <color indexed="45"/>
      </right>
      <top style="thin">
        <color indexed="22"/>
      </top>
      <bottom style="thin">
        <color indexed="64"/>
      </bottom>
      <diagonal/>
    </border>
    <border>
      <left style="thin">
        <color indexed="22"/>
      </left>
      <right style="thin">
        <color indexed="64"/>
      </right>
      <top/>
      <bottom style="thin">
        <color indexed="55"/>
      </bottom>
      <diagonal/>
    </border>
    <border>
      <left style="thin">
        <color indexed="22"/>
      </left>
      <right/>
      <top style="thin">
        <color indexed="64"/>
      </top>
      <bottom style="thin">
        <color indexed="9"/>
      </bottom>
      <diagonal/>
    </border>
    <border>
      <left/>
      <right/>
      <top style="thin">
        <color indexed="64"/>
      </top>
      <bottom style="thin">
        <color indexed="9"/>
      </bottom>
      <diagonal/>
    </border>
    <border>
      <left style="thin">
        <color indexed="9"/>
      </left>
      <right style="thin">
        <color indexed="45"/>
      </right>
      <top style="thin">
        <color indexed="64"/>
      </top>
      <bottom style="thin">
        <color indexed="22"/>
      </bottom>
      <diagonal/>
    </border>
    <border>
      <left style="thin">
        <color indexed="9"/>
      </left>
      <right style="thin">
        <color indexed="45"/>
      </right>
      <top style="thin">
        <color indexed="22"/>
      </top>
      <bottom style="thin">
        <color indexed="64"/>
      </bottom>
      <diagonal/>
    </border>
    <border>
      <left style="thin">
        <color indexed="64"/>
      </left>
      <right style="thin">
        <color indexed="9"/>
      </right>
      <top style="thin">
        <color indexed="64"/>
      </top>
      <bottom style="thin">
        <color indexed="22"/>
      </bottom>
      <diagonal/>
    </border>
    <border>
      <left style="thin">
        <color indexed="64"/>
      </left>
      <right style="thin">
        <color indexed="9"/>
      </right>
      <top style="thin">
        <color indexed="22"/>
      </top>
      <bottom style="thin">
        <color indexed="64"/>
      </bottom>
      <diagonal/>
    </border>
    <border>
      <left/>
      <right style="thin">
        <color indexed="45"/>
      </right>
      <top style="thin">
        <color indexed="64"/>
      </top>
      <bottom/>
      <diagonal/>
    </border>
    <border>
      <left/>
      <right style="thin">
        <color indexed="45"/>
      </right>
      <top/>
      <bottom/>
      <diagonal/>
    </border>
    <border>
      <left style="thin">
        <color indexed="22"/>
      </left>
      <right/>
      <top/>
      <bottom/>
      <diagonal/>
    </border>
    <border>
      <left style="thin">
        <color indexed="64"/>
      </left>
      <right style="thin">
        <color indexed="45"/>
      </right>
      <top style="thin">
        <color indexed="64"/>
      </top>
      <bottom style="thin">
        <color indexed="22"/>
      </bottom>
      <diagonal/>
    </border>
    <border>
      <left style="thin">
        <color indexed="64"/>
      </left>
      <right style="thin">
        <color indexed="45"/>
      </right>
      <top style="thin">
        <color indexed="22"/>
      </top>
      <bottom style="thin">
        <color indexed="64"/>
      </bottom>
      <diagonal/>
    </border>
    <border>
      <left/>
      <right/>
      <top style="thin">
        <color indexed="55"/>
      </top>
      <bottom style="thin">
        <color indexed="64"/>
      </bottom>
      <diagonal/>
    </border>
    <border>
      <left style="thin">
        <color indexed="22"/>
      </left>
      <right style="thin">
        <color indexed="64"/>
      </right>
      <top style="thin">
        <color indexed="64"/>
      </top>
      <bottom style="thin">
        <color indexed="22"/>
      </bottom>
      <diagonal/>
    </border>
    <border>
      <left style="thin">
        <color indexed="64"/>
      </left>
      <right style="thin">
        <color indexed="55"/>
      </right>
      <top/>
      <bottom/>
      <diagonal/>
    </border>
    <border>
      <left style="thin">
        <color indexed="64"/>
      </left>
      <right style="thin">
        <color indexed="55"/>
      </right>
      <top style="thin">
        <color indexed="43"/>
      </top>
      <bottom style="thin">
        <color indexed="43"/>
      </bottom>
      <diagonal/>
    </border>
    <border>
      <left style="thin">
        <color indexed="64"/>
      </left>
      <right style="thin">
        <color indexed="55"/>
      </right>
      <top style="thin">
        <color indexed="43"/>
      </top>
      <bottom style="thin">
        <color indexed="64"/>
      </bottom>
      <diagonal/>
    </border>
    <border>
      <left style="thin">
        <color indexed="64"/>
      </left>
      <right style="thin">
        <color indexed="55"/>
      </right>
      <top style="thin">
        <color indexed="64"/>
      </top>
      <bottom style="thin">
        <color indexed="43"/>
      </bottom>
      <diagonal/>
    </border>
    <border>
      <left style="thin">
        <color indexed="64"/>
      </left>
      <right style="thin">
        <color indexed="55"/>
      </right>
      <top/>
      <bottom style="thin">
        <color indexed="64"/>
      </bottom>
      <diagonal/>
    </border>
    <border>
      <left style="thin">
        <color indexed="22"/>
      </left>
      <right/>
      <top style="thin">
        <color indexed="64"/>
      </top>
      <bottom style="thin">
        <color indexed="64"/>
      </bottom>
      <diagonal/>
    </border>
    <border>
      <left style="thin">
        <color indexed="64"/>
      </left>
      <right style="thin">
        <color indexed="22"/>
      </right>
      <top/>
      <bottom style="thin">
        <color indexed="55"/>
      </bottom>
      <diagonal/>
    </border>
    <border>
      <left style="thin">
        <color indexed="22"/>
      </left>
      <right/>
      <top/>
      <bottom style="thin">
        <color indexed="55"/>
      </bottom>
      <diagonal/>
    </border>
    <border>
      <left style="thin">
        <color indexed="64"/>
      </left>
      <right style="thin">
        <color indexed="9"/>
      </right>
      <top style="thin">
        <color indexed="64"/>
      </top>
      <bottom style="thin">
        <color indexed="9"/>
      </bottom>
      <diagonal/>
    </border>
    <border>
      <left style="thin">
        <color indexed="64"/>
      </left>
      <right style="thin">
        <color indexed="9"/>
      </right>
      <top style="thin">
        <color indexed="9"/>
      </top>
      <bottom style="thin">
        <color indexed="55"/>
      </bottom>
      <diagonal/>
    </border>
    <border>
      <left style="thin">
        <color indexed="9"/>
      </left>
      <right style="thin">
        <color indexed="9"/>
      </right>
      <top style="thin">
        <color indexed="64"/>
      </top>
      <bottom style="thin">
        <color indexed="9"/>
      </bottom>
      <diagonal/>
    </border>
    <border>
      <left style="thin">
        <color indexed="9"/>
      </left>
      <right style="thin">
        <color indexed="9"/>
      </right>
      <top style="thin">
        <color indexed="9"/>
      </top>
      <bottom style="thin">
        <color indexed="55"/>
      </bottom>
      <diagonal/>
    </border>
    <border>
      <left/>
      <right style="thin">
        <color indexed="9"/>
      </right>
      <top style="thin">
        <color indexed="9"/>
      </top>
      <bottom/>
      <diagonal/>
    </border>
    <border>
      <left style="thin">
        <color indexed="43"/>
      </left>
      <right style="thin">
        <color indexed="64"/>
      </right>
      <top/>
      <bottom style="thin">
        <color indexed="43"/>
      </bottom>
      <diagonal/>
    </border>
    <border>
      <left style="thin">
        <color indexed="64"/>
      </left>
      <right/>
      <top style="thin">
        <color indexed="9"/>
      </top>
      <bottom/>
      <diagonal/>
    </border>
    <border>
      <left style="thin">
        <color indexed="9"/>
      </left>
      <right style="thin">
        <color indexed="9"/>
      </right>
      <top style="thin">
        <color indexed="64"/>
      </top>
      <bottom/>
      <diagonal/>
    </border>
    <border>
      <left style="thin">
        <color indexed="9"/>
      </left>
      <right style="thin">
        <color indexed="9"/>
      </right>
      <top/>
      <bottom style="thin">
        <color indexed="55"/>
      </bottom>
      <diagonal/>
    </border>
    <border>
      <left style="thin">
        <color indexed="9"/>
      </left>
      <right style="thin">
        <color indexed="64"/>
      </right>
      <top style="thin">
        <color indexed="64"/>
      </top>
      <bottom style="thin">
        <color indexed="9"/>
      </bottom>
      <diagonal/>
    </border>
    <border>
      <left style="thin">
        <color indexed="9"/>
      </left>
      <right style="thin">
        <color indexed="64"/>
      </right>
      <top style="thin">
        <color indexed="9"/>
      </top>
      <bottom style="thin">
        <color indexed="55"/>
      </bottom>
      <diagonal/>
    </border>
    <border>
      <left style="thin">
        <color indexed="64"/>
      </left>
      <right style="thin">
        <color indexed="55"/>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2553">
    <xf numFmtId="0" fontId="0" fillId="0" borderId="0"/>
    <xf numFmtId="199" fontId="63" fillId="0" borderId="0" applyProtection="0">
      <protection locked="0"/>
    </xf>
    <xf numFmtId="199" fontId="1" fillId="0" borderId="0" applyProtection="0">
      <protection locked="0"/>
    </xf>
    <xf numFmtId="0" fontId="186" fillId="4" borderId="0" applyNumberFormat="0" applyBorder="0" applyAlignment="0" applyProtection="0"/>
    <xf numFmtId="0" fontId="82" fillId="0" borderId="0"/>
    <xf numFmtId="200" fontId="63" fillId="0" borderId="0"/>
    <xf numFmtId="200" fontId="1" fillId="0" borderId="0"/>
    <xf numFmtId="200" fontId="63" fillId="0" borderId="0"/>
    <xf numFmtId="200" fontId="1" fillId="0" borderId="0"/>
    <xf numFmtId="200" fontId="63" fillId="0" borderId="0"/>
    <xf numFmtId="200" fontId="1" fillId="0" borderId="0"/>
    <xf numFmtId="200" fontId="63" fillId="0" borderId="0"/>
    <xf numFmtId="200" fontId="1" fillId="0" borderId="0"/>
    <xf numFmtId="200" fontId="63" fillId="0" borderId="0"/>
    <xf numFmtId="200" fontId="1" fillId="0" borderId="0"/>
    <xf numFmtId="200" fontId="63" fillId="0" borderId="0"/>
    <xf numFmtId="200" fontId="1" fillId="0" borderId="0"/>
    <xf numFmtId="200" fontId="63" fillId="0" borderId="0"/>
    <xf numFmtId="200" fontId="1" fillId="0" borderId="0"/>
    <xf numFmtId="200" fontId="63" fillId="0" borderId="0"/>
    <xf numFmtId="200" fontId="1" fillId="0" borderId="0"/>
    <xf numFmtId="171" fontId="63"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03"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2" fontId="1"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2"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83" fillId="0" borderId="2" applyNumberFormat="0" applyFill="0" applyAlignment="0" applyProtection="0"/>
    <xf numFmtId="201" fontId="84" fillId="0" borderId="3" applyBorder="0"/>
    <xf numFmtId="170" fontId="63" fillId="0" borderId="0" applyFont="0" applyFill="0" applyBorder="0" applyAlignment="0" applyProtection="0"/>
    <xf numFmtId="170"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206" fontId="103" fillId="0" borderId="0" applyFont="0" applyFill="0" applyBorder="0" applyAlignment="0" applyProtection="0"/>
    <xf numFmtId="206" fontId="63" fillId="0" borderId="0" applyFont="0" applyFill="0" applyBorder="0" applyAlignment="0" applyProtection="0"/>
    <xf numFmtId="206"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206"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202" fontId="63" fillId="0" borderId="0">
      <protection locked="0"/>
    </xf>
    <xf numFmtId="202" fontId="1" fillId="0" borderId="0">
      <protection locked="0"/>
    </xf>
    <xf numFmtId="0" fontId="83" fillId="0" borderId="2" applyNumberFormat="0" applyFill="0" applyAlignment="0" applyProtection="0"/>
    <xf numFmtId="0" fontId="85" fillId="0" borderId="4" applyNumberFormat="0" applyFill="0" applyAlignment="0" applyProtection="0"/>
    <xf numFmtId="2" fontId="86" fillId="0" borderId="0"/>
    <xf numFmtId="0" fontId="85" fillId="0" borderId="4" applyNumberFormat="0" applyFill="0" applyAlignment="0" applyProtection="0"/>
    <xf numFmtId="0" fontId="1" fillId="3" borderId="0" applyNumberFormat="0" applyFont="0" applyBorder="0" applyAlignment="0" applyProtection="0"/>
    <xf numFmtId="0" fontId="187" fillId="0" borderId="0" applyNumberFormat="0" applyFill="0" applyBorder="0" applyAlignment="0" applyProtection="0"/>
    <xf numFmtId="203" fontId="63" fillId="0" borderId="0" applyFill="0" applyBorder="0" applyAlignment="0"/>
    <xf numFmtId="203" fontId="1" fillId="0" borderId="0" applyFill="0" applyBorder="0" applyAlignment="0"/>
    <xf numFmtId="204" fontId="87"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188" fillId="0" borderId="0"/>
    <xf numFmtId="0" fontId="188" fillId="0" borderId="0"/>
    <xf numFmtId="0" fontId="63"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189" fillId="0" borderId="0"/>
    <xf numFmtId="0" fontId="185" fillId="0" borderId="0"/>
    <xf numFmtId="0" fontId="1" fillId="0" borderId="0"/>
    <xf numFmtId="0" fontId="63" fillId="0" borderId="0"/>
    <xf numFmtId="0" fontId="63" fillId="0" borderId="0"/>
    <xf numFmtId="0" fontId="1" fillId="0" borderId="0"/>
    <xf numFmtId="0" fontId="63" fillId="0" borderId="0"/>
    <xf numFmtId="0" fontId="63" fillId="0" borderId="0"/>
    <xf numFmtId="0" fontId="1" fillId="0" borderId="0"/>
    <xf numFmtId="0" fontId="1" fillId="0" borderId="0"/>
    <xf numFmtId="0" fontId="185" fillId="0" borderId="0"/>
    <xf numFmtId="0" fontId="1" fillId="0" borderId="0"/>
    <xf numFmtId="0" fontId="63" fillId="0" borderId="0"/>
    <xf numFmtId="0" fontId="1" fillId="0" borderId="0"/>
    <xf numFmtId="0" fontId="63"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188" fillId="0" borderId="0"/>
    <xf numFmtId="0" fontId="63" fillId="0" borderId="0"/>
    <xf numFmtId="0" fontId="1" fillId="0" borderId="0"/>
    <xf numFmtId="0" fontId="63" fillId="0" borderId="0"/>
    <xf numFmtId="0" fontId="1" fillId="0" borderId="0"/>
    <xf numFmtId="0" fontId="63" fillId="0" borderId="0"/>
    <xf numFmtId="0" fontId="1" fillId="0" borderId="0"/>
    <xf numFmtId="0" fontId="63"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1" fillId="0" borderId="0"/>
    <xf numFmtId="0" fontId="63" fillId="0" borderId="0"/>
    <xf numFmtId="0" fontId="63" fillId="0" borderId="0"/>
    <xf numFmtId="0" fontId="1" fillId="0" borderId="0"/>
    <xf numFmtId="0" fontId="63" fillId="0" borderId="0"/>
    <xf numFmtId="0" fontId="1" fillId="0" borderId="0"/>
    <xf numFmtId="0" fontId="1" fillId="0" borderId="0"/>
    <xf numFmtId="0" fontId="188" fillId="0" borderId="0"/>
    <xf numFmtId="0" fontId="185" fillId="0" borderId="0"/>
    <xf numFmtId="0" fontId="63" fillId="0" borderId="0"/>
    <xf numFmtId="0" fontId="1" fillId="0" borderId="0"/>
    <xf numFmtId="0" fontId="63" fillId="0" borderId="0"/>
    <xf numFmtId="0" fontId="1" fillId="0" borderId="0"/>
    <xf numFmtId="0" fontId="63" fillId="0" borderId="0"/>
    <xf numFmtId="0" fontId="1" fillId="0" borderId="0"/>
    <xf numFmtId="0" fontId="63" fillId="0" borderId="0"/>
    <xf numFmtId="0" fontId="1" fillId="0" borderId="0"/>
    <xf numFmtId="0" fontId="63" fillId="0" borderId="0"/>
    <xf numFmtId="0" fontId="1" fillId="0" borderId="0"/>
    <xf numFmtId="0" fontId="63"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1" fillId="0" borderId="0"/>
    <xf numFmtId="0" fontId="63" fillId="0" borderId="0"/>
    <xf numFmtId="0" fontId="1" fillId="0" borderId="0"/>
    <xf numFmtId="0" fontId="6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63" fillId="0" borderId="0"/>
    <xf numFmtId="0" fontId="1" fillId="0" borderId="0"/>
    <xf numFmtId="0" fontId="63" fillId="0" borderId="0"/>
    <xf numFmtId="0" fontId="1" fillId="0" borderId="0"/>
    <xf numFmtId="0" fontId="63" fillId="0" borderId="0"/>
    <xf numFmtId="0" fontId="1" fillId="0" borderId="0"/>
    <xf numFmtId="0" fontId="63" fillId="0" borderId="0"/>
    <xf numFmtId="0" fontId="1" fillId="0" borderId="0"/>
    <xf numFmtId="0" fontId="63" fillId="0" borderId="0"/>
    <xf numFmtId="0" fontId="63" fillId="0" borderId="0"/>
    <xf numFmtId="0" fontId="1" fillId="0" borderId="0"/>
    <xf numFmtId="0" fontId="1" fillId="0" borderId="0"/>
    <xf numFmtId="0" fontId="63" fillId="0" borderId="0"/>
    <xf numFmtId="0" fontId="1" fillId="0" borderId="0"/>
    <xf numFmtId="0" fontId="63" fillId="0" borderId="0"/>
    <xf numFmtId="0" fontId="1" fillId="0" borderId="0"/>
    <xf numFmtId="0" fontId="185" fillId="0" borderId="0"/>
    <xf numFmtId="0" fontId="185" fillId="0" borderId="0"/>
    <xf numFmtId="0" fontId="185" fillId="0" borderId="0"/>
    <xf numFmtId="0" fontId="185" fillId="0" borderId="0"/>
    <xf numFmtId="0" fontId="63" fillId="0" borderId="0"/>
    <xf numFmtId="0" fontId="1" fillId="0" borderId="0"/>
    <xf numFmtId="0" fontId="185" fillId="0" borderId="0"/>
    <xf numFmtId="0" fontId="63" fillId="0" borderId="0"/>
    <xf numFmtId="0" fontId="1" fillId="0" borderId="0"/>
    <xf numFmtId="0" fontId="63" fillId="0" borderId="0"/>
    <xf numFmtId="0" fontId="1" fillId="0" borderId="0"/>
    <xf numFmtId="0" fontId="63" fillId="0" borderId="0"/>
    <xf numFmtId="0" fontId="1" fillId="0" borderId="0"/>
    <xf numFmtId="0" fontId="63" fillId="0" borderId="0"/>
    <xf numFmtId="0" fontId="1" fillId="0" borderId="0"/>
    <xf numFmtId="0" fontId="63" fillId="0" borderId="0"/>
    <xf numFmtId="0" fontId="1" fillId="0" borderId="0"/>
    <xf numFmtId="0" fontId="63" fillId="0" borderId="0"/>
    <xf numFmtId="0" fontId="1" fillId="0" borderId="0"/>
    <xf numFmtId="0" fontId="63" fillId="0" borderId="0"/>
    <xf numFmtId="0" fontId="1" fillId="0" borderId="0"/>
    <xf numFmtId="0" fontId="63" fillId="0" borderId="0"/>
    <xf numFmtId="0" fontId="1" fillId="0" borderId="0"/>
    <xf numFmtId="0" fontId="63" fillId="0" borderId="0"/>
    <xf numFmtId="0" fontId="1" fillId="0" borderId="0"/>
    <xf numFmtId="0" fontId="63" fillId="0" borderId="0"/>
    <xf numFmtId="0" fontId="1" fillId="0" borderId="0"/>
    <xf numFmtId="0" fontId="63" fillId="0" borderId="0"/>
    <xf numFmtId="0" fontId="1" fillId="0" borderId="0"/>
    <xf numFmtId="0" fontId="63" fillId="0" borderId="0"/>
    <xf numFmtId="0" fontId="63" fillId="0" borderId="0"/>
    <xf numFmtId="0" fontId="1" fillId="0" borderId="0"/>
    <xf numFmtId="0" fontId="1" fillId="0" borderId="0"/>
    <xf numFmtId="0" fontId="63" fillId="0" borderId="0"/>
    <xf numFmtId="0" fontId="1" fillId="0" borderId="0"/>
    <xf numFmtId="0" fontId="63" fillId="0" borderId="0"/>
    <xf numFmtId="0" fontId="1" fillId="0" borderId="0"/>
    <xf numFmtId="0" fontId="63" fillId="0" borderId="0"/>
    <xf numFmtId="0" fontId="1" fillId="0" borderId="0"/>
    <xf numFmtId="0" fontId="63" fillId="0" borderId="0"/>
    <xf numFmtId="0" fontId="1" fillId="0" borderId="0"/>
    <xf numFmtId="0" fontId="63" fillId="0" borderId="0"/>
    <xf numFmtId="0" fontId="1" fillId="0" borderId="0"/>
    <xf numFmtId="0" fontId="63" fillId="0" borderId="0"/>
    <xf numFmtId="0" fontId="1" fillId="0" borderId="0"/>
    <xf numFmtId="0" fontId="63" fillId="0" borderId="0"/>
    <xf numFmtId="0" fontId="1" fillId="0" borderId="0"/>
    <xf numFmtId="0" fontId="63" fillId="0" borderId="0"/>
    <xf numFmtId="0" fontId="1" fillId="0" borderId="0"/>
    <xf numFmtId="0" fontId="63" fillId="0" borderId="0"/>
    <xf numFmtId="0" fontId="1" fillId="0" borderId="0"/>
    <xf numFmtId="0" fontId="103" fillId="0" borderId="0"/>
    <xf numFmtId="0" fontId="63" fillId="0" borderId="0"/>
    <xf numFmtId="0" fontId="1" fillId="0" borderId="0"/>
    <xf numFmtId="0" fontId="1" fillId="0" borderId="0"/>
    <xf numFmtId="0" fontId="63" fillId="0" borderId="0"/>
    <xf numFmtId="0" fontId="63" fillId="0" borderId="0"/>
    <xf numFmtId="0" fontId="1" fillId="0" borderId="0"/>
    <xf numFmtId="0" fontId="1" fillId="0" borderId="0"/>
    <xf numFmtId="0" fontId="1" fillId="0" borderId="0"/>
    <xf numFmtId="0" fontId="6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5" fillId="0" borderId="0"/>
    <xf numFmtId="0" fontId="1" fillId="0" borderId="0"/>
    <xf numFmtId="0" fontId="1" fillId="0" borderId="0"/>
    <xf numFmtId="0" fontId="63" fillId="0" borderId="0"/>
    <xf numFmtId="0" fontId="63" fillId="0" borderId="0"/>
    <xf numFmtId="0" fontId="1" fillId="0" borderId="0"/>
    <xf numFmtId="0" fontId="1" fillId="0" borderId="0"/>
    <xf numFmtId="0" fontId="164" fillId="0" borderId="0"/>
    <xf numFmtId="0" fontId="1" fillId="0" borderId="0"/>
    <xf numFmtId="0" fontId="164" fillId="0" borderId="0"/>
    <xf numFmtId="0" fontId="1" fillId="0" borderId="0"/>
    <xf numFmtId="0" fontId="190" fillId="0" borderId="0"/>
    <xf numFmtId="0" fontId="63" fillId="0" borderId="0"/>
    <xf numFmtId="16" fontId="88" fillId="0" borderId="5" applyNumberFormat="0" applyBorder="0" applyAlignment="0">
      <alignment horizontal="center"/>
    </xf>
    <xf numFmtId="0" fontId="89" fillId="0" borderId="6" applyBorder="0">
      <alignment horizontal="center"/>
    </xf>
    <xf numFmtId="171" fontId="63" fillId="0" borderId="0" applyFont="0" applyFill="0" applyBorder="0" applyAlignment="0" applyProtection="0"/>
    <xf numFmtId="169" fontId="63" fillId="0" borderId="0" applyFont="0" applyFill="0" applyBorder="0" applyAlignment="0" applyProtection="0"/>
    <xf numFmtId="204" fontId="90" fillId="5" borderId="8"/>
    <xf numFmtId="9" fontId="1" fillId="0" borderId="0" applyFont="0" applyFill="0" applyBorder="0" applyAlignment="0" applyProtection="0"/>
    <xf numFmtId="9" fontId="63"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3"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3"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3"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3"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3"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3"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3"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3"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16"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97" fillId="0" borderId="0" applyFont="0" applyFill="0" applyBorder="0" applyAlignment="0" applyProtection="0"/>
    <xf numFmtId="9" fontId="98"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04"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98"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04"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99"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01"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02"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04"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05"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06"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07"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08" fillId="0" borderId="0" applyFont="0" applyFill="0" applyBorder="0" applyAlignment="0" applyProtection="0"/>
    <xf numFmtId="9" fontId="1" fillId="0" borderId="0" applyFont="0" applyFill="0" applyBorder="0" applyAlignment="0" applyProtection="0"/>
    <xf numFmtId="9" fontId="76"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8" fillId="0" borderId="0" applyFont="0" applyFill="0" applyBorder="0" applyAlignment="0" applyProtection="0"/>
    <xf numFmtId="9" fontId="1" fillId="0" borderId="0" applyFont="0" applyFill="0" applyBorder="0" applyAlignment="0" applyProtection="0"/>
    <xf numFmtId="9" fontId="119" fillId="0" borderId="0" applyFont="0" applyFill="0" applyBorder="0" applyAlignment="0" applyProtection="0"/>
    <xf numFmtId="9" fontId="1" fillId="0" borderId="0" applyFont="0" applyFill="0" applyBorder="0" applyAlignment="0" applyProtection="0"/>
    <xf numFmtId="9" fontId="120" fillId="0" borderId="0" applyFont="0" applyFill="0" applyBorder="0" applyAlignment="0" applyProtection="0"/>
    <xf numFmtId="9" fontId="1" fillId="0" borderId="0" applyFont="0" applyFill="0" applyBorder="0" applyAlignment="0" applyProtection="0"/>
    <xf numFmtId="9" fontId="121" fillId="0" borderId="0" applyFont="0" applyFill="0" applyBorder="0" applyAlignment="0" applyProtection="0"/>
    <xf numFmtId="9" fontId="1" fillId="0" borderId="0" applyFont="0" applyFill="0" applyBorder="0" applyAlignment="0" applyProtection="0"/>
    <xf numFmtId="9" fontId="77"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78"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79"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0"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3"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3" fillId="0" borderId="0" applyFont="0" applyFill="0" applyBorder="0" applyAlignment="0" applyProtection="0"/>
    <xf numFmtId="9" fontId="6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91" fillId="0" borderId="0" applyProtection="0">
      <alignment vertical="center"/>
    </xf>
    <xf numFmtId="0" fontId="92" fillId="0" borderId="0" applyProtection="0">
      <alignment vertical="center"/>
    </xf>
    <xf numFmtId="0" fontId="93" fillId="0" borderId="0"/>
    <xf numFmtId="12" fontId="94" fillId="0" borderId="0" applyFill="0" applyBorder="0"/>
    <xf numFmtId="12" fontId="94" fillId="0" borderId="0"/>
    <xf numFmtId="12" fontId="95" fillId="0" borderId="9" applyBorder="0" applyAlignment="0">
      <alignment horizontal="center"/>
    </xf>
    <xf numFmtId="1" fontId="96" fillId="0" borderId="10"/>
    <xf numFmtId="0" fontId="1" fillId="2" borderId="0" applyNumberFormat="0" applyFont="0" applyBorder="0" applyAlignment="0" applyProtection="0"/>
  </cellStyleXfs>
  <cellXfs count="1415">
    <xf numFmtId="0" fontId="0" fillId="0" borderId="0" xfId="0"/>
    <xf numFmtId="0" fontId="6" fillId="0" borderId="0" xfId="0" applyFont="1" applyFill="1" applyBorder="1" applyProtection="1"/>
    <xf numFmtId="0" fontId="5" fillId="0" borderId="0" xfId="0" applyFont="1"/>
    <xf numFmtId="0" fontId="6" fillId="0" borderId="0" xfId="0" applyFont="1" applyFill="1" applyBorder="1" applyAlignment="1">
      <alignment horizontal="center" vertical="center"/>
    </xf>
    <xf numFmtId="0" fontId="8" fillId="6" borderId="0" xfId="0" quotePrefix="1" applyFont="1" applyFill="1" applyBorder="1" applyAlignment="1" applyProtection="1">
      <alignment horizontal="left" vertical="center"/>
    </xf>
    <xf numFmtId="0" fontId="9" fillId="6" borderId="0" xfId="0" applyFont="1" applyFill="1" applyBorder="1" applyAlignment="1" applyProtection="1">
      <alignment vertical="center"/>
    </xf>
    <xf numFmtId="0" fontId="9" fillId="6" borderId="0" xfId="0" applyFont="1" applyFill="1" applyBorder="1" applyAlignment="1" applyProtection="1">
      <alignment horizontal="right" vertical="center" indent="1"/>
    </xf>
    <xf numFmtId="0" fontId="10" fillId="6" borderId="0" xfId="0" applyFont="1" applyFill="1" applyBorder="1" applyAlignment="1" applyProtection="1">
      <alignment vertical="center"/>
    </xf>
    <xf numFmtId="174" fontId="10" fillId="6" borderId="0" xfId="0" applyNumberFormat="1" applyFont="1" applyFill="1" applyBorder="1" applyAlignment="1" applyProtection="1">
      <alignment horizontal="right" vertical="center" indent="1"/>
    </xf>
    <xf numFmtId="0" fontId="10" fillId="0" borderId="0" xfId="0" applyFont="1" applyFill="1" applyBorder="1" applyAlignment="1" applyProtection="1">
      <alignment vertical="center"/>
    </xf>
    <xf numFmtId="0" fontId="10" fillId="0" borderId="0" xfId="0" applyFont="1" applyFill="1" applyBorder="1" applyAlignment="1" applyProtection="1">
      <alignment horizontal="right" vertical="center" indent="1"/>
      <protection locked="0"/>
    </xf>
    <xf numFmtId="0" fontId="10" fillId="0" borderId="0" xfId="0" applyFont="1" applyFill="1" applyBorder="1" applyAlignment="1" applyProtection="1">
      <alignment vertical="center"/>
      <protection locked="0"/>
    </xf>
    <xf numFmtId="1" fontId="11" fillId="6" borderId="1" xfId="0" applyNumberFormat="1" applyFont="1" applyFill="1" applyBorder="1" applyAlignment="1" applyProtection="1">
      <alignment horizontal="right" vertical="center" indent="1"/>
      <protection locked="0"/>
    </xf>
    <xf numFmtId="1" fontId="12" fillId="6" borderId="1" xfId="0" applyNumberFormat="1" applyFont="1" applyFill="1" applyBorder="1" applyAlignment="1" applyProtection="1">
      <alignment horizontal="right" vertical="center" indent="1"/>
      <protection locked="0"/>
    </xf>
    <xf numFmtId="176" fontId="12" fillId="6" borderId="1" xfId="0" applyNumberFormat="1" applyFont="1" applyFill="1" applyBorder="1" applyAlignment="1" applyProtection="1">
      <alignment horizontal="right" vertical="center" indent="1"/>
      <protection locked="0"/>
    </xf>
    <xf numFmtId="174" fontId="12" fillId="6" borderId="1" xfId="0" applyNumberFormat="1" applyFont="1" applyFill="1" applyBorder="1" applyAlignment="1" applyProtection="1">
      <alignment horizontal="right" vertical="center" indent="1"/>
      <protection locked="0"/>
    </xf>
    <xf numFmtId="0" fontId="5" fillId="0" borderId="0" xfId="0" applyFont="1" applyAlignment="1" applyProtection="1">
      <alignment vertical="center"/>
    </xf>
    <xf numFmtId="174" fontId="5" fillId="0" borderId="0" xfId="0" applyNumberFormat="1" applyFont="1" applyAlignment="1" applyProtection="1">
      <alignment horizontal="right" vertical="center" indent="1"/>
    </xf>
    <xf numFmtId="0" fontId="13" fillId="6" borderId="0" xfId="0" applyFont="1" applyFill="1" applyBorder="1" applyAlignment="1" applyProtection="1">
      <alignment vertical="center"/>
    </xf>
    <xf numFmtId="0" fontId="13" fillId="0" borderId="0" xfId="0" applyFont="1" applyFill="1" applyBorder="1" applyAlignment="1" applyProtection="1">
      <alignment vertical="center"/>
    </xf>
    <xf numFmtId="1" fontId="11" fillId="6" borderId="11" xfId="0" applyNumberFormat="1" applyFont="1" applyFill="1" applyBorder="1" applyAlignment="1" applyProtection="1">
      <alignment horizontal="right" vertical="center" indent="1"/>
      <protection locked="0"/>
    </xf>
    <xf numFmtId="1" fontId="11" fillId="6" borderId="11" xfId="0" quotePrefix="1" applyNumberFormat="1" applyFont="1" applyFill="1" applyBorder="1" applyAlignment="1" applyProtection="1">
      <alignment horizontal="right" vertical="center" indent="1"/>
      <protection locked="0"/>
    </xf>
    <xf numFmtId="176" fontId="12" fillId="6" borderId="1" xfId="0" applyNumberFormat="1" applyFont="1" applyFill="1" applyBorder="1" applyAlignment="1" applyProtection="1">
      <alignment horizontal="center" vertical="center"/>
      <protection locked="0"/>
    </xf>
    <xf numFmtId="0" fontId="16" fillId="0" borderId="0" xfId="0" applyFont="1" applyBorder="1" applyAlignment="1" applyProtection="1">
      <alignment vertical="center"/>
      <protection hidden="1"/>
    </xf>
    <xf numFmtId="0" fontId="16" fillId="6" borderId="0" xfId="0" applyFont="1" applyFill="1" applyBorder="1" applyAlignment="1" applyProtection="1">
      <alignment vertical="center"/>
      <protection hidden="1"/>
    </xf>
    <xf numFmtId="0" fontId="18" fillId="6" borderId="0" xfId="0" applyFont="1" applyFill="1" applyBorder="1" applyAlignment="1" applyProtection="1">
      <alignment vertical="center"/>
      <protection hidden="1"/>
    </xf>
    <xf numFmtId="0" fontId="6" fillId="6" borderId="0" xfId="0" applyFont="1" applyFill="1" applyBorder="1" applyAlignment="1" applyProtection="1">
      <alignment horizontal="center" vertical="center" wrapText="1"/>
      <protection hidden="1"/>
    </xf>
    <xf numFmtId="174" fontId="7" fillId="7" borderId="12" xfId="0" applyNumberFormat="1" applyFont="1" applyFill="1" applyBorder="1" applyAlignment="1" applyProtection="1">
      <alignment horizontal="center" vertical="center" wrapText="1"/>
      <protection hidden="1"/>
    </xf>
    <xf numFmtId="174" fontId="7" fillId="7" borderId="12" xfId="0" quotePrefix="1" applyNumberFormat="1" applyFont="1" applyFill="1" applyBorder="1" applyAlignment="1" applyProtection="1">
      <alignment horizontal="center" vertical="center" wrapText="1"/>
      <protection hidden="1"/>
    </xf>
    <xf numFmtId="0" fontId="6" fillId="0" borderId="0" xfId="0" applyFont="1" applyBorder="1" applyAlignment="1" applyProtection="1">
      <alignment vertical="center"/>
      <protection hidden="1"/>
    </xf>
    <xf numFmtId="0" fontId="6" fillId="6" borderId="0" xfId="0" applyFont="1" applyFill="1" applyBorder="1" applyAlignment="1" applyProtection="1">
      <alignment vertical="center"/>
      <protection hidden="1"/>
    </xf>
    <xf numFmtId="0" fontId="3" fillId="0" borderId="0" xfId="0" applyFont="1"/>
    <xf numFmtId="0" fontId="21" fillId="0" borderId="0" xfId="0" applyFont="1" applyFill="1" applyAlignment="1" applyProtection="1">
      <alignment vertical="center"/>
    </xf>
    <xf numFmtId="0" fontId="9" fillId="0" borderId="0" xfId="0" applyFont="1" applyFill="1" applyBorder="1" applyAlignment="1" applyProtection="1">
      <alignment vertical="center"/>
    </xf>
    <xf numFmtId="0" fontId="6" fillId="6" borderId="0" xfId="0" applyFont="1" applyFill="1" applyBorder="1" applyAlignment="1" applyProtection="1">
      <alignment vertical="center"/>
    </xf>
    <xf numFmtId="0" fontId="6" fillId="0" borderId="0" xfId="0" applyFont="1" applyFill="1" applyBorder="1" applyAlignment="1" applyProtection="1">
      <alignment horizontal="center" vertical="center"/>
    </xf>
    <xf numFmtId="0" fontId="6" fillId="6" borderId="0" xfId="0" applyFont="1" applyFill="1" applyBorder="1" applyAlignment="1" applyProtection="1">
      <alignment horizontal="center" vertical="center"/>
    </xf>
    <xf numFmtId="0" fontId="6" fillId="0" borderId="0" xfId="0" applyFont="1" applyFill="1" applyBorder="1" applyAlignment="1" applyProtection="1">
      <alignment vertical="center"/>
    </xf>
    <xf numFmtId="1" fontId="11" fillId="0" borderId="0" xfId="0" applyNumberFormat="1" applyFont="1" applyFill="1" applyBorder="1" applyAlignment="1" applyProtection="1">
      <alignment horizontal="right" vertical="center" indent="1"/>
      <protection locked="0"/>
    </xf>
    <xf numFmtId="0" fontId="5" fillId="0" borderId="0" xfId="0" applyFont="1" applyFill="1" applyBorder="1" applyAlignment="1" applyProtection="1">
      <alignment vertical="center"/>
    </xf>
    <xf numFmtId="1" fontId="11" fillId="0" borderId="0" xfId="0" quotePrefix="1" applyNumberFormat="1" applyFont="1" applyFill="1" applyBorder="1" applyAlignment="1" applyProtection="1">
      <alignment horizontal="right" vertical="center" indent="1"/>
      <protection locked="0"/>
    </xf>
    <xf numFmtId="0" fontId="5" fillId="0" borderId="0" xfId="0" applyFont="1" applyFill="1" applyBorder="1" applyAlignment="1" applyProtection="1">
      <alignment vertical="center"/>
      <protection locked="0"/>
    </xf>
    <xf numFmtId="0" fontId="5" fillId="0" borderId="0" xfId="0" applyFont="1" applyFill="1" applyBorder="1"/>
    <xf numFmtId="177" fontId="14" fillId="0" borderId="0" xfId="0" applyNumberFormat="1" applyFont="1" applyFill="1" applyBorder="1" applyAlignment="1" applyProtection="1">
      <alignment horizontal="center" vertical="center"/>
    </xf>
    <xf numFmtId="177" fontId="17" fillId="0" borderId="0" xfId="0" quotePrefix="1" applyNumberFormat="1" applyFont="1" applyFill="1" applyBorder="1" applyAlignment="1" applyProtection="1">
      <alignment horizontal="center" vertical="center"/>
    </xf>
    <xf numFmtId="177" fontId="17" fillId="0" borderId="0" xfId="0" applyNumberFormat="1" applyFont="1" applyFill="1" applyBorder="1" applyAlignment="1" applyProtection="1">
      <alignment horizontal="center" vertical="center"/>
    </xf>
    <xf numFmtId="0" fontId="24" fillId="0" borderId="0" xfId="0" applyFont="1" applyAlignment="1" applyProtection="1">
      <alignment vertical="center"/>
    </xf>
    <xf numFmtId="0" fontId="8" fillId="6" borderId="0" xfId="0" applyFont="1" applyFill="1" applyBorder="1" applyAlignment="1" applyProtection="1">
      <alignment horizontal="left" vertical="center"/>
    </xf>
    <xf numFmtId="1" fontId="12" fillId="6" borderId="1" xfId="0" applyNumberFormat="1" applyFont="1" applyFill="1" applyBorder="1" applyAlignment="1" applyProtection="1">
      <alignment horizontal="center" vertical="center"/>
      <protection locked="0"/>
    </xf>
    <xf numFmtId="0" fontId="10" fillId="6" borderId="0" xfId="0" applyFont="1" applyFill="1" applyBorder="1" applyAlignment="1" applyProtection="1">
      <alignment horizontal="right" vertical="center" indent="1"/>
    </xf>
    <xf numFmtId="178" fontId="15" fillId="0" borderId="1" xfId="0" applyNumberFormat="1" applyFont="1" applyFill="1" applyBorder="1" applyAlignment="1" applyProtection="1">
      <alignment horizontal="right" vertical="center" indent="1"/>
      <protection locked="0"/>
    </xf>
    <xf numFmtId="0" fontId="28" fillId="0" borderId="0" xfId="0" applyFont="1" applyFill="1" applyAlignment="1" applyProtection="1">
      <alignment vertical="center"/>
    </xf>
    <xf numFmtId="0" fontId="28" fillId="0" borderId="0" xfId="0" applyFont="1" applyAlignment="1" applyProtection="1">
      <alignment vertical="center"/>
    </xf>
    <xf numFmtId="0" fontId="28" fillId="0" borderId="0" xfId="0" applyFont="1" applyAlignment="1" applyProtection="1">
      <alignment horizontal="right" vertical="center" indent="1"/>
    </xf>
    <xf numFmtId="0" fontId="0" fillId="0" borderId="0" xfId="0" applyProtection="1"/>
    <xf numFmtId="0" fontId="8" fillId="6" borderId="0" xfId="0" applyFont="1" applyFill="1" applyBorder="1" applyAlignment="1" applyProtection="1">
      <alignment vertical="center"/>
    </xf>
    <xf numFmtId="174" fontId="7" fillId="7" borderId="12" xfId="0" quotePrefix="1" applyNumberFormat="1" applyFont="1" applyFill="1" applyBorder="1" applyAlignment="1" applyProtection="1">
      <alignment horizontal="center" vertical="center" wrapText="1"/>
    </xf>
    <xf numFmtId="174" fontId="7" fillId="7" borderId="12" xfId="0" applyNumberFormat="1" applyFont="1" applyFill="1" applyBorder="1" applyAlignment="1" applyProtection="1">
      <alignment horizontal="center" vertical="center" wrapText="1"/>
    </xf>
    <xf numFmtId="0" fontId="18" fillId="6" borderId="0" xfId="0" quotePrefix="1" applyFont="1" applyFill="1" applyBorder="1" applyAlignment="1" applyProtection="1">
      <alignment horizontal="left" vertical="center"/>
      <protection hidden="1"/>
    </xf>
    <xf numFmtId="174" fontId="7" fillId="7" borderId="13" xfId="0" applyNumberFormat="1" applyFont="1" applyFill="1" applyBorder="1" applyAlignment="1" applyProtection="1">
      <alignment horizontal="center" vertical="center" wrapText="1"/>
      <protection hidden="1"/>
    </xf>
    <xf numFmtId="0" fontId="28" fillId="6" borderId="0" xfId="0" applyFont="1" applyFill="1" applyBorder="1" applyAlignment="1" applyProtection="1">
      <alignment vertical="center"/>
    </xf>
    <xf numFmtId="0" fontId="37" fillId="6" borderId="0" xfId="0" quotePrefix="1" applyFont="1" applyFill="1" applyBorder="1" applyAlignment="1" applyProtection="1">
      <alignment vertical="center"/>
    </xf>
    <xf numFmtId="0" fontId="21" fillId="6" borderId="0" xfId="0" applyFont="1" applyFill="1" applyBorder="1" applyAlignment="1" applyProtection="1">
      <alignment vertical="center"/>
    </xf>
    <xf numFmtId="0" fontId="21" fillId="0" borderId="0" xfId="0" applyFont="1" applyAlignment="1" applyProtection="1">
      <alignment vertical="center"/>
    </xf>
    <xf numFmtId="0" fontId="13" fillId="0" borderId="0" xfId="0" applyFont="1" applyBorder="1" applyAlignment="1" applyProtection="1">
      <alignment vertical="center"/>
    </xf>
    <xf numFmtId="174" fontId="7" fillId="0" borderId="0" xfId="0" quotePrefix="1" applyNumberFormat="1" applyFont="1" applyFill="1" applyBorder="1" applyAlignment="1" applyProtection="1">
      <alignment vertical="center" wrapText="1"/>
    </xf>
    <xf numFmtId="0" fontId="5" fillId="0" borderId="0" xfId="0" applyFont="1" applyFill="1" applyBorder="1" applyAlignment="1" applyProtection="1">
      <alignment horizontal="left" vertical="center"/>
    </xf>
    <xf numFmtId="1" fontId="39" fillId="6" borderId="0" xfId="0" applyNumberFormat="1" applyFont="1" applyFill="1" applyBorder="1" applyAlignment="1" applyProtection="1">
      <alignment horizontal="left" vertical="center" wrapText="1" indent="1"/>
    </xf>
    <xf numFmtId="0" fontId="9" fillId="0" borderId="0" xfId="0" applyFont="1" applyFill="1" applyBorder="1" applyAlignment="1" applyProtection="1">
      <alignment horizontal="right" vertical="center" indent="1"/>
      <protection locked="0"/>
    </xf>
    <xf numFmtId="174" fontId="6" fillId="0" borderId="0" xfId="0" applyNumberFormat="1" applyFont="1" applyFill="1" applyBorder="1" applyAlignment="1" applyProtection="1">
      <alignment horizontal="right" vertical="center" indent="1"/>
      <protection locked="0"/>
    </xf>
    <xf numFmtId="0" fontId="6" fillId="8" borderId="0" xfId="0" quotePrefix="1" applyFont="1" applyFill="1" applyBorder="1" applyAlignment="1" applyProtection="1">
      <alignment horizontal="center" vertical="center"/>
    </xf>
    <xf numFmtId="184" fontId="6" fillId="8" borderId="0" xfId="0" applyNumberFormat="1" applyFont="1" applyFill="1" applyBorder="1" applyAlignment="1" applyProtection="1">
      <alignment horizontal="center" vertical="center"/>
    </xf>
    <xf numFmtId="1" fontId="6" fillId="8" borderId="0" xfId="0" applyNumberFormat="1" applyFont="1" applyFill="1" applyBorder="1" applyAlignment="1" applyProtection="1">
      <alignment horizontal="right" vertical="center" indent="1"/>
    </xf>
    <xf numFmtId="176" fontId="6" fillId="8" borderId="0" xfId="0" applyNumberFormat="1" applyFont="1" applyFill="1" applyBorder="1" applyAlignment="1" applyProtection="1">
      <alignment horizontal="center" vertical="center"/>
    </xf>
    <xf numFmtId="0" fontId="6" fillId="0" borderId="0" xfId="0" quotePrefix="1" applyFont="1" applyFill="1" applyBorder="1" applyAlignment="1" applyProtection="1">
      <alignment horizontal="center" vertical="center"/>
    </xf>
    <xf numFmtId="184" fontId="6" fillId="0" borderId="0" xfId="0" applyNumberFormat="1" applyFont="1" applyFill="1" applyBorder="1" applyAlignment="1" applyProtection="1">
      <alignment horizontal="center" vertical="center"/>
    </xf>
    <xf numFmtId="1" fontId="6" fillId="0" borderId="0" xfId="0" applyNumberFormat="1" applyFont="1" applyFill="1" applyBorder="1" applyAlignment="1" applyProtection="1">
      <alignment horizontal="right" vertical="center" indent="1"/>
    </xf>
    <xf numFmtId="176" fontId="6" fillId="0" borderId="0" xfId="0" applyNumberFormat="1" applyFont="1" applyFill="1" applyBorder="1" applyAlignment="1" applyProtection="1">
      <alignment horizontal="center" vertical="center"/>
    </xf>
    <xf numFmtId="174" fontId="34" fillId="7" borderId="14" xfId="0" applyNumberFormat="1" applyFont="1" applyFill="1" applyBorder="1" applyAlignment="1" applyProtection="1">
      <alignment horizontal="center" vertical="center" wrapText="1"/>
    </xf>
    <xf numFmtId="174" fontId="34" fillId="7" borderId="15" xfId="0" applyNumberFormat="1" applyFont="1" applyFill="1" applyBorder="1" applyAlignment="1" applyProtection="1">
      <alignment horizontal="center" vertical="center" wrapText="1"/>
    </xf>
    <xf numFmtId="174" fontId="34" fillId="7" borderId="16" xfId="0" applyNumberFormat="1" applyFont="1" applyFill="1" applyBorder="1" applyAlignment="1" applyProtection="1">
      <alignment horizontal="center" vertical="center" wrapText="1"/>
    </xf>
    <xf numFmtId="0" fontId="6" fillId="8" borderId="1" xfId="0" applyFont="1" applyFill="1" applyBorder="1" applyAlignment="1" applyProtection="1">
      <alignment horizontal="right" vertical="center" indent="1"/>
      <protection hidden="1"/>
    </xf>
    <xf numFmtId="184" fontId="6" fillId="8" borderId="1" xfId="0" applyNumberFormat="1" applyFont="1" applyFill="1" applyBorder="1" applyAlignment="1" applyProtection="1">
      <alignment horizontal="center" vertical="center"/>
      <protection hidden="1"/>
    </xf>
    <xf numFmtId="0" fontId="3" fillId="0" borderId="0" xfId="0" applyFont="1" applyAlignment="1">
      <alignment horizontal="center"/>
    </xf>
    <xf numFmtId="0" fontId="26" fillId="6" borderId="0" xfId="0" applyFont="1" applyFill="1" applyBorder="1" applyAlignment="1" applyProtection="1">
      <alignment vertical="center"/>
      <protection hidden="1"/>
    </xf>
    <xf numFmtId="0" fontId="40" fillId="0" borderId="0" xfId="0" applyFont="1" applyFill="1" applyBorder="1" applyAlignment="1" applyProtection="1">
      <alignment horizontal="center"/>
    </xf>
    <xf numFmtId="0" fontId="41" fillId="0" borderId="0" xfId="0" applyFont="1" applyFill="1" applyBorder="1" applyAlignment="1" applyProtection="1">
      <alignment horizontal="center" vertical="center"/>
    </xf>
    <xf numFmtId="0" fontId="42" fillId="0" borderId="0" xfId="0" applyFont="1" applyFill="1" applyBorder="1" applyAlignment="1" applyProtection="1">
      <alignment horizontal="center"/>
    </xf>
    <xf numFmtId="0" fontId="43" fillId="0" borderId="0" xfId="0" applyFont="1"/>
    <xf numFmtId="0" fontId="44" fillId="6" borderId="0" xfId="0" applyFont="1" applyFill="1" applyBorder="1" applyAlignment="1" applyProtection="1">
      <alignment vertical="center"/>
      <protection hidden="1"/>
    </xf>
    <xf numFmtId="0" fontId="44" fillId="6" borderId="0" xfId="0" applyFont="1" applyFill="1" applyBorder="1" applyAlignment="1" applyProtection="1">
      <alignment horizontal="center" vertical="center"/>
      <protection hidden="1"/>
    </xf>
    <xf numFmtId="0" fontId="44" fillId="6" borderId="0" xfId="0" quotePrefix="1" applyFont="1" applyFill="1" applyBorder="1" applyAlignment="1" applyProtection="1">
      <alignment horizontal="center" vertical="center"/>
      <protection hidden="1"/>
    </xf>
    <xf numFmtId="0" fontId="12" fillId="0" borderId="0" xfId="0" applyFont="1" applyBorder="1" applyAlignment="1" applyProtection="1">
      <alignment vertical="center"/>
      <protection locked="0"/>
    </xf>
    <xf numFmtId="179" fontId="19" fillId="6" borderId="1" xfId="0" applyNumberFormat="1" applyFont="1" applyFill="1" applyBorder="1" applyAlignment="1" applyProtection="1">
      <alignment horizontal="right" vertical="center" indent="1"/>
      <protection locked="0"/>
    </xf>
    <xf numFmtId="179" fontId="19" fillId="6" borderId="1" xfId="0" applyNumberFormat="1" applyFont="1" applyFill="1" applyBorder="1" applyAlignment="1" applyProtection="1">
      <alignment horizontal="right" vertical="center" indent="1"/>
    </xf>
    <xf numFmtId="183" fontId="10" fillId="6" borderId="0" xfId="0" applyNumberFormat="1" applyFont="1" applyFill="1" applyBorder="1" applyAlignment="1" applyProtection="1">
      <alignment vertical="center"/>
    </xf>
    <xf numFmtId="0" fontId="13" fillId="6" borderId="0" xfId="0" applyFont="1" applyFill="1" applyBorder="1" applyAlignment="1" applyProtection="1">
      <alignment horizontal="center" vertical="center"/>
    </xf>
    <xf numFmtId="0" fontId="10" fillId="6" borderId="0" xfId="0" applyFont="1" applyFill="1" applyBorder="1" applyAlignment="1" applyProtection="1">
      <alignment horizontal="center" vertical="center"/>
    </xf>
    <xf numFmtId="0" fontId="0" fillId="0" borderId="0" xfId="0" applyAlignment="1">
      <alignment horizontal="center"/>
    </xf>
    <xf numFmtId="174" fontId="7" fillId="7" borderId="17" xfId="0" applyNumberFormat="1" applyFont="1" applyFill="1" applyBorder="1" applyAlignment="1" applyProtection="1">
      <alignment horizontal="center" vertical="center" wrapText="1"/>
    </xf>
    <xf numFmtId="174" fontId="7" fillId="7" borderId="18" xfId="0" applyNumberFormat="1" applyFont="1" applyFill="1" applyBorder="1" applyAlignment="1" applyProtection="1">
      <alignment horizontal="center" vertical="center" wrapText="1"/>
    </xf>
    <xf numFmtId="174" fontId="7" fillId="7" borderId="19" xfId="0" applyNumberFormat="1" applyFont="1" applyFill="1" applyBorder="1" applyAlignment="1" applyProtection="1">
      <alignment horizontal="center" vertical="center"/>
    </xf>
    <xf numFmtId="179" fontId="25" fillId="6" borderId="1" xfId="0" applyNumberFormat="1" applyFont="1" applyFill="1" applyBorder="1" applyAlignment="1" applyProtection="1">
      <alignment horizontal="left" vertical="center" indent="1"/>
      <protection locked="0"/>
    </xf>
    <xf numFmtId="177" fontId="23" fillId="0" borderId="1" xfId="0" quotePrefix="1" applyNumberFormat="1" applyFont="1" applyBorder="1" applyAlignment="1" applyProtection="1">
      <alignment horizontal="left" vertical="center" indent="1"/>
      <protection locked="0"/>
    </xf>
    <xf numFmtId="174" fontId="7" fillId="7" borderId="20" xfId="0" applyNumberFormat="1" applyFont="1" applyFill="1" applyBorder="1" applyAlignment="1" applyProtection="1">
      <alignment horizontal="center" vertical="center" wrapText="1"/>
    </xf>
    <xf numFmtId="0" fontId="44" fillId="6" borderId="0" xfId="0" applyFont="1" applyFill="1" applyBorder="1" applyAlignment="1" applyProtection="1">
      <alignment horizontal="center" vertical="center"/>
    </xf>
    <xf numFmtId="178" fontId="53" fillId="6" borderId="21" xfId="0" applyNumberFormat="1" applyFont="1" applyFill="1" applyBorder="1" applyAlignment="1" applyProtection="1">
      <alignment horizontal="center" vertical="center"/>
    </xf>
    <xf numFmtId="178" fontId="53" fillId="6" borderId="22" xfId="0" applyNumberFormat="1" applyFont="1" applyFill="1" applyBorder="1" applyAlignment="1" applyProtection="1">
      <alignment horizontal="center" vertical="center"/>
    </xf>
    <xf numFmtId="0" fontId="25" fillId="8" borderId="1" xfId="0" applyFont="1" applyFill="1" applyBorder="1" applyAlignment="1" applyProtection="1">
      <alignment horizontal="center" vertical="center"/>
      <protection hidden="1"/>
    </xf>
    <xf numFmtId="184" fontId="25" fillId="8" borderId="1" xfId="0" applyNumberFormat="1" applyFont="1" applyFill="1" applyBorder="1" applyAlignment="1" applyProtection="1">
      <alignment horizontal="center" vertical="center"/>
      <protection hidden="1"/>
    </xf>
    <xf numFmtId="0" fontId="25" fillId="8" borderId="1" xfId="0" applyFont="1" applyFill="1" applyBorder="1" applyAlignment="1" applyProtection="1">
      <alignment horizontal="right" vertical="center" indent="1"/>
      <protection hidden="1"/>
    </xf>
    <xf numFmtId="174" fontId="25" fillId="8" borderId="1" xfId="0" applyNumberFormat="1" applyFont="1" applyFill="1" applyBorder="1" applyAlignment="1" applyProtection="1">
      <alignment horizontal="center" vertical="center"/>
      <protection hidden="1"/>
    </xf>
    <xf numFmtId="0" fontId="25" fillId="8" borderId="1" xfId="0" quotePrefix="1" applyFont="1" applyFill="1" applyBorder="1" applyAlignment="1" applyProtection="1">
      <alignment horizontal="center" vertical="center"/>
      <protection hidden="1"/>
    </xf>
    <xf numFmtId="1" fontId="25" fillId="8" borderId="1" xfId="0" applyNumberFormat="1" applyFont="1" applyFill="1" applyBorder="1" applyAlignment="1" applyProtection="1">
      <alignment horizontal="center" vertical="center"/>
      <protection hidden="1"/>
    </xf>
    <xf numFmtId="174" fontId="7" fillId="7" borderId="23" xfId="0" quotePrefix="1" applyNumberFormat="1" applyFont="1" applyFill="1" applyBorder="1" applyAlignment="1" applyProtection="1">
      <alignment horizontal="center" vertical="center" wrapText="1"/>
      <protection locked="0"/>
    </xf>
    <xf numFmtId="0" fontId="9" fillId="0" borderId="0" xfId="0" applyFont="1" applyFill="1" applyBorder="1" applyAlignment="1" applyProtection="1">
      <alignment horizontal="right" vertical="center" indent="1"/>
    </xf>
    <xf numFmtId="174" fontId="7" fillId="7" borderId="18" xfId="0" quotePrefix="1" applyNumberFormat="1" applyFont="1" applyFill="1" applyBorder="1" applyAlignment="1" applyProtection="1">
      <alignment horizontal="center" vertical="center" wrapText="1"/>
    </xf>
    <xf numFmtId="0" fontId="6" fillId="8" borderId="1" xfId="0" quotePrefix="1" applyFont="1" applyFill="1" applyBorder="1" applyAlignment="1" applyProtection="1">
      <alignment horizontal="right" vertical="center" indent="1"/>
    </xf>
    <xf numFmtId="184" fontId="6" fillId="8" borderId="1" xfId="0" applyNumberFormat="1" applyFont="1" applyFill="1" applyBorder="1" applyAlignment="1" applyProtection="1">
      <alignment horizontal="right" vertical="center" indent="1"/>
    </xf>
    <xf numFmtId="1" fontId="6" fillId="8" borderId="1" xfId="0" applyNumberFormat="1" applyFont="1" applyFill="1" applyBorder="1" applyAlignment="1" applyProtection="1">
      <alignment horizontal="right" vertical="center" indent="1"/>
    </xf>
    <xf numFmtId="174" fontId="6" fillId="8" borderId="1" xfId="0" applyNumberFormat="1" applyFont="1" applyFill="1" applyBorder="1" applyAlignment="1" applyProtection="1">
      <alignment horizontal="right" vertical="center" indent="1"/>
    </xf>
    <xf numFmtId="174" fontId="6" fillId="8" borderId="24" xfId="0" applyNumberFormat="1" applyFont="1" applyFill="1" applyBorder="1" applyAlignment="1" applyProtection="1">
      <alignment horizontal="left" vertical="center" indent="1"/>
    </xf>
    <xf numFmtId="0" fontId="19" fillId="0" borderId="1" xfId="0" applyFont="1" applyFill="1" applyBorder="1" applyAlignment="1" applyProtection="1">
      <alignment horizontal="right" vertical="center" indent="1"/>
    </xf>
    <xf numFmtId="0" fontId="6" fillId="0" borderId="0" xfId="0" applyFont="1" applyFill="1" applyBorder="1" applyAlignment="1" applyProtection="1">
      <alignment horizontal="right" vertical="center" indent="1"/>
    </xf>
    <xf numFmtId="184" fontId="6" fillId="0" borderId="0" xfId="0" applyNumberFormat="1" applyFont="1" applyFill="1" applyBorder="1" applyAlignment="1" applyProtection="1">
      <alignment horizontal="right" vertical="center" indent="1"/>
    </xf>
    <xf numFmtId="174" fontId="6" fillId="0" borderId="0" xfId="0" applyNumberFormat="1" applyFont="1" applyFill="1" applyBorder="1" applyAlignment="1" applyProtection="1">
      <alignment horizontal="right" vertical="center" indent="1"/>
    </xf>
    <xf numFmtId="0" fontId="6" fillId="8" borderId="11" xfId="0" quotePrefix="1" applyFont="1" applyFill="1" applyBorder="1" applyAlignment="1" applyProtection="1">
      <alignment horizontal="center" vertical="center"/>
      <protection hidden="1"/>
    </xf>
    <xf numFmtId="0" fontId="6" fillId="8" borderId="25" xfId="0" applyFont="1" applyFill="1" applyBorder="1" applyAlignment="1" applyProtection="1">
      <alignment horizontal="right" vertical="center" indent="1"/>
      <protection hidden="1"/>
    </xf>
    <xf numFmtId="0" fontId="8" fillId="0" borderId="0" xfId="0" applyFont="1" applyFill="1" applyBorder="1" applyAlignment="1" applyProtection="1">
      <alignment vertical="center"/>
    </xf>
    <xf numFmtId="1" fontId="12" fillId="6" borderId="25" xfId="0" applyNumberFormat="1" applyFont="1" applyFill="1" applyBorder="1" applyAlignment="1" applyProtection="1">
      <alignment horizontal="left" vertical="center" indent="1"/>
      <protection locked="0"/>
    </xf>
    <xf numFmtId="0" fontId="33" fillId="9" borderId="26" xfId="0" quotePrefix="1" applyFont="1" applyFill="1" applyBorder="1" applyAlignment="1" applyProtection="1">
      <alignment horizontal="center" vertical="center"/>
    </xf>
    <xf numFmtId="185" fontId="12" fillId="6" borderId="1" xfId="0" applyNumberFormat="1" applyFont="1" applyFill="1" applyBorder="1" applyAlignment="1" applyProtection="1">
      <alignment horizontal="center" vertical="center"/>
      <protection locked="0"/>
    </xf>
    <xf numFmtId="15" fontId="54" fillId="6" borderId="1" xfId="0" applyNumberFormat="1" applyFont="1" applyFill="1" applyBorder="1" applyAlignment="1" applyProtection="1">
      <alignment horizontal="right" vertical="center" indent="1"/>
      <protection locked="0"/>
    </xf>
    <xf numFmtId="0" fontId="8" fillId="6" borderId="27" xfId="0" applyFont="1" applyFill="1" applyBorder="1" applyAlignment="1" applyProtection="1">
      <alignment horizontal="left" vertical="center"/>
    </xf>
    <xf numFmtId="186" fontId="8" fillId="6" borderId="0" xfId="0" applyNumberFormat="1" applyFont="1" applyFill="1" applyBorder="1" applyAlignment="1" applyProtection="1">
      <alignment horizontal="right" vertical="center"/>
    </xf>
    <xf numFmtId="1" fontId="6" fillId="0" borderId="0" xfId="0" applyNumberFormat="1" applyFont="1" applyFill="1" applyBorder="1" applyAlignment="1" applyProtection="1">
      <alignment horizontal="center" vertical="center"/>
    </xf>
    <xf numFmtId="180" fontId="50" fillId="6" borderId="0" xfId="0" applyNumberFormat="1" applyFont="1" applyFill="1" applyBorder="1" applyAlignment="1" applyProtection="1">
      <alignment horizontal="right" vertical="center" indent="1"/>
      <protection locked="0"/>
    </xf>
    <xf numFmtId="174" fontId="12" fillId="6" borderId="1" xfId="0" applyNumberFormat="1" applyFont="1" applyFill="1" applyBorder="1" applyAlignment="1" applyProtection="1">
      <alignment horizontal="center" vertical="center"/>
      <protection locked="0"/>
    </xf>
    <xf numFmtId="174" fontId="5" fillId="0" borderId="0" xfId="0" applyNumberFormat="1" applyFont="1" applyAlignment="1" applyProtection="1">
      <alignment horizontal="center" vertical="center"/>
    </xf>
    <xf numFmtId="0" fontId="5" fillId="0" borderId="0" xfId="0" applyFont="1" applyAlignment="1" applyProtection="1">
      <alignment horizontal="center" vertical="center"/>
    </xf>
    <xf numFmtId="2" fontId="12" fillId="6" borderId="1" xfId="0" applyNumberFormat="1" applyFont="1" applyFill="1" applyBorder="1" applyAlignment="1" applyProtection="1">
      <alignment horizontal="center" vertical="center"/>
      <protection locked="0"/>
    </xf>
    <xf numFmtId="179" fontId="19" fillId="6" borderId="28" xfId="0" applyNumberFormat="1" applyFont="1" applyFill="1" applyBorder="1" applyAlignment="1" applyProtection="1">
      <alignment horizontal="right" vertical="center" indent="1"/>
    </xf>
    <xf numFmtId="0" fontId="9" fillId="6" borderId="0" xfId="0" applyFont="1" applyFill="1" applyBorder="1" applyAlignment="1" applyProtection="1">
      <alignment horizontal="center" vertical="center"/>
    </xf>
    <xf numFmtId="0" fontId="6" fillId="0" borderId="0" xfId="0" applyFont="1" applyFill="1" applyBorder="1" applyAlignment="1" applyProtection="1">
      <alignment horizontal="center"/>
    </xf>
    <xf numFmtId="0" fontId="12" fillId="0" borderId="0" xfId="0" applyFont="1" applyBorder="1" applyAlignment="1" applyProtection="1">
      <alignment horizontal="left" vertical="center" indent="1"/>
    </xf>
    <xf numFmtId="0" fontId="25" fillId="0" borderId="1" xfId="0" applyFont="1" applyBorder="1" applyAlignment="1" applyProtection="1">
      <alignment horizontal="left" vertical="center" indent="1"/>
    </xf>
    <xf numFmtId="0" fontId="25" fillId="0" borderId="1" xfId="0" quotePrefix="1" applyFont="1" applyBorder="1" applyAlignment="1" applyProtection="1">
      <alignment horizontal="left" vertical="center" indent="1"/>
    </xf>
    <xf numFmtId="2" fontId="55" fillId="0" borderId="25" xfId="0" applyNumberFormat="1" applyFont="1" applyFill="1" applyBorder="1" applyAlignment="1" applyProtection="1">
      <alignment horizontal="center" vertical="center"/>
    </xf>
    <xf numFmtId="2" fontId="12" fillId="0" borderId="25" xfId="0" applyNumberFormat="1" applyFont="1" applyFill="1" applyBorder="1" applyAlignment="1" applyProtection="1">
      <alignment horizontal="left" vertical="center" indent="1"/>
      <protection locked="0"/>
    </xf>
    <xf numFmtId="0" fontId="5" fillId="0" borderId="29" xfId="0" applyFont="1" applyBorder="1"/>
    <xf numFmtId="0" fontId="5" fillId="0" borderId="29" xfId="0" applyFont="1" applyBorder="1" applyAlignment="1" applyProtection="1">
      <alignment vertical="center"/>
    </xf>
    <xf numFmtId="174" fontId="5" fillId="0" borderId="29" xfId="0" applyNumberFormat="1" applyFont="1" applyBorder="1" applyAlignment="1" applyProtection="1">
      <alignment horizontal="center" vertical="center"/>
    </xf>
    <xf numFmtId="174" fontId="5" fillId="0" borderId="29" xfId="0" applyNumberFormat="1" applyFont="1" applyBorder="1" applyAlignment="1" applyProtection="1">
      <alignment horizontal="right" vertical="center" indent="1"/>
    </xf>
    <xf numFmtId="0" fontId="5" fillId="0" borderId="29" xfId="0" applyFont="1" applyBorder="1" applyAlignment="1" applyProtection="1">
      <alignment horizontal="center" vertical="center"/>
    </xf>
    <xf numFmtId="0" fontId="6" fillId="0" borderId="29" xfId="0" applyFont="1" applyFill="1" applyBorder="1" applyProtection="1"/>
    <xf numFmtId="1" fontId="12" fillId="6" borderId="1" xfId="0" quotePrefix="1" applyNumberFormat="1" applyFont="1" applyFill="1" applyBorder="1" applyAlignment="1" applyProtection="1">
      <alignment horizontal="center" vertical="center"/>
      <protection locked="0"/>
    </xf>
    <xf numFmtId="174" fontId="12" fillId="6" borderId="1" xfId="2416" applyNumberFormat="1" applyFont="1" applyFill="1" applyBorder="1" applyAlignment="1" applyProtection="1">
      <alignment horizontal="center" vertical="center"/>
      <protection locked="0"/>
    </xf>
    <xf numFmtId="179" fontId="19" fillId="6" borderId="28" xfId="0" applyNumberFormat="1" applyFont="1" applyFill="1" applyBorder="1" applyAlignment="1" applyProtection="1">
      <alignment horizontal="center" vertical="center"/>
      <protection locked="0"/>
    </xf>
    <xf numFmtId="180" fontId="12" fillId="6" borderId="1" xfId="0" applyNumberFormat="1" applyFont="1" applyFill="1" applyBorder="1" applyAlignment="1" applyProtection="1">
      <alignment horizontal="center" vertical="center"/>
      <protection locked="0"/>
    </xf>
    <xf numFmtId="179" fontId="12" fillId="6" borderId="1" xfId="0" applyNumberFormat="1" applyFont="1" applyFill="1" applyBorder="1" applyAlignment="1" applyProtection="1">
      <alignment horizontal="center" vertical="center"/>
      <protection locked="0"/>
    </xf>
    <xf numFmtId="0" fontId="16" fillId="6" borderId="0" xfId="0" applyFont="1" applyFill="1" applyBorder="1" applyAlignment="1" applyProtection="1">
      <alignment horizontal="center" vertical="center"/>
      <protection hidden="1"/>
    </xf>
    <xf numFmtId="0" fontId="18" fillId="6" borderId="0" xfId="0" applyFont="1" applyFill="1" applyBorder="1" applyAlignment="1" applyProtection="1">
      <alignment horizontal="center" vertical="center"/>
      <protection hidden="1"/>
    </xf>
    <xf numFmtId="186" fontId="18" fillId="6" borderId="27" xfId="0" applyNumberFormat="1" applyFont="1" applyFill="1" applyBorder="1" applyAlignment="1" applyProtection="1">
      <alignment vertical="center"/>
      <protection hidden="1"/>
    </xf>
    <xf numFmtId="174" fontId="7" fillId="7" borderId="23" xfId="0" applyNumberFormat="1" applyFont="1" applyFill="1" applyBorder="1" applyAlignment="1" applyProtection="1">
      <alignment horizontal="center" vertical="center" wrapText="1"/>
    </xf>
    <xf numFmtId="0" fontId="6" fillId="0" borderId="0" xfId="0" applyFont="1" applyProtection="1">
      <protection hidden="1"/>
    </xf>
    <xf numFmtId="0" fontId="6" fillId="0" borderId="0" xfId="0" applyFont="1" applyAlignment="1" applyProtection="1">
      <alignment horizontal="center"/>
      <protection hidden="1"/>
    </xf>
    <xf numFmtId="174" fontId="7" fillId="7" borderId="30" xfId="0" applyNumberFormat="1" applyFont="1" applyFill="1" applyBorder="1" applyAlignment="1" applyProtection="1">
      <alignment horizontal="center" vertical="center"/>
      <protection hidden="1"/>
    </xf>
    <xf numFmtId="174" fontId="7" fillId="7" borderId="31" xfId="0" applyNumberFormat="1" applyFont="1" applyFill="1" applyBorder="1" applyAlignment="1" applyProtection="1">
      <alignment horizontal="center" vertical="center"/>
      <protection hidden="1"/>
    </xf>
    <xf numFmtId="0" fontId="25" fillId="6" borderId="1" xfId="0" applyFont="1" applyFill="1" applyBorder="1" applyAlignment="1" applyProtection="1">
      <alignment horizontal="left" vertical="center" indent="1"/>
      <protection hidden="1"/>
    </xf>
    <xf numFmtId="0" fontId="25" fillId="6" borderId="1" xfId="0" quotePrefix="1" applyFont="1" applyFill="1" applyBorder="1" applyAlignment="1" applyProtection="1">
      <alignment horizontal="left" vertical="center" indent="1"/>
      <protection hidden="1"/>
    </xf>
    <xf numFmtId="177" fontId="25" fillId="0" borderId="11" xfId="0" applyNumberFormat="1" applyFont="1" applyFill="1" applyBorder="1" applyAlignment="1" applyProtection="1">
      <alignment horizontal="right" vertical="center" indent="1"/>
    </xf>
    <xf numFmtId="174" fontId="4" fillId="7" borderId="13" xfId="0" quotePrefix="1" applyNumberFormat="1" applyFont="1" applyFill="1" applyBorder="1" applyAlignment="1" applyProtection="1">
      <alignment horizontal="center" vertical="center" wrapText="1"/>
    </xf>
    <xf numFmtId="0" fontId="18" fillId="6" borderId="0" xfId="0" applyFont="1" applyFill="1" applyBorder="1" applyAlignment="1" applyProtection="1">
      <alignment horizontal="left" vertical="center"/>
      <protection hidden="1"/>
    </xf>
    <xf numFmtId="1" fontId="56" fillId="0" borderId="1" xfId="0" applyNumberFormat="1" applyFont="1" applyBorder="1" applyAlignment="1" applyProtection="1">
      <alignment horizontal="right" vertical="center" indent="1"/>
      <protection hidden="1"/>
    </xf>
    <xf numFmtId="0" fontId="22" fillId="0" borderId="32" xfId="0" quotePrefix="1" applyFont="1" applyBorder="1" applyAlignment="1">
      <alignment horizontal="right" vertical="center" indent="1"/>
    </xf>
    <xf numFmtId="2" fontId="30" fillId="0" borderId="32" xfId="0" applyNumberFormat="1" applyFont="1" applyBorder="1" applyAlignment="1" applyProtection="1">
      <alignment horizontal="center" vertical="center"/>
      <protection hidden="1"/>
    </xf>
    <xf numFmtId="0" fontId="25" fillId="6" borderId="11" xfId="0" applyFont="1" applyFill="1" applyBorder="1" applyAlignment="1" applyProtection="1">
      <alignment horizontal="left" vertical="center" indent="1"/>
      <protection hidden="1"/>
    </xf>
    <xf numFmtId="0" fontId="22" fillId="0" borderId="0" xfId="0" applyFont="1" applyFill="1" applyBorder="1" applyAlignment="1" applyProtection="1">
      <alignment horizontal="center" vertical="center"/>
    </xf>
    <xf numFmtId="0" fontId="22" fillId="6" borderId="0" xfId="0" applyFont="1" applyFill="1" applyBorder="1" applyAlignment="1" applyProtection="1">
      <alignment horizontal="center" vertical="center"/>
    </xf>
    <xf numFmtId="174" fontId="35" fillId="7" borderId="20" xfId="0" applyNumberFormat="1" applyFont="1" applyFill="1" applyBorder="1" applyAlignment="1" applyProtection="1">
      <alignment horizontal="center" vertical="center" wrapText="1"/>
    </xf>
    <xf numFmtId="174" fontId="35" fillId="7" borderId="33" xfId="0" applyNumberFormat="1" applyFont="1" applyFill="1" applyBorder="1" applyAlignment="1" applyProtection="1">
      <alignment horizontal="center" vertical="center" wrapText="1"/>
    </xf>
    <xf numFmtId="0" fontId="38" fillId="0" borderId="0" xfId="0" applyFont="1"/>
    <xf numFmtId="0" fontId="38" fillId="0" borderId="0" xfId="0" applyFont="1" applyProtection="1"/>
    <xf numFmtId="174" fontId="35" fillId="7" borderId="15" xfId="0" applyNumberFormat="1" applyFont="1" applyFill="1" applyBorder="1" applyAlignment="1" applyProtection="1">
      <alignment horizontal="center" vertical="center" wrapText="1"/>
    </xf>
    <xf numFmtId="174" fontId="35" fillId="7" borderId="15" xfId="0" quotePrefix="1" applyNumberFormat="1" applyFont="1" applyFill="1" applyBorder="1" applyAlignment="1" applyProtection="1">
      <alignment horizontal="center" vertical="center" wrapText="1"/>
    </xf>
    <xf numFmtId="174" fontId="35" fillId="7" borderId="34" xfId="0" applyNumberFormat="1" applyFont="1" applyFill="1" applyBorder="1" applyAlignment="1" applyProtection="1">
      <alignment horizontal="center" vertical="center" wrapText="1"/>
    </xf>
    <xf numFmtId="0" fontId="57" fillId="0" borderId="0" xfId="0" applyFont="1" applyProtection="1"/>
    <xf numFmtId="174" fontId="35" fillId="7" borderId="35" xfId="0" applyNumberFormat="1" applyFont="1" applyFill="1" applyBorder="1" applyAlignment="1" applyProtection="1">
      <alignment horizontal="center" vertical="center" wrapText="1"/>
    </xf>
    <xf numFmtId="174" fontId="35" fillId="7" borderId="20" xfId="0" quotePrefix="1" applyNumberFormat="1" applyFont="1" applyFill="1" applyBorder="1" applyAlignment="1" applyProtection="1">
      <alignment horizontal="center" vertical="center" wrapText="1"/>
    </xf>
    <xf numFmtId="174" fontId="35" fillId="7" borderId="36" xfId="0" applyNumberFormat="1" applyFont="1" applyFill="1" applyBorder="1" applyAlignment="1" applyProtection="1">
      <alignment horizontal="center" vertical="center" wrapText="1"/>
    </xf>
    <xf numFmtId="174" fontId="35" fillId="7" borderId="13" xfId="0" quotePrefix="1" applyNumberFormat="1" applyFont="1" applyFill="1" applyBorder="1" applyAlignment="1" applyProtection="1">
      <alignment horizontal="center" vertical="center" wrapText="1"/>
      <protection hidden="1"/>
    </xf>
    <xf numFmtId="174" fontId="35" fillId="7" borderId="12" xfId="0" quotePrefix="1" applyNumberFormat="1" applyFont="1" applyFill="1" applyBorder="1" applyAlignment="1" applyProtection="1">
      <alignment horizontal="center" vertical="center" wrapText="1"/>
      <protection hidden="1"/>
    </xf>
    <xf numFmtId="174" fontId="35" fillId="7" borderId="36" xfId="0" quotePrefix="1" applyNumberFormat="1" applyFont="1" applyFill="1" applyBorder="1" applyAlignment="1" applyProtection="1">
      <alignment horizontal="center" vertical="center" wrapText="1"/>
    </xf>
    <xf numFmtId="0" fontId="28" fillId="0" borderId="29" xfId="0" applyFont="1" applyBorder="1" applyAlignment="1" applyProtection="1">
      <alignment vertical="center"/>
    </xf>
    <xf numFmtId="0" fontId="28" fillId="0" borderId="29" xfId="0" applyFont="1" applyBorder="1" applyAlignment="1" applyProtection="1">
      <alignment horizontal="right" vertical="center" indent="1"/>
    </xf>
    <xf numFmtId="174" fontId="59" fillId="6" borderId="0" xfId="0" applyNumberFormat="1" applyFont="1" applyFill="1" applyBorder="1" applyAlignment="1" applyProtection="1">
      <alignment horizontal="center" vertical="center"/>
      <protection hidden="1"/>
    </xf>
    <xf numFmtId="0" fontId="47" fillId="0" borderId="0" xfId="0" applyFont="1" applyFill="1" applyBorder="1" applyAlignment="1" applyProtection="1">
      <alignment horizontal="center" vertical="center"/>
      <protection locked="0"/>
    </xf>
    <xf numFmtId="0" fontId="60" fillId="7" borderId="37" xfId="0" quotePrefix="1" applyFont="1" applyFill="1" applyBorder="1" applyAlignment="1" applyProtection="1">
      <alignment horizontal="right" vertical="center" indent="1"/>
      <protection locked="0"/>
    </xf>
    <xf numFmtId="0" fontId="47" fillId="6" borderId="38" xfId="0" quotePrefix="1" applyFont="1" applyFill="1" applyBorder="1" applyAlignment="1" applyProtection="1">
      <alignment vertical="center"/>
      <protection locked="0"/>
    </xf>
    <xf numFmtId="0" fontId="60" fillId="7" borderId="39" xfId="0" applyFont="1" applyFill="1" applyBorder="1" applyAlignment="1" applyProtection="1">
      <alignment horizontal="right" vertical="center" indent="1"/>
      <protection locked="0"/>
    </xf>
    <xf numFmtId="0" fontId="60" fillId="7" borderId="39" xfId="0" quotePrefix="1" applyFont="1" applyFill="1" applyBorder="1" applyAlignment="1" applyProtection="1">
      <alignment horizontal="right" vertical="center" indent="1"/>
      <protection locked="0"/>
    </xf>
    <xf numFmtId="0" fontId="46" fillId="6" borderId="1" xfId="0" applyFont="1" applyFill="1" applyBorder="1" applyAlignment="1" applyProtection="1">
      <alignment horizontal="center" vertical="center"/>
      <protection locked="0"/>
    </xf>
    <xf numFmtId="0" fontId="46" fillId="10" borderId="1" xfId="0" applyFont="1" applyFill="1" applyBorder="1" applyAlignment="1" applyProtection="1">
      <alignment horizontal="center" vertical="center"/>
      <protection locked="0"/>
    </xf>
    <xf numFmtId="49" fontId="49" fillId="11" borderId="1" xfId="0" applyNumberFormat="1" applyFont="1" applyFill="1" applyBorder="1" applyAlignment="1" applyProtection="1">
      <alignment horizontal="center" vertical="center"/>
      <protection locked="0"/>
    </xf>
    <xf numFmtId="0" fontId="60" fillId="7" borderId="40" xfId="0" quotePrefix="1" applyFont="1" applyFill="1" applyBorder="1" applyAlignment="1" applyProtection="1">
      <alignment horizontal="right" vertical="center" indent="1"/>
      <protection locked="0"/>
    </xf>
    <xf numFmtId="0" fontId="46" fillId="10" borderId="24" xfId="0" applyFont="1" applyFill="1" applyBorder="1" applyAlignment="1" applyProtection="1">
      <alignment horizontal="center" vertical="center"/>
      <protection locked="0"/>
    </xf>
    <xf numFmtId="0" fontId="0" fillId="0" borderId="0" xfId="0" applyAlignment="1" applyProtection="1"/>
    <xf numFmtId="0" fontId="47" fillId="0" borderId="0" xfId="0" quotePrefix="1" applyFont="1" applyFill="1" applyBorder="1" applyAlignment="1" applyProtection="1">
      <alignment vertical="center"/>
      <protection locked="0"/>
    </xf>
    <xf numFmtId="0" fontId="46" fillId="6" borderId="1" xfId="0" applyFont="1" applyFill="1" applyBorder="1" applyAlignment="1" applyProtection="1">
      <alignment horizontal="center"/>
      <protection locked="0"/>
    </xf>
    <xf numFmtId="176" fontId="19" fillId="6" borderId="1" xfId="0" applyNumberFormat="1" applyFont="1" applyFill="1" applyBorder="1" applyAlignment="1" applyProtection="1">
      <alignment horizontal="right" vertical="center" indent="1"/>
      <protection locked="0"/>
    </xf>
    <xf numFmtId="0" fontId="12" fillId="6" borderId="1" xfId="0" applyFont="1" applyFill="1" applyBorder="1" applyAlignment="1" applyProtection="1">
      <alignment horizontal="left" vertical="center" indent="1"/>
      <protection locked="0"/>
    </xf>
    <xf numFmtId="0" fontId="61" fillId="6" borderId="0" xfId="0" applyFont="1" applyFill="1" applyBorder="1" applyAlignment="1" applyProtection="1">
      <alignment horizontal="center" vertical="center"/>
    </xf>
    <xf numFmtId="0" fontId="10" fillId="0" borderId="0" xfId="0" applyFont="1" applyFill="1" applyBorder="1" applyAlignment="1" applyProtection="1">
      <alignment horizontal="center" vertical="center"/>
    </xf>
    <xf numFmtId="2" fontId="6" fillId="0" borderId="0" xfId="0" applyNumberFormat="1" applyFont="1" applyFill="1" applyBorder="1" applyAlignment="1">
      <alignment horizontal="center" vertical="center"/>
    </xf>
    <xf numFmtId="177" fontId="23" fillId="0" borderId="1" xfId="0" applyNumberFormat="1" applyFont="1" applyBorder="1" applyAlignment="1" applyProtection="1">
      <alignment horizontal="left" vertical="center" indent="1"/>
      <protection locked="0"/>
    </xf>
    <xf numFmtId="174" fontId="6" fillId="8" borderId="0" xfId="0" applyNumberFormat="1" applyFont="1" applyFill="1" applyBorder="1" applyAlignment="1" applyProtection="1">
      <alignment horizontal="right" vertical="center" indent="1"/>
    </xf>
    <xf numFmtId="0" fontId="15" fillId="6" borderId="11" xfId="0" applyFont="1" applyFill="1" applyBorder="1" applyAlignment="1" applyProtection="1">
      <alignment horizontal="right" vertical="center" indent="1"/>
      <protection locked="0"/>
    </xf>
    <xf numFmtId="3" fontId="0" fillId="0" borderId="0" xfId="0" applyNumberFormat="1"/>
    <xf numFmtId="1" fontId="0" fillId="0" borderId="0" xfId="0" applyNumberFormat="1"/>
    <xf numFmtId="189" fontId="0" fillId="0" borderId="0" xfId="0" applyNumberFormat="1"/>
    <xf numFmtId="180" fontId="50" fillId="6" borderId="11" xfId="0" applyNumberFormat="1" applyFont="1" applyFill="1" applyBorder="1" applyAlignment="1" applyProtection="1">
      <alignment horizontal="right" vertical="center" indent="1"/>
    </xf>
    <xf numFmtId="180" fontId="50" fillId="6" borderId="38" xfId="0" applyNumberFormat="1" applyFont="1" applyFill="1" applyBorder="1" applyAlignment="1" applyProtection="1">
      <alignment horizontal="right" vertical="center" indent="1"/>
    </xf>
    <xf numFmtId="1" fontId="19" fillId="0" borderId="25" xfId="0" applyNumberFormat="1" applyFont="1" applyFill="1" applyBorder="1" applyAlignment="1" applyProtection="1">
      <alignment horizontal="right" vertical="center" indent="1"/>
    </xf>
    <xf numFmtId="180" fontId="50" fillId="6" borderId="11" xfId="0" quotePrefix="1" applyNumberFormat="1" applyFont="1" applyFill="1" applyBorder="1" applyAlignment="1" applyProtection="1">
      <alignment horizontal="right" vertical="center" indent="1"/>
    </xf>
    <xf numFmtId="0" fontId="0" fillId="0" borderId="24" xfId="0" applyBorder="1" applyProtection="1"/>
    <xf numFmtId="180" fontId="50" fillId="6" borderId="41" xfId="0" applyNumberFormat="1" applyFont="1" applyFill="1" applyBorder="1" applyAlignment="1" applyProtection="1">
      <alignment vertical="center"/>
    </xf>
    <xf numFmtId="1" fontId="19" fillId="0" borderId="42" xfId="0" applyNumberFormat="1" applyFont="1" applyFill="1" applyBorder="1" applyAlignment="1" applyProtection="1">
      <alignment horizontal="right" vertical="center" indent="1"/>
    </xf>
    <xf numFmtId="180" fontId="50" fillId="11" borderId="11" xfId="0" applyNumberFormat="1" applyFont="1" applyFill="1" applyBorder="1" applyAlignment="1" applyProtection="1">
      <alignment horizontal="right" vertical="center" indent="1"/>
    </xf>
    <xf numFmtId="0" fontId="0" fillId="11" borderId="24" xfId="0" applyFill="1" applyBorder="1" applyProtection="1"/>
    <xf numFmtId="180" fontId="50" fillId="11" borderId="38" xfId="0" applyNumberFormat="1" applyFont="1" applyFill="1" applyBorder="1" applyAlignment="1" applyProtection="1">
      <alignment horizontal="right" vertical="center" indent="1"/>
    </xf>
    <xf numFmtId="1" fontId="19" fillId="11" borderId="25" xfId="0" applyNumberFormat="1" applyFont="1" applyFill="1" applyBorder="1" applyAlignment="1" applyProtection="1">
      <alignment horizontal="right" vertical="center" indent="1"/>
    </xf>
    <xf numFmtId="180" fontId="50" fillId="11" borderId="43" xfId="0" applyNumberFormat="1" applyFont="1" applyFill="1" applyBorder="1" applyAlignment="1" applyProtection="1">
      <alignment horizontal="right" vertical="center" indent="1"/>
    </xf>
    <xf numFmtId="0" fontId="0" fillId="11" borderId="44" xfId="0" applyFill="1" applyBorder="1" applyProtection="1"/>
    <xf numFmtId="180" fontId="50" fillId="11" borderId="45" xfId="0" applyNumberFormat="1" applyFont="1" applyFill="1" applyBorder="1" applyAlignment="1" applyProtection="1">
      <alignment horizontal="right" vertical="center" indent="1"/>
    </xf>
    <xf numFmtId="1" fontId="19" fillId="11" borderId="46" xfId="0" applyNumberFormat="1" applyFont="1" applyFill="1" applyBorder="1" applyAlignment="1" applyProtection="1">
      <alignment horizontal="right" vertical="center" indent="1"/>
    </xf>
    <xf numFmtId="180" fontId="64" fillId="10" borderId="47" xfId="0" applyNumberFormat="1" applyFont="1" applyFill="1" applyBorder="1" applyAlignment="1" applyProtection="1">
      <alignment horizontal="right" vertical="center" indent="1"/>
    </xf>
    <xf numFmtId="180" fontId="64" fillId="10" borderId="48" xfId="0" quotePrefix="1" applyNumberFormat="1" applyFont="1" applyFill="1" applyBorder="1" applyAlignment="1" applyProtection="1">
      <alignment vertical="center"/>
    </xf>
    <xf numFmtId="180" fontId="64" fillId="10" borderId="49" xfId="0" quotePrefix="1" applyNumberFormat="1" applyFont="1" applyFill="1" applyBorder="1" applyAlignment="1" applyProtection="1">
      <alignment horizontal="right" vertical="center" indent="1"/>
    </xf>
    <xf numFmtId="190" fontId="19" fillId="0" borderId="50" xfId="0" applyNumberFormat="1" applyFont="1" applyFill="1" applyBorder="1" applyAlignment="1" applyProtection="1">
      <alignment horizontal="right" vertical="center" indent="1"/>
    </xf>
    <xf numFmtId="0" fontId="0" fillId="0" borderId="32" xfId="0" applyBorder="1" applyAlignment="1">
      <alignment horizontal="center"/>
    </xf>
    <xf numFmtId="0" fontId="0" fillId="0" borderId="32" xfId="0" applyBorder="1" applyAlignment="1">
      <alignment horizontal="center" vertical="center"/>
    </xf>
    <xf numFmtId="180" fontId="50" fillId="6" borderId="24" xfId="0" applyNumberFormat="1" applyFont="1" applyFill="1" applyBorder="1" applyAlignment="1" applyProtection="1">
      <alignment horizontal="right" vertical="center" indent="1"/>
    </xf>
    <xf numFmtId="182" fontId="25" fillId="6" borderId="0" xfId="0" applyNumberFormat="1" applyFont="1" applyFill="1" applyBorder="1" applyAlignment="1" applyProtection="1">
      <alignment horizontal="right" vertical="center" indent="1"/>
    </xf>
    <xf numFmtId="0" fontId="10" fillId="6" borderId="0" xfId="0" quotePrefix="1" applyFont="1" applyFill="1" applyBorder="1" applyAlignment="1" applyProtection="1">
      <alignment horizontal="left" vertical="center"/>
    </xf>
    <xf numFmtId="0" fontId="6" fillId="0" borderId="0" xfId="2410" applyFont="1" applyFill="1" applyBorder="1" applyAlignment="1">
      <alignment horizontal="right" vertical="center" indent="1"/>
    </xf>
    <xf numFmtId="174" fontId="7" fillId="7" borderId="51" xfId="0" quotePrefix="1" applyNumberFormat="1" applyFont="1" applyFill="1" applyBorder="1" applyAlignment="1" applyProtection="1">
      <alignment horizontal="center" vertical="center" wrapText="1"/>
    </xf>
    <xf numFmtId="174" fontId="6" fillId="12" borderId="52" xfId="2410" applyNumberFormat="1" applyFont="1" applyFill="1" applyBorder="1" applyAlignment="1">
      <alignment horizontal="right" vertical="center" indent="1"/>
    </xf>
    <xf numFmtId="174" fontId="6" fillId="12" borderId="53" xfId="2410" applyNumberFormat="1" applyFont="1" applyFill="1" applyBorder="1" applyAlignment="1">
      <alignment horizontal="right" vertical="center" indent="1"/>
    </xf>
    <xf numFmtId="174" fontId="6" fillId="12" borderId="11" xfId="2410" applyNumberFormat="1" applyFont="1" applyFill="1" applyBorder="1" applyAlignment="1">
      <alignment horizontal="right" vertical="center" indent="1"/>
    </xf>
    <xf numFmtId="175" fontId="6" fillId="0" borderId="1" xfId="2410" applyNumberFormat="1" applyFont="1" applyFill="1" applyBorder="1" applyAlignment="1">
      <alignment horizontal="right" vertical="center" indent="1"/>
    </xf>
    <xf numFmtId="175" fontId="25" fillId="0" borderId="1" xfId="2410" applyNumberFormat="1" applyFont="1" applyFill="1" applyBorder="1" applyAlignment="1">
      <alignment horizontal="right" vertical="center" indent="1"/>
    </xf>
    <xf numFmtId="175" fontId="6" fillId="0" borderId="25" xfId="2410" applyNumberFormat="1" applyFont="1" applyFill="1" applyBorder="1" applyAlignment="1">
      <alignment horizontal="right" vertical="center" indent="1"/>
    </xf>
    <xf numFmtId="175" fontId="6" fillId="12" borderId="1" xfId="2410" applyNumberFormat="1" applyFont="1" applyFill="1" applyBorder="1" applyAlignment="1">
      <alignment horizontal="right" vertical="center" indent="1"/>
    </xf>
    <xf numFmtId="175" fontId="25" fillId="12" borderId="1" xfId="2410" applyNumberFormat="1" applyFont="1" applyFill="1" applyBorder="1" applyAlignment="1">
      <alignment horizontal="right" vertical="center" indent="1"/>
    </xf>
    <xf numFmtId="175" fontId="6" fillId="12" borderId="25" xfId="2410" applyNumberFormat="1" applyFont="1" applyFill="1" applyBorder="1" applyAlignment="1">
      <alignment horizontal="right" vertical="center" indent="1"/>
    </xf>
    <xf numFmtId="174" fontId="6" fillId="12" borderId="43" xfId="2410" applyNumberFormat="1" applyFont="1" applyFill="1" applyBorder="1" applyAlignment="1">
      <alignment horizontal="right" vertical="center" indent="1"/>
    </xf>
    <xf numFmtId="175" fontId="6" fillId="0" borderId="54" xfId="2410" applyNumberFormat="1" applyFont="1" applyFill="1" applyBorder="1" applyAlignment="1">
      <alignment horizontal="right" vertical="center" indent="1"/>
    </xf>
    <xf numFmtId="175" fontId="6" fillId="0" borderId="46" xfId="2410" applyNumberFormat="1" applyFont="1" applyFill="1" applyBorder="1" applyAlignment="1">
      <alignment horizontal="right" vertical="center" indent="1"/>
    </xf>
    <xf numFmtId="0" fontId="20" fillId="6" borderId="0" xfId="0" applyFont="1" applyFill="1" applyBorder="1" applyAlignment="1" applyProtection="1">
      <alignment vertical="center"/>
    </xf>
    <xf numFmtId="0" fontId="7" fillId="7" borderId="55" xfId="0" applyNumberFormat="1" applyFont="1" applyFill="1" applyBorder="1" applyAlignment="1" applyProtection="1">
      <alignment horizontal="center" vertical="center" wrapText="1"/>
    </xf>
    <xf numFmtId="0" fontId="7" fillId="7" borderId="56" xfId="0" applyNumberFormat="1" applyFont="1" applyFill="1" applyBorder="1" applyAlignment="1" applyProtection="1">
      <alignment horizontal="center" vertical="center" wrapText="1"/>
    </xf>
    <xf numFmtId="1" fontId="6" fillId="0" borderId="1" xfId="2410" applyNumberFormat="1" applyFont="1" applyFill="1" applyBorder="1" applyAlignment="1">
      <alignment horizontal="right" vertical="center" indent="1"/>
    </xf>
    <xf numFmtId="188" fontId="6" fillId="0" borderId="1" xfId="2410" applyNumberFormat="1" applyFont="1" applyFill="1" applyBorder="1" applyAlignment="1">
      <alignment horizontal="right" vertical="center" indent="1"/>
    </xf>
    <xf numFmtId="174" fontId="7" fillId="7" borderId="13" xfId="0" applyNumberFormat="1" applyFont="1" applyFill="1" applyBorder="1" applyAlignment="1" applyProtection="1">
      <alignment horizontal="center" vertical="center" wrapText="1"/>
    </xf>
    <xf numFmtId="174" fontId="7" fillId="7" borderId="57" xfId="0" applyNumberFormat="1" applyFont="1" applyFill="1" applyBorder="1" applyAlignment="1" applyProtection="1">
      <alignment horizontal="center" vertical="center" wrapText="1"/>
    </xf>
    <xf numFmtId="0" fontId="29" fillId="6" borderId="38" xfId="0" applyFont="1" applyFill="1" applyBorder="1" applyAlignment="1" applyProtection="1">
      <alignment horizontal="right" vertical="center" indent="1"/>
    </xf>
    <xf numFmtId="181" fontId="19" fillId="6" borderId="1" xfId="0" applyNumberFormat="1" applyFont="1" applyFill="1" applyBorder="1" applyAlignment="1" applyProtection="1">
      <alignment horizontal="center" vertical="center"/>
    </xf>
    <xf numFmtId="189" fontId="19" fillId="6" borderId="1" xfId="0" applyNumberFormat="1" applyFont="1" applyFill="1" applyBorder="1" applyAlignment="1" applyProtection="1">
      <alignment horizontal="center" vertical="center"/>
    </xf>
    <xf numFmtId="0" fontId="0" fillId="0" borderId="0" xfId="0" applyAlignment="1"/>
    <xf numFmtId="0" fontId="0" fillId="0" borderId="0" xfId="0" applyFill="1" applyAlignment="1" applyProtection="1">
      <alignment vertical="center"/>
    </xf>
    <xf numFmtId="0" fontId="8" fillId="0" borderId="0" xfId="0" applyFont="1" applyFill="1" applyBorder="1" applyAlignment="1" applyProtection="1">
      <alignment horizontal="left" vertical="center"/>
    </xf>
    <xf numFmtId="15" fontId="8" fillId="0" borderId="0" xfId="0" quotePrefix="1" applyNumberFormat="1" applyFont="1" applyFill="1" applyBorder="1" applyAlignment="1" applyProtection="1">
      <alignment horizontal="center" vertical="center"/>
    </xf>
    <xf numFmtId="0" fontId="6" fillId="0" borderId="0" xfId="0" applyFont="1" applyAlignment="1" applyProtection="1">
      <alignment vertical="center"/>
    </xf>
    <xf numFmtId="0" fontId="7" fillId="7" borderId="35" xfId="0" applyFont="1" applyFill="1" applyBorder="1" applyAlignment="1" applyProtection="1">
      <alignment horizontal="center" vertical="center" wrapText="1"/>
    </xf>
    <xf numFmtId="0" fontId="7" fillId="7" borderId="57" xfId="0" applyFont="1" applyFill="1" applyBorder="1" applyAlignment="1" applyProtection="1">
      <alignment horizontal="center" vertical="center" wrapText="1"/>
    </xf>
    <xf numFmtId="0" fontId="7" fillId="7" borderId="12" xfId="0" applyFont="1" applyFill="1" applyBorder="1" applyAlignment="1" applyProtection="1">
      <alignment horizontal="center" vertical="center" wrapText="1"/>
    </xf>
    <xf numFmtId="0" fontId="7" fillId="7" borderId="12" xfId="0" quotePrefix="1" applyFont="1" applyFill="1" applyBorder="1" applyAlignment="1" applyProtection="1">
      <alignment horizontal="center" vertical="center" wrapText="1"/>
    </xf>
    <xf numFmtId="0" fontId="7" fillId="7" borderId="20" xfId="0" applyFont="1" applyFill="1" applyBorder="1" applyAlignment="1" applyProtection="1">
      <alignment horizontal="center" vertical="center" wrapText="1"/>
    </xf>
    <xf numFmtId="0" fontId="7" fillId="7" borderId="23" xfId="0" applyFont="1" applyFill="1" applyBorder="1" applyAlignment="1" applyProtection="1">
      <alignment horizontal="center" vertical="center" wrapText="1"/>
    </xf>
    <xf numFmtId="0" fontId="7" fillId="7" borderId="58" xfId="0" applyFont="1" applyFill="1" applyBorder="1" applyAlignment="1" applyProtection="1">
      <alignment horizontal="center" vertical="center" wrapText="1"/>
    </xf>
    <xf numFmtId="179" fontId="25" fillId="6" borderId="7" xfId="0" quotePrefix="1" applyNumberFormat="1" applyFont="1" applyFill="1" applyBorder="1" applyAlignment="1" applyProtection="1">
      <alignment horizontal="right" vertical="center" indent="1"/>
    </xf>
    <xf numFmtId="181" fontId="131" fillId="6" borderId="7" xfId="0" quotePrefix="1" applyNumberFormat="1" applyFont="1" applyFill="1" applyBorder="1" applyAlignment="1" applyProtection="1">
      <alignment horizontal="center" vertical="center"/>
      <protection locked="0"/>
    </xf>
    <xf numFmtId="0" fontId="0" fillId="0" borderId="7" xfId="0" applyBorder="1" applyProtection="1">
      <protection locked="0"/>
    </xf>
    <xf numFmtId="0" fontId="12" fillId="0" borderId="25" xfId="0" quotePrefix="1" applyNumberFormat="1" applyFont="1" applyFill="1" applyBorder="1" applyAlignment="1" applyProtection="1">
      <alignment horizontal="left" vertical="center" indent="1"/>
      <protection locked="0"/>
    </xf>
    <xf numFmtId="179" fontId="25" fillId="6" borderId="59" xfId="0" applyNumberFormat="1" applyFont="1" applyFill="1" applyBorder="1" applyAlignment="1" applyProtection="1">
      <alignment horizontal="right" vertical="center" indent="1"/>
    </xf>
    <xf numFmtId="181" fontId="131" fillId="6" borderId="60" xfId="0" quotePrefix="1" applyNumberFormat="1" applyFont="1" applyFill="1" applyBorder="1" applyAlignment="1" applyProtection="1">
      <alignment horizontal="center" vertical="center"/>
      <protection locked="0"/>
    </xf>
    <xf numFmtId="0" fontId="0" fillId="0" borderId="29" xfId="0" applyBorder="1" applyProtection="1"/>
    <xf numFmtId="179" fontId="65" fillId="6" borderId="1" xfId="0" applyNumberFormat="1" applyFont="1" applyFill="1" applyBorder="1" applyAlignment="1" applyProtection="1">
      <alignment horizontal="right" vertical="center" indent="1"/>
    </xf>
    <xf numFmtId="174" fontId="34" fillId="7" borderId="58" xfId="0" applyNumberFormat="1" applyFont="1" applyFill="1" applyBorder="1" applyAlignment="1" applyProtection="1">
      <alignment horizontal="center" vertical="center" wrapText="1"/>
    </xf>
    <xf numFmtId="0" fontId="0" fillId="0" borderId="0" xfId="0" applyAlignment="1">
      <alignment vertical="center"/>
    </xf>
    <xf numFmtId="0" fontId="31" fillId="0" borderId="0" xfId="0" applyFont="1" applyAlignment="1" applyProtection="1">
      <alignment vertical="center"/>
    </xf>
    <xf numFmtId="0" fontId="32" fillId="0" borderId="0" xfId="0" applyFont="1" applyAlignment="1" applyProtection="1">
      <alignment horizontal="right" vertical="center"/>
    </xf>
    <xf numFmtId="0" fontId="0" fillId="0" borderId="0" xfId="0" applyFill="1" applyAlignment="1" applyProtection="1">
      <alignment horizontal="right" vertical="center"/>
    </xf>
    <xf numFmtId="0" fontId="0" fillId="0" borderId="0" xfId="0" applyFill="1" applyBorder="1" applyAlignment="1" applyProtection="1">
      <alignment vertical="center"/>
    </xf>
    <xf numFmtId="0" fontId="0" fillId="0" borderId="0" xfId="0" applyAlignment="1" applyProtection="1">
      <alignment vertical="center"/>
    </xf>
    <xf numFmtId="0" fontId="0" fillId="0" borderId="0" xfId="0" applyAlignment="1">
      <alignment horizontal="right" vertical="center"/>
    </xf>
    <xf numFmtId="180" fontId="36" fillId="10" borderId="1" xfId="0" applyNumberFormat="1" applyFont="1" applyFill="1" applyBorder="1" applyAlignment="1" applyProtection="1">
      <alignment horizontal="center" vertical="center"/>
      <protection locked="0"/>
    </xf>
    <xf numFmtId="0" fontId="25" fillId="0" borderId="1" xfId="0" quotePrefix="1" applyFont="1" applyFill="1" applyBorder="1" applyAlignment="1" applyProtection="1">
      <alignment horizontal="left" vertical="center" indent="1"/>
    </xf>
    <xf numFmtId="0" fontId="6" fillId="8" borderId="1" xfId="0" quotePrefix="1" applyFont="1" applyFill="1" applyBorder="1" applyAlignment="1" applyProtection="1">
      <alignment horizontal="right" vertical="center"/>
    </xf>
    <xf numFmtId="0" fontId="6" fillId="8" borderId="61" xfId="0" quotePrefix="1" applyFont="1" applyFill="1" applyBorder="1" applyAlignment="1" applyProtection="1">
      <alignment horizontal="right" vertical="center" indent="1"/>
    </xf>
    <xf numFmtId="0" fontId="29" fillId="6" borderId="49" xfId="0" applyFont="1" applyFill="1" applyBorder="1" applyAlignment="1" applyProtection="1">
      <alignment horizontal="right" vertical="center" indent="1"/>
    </xf>
    <xf numFmtId="181" fontId="19" fillId="6" borderId="28" xfId="0" applyNumberFormat="1" applyFont="1" applyFill="1" applyBorder="1" applyAlignment="1" applyProtection="1">
      <alignment horizontal="center" vertical="center"/>
    </xf>
    <xf numFmtId="174" fontId="7" fillId="7" borderId="31" xfId="0" quotePrefix="1" applyNumberFormat="1" applyFont="1" applyFill="1" applyBorder="1" applyAlignment="1" applyProtection="1">
      <alignment horizontal="center" vertical="center"/>
    </xf>
    <xf numFmtId="0" fontId="25" fillId="6" borderId="1" xfId="0" applyFont="1" applyFill="1" applyBorder="1" applyAlignment="1" applyProtection="1">
      <alignment horizontal="left" vertical="center" indent="1"/>
    </xf>
    <xf numFmtId="186" fontId="12" fillId="6" borderId="1" xfId="0" applyNumberFormat="1" applyFont="1" applyFill="1" applyBorder="1" applyAlignment="1" applyProtection="1">
      <alignment horizontal="right" vertical="center" indent="1"/>
      <protection locked="0"/>
    </xf>
    <xf numFmtId="0" fontId="16" fillId="6" borderId="27" xfId="0" applyFont="1" applyFill="1" applyBorder="1" applyAlignment="1" applyProtection="1">
      <alignment vertical="center"/>
    </xf>
    <xf numFmtId="0" fontId="25" fillId="6" borderId="11" xfId="0" quotePrefix="1" applyFont="1" applyFill="1" applyBorder="1" applyAlignment="1" applyProtection="1">
      <alignment horizontal="left" vertical="center" indent="1"/>
      <protection hidden="1"/>
    </xf>
    <xf numFmtId="0" fontId="29" fillId="6" borderId="1" xfId="0" applyFont="1" applyFill="1" applyBorder="1" applyAlignment="1" applyProtection="1">
      <alignment horizontal="center" vertical="center"/>
    </xf>
    <xf numFmtId="181" fontId="12" fillId="6" borderId="1" xfId="0" applyNumberFormat="1" applyFont="1" applyFill="1" applyBorder="1" applyAlignment="1" applyProtection="1">
      <alignment horizontal="center" vertical="center"/>
      <protection locked="0"/>
    </xf>
    <xf numFmtId="1" fontId="19" fillId="6" borderId="1" xfId="0" applyNumberFormat="1" applyFont="1" applyFill="1" applyBorder="1" applyAlignment="1" applyProtection="1">
      <alignment horizontal="center" vertical="center"/>
    </xf>
    <xf numFmtId="179" fontId="12" fillId="0" borderId="1" xfId="0" applyNumberFormat="1" applyFont="1" applyFill="1" applyBorder="1" applyAlignment="1" applyProtection="1">
      <alignment horizontal="center" vertical="center"/>
      <protection locked="0"/>
    </xf>
    <xf numFmtId="193" fontId="12" fillId="12" borderId="0" xfId="0" applyNumberFormat="1" applyFont="1" applyFill="1" applyBorder="1" applyAlignment="1" applyProtection="1">
      <alignment horizontal="center" vertical="center"/>
      <protection locked="0"/>
    </xf>
    <xf numFmtId="193" fontId="12" fillId="12" borderId="62" xfId="0" applyNumberFormat="1" applyFont="1" applyFill="1" applyBorder="1" applyAlignment="1" applyProtection="1">
      <alignment horizontal="center" vertical="center"/>
      <protection locked="0"/>
    </xf>
    <xf numFmtId="0" fontId="0" fillId="0" borderId="0" xfId="0" applyAlignment="1">
      <alignment horizontal="right"/>
    </xf>
    <xf numFmtId="0" fontId="31" fillId="0" borderId="0" xfId="0" applyFont="1"/>
    <xf numFmtId="0" fontId="2" fillId="0" borderId="0" xfId="0" applyFont="1"/>
    <xf numFmtId="1" fontId="68" fillId="6" borderId="11" xfId="0" quotePrefix="1" applyNumberFormat="1" applyFont="1" applyFill="1" applyBorder="1" applyAlignment="1" applyProtection="1">
      <alignment horizontal="right" vertical="center" indent="1"/>
      <protection locked="0"/>
    </xf>
    <xf numFmtId="1" fontId="68" fillId="6" borderId="1" xfId="0" quotePrefix="1" applyNumberFormat="1" applyFont="1" applyFill="1" applyBorder="1" applyAlignment="1" applyProtection="1">
      <alignment horizontal="right" vertical="center" indent="1"/>
      <protection locked="0"/>
    </xf>
    <xf numFmtId="1" fontId="68" fillId="6" borderId="1" xfId="0" applyNumberFormat="1" applyFont="1" applyFill="1" applyBorder="1" applyAlignment="1" applyProtection="1">
      <alignment horizontal="right" vertical="center" indent="1"/>
      <protection locked="0"/>
    </xf>
    <xf numFmtId="1" fontId="68" fillId="6" borderId="11" xfId="0" applyNumberFormat="1" applyFont="1" applyFill="1" applyBorder="1" applyAlignment="1" applyProtection="1">
      <alignment horizontal="right" vertical="center" indent="1"/>
      <protection locked="0"/>
    </xf>
    <xf numFmtId="189" fontId="6" fillId="0" borderId="1" xfId="2410" applyNumberFormat="1" applyFont="1" applyFill="1" applyBorder="1" applyAlignment="1">
      <alignment horizontal="right" vertical="center" indent="1"/>
    </xf>
    <xf numFmtId="0" fontId="29" fillId="6" borderId="54" xfId="0" applyFont="1" applyFill="1" applyBorder="1" applyAlignment="1" applyProtection="1">
      <alignment horizontal="center" vertical="center"/>
    </xf>
    <xf numFmtId="1" fontId="19" fillId="6" borderId="54" xfId="0" applyNumberFormat="1" applyFont="1" applyFill="1" applyBorder="1" applyAlignment="1" applyProtection="1">
      <alignment horizontal="center" vertical="center"/>
    </xf>
    <xf numFmtId="181" fontId="132" fillId="6" borderId="1" xfId="0" applyNumberFormat="1" applyFont="1" applyFill="1" applyBorder="1" applyAlignment="1" applyProtection="1">
      <alignment horizontal="center" vertical="center"/>
      <protection locked="0"/>
    </xf>
    <xf numFmtId="191" fontId="132" fillId="6" borderId="1" xfId="0" applyNumberFormat="1" applyFont="1" applyFill="1" applyBorder="1" applyAlignment="1" applyProtection="1">
      <alignment horizontal="center" vertical="center"/>
      <protection locked="0"/>
    </xf>
    <xf numFmtId="175" fontId="19" fillId="6" borderId="1" xfId="0" applyNumberFormat="1" applyFont="1" applyFill="1" applyBorder="1" applyAlignment="1" applyProtection="1">
      <alignment horizontal="center" vertical="center"/>
    </xf>
    <xf numFmtId="181" fontId="65" fillId="6" borderId="1" xfId="0" applyNumberFormat="1" applyFont="1" applyFill="1" applyBorder="1" applyAlignment="1" applyProtection="1">
      <alignment horizontal="right" vertical="center" indent="1"/>
    </xf>
    <xf numFmtId="193" fontId="65" fillId="6" borderId="1" xfId="0" applyNumberFormat="1" applyFont="1" applyFill="1" applyBorder="1" applyAlignment="1" applyProtection="1">
      <alignment horizontal="right" vertical="center" indent="1"/>
    </xf>
    <xf numFmtId="193" fontId="12" fillId="6" borderId="1" xfId="0" applyNumberFormat="1" applyFont="1" applyFill="1" applyBorder="1" applyAlignment="1" applyProtection="1">
      <alignment horizontal="center" vertical="center"/>
      <protection locked="0"/>
    </xf>
    <xf numFmtId="191" fontId="132" fillId="6" borderId="54" xfId="0" applyNumberFormat="1" applyFont="1" applyFill="1" applyBorder="1" applyAlignment="1" applyProtection="1">
      <alignment horizontal="center" vertical="center"/>
      <protection locked="0"/>
    </xf>
    <xf numFmtId="181" fontId="132" fillId="6" borderId="54" xfId="0" applyNumberFormat="1" applyFont="1" applyFill="1" applyBorder="1" applyAlignment="1" applyProtection="1">
      <alignment horizontal="center" vertical="center"/>
      <protection locked="0"/>
    </xf>
    <xf numFmtId="1" fontId="6" fillId="0" borderId="1" xfId="2410" quotePrefix="1" applyNumberFormat="1" applyFont="1" applyFill="1" applyBorder="1" applyAlignment="1">
      <alignment horizontal="right" vertical="center" indent="1"/>
    </xf>
    <xf numFmtId="1" fontId="133" fillId="0" borderId="32" xfId="0" applyNumberFormat="1" applyFont="1" applyBorder="1" applyAlignment="1" applyProtection="1">
      <alignment horizontal="center" vertical="center"/>
    </xf>
    <xf numFmtId="0" fontId="0" fillId="0" borderId="29" xfId="0" applyBorder="1" applyAlignment="1" applyProtection="1">
      <alignment vertical="center"/>
    </xf>
    <xf numFmtId="0" fontId="0" fillId="0" borderId="29" xfId="0" applyBorder="1" applyAlignment="1" applyProtection="1">
      <alignment horizontal="center"/>
    </xf>
    <xf numFmtId="179" fontId="66" fillId="0" borderId="29" xfId="0" applyNumberFormat="1" applyFont="1" applyBorder="1" applyAlignment="1" applyProtection="1">
      <alignment horizontal="center"/>
    </xf>
    <xf numFmtId="180" fontId="23" fillId="12" borderId="1" xfId="0" applyNumberFormat="1" applyFont="1" applyFill="1" applyBorder="1" applyAlignment="1" applyProtection="1">
      <alignment horizontal="right" vertical="center" indent="1"/>
      <protection locked="0"/>
    </xf>
    <xf numFmtId="180" fontId="23" fillId="12" borderId="1" xfId="0" quotePrefix="1" applyNumberFormat="1" applyFont="1" applyFill="1" applyBorder="1" applyAlignment="1" applyProtection="1">
      <alignment horizontal="right" vertical="center" indent="1"/>
      <protection locked="0"/>
    </xf>
    <xf numFmtId="180" fontId="23" fillId="10" borderId="1" xfId="0" applyNumberFormat="1" applyFont="1" applyFill="1" applyBorder="1" applyAlignment="1" applyProtection="1">
      <alignment horizontal="right" vertical="center" indent="1"/>
    </xf>
    <xf numFmtId="180" fontId="23" fillId="10" borderId="1" xfId="0" quotePrefix="1" applyNumberFormat="1" applyFont="1" applyFill="1" applyBorder="1" applyAlignment="1" applyProtection="1">
      <alignment horizontal="right" vertical="center" indent="1"/>
    </xf>
    <xf numFmtId="0" fontId="2" fillId="0" borderId="0" xfId="0" applyFont="1" applyAlignment="1">
      <alignment vertical="center"/>
    </xf>
    <xf numFmtId="175" fontId="19" fillId="6" borderId="54" xfId="0" applyNumberFormat="1" applyFont="1" applyFill="1" applyBorder="1" applyAlignment="1" applyProtection="1">
      <alignment horizontal="center" vertical="center"/>
    </xf>
    <xf numFmtId="0" fontId="29" fillId="6" borderId="45" xfId="0" applyFont="1" applyFill="1" applyBorder="1" applyAlignment="1" applyProtection="1">
      <alignment horizontal="right" vertical="center" indent="1"/>
    </xf>
    <xf numFmtId="179" fontId="19" fillId="6" borderId="54" xfId="0" applyNumberFormat="1" applyFont="1" applyFill="1" applyBorder="1" applyAlignment="1" applyProtection="1">
      <alignment horizontal="right" vertical="center" indent="1"/>
    </xf>
    <xf numFmtId="181" fontId="19" fillId="6" borderId="54" xfId="0" applyNumberFormat="1" applyFont="1" applyFill="1" applyBorder="1" applyAlignment="1" applyProtection="1">
      <alignment horizontal="center" vertical="center"/>
    </xf>
    <xf numFmtId="181" fontId="134" fillId="0" borderId="29" xfId="0" applyNumberFormat="1" applyFont="1" applyBorder="1" applyAlignment="1" applyProtection="1">
      <alignment horizontal="center"/>
    </xf>
    <xf numFmtId="179" fontId="134" fillId="0" borderId="29" xfId="0" applyNumberFormat="1" applyFont="1" applyBorder="1" applyAlignment="1" applyProtection="1">
      <alignment horizontal="center"/>
    </xf>
    <xf numFmtId="193" fontId="131" fillId="0" borderId="1" xfId="0" applyNumberFormat="1" applyFont="1" applyFill="1" applyBorder="1" applyAlignment="1" applyProtection="1">
      <alignment horizontal="center" vertical="center"/>
      <protection locked="0"/>
    </xf>
    <xf numFmtId="193" fontId="131" fillId="0" borderId="54" xfId="0" applyNumberFormat="1" applyFont="1" applyFill="1" applyBorder="1" applyAlignment="1" applyProtection="1">
      <alignment horizontal="center" vertical="center"/>
      <protection locked="0"/>
    </xf>
    <xf numFmtId="1" fontId="8" fillId="6" borderId="0" xfId="0" applyNumberFormat="1" applyFont="1" applyFill="1" applyBorder="1" applyAlignment="1" applyProtection="1">
      <alignment horizontal="left" vertical="center"/>
    </xf>
    <xf numFmtId="1" fontId="7" fillId="7" borderId="56" xfId="0" applyNumberFormat="1" applyFont="1" applyFill="1" applyBorder="1" applyAlignment="1" applyProtection="1">
      <alignment horizontal="center" vertical="center" wrapText="1"/>
    </xf>
    <xf numFmtId="0" fontId="20" fillId="6" borderId="0" xfId="0" applyFont="1" applyFill="1" applyBorder="1" applyAlignment="1" applyProtection="1">
      <alignment horizontal="center" vertical="center"/>
    </xf>
    <xf numFmtId="188" fontId="6" fillId="0" borderId="0" xfId="2410" applyNumberFormat="1" applyFont="1" applyFill="1" applyBorder="1" applyAlignment="1">
      <alignment horizontal="right" vertical="center" indent="1"/>
    </xf>
    <xf numFmtId="0" fontId="63" fillId="0" borderId="29" xfId="0" applyFont="1" applyBorder="1" applyProtection="1"/>
    <xf numFmtId="0" fontId="31" fillId="0" borderId="0" xfId="0" applyFont="1" applyAlignment="1" applyProtection="1">
      <alignment vertical="center" wrapText="1"/>
    </xf>
    <xf numFmtId="0" fontId="0" fillId="0" borderId="0" xfId="0" applyAlignment="1">
      <alignment vertical="center" wrapText="1"/>
    </xf>
    <xf numFmtId="179" fontId="135" fillId="0" borderId="1" xfId="0" applyNumberFormat="1" applyFont="1" applyFill="1" applyBorder="1" applyAlignment="1" applyProtection="1">
      <alignment horizontal="right" vertical="center" indent="1"/>
    </xf>
    <xf numFmtId="189" fontId="19" fillId="6" borderId="28" xfId="0" applyNumberFormat="1" applyFont="1" applyFill="1" applyBorder="1" applyAlignment="1" applyProtection="1">
      <alignment horizontal="center" vertical="center"/>
    </xf>
    <xf numFmtId="0" fontId="8" fillId="6" borderId="63" xfId="0" applyFont="1" applyFill="1" applyBorder="1" applyAlignment="1" applyProtection="1">
      <alignment horizontal="left" vertical="center"/>
    </xf>
    <xf numFmtId="0" fontId="8" fillId="6" borderId="63" xfId="0" applyFont="1" applyFill="1" applyBorder="1" applyAlignment="1" applyProtection="1">
      <alignment vertical="center"/>
    </xf>
    <xf numFmtId="0" fontId="10" fillId="6" borderId="63" xfId="0" applyFont="1" applyFill="1" applyBorder="1" applyAlignment="1" applyProtection="1">
      <alignment vertical="center"/>
    </xf>
    <xf numFmtId="0" fontId="8" fillId="6" borderId="63" xfId="0" quotePrefix="1" applyFont="1" applyFill="1" applyBorder="1" applyAlignment="1" applyProtection="1">
      <alignment horizontal="left" vertical="center"/>
    </xf>
    <xf numFmtId="193" fontId="135" fillId="0" borderId="1" xfId="0" applyNumberFormat="1" applyFont="1" applyFill="1" applyBorder="1" applyAlignment="1" applyProtection="1">
      <alignment horizontal="right" vertical="center" indent="1"/>
    </xf>
    <xf numFmtId="181" fontId="135" fillId="0" borderId="1" xfId="0" applyNumberFormat="1" applyFont="1" applyFill="1" applyBorder="1" applyAlignment="1" applyProtection="1">
      <alignment horizontal="right" vertical="center" indent="1"/>
    </xf>
    <xf numFmtId="0" fontId="6" fillId="6" borderId="64" xfId="0" applyFont="1" applyFill="1" applyBorder="1" applyAlignment="1" applyProtection="1">
      <alignment horizontal="center" vertical="center"/>
    </xf>
    <xf numFmtId="0" fontId="6" fillId="6" borderId="65" xfId="0" applyFont="1" applyFill="1" applyBorder="1" applyAlignment="1" applyProtection="1">
      <alignment horizontal="center" vertical="center"/>
    </xf>
    <xf numFmtId="0" fontId="136" fillId="6" borderId="0" xfId="0" applyFont="1" applyFill="1" applyBorder="1" applyAlignment="1" applyProtection="1">
      <alignment horizontal="left" vertical="center"/>
    </xf>
    <xf numFmtId="188" fontId="25" fillId="6" borderId="1" xfId="0" applyNumberFormat="1" applyFont="1" applyFill="1" applyBorder="1" applyAlignment="1" applyProtection="1">
      <alignment horizontal="left" vertical="center" indent="1"/>
      <protection locked="0"/>
    </xf>
    <xf numFmtId="195" fontId="6" fillId="8" borderId="0" xfId="0" applyNumberFormat="1" applyFont="1" applyFill="1" applyBorder="1" applyAlignment="1" applyProtection="1">
      <alignment horizontal="center" vertical="center"/>
    </xf>
    <xf numFmtId="15" fontId="137" fillId="0" borderId="0" xfId="0" applyNumberFormat="1" applyFont="1" applyFill="1" applyBorder="1" applyAlignment="1" applyProtection="1">
      <alignment vertical="center"/>
    </xf>
    <xf numFmtId="15" fontId="137" fillId="0" borderId="0" xfId="0" quotePrefix="1" applyNumberFormat="1" applyFont="1" applyFill="1" applyBorder="1" applyAlignment="1" applyProtection="1">
      <alignment vertical="center"/>
    </xf>
    <xf numFmtId="181" fontId="131" fillId="6" borderId="7" xfId="0" applyNumberFormat="1" applyFont="1" applyFill="1" applyBorder="1" applyAlignment="1" applyProtection="1">
      <alignment horizontal="center" vertical="center"/>
      <protection locked="0"/>
    </xf>
    <xf numFmtId="0" fontId="0" fillId="0" borderId="0" xfId="0" applyAlignment="1">
      <alignment horizontal="left"/>
    </xf>
    <xf numFmtId="0" fontId="63" fillId="0" borderId="0" xfId="0" quotePrefix="1" applyFont="1" applyAlignment="1">
      <alignment horizontal="left"/>
    </xf>
    <xf numFmtId="0" fontId="0" fillId="0" borderId="0" xfId="0" quotePrefix="1" applyAlignment="1">
      <alignment horizontal="left"/>
    </xf>
    <xf numFmtId="0" fontId="10" fillId="0" borderId="0" xfId="0" applyFont="1" applyFill="1" applyAlignment="1" applyProtection="1">
      <alignment horizontal="center" vertical="center"/>
    </xf>
    <xf numFmtId="0" fontId="6" fillId="8" borderId="0" xfId="0" applyFont="1" applyFill="1" applyBorder="1" applyAlignment="1" applyProtection="1">
      <alignment horizontal="center" vertical="center"/>
    </xf>
    <xf numFmtId="0" fontId="138" fillId="0" borderId="66" xfId="0" applyFont="1" applyFill="1" applyBorder="1" applyAlignment="1" applyProtection="1">
      <alignment vertical="center"/>
    </xf>
    <xf numFmtId="0" fontId="139" fillId="0" borderId="63" xfId="0" applyFont="1" applyFill="1" applyBorder="1" applyAlignment="1" applyProtection="1">
      <alignment vertical="center"/>
    </xf>
    <xf numFmtId="0" fontId="139" fillId="0" borderId="67" xfId="0" applyFont="1" applyFill="1" applyBorder="1" applyAlignment="1" applyProtection="1">
      <alignment vertical="center"/>
    </xf>
    <xf numFmtId="174" fontId="4" fillId="7" borderId="68" xfId="0" applyNumberFormat="1" applyFont="1" applyFill="1" applyBorder="1" applyAlignment="1" applyProtection="1">
      <alignment horizontal="center" vertical="center" wrapText="1"/>
    </xf>
    <xf numFmtId="0" fontId="25" fillId="6" borderId="21" xfId="0" applyFont="1" applyFill="1" applyBorder="1" applyAlignment="1" applyProtection="1">
      <alignment horizontal="left" vertical="center" indent="1"/>
      <protection hidden="1"/>
    </xf>
    <xf numFmtId="0" fontId="25" fillId="6" borderId="21" xfId="0" quotePrefix="1" applyFont="1" applyFill="1" applyBorder="1" applyAlignment="1" applyProtection="1">
      <alignment horizontal="left" vertical="center" indent="1"/>
      <protection hidden="1"/>
    </xf>
    <xf numFmtId="0" fontId="25" fillId="6" borderId="22" xfId="0" applyFont="1" applyFill="1" applyBorder="1" applyAlignment="1" applyProtection="1">
      <alignment horizontal="left" vertical="center" indent="1"/>
      <protection hidden="1"/>
    </xf>
    <xf numFmtId="179" fontId="25" fillId="6" borderId="59" xfId="0" applyNumberFormat="1" applyFont="1" applyFill="1" applyBorder="1" applyAlignment="1" applyProtection="1">
      <alignment horizontal="right" vertical="center" indent="1"/>
      <protection locked="0"/>
    </xf>
    <xf numFmtId="179" fontId="25" fillId="6" borderId="7" xfId="0" applyNumberFormat="1" applyFont="1" applyFill="1" applyBorder="1" applyAlignment="1" applyProtection="1">
      <alignment horizontal="right" vertical="center" indent="1"/>
      <protection locked="0"/>
    </xf>
    <xf numFmtId="179" fontId="25" fillId="6" borderId="59" xfId="0" quotePrefix="1" applyNumberFormat="1" applyFont="1" applyFill="1" applyBorder="1" applyAlignment="1" applyProtection="1">
      <alignment horizontal="right" vertical="center" indent="1"/>
      <protection locked="0"/>
    </xf>
    <xf numFmtId="179" fontId="25" fillId="6" borderId="7" xfId="0" quotePrefix="1" applyNumberFormat="1" applyFont="1" applyFill="1" applyBorder="1" applyAlignment="1" applyProtection="1">
      <alignment horizontal="right" vertical="center" indent="1"/>
      <protection locked="0"/>
    </xf>
    <xf numFmtId="179" fontId="25" fillId="6" borderId="60" xfId="0" applyNumberFormat="1" applyFont="1" applyFill="1" applyBorder="1" applyAlignment="1" applyProtection="1">
      <alignment horizontal="right" vertical="center" indent="1"/>
      <protection locked="0"/>
    </xf>
    <xf numFmtId="1" fontId="5" fillId="0" borderId="0" xfId="0" applyNumberFormat="1" applyFont="1" applyAlignment="1" applyProtection="1">
      <alignment horizontal="center" vertical="center"/>
    </xf>
    <xf numFmtId="180" fontId="12" fillId="6" borderId="28" xfId="0" applyNumberFormat="1" applyFont="1" applyFill="1" applyBorder="1" applyAlignment="1" applyProtection="1">
      <alignment horizontal="center" vertical="center"/>
      <protection locked="0"/>
    </xf>
    <xf numFmtId="0" fontId="6" fillId="8" borderId="61" xfId="0" applyFont="1" applyFill="1" applyBorder="1" applyAlignment="1" applyProtection="1">
      <alignment horizontal="right" vertical="center" indent="1"/>
    </xf>
    <xf numFmtId="174" fontId="7" fillId="7" borderId="30" xfId="0" quotePrefix="1" applyNumberFormat="1" applyFont="1" applyFill="1" applyBorder="1" applyAlignment="1" applyProtection="1">
      <alignment horizontal="center" vertical="center" wrapText="1"/>
      <protection hidden="1"/>
    </xf>
    <xf numFmtId="174" fontId="7" fillId="7" borderId="69" xfId="0" quotePrefix="1" applyNumberFormat="1" applyFont="1" applyFill="1" applyBorder="1" applyAlignment="1" applyProtection="1">
      <alignment horizontal="center" vertical="center" wrapText="1"/>
      <protection hidden="1"/>
    </xf>
    <xf numFmtId="174" fontId="7" fillId="7" borderId="69" xfId="0" applyNumberFormat="1" applyFont="1" applyFill="1" applyBorder="1" applyAlignment="1" applyProtection="1">
      <alignment horizontal="center" vertical="center" wrapText="1"/>
      <protection hidden="1"/>
    </xf>
    <xf numFmtId="0" fontId="6" fillId="8" borderId="61" xfId="0" applyFont="1" applyFill="1" applyBorder="1" applyAlignment="1" applyProtection="1">
      <alignment horizontal="center" vertical="center"/>
    </xf>
    <xf numFmtId="179" fontId="12" fillId="0" borderId="25" xfId="0" applyNumberFormat="1" applyFont="1" applyFill="1" applyBorder="1" applyAlignment="1" applyProtection="1">
      <alignment horizontal="center" vertical="center"/>
      <protection locked="0"/>
    </xf>
    <xf numFmtId="180" fontId="23" fillId="10" borderId="11" xfId="0" applyNumberFormat="1" applyFont="1" applyFill="1" applyBorder="1" applyAlignment="1" applyProtection="1">
      <alignment horizontal="center" vertical="center"/>
    </xf>
    <xf numFmtId="179" fontId="65" fillId="6" borderId="25" xfId="0" applyNumberFormat="1" applyFont="1" applyFill="1" applyBorder="1" applyAlignment="1" applyProtection="1">
      <alignment horizontal="right" vertical="center" indent="1"/>
    </xf>
    <xf numFmtId="180" fontId="23" fillId="10" borderId="70" xfId="0" applyNumberFormat="1" applyFont="1" applyFill="1" applyBorder="1" applyAlignment="1" applyProtection="1">
      <alignment horizontal="center" vertical="center"/>
    </xf>
    <xf numFmtId="180" fontId="36" fillId="10" borderId="71" xfId="0" applyNumberFormat="1" applyFont="1" applyFill="1" applyBorder="1" applyAlignment="1" applyProtection="1">
      <alignment horizontal="center" vertical="center"/>
      <protection locked="0"/>
    </xf>
    <xf numFmtId="0" fontId="33" fillId="7" borderId="13" xfId="0" applyFont="1" applyFill="1" applyBorder="1" applyAlignment="1" applyProtection="1">
      <alignment horizontal="center" vertical="center" wrapText="1"/>
    </xf>
    <xf numFmtId="0" fontId="33" fillId="7" borderId="12" xfId="0" applyFont="1" applyFill="1" applyBorder="1" applyAlignment="1" applyProtection="1">
      <alignment horizontal="center" vertical="center"/>
    </xf>
    <xf numFmtId="174" fontId="34" fillId="7" borderId="12" xfId="0" applyNumberFormat="1" applyFont="1" applyFill="1" applyBorder="1" applyAlignment="1" applyProtection="1">
      <alignment horizontal="center" vertical="center" wrapText="1"/>
    </xf>
    <xf numFmtId="15" fontId="34" fillId="7" borderId="12" xfId="0" applyNumberFormat="1" applyFont="1" applyFill="1" applyBorder="1" applyAlignment="1" applyProtection="1">
      <alignment horizontal="center" vertical="center" wrapText="1"/>
    </xf>
    <xf numFmtId="15" fontId="34" fillId="7" borderId="58" xfId="0" applyNumberFormat="1" applyFont="1" applyFill="1" applyBorder="1" applyAlignment="1" applyProtection="1">
      <alignment horizontal="center" vertical="center" wrapText="1"/>
    </xf>
    <xf numFmtId="180" fontId="36" fillId="10" borderId="1" xfId="0" quotePrefix="1" applyNumberFormat="1" applyFont="1" applyFill="1" applyBorder="1" applyAlignment="1" applyProtection="1">
      <alignment horizontal="center" vertical="center"/>
      <protection locked="0"/>
    </xf>
    <xf numFmtId="0" fontId="0" fillId="0" borderId="0" xfId="0" applyBorder="1" applyProtection="1"/>
    <xf numFmtId="0" fontId="0" fillId="0" borderId="0" xfId="0" applyBorder="1" applyAlignment="1" applyProtection="1">
      <alignment horizontal="center"/>
    </xf>
    <xf numFmtId="179" fontId="66" fillId="0" borderId="0" xfId="0" applyNumberFormat="1" applyFont="1" applyBorder="1" applyAlignment="1" applyProtection="1">
      <alignment horizontal="center"/>
    </xf>
    <xf numFmtId="0" fontId="0" fillId="0" borderId="0" xfId="0" applyBorder="1" applyAlignment="1" applyProtection="1">
      <alignment vertical="center"/>
    </xf>
    <xf numFmtId="181" fontId="134" fillId="0" borderId="0" xfId="0" applyNumberFormat="1" applyFont="1" applyBorder="1" applyAlignment="1" applyProtection="1">
      <alignment horizontal="center"/>
    </xf>
    <xf numFmtId="179" fontId="134" fillId="0" borderId="0" xfId="0" applyNumberFormat="1" applyFont="1" applyBorder="1" applyAlignment="1" applyProtection="1">
      <alignment horizontal="center"/>
    </xf>
    <xf numFmtId="0" fontId="29" fillId="6" borderId="72" xfId="0" applyFont="1" applyFill="1" applyBorder="1" applyAlignment="1" applyProtection="1">
      <alignment horizontal="right" vertical="center" indent="1"/>
    </xf>
    <xf numFmtId="179" fontId="19" fillId="6" borderId="73" xfId="0" applyNumberFormat="1" applyFont="1" applyFill="1" applyBorder="1" applyAlignment="1" applyProtection="1">
      <alignment horizontal="right" vertical="center" indent="1"/>
    </xf>
    <xf numFmtId="181" fontId="19" fillId="6" borderId="73" xfId="0" applyNumberFormat="1" applyFont="1" applyFill="1" applyBorder="1" applyAlignment="1" applyProtection="1">
      <alignment horizontal="center" vertical="center"/>
    </xf>
    <xf numFmtId="189" fontId="19" fillId="6" borderId="73" xfId="0" applyNumberFormat="1" applyFont="1" applyFill="1" applyBorder="1" applyAlignment="1" applyProtection="1">
      <alignment horizontal="center" vertical="center"/>
    </xf>
    <xf numFmtId="181" fontId="12" fillId="6" borderId="54" xfId="0" applyNumberFormat="1" applyFont="1" applyFill="1" applyBorder="1" applyAlignment="1" applyProtection="1">
      <alignment horizontal="center" vertical="center"/>
      <protection locked="0"/>
    </xf>
    <xf numFmtId="179" fontId="12" fillId="6" borderId="54" xfId="0" applyNumberFormat="1" applyFont="1" applyFill="1" applyBorder="1" applyAlignment="1" applyProtection="1">
      <alignment horizontal="center" vertical="center"/>
      <protection locked="0"/>
    </xf>
    <xf numFmtId="193" fontId="12" fillId="6" borderId="54" xfId="0" applyNumberFormat="1" applyFont="1" applyFill="1" applyBorder="1" applyAlignment="1" applyProtection="1">
      <alignment horizontal="center" vertical="center"/>
      <protection locked="0"/>
    </xf>
    <xf numFmtId="0" fontId="6" fillId="6" borderId="74" xfId="0" quotePrefix="1" applyFont="1" applyFill="1" applyBorder="1" applyAlignment="1" applyProtection="1">
      <alignment horizontal="center" vertical="center"/>
    </xf>
    <xf numFmtId="0" fontId="140" fillId="0" borderId="0" xfId="0" applyFont="1" applyAlignment="1" applyProtection="1">
      <alignment vertical="center"/>
    </xf>
    <xf numFmtId="174" fontId="34" fillId="7" borderId="19" xfId="0" applyNumberFormat="1" applyFont="1" applyFill="1" applyBorder="1" applyAlignment="1" applyProtection="1">
      <alignment horizontal="center" vertical="center"/>
    </xf>
    <xf numFmtId="0" fontId="53" fillId="6" borderId="21" xfId="0" quotePrefix="1" applyFont="1" applyFill="1" applyBorder="1" applyAlignment="1" applyProtection="1">
      <alignment horizontal="center" vertical="center"/>
    </xf>
    <xf numFmtId="0" fontId="36" fillId="6" borderId="21" xfId="0" quotePrefix="1" applyFont="1" applyFill="1" applyBorder="1" applyAlignment="1" applyProtection="1">
      <alignment horizontal="center" vertical="center"/>
    </xf>
    <xf numFmtId="0" fontId="53" fillId="6" borderId="21" xfId="0" applyFont="1" applyFill="1" applyBorder="1" applyAlignment="1" applyProtection="1">
      <alignment horizontal="center" vertical="center"/>
    </xf>
    <xf numFmtId="0" fontId="36" fillId="6" borderId="21" xfId="0" applyFont="1" applyFill="1" applyBorder="1" applyAlignment="1" applyProtection="1">
      <alignment horizontal="center" vertical="center"/>
    </xf>
    <xf numFmtId="0" fontId="53" fillId="0" borderId="21" xfId="0" applyFont="1" applyFill="1" applyBorder="1" applyAlignment="1" applyProtection="1">
      <alignment horizontal="center" vertical="center"/>
    </xf>
    <xf numFmtId="2" fontId="53" fillId="6" borderId="21" xfId="0" quotePrefix="1" applyNumberFormat="1" applyFont="1" applyFill="1" applyBorder="1" applyAlignment="1" applyProtection="1">
      <alignment horizontal="center" vertical="center"/>
    </xf>
    <xf numFmtId="2" fontId="53" fillId="6" borderId="21" xfId="0" applyNumberFormat="1" applyFont="1" applyFill="1" applyBorder="1" applyAlignment="1" applyProtection="1">
      <alignment horizontal="center" vertical="center"/>
    </xf>
    <xf numFmtId="2" fontId="53" fillId="6" borderId="22" xfId="0" applyNumberFormat="1" applyFont="1" applyFill="1" applyBorder="1" applyAlignment="1" applyProtection="1">
      <alignment horizontal="center" vertical="center"/>
    </xf>
    <xf numFmtId="2" fontId="36" fillId="6" borderId="21" xfId="0" quotePrefix="1" applyNumberFormat="1" applyFont="1" applyFill="1" applyBorder="1" applyAlignment="1" applyProtection="1">
      <alignment horizontal="center" vertical="center"/>
    </xf>
    <xf numFmtId="2" fontId="36" fillId="6" borderId="22" xfId="0" applyNumberFormat="1" applyFont="1" applyFill="1" applyBorder="1" applyAlignment="1" applyProtection="1">
      <alignment horizontal="center" vertical="center"/>
    </xf>
    <xf numFmtId="174" fontId="34" fillId="7" borderId="13" xfId="0" applyNumberFormat="1" applyFont="1" applyFill="1" applyBorder="1" applyAlignment="1">
      <alignment horizontal="center" vertical="center"/>
    </xf>
    <xf numFmtId="174" fontId="34" fillId="7" borderId="20" xfId="0" applyNumberFormat="1" applyFont="1" applyFill="1" applyBorder="1" applyAlignment="1">
      <alignment horizontal="center" vertical="center"/>
    </xf>
    <xf numFmtId="1" fontId="34" fillId="7" borderId="75" xfId="0" applyNumberFormat="1" applyFont="1" applyFill="1" applyBorder="1" applyAlignment="1" applyProtection="1">
      <alignment horizontal="center" vertical="center" wrapText="1"/>
    </xf>
    <xf numFmtId="1" fontId="34" fillId="7" borderId="76" xfId="0" applyNumberFormat="1" applyFont="1" applyFill="1" applyBorder="1" applyAlignment="1" applyProtection="1">
      <alignment horizontal="center" vertical="center" wrapText="1"/>
    </xf>
    <xf numFmtId="180" fontId="23" fillId="12" borderId="52" xfId="0" applyNumberFormat="1" applyFont="1" applyFill="1" applyBorder="1" applyAlignment="1" applyProtection="1">
      <alignment horizontal="right" vertical="center" indent="1"/>
      <protection locked="0"/>
    </xf>
    <xf numFmtId="180" fontId="36" fillId="10" borderId="52" xfId="0" applyNumberFormat="1" applyFont="1" applyFill="1" applyBorder="1" applyAlignment="1" applyProtection="1">
      <alignment horizontal="center" vertical="center"/>
      <protection locked="0"/>
    </xf>
    <xf numFmtId="193" fontId="135" fillId="0" borderId="52" xfId="0" applyNumberFormat="1" applyFont="1" applyFill="1" applyBorder="1" applyAlignment="1" applyProtection="1">
      <alignment horizontal="right" vertical="center" indent="1"/>
    </xf>
    <xf numFmtId="179" fontId="65" fillId="6" borderId="52" xfId="0" applyNumberFormat="1" applyFont="1" applyFill="1" applyBorder="1" applyAlignment="1" applyProtection="1">
      <alignment horizontal="right" vertical="center" indent="1"/>
    </xf>
    <xf numFmtId="193" fontId="12" fillId="12" borderId="77" xfId="0" applyNumberFormat="1" applyFont="1" applyFill="1" applyBorder="1" applyAlignment="1" applyProtection="1">
      <alignment vertical="center"/>
      <protection locked="0"/>
    </xf>
    <xf numFmtId="193" fontId="12" fillId="12" borderId="78" xfId="0" applyNumberFormat="1" applyFont="1" applyFill="1" applyBorder="1" applyAlignment="1" applyProtection="1">
      <alignment vertical="center"/>
      <protection locked="0"/>
    </xf>
    <xf numFmtId="193" fontId="12" fillId="12" borderId="79" xfId="0" applyNumberFormat="1" applyFont="1" applyFill="1" applyBorder="1" applyAlignment="1" applyProtection="1">
      <alignment vertical="center"/>
      <protection locked="0"/>
    </xf>
    <xf numFmtId="0" fontId="0" fillId="0" borderId="29" xfId="0" applyFill="1" applyBorder="1" applyAlignment="1" applyProtection="1">
      <alignment vertical="center"/>
    </xf>
    <xf numFmtId="180" fontId="23" fillId="12" borderId="54" xfId="0" applyNumberFormat="1" applyFont="1" applyFill="1" applyBorder="1" applyAlignment="1" applyProtection="1">
      <alignment horizontal="right" vertical="center" indent="1"/>
      <protection locked="0"/>
    </xf>
    <xf numFmtId="180" fontId="36" fillId="10" borderId="54" xfId="0" applyNumberFormat="1" applyFont="1" applyFill="1" applyBorder="1" applyAlignment="1" applyProtection="1">
      <alignment horizontal="center" vertical="center"/>
      <protection locked="0"/>
    </xf>
    <xf numFmtId="181" fontId="135" fillId="0" borderId="54" xfId="0" applyNumberFormat="1" applyFont="1" applyFill="1" applyBorder="1" applyAlignment="1" applyProtection="1">
      <alignment horizontal="right" vertical="center" indent="1"/>
    </xf>
    <xf numFmtId="181" fontId="65" fillId="6" borderId="54" xfId="0" applyNumberFormat="1" applyFont="1" applyFill="1" applyBorder="1" applyAlignment="1" applyProtection="1">
      <alignment horizontal="right" vertical="center" indent="1"/>
    </xf>
    <xf numFmtId="193" fontId="12" fillId="12" borderId="27" xfId="0" applyNumberFormat="1" applyFont="1" applyFill="1" applyBorder="1" applyAlignment="1" applyProtection="1">
      <alignment horizontal="center" vertical="center"/>
      <protection locked="0"/>
    </xf>
    <xf numFmtId="193" fontId="12" fillId="12" borderId="80" xfId="0" applyNumberFormat="1" applyFont="1" applyFill="1" applyBorder="1" applyAlignment="1" applyProtection="1">
      <alignment horizontal="center" vertical="center"/>
      <protection locked="0"/>
    </xf>
    <xf numFmtId="0" fontId="0" fillId="0" borderId="27" xfId="0" applyFill="1" applyBorder="1" applyAlignment="1" applyProtection="1">
      <alignment vertical="center"/>
    </xf>
    <xf numFmtId="0" fontId="0" fillId="0" borderId="27" xfId="0" applyBorder="1" applyAlignment="1" applyProtection="1">
      <alignment vertical="center"/>
    </xf>
    <xf numFmtId="180" fontId="23" fillId="10" borderId="52" xfId="0" applyNumberFormat="1" applyFont="1" applyFill="1" applyBorder="1" applyAlignment="1" applyProtection="1">
      <alignment horizontal="right" vertical="center" indent="1"/>
    </xf>
    <xf numFmtId="193" fontId="12" fillId="12" borderId="29" xfId="0" applyNumberFormat="1" applyFont="1" applyFill="1" applyBorder="1" applyAlignment="1" applyProtection="1">
      <alignment horizontal="center" vertical="center"/>
      <protection locked="0"/>
    </xf>
    <xf numFmtId="193" fontId="12" fillId="12" borderId="81" xfId="0" applyNumberFormat="1" applyFont="1" applyFill="1" applyBorder="1" applyAlignment="1" applyProtection="1">
      <alignment horizontal="center" vertical="center"/>
      <protection locked="0"/>
    </xf>
    <xf numFmtId="180" fontId="23" fillId="10" borderId="54" xfId="0" applyNumberFormat="1" applyFont="1" applyFill="1" applyBorder="1" applyAlignment="1" applyProtection="1">
      <alignment horizontal="right" vertical="center" indent="1"/>
    </xf>
    <xf numFmtId="174" fontId="65" fillId="6" borderId="54" xfId="0" applyNumberFormat="1" applyFont="1" applyFill="1" applyBorder="1" applyAlignment="1" applyProtection="1">
      <alignment horizontal="right" vertical="center" indent="1"/>
    </xf>
    <xf numFmtId="0" fontId="0" fillId="0" borderId="0" xfId="0" applyBorder="1" applyAlignment="1">
      <alignment vertical="center"/>
    </xf>
    <xf numFmtId="179" fontId="135" fillId="0" borderId="52" xfId="0" applyNumberFormat="1" applyFont="1" applyFill="1" applyBorder="1" applyAlignment="1" applyProtection="1">
      <alignment horizontal="right" vertical="center" indent="1"/>
    </xf>
    <xf numFmtId="0" fontId="0" fillId="0" borderId="27" xfId="0" applyBorder="1" applyAlignment="1">
      <alignment vertical="center"/>
    </xf>
    <xf numFmtId="0" fontId="0" fillId="0" borderId="0" xfId="0" applyBorder="1" applyAlignment="1">
      <alignment vertical="center" wrapText="1"/>
    </xf>
    <xf numFmtId="0" fontId="2" fillId="0" borderId="0" xfId="0" applyFont="1" applyBorder="1" applyAlignment="1">
      <alignment vertical="center"/>
    </xf>
    <xf numFmtId="179" fontId="131" fillId="0" borderId="1" xfId="0" applyNumberFormat="1" applyFont="1" applyFill="1" applyBorder="1" applyAlignment="1" applyProtection="1">
      <alignment horizontal="center" vertical="center"/>
      <protection locked="0"/>
    </xf>
    <xf numFmtId="179" fontId="131" fillId="0" borderId="54" xfId="0" applyNumberFormat="1" applyFont="1" applyFill="1" applyBorder="1" applyAlignment="1" applyProtection="1">
      <alignment horizontal="center" vertical="center"/>
      <protection locked="0"/>
    </xf>
    <xf numFmtId="174" fontId="35" fillId="7" borderId="82" xfId="0" quotePrefix="1" applyNumberFormat="1" applyFont="1" applyFill="1" applyBorder="1" applyAlignment="1" applyProtection="1">
      <alignment horizontal="center" vertical="center" wrapText="1"/>
    </xf>
    <xf numFmtId="174" fontId="35" fillId="7" borderId="83" xfId="0" quotePrefix="1" applyNumberFormat="1" applyFont="1" applyFill="1" applyBorder="1" applyAlignment="1" applyProtection="1">
      <alignment horizontal="center" vertical="center" wrapText="1"/>
    </xf>
    <xf numFmtId="0" fontId="12" fillId="0" borderId="25" xfId="0" applyNumberFormat="1" applyFont="1" applyFill="1" applyBorder="1" applyAlignment="1" applyProtection="1">
      <alignment horizontal="left" vertical="center" indent="1"/>
      <protection locked="0"/>
    </xf>
    <xf numFmtId="180" fontId="23" fillId="10" borderId="28" xfId="0" applyNumberFormat="1" applyFont="1" applyFill="1" applyBorder="1" applyAlignment="1" applyProtection="1">
      <alignment horizontal="right" vertical="center" indent="1"/>
    </xf>
    <xf numFmtId="180" fontId="23" fillId="12" borderId="52" xfId="0" quotePrefix="1" applyNumberFormat="1" applyFont="1" applyFill="1" applyBorder="1" applyAlignment="1" applyProtection="1">
      <alignment horizontal="right" vertical="center" indent="1"/>
      <protection locked="0"/>
    </xf>
    <xf numFmtId="0" fontId="73" fillId="6" borderId="0" xfId="0" quotePrefix="1" applyFont="1" applyFill="1" applyBorder="1" applyAlignment="1" applyProtection="1">
      <alignment horizontal="left" vertical="center"/>
    </xf>
    <xf numFmtId="0" fontId="63" fillId="0" borderId="27" xfId="0" quotePrefix="1" applyFont="1" applyBorder="1" applyAlignment="1" applyProtection="1">
      <alignment horizontal="left" vertical="center"/>
    </xf>
    <xf numFmtId="0" fontId="29" fillId="6" borderId="84" xfId="0" applyFont="1" applyFill="1" applyBorder="1" applyAlignment="1" applyProtection="1">
      <alignment horizontal="right" vertical="center" indent="1"/>
    </xf>
    <xf numFmtId="179" fontId="19" fillId="6" borderId="85" xfId="0" applyNumberFormat="1" applyFont="1" applyFill="1" applyBorder="1" applyAlignment="1" applyProtection="1">
      <alignment horizontal="right" vertical="center" indent="1"/>
    </xf>
    <xf numFmtId="181" fontId="19" fillId="6" borderId="85" xfId="0" applyNumberFormat="1" applyFont="1" applyFill="1" applyBorder="1" applyAlignment="1" applyProtection="1">
      <alignment horizontal="center" vertical="center"/>
    </xf>
    <xf numFmtId="189" fontId="19" fillId="6" borderId="85" xfId="0" applyNumberFormat="1" applyFont="1" applyFill="1" applyBorder="1" applyAlignment="1" applyProtection="1">
      <alignment horizontal="center" vertical="center"/>
    </xf>
    <xf numFmtId="181" fontId="19" fillId="6" borderId="85" xfId="0" applyNumberFormat="1" applyFont="1" applyFill="1" applyBorder="1" applyAlignment="1" applyProtection="1">
      <alignment horizontal="right" vertical="center" indent="1"/>
    </xf>
    <xf numFmtId="191" fontId="19" fillId="6" borderId="54" xfId="0" applyNumberFormat="1" applyFont="1" applyFill="1" applyBorder="1" applyAlignment="1" applyProtection="1">
      <alignment horizontal="right" vertical="center" indent="1"/>
    </xf>
    <xf numFmtId="1" fontId="19" fillId="6" borderId="85" xfId="0" applyNumberFormat="1" applyFont="1" applyFill="1" applyBorder="1" applyAlignment="1" applyProtection="1">
      <alignment horizontal="right" vertical="center" indent="1"/>
    </xf>
    <xf numFmtId="0" fontId="19" fillId="12" borderId="85" xfId="0" applyNumberFormat="1" applyFont="1" applyFill="1" applyBorder="1" applyAlignment="1" applyProtection="1">
      <alignment horizontal="right" vertical="center" indent="2"/>
    </xf>
    <xf numFmtId="0" fontId="19" fillId="12" borderId="86" xfId="0" applyNumberFormat="1" applyFont="1" applyFill="1" applyBorder="1" applyAlignment="1" applyProtection="1">
      <alignment horizontal="right" vertical="center" indent="2"/>
    </xf>
    <xf numFmtId="0" fontId="0" fillId="0" borderId="0" xfId="0" applyBorder="1"/>
    <xf numFmtId="1" fontId="0" fillId="0" borderId="0" xfId="0" applyNumberFormat="1" applyBorder="1"/>
    <xf numFmtId="0" fontId="29" fillId="6" borderId="87" xfId="0" applyFont="1" applyFill="1" applyBorder="1" applyAlignment="1" applyProtection="1">
      <alignment horizontal="right" vertical="center" indent="1"/>
    </xf>
    <xf numFmtId="179" fontId="19" fillId="6" borderId="88" xfId="0" applyNumberFormat="1" applyFont="1" applyFill="1" applyBorder="1" applyAlignment="1" applyProtection="1">
      <alignment horizontal="right" vertical="center" indent="1"/>
    </xf>
    <xf numFmtId="179" fontId="19" fillId="6" borderId="52" xfId="0" applyNumberFormat="1" applyFont="1" applyFill="1" applyBorder="1" applyAlignment="1" applyProtection="1">
      <alignment horizontal="right" vertical="center" indent="1"/>
    </xf>
    <xf numFmtId="181" fontId="19" fillId="6" borderId="88" xfId="0" applyNumberFormat="1" applyFont="1" applyFill="1" applyBorder="1" applyAlignment="1" applyProtection="1">
      <alignment horizontal="center" vertical="center"/>
    </xf>
    <xf numFmtId="181" fontId="19" fillId="6" borderId="52" xfId="0" applyNumberFormat="1" applyFont="1" applyFill="1" applyBorder="1" applyAlignment="1" applyProtection="1">
      <alignment horizontal="center" vertical="center"/>
    </xf>
    <xf numFmtId="189" fontId="19" fillId="6" borderId="88" xfId="0" applyNumberFormat="1" applyFont="1" applyFill="1" applyBorder="1" applyAlignment="1" applyProtection="1">
      <alignment horizontal="center" vertical="center"/>
    </xf>
    <xf numFmtId="181" fontId="19" fillId="6" borderId="88" xfId="0" applyNumberFormat="1" applyFont="1" applyFill="1" applyBorder="1" applyAlignment="1" applyProtection="1">
      <alignment horizontal="right" vertical="center" indent="1"/>
    </xf>
    <xf numFmtId="191" fontId="19" fillId="6" borderId="52" xfId="0" applyNumberFormat="1" applyFont="1" applyFill="1" applyBorder="1" applyAlignment="1" applyProtection="1">
      <alignment horizontal="right" vertical="center" indent="1"/>
    </xf>
    <xf numFmtId="0" fontId="19" fillId="12" borderId="88" xfId="0" applyNumberFormat="1" applyFont="1" applyFill="1" applyBorder="1" applyAlignment="1" applyProtection="1">
      <alignment horizontal="right" vertical="center" indent="2"/>
    </xf>
    <xf numFmtId="179" fontId="19" fillId="6" borderId="89" xfId="0" applyNumberFormat="1" applyFont="1" applyFill="1" applyBorder="1" applyAlignment="1" applyProtection="1">
      <alignment horizontal="right" vertical="center" indent="1"/>
    </xf>
    <xf numFmtId="0" fontId="63" fillId="0" borderId="0" xfId="0" quotePrefix="1" applyFont="1" applyBorder="1" applyAlignment="1" applyProtection="1">
      <alignment horizontal="left" vertical="center"/>
    </xf>
    <xf numFmtId="179" fontId="8" fillId="6" borderId="63" xfId="0" applyNumberFormat="1" applyFont="1" applyFill="1" applyBorder="1" applyAlignment="1" applyProtection="1">
      <alignment vertical="center"/>
    </xf>
    <xf numFmtId="0" fontId="63" fillId="0" borderId="0" xfId="0" applyFont="1" applyAlignment="1" applyProtection="1">
      <alignment vertical="center"/>
    </xf>
    <xf numFmtId="0" fontId="8" fillId="6" borderId="27" xfId="0" applyFont="1" applyFill="1" applyBorder="1" applyAlignment="1" applyProtection="1">
      <alignment vertical="center"/>
    </xf>
    <xf numFmtId="0" fontId="10" fillId="6" borderId="27" xfId="0" applyFont="1" applyFill="1" applyBorder="1" applyAlignment="1" applyProtection="1">
      <alignment vertical="center"/>
    </xf>
    <xf numFmtId="189" fontId="19" fillId="6" borderId="54" xfId="0" applyNumberFormat="1" applyFont="1" applyFill="1" applyBorder="1" applyAlignment="1" applyProtection="1">
      <alignment horizontal="center" vertical="center"/>
    </xf>
    <xf numFmtId="179" fontId="19" fillId="0" borderId="1" xfId="0" applyNumberFormat="1" applyFont="1" applyFill="1" applyBorder="1" applyAlignment="1" applyProtection="1">
      <alignment horizontal="right" vertical="center" indent="1"/>
    </xf>
    <xf numFmtId="0" fontId="47" fillId="6" borderId="48" xfId="0" applyFont="1" applyFill="1" applyBorder="1" applyAlignment="1" applyProtection="1">
      <alignment horizontal="center" vertical="center" wrapText="1"/>
      <protection locked="0"/>
    </xf>
    <xf numFmtId="0" fontId="47" fillId="6" borderId="49" xfId="0" applyFont="1" applyFill="1" applyBorder="1" applyAlignment="1" applyProtection="1">
      <alignment horizontal="center" vertical="center" wrapText="1"/>
      <protection locked="0"/>
    </xf>
    <xf numFmtId="0" fontId="47" fillId="6" borderId="90" xfId="0" applyFont="1" applyFill="1" applyBorder="1" applyAlignment="1" applyProtection="1">
      <alignment horizontal="center" vertical="center" wrapText="1"/>
      <protection locked="0"/>
    </xf>
    <xf numFmtId="0" fontId="47" fillId="6" borderId="91" xfId="0" applyFont="1" applyFill="1" applyBorder="1" applyAlignment="1" applyProtection="1">
      <alignment horizontal="center" vertical="center" wrapText="1"/>
      <protection locked="0"/>
    </xf>
    <xf numFmtId="0" fontId="47" fillId="6" borderId="92" xfId="0" applyFont="1" applyFill="1" applyBorder="1" applyAlignment="1" applyProtection="1">
      <alignment horizontal="center" vertical="center" wrapText="1"/>
      <protection locked="0"/>
    </xf>
    <xf numFmtId="0" fontId="47" fillId="6" borderId="56" xfId="0" applyFont="1" applyFill="1" applyBorder="1" applyAlignment="1" applyProtection="1">
      <alignment horizontal="center" vertical="center" wrapText="1"/>
      <protection locked="0"/>
    </xf>
    <xf numFmtId="179" fontId="135" fillId="0" borderId="52" xfId="0" applyNumberFormat="1" applyFont="1" applyFill="1" applyBorder="1" applyAlignment="1" applyProtection="1">
      <alignment horizontal="right" vertical="center" indent="1"/>
      <protection locked="0"/>
    </xf>
    <xf numFmtId="179" fontId="65" fillId="6" borderId="52" xfId="0" applyNumberFormat="1" applyFont="1" applyFill="1" applyBorder="1" applyAlignment="1" applyProtection="1">
      <alignment horizontal="right" vertical="center" indent="1"/>
      <protection locked="0"/>
    </xf>
    <xf numFmtId="179" fontId="135" fillId="0" borderId="1" xfId="0" applyNumberFormat="1" applyFont="1" applyFill="1" applyBorder="1" applyAlignment="1" applyProtection="1">
      <alignment horizontal="right" vertical="center" indent="1"/>
      <protection locked="0"/>
    </xf>
    <xf numFmtId="179" fontId="65" fillId="6" borderId="1" xfId="0" applyNumberFormat="1" applyFont="1" applyFill="1" applyBorder="1" applyAlignment="1" applyProtection="1">
      <alignment horizontal="right" vertical="center" indent="1"/>
      <protection locked="0"/>
    </xf>
    <xf numFmtId="181" fontId="135" fillId="0" borderId="1" xfId="0" applyNumberFormat="1" applyFont="1" applyFill="1" applyBorder="1" applyAlignment="1" applyProtection="1">
      <alignment horizontal="right" vertical="center" indent="1"/>
      <protection locked="0"/>
    </xf>
    <xf numFmtId="181" fontId="65" fillId="6" borderId="1" xfId="0" applyNumberFormat="1" applyFont="1" applyFill="1" applyBorder="1" applyAlignment="1" applyProtection="1">
      <alignment horizontal="right" vertical="center" indent="1"/>
      <protection locked="0"/>
    </xf>
    <xf numFmtId="193" fontId="135" fillId="0" borderId="1" xfId="0" applyNumberFormat="1" applyFont="1" applyFill="1" applyBorder="1" applyAlignment="1" applyProtection="1">
      <alignment horizontal="right" vertical="center" indent="1"/>
      <protection locked="0"/>
    </xf>
    <xf numFmtId="193" fontId="65" fillId="6" borderId="1" xfId="0" applyNumberFormat="1" applyFont="1" applyFill="1" applyBorder="1" applyAlignment="1" applyProtection="1">
      <alignment horizontal="right" vertical="center" indent="1"/>
      <protection locked="0"/>
    </xf>
    <xf numFmtId="181" fontId="135" fillId="0" borderId="54" xfId="0" applyNumberFormat="1" applyFont="1" applyFill="1" applyBorder="1" applyAlignment="1" applyProtection="1">
      <alignment horizontal="right" vertical="center" indent="1"/>
      <protection locked="0"/>
    </xf>
    <xf numFmtId="174" fontId="65" fillId="6" borderId="54" xfId="0" applyNumberFormat="1" applyFont="1" applyFill="1" applyBorder="1" applyAlignment="1" applyProtection="1">
      <alignment horizontal="right" vertical="center" indent="1"/>
      <protection locked="0"/>
    </xf>
    <xf numFmtId="193" fontId="135" fillId="0" borderId="52" xfId="0" applyNumberFormat="1" applyFont="1" applyFill="1" applyBorder="1" applyAlignment="1" applyProtection="1">
      <alignment horizontal="right" vertical="center" indent="1"/>
      <protection locked="0"/>
    </xf>
    <xf numFmtId="180" fontId="23" fillId="13" borderId="11" xfId="0" applyNumberFormat="1" applyFont="1" applyFill="1" applyBorder="1" applyAlignment="1" applyProtection="1">
      <alignment horizontal="center" vertical="center"/>
    </xf>
    <xf numFmtId="180" fontId="23" fillId="13" borderId="71" xfId="0" applyNumberFormat="1" applyFont="1" applyFill="1" applyBorder="1" applyAlignment="1" applyProtection="1">
      <alignment horizontal="right" vertical="center" indent="1"/>
    </xf>
    <xf numFmtId="180" fontId="36" fillId="13" borderId="1" xfId="0" applyNumberFormat="1" applyFont="1" applyFill="1" applyBorder="1" applyAlignment="1" applyProtection="1">
      <alignment horizontal="center" vertical="center"/>
      <protection locked="0"/>
    </xf>
    <xf numFmtId="179" fontId="65" fillId="13" borderId="25" xfId="0" applyNumberFormat="1" applyFont="1" applyFill="1" applyBorder="1" applyAlignment="1" applyProtection="1">
      <alignment horizontal="right" vertical="center" indent="1"/>
    </xf>
    <xf numFmtId="174" fontId="34" fillId="7" borderId="34" xfId="0" quotePrefix="1" applyNumberFormat="1" applyFont="1" applyFill="1" applyBorder="1" applyAlignment="1" applyProtection="1">
      <alignment horizontal="center" vertical="center" wrapText="1"/>
    </xf>
    <xf numFmtId="189" fontId="12" fillId="0" borderId="25" xfId="0" applyNumberFormat="1" applyFont="1" applyFill="1" applyBorder="1" applyAlignment="1" applyProtection="1">
      <alignment horizontal="left" vertical="center" indent="1"/>
      <protection locked="0"/>
    </xf>
    <xf numFmtId="188" fontId="65" fillId="6" borderId="25" xfId="0" applyNumberFormat="1" applyFont="1" applyFill="1" applyBorder="1" applyAlignment="1" applyProtection="1">
      <alignment horizontal="right" vertical="center" indent="1"/>
    </xf>
    <xf numFmtId="180" fontId="23" fillId="10" borderId="71" xfId="0" applyNumberFormat="1" applyFont="1" applyFill="1" applyBorder="1" applyAlignment="1" applyProtection="1">
      <alignment horizontal="right" vertical="center" wrapText="1" indent="1"/>
    </xf>
    <xf numFmtId="180" fontId="23" fillId="10" borderId="47" xfId="0" applyNumberFormat="1" applyFont="1" applyFill="1" applyBorder="1" applyAlignment="1" applyProtection="1">
      <alignment horizontal="center" vertical="center"/>
    </xf>
    <xf numFmtId="180" fontId="36" fillId="10" borderId="28" xfId="0" applyNumberFormat="1" applyFont="1" applyFill="1" applyBorder="1" applyAlignment="1" applyProtection="1">
      <alignment horizontal="center" vertical="center"/>
      <protection locked="0"/>
    </xf>
    <xf numFmtId="180" fontId="23" fillId="10" borderId="1" xfId="0" applyNumberFormat="1" applyFont="1" applyFill="1" applyBorder="1" applyAlignment="1" applyProtection="1">
      <alignment horizontal="right" vertical="center" wrapText="1" indent="1"/>
    </xf>
    <xf numFmtId="0" fontId="143" fillId="6" borderId="0" xfId="0" applyFont="1" applyFill="1" applyBorder="1" applyAlignment="1" applyProtection="1">
      <alignment vertical="center"/>
    </xf>
    <xf numFmtId="0" fontId="0" fillId="0" borderId="0" xfId="0" applyAlignment="1" applyProtection="1">
      <alignment horizontal="center"/>
    </xf>
    <xf numFmtId="175" fontId="132" fillId="6" borderId="1" xfId="0" applyNumberFormat="1" applyFont="1" applyFill="1" applyBorder="1" applyAlignment="1" applyProtection="1">
      <alignment horizontal="center" vertical="center"/>
    </xf>
    <xf numFmtId="1" fontId="132" fillId="6" borderId="1" xfId="0" applyNumberFormat="1" applyFont="1" applyFill="1" applyBorder="1" applyAlignment="1" applyProtection="1">
      <alignment horizontal="right" vertical="center" indent="1"/>
    </xf>
    <xf numFmtId="188" fontId="132" fillId="6" borderId="1" xfId="0" applyNumberFormat="1" applyFont="1" applyFill="1" applyBorder="1" applyAlignment="1" applyProtection="1">
      <alignment horizontal="right" vertical="center" indent="1"/>
    </xf>
    <xf numFmtId="0" fontId="12" fillId="0" borderId="0" xfId="0" applyFont="1" applyBorder="1" applyAlignment="1" applyProtection="1">
      <alignment vertical="center"/>
    </xf>
    <xf numFmtId="198" fontId="132" fillId="6" borderId="1" xfId="0" applyNumberFormat="1" applyFont="1" applyFill="1" applyBorder="1" applyAlignment="1" applyProtection="1">
      <alignment horizontal="center" vertical="center"/>
      <protection locked="0"/>
    </xf>
    <xf numFmtId="188" fontId="19" fillId="6" borderId="1" xfId="0" applyNumberFormat="1" applyFont="1" applyFill="1" applyBorder="1" applyAlignment="1" applyProtection="1">
      <alignment horizontal="center" vertical="center"/>
    </xf>
    <xf numFmtId="180" fontId="19" fillId="6" borderId="1" xfId="0" applyNumberFormat="1" applyFont="1" applyFill="1" applyBorder="1" applyAlignment="1" applyProtection="1">
      <alignment horizontal="center" vertical="center"/>
    </xf>
    <xf numFmtId="180" fontId="19" fillId="6" borderId="54" xfId="0" applyNumberFormat="1" applyFont="1" applyFill="1" applyBorder="1" applyAlignment="1" applyProtection="1">
      <alignment horizontal="center" vertical="center"/>
    </xf>
    <xf numFmtId="198" fontId="132" fillId="6" borderId="54" xfId="0" applyNumberFormat="1" applyFont="1" applyFill="1" applyBorder="1" applyAlignment="1" applyProtection="1">
      <alignment horizontal="center" vertical="center"/>
      <protection locked="0"/>
    </xf>
    <xf numFmtId="188" fontId="0" fillId="0" borderId="0" xfId="0" applyNumberFormat="1" applyAlignment="1" applyProtection="1">
      <alignment vertical="center"/>
    </xf>
    <xf numFmtId="188" fontId="19" fillId="6" borderId="54" xfId="0" applyNumberFormat="1" applyFont="1" applyFill="1" applyBorder="1" applyAlignment="1" applyProtection="1">
      <alignment horizontal="center" vertical="center"/>
    </xf>
    <xf numFmtId="188" fontId="134" fillId="0" borderId="0" xfId="0" applyNumberFormat="1" applyFont="1" applyBorder="1" applyProtection="1"/>
    <xf numFmtId="188" fontId="133" fillId="0" borderId="32" xfId="0" applyNumberFormat="1" applyFont="1" applyBorder="1" applyAlignment="1" applyProtection="1">
      <alignment horizontal="center" vertical="center"/>
    </xf>
    <xf numFmtId="188" fontId="0" fillId="0" borderId="27" xfId="0" applyNumberFormat="1" applyBorder="1" applyAlignment="1" applyProtection="1">
      <alignment vertical="center"/>
    </xf>
    <xf numFmtId="188" fontId="0" fillId="0" borderId="29" xfId="0" applyNumberFormat="1" applyBorder="1" applyAlignment="1" applyProtection="1">
      <alignment vertical="center"/>
    </xf>
    <xf numFmtId="188" fontId="134" fillId="0" borderId="29" xfId="0" applyNumberFormat="1" applyFont="1" applyBorder="1" applyProtection="1"/>
    <xf numFmtId="188" fontId="0" fillId="0" borderId="0" xfId="0" applyNumberFormat="1" applyAlignment="1">
      <alignment vertical="center"/>
    </xf>
    <xf numFmtId="188" fontId="19" fillId="6" borderId="25" xfId="0" applyNumberFormat="1" applyFont="1" applyFill="1" applyBorder="1" applyAlignment="1" applyProtection="1">
      <alignment horizontal="center" vertical="center"/>
    </xf>
    <xf numFmtId="188" fontId="19" fillId="6" borderId="46" xfId="0" applyNumberFormat="1" applyFont="1" applyFill="1" applyBorder="1" applyAlignment="1" applyProtection="1">
      <alignment horizontal="center" vertical="center"/>
    </xf>
    <xf numFmtId="188" fontId="0" fillId="0" borderId="62" xfId="0" applyNumberFormat="1" applyBorder="1" applyAlignment="1" applyProtection="1">
      <alignment vertical="center"/>
    </xf>
    <xf numFmtId="188" fontId="0" fillId="0" borderId="80" xfId="0" applyNumberFormat="1" applyBorder="1" applyAlignment="1" applyProtection="1">
      <alignment vertical="center"/>
    </xf>
    <xf numFmtId="188" fontId="0" fillId="0" borderId="81" xfId="0" applyNumberFormat="1" applyBorder="1" applyAlignment="1" applyProtection="1">
      <alignment vertical="center"/>
    </xf>
    <xf numFmtId="180" fontId="19" fillId="6" borderId="1" xfId="0" applyNumberFormat="1" applyFont="1" applyFill="1" applyBorder="1" applyAlignment="1" applyProtection="1">
      <alignment horizontal="right" vertical="center" indent="1"/>
    </xf>
    <xf numFmtId="194" fontId="19" fillId="6" borderId="1" xfId="0" applyNumberFormat="1" applyFont="1" applyFill="1" applyBorder="1" applyAlignment="1" applyProtection="1">
      <alignment horizontal="center" vertical="center"/>
    </xf>
    <xf numFmtId="194" fontId="19" fillId="6" borderId="54" xfId="0" applyNumberFormat="1" applyFont="1" applyFill="1" applyBorder="1" applyAlignment="1" applyProtection="1">
      <alignment horizontal="center" vertical="center"/>
    </xf>
    <xf numFmtId="180" fontId="19" fillId="12" borderId="1" xfId="0" applyNumberFormat="1" applyFont="1" applyFill="1" applyBorder="1" applyAlignment="1" applyProtection="1">
      <alignment horizontal="right" vertical="center" indent="2"/>
    </xf>
    <xf numFmtId="180" fontId="19" fillId="6" borderId="25" xfId="0" applyNumberFormat="1" applyFont="1" applyFill="1" applyBorder="1" applyAlignment="1" applyProtection="1">
      <alignment horizontal="right" vertical="center" indent="1"/>
    </xf>
    <xf numFmtId="180" fontId="19" fillId="12" borderId="54" xfId="0" applyNumberFormat="1" applyFont="1" applyFill="1" applyBorder="1" applyAlignment="1" applyProtection="1">
      <alignment horizontal="right" vertical="center" indent="2"/>
    </xf>
    <xf numFmtId="180" fontId="19" fillId="12" borderId="46" xfId="0" applyNumberFormat="1" applyFont="1" applyFill="1" applyBorder="1" applyAlignment="1" applyProtection="1">
      <alignment horizontal="right" vertical="center" indent="2"/>
    </xf>
    <xf numFmtId="180" fontId="19" fillId="12" borderId="25" xfId="0" applyNumberFormat="1" applyFont="1" applyFill="1" applyBorder="1" applyAlignment="1" applyProtection="1">
      <alignment horizontal="right" vertical="center" indent="2"/>
    </xf>
    <xf numFmtId="180" fontId="19" fillId="12" borderId="28" xfId="0" applyNumberFormat="1" applyFont="1" applyFill="1" applyBorder="1" applyAlignment="1" applyProtection="1">
      <alignment horizontal="right" vertical="center" indent="2"/>
    </xf>
    <xf numFmtId="180" fontId="19" fillId="12" borderId="50" xfId="0" applyNumberFormat="1" applyFont="1" applyFill="1" applyBorder="1" applyAlignment="1" applyProtection="1">
      <alignment horizontal="right" vertical="center" indent="2"/>
    </xf>
    <xf numFmtId="180" fontId="19" fillId="12" borderId="73" xfId="0" applyNumberFormat="1" applyFont="1" applyFill="1" applyBorder="1" applyAlignment="1" applyProtection="1">
      <alignment horizontal="right" vertical="center" indent="2"/>
    </xf>
    <xf numFmtId="180" fontId="19" fillId="6" borderId="73" xfId="0" applyNumberFormat="1" applyFont="1" applyFill="1" applyBorder="1" applyAlignment="1" applyProtection="1">
      <alignment horizontal="right" vertical="center" indent="1"/>
    </xf>
    <xf numFmtId="180" fontId="19" fillId="6" borderId="93" xfId="0" applyNumberFormat="1" applyFont="1" applyFill="1" applyBorder="1" applyAlignment="1" applyProtection="1">
      <alignment horizontal="right" vertical="center" indent="1"/>
    </xf>
    <xf numFmtId="180" fontId="19" fillId="6" borderId="54" xfId="0" applyNumberFormat="1" applyFont="1" applyFill="1" applyBorder="1" applyAlignment="1" applyProtection="1">
      <alignment horizontal="right" vertical="center" indent="1"/>
    </xf>
    <xf numFmtId="180" fontId="19" fillId="12" borderId="85" xfId="0" applyNumberFormat="1" applyFont="1" applyFill="1" applyBorder="1" applyAlignment="1" applyProtection="1">
      <alignment horizontal="right" vertical="center" indent="2"/>
    </xf>
    <xf numFmtId="180" fontId="19" fillId="12" borderId="86" xfId="0" applyNumberFormat="1" applyFont="1" applyFill="1" applyBorder="1" applyAlignment="1" applyProtection="1">
      <alignment horizontal="right" vertical="center" indent="2"/>
    </xf>
    <xf numFmtId="180" fontId="19" fillId="6" borderId="28" xfId="0" applyNumberFormat="1" applyFont="1" applyFill="1" applyBorder="1" applyAlignment="1" applyProtection="1">
      <alignment horizontal="center" vertical="center"/>
    </xf>
    <xf numFmtId="180" fontId="19" fillId="6" borderId="85" xfId="0" applyNumberFormat="1" applyFont="1" applyFill="1" applyBorder="1" applyAlignment="1" applyProtection="1">
      <alignment horizontal="center" vertical="center"/>
    </xf>
    <xf numFmtId="0" fontId="6" fillId="6" borderId="94" xfId="0" applyFont="1" applyFill="1" applyBorder="1" applyAlignment="1" applyProtection="1">
      <alignment horizontal="center" vertical="center"/>
    </xf>
    <xf numFmtId="0" fontId="6" fillId="6" borderId="95" xfId="0" applyFont="1" applyFill="1" applyBorder="1" applyAlignment="1" applyProtection="1">
      <alignment horizontal="center" vertical="center"/>
    </xf>
    <xf numFmtId="0" fontId="133" fillId="0" borderId="0" xfId="0" applyFont="1" applyAlignment="1" applyProtection="1">
      <alignment vertical="center"/>
    </xf>
    <xf numFmtId="174" fontId="7" fillId="7" borderId="96" xfId="0" applyNumberFormat="1" applyFont="1" applyFill="1" applyBorder="1" applyAlignment="1" applyProtection="1">
      <alignment horizontal="center" vertical="center"/>
    </xf>
    <xf numFmtId="174" fontId="7" fillId="7" borderId="57" xfId="0" applyNumberFormat="1" applyFont="1" applyFill="1" applyBorder="1" applyAlignment="1" applyProtection="1">
      <alignment horizontal="center" vertical="center" wrapText="1"/>
      <protection hidden="1"/>
    </xf>
    <xf numFmtId="0" fontId="15" fillId="6" borderId="38" xfId="0" applyFont="1" applyFill="1" applyBorder="1" applyAlignment="1" applyProtection="1">
      <alignment horizontal="right" vertical="center" indent="1"/>
      <protection locked="0"/>
    </xf>
    <xf numFmtId="1" fontId="12" fillId="6" borderId="24" xfId="0" applyNumberFormat="1" applyFont="1" applyFill="1" applyBorder="1" applyAlignment="1" applyProtection="1">
      <alignment horizontal="center" vertical="center"/>
      <protection locked="0"/>
    </xf>
    <xf numFmtId="174" fontId="75" fillId="7" borderId="15" xfId="0" applyNumberFormat="1" applyFont="1" applyFill="1" applyBorder="1" applyAlignment="1" applyProtection="1">
      <alignment horizontal="center" vertical="center" wrapText="1"/>
    </xf>
    <xf numFmtId="174" fontId="7" fillId="7" borderId="97" xfId="0" quotePrefix="1" applyNumberFormat="1" applyFont="1" applyFill="1" applyBorder="1" applyAlignment="1" applyProtection="1">
      <alignment horizontal="center" vertical="center" wrapText="1"/>
    </xf>
    <xf numFmtId="1" fontId="7" fillId="7" borderId="98" xfId="0" applyNumberFormat="1" applyFont="1" applyFill="1" applyBorder="1" applyAlignment="1" applyProtection="1">
      <alignment horizontal="center" vertical="center" wrapText="1"/>
    </xf>
    <xf numFmtId="1" fontId="7" fillId="7" borderId="99" xfId="0" applyNumberFormat="1" applyFont="1" applyFill="1" applyBorder="1" applyAlignment="1" applyProtection="1">
      <alignment horizontal="center" vertical="center" wrapText="1"/>
    </xf>
    <xf numFmtId="0" fontId="0" fillId="0" borderId="0" xfId="0" applyFill="1"/>
    <xf numFmtId="0" fontId="21" fillId="0" borderId="0" xfId="2093" applyFont="1" applyFill="1" applyAlignment="1" applyProtection="1">
      <alignment vertical="center"/>
    </xf>
    <xf numFmtId="0" fontId="8" fillId="6" borderId="0" xfId="2093" applyFont="1" applyFill="1" applyBorder="1" applyAlignment="1" applyProtection="1">
      <alignment horizontal="left" vertical="center"/>
    </xf>
    <xf numFmtId="0" fontId="9" fillId="6" borderId="0" xfId="2093" applyFont="1" applyFill="1" applyBorder="1" applyAlignment="1" applyProtection="1">
      <alignment vertical="center"/>
    </xf>
    <xf numFmtId="0" fontId="10" fillId="6" borderId="0" xfId="2093" applyFont="1" applyFill="1" applyBorder="1" applyAlignment="1" applyProtection="1">
      <alignment vertical="center"/>
    </xf>
    <xf numFmtId="0" fontId="9" fillId="0" borderId="0" xfId="2093" applyFont="1" applyFill="1" applyBorder="1" applyAlignment="1" applyProtection="1">
      <alignment vertical="center"/>
    </xf>
    <xf numFmtId="0" fontId="10" fillId="0" borderId="0" xfId="2093" applyFont="1" applyFill="1" applyBorder="1" applyAlignment="1" applyProtection="1">
      <alignment vertical="center"/>
    </xf>
    <xf numFmtId="0" fontId="6" fillId="6" borderId="0" xfId="2093" applyFont="1" applyFill="1" applyBorder="1" applyAlignment="1" applyProtection="1">
      <alignment vertical="center"/>
    </xf>
    <xf numFmtId="0" fontId="5" fillId="0" borderId="0" xfId="2093" applyFont="1" applyAlignment="1" applyProtection="1">
      <alignment vertical="center"/>
    </xf>
    <xf numFmtId="0" fontId="5" fillId="6" borderId="0" xfId="2093" applyFont="1" applyFill="1" applyAlignment="1" applyProtection="1">
      <alignment vertical="center"/>
    </xf>
    <xf numFmtId="0" fontId="7" fillId="0" borderId="0" xfId="2093" applyFont="1" applyFill="1" applyBorder="1" applyAlignment="1" applyProtection="1">
      <alignment vertical="center"/>
    </xf>
    <xf numFmtId="0" fontId="6" fillId="0" borderId="0" xfId="2093" applyFont="1" applyFill="1" applyBorder="1" applyAlignment="1" applyProtection="1">
      <alignment horizontal="center" vertical="center"/>
    </xf>
    <xf numFmtId="0" fontId="6" fillId="6" borderId="0" xfId="2093" applyFont="1" applyFill="1" applyBorder="1" applyAlignment="1" applyProtection="1">
      <alignment horizontal="center" vertical="center"/>
    </xf>
    <xf numFmtId="0" fontId="21" fillId="0" borderId="0" xfId="2093" applyFont="1" applyFill="1" applyBorder="1" applyAlignment="1" applyProtection="1">
      <alignment vertical="center"/>
    </xf>
    <xf numFmtId="0" fontId="8" fillId="0" borderId="0" xfId="2093" applyFont="1" applyFill="1" applyBorder="1" applyAlignment="1" applyProtection="1">
      <alignment horizontal="left" vertical="center"/>
    </xf>
    <xf numFmtId="1" fontId="7" fillId="7" borderId="13" xfId="2093" applyNumberFormat="1" applyFont="1" applyFill="1" applyBorder="1" applyAlignment="1" applyProtection="1">
      <alignment horizontal="center" vertical="center" wrapText="1"/>
    </xf>
    <xf numFmtId="1" fontId="7" fillId="7" borderId="12" xfId="2093" applyNumberFormat="1" applyFont="1" applyFill="1" applyBorder="1" applyAlignment="1" applyProtection="1">
      <alignment horizontal="center" vertical="center" wrapText="1"/>
    </xf>
    <xf numFmtId="1" fontId="7" fillId="7" borderId="58" xfId="2093" applyNumberFormat="1" applyFont="1" applyFill="1" applyBorder="1" applyAlignment="1" applyProtection="1">
      <alignment horizontal="center" vertical="center" wrapText="1"/>
    </xf>
    <xf numFmtId="0" fontId="6" fillId="0" borderId="0" xfId="2093" applyFont="1" applyFill="1" applyBorder="1" applyAlignment="1" applyProtection="1">
      <alignment vertical="center"/>
    </xf>
    <xf numFmtId="0" fontId="8" fillId="0" borderId="0" xfId="2093" quotePrefix="1" applyFont="1" applyFill="1" applyBorder="1" applyAlignment="1" applyProtection="1">
      <alignment horizontal="left" vertical="center"/>
    </xf>
    <xf numFmtId="0" fontId="22" fillId="0" borderId="0" xfId="2093" applyFont="1" applyFill="1" applyBorder="1" applyAlignment="1" applyProtection="1">
      <alignment vertical="center"/>
    </xf>
    <xf numFmtId="2" fontId="5" fillId="0" borderId="0" xfId="2093" applyNumberFormat="1" applyFont="1" applyFill="1" applyBorder="1" applyAlignment="1" applyProtection="1">
      <alignment vertical="center"/>
    </xf>
    <xf numFmtId="0" fontId="5" fillId="0" borderId="0" xfId="2093" applyFont="1" applyFill="1" applyBorder="1" applyAlignment="1" applyProtection="1">
      <alignment vertical="center"/>
    </xf>
    <xf numFmtId="2" fontId="26" fillId="0" borderId="0" xfId="2093" applyNumberFormat="1" applyFont="1" applyFill="1" applyBorder="1" applyAlignment="1" applyProtection="1">
      <alignment vertical="center"/>
    </xf>
    <xf numFmtId="0" fontId="26" fillId="0" borderId="0" xfId="2093" applyFont="1" applyFill="1" applyBorder="1" applyAlignment="1" applyProtection="1">
      <alignment vertical="center"/>
    </xf>
    <xf numFmtId="0" fontId="63" fillId="0" borderId="0" xfId="2093" applyFont="1" applyAlignment="1" applyProtection="1">
      <alignment horizontal="center" wrapText="1"/>
    </xf>
    <xf numFmtId="174" fontId="7" fillId="0" borderId="0" xfId="2093" applyNumberFormat="1" applyFont="1" applyFill="1" applyBorder="1" applyAlignment="1" applyProtection="1">
      <alignment horizontal="center" vertical="center" wrapText="1"/>
    </xf>
    <xf numFmtId="174" fontId="7" fillId="0" borderId="0" xfId="2093" quotePrefix="1" applyNumberFormat="1" applyFont="1" applyFill="1" applyBorder="1" applyAlignment="1" applyProtection="1">
      <alignment horizontal="center" vertical="center" wrapText="1"/>
    </xf>
    <xf numFmtId="174" fontId="7" fillId="0" borderId="0" xfId="2093" applyNumberFormat="1" applyFont="1" applyFill="1" applyBorder="1" applyAlignment="1" applyProtection="1">
      <alignment horizontal="center" vertical="center"/>
    </xf>
    <xf numFmtId="0" fontId="63" fillId="0" borderId="0" xfId="2093" applyFont="1" applyFill="1" applyBorder="1" applyAlignment="1" applyProtection="1">
      <alignment horizontal="center" wrapText="1"/>
    </xf>
    <xf numFmtId="0" fontId="12" fillId="0" borderId="0" xfId="2093" applyFont="1" applyFill="1" applyBorder="1" applyAlignment="1" applyProtection="1">
      <alignment horizontal="left" vertical="center" indent="1"/>
    </xf>
    <xf numFmtId="0" fontId="81" fillId="0" borderId="0" xfId="2093" applyFont="1" applyBorder="1" applyProtection="1"/>
    <xf numFmtId="0" fontId="8" fillId="6" borderId="0" xfId="2093" quotePrefix="1" applyFont="1" applyFill="1" applyBorder="1" applyAlignment="1" applyProtection="1">
      <alignment horizontal="left" vertical="center"/>
    </xf>
    <xf numFmtId="0" fontId="81" fillId="0" borderId="0" xfId="2093" applyFont="1" applyProtection="1"/>
    <xf numFmtId="0" fontId="63" fillId="0" borderId="0" xfId="2093" applyFont="1" applyBorder="1" applyProtection="1"/>
    <xf numFmtId="0" fontId="5" fillId="6" borderId="0" xfId="2093" applyFont="1" applyFill="1" applyBorder="1" applyAlignment="1" applyProtection="1">
      <alignment vertical="center"/>
    </xf>
    <xf numFmtId="0" fontId="63" fillId="0" borderId="0" xfId="2093" applyFont="1" applyProtection="1"/>
    <xf numFmtId="0" fontId="6" fillId="6" borderId="0" xfId="2093" applyFont="1" applyFill="1" applyAlignment="1" applyProtection="1">
      <alignment vertical="center"/>
    </xf>
    <xf numFmtId="0" fontId="5" fillId="0" borderId="0" xfId="2093" applyFont="1" applyBorder="1" applyAlignment="1" applyProtection="1">
      <alignment vertical="center"/>
    </xf>
    <xf numFmtId="0" fontId="63" fillId="0" borderId="0" xfId="2093"/>
    <xf numFmtId="1" fontId="15" fillId="6" borderId="0" xfId="2093" applyNumberFormat="1" applyFont="1" applyFill="1" applyBorder="1" applyAlignment="1" applyProtection="1">
      <alignment horizontal="right" vertical="center" indent="1"/>
    </xf>
    <xf numFmtId="179" fontId="19" fillId="6" borderId="0" xfId="2093" applyNumberFormat="1" applyFont="1" applyFill="1" applyBorder="1" applyAlignment="1" applyProtection="1">
      <alignment horizontal="center" vertical="center"/>
    </xf>
    <xf numFmtId="49" fontId="12" fillId="6" borderId="0" xfId="2093" applyNumberFormat="1" applyFont="1" applyFill="1" applyBorder="1" applyAlignment="1" applyProtection="1">
      <alignment horizontal="left" vertical="center" indent="1"/>
    </xf>
    <xf numFmtId="1" fontId="12" fillId="6" borderId="0" xfId="2093" applyNumberFormat="1" applyFont="1" applyFill="1" applyBorder="1" applyAlignment="1" applyProtection="1">
      <alignment horizontal="center" vertical="center"/>
      <protection locked="0"/>
    </xf>
    <xf numFmtId="181" fontId="12" fillId="6" borderId="0" xfId="2093" applyNumberFormat="1" applyFont="1" applyFill="1" applyBorder="1" applyAlignment="1" applyProtection="1">
      <alignment horizontal="center" vertical="center"/>
      <protection locked="0"/>
    </xf>
    <xf numFmtId="16" fontId="12" fillId="6" borderId="0" xfId="2093" applyNumberFormat="1" applyFont="1" applyFill="1" applyBorder="1" applyAlignment="1" applyProtection="1">
      <alignment horizontal="left" vertical="center" indent="1"/>
      <protection locked="0"/>
    </xf>
    <xf numFmtId="1" fontId="11" fillId="6" borderId="0" xfId="2093" applyNumberFormat="1" applyFont="1" applyFill="1" applyBorder="1" applyAlignment="1" applyProtection="1">
      <alignment horizontal="right" vertical="center" indent="1"/>
      <protection locked="0"/>
    </xf>
    <xf numFmtId="1" fontId="12" fillId="0" borderId="0" xfId="2093" applyNumberFormat="1" applyFont="1" applyFill="1" applyBorder="1" applyAlignment="1" applyProtection="1">
      <alignment horizontal="center" vertical="center"/>
      <protection locked="0"/>
    </xf>
    <xf numFmtId="0" fontId="15" fillId="0" borderId="0" xfId="2093" applyFont="1" applyFill="1" applyBorder="1" applyAlignment="1" applyProtection="1">
      <alignment horizontal="right" vertical="center" indent="1"/>
    </xf>
    <xf numFmtId="197" fontId="19" fillId="6" borderId="0" xfId="2093" quotePrefix="1" applyNumberFormat="1" applyFont="1" applyFill="1" applyBorder="1" applyAlignment="1" applyProtection="1">
      <alignment horizontal="right" vertical="center" indent="2"/>
      <protection locked="0"/>
    </xf>
    <xf numFmtId="197" fontId="19" fillId="6" borderId="0" xfId="2093" applyNumberFormat="1" applyFont="1" applyFill="1" applyBorder="1" applyAlignment="1" applyProtection="1">
      <alignment horizontal="right" vertical="center" indent="1"/>
      <protection locked="0"/>
    </xf>
    <xf numFmtId="174" fontId="7" fillId="7" borderId="15" xfId="2093" applyNumberFormat="1" applyFont="1" applyFill="1" applyBorder="1" applyAlignment="1" applyProtection="1">
      <alignment horizontal="center" vertical="center" wrapText="1"/>
    </xf>
    <xf numFmtId="174" fontId="7" fillId="7" borderId="16" xfId="2093" applyNumberFormat="1" applyFont="1" applyFill="1" applyBorder="1" applyAlignment="1" applyProtection="1">
      <alignment horizontal="center" vertical="center" wrapText="1"/>
    </xf>
    <xf numFmtId="0" fontId="12" fillId="0" borderId="100" xfId="2093" quotePrefix="1" applyFont="1" applyFill="1" applyBorder="1" applyAlignment="1" applyProtection="1">
      <alignment horizontal="right" vertical="center" indent="1"/>
      <protection locked="0"/>
    </xf>
    <xf numFmtId="49" fontId="12" fillId="0" borderId="101" xfId="2093" applyNumberFormat="1" applyFont="1" applyFill="1" applyBorder="1" applyAlignment="1" applyProtection="1">
      <alignment horizontal="center" vertical="center"/>
    </xf>
    <xf numFmtId="0" fontId="12" fillId="0" borderId="102" xfId="2093" quotePrefix="1" applyFont="1" applyFill="1" applyBorder="1" applyAlignment="1" applyProtection="1">
      <alignment horizontal="right" vertical="center" indent="1"/>
      <protection locked="0"/>
    </xf>
    <xf numFmtId="49" fontId="12" fillId="0" borderId="103" xfId="2093" applyNumberFormat="1" applyFont="1" applyFill="1" applyBorder="1" applyAlignment="1" applyProtection="1">
      <alignment horizontal="center" vertical="center"/>
    </xf>
    <xf numFmtId="0" fontId="12" fillId="0" borderId="104" xfId="2093" quotePrefix="1" applyFont="1" applyFill="1" applyBorder="1" applyAlignment="1" applyProtection="1">
      <alignment horizontal="right" vertical="center" indent="1"/>
      <protection locked="0"/>
    </xf>
    <xf numFmtId="0" fontId="12" fillId="0" borderId="105" xfId="2093" quotePrefix="1" applyFont="1" applyFill="1" applyBorder="1" applyAlignment="1" applyProtection="1">
      <alignment horizontal="right" vertical="center" indent="1"/>
      <protection locked="0"/>
    </xf>
    <xf numFmtId="1" fontId="7" fillId="7" borderId="35" xfId="2093" applyNumberFormat="1" applyFont="1" applyFill="1" applyBorder="1" applyAlignment="1" applyProtection="1">
      <alignment horizontal="center" vertical="center" wrapText="1"/>
    </xf>
    <xf numFmtId="1" fontId="7" fillId="7" borderId="20" xfId="2093" applyNumberFormat="1" applyFont="1" applyFill="1" applyBorder="1" applyAlignment="1" applyProtection="1">
      <alignment horizontal="center" vertical="center" wrapText="1"/>
    </xf>
    <xf numFmtId="1" fontId="7" fillId="7" borderId="36" xfId="2093" applyNumberFormat="1" applyFont="1" applyFill="1" applyBorder="1" applyAlignment="1" applyProtection="1">
      <alignment horizontal="center" vertical="center" wrapText="1"/>
    </xf>
    <xf numFmtId="1" fontId="11" fillId="6" borderId="106" xfId="2093" applyNumberFormat="1" applyFont="1" applyFill="1" applyBorder="1" applyAlignment="1" applyProtection="1">
      <alignment horizontal="right" vertical="center" indent="1"/>
      <protection locked="0"/>
    </xf>
    <xf numFmtId="1" fontId="11" fillId="6" borderId="107" xfId="2093" applyNumberFormat="1" applyFont="1" applyFill="1" applyBorder="1" applyAlignment="1" applyProtection="1">
      <alignment horizontal="right" vertical="center" indent="1"/>
      <protection locked="0"/>
    </xf>
    <xf numFmtId="1" fontId="12" fillId="0" borderId="107" xfId="2093" applyNumberFormat="1" applyFont="1" applyFill="1" applyBorder="1" applyAlignment="1" applyProtection="1">
      <alignment horizontal="center" vertical="center"/>
      <protection locked="0"/>
    </xf>
    <xf numFmtId="1" fontId="12" fillId="0" borderId="65" xfId="2093" applyNumberFormat="1" applyFont="1" applyFill="1" applyBorder="1" applyAlignment="1" applyProtection="1">
      <alignment horizontal="center" vertical="center"/>
      <protection locked="0"/>
    </xf>
    <xf numFmtId="49" fontId="12" fillId="0" borderId="0" xfId="2093" applyNumberFormat="1" applyFont="1" applyFill="1" applyBorder="1" applyAlignment="1" applyProtection="1">
      <alignment horizontal="center" vertical="center"/>
    </xf>
    <xf numFmtId="0" fontId="12" fillId="0" borderId="0" xfId="2093" quotePrefix="1" applyFont="1" applyFill="1" applyBorder="1" applyAlignment="1" applyProtection="1">
      <alignment horizontal="right" vertical="center" indent="1"/>
      <protection locked="0"/>
    </xf>
    <xf numFmtId="181" fontId="12" fillId="0" borderId="108" xfId="2093" applyNumberFormat="1" applyFont="1" applyFill="1" applyBorder="1" applyAlignment="1" applyProtection="1">
      <alignment horizontal="right" vertical="center" indent="2"/>
      <protection locked="0"/>
    </xf>
    <xf numFmtId="181" fontId="19" fillId="0" borderId="108" xfId="2093" applyNumberFormat="1" applyFont="1" applyFill="1" applyBorder="1" applyAlignment="1" applyProtection="1">
      <alignment horizontal="right" vertical="center" indent="2"/>
    </xf>
    <xf numFmtId="0" fontId="27" fillId="0" borderId="109" xfId="2093" applyFont="1" applyFill="1" applyBorder="1" applyAlignment="1" applyProtection="1">
      <alignment horizontal="right" vertical="center" indent="1"/>
    </xf>
    <xf numFmtId="179" fontId="12" fillId="6" borderId="110" xfId="2093" applyNumberFormat="1" applyFont="1" applyFill="1" applyBorder="1" applyAlignment="1" applyProtection="1">
      <alignment horizontal="right" vertical="center" indent="1"/>
      <protection locked="0"/>
    </xf>
    <xf numFmtId="0" fontId="15" fillId="0" borderId="106" xfId="2093" applyFont="1" applyFill="1" applyBorder="1" applyAlignment="1" applyProtection="1">
      <alignment horizontal="right" vertical="center" indent="1"/>
    </xf>
    <xf numFmtId="197" fontId="19" fillId="6" borderId="107" xfId="2093" quotePrefix="1" applyNumberFormat="1" applyFont="1" applyFill="1" applyBorder="1" applyAlignment="1" applyProtection="1">
      <alignment horizontal="right" vertical="center" indent="2"/>
      <protection locked="0"/>
    </xf>
    <xf numFmtId="197" fontId="19" fillId="6" borderId="65" xfId="2093" applyNumberFormat="1" applyFont="1" applyFill="1" applyBorder="1" applyAlignment="1" applyProtection="1">
      <alignment horizontal="right" vertical="center" indent="1"/>
      <protection locked="0"/>
    </xf>
    <xf numFmtId="0" fontId="100" fillId="0" borderId="0" xfId="2092" applyFont="1"/>
    <xf numFmtId="0" fontId="63" fillId="0" borderId="0" xfId="2092"/>
    <xf numFmtId="0" fontId="100" fillId="0" borderId="0" xfId="2092" applyFont="1" applyBorder="1"/>
    <xf numFmtId="0" fontId="145" fillId="0" borderId="0" xfId="2092" applyFont="1" applyBorder="1"/>
    <xf numFmtId="0" fontId="146" fillId="0" borderId="0" xfId="2092" applyFont="1" applyBorder="1"/>
    <xf numFmtId="174" fontId="7" fillId="7" borderId="58" xfId="0" applyNumberFormat="1" applyFont="1" applyFill="1" applyBorder="1" applyAlignment="1" applyProtection="1">
      <alignment horizontal="center" vertical="center" wrapText="1"/>
    </xf>
    <xf numFmtId="0" fontId="16" fillId="6" borderId="0" xfId="0" applyFont="1" applyFill="1" applyBorder="1" applyAlignment="1" applyProtection="1">
      <alignment vertical="center"/>
    </xf>
    <xf numFmtId="174" fontId="12" fillId="6" borderId="25" xfId="0" applyNumberFormat="1" applyFont="1" applyFill="1" applyBorder="1" applyAlignment="1" applyProtection="1">
      <alignment horizontal="left" vertical="center" wrapText="1" indent="1"/>
      <protection locked="0"/>
    </xf>
    <xf numFmtId="0" fontId="147" fillId="9" borderId="111" xfId="0" applyFont="1" applyFill="1" applyBorder="1" applyAlignment="1">
      <alignment horizontal="center" vertical="center" wrapText="1"/>
    </xf>
    <xf numFmtId="174" fontId="7" fillId="7" borderId="12" xfId="0" applyNumberFormat="1" applyFont="1" applyFill="1" applyBorder="1" applyAlignment="1">
      <alignment horizontal="center" vertical="center" wrapText="1"/>
    </xf>
    <xf numFmtId="174" fontId="7" fillId="7" borderId="58" xfId="0" applyNumberFormat="1" applyFont="1" applyFill="1" applyBorder="1" applyAlignment="1">
      <alignment horizontal="center" vertical="center" wrapText="1"/>
    </xf>
    <xf numFmtId="0" fontId="5" fillId="6" borderId="112" xfId="0" applyFont="1" applyFill="1" applyBorder="1" applyAlignment="1" applyProtection="1">
      <alignment horizontal="center" vertical="center"/>
    </xf>
    <xf numFmtId="0" fontId="5" fillId="6" borderId="113" xfId="0" applyFont="1" applyFill="1" applyBorder="1" applyAlignment="1" applyProtection="1">
      <alignment horizontal="center" vertical="center"/>
    </xf>
    <xf numFmtId="3" fontId="19" fillId="6" borderId="1" xfId="0" applyNumberFormat="1" applyFont="1" applyFill="1" applyBorder="1" applyAlignment="1" applyProtection="1">
      <alignment horizontal="center" vertical="center"/>
      <protection locked="0"/>
    </xf>
    <xf numFmtId="3" fontId="19" fillId="6" borderId="25" xfId="0" applyNumberFormat="1" applyFont="1" applyFill="1" applyBorder="1" applyAlignment="1" applyProtection="1">
      <alignment horizontal="center" vertical="center"/>
      <protection locked="0"/>
    </xf>
    <xf numFmtId="3" fontId="19" fillId="6" borderId="114" xfId="0" applyNumberFormat="1" applyFont="1" applyFill="1" applyBorder="1" applyAlignment="1" applyProtection="1">
      <alignment horizontal="center" vertical="center"/>
      <protection locked="0"/>
    </xf>
    <xf numFmtId="3" fontId="19" fillId="6" borderId="115" xfId="0" applyNumberFormat="1" applyFont="1" applyFill="1" applyBorder="1" applyAlignment="1" applyProtection="1">
      <alignment horizontal="center" vertical="center"/>
      <protection locked="0"/>
    </xf>
    <xf numFmtId="0" fontId="147" fillId="9" borderId="111" xfId="0" applyFont="1" applyFill="1" applyBorder="1" applyAlignment="1" applyProtection="1">
      <alignment horizontal="center" vertical="center" wrapText="1"/>
    </xf>
    <xf numFmtId="3" fontId="19" fillId="6" borderId="1" xfId="0" applyNumberFormat="1" applyFont="1" applyFill="1" applyBorder="1" applyAlignment="1" applyProtection="1">
      <alignment horizontal="center" vertical="center"/>
    </xf>
    <xf numFmtId="3" fontId="19" fillId="6" borderId="25" xfId="0" applyNumberFormat="1" applyFont="1" applyFill="1" applyBorder="1" applyAlignment="1" applyProtection="1">
      <alignment horizontal="center" vertical="center"/>
    </xf>
    <xf numFmtId="0" fontId="27" fillId="6" borderId="116" xfId="0" quotePrefix="1" applyFont="1" applyFill="1" applyBorder="1" applyAlignment="1" applyProtection="1">
      <alignment horizontal="center" vertical="center"/>
    </xf>
    <xf numFmtId="3" fontId="27" fillId="6" borderId="46" xfId="0" applyNumberFormat="1" applyFont="1" applyFill="1" applyBorder="1" applyAlignment="1" applyProtection="1">
      <alignment horizontal="center" vertical="center"/>
    </xf>
    <xf numFmtId="0" fontId="1" fillId="0" borderId="0" xfId="2093" applyFont="1"/>
    <xf numFmtId="179" fontId="25" fillId="6" borderId="0" xfId="0" quotePrefix="1" applyNumberFormat="1" applyFont="1" applyFill="1" applyBorder="1" applyAlignment="1" applyProtection="1">
      <alignment horizontal="right" vertical="center" indent="1"/>
      <protection locked="0"/>
    </xf>
    <xf numFmtId="179" fontId="141" fillId="6" borderId="0" xfId="0" applyNumberFormat="1" applyFont="1" applyFill="1" applyBorder="1" applyAlignment="1" applyProtection="1">
      <alignment horizontal="left" vertical="center" indent="1"/>
      <protection locked="0"/>
    </xf>
    <xf numFmtId="179" fontId="144" fillId="6" borderId="0" xfId="0" applyNumberFormat="1" applyFont="1" applyFill="1" applyBorder="1" applyAlignment="1" applyProtection="1">
      <alignment horizontal="center" vertical="center"/>
      <protection locked="0"/>
    </xf>
    <xf numFmtId="181" fontId="131" fillId="6" borderId="0" xfId="0" applyNumberFormat="1" applyFont="1" applyFill="1" applyBorder="1" applyAlignment="1" applyProtection="1">
      <alignment horizontal="center" vertical="center"/>
      <protection locked="0"/>
    </xf>
    <xf numFmtId="0" fontId="8" fillId="6" borderId="0" xfId="0" quotePrefix="1" applyFont="1" applyFill="1" applyBorder="1" applyAlignment="1" applyProtection="1">
      <alignment horizontal="center" vertical="center"/>
    </xf>
    <xf numFmtId="0" fontId="15" fillId="0" borderId="0" xfId="0" applyFont="1" applyFill="1" applyBorder="1" applyAlignment="1" applyProtection="1">
      <alignment horizontal="center" vertical="center"/>
      <protection locked="0"/>
    </xf>
    <xf numFmtId="0" fontId="5" fillId="0" borderId="0" xfId="0" applyFont="1" applyFill="1" applyBorder="1" applyAlignment="1">
      <alignment horizontal="center"/>
    </xf>
    <xf numFmtId="178" fontId="36" fillId="6" borderId="21" xfId="0" applyNumberFormat="1" applyFont="1" applyFill="1" applyBorder="1" applyAlignment="1" applyProtection="1">
      <alignment horizontal="center" vertical="center"/>
    </xf>
    <xf numFmtId="2" fontId="12" fillId="0" borderId="25" xfId="0" applyNumberFormat="1" applyFont="1" applyFill="1" applyBorder="1" applyAlignment="1" applyProtection="1">
      <alignment horizontal="left" vertical="center" wrapText="1" indent="1"/>
      <protection locked="0"/>
    </xf>
    <xf numFmtId="179" fontId="122" fillId="6" borderId="61" xfId="0" applyNumberFormat="1" applyFont="1" applyFill="1" applyBorder="1" applyAlignment="1" applyProtection="1">
      <alignment horizontal="center" vertical="center"/>
    </xf>
    <xf numFmtId="179" fontId="125" fillId="8" borderId="117" xfId="0" applyNumberFormat="1" applyFont="1" applyFill="1" applyBorder="1" applyAlignment="1" applyProtection="1">
      <alignment horizontal="center" vertical="center"/>
    </xf>
    <xf numFmtId="0" fontId="126" fillId="6" borderId="0" xfId="0" applyFont="1" applyFill="1" applyBorder="1" applyAlignment="1" applyProtection="1">
      <alignment vertical="center"/>
    </xf>
    <xf numFmtId="181" fontId="122" fillId="6" borderId="1" xfId="0" applyNumberFormat="1" applyFont="1" applyFill="1" applyBorder="1" applyAlignment="1" applyProtection="1">
      <alignment horizontal="center" vertical="center"/>
    </xf>
    <xf numFmtId="181" fontId="122" fillId="6" borderId="61" xfId="0" applyNumberFormat="1" applyFont="1" applyFill="1" applyBorder="1" applyAlignment="1" applyProtection="1">
      <alignment horizontal="center" vertical="center"/>
    </xf>
    <xf numFmtId="0" fontId="122" fillId="6" borderId="1" xfId="0" applyNumberFormat="1" applyFont="1" applyFill="1" applyBorder="1" applyAlignment="1" applyProtection="1">
      <alignment horizontal="center" vertical="center"/>
    </xf>
    <xf numFmtId="0" fontId="122" fillId="6" borderId="61" xfId="0" applyNumberFormat="1" applyFont="1" applyFill="1" applyBorder="1" applyAlignment="1" applyProtection="1">
      <alignment horizontal="center" vertical="center"/>
    </xf>
    <xf numFmtId="0" fontId="122" fillId="6" borderId="54" xfId="0" applyNumberFormat="1" applyFont="1" applyFill="1" applyBorder="1" applyAlignment="1" applyProtection="1">
      <alignment horizontal="center" vertical="center"/>
    </xf>
    <xf numFmtId="0" fontId="122" fillId="6" borderId="118" xfId="0" applyNumberFormat="1" applyFont="1" applyFill="1" applyBorder="1" applyAlignment="1" applyProtection="1">
      <alignment horizontal="center" vertical="center"/>
    </xf>
    <xf numFmtId="0" fontId="6" fillId="6" borderId="32" xfId="0" quotePrefix="1" applyFont="1" applyFill="1" applyBorder="1" applyAlignment="1" applyProtection="1">
      <alignment horizontal="center" vertical="center"/>
    </xf>
    <xf numFmtId="0" fontId="6" fillId="6" borderId="32" xfId="0" applyFont="1" applyFill="1" applyBorder="1" applyAlignment="1" applyProtection="1">
      <alignment horizontal="center" vertical="center"/>
    </xf>
    <xf numFmtId="1" fontId="125" fillId="0" borderId="0" xfId="0" applyNumberFormat="1" applyFont="1" applyFill="1" applyBorder="1" applyAlignment="1" applyProtection="1">
      <alignment horizontal="center" vertical="center"/>
    </xf>
    <xf numFmtId="0" fontId="21" fillId="0" borderId="0" xfId="2094" applyFont="1" applyFill="1" applyAlignment="1" applyProtection="1">
      <alignment vertical="center"/>
    </xf>
    <xf numFmtId="0" fontId="8" fillId="6" borderId="0" xfId="2094" applyFont="1" applyFill="1" applyBorder="1" applyAlignment="1" applyProtection="1">
      <alignment horizontal="left" vertical="center"/>
    </xf>
    <xf numFmtId="0" fontId="9" fillId="6" borderId="0" xfId="2094" applyFont="1" applyFill="1" applyBorder="1" applyAlignment="1" applyProtection="1">
      <alignment vertical="center"/>
    </xf>
    <xf numFmtId="0" fontId="10" fillId="6" borderId="0" xfId="2094" applyFont="1" applyFill="1" applyBorder="1" applyAlignment="1" applyProtection="1">
      <alignment vertical="center"/>
    </xf>
    <xf numFmtId="0" fontId="9" fillId="0" borderId="0" xfId="2094" applyFont="1" applyFill="1" applyBorder="1" applyAlignment="1" applyProtection="1">
      <alignment vertical="center"/>
    </xf>
    <xf numFmtId="0" fontId="10" fillId="0" borderId="0" xfId="2094" applyFont="1" applyFill="1" applyBorder="1" applyAlignment="1" applyProtection="1">
      <alignment vertical="center"/>
    </xf>
    <xf numFmtId="0" fontId="7" fillId="0" borderId="0" xfId="2094" applyFont="1" applyFill="1" applyBorder="1" applyAlignment="1" applyProtection="1">
      <alignment vertical="center"/>
    </xf>
    <xf numFmtId="0" fontId="6" fillId="0" borderId="0" xfId="2094" applyFont="1" applyFill="1" applyBorder="1" applyAlignment="1" applyProtection="1">
      <alignment horizontal="center" vertical="center"/>
    </xf>
    <xf numFmtId="0" fontId="22" fillId="0" borderId="0" xfId="2094" applyFont="1" applyFill="1" applyBorder="1" applyAlignment="1" applyProtection="1">
      <alignment vertical="center"/>
    </xf>
    <xf numFmtId="0" fontId="6" fillId="0" borderId="0" xfId="2094" applyFont="1" applyFill="1" applyBorder="1" applyAlignment="1" applyProtection="1">
      <alignment vertical="center"/>
    </xf>
    <xf numFmtId="0" fontId="0" fillId="0" borderId="32" xfId="0" applyBorder="1" applyAlignment="1" applyProtection="1">
      <alignment horizontal="center" vertical="center"/>
      <protection locked="0"/>
    </xf>
    <xf numFmtId="174" fontId="7" fillId="7" borderId="13" xfId="0" quotePrefix="1" applyNumberFormat="1" applyFont="1" applyFill="1" applyBorder="1" applyAlignment="1" applyProtection="1">
      <alignment horizontal="center" vertical="center" wrapText="1"/>
    </xf>
    <xf numFmtId="174" fontId="7" fillId="7" borderId="58" xfId="0" quotePrefix="1" applyNumberFormat="1" applyFont="1" applyFill="1" applyBorder="1" applyAlignment="1" applyProtection="1">
      <alignment horizontal="center" vertical="center" wrapText="1"/>
    </xf>
    <xf numFmtId="0" fontId="11" fillId="6" borderId="119" xfId="0" applyFont="1" applyFill="1" applyBorder="1" applyAlignment="1" applyProtection="1">
      <alignment horizontal="right" vertical="center" indent="1"/>
      <protection locked="0"/>
    </xf>
    <xf numFmtId="1" fontId="12" fillId="6" borderId="49" xfId="0" applyNumberFormat="1" applyFont="1" applyFill="1" applyBorder="1" applyAlignment="1" applyProtection="1">
      <alignment horizontal="center" vertical="center"/>
      <protection locked="0"/>
    </xf>
    <xf numFmtId="20" fontId="12" fillId="6" borderId="28" xfId="0" applyNumberFormat="1" applyFont="1" applyFill="1" applyBorder="1" applyAlignment="1" applyProtection="1">
      <alignment horizontal="right" vertical="center" indent="1"/>
      <protection locked="0"/>
    </xf>
    <xf numFmtId="174" fontId="12" fillId="6" borderId="28" xfId="0" applyNumberFormat="1" applyFont="1" applyFill="1" applyBorder="1" applyAlignment="1" applyProtection="1">
      <alignment horizontal="right" vertical="center" indent="1"/>
      <protection locked="0"/>
    </xf>
    <xf numFmtId="175" fontId="12" fillId="6" borderId="28" xfId="0" applyNumberFormat="1" applyFont="1" applyFill="1" applyBorder="1" applyAlignment="1" applyProtection="1">
      <alignment horizontal="right" vertical="center" indent="1"/>
      <protection locked="0"/>
    </xf>
    <xf numFmtId="0" fontId="12" fillId="6" borderId="28" xfId="0" applyFont="1" applyFill="1" applyBorder="1" applyAlignment="1" applyProtection="1">
      <alignment horizontal="center" vertical="center"/>
      <protection locked="0"/>
    </xf>
    <xf numFmtId="0" fontId="12" fillId="6" borderId="28" xfId="0" applyFont="1" applyFill="1" applyBorder="1" applyAlignment="1" applyProtection="1">
      <alignment horizontal="right" vertical="center" indent="1"/>
      <protection locked="0"/>
    </xf>
    <xf numFmtId="0" fontId="12" fillId="6" borderId="50" xfId="0" applyFont="1" applyFill="1" applyBorder="1" applyAlignment="1" applyProtection="1">
      <alignment horizontal="left" vertical="center" indent="1"/>
      <protection locked="0"/>
    </xf>
    <xf numFmtId="0" fontId="10" fillId="0" borderId="0" xfId="0" applyFont="1" applyProtection="1"/>
    <xf numFmtId="0" fontId="6" fillId="0" borderId="0" xfId="0" applyFont="1" applyProtection="1"/>
    <xf numFmtId="207" fontId="34" fillId="7" borderId="32" xfId="0" applyNumberFormat="1" applyFont="1" applyFill="1" applyBorder="1" applyAlignment="1" applyProtection="1">
      <alignment horizontal="center" vertical="center" wrapText="1"/>
    </xf>
    <xf numFmtId="174" fontId="34" fillId="7" borderId="32" xfId="0" applyNumberFormat="1" applyFont="1" applyFill="1" applyBorder="1" applyAlignment="1" applyProtection="1">
      <alignment horizontal="center" vertical="center" wrapText="1"/>
    </xf>
    <xf numFmtId="0" fontId="8" fillId="6" borderId="0" xfId="0" applyFont="1" applyFill="1" applyBorder="1" applyAlignment="1" applyProtection="1">
      <alignment horizontal="center" vertical="center"/>
    </xf>
    <xf numFmtId="207" fontId="9" fillId="6" borderId="0" xfId="0" applyNumberFormat="1" applyFont="1" applyFill="1" applyBorder="1" applyAlignment="1" applyProtection="1">
      <alignment horizontal="center" vertical="center"/>
    </xf>
    <xf numFmtId="186" fontId="8" fillId="6" borderId="0" xfId="0" applyNumberFormat="1" applyFont="1" applyFill="1" applyBorder="1" applyAlignment="1" applyProtection="1">
      <alignment horizontal="center" vertical="center"/>
    </xf>
    <xf numFmtId="1" fontId="11" fillId="6" borderId="11" xfId="0" applyNumberFormat="1" applyFont="1" applyFill="1" applyBorder="1" applyAlignment="1" applyProtection="1">
      <alignment horizontal="center" vertical="center"/>
      <protection locked="0"/>
    </xf>
    <xf numFmtId="0" fontId="11" fillId="6" borderId="1" xfId="0" applyFont="1" applyFill="1" applyBorder="1" applyAlignment="1" applyProtection="1">
      <alignment horizontal="center" vertical="center"/>
      <protection locked="0"/>
    </xf>
    <xf numFmtId="1" fontId="11" fillId="6" borderId="1" xfId="2094" applyNumberFormat="1" applyFont="1" applyFill="1" applyBorder="1" applyAlignment="1" applyProtection="1">
      <alignment horizontal="center" vertical="center"/>
      <protection locked="0"/>
    </xf>
    <xf numFmtId="0" fontId="12" fillId="6" borderId="38" xfId="2094" applyFont="1" applyFill="1" applyBorder="1" applyAlignment="1" applyProtection="1">
      <alignment horizontal="center" vertical="center"/>
      <protection locked="0"/>
    </xf>
    <xf numFmtId="208" fontId="19" fillId="6" borderId="1" xfId="2094" quotePrefix="1" applyNumberFormat="1" applyFont="1" applyFill="1" applyBorder="1" applyAlignment="1" applyProtection="1">
      <alignment horizontal="center" vertical="center" wrapText="1"/>
    </xf>
    <xf numFmtId="1" fontId="132" fillId="6" borderId="61" xfId="0" applyNumberFormat="1" applyFont="1" applyFill="1" applyBorder="1" applyAlignment="1" applyProtection="1">
      <alignment horizontal="center" vertical="center"/>
      <protection locked="0"/>
    </xf>
    <xf numFmtId="1" fontId="19" fillId="6" borderId="1" xfId="2094" quotePrefix="1" applyNumberFormat="1" applyFont="1" applyFill="1" applyBorder="1" applyAlignment="1" applyProtection="1">
      <alignment horizontal="center" vertical="center" wrapText="1"/>
    </xf>
    <xf numFmtId="0" fontId="28" fillId="0" borderId="0" xfId="0" applyFont="1" applyAlignment="1" applyProtection="1">
      <alignment horizontal="center" vertical="center"/>
    </xf>
    <xf numFmtId="207" fontId="28" fillId="0" borderId="0" xfId="0" applyNumberFormat="1" applyFont="1" applyAlignment="1" applyProtection="1">
      <alignment horizontal="center" vertical="center"/>
    </xf>
    <xf numFmtId="207" fontId="0" fillId="0" borderId="0" xfId="0" applyNumberFormat="1" applyAlignment="1">
      <alignment horizontal="center"/>
    </xf>
    <xf numFmtId="0" fontId="36" fillId="0" borderId="22" xfId="0" applyFont="1" applyFill="1" applyBorder="1" applyAlignment="1" applyProtection="1">
      <alignment horizontal="center" vertical="center"/>
    </xf>
    <xf numFmtId="1" fontId="12" fillId="6" borderId="45" xfId="0" applyNumberFormat="1" applyFont="1" applyFill="1" applyBorder="1" applyAlignment="1" applyProtection="1">
      <alignment horizontal="center" vertical="center"/>
      <protection locked="0"/>
    </xf>
    <xf numFmtId="20" fontId="12" fillId="6" borderId="54" xfId="0" applyNumberFormat="1" applyFont="1" applyFill="1" applyBorder="1" applyAlignment="1" applyProtection="1">
      <alignment horizontal="right" vertical="center" indent="1"/>
      <protection locked="0"/>
    </xf>
    <xf numFmtId="174" fontId="12" fillId="6" borderId="54" xfId="0" applyNumberFormat="1" applyFont="1" applyFill="1" applyBorder="1" applyAlignment="1" applyProtection="1">
      <alignment horizontal="right" vertical="center" indent="1"/>
      <protection locked="0"/>
    </xf>
    <xf numFmtId="175" fontId="12" fillId="6" borderId="54" xfId="0" applyNumberFormat="1" applyFont="1" applyFill="1" applyBorder="1" applyAlignment="1" applyProtection="1">
      <alignment horizontal="right" vertical="center" indent="1"/>
      <protection locked="0"/>
    </xf>
    <xf numFmtId="0" fontId="12" fillId="6" borderId="54" xfId="0" applyFont="1" applyFill="1" applyBorder="1" applyAlignment="1" applyProtection="1">
      <alignment horizontal="center" vertical="center"/>
      <protection locked="0"/>
    </xf>
    <xf numFmtId="0" fontId="12" fillId="6" borderId="54" xfId="0" applyFont="1" applyFill="1" applyBorder="1" applyAlignment="1" applyProtection="1">
      <alignment horizontal="right" vertical="center" indent="1"/>
      <protection locked="0"/>
    </xf>
    <xf numFmtId="0" fontId="12" fillId="6" borderId="46" xfId="0" applyFont="1" applyFill="1" applyBorder="1" applyAlignment="1" applyProtection="1">
      <alignment horizontal="left" vertical="center" indent="1"/>
      <protection locked="0"/>
    </xf>
    <xf numFmtId="0" fontId="127" fillId="6" borderId="113" xfId="0" applyFont="1" applyFill="1" applyBorder="1" applyAlignment="1" applyProtection="1">
      <alignment horizontal="right" vertical="center" indent="1"/>
      <protection locked="0"/>
    </xf>
    <xf numFmtId="174" fontId="12" fillId="6" borderId="28" xfId="0" applyNumberFormat="1" applyFont="1" applyFill="1" applyBorder="1" applyAlignment="1" applyProtection="1">
      <alignment horizontal="center" vertical="center"/>
      <protection locked="0"/>
    </xf>
    <xf numFmtId="209" fontId="12" fillId="6" borderId="1" xfId="0" applyNumberFormat="1" applyFont="1" applyFill="1" applyBorder="1" applyAlignment="1" applyProtection="1">
      <alignment horizontal="center" vertical="center"/>
      <protection locked="0"/>
    </xf>
    <xf numFmtId="0" fontId="27" fillId="6" borderId="112" xfId="0" applyFont="1" applyFill="1" applyBorder="1" applyAlignment="1" applyProtection="1">
      <alignment horizontal="center" vertical="center"/>
    </xf>
    <xf numFmtId="3" fontId="30" fillId="6" borderId="1" xfId="0" applyNumberFormat="1" applyFont="1" applyFill="1" applyBorder="1" applyAlignment="1" applyProtection="1">
      <alignment horizontal="center" vertical="center"/>
    </xf>
    <xf numFmtId="3" fontId="30" fillId="6" borderId="25" xfId="0" applyNumberFormat="1" applyFont="1" applyFill="1" applyBorder="1" applyAlignment="1" applyProtection="1">
      <alignment horizontal="center" vertical="center"/>
    </xf>
    <xf numFmtId="0" fontId="27" fillId="0" borderId="11" xfId="0" applyFont="1" applyFill="1" applyBorder="1" applyAlignment="1" applyProtection="1">
      <alignment horizontal="center" vertical="center"/>
    </xf>
    <xf numFmtId="3" fontId="124" fillId="0" borderId="1" xfId="0" applyNumberFormat="1" applyFont="1" applyFill="1" applyBorder="1" applyAlignment="1" applyProtection="1">
      <alignment horizontal="center" vertical="center"/>
    </xf>
    <xf numFmtId="0" fontId="27" fillId="0" borderId="43" xfId="0" quotePrefix="1" applyFont="1" applyFill="1" applyBorder="1" applyAlignment="1" applyProtection="1">
      <alignment horizontal="center" vertical="center"/>
    </xf>
    <xf numFmtId="179" fontId="142" fillId="0" borderId="1" xfId="0" applyNumberFormat="1" applyFont="1" applyFill="1" applyBorder="1" applyAlignment="1" applyProtection="1">
      <alignment horizontal="right" vertical="center" indent="1"/>
      <protection locked="0"/>
    </xf>
    <xf numFmtId="187" fontId="123" fillId="0" borderId="0" xfId="0" applyNumberFormat="1" applyFont="1" applyFill="1" applyBorder="1" applyAlignment="1" applyProtection="1">
      <alignment vertical="center"/>
      <protection hidden="1"/>
    </xf>
    <xf numFmtId="3" fontId="19" fillId="6" borderId="54" xfId="0" applyNumberFormat="1" applyFont="1" applyFill="1" applyBorder="1" applyAlignment="1" applyProtection="1">
      <alignment horizontal="center" vertical="center"/>
    </xf>
    <xf numFmtId="3" fontId="19" fillId="6" borderId="46" xfId="0" applyNumberFormat="1" applyFont="1" applyFill="1" applyBorder="1" applyAlignment="1" applyProtection="1">
      <alignment horizontal="center" vertical="center"/>
    </xf>
    <xf numFmtId="0" fontId="0" fillId="0" borderId="0" xfId="0" applyProtection="1">
      <protection locked="0"/>
    </xf>
    <xf numFmtId="1" fontId="122" fillId="6" borderId="66" xfId="0" applyNumberFormat="1" applyFont="1" applyFill="1" applyBorder="1" applyAlignment="1" applyProtection="1">
      <alignment horizontal="center" vertical="center"/>
      <protection locked="0"/>
    </xf>
    <xf numFmtId="0" fontId="6" fillId="12" borderId="32" xfId="0" applyFont="1" applyFill="1" applyBorder="1" applyAlignment="1" applyProtection="1">
      <alignment horizontal="center" vertical="center"/>
    </xf>
    <xf numFmtId="188" fontId="122" fillId="6" borderId="66" xfId="0" applyNumberFormat="1" applyFont="1" applyFill="1" applyBorder="1" applyAlignment="1" applyProtection="1">
      <alignment horizontal="center" vertical="center"/>
      <protection locked="0"/>
    </xf>
    <xf numFmtId="0" fontId="6" fillId="6" borderId="120" xfId="0" quotePrefix="1" applyFont="1" applyFill="1" applyBorder="1" applyAlignment="1" applyProtection="1">
      <alignment horizontal="center" vertical="center"/>
    </xf>
    <xf numFmtId="0" fontId="6" fillId="6" borderId="120" xfId="0" applyFont="1" applyFill="1" applyBorder="1" applyAlignment="1" applyProtection="1">
      <alignment horizontal="center" vertical="center"/>
    </xf>
    <xf numFmtId="1" fontId="124" fillId="6" borderId="66" xfId="0" applyNumberFormat="1" applyFont="1" applyFill="1" applyBorder="1" applyAlignment="1" applyProtection="1">
      <alignment horizontal="center" vertical="center"/>
      <protection locked="0"/>
    </xf>
    <xf numFmtId="0" fontId="11" fillId="6" borderId="119" xfId="0" applyFont="1" applyFill="1" applyBorder="1" applyAlignment="1" applyProtection="1">
      <alignment horizontal="center" vertical="center"/>
      <protection locked="0"/>
    </xf>
    <xf numFmtId="0" fontId="6" fillId="6" borderId="32" xfId="0" applyFont="1" applyFill="1" applyBorder="1" applyAlignment="1" applyProtection="1">
      <alignment horizontal="center" vertical="center" wrapText="1"/>
    </xf>
    <xf numFmtId="180" fontId="71" fillId="10" borderId="0" xfId="0" applyNumberFormat="1" applyFont="1" applyFill="1" applyBorder="1" applyAlignment="1" applyProtection="1">
      <alignment horizontal="right" vertical="center" indent="1"/>
    </xf>
    <xf numFmtId="196" fontId="142" fillId="0" borderId="0" xfId="0" applyNumberFormat="1" applyFont="1" applyFill="1" applyBorder="1" applyAlignment="1" applyProtection="1">
      <alignment horizontal="right" vertical="center" indent="1"/>
      <protection locked="0"/>
    </xf>
    <xf numFmtId="196" fontId="135" fillId="0" borderId="0" xfId="0" applyNumberFormat="1" applyFont="1" applyFill="1" applyBorder="1" applyAlignment="1" applyProtection="1">
      <alignment horizontal="right" vertical="center" indent="1"/>
      <protection locked="0"/>
    </xf>
    <xf numFmtId="0" fontId="148" fillId="6" borderId="0" xfId="0" applyFont="1" applyFill="1" applyBorder="1" applyAlignment="1" applyProtection="1">
      <alignment horizontal="center" vertical="center"/>
    </xf>
    <xf numFmtId="0" fontId="128" fillId="6" borderId="0" xfId="0" applyFont="1" applyFill="1" applyBorder="1" applyAlignment="1" applyProtection="1">
      <alignment horizontal="center" vertical="center"/>
    </xf>
    <xf numFmtId="179" fontId="128" fillId="6" borderId="0" xfId="0" applyNumberFormat="1" applyFont="1" applyFill="1" applyBorder="1" applyAlignment="1" applyProtection="1">
      <alignment horizontal="center" vertical="center"/>
    </xf>
    <xf numFmtId="1" fontId="128" fillId="6" borderId="0" xfId="0" applyNumberFormat="1" applyFont="1" applyFill="1" applyBorder="1" applyAlignment="1" applyProtection="1">
      <alignment horizontal="center" vertical="center"/>
    </xf>
    <xf numFmtId="0" fontId="47" fillId="6" borderId="121" xfId="0" applyFont="1" applyFill="1" applyBorder="1" applyAlignment="1" applyProtection="1">
      <alignment horizontal="center" vertical="center" wrapText="1"/>
      <protection locked="0"/>
    </xf>
    <xf numFmtId="0" fontId="47" fillId="6" borderId="0" xfId="0" applyFont="1" applyFill="1" applyBorder="1" applyAlignment="1" applyProtection="1">
      <alignment horizontal="center" vertical="center" wrapText="1"/>
      <protection locked="0"/>
    </xf>
    <xf numFmtId="0" fontId="2" fillId="0" borderId="0" xfId="0" applyFont="1" applyAlignment="1">
      <alignment horizontal="center" vertical="center"/>
    </xf>
    <xf numFmtId="180" fontId="23" fillId="12" borderId="0" xfId="0" applyNumberFormat="1" applyFont="1" applyFill="1" applyBorder="1" applyAlignment="1" applyProtection="1">
      <alignment horizontal="right" vertical="center" indent="1"/>
      <protection locked="0"/>
    </xf>
    <xf numFmtId="180" fontId="36" fillId="10" borderId="0" xfId="0" applyNumberFormat="1" applyFont="1" applyFill="1" applyBorder="1" applyAlignment="1" applyProtection="1">
      <alignment horizontal="center" vertical="center"/>
      <protection locked="0"/>
    </xf>
    <xf numFmtId="181" fontId="135" fillId="0" borderId="0" xfId="0" applyNumberFormat="1" applyFont="1" applyFill="1" applyBorder="1" applyAlignment="1" applyProtection="1">
      <alignment horizontal="right" vertical="center" indent="1"/>
    </xf>
    <xf numFmtId="0" fontId="69" fillId="0" borderId="0" xfId="0" applyFont="1" applyAlignment="1">
      <alignment horizontal="center" vertical="center"/>
    </xf>
    <xf numFmtId="0" fontId="2" fillId="6" borderId="41" xfId="0" applyFont="1" applyFill="1" applyBorder="1" applyAlignment="1">
      <alignment horizontal="center" vertical="center"/>
    </xf>
    <xf numFmtId="1" fontId="149" fillId="6" borderId="41" xfId="0" applyNumberFormat="1" applyFont="1" applyFill="1" applyBorder="1" applyAlignment="1" applyProtection="1">
      <alignment horizontal="center" vertical="center"/>
      <protection locked="0"/>
    </xf>
    <xf numFmtId="179" fontId="149" fillId="6" borderId="41" xfId="0" applyNumberFormat="1" applyFont="1" applyFill="1" applyBorder="1" applyAlignment="1" applyProtection="1">
      <alignment horizontal="center" vertical="center"/>
      <protection locked="0"/>
    </xf>
    <xf numFmtId="1" fontId="65" fillId="6" borderId="25" xfId="0" applyNumberFormat="1" applyFont="1" applyFill="1" applyBorder="1" applyAlignment="1" applyProtection="1">
      <alignment horizontal="right" vertical="center" indent="1"/>
    </xf>
    <xf numFmtId="3" fontId="123" fillId="0" borderId="54" xfId="0" quotePrefix="1" applyNumberFormat="1" applyFont="1" applyFill="1" applyBorder="1" applyAlignment="1" applyProtection="1">
      <alignment horizontal="center" vertical="center"/>
    </xf>
    <xf numFmtId="180" fontId="15" fillId="6" borderId="32" xfId="0" applyNumberFormat="1" applyFont="1" applyFill="1" applyBorder="1" applyAlignment="1" applyProtection="1">
      <alignment horizontal="center" vertical="center" wrapText="1"/>
    </xf>
    <xf numFmtId="180" fontId="25" fillId="6" borderId="32" xfId="0" applyNumberFormat="1" applyFont="1" applyFill="1" applyBorder="1" applyAlignment="1" applyProtection="1">
      <alignment horizontal="center" vertical="center" wrapText="1"/>
    </xf>
    <xf numFmtId="0" fontId="129" fillId="6" borderId="0" xfId="0" applyFont="1" applyFill="1" applyBorder="1" applyAlignment="1" applyProtection="1">
      <alignment vertical="center"/>
    </xf>
    <xf numFmtId="0" fontId="22" fillId="14" borderId="32" xfId="0" applyFont="1" applyFill="1" applyBorder="1" applyAlignment="1" applyProtection="1">
      <alignment horizontal="center" vertical="center" wrapText="1"/>
    </xf>
    <xf numFmtId="174" fontId="7" fillId="7" borderId="52" xfId="0" applyNumberFormat="1" applyFont="1" applyFill="1" applyBorder="1" applyAlignment="1" applyProtection="1">
      <alignment horizontal="center" vertical="center" wrapText="1"/>
    </xf>
    <xf numFmtId="1" fontId="68" fillId="6" borderId="1" xfId="0" quotePrefix="1" applyNumberFormat="1" applyFont="1" applyFill="1" applyBorder="1" applyAlignment="1" applyProtection="1">
      <alignment horizontal="right" vertical="center" wrapText="1" indent="1"/>
    </xf>
    <xf numFmtId="1" fontId="150" fillId="6" borderId="1" xfId="0" applyNumberFormat="1" applyFont="1" applyFill="1" applyBorder="1" applyAlignment="1" applyProtection="1">
      <alignment horizontal="center" vertical="center"/>
      <protection locked="0"/>
    </xf>
    <xf numFmtId="174" fontId="4" fillId="7" borderId="52" xfId="0" applyNumberFormat="1" applyFont="1" applyFill="1" applyBorder="1" applyAlignment="1" applyProtection="1">
      <alignment horizontal="center" vertical="center" wrapText="1"/>
    </xf>
    <xf numFmtId="0" fontId="8" fillId="6" borderId="27" xfId="0" applyFont="1" applyFill="1" applyBorder="1" applyAlignment="1" applyProtection="1">
      <alignment horizontal="left" vertical="center"/>
      <protection locked="0"/>
    </xf>
    <xf numFmtId="174" fontId="151" fillId="7" borderId="35" xfId="0" applyNumberFormat="1" applyFont="1" applyFill="1" applyBorder="1" applyAlignment="1" applyProtection="1">
      <alignment horizontal="center" vertical="center" wrapText="1"/>
    </xf>
    <xf numFmtId="174" fontId="151" fillId="7" borderId="20" xfId="0" applyNumberFormat="1" applyFont="1" applyFill="1" applyBorder="1" applyAlignment="1" applyProtection="1">
      <alignment horizontal="center" vertical="center" wrapText="1"/>
    </xf>
    <xf numFmtId="174" fontId="151" fillId="7" borderId="20" xfId="0" quotePrefix="1" applyNumberFormat="1" applyFont="1" applyFill="1" applyBorder="1" applyAlignment="1" applyProtection="1">
      <alignment horizontal="center" vertical="center" wrapText="1"/>
    </xf>
    <xf numFmtId="174" fontId="151" fillId="7" borderId="20" xfId="0" applyNumberFormat="1" applyFont="1" applyFill="1" applyBorder="1" applyAlignment="1" applyProtection="1">
      <alignment horizontal="left" vertical="center" wrapText="1"/>
    </xf>
    <xf numFmtId="174" fontId="151" fillId="7" borderId="36" xfId="0" quotePrefix="1" applyNumberFormat="1" applyFont="1" applyFill="1" applyBorder="1" applyAlignment="1" applyProtection="1">
      <alignment horizontal="center" vertical="center" wrapText="1"/>
    </xf>
    <xf numFmtId="0" fontId="8" fillId="6" borderId="0" xfId="0" quotePrefix="1" applyFont="1" applyFill="1" applyBorder="1" applyAlignment="1" applyProtection="1">
      <alignment vertical="center"/>
    </xf>
    <xf numFmtId="0" fontId="8" fillId="6" borderId="0" xfId="0" quotePrefix="1" applyFont="1" applyFill="1" applyBorder="1" applyAlignment="1" applyProtection="1"/>
    <xf numFmtId="174" fontId="7" fillId="7" borderId="122" xfId="0" quotePrefix="1" applyNumberFormat="1" applyFont="1" applyFill="1" applyBorder="1" applyAlignment="1" applyProtection="1">
      <alignment horizontal="center" vertical="center"/>
    </xf>
    <xf numFmtId="174" fontId="7" fillId="7" borderId="122" xfId="0" quotePrefix="1" applyNumberFormat="1" applyFont="1" applyFill="1" applyBorder="1" applyAlignment="1" applyProtection="1">
      <alignment horizontal="center" vertical="center" wrapText="1"/>
    </xf>
    <xf numFmtId="174" fontId="30" fillId="6" borderId="7" xfId="0" applyNumberFormat="1" applyFont="1" applyFill="1" applyBorder="1" applyAlignment="1" applyProtection="1">
      <alignment horizontal="center" vertical="center"/>
      <protection hidden="1"/>
    </xf>
    <xf numFmtId="179" fontId="122" fillId="6" borderId="52" xfId="0" applyNumberFormat="1" applyFont="1" applyFill="1" applyBorder="1" applyAlignment="1" applyProtection="1">
      <alignment horizontal="center" vertical="center"/>
    </xf>
    <xf numFmtId="179" fontId="122" fillId="6" borderId="122" xfId="0" applyNumberFormat="1" applyFont="1" applyFill="1" applyBorder="1" applyAlignment="1" applyProtection="1">
      <alignment horizontal="center" vertical="center"/>
    </xf>
    <xf numFmtId="181" fontId="122" fillId="6" borderId="7" xfId="0" applyNumberFormat="1" applyFont="1" applyFill="1" applyBorder="1" applyAlignment="1" applyProtection="1">
      <alignment horizontal="center" vertical="center"/>
    </xf>
    <xf numFmtId="0" fontId="122" fillId="6" borderId="7" xfId="0" applyNumberFormat="1" applyFont="1" applyFill="1" applyBorder="1" applyAlignment="1" applyProtection="1">
      <alignment horizontal="center" vertical="center"/>
    </xf>
    <xf numFmtId="0" fontId="122" fillId="6" borderId="107" xfId="0" applyNumberFormat="1" applyFont="1" applyFill="1" applyBorder="1" applyAlignment="1" applyProtection="1">
      <alignment horizontal="center" vertical="center"/>
    </xf>
    <xf numFmtId="174" fontId="7" fillId="7" borderId="123" xfId="0" applyNumberFormat="1" applyFont="1" applyFill="1" applyBorder="1" applyAlignment="1" applyProtection="1">
      <alignment horizontal="center" vertical="center" wrapText="1"/>
    </xf>
    <xf numFmtId="174" fontId="7" fillId="7" borderId="122" xfId="0" applyNumberFormat="1" applyFont="1" applyFill="1" applyBorder="1" applyAlignment="1" applyProtection="1">
      <alignment horizontal="center" vertical="center" wrapText="1"/>
    </xf>
    <xf numFmtId="0" fontId="29" fillId="6" borderId="59" xfId="0" applyFont="1" applyFill="1" applyBorder="1" applyAlignment="1" applyProtection="1">
      <alignment horizontal="center" vertical="center"/>
    </xf>
    <xf numFmtId="179" fontId="19" fillId="6" borderId="7" xfId="0" applyNumberFormat="1" applyFont="1" applyFill="1" applyBorder="1" applyAlignment="1" applyProtection="1">
      <alignment horizontal="center" vertical="center"/>
    </xf>
    <xf numFmtId="0" fontId="29" fillId="6" borderId="7" xfId="0" applyFont="1" applyFill="1" applyBorder="1" applyAlignment="1" applyProtection="1">
      <alignment horizontal="center" vertical="center"/>
    </xf>
    <xf numFmtId="186" fontId="8" fillId="0" borderId="0" xfId="0" applyNumberFormat="1" applyFont="1" applyFill="1" applyBorder="1" applyAlignment="1" applyProtection="1">
      <alignment horizontal="left" vertical="center"/>
    </xf>
    <xf numFmtId="174" fontId="151" fillId="7" borderId="23" xfId="0" applyNumberFormat="1" applyFont="1" applyFill="1" applyBorder="1" applyAlignment="1" applyProtection="1">
      <alignment horizontal="center" vertical="center" wrapText="1"/>
    </xf>
    <xf numFmtId="174" fontId="12" fillId="6" borderId="0" xfId="0" applyNumberFormat="1" applyFont="1" applyFill="1" applyBorder="1" applyAlignment="1" applyProtection="1">
      <alignment horizontal="left" vertical="center" wrapText="1" indent="1"/>
      <protection locked="0"/>
    </xf>
    <xf numFmtId="1" fontId="12" fillId="0" borderId="0" xfId="2094" applyNumberFormat="1" applyFont="1" applyFill="1" applyBorder="1" applyAlignment="1" applyProtection="1">
      <alignment horizontal="center" vertical="center"/>
      <protection locked="0"/>
    </xf>
    <xf numFmtId="2" fontId="36" fillId="6" borderId="1" xfId="0" quotePrefix="1" applyNumberFormat="1" applyFont="1" applyFill="1" applyBorder="1" applyAlignment="1" applyProtection="1">
      <alignment horizontal="center" vertical="center"/>
    </xf>
    <xf numFmtId="2" fontId="36" fillId="6" borderId="1" xfId="0" applyNumberFormat="1" applyFont="1" applyFill="1" applyBorder="1" applyAlignment="1" applyProtection="1">
      <alignment horizontal="center" vertical="center"/>
    </xf>
    <xf numFmtId="1" fontId="165" fillId="6" borderId="1" xfId="0" applyNumberFormat="1" applyFont="1" applyFill="1" applyBorder="1" applyAlignment="1" applyProtection="1">
      <alignment horizontal="center" vertical="center"/>
    </xf>
    <xf numFmtId="3" fontId="165" fillId="6" borderId="1" xfId="0" applyNumberFormat="1" applyFont="1" applyFill="1" applyBorder="1" applyAlignment="1" applyProtection="1">
      <alignment horizontal="center" vertical="center"/>
    </xf>
    <xf numFmtId="174" fontId="34" fillId="7" borderId="57" xfId="0" applyNumberFormat="1" applyFont="1" applyFill="1" applyBorder="1" applyAlignment="1" applyProtection="1">
      <alignment horizontal="center" vertical="center" wrapText="1"/>
      <protection hidden="1"/>
    </xf>
    <xf numFmtId="198" fontId="19" fillId="6" borderId="1" xfId="0" applyNumberFormat="1" applyFont="1" applyFill="1" applyBorder="1" applyAlignment="1" applyProtection="1">
      <alignment horizontal="center" vertical="center"/>
      <protection locked="0"/>
    </xf>
    <xf numFmtId="174" fontId="7" fillId="7" borderId="41" xfId="0" applyNumberFormat="1" applyFont="1" applyFill="1" applyBorder="1" applyAlignment="1" applyProtection="1">
      <alignment horizontal="center" vertical="center"/>
      <protection hidden="1"/>
    </xf>
    <xf numFmtId="174" fontId="7" fillId="7" borderId="30" xfId="0" applyNumberFormat="1" applyFont="1" applyFill="1" applyBorder="1" applyAlignment="1" applyProtection="1">
      <alignment horizontal="center" vertical="center"/>
    </xf>
    <xf numFmtId="174" fontId="7" fillId="7" borderId="0" xfId="0" applyNumberFormat="1" applyFont="1" applyFill="1" applyBorder="1" applyAlignment="1" applyProtection="1">
      <alignment horizontal="center" vertical="center"/>
    </xf>
    <xf numFmtId="0" fontId="6" fillId="8" borderId="1" xfId="0" quotePrefix="1" applyFont="1" applyFill="1" applyBorder="1" applyAlignment="1" applyProtection="1">
      <alignment horizontal="center" vertical="center"/>
    </xf>
    <xf numFmtId="174" fontId="12" fillId="6" borderId="1" xfId="0" applyNumberFormat="1" applyFont="1" applyFill="1" applyBorder="1" applyAlignment="1" applyProtection="1">
      <alignment horizontal="left" vertical="center" indent="1"/>
      <protection locked="0"/>
    </xf>
    <xf numFmtId="208" fontId="12" fillId="6" borderId="24" xfId="0" applyNumberFormat="1" applyFont="1" applyFill="1" applyBorder="1" applyAlignment="1" applyProtection="1">
      <alignment horizontal="left" vertical="center" indent="1"/>
      <protection locked="0"/>
    </xf>
    <xf numFmtId="1" fontId="154" fillId="0" borderId="0" xfId="0" applyNumberFormat="1" applyFont="1" applyAlignment="1">
      <alignment horizontal="center"/>
    </xf>
    <xf numFmtId="0" fontId="154" fillId="0" borderId="0" xfId="0" applyFont="1"/>
    <xf numFmtId="0" fontId="156" fillId="15" borderId="124" xfId="0" applyFont="1" applyFill="1" applyBorder="1"/>
    <xf numFmtId="0" fontId="0" fillId="15" borderId="0" xfId="0" applyFill="1"/>
    <xf numFmtId="1" fontId="154" fillId="15" borderId="0" xfId="0" applyNumberFormat="1" applyFont="1" applyFill="1" applyAlignment="1">
      <alignment horizontal="center"/>
    </xf>
    <xf numFmtId="0" fontId="154" fillId="0" borderId="0" xfId="0" applyFont="1" applyProtection="1"/>
    <xf numFmtId="0" fontId="156" fillId="15" borderId="124" xfId="0" applyFont="1" applyFill="1" applyBorder="1" applyProtection="1"/>
    <xf numFmtId="1" fontId="154" fillId="15" borderId="0" xfId="0" applyNumberFormat="1" applyFont="1" applyFill="1" applyAlignment="1" applyProtection="1">
      <alignment horizontal="center"/>
    </xf>
    <xf numFmtId="0" fontId="155" fillId="15" borderId="124" xfId="0" applyFont="1" applyFill="1" applyBorder="1"/>
    <xf numFmtId="0" fontId="158" fillId="15" borderId="124" xfId="0" applyFont="1" applyFill="1" applyBorder="1"/>
    <xf numFmtId="0" fontId="155" fillId="0" borderId="0" xfId="0" applyFont="1" applyFill="1"/>
    <xf numFmtId="0" fontId="159" fillId="0" borderId="0" xfId="0" applyFont="1"/>
    <xf numFmtId="0" fontId="155" fillId="16" borderId="124" xfId="0" applyFont="1" applyFill="1" applyBorder="1"/>
    <xf numFmtId="0" fontId="158" fillId="16" borderId="124" xfId="0" applyFont="1" applyFill="1" applyBorder="1"/>
    <xf numFmtId="0" fontId="156" fillId="16" borderId="124" xfId="0" applyFont="1" applyFill="1" applyBorder="1"/>
    <xf numFmtId="1" fontId="154" fillId="16" borderId="0" xfId="0" applyNumberFormat="1" applyFont="1" applyFill="1" applyAlignment="1">
      <alignment horizontal="center"/>
    </xf>
    <xf numFmtId="0" fontId="69" fillId="0" borderId="0" xfId="0" applyFont="1"/>
    <xf numFmtId="14" fontId="157" fillId="15" borderId="0" xfId="0" applyNumberFormat="1" applyFont="1" applyFill="1" applyAlignment="1">
      <alignment horizontal="center"/>
    </xf>
    <xf numFmtId="176" fontId="6" fillId="8" borderId="61" xfId="0" applyNumberFormat="1" applyFont="1" applyFill="1" applyBorder="1" applyAlignment="1" applyProtection="1">
      <alignment horizontal="center" vertical="center"/>
    </xf>
    <xf numFmtId="184" fontId="6" fillId="8" borderId="61" xfId="0" applyNumberFormat="1" applyFont="1" applyFill="1" applyBorder="1" applyAlignment="1" applyProtection="1">
      <alignment horizontal="center" vertical="center"/>
    </xf>
    <xf numFmtId="179" fontId="73" fillId="0" borderId="1" xfId="0" applyNumberFormat="1" applyFont="1" applyFill="1" applyBorder="1" applyAlignment="1" applyProtection="1">
      <alignment horizontal="right" vertical="center"/>
      <protection locked="0"/>
    </xf>
    <xf numFmtId="176" fontId="6" fillId="8" borderId="61" xfId="0" applyNumberFormat="1" applyFont="1" applyFill="1" applyBorder="1" applyAlignment="1" applyProtection="1">
      <alignment horizontal="center" vertical="center"/>
      <protection locked="0"/>
    </xf>
    <xf numFmtId="184" fontId="6" fillId="8" borderId="61" xfId="0" applyNumberFormat="1" applyFont="1" applyFill="1" applyBorder="1" applyAlignment="1" applyProtection="1">
      <alignment horizontal="center" vertical="center"/>
      <protection locked="0"/>
    </xf>
    <xf numFmtId="179" fontId="122" fillId="6" borderId="25" xfId="0" applyNumberFormat="1" applyFont="1" applyFill="1" applyBorder="1" applyAlignment="1" applyProtection="1">
      <alignment horizontal="center" vertical="center"/>
    </xf>
    <xf numFmtId="179" fontId="122" fillId="6" borderId="46" xfId="0" applyNumberFormat="1" applyFont="1" applyFill="1" applyBorder="1" applyAlignment="1" applyProtection="1">
      <alignment horizontal="center" vertical="center"/>
    </xf>
    <xf numFmtId="210" fontId="12" fillId="6" borderId="28" xfId="0" applyNumberFormat="1" applyFont="1" applyFill="1" applyBorder="1" applyAlignment="1" applyProtection="1">
      <alignment horizontal="right" vertical="center" indent="1"/>
      <protection locked="0"/>
    </xf>
    <xf numFmtId="1" fontId="12" fillId="6" borderId="1" xfId="0" applyNumberFormat="1" applyFont="1" applyFill="1" applyBorder="1" applyAlignment="1" applyProtection="1">
      <alignment vertical="center"/>
      <protection locked="0"/>
    </xf>
    <xf numFmtId="49" fontId="36" fillId="6" borderId="32" xfId="0" quotePrefix="1" applyNumberFormat="1" applyFont="1" applyFill="1" applyBorder="1" applyAlignment="1" applyProtection="1">
      <alignment horizontal="center" vertical="center"/>
    </xf>
    <xf numFmtId="49" fontId="36" fillId="6" borderId="32" xfId="0" applyNumberFormat="1" applyFont="1" applyFill="1" applyBorder="1" applyAlignment="1" applyProtection="1">
      <alignment horizontal="center" vertical="center"/>
    </xf>
    <xf numFmtId="0" fontId="0" fillId="0" borderId="32" xfId="0" applyBorder="1"/>
    <xf numFmtId="176" fontId="160" fillId="14" borderId="125" xfId="0" applyNumberFormat="1" applyFont="1" applyFill="1" applyBorder="1" applyAlignment="1" applyProtection="1">
      <alignment horizontal="center" vertical="center"/>
    </xf>
    <xf numFmtId="1" fontId="160" fillId="14" borderId="125" xfId="0" applyNumberFormat="1" applyFont="1" applyFill="1" applyBorder="1" applyAlignment="1" applyProtection="1">
      <alignment horizontal="center" vertical="center"/>
    </xf>
    <xf numFmtId="0" fontId="37" fillId="8" borderId="66" xfId="0" applyFont="1" applyFill="1" applyBorder="1" applyAlignment="1" applyProtection="1">
      <alignment horizontal="center" vertical="center" wrapText="1"/>
    </xf>
    <xf numFmtId="2" fontId="12" fillId="6" borderId="25" xfId="0" applyNumberFormat="1" applyFont="1" applyFill="1" applyBorder="1" applyAlignment="1" applyProtection="1">
      <alignment horizontal="left" vertical="center" indent="1"/>
      <protection locked="0"/>
    </xf>
    <xf numFmtId="2" fontId="6" fillId="6" borderId="0" xfId="0" applyNumberFormat="1" applyFont="1" applyFill="1" applyBorder="1" applyAlignment="1">
      <alignment horizontal="center" vertical="center"/>
    </xf>
    <xf numFmtId="0" fontId="6" fillId="6" borderId="0" xfId="0" applyFont="1" applyFill="1" applyBorder="1" applyAlignment="1">
      <alignment horizontal="center" vertical="center"/>
    </xf>
    <xf numFmtId="1" fontId="34" fillId="7" borderId="120" xfId="0" quotePrefix="1" applyNumberFormat="1" applyFont="1" applyFill="1" applyBorder="1" applyAlignment="1" applyProtection="1">
      <alignment horizontal="center" vertical="center" wrapText="1"/>
    </xf>
    <xf numFmtId="1" fontId="34" fillId="7" borderId="0" xfId="0" applyNumberFormat="1" applyFont="1" applyFill="1" applyBorder="1" applyAlignment="1" applyProtection="1">
      <alignment horizontal="center" vertical="center" wrapText="1"/>
    </xf>
    <xf numFmtId="1" fontId="34" fillId="7" borderId="62" xfId="0" applyNumberFormat="1" applyFont="1" applyFill="1" applyBorder="1" applyAlignment="1" applyProtection="1">
      <alignment horizontal="center" vertical="center" wrapText="1"/>
    </xf>
    <xf numFmtId="0" fontId="6" fillId="8" borderId="0" xfId="0" quotePrefix="1" applyFont="1" applyFill="1" applyBorder="1" applyAlignment="1" applyProtection="1">
      <alignment horizontal="right" vertical="center"/>
    </xf>
    <xf numFmtId="0" fontId="6" fillId="8" borderId="0" xfId="0" quotePrefix="1" applyFont="1" applyFill="1" applyBorder="1" applyAlignment="1" applyProtection="1">
      <alignment horizontal="right" vertical="center" indent="1"/>
    </xf>
    <xf numFmtId="0" fontId="6" fillId="8" borderId="0" xfId="0" applyFont="1" applyFill="1" applyBorder="1" applyAlignment="1" applyProtection="1">
      <alignment horizontal="right" vertical="center" indent="1"/>
    </xf>
    <xf numFmtId="1" fontId="65" fillId="6" borderId="25" xfId="0" applyNumberFormat="1" applyFont="1" applyFill="1" applyBorder="1" applyAlignment="1" applyProtection="1">
      <alignment horizontal="right" vertical="center" indent="1"/>
      <protection locked="0"/>
    </xf>
    <xf numFmtId="0" fontId="12" fillId="6" borderId="24" xfId="0" applyFont="1" applyFill="1" applyBorder="1" applyAlignment="1" applyProtection="1">
      <alignment horizontal="center" vertical="center"/>
      <protection locked="0"/>
    </xf>
    <xf numFmtId="0" fontId="12" fillId="0" borderId="25" xfId="0" applyNumberFormat="1" applyFont="1" applyFill="1" applyBorder="1" applyAlignment="1" applyProtection="1">
      <alignment horizontal="left" vertical="center" wrapText="1" indent="1"/>
      <protection locked="0"/>
    </xf>
    <xf numFmtId="1" fontId="166" fillId="6" borderId="11" xfId="0" quotePrefix="1" applyNumberFormat="1" applyFont="1" applyFill="1" applyBorder="1" applyAlignment="1" applyProtection="1">
      <alignment horizontal="right" vertical="center" indent="1"/>
      <protection locked="0"/>
    </xf>
    <xf numFmtId="1" fontId="166" fillId="6" borderId="1" xfId="0" quotePrefix="1" applyNumberFormat="1" applyFont="1" applyFill="1" applyBorder="1" applyAlignment="1" applyProtection="1">
      <alignment horizontal="right" vertical="center" indent="1"/>
      <protection locked="0"/>
    </xf>
    <xf numFmtId="1" fontId="12" fillId="0" borderId="126" xfId="2094" applyNumberFormat="1" applyFont="1" applyFill="1" applyBorder="1" applyAlignment="1" applyProtection="1">
      <alignment horizontal="center" vertical="center"/>
      <protection locked="0"/>
    </xf>
    <xf numFmtId="0" fontId="1" fillId="0" borderId="0" xfId="2092" applyFont="1"/>
    <xf numFmtId="10" fontId="12" fillId="6" borderId="1" xfId="0" applyNumberFormat="1" applyFont="1" applyFill="1" applyBorder="1" applyAlignment="1" applyProtection="1">
      <alignment horizontal="center" vertical="center"/>
      <protection locked="0"/>
    </xf>
    <xf numFmtId="174" fontId="12" fillId="6" borderId="24" xfId="0" applyNumberFormat="1" applyFont="1" applyFill="1" applyBorder="1" applyAlignment="1" applyProtection="1">
      <alignment horizontal="left" vertical="center" indent="1"/>
      <protection locked="0"/>
    </xf>
    <xf numFmtId="1" fontId="27" fillId="6" borderId="1" xfId="0" applyNumberFormat="1" applyFont="1" applyFill="1" applyBorder="1" applyAlignment="1" applyProtection="1">
      <alignment horizontal="center" vertical="center"/>
      <protection locked="0"/>
    </xf>
    <xf numFmtId="0" fontId="72" fillId="6" borderId="112" xfId="0" applyFont="1" applyFill="1" applyBorder="1" applyAlignment="1" applyProtection="1">
      <alignment horizontal="left" vertical="center" indent="1"/>
    </xf>
    <xf numFmtId="0" fontId="72" fillId="6" borderId="11" xfId="0" applyFont="1" applyFill="1" applyBorder="1" applyAlignment="1" applyProtection="1">
      <alignment horizontal="left" vertical="center" indent="1"/>
    </xf>
    <xf numFmtId="1" fontId="12" fillId="0" borderId="1" xfId="0" applyNumberFormat="1" applyFont="1" applyFill="1" applyBorder="1" applyAlignment="1" applyProtection="1">
      <alignment horizontal="center" vertical="center"/>
      <protection locked="0"/>
    </xf>
    <xf numFmtId="1" fontId="12" fillId="6" borderId="25" xfId="0" applyNumberFormat="1" applyFont="1" applyFill="1" applyBorder="1" applyAlignment="1" applyProtection="1">
      <alignment horizontal="left" vertical="center" wrapText="1" indent="1"/>
      <protection locked="0"/>
    </xf>
    <xf numFmtId="14" fontId="12" fillId="6" borderId="50" xfId="0" applyNumberFormat="1" applyFont="1" applyFill="1" applyBorder="1" applyAlignment="1" applyProtection="1">
      <alignment horizontal="left" vertical="center" wrapText="1" indent="1"/>
      <protection locked="0"/>
    </xf>
    <xf numFmtId="2" fontId="6" fillId="8" borderId="61" xfId="0" applyNumberFormat="1" applyFont="1" applyFill="1" applyBorder="1" applyAlignment="1" applyProtection="1">
      <alignment horizontal="right" vertical="center" indent="1"/>
    </xf>
    <xf numFmtId="174" fontId="7" fillId="7" borderId="36" xfId="0" quotePrefix="1" applyNumberFormat="1" applyFont="1" applyFill="1" applyBorder="1" applyAlignment="1" applyProtection="1">
      <alignment horizontal="center" vertical="center"/>
    </xf>
    <xf numFmtId="0" fontId="6" fillId="0" borderId="62" xfId="0" applyFont="1" applyFill="1" applyBorder="1" applyAlignment="1" applyProtection="1">
      <alignment vertical="center"/>
    </xf>
    <xf numFmtId="0" fontId="6" fillId="0" borderId="27" xfId="0" applyFont="1" applyFill="1" applyBorder="1" applyAlignment="1" applyProtection="1">
      <alignment vertical="center"/>
    </xf>
    <xf numFmtId="0" fontId="6" fillId="0" borderId="80" xfId="0" applyFont="1" applyFill="1" applyBorder="1" applyAlignment="1" applyProtection="1">
      <alignment vertical="center"/>
    </xf>
    <xf numFmtId="174" fontId="7" fillId="7" borderId="20" xfId="0" quotePrefix="1" applyNumberFormat="1" applyFont="1" applyFill="1" applyBorder="1" applyAlignment="1" applyProtection="1">
      <alignment horizontal="center" vertical="center" wrapText="1"/>
    </xf>
    <xf numFmtId="0" fontId="0" fillId="0" borderId="127" xfId="0" applyBorder="1"/>
    <xf numFmtId="0" fontId="0" fillId="0" borderId="66" xfId="0" applyBorder="1"/>
    <xf numFmtId="174" fontId="7" fillId="0" borderId="0" xfId="2094" applyNumberFormat="1" applyFont="1" applyFill="1" applyBorder="1" applyAlignment="1" applyProtection="1">
      <alignment vertical="center"/>
    </xf>
    <xf numFmtId="1" fontId="6" fillId="8" borderId="1" xfId="0" applyNumberFormat="1" applyFont="1" applyFill="1" applyBorder="1" applyAlignment="1" applyProtection="1">
      <alignment horizontal="center" vertical="center"/>
    </xf>
    <xf numFmtId="0" fontId="15" fillId="6" borderId="49" xfId="0" applyFont="1" applyFill="1" applyBorder="1" applyAlignment="1" applyProtection="1">
      <alignment horizontal="right" vertical="center" indent="1"/>
      <protection locked="0"/>
    </xf>
    <xf numFmtId="176" fontId="19" fillId="6" borderId="61" xfId="0" applyNumberFormat="1" applyFont="1" applyFill="1" applyBorder="1" applyAlignment="1" applyProtection="1">
      <alignment horizontal="right" vertical="center" indent="1"/>
      <protection locked="0"/>
    </xf>
    <xf numFmtId="176" fontId="12" fillId="6" borderId="61" xfId="0" applyNumberFormat="1" applyFont="1" applyFill="1" applyBorder="1" applyAlignment="1" applyProtection="1">
      <alignment horizontal="right" vertical="center" indent="1"/>
      <protection locked="0"/>
    </xf>
    <xf numFmtId="176" fontId="19" fillId="6" borderId="38" xfId="0" applyNumberFormat="1" applyFont="1" applyFill="1" applyBorder="1" applyAlignment="1" applyProtection="1">
      <alignment horizontal="right" vertical="center" indent="1"/>
      <protection locked="0"/>
    </xf>
    <xf numFmtId="1" fontId="11" fillId="6" borderId="47" xfId="0" applyNumberFormat="1" applyFont="1" applyFill="1" applyBorder="1" applyAlignment="1" applyProtection="1">
      <alignment horizontal="right" vertical="center" indent="1"/>
      <protection locked="0"/>
    </xf>
    <xf numFmtId="1" fontId="12" fillId="6" borderId="28" xfId="0" applyNumberFormat="1" applyFont="1" applyFill="1" applyBorder="1" applyAlignment="1" applyProtection="1">
      <alignment horizontal="right" vertical="center" indent="1"/>
      <protection locked="0"/>
    </xf>
    <xf numFmtId="184" fontId="6" fillId="8" borderId="1" xfId="0" applyNumberFormat="1" applyFont="1" applyFill="1" applyBorder="1" applyAlignment="1" applyProtection="1">
      <alignment horizontal="right" vertical="center"/>
    </xf>
    <xf numFmtId="1" fontId="12" fillId="6" borderId="61" xfId="0" applyNumberFormat="1" applyFont="1" applyFill="1" applyBorder="1" applyAlignment="1" applyProtection="1">
      <alignment horizontal="right" vertical="center" indent="1"/>
      <protection locked="0"/>
    </xf>
    <xf numFmtId="1" fontId="11" fillId="6" borderId="128" xfId="0" applyNumberFormat="1" applyFont="1" applyFill="1" applyBorder="1" applyAlignment="1" applyProtection="1">
      <alignment horizontal="right" vertical="center" indent="1"/>
      <protection locked="0"/>
    </xf>
    <xf numFmtId="0" fontId="5" fillId="6" borderId="0" xfId="0" applyFont="1" applyFill="1" applyBorder="1" applyAlignment="1" applyProtection="1">
      <alignment horizontal="center" vertical="center"/>
    </xf>
    <xf numFmtId="3" fontId="19" fillId="6" borderId="0" xfId="0" applyNumberFormat="1" applyFont="1" applyFill="1" applyBorder="1" applyAlignment="1" applyProtection="1">
      <alignment horizontal="center" vertical="center"/>
      <protection locked="0"/>
    </xf>
    <xf numFmtId="1" fontId="12" fillId="6" borderId="1" xfId="0" applyNumberFormat="1" applyFont="1" applyFill="1" applyBorder="1" applyAlignment="1" applyProtection="1">
      <alignment horizontal="center" vertical="center"/>
    </xf>
    <xf numFmtId="179" fontId="19" fillId="6" borderId="64" xfId="0" applyNumberFormat="1" applyFont="1" applyFill="1" applyBorder="1" applyAlignment="1" applyProtection="1">
      <alignment horizontal="center" vertical="center"/>
    </xf>
    <xf numFmtId="174" fontId="4" fillId="7" borderId="29" xfId="0" quotePrefix="1" applyNumberFormat="1" applyFont="1" applyFill="1" applyBorder="1" applyAlignment="1" applyProtection="1">
      <alignment horizontal="center" vertical="center" wrapText="1"/>
    </xf>
    <xf numFmtId="174" fontId="4" fillId="7" borderId="81" xfId="0" quotePrefix="1" applyNumberFormat="1" applyFont="1" applyFill="1" applyBorder="1" applyAlignment="1" applyProtection="1">
      <alignment horizontal="center" vertical="center" wrapText="1"/>
    </xf>
    <xf numFmtId="179" fontId="19" fillId="6" borderId="107" xfId="0" applyNumberFormat="1" applyFont="1" applyFill="1" applyBorder="1" applyAlignment="1" applyProtection="1">
      <alignment horizontal="center" vertical="center"/>
    </xf>
    <xf numFmtId="179" fontId="19" fillId="6" borderId="65" xfId="0" applyNumberFormat="1" applyFont="1" applyFill="1" applyBorder="1" applyAlignment="1" applyProtection="1">
      <alignment horizontal="center" vertical="center"/>
    </xf>
    <xf numFmtId="174" fontId="7" fillId="7" borderId="53" xfId="0" applyNumberFormat="1" applyFont="1" applyFill="1" applyBorder="1" applyAlignment="1" applyProtection="1">
      <alignment horizontal="center" vertical="center" wrapText="1"/>
    </xf>
    <xf numFmtId="0" fontId="123" fillId="0" borderId="27" xfId="0" quotePrefix="1" applyFont="1" applyFill="1" applyBorder="1" applyAlignment="1" applyProtection="1">
      <alignment horizontal="center" vertical="center"/>
    </xf>
    <xf numFmtId="174" fontId="7" fillId="7" borderId="52" xfId="0" quotePrefix="1" applyNumberFormat="1" applyFont="1" applyFill="1" applyBorder="1" applyAlignment="1" applyProtection="1">
      <alignment horizontal="center" vertical="center" wrapText="1"/>
    </xf>
    <xf numFmtId="0" fontId="11" fillId="6" borderId="1" xfId="0" quotePrefix="1" applyFont="1" applyFill="1" applyBorder="1" applyAlignment="1" applyProtection="1">
      <alignment horizontal="center" vertical="center"/>
    </xf>
    <xf numFmtId="174" fontId="7" fillId="7" borderId="74" xfId="0" applyNumberFormat="1" applyFont="1" applyFill="1" applyBorder="1" applyAlignment="1" applyProtection="1">
      <alignment horizontal="center" vertical="center" wrapText="1"/>
    </xf>
    <xf numFmtId="0" fontId="167" fillId="0" borderId="0" xfId="0" applyFont="1" applyFill="1" applyBorder="1" applyAlignment="1">
      <alignment horizontal="center" vertical="center"/>
    </xf>
    <xf numFmtId="0" fontId="167" fillId="6" borderId="0" xfId="0" applyFont="1" applyFill="1" applyBorder="1" applyProtection="1"/>
    <xf numFmtId="0" fontId="29" fillId="6" borderId="129" xfId="0" quotePrefix="1" applyFont="1" applyFill="1" applyBorder="1" applyAlignment="1" applyProtection="1">
      <alignment horizontal="center" vertical="center"/>
    </xf>
    <xf numFmtId="0" fontId="29" fillId="6" borderId="130" xfId="0" quotePrefix="1" applyFont="1" applyFill="1" applyBorder="1" applyAlignment="1" applyProtection="1">
      <alignment horizontal="center" vertical="center"/>
    </xf>
    <xf numFmtId="0" fontId="11" fillId="6" borderId="45" xfId="0" quotePrefix="1" applyFont="1" applyFill="1" applyBorder="1" applyAlignment="1" applyProtection="1">
      <alignment horizontal="center" vertical="center"/>
    </xf>
    <xf numFmtId="0" fontId="11" fillId="6" borderId="0" xfId="0" quotePrefix="1" applyFont="1" applyFill="1" applyBorder="1" applyAlignment="1" applyProtection="1">
      <alignment horizontal="center" vertical="center"/>
    </xf>
    <xf numFmtId="179" fontId="122" fillId="6" borderId="0" xfId="0" applyNumberFormat="1" applyFont="1" applyFill="1" applyBorder="1" applyAlignment="1" applyProtection="1">
      <alignment horizontal="center" vertical="center"/>
    </xf>
    <xf numFmtId="174" fontId="7" fillId="7" borderId="129" xfId="0" applyNumberFormat="1" applyFont="1" applyFill="1" applyBorder="1" applyAlignment="1" applyProtection="1">
      <alignment vertical="center" wrapText="1"/>
    </xf>
    <xf numFmtId="174" fontId="7" fillId="7" borderId="131" xfId="0" applyNumberFormat="1" applyFont="1" applyFill="1" applyBorder="1" applyAlignment="1" applyProtection="1">
      <alignment vertical="center" wrapText="1"/>
    </xf>
    <xf numFmtId="174" fontId="7" fillId="7" borderId="130" xfId="0" applyNumberFormat="1" applyFont="1" applyFill="1" applyBorder="1" applyAlignment="1" applyProtection="1">
      <alignment vertical="center" wrapText="1"/>
    </xf>
    <xf numFmtId="0" fontId="29" fillId="6" borderId="132" xfId="0" quotePrefix="1" applyFont="1" applyFill="1" applyBorder="1" applyAlignment="1" applyProtection="1">
      <alignment horizontal="center" vertical="center"/>
    </xf>
    <xf numFmtId="0" fontId="29" fillId="6" borderId="133" xfId="0" quotePrefix="1" applyFont="1" applyFill="1" applyBorder="1" applyAlignment="1" applyProtection="1">
      <alignment horizontal="center" vertical="center"/>
    </xf>
    <xf numFmtId="0" fontId="11" fillId="6" borderId="112" xfId="0" quotePrefix="1" applyFont="1" applyFill="1" applyBorder="1" applyAlignment="1" applyProtection="1">
      <alignment horizontal="left" vertical="center"/>
    </xf>
    <xf numFmtId="1" fontId="160" fillId="6" borderId="7" xfId="0" applyNumberFormat="1" applyFont="1" applyFill="1" applyBorder="1" applyAlignment="1" applyProtection="1">
      <alignment horizontal="center" vertical="center"/>
    </xf>
    <xf numFmtId="180" fontId="23" fillId="16" borderId="47" xfId="0" applyNumberFormat="1" applyFont="1" applyFill="1" applyBorder="1" applyAlignment="1" applyProtection="1">
      <alignment horizontal="center" vertical="center"/>
    </xf>
    <xf numFmtId="180" fontId="23" fillId="16" borderId="1" xfId="0" applyNumberFormat="1" applyFont="1" applyFill="1" applyBorder="1" applyAlignment="1" applyProtection="1">
      <alignment horizontal="right" vertical="center" wrapText="1" indent="1"/>
    </xf>
    <xf numFmtId="180" fontId="36" fillId="16" borderId="28" xfId="0" applyNumberFormat="1" applyFont="1" applyFill="1" applyBorder="1" applyAlignment="1" applyProtection="1">
      <alignment horizontal="center" vertical="center"/>
      <protection locked="0"/>
    </xf>
    <xf numFmtId="180" fontId="65" fillId="16" borderId="25" xfId="0" applyNumberFormat="1" applyFont="1" applyFill="1" applyBorder="1" applyAlignment="1" applyProtection="1">
      <alignment horizontal="right" vertical="center" indent="1"/>
    </xf>
    <xf numFmtId="0" fontId="21" fillId="6" borderId="112" xfId="0" applyFont="1" applyFill="1" applyBorder="1" applyAlignment="1" applyProtection="1">
      <alignment horizontal="center" vertical="center" wrapText="1"/>
    </xf>
    <xf numFmtId="0" fontId="6" fillId="8" borderId="61" xfId="0" applyFont="1" applyFill="1" applyBorder="1" applyAlignment="1" applyProtection="1">
      <alignment horizontal="right" vertical="center" wrapText="1" indent="1"/>
    </xf>
    <xf numFmtId="1" fontId="12" fillId="6" borderId="0" xfId="0" applyNumberFormat="1" applyFont="1" applyFill="1" applyBorder="1" applyAlignment="1" applyProtection="1">
      <alignment horizontal="center" vertical="center"/>
      <protection locked="0"/>
    </xf>
    <xf numFmtId="179" fontId="160" fillId="6" borderId="134" xfId="0" applyNumberFormat="1" applyFont="1" applyFill="1" applyBorder="1" applyAlignment="1" applyProtection="1">
      <alignment horizontal="center" vertical="center"/>
    </xf>
    <xf numFmtId="179" fontId="160" fillId="6" borderId="135" xfId="0" applyNumberFormat="1" applyFont="1" applyFill="1" applyBorder="1" applyAlignment="1" applyProtection="1">
      <alignment horizontal="center" vertical="center"/>
    </xf>
    <xf numFmtId="0" fontId="0" fillId="0" borderId="0" xfId="0" applyAlignment="1">
      <alignment horizontal="left" vertical="top"/>
    </xf>
    <xf numFmtId="2" fontId="12" fillId="0" borderId="25" xfId="0" applyNumberFormat="1" applyFont="1" applyFill="1" applyBorder="1" applyAlignment="1" applyProtection="1">
      <alignment horizontal="left" vertical="center" indent="1"/>
    </xf>
    <xf numFmtId="180" fontId="23" fillId="17" borderId="47" xfId="0" applyNumberFormat="1" applyFont="1" applyFill="1" applyBorder="1" applyAlignment="1" applyProtection="1">
      <alignment horizontal="center" vertical="center"/>
    </xf>
    <xf numFmtId="180" fontId="23" fillId="17" borderId="1" xfId="0" applyNumberFormat="1" applyFont="1" applyFill="1" applyBorder="1" applyAlignment="1" applyProtection="1">
      <alignment horizontal="right" vertical="center" wrapText="1" indent="1"/>
    </xf>
    <xf numFmtId="174" fontId="70" fillId="7" borderId="116" xfId="0" quotePrefix="1" applyNumberFormat="1" applyFont="1" applyFill="1" applyBorder="1" applyAlignment="1" applyProtection="1">
      <alignment vertical="center" wrapText="1"/>
    </xf>
    <xf numFmtId="174" fontId="70" fillId="7" borderId="27" xfId="0" quotePrefix="1" applyNumberFormat="1" applyFont="1" applyFill="1" applyBorder="1" applyAlignment="1" applyProtection="1">
      <alignment vertical="center" wrapText="1"/>
    </xf>
    <xf numFmtId="174" fontId="70" fillId="7" borderId="136" xfId="0" quotePrefix="1" applyNumberFormat="1" applyFont="1" applyFill="1" applyBorder="1" applyAlignment="1" applyProtection="1">
      <alignment vertical="center" wrapText="1"/>
    </xf>
    <xf numFmtId="179" fontId="19" fillId="18" borderId="1" xfId="0" applyNumberFormat="1" applyFont="1" applyFill="1" applyBorder="1" applyAlignment="1" applyProtection="1">
      <alignment horizontal="center" vertical="center"/>
      <protection locked="0"/>
    </xf>
    <xf numFmtId="0" fontId="168" fillId="0" borderId="32" xfId="0" applyFont="1" applyBorder="1" applyAlignment="1">
      <alignment horizontal="center"/>
    </xf>
    <xf numFmtId="0" fontId="69" fillId="0" borderId="32" xfId="0" applyFont="1" applyBorder="1" applyAlignment="1">
      <alignment horizontal="center" vertical="center"/>
    </xf>
    <xf numFmtId="0" fontId="0" fillId="0" borderId="137" xfId="0" applyBorder="1"/>
    <xf numFmtId="0" fontId="0" fillId="0" borderId="138" xfId="0" applyBorder="1"/>
    <xf numFmtId="0" fontId="0" fillId="0" borderId="139" xfId="0" applyBorder="1"/>
    <xf numFmtId="0" fontId="0" fillId="0" borderId="140" xfId="0" applyBorder="1"/>
    <xf numFmtId="0" fontId="100" fillId="0" borderId="138" xfId="2092" applyFont="1" applyBorder="1"/>
    <xf numFmtId="1" fontId="69" fillId="0" borderId="32" xfId="0" applyNumberFormat="1" applyFont="1" applyBorder="1" applyAlignment="1">
      <alignment horizontal="center"/>
    </xf>
    <xf numFmtId="0" fontId="69" fillId="16" borderId="32" xfId="0" applyFont="1" applyFill="1" applyBorder="1" applyAlignment="1">
      <alignment horizontal="center"/>
    </xf>
    <xf numFmtId="1" fontId="69" fillId="16" borderId="32" xfId="0" applyNumberFormat="1" applyFont="1" applyFill="1" applyBorder="1" applyAlignment="1">
      <alignment horizontal="center"/>
    </xf>
    <xf numFmtId="2" fontId="12" fillId="0" borderId="25" xfId="0" applyNumberFormat="1" applyFont="1" applyFill="1" applyBorder="1" applyAlignment="1" applyProtection="1">
      <alignment horizontal="left" vertical="center" wrapText="1" indent="1"/>
    </xf>
    <xf numFmtId="2" fontId="12" fillId="0" borderId="25" xfId="0" quotePrefix="1" applyNumberFormat="1" applyFont="1" applyFill="1" applyBorder="1" applyAlignment="1" applyProtection="1">
      <alignment horizontal="left" vertical="center" wrapText="1" indent="1"/>
      <protection locked="0"/>
    </xf>
    <xf numFmtId="1" fontId="12" fillId="0" borderId="32" xfId="2094" applyNumberFormat="1" applyFont="1" applyFill="1" applyBorder="1" applyAlignment="1" applyProtection="1">
      <alignment horizontal="center" vertical="center"/>
      <protection locked="0"/>
    </xf>
    <xf numFmtId="0" fontId="12" fillId="6" borderId="32" xfId="0" applyFont="1" applyFill="1" applyBorder="1" applyAlignment="1" applyProtection="1">
      <alignment horizontal="center" vertical="center"/>
      <protection locked="0"/>
    </xf>
    <xf numFmtId="1" fontId="12" fillId="6" borderId="32" xfId="0" applyNumberFormat="1" applyFont="1" applyFill="1" applyBorder="1" applyAlignment="1" applyProtection="1">
      <alignment horizontal="center" vertical="center"/>
      <protection locked="0"/>
    </xf>
    <xf numFmtId="209" fontId="12" fillId="6" borderId="32" xfId="0" applyNumberFormat="1" applyFont="1" applyFill="1" applyBorder="1" applyAlignment="1" applyProtection="1">
      <alignment horizontal="center" vertical="center"/>
      <protection locked="0"/>
    </xf>
    <xf numFmtId="0" fontId="168" fillId="0" borderId="32" xfId="0" applyFont="1" applyBorder="1" applyAlignment="1">
      <alignment horizontal="center" vertical="center"/>
    </xf>
    <xf numFmtId="1" fontId="168" fillId="0" borderId="32" xfId="0" applyNumberFormat="1" applyFont="1" applyBorder="1" applyAlignment="1">
      <alignment horizontal="center" vertical="center"/>
    </xf>
    <xf numFmtId="1" fontId="12" fillId="0" borderId="32" xfId="2094" applyNumberFormat="1" applyFont="1" applyFill="1" applyBorder="1" applyAlignment="1" applyProtection="1">
      <alignment horizontal="center" vertical="center" wrapText="1"/>
      <protection locked="0"/>
    </xf>
    <xf numFmtId="0" fontId="168" fillId="0" borderId="0" xfId="0" applyFont="1" applyBorder="1" applyAlignment="1">
      <alignment horizontal="center"/>
    </xf>
    <xf numFmtId="0" fontId="169" fillId="0" borderId="0" xfId="0" applyFont="1" applyBorder="1" applyAlignment="1">
      <alignment horizontal="center"/>
    </xf>
    <xf numFmtId="14" fontId="168" fillId="0" borderId="141" xfId="0" applyNumberFormat="1" applyFont="1" applyBorder="1" applyAlignment="1">
      <alignment horizontal="center"/>
    </xf>
    <xf numFmtId="0" fontId="0" fillId="0" borderId="142" xfId="0" applyBorder="1"/>
    <xf numFmtId="1" fontId="150" fillId="6" borderId="11" xfId="0" quotePrefix="1" applyNumberFormat="1" applyFont="1" applyFill="1" applyBorder="1" applyAlignment="1" applyProtection="1">
      <alignment horizontal="center" vertical="center"/>
      <protection locked="0"/>
    </xf>
    <xf numFmtId="1" fontId="27" fillId="6" borderId="11" xfId="0" quotePrefix="1" applyNumberFormat="1" applyFont="1" applyFill="1" applyBorder="1" applyAlignment="1" applyProtection="1">
      <alignment horizontal="center" vertical="center"/>
      <protection locked="0"/>
    </xf>
    <xf numFmtId="174" fontId="7" fillId="7" borderId="143" xfId="0" applyNumberFormat="1" applyFont="1" applyFill="1" applyBorder="1" applyAlignment="1" applyProtection="1">
      <alignment horizontal="center" vertical="center"/>
    </xf>
    <xf numFmtId="174" fontId="7" fillId="7" borderId="144" xfId="0" quotePrefix="1" applyNumberFormat="1" applyFont="1" applyFill="1" applyBorder="1" applyAlignment="1" applyProtection="1">
      <alignment horizontal="center" vertical="center" wrapText="1"/>
    </xf>
    <xf numFmtId="3" fontId="19" fillId="6" borderId="24" xfId="0" applyNumberFormat="1" applyFont="1" applyFill="1" applyBorder="1" applyAlignment="1" applyProtection="1">
      <alignment horizontal="center" vertical="center"/>
    </xf>
    <xf numFmtId="1" fontId="68" fillId="6" borderId="11" xfId="0" quotePrefix="1" applyNumberFormat="1" applyFont="1" applyFill="1" applyBorder="1" applyAlignment="1" applyProtection="1">
      <alignment horizontal="right" vertical="center" indent="1"/>
    </xf>
    <xf numFmtId="188" fontId="12" fillId="6" borderId="1" xfId="0" applyNumberFormat="1" applyFont="1" applyFill="1" applyBorder="1" applyAlignment="1" applyProtection="1">
      <alignment horizontal="center" vertical="center"/>
      <protection locked="0"/>
    </xf>
    <xf numFmtId="0" fontId="69" fillId="0" borderId="29" xfId="0" applyFont="1" applyBorder="1" applyAlignment="1">
      <alignment horizontal="center" vertical="center"/>
    </xf>
    <xf numFmtId="174" fontId="7" fillId="7" borderId="82" xfId="0" quotePrefix="1" applyNumberFormat="1" applyFont="1" applyFill="1" applyBorder="1" applyAlignment="1" applyProtection="1">
      <alignment horizontal="center" vertical="center" wrapText="1"/>
    </xf>
    <xf numFmtId="174" fontId="7" fillId="7" borderId="83" xfId="0" quotePrefix="1" applyNumberFormat="1" applyFont="1" applyFill="1" applyBorder="1" applyAlignment="1" applyProtection="1">
      <alignment horizontal="center" vertical="center" wrapText="1"/>
    </xf>
    <xf numFmtId="174" fontId="7" fillId="7" borderId="82" xfId="0" applyNumberFormat="1" applyFont="1" applyFill="1" applyBorder="1" applyAlignment="1" applyProtection="1">
      <alignment horizontal="center" vertical="center" wrapText="1"/>
    </xf>
    <xf numFmtId="174" fontId="7" fillId="7" borderId="83" xfId="0" applyNumberFormat="1" applyFont="1" applyFill="1" applyBorder="1" applyAlignment="1" applyProtection="1">
      <alignment horizontal="center" vertical="center" wrapText="1"/>
    </xf>
    <xf numFmtId="2" fontId="6" fillId="0" borderId="0" xfId="0" applyNumberFormat="1" applyFont="1" applyFill="1" applyBorder="1" applyAlignment="1" applyProtection="1">
      <alignment horizontal="center" vertical="center"/>
    </xf>
    <xf numFmtId="0" fontId="167" fillId="0" borderId="0" xfId="0" applyFont="1" applyFill="1" applyBorder="1" applyAlignment="1" applyProtection="1">
      <alignment horizontal="center" vertical="center"/>
    </xf>
    <xf numFmtId="0" fontId="12" fillId="6" borderId="32" xfId="0" applyFont="1" applyFill="1" applyBorder="1" applyAlignment="1" applyProtection="1">
      <alignment horizontal="center" vertical="center" wrapText="1"/>
      <protection locked="0"/>
    </xf>
    <xf numFmtId="1" fontId="12" fillId="6" borderId="32" xfId="0" applyNumberFormat="1" applyFont="1" applyFill="1" applyBorder="1" applyAlignment="1" applyProtection="1">
      <alignment horizontal="center" vertical="center" wrapText="1"/>
      <protection locked="0"/>
    </xf>
    <xf numFmtId="174" fontId="12" fillId="18" borderId="1" xfId="0" applyNumberFormat="1" applyFont="1" applyFill="1" applyBorder="1" applyAlignment="1" applyProtection="1">
      <alignment horizontal="center" vertical="center"/>
      <protection locked="0"/>
    </xf>
    <xf numFmtId="0" fontId="171" fillId="0" borderId="29" xfId="0" applyFont="1" applyBorder="1" applyAlignment="1" applyProtection="1">
      <alignment horizontal="left" vertical="center"/>
      <protection locked="0"/>
    </xf>
    <xf numFmtId="1" fontId="6" fillId="8" borderId="61" xfId="0" applyNumberFormat="1" applyFont="1" applyFill="1" applyBorder="1" applyAlignment="1" applyProtection="1">
      <alignment horizontal="right" vertical="center" indent="1"/>
    </xf>
    <xf numFmtId="0" fontId="59" fillId="6" borderId="0" xfId="0" applyFont="1" applyFill="1" applyBorder="1" applyAlignment="1" applyProtection="1">
      <alignment vertical="center"/>
    </xf>
    <xf numFmtId="2" fontId="174" fillId="0" borderId="0" xfId="0" applyNumberFormat="1" applyFont="1" applyFill="1" applyBorder="1" applyAlignment="1" applyProtection="1">
      <alignment horizontal="center" vertical="center"/>
      <protection hidden="1"/>
    </xf>
    <xf numFmtId="188" fontId="6" fillId="8" borderId="61" xfId="0" applyNumberFormat="1" applyFont="1" applyFill="1" applyBorder="1" applyAlignment="1" applyProtection="1">
      <alignment horizontal="right" vertical="center" indent="1"/>
    </xf>
    <xf numFmtId="1" fontId="170" fillId="6" borderId="145" xfId="0" applyNumberFormat="1" applyFont="1" applyFill="1" applyBorder="1" applyAlignment="1" applyProtection="1">
      <alignment horizontal="center" vertical="center"/>
    </xf>
    <xf numFmtId="1" fontId="175" fillId="6" borderId="146" xfId="0" applyNumberFormat="1" applyFont="1" applyFill="1" applyBorder="1" applyAlignment="1" applyProtection="1">
      <alignment horizontal="center" vertical="center"/>
    </xf>
    <xf numFmtId="1" fontId="176" fillId="14" borderId="145" xfId="0" applyNumberFormat="1" applyFont="1" applyFill="1" applyBorder="1" applyAlignment="1" applyProtection="1">
      <alignment horizontal="center" vertical="center"/>
    </xf>
    <xf numFmtId="0" fontId="26" fillId="6" borderId="0" xfId="0" applyFont="1" applyFill="1" applyBorder="1" applyAlignment="1" applyProtection="1">
      <alignment vertical="center"/>
    </xf>
    <xf numFmtId="0" fontId="177" fillId="6" borderId="112" xfId="0" quotePrefix="1" applyFont="1" applyFill="1" applyBorder="1" applyAlignment="1" applyProtection="1">
      <alignment horizontal="center" vertical="center"/>
    </xf>
    <xf numFmtId="179" fontId="177" fillId="6" borderId="61" xfId="0" applyNumberFormat="1" applyFont="1" applyFill="1" applyBorder="1" applyAlignment="1" applyProtection="1">
      <alignment horizontal="center" vertical="center"/>
    </xf>
    <xf numFmtId="176" fontId="177" fillId="6" borderId="61" xfId="0" applyNumberFormat="1" applyFont="1" applyFill="1" applyBorder="1" applyAlignment="1" applyProtection="1">
      <alignment horizontal="center" vertical="center"/>
    </xf>
    <xf numFmtId="1" fontId="177" fillId="6" borderId="125" xfId="0" applyNumberFormat="1" applyFont="1" applyFill="1" applyBorder="1" applyAlignment="1" applyProtection="1">
      <alignment horizontal="center" vertical="center"/>
    </xf>
    <xf numFmtId="0" fontId="178" fillId="6" borderId="0" xfId="0" applyFont="1" applyFill="1" applyBorder="1" applyAlignment="1" applyProtection="1">
      <alignment horizontal="center" vertical="center"/>
    </xf>
    <xf numFmtId="1" fontId="179" fillId="6" borderId="122" xfId="0" applyNumberFormat="1" applyFont="1" applyFill="1" applyBorder="1" applyAlignment="1" applyProtection="1">
      <alignment horizontal="center" vertical="center"/>
    </xf>
    <xf numFmtId="1" fontId="176" fillId="14" borderId="122" xfId="0" applyNumberFormat="1" applyFont="1" applyFill="1" applyBorder="1" applyAlignment="1" applyProtection="1">
      <alignment horizontal="center" vertical="center"/>
    </xf>
    <xf numFmtId="1" fontId="175" fillId="6" borderId="74" xfId="0" applyNumberFormat="1" applyFont="1" applyFill="1" applyBorder="1" applyAlignment="1" applyProtection="1">
      <alignment horizontal="center" vertical="center"/>
    </xf>
    <xf numFmtId="0" fontId="177" fillId="6" borderId="112" xfId="0" applyFont="1" applyFill="1" applyBorder="1" applyAlignment="1" applyProtection="1">
      <alignment horizontal="center" vertical="center"/>
    </xf>
    <xf numFmtId="1" fontId="179" fillId="6" borderId="7" xfId="0" applyNumberFormat="1" applyFont="1" applyFill="1" applyBorder="1" applyAlignment="1" applyProtection="1">
      <alignment horizontal="center" vertical="center"/>
    </xf>
    <xf numFmtId="1" fontId="176" fillId="14" borderId="7" xfId="0" applyNumberFormat="1" applyFont="1" applyFill="1" applyBorder="1" applyAlignment="1" applyProtection="1">
      <alignment horizontal="center" vertical="center"/>
    </xf>
    <xf numFmtId="1" fontId="175" fillId="6" borderId="147" xfId="0" applyNumberFormat="1" applyFont="1" applyFill="1" applyBorder="1" applyAlignment="1" applyProtection="1">
      <alignment horizontal="center" vertical="center"/>
    </xf>
    <xf numFmtId="1" fontId="179" fillId="6" borderId="60" xfId="0" applyNumberFormat="1" applyFont="1" applyFill="1" applyBorder="1" applyAlignment="1" applyProtection="1">
      <alignment horizontal="center" vertical="center"/>
    </xf>
    <xf numFmtId="1" fontId="176" fillId="14" borderId="60" xfId="0" applyNumberFormat="1" applyFont="1" applyFill="1" applyBorder="1" applyAlignment="1" applyProtection="1">
      <alignment horizontal="center" vertical="center"/>
    </xf>
    <xf numFmtId="0" fontId="177" fillId="6" borderId="112" xfId="0" quotePrefix="1" applyFont="1" applyFill="1" applyBorder="1" applyAlignment="1" applyProtection="1">
      <alignment horizontal="center" vertical="center" wrapText="1"/>
    </xf>
    <xf numFmtId="1" fontId="179" fillId="12" borderId="107" xfId="0" applyNumberFormat="1" applyFont="1" applyFill="1" applyBorder="1" applyAlignment="1" applyProtection="1">
      <alignment horizontal="center" vertical="center"/>
    </xf>
    <xf numFmtId="1" fontId="179" fillId="12" borderId="65" xfId="0" applyNumberFormat="1" applyFont="1" applyFill="1" applyBorder="1" applyAlignment="1" applyProtection="1">
      <alignment horizontal="center" vertical="center"/>
    </xf>
    <xf numFmtId="1" fontId="170" fillId="12" borderId="107" xfId="0" applyNumberFormat="1" applyFont="1" applyFill="1" applyBorder="1" applyAlignment="1" applyProtection="1">
      <alignment horizontal="center" vertical="center"/>
    </xf>
    <xf numFmtId="1" fontId="170" fillId="12" borderId="65" xfId="0" applyNumberFormat="1" applyFont="1" applyFill="1" applyBorder="1" applyAlignment="1" applyProtection="1">
      <alignment horizontal="center" vertical="center"/>
    </xf>
    <xf numFmtId="184" fontId="6" fillId="8" borderId="0" xfId="0" applyNumberFormat="1" applyFont="1" applyFill="1" applyBorder="1" applyAlignment="1" applyProtection="1">
      <alignment horizontal="right" vertical="center"/>
    </xf>
    <xf numFmtId="2" fontId="6" fillId="8" borderId="0" xfId="0" applyNumberFormat="1" applyFont="1" applyFill="1" applyBorder="1" applyAlignment="1" applyProtection="1">
      <alignment horizontal="right" vertical="center" indent="1"/>
    </xf>
    <xf numFmtId="1" fontId="175" fillId="6" borderId="64" xfId="0" applyNumberFormat="1" applyFont="1" applyFill="1" applyBorder="1" applyAlignment="1" applyProtection="1">
      <alignment horizontal="center" vertical="center"/>
    </xf>
    <xf numFmtId="1" fontId="170" fillId="12" borderId="145" xfId="0" applyNumberFormat="1" applyFont="1" applyFill="1" applyBorder="1" applyAlignment="1" applyProtection="1">
      <alignment horizontal="center" vertical="center"/>
    </xf>
    <xf numFmtId="1" fontId="170" fillId="12" borderId="146" xfId="0" applyNumberFormat="1" applyFont="1" applyFill="1" applyBorder="1" applyAlignment="1" applyProtection="1">
      <alignment horizontal="center" vertical="center"/>
    </xf>
    <xf numFmtId="185" fontId="177" fillId="6" borderId="61" xfId="0" applyNumberFormat="1" applyFont="1" applyFill="1" applyBorder="1" applyAlignment="1" applyProtection="1">
      <alignment horizontal="center" vertical="center"/>
    </xf>
    <xf numFmtId="182" fontId="15" fillId="6" borderId="0" xfId="0" applyNumberFormat="1" applyFont="1" applyFill="1" applyBorder="1" applyAlignment="1" applyProtection="1">
      <alignment horizontal="right" vertical="center" indent="1"/>
    </xf>
    <xf numFmtId="0" fontId="4" fillId="9" borderId="148" xfId="0" applyFont="1" applyFill="1" applyBorder="1" applyAlignment="1" applyProtection="1">
      <alignment horizontal="center" vertical="center" wrapText="1"/>
    </xf>
    <xf numFmtId="0" fontId="181" fillId="6" borderId="112" xfId="0" applyFont="1" applyFill="1" applyBorder="1" applyAlignment="1" applyProtection="1">
      <alignment horizontal="center" vertical="center"/>
    </xf>
    <xf numFmtId="180" fontId="177" fillId="6" borderId="61" xfId="0" applyNumberFormat="1" applyFont="1" applyFill="1" applyBorder="1" applyAlignment="1" applyProtection="1">
      <alignment horizontal="center" vertical="center"/>
    </xf>
    <xf numFmtId="1" fontId="180" fillId="6" borderId="125" xfId="0" applyNumberFormat="1" applyFont="1" applyFill="1" applyBorder="1" applyAlignment="1" applyProtection="1">
      <alignment horizontal="center" vertical="center"/>
    </xf>
    <xf numFmtId="179" fontId="177" fillId="19" borderId="61" xfId="0" applyNumberFormat="1" applyFont="1" applyFill="1" applyBorder="1" applyAlignment="1" applyProtection="1">
      <alignment horizontal="center" vertical="center"/>
    </xf>
    <xf numFmtId="176" fontId="177" fillId="19" borderId="61" xfId="0" applyNumberFormat="1" applyFont="1" applyFill="1" applyBorder="1" applyAlignment="1" applyProtection="1">
      <alignment horizontal="center" vertical="center"/>
    </xf>
    <xf numFmtId="1" fontId="177" fillId="6" borderId="61" xfId="0" applyNumberFormat="1" applyFont="1" applyFill="1" applyBorder="1" applyAlignment="1" applyProtection="1">
      <alignment horizontal="center" vertical="center"/>
    </xf>
    <xf numFmtId="179" fontId="182" fillId="8" borderId="117" xfId="0" applyNumberFormat="1" applyFont="1" applyFill="1" applyBorder="1" applyAlignment="1" applyProtection="1">
      <alignment horizontal="center" vertical="center"/>
    </xf>
    <xf numFmtId="1" fontId="182" fillId="8" borderId="135" xfId="0" applyNumberFormat="1" applyFont="1" applyFill="1" applyBorder="1" applyAlignment="1" applyProtection="1">
      <alignment horizontal="center" vertical="center"/>
    </xf>
    <xf numFmtId="211" fontId="182" fillId="8" borderId="117" xfId="0" applyNumberFormat="1" applyFont="1" applyFill="1" applyBorder="1" applyAlignment="1" applyProtection="1">
      <alignment horizontal="center" vertical="center"/>
    </xf>
    <xf numFmtId="1" fontId="180" fillId="6" borderId="122" xfId="0" applyNumberFormat="1" applyFont="1" applyFill="1" applyBorder="1" applyAlignment="1" applyProtection="1">
      <alignment horizontal="center" vertical="center"/>
    </xf>
    <xf numFmtId="1" fontId="180" fillId="6" borderId="7" xfId="0" applyNumberFormat="1" applyFont="1" applyFill="1" applyBorder="1" applyAlignment="1" applyProtection="1">
      <alignment horizontal="center" vertical="center"/>
    </xf>
    <xf numFmtId="179" fontId="180" fillId="6" borderId="7" xfId="0" applyNumberFormat="1" applyFont="1" applyFill="1" applyBorder="1" applyAlignment="1" applyProtection="1">
      <alignment horizontal="center" vertical="center"/>
    </xf>
    <xf numFmtId="179" fontId="180" fillId="6" borderId="107" xfId="0" applyNumberFormat="1" applyFont="1" applyFill="1" applyBorder="1" applyAlignment="1" applyProtection="1">
      <alignment horizontal="center" vertical="center"/>
    </xf>
    <xf numFmtId="1" fontId="180" fillId="6" borderId="107" xfId="0" applyNumberFormat="1" applyFont="1" applyFill="1" applyBorder="1" applyAlignment="1" applyProtection="1">
      <alignment horizontal="center" vertical="center"/>
    </xf>
    <xf numFmtId="188" fontId="180" fillId="6" borderId="122" xfId="0" applyNumberFormat="1" applyFont="1" applyFill="1" applyBorder="1" applyAlignment="1" applyProtection="1">
      <alignment horizontal="center" vertical="center"/>
    </xf>
    <xf numFmtId="188" fontId="180" fillId="6" borderId="107" xfId="0" applyNumberFormat="1" applyFont="1" applyFill="1" applyBorder="1" applyAlignment="1" applyProtection="1">
      <alignment horizontal="center" vertical="center"/>
    </xf>
    <xf numFmtId="183" fontId="180" fillId="6" borderId="1" xfId="0" applyNumberFormat="1" applyFont="1" applyFill="1" applyBorder="1" applyAlignment="1" applyProtection="1">
      <alignment horizontal="center" vertical="center"/>
    </xf>
    <xf numFmtId="183" fontId="180" fillId="6" borderId="25" xfId="0" applyNumberFormat="1" applyFont="1" applyFill="1" applyBorder="1" applyAlignment="1" applyProtection="1">
      <alignment horizontal="center" vertical="center"/>
    </xf>
    <xf numFmtId="1" fontId="183" fillId="0" borderId="0" xfId="0" applyNumberFormat="1" applyFont="1" applyAlignment="1">
      <alignment horizontal="center" vertical="center"/>
    </xf>
    <xf numFmtId="1" fontId="184" fillId="18" borderId="149" xfId="2399" applyNumberFormat="1" applyFont="1" applyFill="1" applyBorder="1" applyAlignment="1" applyProtection="1">
      <alignment horizontal="center" vertical="center"/>
    </xf>
    <xf numFmtId="0" fontId="0" fillId="0" borderId="150" xfId="0" applyBorder="1"/>
    <xf numFmtId="0" fontId="184" fillId="6" borderId="0" xfId="2395" applyFont="1" applyFill="1" applyBorder="1" applyAlignment="1" applyProtection="1">
      <alignment horizontal="center" vertical="center" wrapText="1"/>
      <protection locked="0"/>
    </xf>
    <xf numFmtId="0" fontId="170" fillId="0" borderId="27" xfId="0" quotePrefix="1" applyFont="1" applyBorder="1" applyAlignment="1" applyProtection="1">
      <alignment horizontal="left" vertical="center"/>
    </xf>
    <xf numFmtId="0" fontId="170" fillId="0" borderId="27" xfId="0" applyFont="1" applyBorder="1" applyAlignment="1" applyProtection="1">
      <alignment horizontal="left" vertical="center"/>
    </xf>
    <xf numFmtId="0" fontId="31" fillId="0" borderId="0" xfId="0" applyFont="1" applyBorder="1" applyAlignment="1" applyProtection="1">
      <protection locked="0"/>
    </xf>
    <xf numFmtId="0" fontId="31" fillId="0" borderId="0" xfId="0" applyFont="1" applyFill="1" applyBorder="1" applyAlignment="1" applyProtection="1">
      <alignment horizontal="center"/>
      <protection locked="0"/>
    </xf>
    <xf numFmtId="49" fontId="31" fillId="0" borderId="0" xfId="0" applyNumberFormat="1" applyFont="1" applyFill="1" applyBorder="1" applyAlignment="1" applyProtection="1">
      <alignment horizontal="center"/>
      <protection locked="0"/>
    </xf>
    <xf numFmtId="0" fontId="31" fillId="0" borderId="0" xfId="0" applyFont="1" applyAlignment="1" applyProtection="1">
      <protection locked="0"/>
    </xf>
    <xf numFmtId="0" fontId="31" fillId="0" borderId="0" xfId="0" applyFont="1" applyAlignment="1" applyProtection="1">
      <alignment vertical="center"/>
      <protection locked="0"/>
    </xf>
    <xf numFmtId="0" fontId="31" fillId="0" borderId="0" xfId="0" applyFont="1" applyFill="1" applyBorder="1" applyAlignment="1" applyProtection="1">
      <protection locked="0"/>
    </xf>
    <xf numFmtId="0" fontId="31" fillId="0" borderId="0" xfId="0" applyFont="1" applyProtection="1">
      <protection locked="0"/>
    </xf>
    <xf numFmtId="0" fontId="5" fillId="6" borderId="112" xfId="0" applyFont="1" applyFill="1" applyBorder="1" applyAlignment="1">
      <alignment horizontal="center" vertical="center"/>
    </xf>
    <xf numFmtId="188" fontId="73" fillId="0" borderId="1" xfId="0" applyNumberFormat="1" applyFont="1" applyFill="1" applyBorder="1" applyAlignment="1" applyProtection="1">
      <alignment horizontal="right" vertical="center"/>
      <protection locked="0"/>
    </xf>
    <xf numFmtId="1" fontId="12" fillId="0" borderId="32" xfId="2094" applyNumberFormat="1" applyFont="1" applyBorder="1" applyAlignment="1" applyProtection="1">
      <alignment horizontal="center" vertical="center"/>
      <protection locked="0"/>
    </xf>
    <xf numFmtId="1" fontId="12" fillId="0" borderId="32" xfId="2094" applyNumberFormat="1" applyFont="1" applyBorder="1" applyAlignment="1" applyProtection="1">
      <alignment horizontal="center" vertical="center" wrapText="1"/>
      <protection locked="0"/>
    </xf>
    <xf numFmtId="2" fontId="12" fillId="6" borderId="24" xfId="0" applyNumberFormat="1" applyFont="1" applyFill="1" applyBorder="1" applyAlignment="1" applyProtection="1">
      <alignment horizontal="center" vertical="center"/>
      <protection locked="0"/>
    </xf>
    <xf numFmtId="2" fontId="12" fillId="6" borderId="38" xfId="0" applyNumberFormat="1" applyFont="1" applyFill="1" applyBorder="1" applyAlignment="1" applyProtection="1">
      <alignment horizontal="center" vertical="center"/>
      <protection locked="0"/>
    </xf>
    <xf numFmtId="2" fontId="12" fillId="6" borderId="38" xfId="0" applyNumberFormat="1" applyFont="1" applyFill="1" applyBorder="1" applyAlignment="1" applyProtection="1">
      <alignment horizontal="center" vertical="center" wrapText="1"/>
      <protection locked="0"/>
    </xf>
    <xf numFmtId="0" fontId="7" fillId="7" borderId="78" xfId="0" applyFont="1" applyFill="1" applyBorder="1" applyAlignment="1" applyProtection="1">
      <alignment horizontal="center" vertical="center" wrapText="1"/>
    </xf>
    <xf numFmtId="0" fontId="7" fillId="7" borderId="29" xfId="0" applyFont="1" applyFill="1" applyBorder="1" applyAlignment="1" applyProtection="1">
      <alignment horizontal="center" vertical="center" wrapText="1"/>
    </xf>
    <xf numFmtId="9" fontId="12" fillId="0" borderId="1" xfId="0" applyNumberFormat="1" applyFont="1" applyFill="1" applyBorder="1" applyAlignment="1" applyProtection="1">
      <alignment horizontal="center" vertical="center"/>
      <protection locked="0"/>
    </xf>
    <xf numFmtId="1" fontId="184" fillId="18" borderId="66" xfId="2399" applyNumberFormat="1" applyFont="1" applyFill="1" applyBorder="1" applyAlignment="1" applyProtection="1">
      <alignment horizontal="center" vertical="center" wrapText="1"/>
      <protection locked="0"/>
    </xf>
    <xf numFmtId="1" fontId="184" fillId="18" borderId="149" xfId="2399" applyNumberFormat="1" applyFont="1" applyFill="1" applyBorder="1" applyAlignment="1" applyProtection="1">
      <alignment horizontal="center" vertical="center"/>
      <protection locked="0"/>
    </xf>
    <xf numFmtId="179" fontId="19" fillId="19" borderId="90" xfId="0" applyNumberFormat="1" applyFont="1" applyFill="1" applyBorder="1" applyAlignment="1" applyProtection="1">
      <alignment horizontal="center" vertical="center"/>
    </xf>
    <xf numFmtId="179" fontId="19" fillId="19" borderId="62" xfId="0" applyNumberFormat="1" applyFont="1" applyFill="1" applyBorder="1" applyAlignment="1" applyProtection="1">
      <alignment horizontal="center" vertical="center"/>
    </xf>
    <xf numFmtId="2" fontId="4" fillId="7" borderId="66" xfId="0" quotePrefix="1" applyNumberFormat="1" applyFont="1" applyFill="1" applyBorder="1" applyAlignment="1" applyProtection="1">
      <alignment horizontal="left" vertical="center" wrapText="1"/>
    </xf>
    <xf numFmtId="2" fontId="4" fillId="7" borderId="67" xfId="0" quotePrefix="1" applyNumberFormat="1" applyFont="1" applyFill="1" applyBorder="1" applyAlignment="1" applyProtection="1">
      <alignment horizontal="left" vertical="center" wrapText="1"/>
    </xf>
    <xf numFmtId="0" fontId="29" fillId="6" borderId="112" xfId="0" quotePrefix="1" applyFont="1" applyFill="1" applyBorder="1" applyAlignment="1" applyProtection="1">
      <alignment horizontal="center" vertical="center"/>
    </xf>
    <xf numFmtId="0" fontId="29" fillId="6" borderId="38" xfId="0" quotePrefix="1" applyFont="1" applyFill="1" applyBorder="1" applyAlignment="1" applyProtection="1">
      <alignment horizontal="center" vertical="center"/>
    </xf>
    <xf numFmtId="0" fontId="29" fillId="6" borderId="113" xfId="0" applyFont="1" applyFill="1" applyBorder="1" applyAlignment="1" applyProtection="1">
      <alignment horizontal="center" vertical="center"/>
    </xf>
    <xf numFmtId="0" fontId="29" fillId="6" borderId="45" xfId="0" applyFont="1" applyFill="1" applyBorder="1" applyAlignment="1" applyProtection="1">
      <alignment horizontal="center" vertical="center"/>
    </xf>
    <xf numFmtId="1" fontId="180" fillId="6" borderId="66" xfId="0" applyNumberFormat="1" applyFont="1" applyFill="1" applyBorder="1" applyAlignment="1" applyProtection="1">
      <alignment horizontal="center" vertical="center"/>
    </xf>
    <xf numFmtId="1" fontId="180" fillId="6" borderId="67" xfId="0" applyNumberFormat="1" applyFont="1" applyFill="1" applyBorder="1" applyAlignment="1" applyProtection="1">
      <alignment horizontal="center" vertical="center"/>
    </xf>
    <xf numFmtId="174" fontId="4" fillId="7" borderId="66" xfId="0" quotePrefix="1" applyNumberFormat="1" applyFont="1" applyFill="1" applyBorder="1" applyAlignment="1" applyProtection="1">
      <alignment horizontal="center" vertical="center" wrapText="1"/>
    </xf>
    <xf numFmtId="174" fontId="4" fillId="7" borderId="63" xfId="0" quotePrefix="1" applyNumberFormat="1" applyFont="1" applyFill="1" applyBorder="1" applyAlignment="1" applyProtection="1">
      <alignment horizontal="center" vertical="center" wrapText="1"/>
    </xf>
    <xf numFmtId="174" fontId="4" fillId="7" borderId="67" xfId="0" quotePrefix="1" applyNumberFormat="1" applyFont="1" applyFill="1" applyBorder="1" applyAlignment="1" applyProtection="1">
      <alignment horizontal="center" vertical="center" wrapText="1"/>
    </xf>
    <xf numFmtId="179" fontId="19" fillId="19" borderId="170" xfId="0" applyNumberFormat="1" applyFont="1" applyFill="1" applyBorder="1" applyAlignment="1" applyProtection="1">
      <alignment horizontal="center" vertical="center"/>
    </xf>
    <xf numFmtId="179" fontId="19" fillId="19" borderId="80" xfId="0" applyNumberFormat="1" applyFont="1" applyFill="1" applyBorder="1" applyAlignment="1" applyProtection="1">
      <alignment horizontal="center" vertical="center"/>
    </xf>
    <xf numFmtId="174" fontId="7" fillId="7" borderId="32" xfId="0" applyNumberFormat="1" applyFont="1" applyFill="1" applyBorder="1" applyAlignment="1" applyProtection="1">
      <alignment horizontal="center" vertical="center"/>
    </xf>
    <xf numFmtId="0" fontId="0" fillId="0" borderId="32" xfId="0" applyBorder="1"/>
    <xf numFmtId="205" fontId="124" fillId="6" borderId="66" xfId="0" applyNumberFormat="1" applyFont="1" applyFill="1" applyBorder="1" applyAlignment="1" applyProtection="1">
      <alignment horizontal="center" vertical="center"/>
      <protection hidden="1"/>
    </xf>
    <xf numFmtId="205" fontId="124" fillId="6" borderId="63" xfId="0" applyNumberFormat="1" applyFont="1" applyFill="1" applyBorder="1" applyAlignment="1" applyProtection="1">
      <alignment horizontal="center" vertical="center"/>
      <protection hidden="1"/>
    </xf>
    <xf numFmtId="205" fontId="124" fillId="6" borderId="67" xfId="0" applyNumberFormat="1" applyFont="1" applyFill="1" applyBorder="1" applyAlignment="1" applyProtection="1">
      <alignment horizontal="center" vertical="center"/>
      <protection hidden="1"/>
    </xf>
    <xf numFmtId="0" fontId="11" fillId="6" borderId="112" xfId="0" quotePrefix="1" applyFont="1" applyFill="1" applyBorder="1" applyAlignment="1" applyProtection="1">
      <alignment horizontal="center" vertical="center"/>
    </xf>
    <xf numFmtId="0" fontId="11" fillId="6" borderId="38" xfId="0" quotePrefix="1" applyFont="1" applyFill="1" applyBorder="1" applyAlignment="1" applyProtection="1">
      <alignment horizontal="center" vertical="center"/>
    </xf>
    <xf numFmtId="174" fontId="7" fillId="7" borderId="144" xfId="0" applyNumberFormat="1" applyFont="1" applyFill="1" applyBorder="1" applyAlignment="1" applyProtection="1">
      <alignment horizontal="center" vertical="center"/>
    </xf>
    <xf numFmtId="174" fontId="7" fillId="7" borderId="143" xfId="0" applyNumberFormat="1" applyFont="1" applyFill="1" applyBorder="1" applyAlignment="1" applyProtection="1">
      <alignment horizontal="center" vertical="center"/>
    </xf>
    <xf numFmtId="0" fontId="11" fillId="6" borderId="113" xfId="0" quotePrefix="1" applyFont="1" applyFill="1" applyBorder="1" applyAlignment="1" applyProtection="1">
      <alignment horizontal="center" vertical="center"/>
    </xf>
    <xf numFmtId="0" fontId="11" fillId="6" borderId="45" xfId="0" quotePrefix="1" applyFont="1" applyFill="1" applyBorder="1" applyAlignment="1" applyProtection="1">
      <alignment horizontal="center" vertical="center"/>
    </xf>
    <xf numFmtId="0" fontId="29" fillId="6" borderId="96" xfId="0" quotePrefix="1" applyFont="1" applyFill="1" applyBorder="1" applyAlignment="1" applyProtection="1">
      <alignment horizontal="center" vertical="center"/>
    </xf>
    <xf numFmtId="0" fontId="29" fillId="6" borderId="167" xfId="0" quotePrefix="1" applyFont="1" applyFill="1" applyBorder="1" applyAlignment="1" applyProtection="1">
      <alignment horizontal="center" vertical="center"/>
    </xf>
    <xf numFmtId="0" fontId="11" fillId="6" borderId="66" xfId="0" applyFont="1" applyFill="1" applyBorder="1" applyAlignment="1" applyProtection="1">
      <alignment horizontal="right" vertical="center"/>
    </xf>
    <xf numFmtId="0" fontId="11" fillId="6" borderId="63" xfId="0" applyFont="1" applyFill="1" applyBorder="1" applyAlignment="1" applyProtection="1">
      <alignment horizontal="right" vertical="center"/>
    </xf>
    <xf numFmtId="0" fontId="11" fillId="6" borderId="168" xfId="0" applyFont="1" applyFill="1" applyBorder="1" applyAlignment="1" applyProtection="1">
      <alignment horizontal="right" vertical="center"/>
    </xf>
    <xf numFmtId="179" fontId="160" fillId="6" borderId="134" xfId="0" applyNumberFormat="1" applyFont="1" applyFill="1" applyBorder="1" applyAlignment="1" applyProtection="1">
      <alignment horizontal="center" vertical="center"/>
    </xf>
    <xf numFmtId="179" fontId="160" fillId="6" borderId="67" xfId="0" applyNumberFormat="1" applyFont="1" applyFill="1" applyBorder="1" applyAlignment="1" applyProtection="1">
      <alignment horizontal="center" vertical="center"/>
    </xf>
    <xf numFmtId="0" fontId="29" fillId="6" borderId="112" xfId="0" applyFont="1" applyFill="1" applyBorder="1" applyAlignment="1" applyProtection="1">
      <alignment horizontal="center" vertical="center"/>
    </xf>
    <xf numFmtId="0" fontId="29" fillId="6" borderId="38" xfId="0" applyFont="1" applyFill="1" applyBorder="1" applyAlignment="1" applyProtection="1">
      <alignment horizontal="center" vertical="center"/>
    </xf>
    <xf numFmtId="174" fontId="7" fillId="7" borderId="111" xfId="0" applyNumberFormat="1" applyFont="1" applyFill="1" applyBorder="1" applyAlignment="1" applyProtection="1">
      <alignment horizontal="center" vertical="center"/>
    </xf>
    <xf numFmtId="174" fontId="7" fillId="7" borderId="33" xfId="0" applyNumberFormat="1" applyFont="1" applyFill="1" applyBorder="1" applyAlignment="1" applyProtection="1">
      <alignment horizontal="center" vertical="center"/>
    </xf>
    <xf numFmtId="174" fontId="4" fillId="7" borderId="158" xfId="0" applyNumberFormat="1" applyFont="1" applyFill="1" applyBorder="1" applyAlignment="1" applyProtection="1">
      <alignment vertical="center" wrapText="1"/>
    </xf>
    <xf numFmtId="174" fontId="4" fillId="7" borderId="159" xfId="0" applyNumberFormat="1" applyFont="1" applyFill="1" applyBorder="1" applyAlignment="1" applyProtection="1">
      <alignment vertical="center" wrapText="1"/>
    </xf>
    <xf numFmtId="179" fontId="19" fillId="19" borderId="169" xfId="0" applyNumberFormat="1" applyFont="1" applyFill="1" applyBorder="1" applyAlignment="1" applyProtection="1">
      <alignment horizontal="center" vertical="center"/>
    </xf>
    <xf numFmtId="179" fontId="19" fillId="19" borderId="81" xfId="0" applyNumberFormat="1" applyFont="1" applyFill="1" applyBorder="1" applyAlignment="1" applyProtection="1">
      <alignment horizontal="center" vertical="center"/>
    </xf>
    <xf numFmtId="0" fontId="11" fillId="6" borderId="112" xfId="0" quotePrefix="1" applyFont="1" applyFill="1" applyBorder="1" applyAlignment="1" applyProtection="1">
      <alignment horizontal="left" vertical="center"/>
    </xf>
    <xf numFmtId="0" fontId="11" fillId="6" borderId="38" xfId="0" quotePrefix="1" applyFont="1" applyFill="1" applyBorder="1" applyAlignment="1" applyProtection="1">
      <alignment horizontal="left" vertical="center"/>
    </xf>
    <xf numFmtId="0" fontId="29" fillId="6" borderId="163" xfId="0" quotePrefix="1" applyFont="1" applyFill="1" applyBorder="1" applyAlignment="1" applyProtection="1">
      <alignment horizontal="center" vertical="center"/>
    </xf>
    <xf numFmtId="0" fontId="29" fillId="6" borderId="164" xfId="0" quotePrefix="1" applyFont="1" applyFill="1" applyBorder="1" applyAlignment="1" applyProtection="1">
      <alignment horizontal="center" vertical="center"/>
    </xf>
    <xf numFmtId="0" fontId="11" fillId="6" borderId="129" xfId="0" quotePrefix="1" applyFont="1" applyFill="1" applyBorder="1" applyAlignment="1" applyProtection="1">
      <alignment horizontal="center" vertical="center"/>
    </xf>
    <xf numFmtId="0" fontId="11" fillId="6" borderId="130" xfId="0" quotePrefix="1" applyFont="1" applyFill="1" applyBorder="1" applyAlignment="1" applyProtection="1">
      <alignment horizontal="center" vertical="center"/>
    </xf>
    <xf numFmtId="179" fontId="180" fillId="6" borderId="107" xfId="0" applyNumberFormat="1" applyFont="1" applyFill="1" applyBorder="1" applyAlignment="1" applyProtection="1">
      <alignment horizontal="center" vertical="center"/>
    </xf>
    <xf numFmtId="179" fontId="180" fillId="6" borderId="65" xfId="0" applyNumberFormat="1" applyFont="1" applyFill="1" applyBorder="1" applyAlignment="1" applyProtection="1">
      <alignment horizontal="center" vertical="center"/>
    </xf>
    <xf numFmtId="179" fontId="180" fillId="6" borderId="7" xfId="0" applyNumberFormat="1" applyFont="1" applyFill="1" applyBorder="1" applyAlignment="1" applyProtection="1">
      <alignment horizontal="center" vertical="center"/>
    </xf>
    <xf numFmtId="179" fontId="180" fillId="6" borderId="64" xfId="0" applyNumberFormat="1" applyFont="1" applyFill="1" applyBorder="1" applyAlignment="1" applyProtection="1">
      <alignment horizontal="center" vertical="center"/>
    </xf>
    <xf numFmtId="0" fontId="11" fillId="6" borderId="163" xfId="0" quotePrefix="1" applyFont="1" applyFill="1" applyBorder="1" applyAlignment="1" applyProtection="1">
      <alignment horizontal="center" vertical="center"/>
    </xf>
    <xf numFmtId="0" fontId="11" fillId="6" borderId="164" xfId="0" quotePrefix="1" applyFont="1" applyFill="1" applyBorder="1" applyAlignment="1" applyProtection="1">
      <alignment horizontal="center" vertical="center"/>
    </xf>
    <xf numFmtId="0" fontId="29" fillId="6" borderId="59" xfId="0" quotePrefix="1" applyFont="1" applyFill="1" applyBorder="1" applyAlignment="1" applyProtection="1">
      <alignment horizontal="center" vertical="center"/>
    </xf>
    <xf numFmtId="0" fontId="29" fillId="6" borderId="7" xfId="0" quotePrefix="1" applyFont="1" applyFill="1" applyBorder="1" applyAlignment="1" applyProtection="1">
      <alignment horizontal="center" vertical="center"/>
    </xf>
    <xf numFmtId="0" fontId="29" fillId="6" borderId="106" xfId="0" quotePrefix="1" applyFont="1" applyFill="1" applyBorder="1" applyAlignment="1" applyProtection="1">
      <alignment horizontal="center" vertical="center"/>
    </xf>
    <xf numFmtId="0" fontId="29" fillId="6" borderId="107" xfId="0" quotePrefix="1" applyFont="1" applyFill="1" applyBorder="1" applyAlignment="1" applyProtection="1">
      <alignment horizontal="center" vertical="center"/>
    </xf>
    <xf numFmtId="174" fontId="7" fillId="7" borderId="122" xfId="0" applyNumberFormat="1" applyFont="1" applyFill="1" applyBorder="1" applyAlignment="1" applyProtection="1">
      <alignment horizontal="center" vertical="center"/>
    </xf>
    <xf numFmtId="174" fontId="7" fillId="7" borderId="74" xfId="0" applyNumberFormat="1" applyFont="1" applyFill="1" applyBorder="1" applyAlignment="1" applyProtection="1">
      <alignment horizontal="center" vertical="center"/>
    </xf>
    <xf numFmtId="174" fontId="7" fillId="7" borderId="7" xfId="0" applyNumberFormat="1" applyFont="1" applyFill="1" applyBorder="1" applyAlignment="1" applyProtection="1">
      <alignment horizontal="center" vertical="center"/>
    </xf>
    <xf numFmtId="174" fontId="7" fillId="7" borderId="64" xfId="0" applyNumberFormat="1" applyFont="1" applyFill="1" applyBorder="1" applyAlignment="1" applyProtection="1">
      <alignment horizontal="center" vertical="center"/>
    </xf>
    <xf numFmtId="179" fontId="19" fillId="19" borderId="107" xfId="0" applyNumberFormat="1" applyFont="1" applyFill="1" applyBorder="1" applyAlignment="1" applyProtection="1">
      <alignment horizontal="center" vertical="center"/>
    </xf>
    <xf numFmtId="179" fontId="19" fillId="19" borderId="65" xfId="0" applyNumberFormat="1" applyFont="1" applyFill="1" applyBorder="1" applyAlignment="1" applyProtection="1">
      <alignment horizontal="center" vertical="center"/>
    </xf>
    <xf numFmtId="179" fontId="160" fillId="6" borderId="7" xfId="0" applyNumberFormat="1" applyFont="1" applyFill="1" applyBorder="1" applyAlignment="1" applyProtection="1">
      <alignment horizontal="center" vertical="center"/>
    </xf>
    <xf numFmtId="179" fontId="160" fillId="6" borderId="64" xfId="0" applyNumberFormat="1" applyFont="1" applyFill="1" applyBorder="1" applyAlignment="1" applyProtection="1">
      <alignment horizontal="center" vertical="center"/>
    </xf>
    <xf numFmtId="179" fontId="19" fillId="19" borderId="7" xfId="0" applyNumberFormat="1" applyFont="1" applyFill="1" applyBorder="1" applyAlignment="1" applyProtection="1">
      <alignment horizontal="center" vertical="center"/>
    </xf>
    <xf numFmtId="179" fontId="19" fillId="19" borderId="64" xfId="0" applyNumberFormat="1" applyFont="1" applyFill="1" applyBorder="1" applyAlignment="1" applyProtection="1">
      <alignment horizontal="center" vertical="center"/>
    </xf>
    <xf numFmtId="1" fontId="160" fillId="14" borderId="112" xfId="0" applyNumberFormat="1" applyFont="1" applyFill="1" applyBorder="1" applyAlignment="1" applyProtection="1">
      <alignment horizontal="center" vertical="center"/>
    </xf>
    <xf numFmtId="1" fontId="160" fillId="14" borderId="42" xfId="0" applyNumberFormat="1" applyFont="1" applyFill="1" applyBorder="1" applyAlignment="1" applyProtection="1">
      <alignment horizontal="center" vertical="center"/>
    </xf>
    <xf numFmtId="0" fontId="29" fillId="6" borderId="123" xfId="0" quotePrefix="1" applyFont="1" applyFill="1" applyBorder="1" applyAlignment="1" applyProtection="1">
      <alignment horizontal="center" vertical="center"/>
    </xf>
    <xf numFmtId="0" fontId="29" fillId="6" borderId="122" xfId="0" quotePrefix="1" applyFont="1" applyFill="1" applyBorder="1" applyAlignment="1" applyProtection="1">
      <alignment horizontal="center" vertical="center"/>
    </xf>
    <xf numFmtId="174" fontId="60" fillId="7" borderId="158" xfId="0" applyNumberFormat="1" applyFont="1" applyFill="1" applyBorder="1" applyAlignment="1" applyProtection="1">
      <alignment vertical="center" wrapText="1"/>
    </xf>
    <xf numFmtId="174" fontId="60" fillId="7" borderId="159" xfId="0" applyNumberFormat="1" applyFont="1" applyFill="1" applyBorder="1" applyAlignment="1" applyProtection="1">
      <alignment vertical="center" wrapText="1"/>
    </xf>
    <xf numFmtId="179" fontId="19" fillId="19" borderId="122" xfId="0" applyNumberFormat="1" applyFont="1" applyFill="1" applyBorder="1" applyAlignment="1" applyProtection="1">
      <alignment horizontal="center" vertical="center"/>
    </xf>
    <xf numFmtId="179" fontId="19" fillId="19" borderId="74" xfId="0" applyNumberFormat="1" applyFont="1" applyFill="1" applyBorder="1" applyAlignment="1" applyProtection="1">
      <alignment horizontal="center" vertical="center"/>
    </xf>
    <xf numFmtId="3" fontId="180" fillId="0" borderId="24" xfId="0" applyNumberFormat="1" applyFont="1" applyFill="1" applyBorder="1" applyAlignment="1" applyProtection="1">
      <alignment horizontal="center" vertical="center"/>
    </xf>
    <xf numFmtId="3" fontId="180" fillId="0" borderId="38" xfId="0" applyNumberFormat="1" applyFont="1" applyFill="1" applyBorder="1" applyAlignment="1" applyProtection="1">
      <alignment horizontal="center" vertical="center"/>
    </xf>
    <xf numFmtId="1" fontId="160" fillId="14" borderId="96" xfId="0" applyNumberFormat="1" applyFont="1" applyFill="1" applyBorder="1" applyAlignment="1" applyProtection="1">
      <alignment horizontal="center" vertical="center"/>
    </xf>
    <xf numFmtId="1" fontId="160" fillId="14" borderId="79" xfId="0" applyNumberFormat="1" applyFont="1" applyFill="1" applyBorder="1" applyAlignment="1" applyProtection="1">
      <alignment horizontal="center" vertical="center"/>
    </xf>
    <xf numFmtId="3" fontId="180" fillId="0" borderId="42" xfId="0" applyNumberFormat="1" applyFont="1" applyFill="1" applyBorder="1" applyAlignment="1" applyProtection="1">
      <alignment horizontal="center" vertical="center"/>
    </xf>
    <xf numFmtId="174" fontId="7" fillId="7" borderId="77" xfId="0" applyNumberFormat="1" applyFont="1" applyFill="1" applyBorder="1" applyAlignment="1" applyProtection="1">
      <alignment horizontal="center" vertical="center"/>
    </xf>
    <xf numFmtId="174" fontId="7" fillId="7" borderId="167" xfId="0" applyNumberFormat="1" applyFont="1" applyFill="1" applyBorder="1" applyAlignment="1" applyProtection="1">
      <alignment horizontal="center" vertical="center"/>
    </xf>
    <xf numFmtId="0" fontId="123" fillId="0" borderId="63" xfId="0" quotePrefix="1" applyFont="1" applyFill="1" applyBorder="1" applyAlignment="1" applyProtection="1">
      <alignment horizontal="center" vertical="center"/>
    </xf>
    <xf numFmtId="174" fontId="4" fillId="7" borderId="77" xfId="0" applyNumberFormat="1" applyFont="1" applyFill="1" applyBorder="1" applyAlignment="1" applyProtection="1">
      <alignment horizontal="center" vertical="center" wrapText="1"/>
    </xf>
    <xf numFmtId="174" fontId="4" fillId="7" borderId="79" xfId="0" applyNumberFormat="1" applyFont="1" applyFill="1" applyBorder="1" applyAlignment="1" applyProtection="1">
      <alignment horizontal="center" vertical="center" wrapText="1"/>
    </xf>
    <xf numFmtId="0" fontId="6" fillId="6" borderId="111" xfId="0" quotePrefix="1" applyFont="1" applyFill="1" applyBorder="1" applyAlignment="1" applyProtection="1">
      <alignment horizontal="center" vertical="center" wrapText="1"/>
    </xf>
    <xf numFmtId="0" fontId="6" fillId="6" borderId="81" xfId="0" quotePrefix="1" applyFont="1" applyFill="1" applyBorder="1" applyAlignment="1" applyProtection="1">
      <alignment horizontal="center" vertical="center" wrapText="1"/>
    </xf>
    <xf numFmtId="0" fontId="6" fillId="6" borderId="116" xfId="0" quotePrefix="1" applyFont="1" applyFill="1" applyBorder="1" applyAlignment="1" applyProtection="1">
      <alignment horizontal="center" vertical="center" wrapText="1"/>
    </xf>
    <xf numFmtId="0" fontId="6" fillId="6" borderId="80" xfId="0" quotePrefix="1" applyFont="1" applyFill="1" applyBorder="1" applyAlignment="1" applyProtection="1">
      <alignment horizontal="center" vertical="center" wrapText="1"/>
    </xf>
    <xf numFmtId="1" fontId="184" fillId="18" borderId="153" xfId="2399" quotePrefix="1" applyNumberFormat="1" applyFont="1" applyFill="1" applyBorder="1" applyAlignment="1" applyProtection="1">
      <alignment horizontal="left" vertical="center" wrapText="1"/>
      <protection locked="0"/>
    </xf>
    <xf numFmtId="1" fontId="184" fillId="18" borderId="63" xfId="2399" quotePrefix="1" applyNumberFormat="1" applyFont="1" applyFill="1" applyBorder="1" applyAlignment="1" applyProtection="1">
      <alignment horizontal="left" vertical="center" wrapText="1"/>
      <protection locked="0"/>
    </xf>
    <xf numFmtId="1" fontId="184" fillId="18" borderId="149" xfId="2399" quotePrefix="1" applyNumberFormat="1" applyFont="1" applyFill="1" applyBorder="1" applyAlignment="1" applyProtection="1">
      <alignment horizontal="left" vertical="center" wrapText="1"/>
      <protection locked="0"/>
    </xf>
    <xf numFmtId="0" fontId="181" fillId="18" borderId="153" xfId="0" quotePrefix="1" applyFont="1" applyFill="1" applyBorder="1" applyAlignment="1" applyProtection="1">
      <alignment horizontal="center" vertical="center" wrapText="1"/>
      <protection locked="0"/>
    </xf>
    <xf numFmtId="0" fontId="181" fillId="18" borderId="67" xfId="0" quotePrefix="1" applyFont="1" applyFill="1" applyBorder="1" applyAlignment="1" applyProtection="1">
      <alignment horizontal="center" vertical="center" wrapText="1"/>
      <protection locked="0"/>
    </xf>
    <xf numFmtId="174" fontId="4" fillId="7" borderId="165" xfId="0" quotePrefix="1" applyNumberFormat="1" applyFont="1" applyFill="1" applyBorder="1" applyAlignment="1" applyProtection="1">
      <alignment vertical="center" wrapText="1"/>
    </xf>
    <xf numFmtId="174" fontId="4" fillId="7" borderId="166" xfId="0" quotePrefix="1" applyNumberFormat="1" applyFont="1" applyFill="1" applyBorder="1" applyAlignment="1" applyProtection="1">
      <alignment vertical="center" wrapText="1"/>
    </xf>
    <xf numFmtId="3" fontId="181" fillId="0" borderId="44" xfId="0" quotePrefix="1" applyNumberFormat="1" applyFont="1" applyFill="1" applyBorder="1" applyAlignment="1" applyProtection="1">
      <alignment horizontal="center" vertical="center"/>
    </xf>
    <xf numFmtId="3" fontId="181" fillId="0" borderId="45" xfId="0" quotePrefix="1" applyNumberFormat="1" applyFont="1" applyFill="1" applyBorder="1" applyAlignment="1" applyProtection="1">
      <alignment horizontal="center" vertical="center"/>
    </xf>
    <xf numFmtId="188" fontId="126" fillId="6" borderId="95" xfId="0" applyNumberFormat="1" applyFont="1" applyFill="1" applyBorder="1" applyAlignment="1" applyProtection="1">
      <alignment horizontal="center" vertical="center"/>
    </xf>
    <xf numFmtId="188" fontId="126" fillId="6" borderId="130" xfId="0" applyNumberFormat="1" applyFont="1" applyFill="1" applyBorder="1" applyAlignment="1" applyProtection="1">
      <alignment horizontal="center" vertical="center"/>
    </xf>
    <xf numFmtId="2" fontId="180" fillId="6" borderId="66" xfId="0" applyNumberFormat="1" applyFont="1" applyFill="1" applyBorder="1" applyAlignment="1" applyProtection="1">
      <alignment horizontal="center" vertical="center"/>
    </xf>
    <xf numFmtId="2" fontId="180" fillId="6" borderId="67" xfId="0" applyNumberFormat="1" applyFont="1" applyFill="1" applyBorder="1" applyAlignment="1" applyProtection="1">
      <alignment horizontal="center" vertical="center"/>
    </xf>
    <xf numFmtId="0" fontId="126" fillId="6" borderId="94" xfId="0" applyFont="1" applyFill="1" applyBorder="1" applyAlignment="1" applyProtection="1">
      <alignment horizontal="center" vertical="center"/>
    </xf>
    <xf numFmtId="0" fontId="126" fillId="6" borderId="133" xfId="0" applyFont="1" applyFill="1" applyBorder="1" applyAlignment="1" applyProtection="1">
      <alignment horizontal="center" vertical="center"/>
    </xf>
    <xf numFmtId="1" fontId="184" fillId="18" borderId="153" xfId="2399" applyNumberFormat="1" applyFont="1" applyFill="1" applyBorder="1" applyAlignment="1" applyProtection="1">
      <alignment horizontal="left" vertical="center" wrapText="1"/>
      <protection locked="0"/>
    </xf>
    <xf numFmtId="1" fontId="184" fillId="18" borderId="63" xfId="2399" applyNumberFormat="1" applyFont="1" applyFill="1" applyBorder="1" applyAlignment="1" applyProtection="1">
      <alignment horizontal="left" vertical="center" wrapText="1"/>
      <protection locked="0"/>
    </xf>
    <xf numFmtId="1" fontId="184" fillId="18" borderId="149" xfId="2399" applyNumberFormat="1" applyFont="1" applyFill="1" applyBorder="1" applyAlignment="1" applyProtection="1">
      <alignment horizontal="left" vertical="center" wrapText="1"/>
      <protection locked="0"/>
    </xf>
    <xf numFmtId="196" fontId="109" fillId="6" borderId="96" xfId="0" applyNumberFormat="1" applyFont="1" applyFill="1" applyBorder="1" applyAlignment="1" applyProtection="1">
      <alignment horizontal="center" vertical="center"/>
    </xf>
    <xf numFmtId="196" fontId="109" fillId="6" borderId="79" xfId="0" applyNumberFormat="1" applyFont="1" applyFill="1" applyBorder="1" applyAlignment="1" applyProtection="1">
      <alignment horizontal="center" vertical="center"/>
    </xf>
    <xf numFmtId="0" fontId="24" fillId="6" borderId="0" xfId="0" applyFont="1" applyFill="1" applyBorder="1" applyAlignment="1" applyProtection="1">
      <alignment horizontal="right" indent="2"/>
      <protection hidden="1"/>
    </xf>
    <xf numFmtId="0" fontId="24" fillId="6" borderId="62" xfId="0" applyFont="1" applyFill="1" applyBorder="1" applyAlignment="1" applyProtection="1">
      <alignment horizontal="right" indent="2"/>
      <protection hidden="1"/>
    </xf>
    <xf numFmtId="174" fontId="7" fillId="7" borderId="132" xfId="0" applyNumberFormat="1" applyFont="1" applyFill="1" applyBorder="1" applyAlignment="1" applyProtection="1">
      <alignment horizontal="center" vertical="center"/>
    </xf>
    <xf numFmtId="174" fontId="7" fillId="7" borderId="133" xfId="0" applyNumberFormat="1" applyFont="1" applyFill="1" applyBorder="1" applyAlignment="1" applyProtection="1">
      <alignment horizontal="center" vertical="center"/>
    </xf>
    <xf numFmtId="0" fontId="37" fillId="0" borderId="27" xfId="0" quotePrefix="1" applyFont="1" applyFill="1" applyBorder="1" applyAlignment="1" applyProtection="1">
      <alignment horizontal="center" vertical="center"/>
    </xf>
    <xf numFmtId="174" fontId="7" fillId="7" borderId="161" xfId="0" quotePrefix="1" applyNumberFormat="1" applyFont="1" applyFill="1" applyBorder="1" applyAlignment="1" applyProtection="1">
      <alignment horizontal="center" vertical="center" wrapText="1"/>
    </xf>
    <xf numFmtId="174" fontId="7" fillId="7" borderId="162" xfId="0" quotePrefix="1" applyNumberFormat="1" applyFont="1" applyFill="1" applyBorder="1" applyAlignment="1" applyProtection="1">
      <alignment horizontal="center" vertical="center" wrapText="1"/>
    </xf>
    <xf numFmtId="0" fontId="173" fillId="7" borderId="66" xfId="0" quotePrefix="1" applyFont="1" applyFill="1" applyBorder="1" applyAlignment="1" applyProtection="1">
      <alignment horizontal="center" vertical="center"/>
    </xf>
    <xf numFmtId="0" fontId="173" fillId="7" borderId="63" xfId="0" quotePrefix="1" applyFont="1" applyFill="1" applyBorder="1" applyAlignment="1" applyProtection="1">
      <alignment horizontal="center" vertical="center"/>
    </xf>
    <xf numFmtId="174" fontId="4" fillId="7" borderId="66" xfId="0" applyNumberFormat="1" applyFont="1" applyFill="1" applyBorder="1" applyAlignment="1" applyProtection="1">
      <alignment horizontal="center" vertical="center" wrapText="1"/>
    </xf>
    <xf numFmtId="174" fontId="4" fillId="7" borderId="155" xfId="0" applyNumberFormat="1" applyFont="1" applyFill="1" applyBorder="1" applyAlignment="1" applyProtection="1">
      <alignment horizontal="center" vertical="center" wrapText="1"/>
    </xf>
    <xf numFmtId="174" fontId="4" fillId="7" borderId="32" xfId="0" quotePrefix="1" applyNumberFormat="1" applyFont="1" applyFill="1" applyBorder="1" applyAlignment="1" applyProtection="1">
      <alignment horizontal="right" vertical="center" wrapText="1" indent="1"/>
    </xf>
    <xf numFmtId="174" fontId="4" fillId="7" borderId="66" xfId="0" applyNumberFormat="1" applyFont="1" applyFill="1" applyBorder="1" applyAlignment="1" applyProtection="1">
      <alignment horizontal="right" vertical="center" wrapText="1" indent="1"/>
    </xf>
    <xf numFmtId="0" fontId="8" fillId="10" borderId="66" xfId="0" quotePrefix="1" applyFont="1" applyFill="1" applyBorder="1" applyAlignment="1" applyProtection="1">
      <alignment horizontal="left" vertical="center"/>
    </xf>
    <xf numFmtId="0" fontId="8" fillId="10" borderId="63" xfId="0" quotePrefix="1" applyFont="1" applyFill="1" applyBorder="1" applyAlignment="1" applyProtection="1">
      <alignment horizontal="center" vertical="center"/>
    </xf>
    <xf numFmtId="0" fontId="8" fillId="10" borderId="67" xfId="0" quotePrefix="1" applyFont="1" applyFill="1" applyBorder="1" applyAlignment="1" applyProtection="1">
      <alignment horizontal="center" vertical="center"/>
    </xf>
    <xf numFmtId="177" fontId="160" fillId="6" borderId="32" xfId="0" applyNumberFormat="1" applyFont="1" applyFill="1" applyBorder="1" applyAlignment="1" applyProtection="1">
      <alignment horizontal="center" vertical="center"/>
      <protection locked="0"/>
    </xf>
    <xf numFmtId="0" fontId="37" fillId="6" borderId="29" xfId="0" quotePrefix="1" applyFont="1" applyFill="1" applyBorder="1" applyAlignment="1" applyProtection="1">
      <alignment horizontal="center" vertical="center"/>
    </xf>
    <xf numFmtId="187" fontId="123" fillId="0" borderId="27" xfId="0" applyNumberFormat="1" applyFont="1" applyFill="1" applyBorder="1" applyAlignment="1" applyProtection="1">
      <alignment horizontal="center" vertical="center"/>
      <protection hidden="1"/>
    </xf>
    <xf numFmtId="174" fontId="4" fillId="7" borderId="111" xfId="0" applyNumberFormat="1" applyFont="1" applyFill="1" applyBorder="1" applyAlignment="1" applyProtection="1">
      <alignment horizontal="center" vertical="center" wrapText="1"/>
    </xf>
    <xf numFmtId="174" fontId="4" fillId="7" borderId="160" xfId="0" applyNumberFormat="1" applyFont="1" applyFill="1" applyBorder="1" applyAlignment="1" applyProtection="1">
      <alignment horizontal="center" vertical="center" wrapText="1"/>
    </xf>
    <xf numFmtId="174" fontId="4" fillId="7" borderId="158" xfId="0" applyNumberFormat="1" applyFont="1" applyFill="1" applyBorder="1" applyAlignment="1" applyProtection="1">
      <alignment horizontal="left" vertical="center" wrapText="1"/>
    </xf>
    <xf numFmtId="174" fontId="4" fillId="7" borderId="159" xfId="0" applyNumberFormat="1" applyFont="1" applyFill="1" applyBorder="1" applyAlignment="1" applyProtection="1">
      <alignment horizontal="left" vertical="center" wrapText="1"/>
    </xf>
    <xf numFmtId="0" fontId="8" fillId="6" borderId="63" xfId="0" applyFont="1" applyFill="1" applyBorder="1" applyAlignment="1" applyProtection="1">
      <alignment horizontal="center" vertical="center"/>
      <protection locked="0"/>
    </xf>
    <xf numFmtId="3" fontId="181" fillId="0" borderId="156" xfId="0" quotePrefix="1" applyNumberFormat="1" applyFont="1" applyFill="1" applyBorder="1" applyAlignment="1" applyProtection="1">
      <alignment horizontal="center" vertical="center"/>
    </xf>
    <xf numFmtId="1" fontId="160" fillId="14" borderId="113" xfId="0" applyNumberFormat="1" applyFont="1" applyFill="1" applyBorder="1" applyAlignment="1" applyProtection="1">
      <alignment horizontal="center" vertical="center"/>
    </xf>
    <xf numFmtId="1" fontId="160" fillId="14" borderId="156" xfId="0" applyNumberFormat="1" applyFont="1" applyFill="1" applyBorder="1" applyAlignment="1" applyProtection="1">
      <alignment horizontal="center" vertical="center"/>
    </xf>
    <xf numFmtId="196" fontId="109" fillId="6" borderId="113" xfId="0" applyNumberFormat="1" applyFont="1" applyFill="1" applyBorder="1" applyAlignment="1" applyProtection="1">
      <alignment horizontal="center" vertical="center"/>
    </xf>
    <xf numFmtId="196" fontId="109" fillId="6" borderId="156" xfId="0" applyNumberFormat="1" applyFont="1" applyFill="1" applyBorder="1" applyAlignment="1" applyProtection="1">
      <alignment horizontal="center" vertical="center"/>
    </xf>
    <xf numFmtId="174" fontId="4" fillId="7" borderId="116" xfId="0" applyNumberFormat="1" applyFont="1" applyFill="1" applyBorder="1" applyAlignment="1" applyProtection="1">
      <alignment horizontal="center" vertical="center" wrapText="1"/>
    </xf>
    <xf numFmtId="174" fontId="4" fillId="7" borderId="157" xfId="0" applyNumberFormat="1" applyFont="1" applyFill="1" applyBorder="1" applyAlignment="1" applyProtection="1">
      <alignment horizontal="center" vertical="center" wrapText="1"/>
    </xf>
    <xf numFmtId="0" fontId="163" fillId="6" borderId="24" xfId="2395" quotePrefix="1" applyFont="1" applyFill="1" applyBorder="1" applyAlignment="1" applyProtection="1">
      <alignment horizontal="left" vertical="center" wrapText="1"/>
      <protection locked="0"/>
    </xf>
    <xf numFmtId="0" fontId="163" fillId="6" borderId="41" xfId="2395" quotePrefix="1" applyFont="1" applyFill="1" applyBorder="1" applyAlignment="1" applyProtection="1">
      <alignment horizontal="left" vertical="center" wrapText="1"/>
      <protection locked="0"/>
    </xf>
    <xf numFmtId="0" fontId="163" fillId="6" borderId="42" xfId="2395" quotePrefix="1" applyFont="1" applyFill="1" applyBorder="1" applyAlignment="1" applyProtection="1">
      <alignment horizontal="left" vertical="center" wrapText="1"/>
      <protection locked="0"/>
    </xf>
    <xf numFmtId="0" fontId="163" fillId="6" borderId="38" xfId="2395" quotePrefix="1" applyFont="1" applyFill="1" applyBorder="1" applyAlignment="1" applyProtection="1">
      <alignment horizontal="left" vertical="center" wrapText="1"/>
      <protection locked="0"/>
    </xf>
    <xf numFmtId="180" fontId="50" fillId="6" borderId="24" xfId="0" applyNumberFormat="1" applyFont="1" applyFill="1" applyBorder="1" applyAlignment="1" applyProtection="1">
      <alignment horizontal="right" vertical="center" indent="1"/>
    </xf>
    <xf numFmtId="180" fontId="50" fillId="6" borderId="38" xfId="0" applyNumberFormat="1" applyFont="1" applyFill="1" applyBorder="1" applyAlignment="1" applyProtection="1">
      <alignment horizontal="right" vertical="center" indent="1"/>
    </xf>
    <xf numFmtId="180" fontId="50" fillId="6" borderId="24" xfId="0" quotePrefix="1" applyNumberFormat="1" applyFont="1" applyFill="1" applyBorder="1" applyAlignment="1" applyProtection="1">
      <alignment horizontal="right" vertical="center" indent="1"/>
    </xf>
    <xf numFmtId="180" fontId="50" fillId="6" borderId="24" xfId="0" applyNumberFormat="1" applyFont="1" applyFill="1" applyBorder="1" applyAlignment="1" applyProtection="1">
      <alignment horizontal="center" vertical="center"/>
    </xf>
    <xf numFmtId="180" fontId="50" fillId="6" borderId="38" xfId="0" applyNumberFormat="1" applyFont="1" applyFill="1" applyBorder="1" applyAlignment="1" applyProtection="1">
      <alignment horizontal="center" vertical="center"/>
    </xf>
    <xf numFmtId="0" fontId="171" fillId="0" borderId="29" xfId="0" applyFont="1" applyBorder="1" applyAlignment="1" applyProtection="1">
      <alignment horizontal="left" vertical="center"/>
      <protection locked="0"/>
    </xf>
    <xf numFmtId="0" fontId="172" fillId="0" borderId="29" xfId="0" applyFont="1" applyBorder="1" applyAlignment="1" applyProtection="1">
      <alignment horizontal="left" vertical="center"/>
      <protection locked="0"/>
    </xf>
    <xf numFmtId="0" fontId="48" fillId="0" borderId="24" xfId="0" quotePrefix="1" applyFont="1" applyBorder="1" applyAlignment="1" applyProtection="1">
      <alignment horizontal="left" vertical="center" indent="1"/>
      <protection locked="0"/>
    </xf>
    <xf numFmtId="0" fontId="48" fillId="0" borderId="41" xfId="0" quotePrefix="1" applyFont="1" applyBorder="1" applyAlignment="1" applyProtection="1">
      <alignment horizontal="left" vertical="center" indent="1"/>
      <protection locked="0"/>
    </xf>
    <xf numFmtId="0" fontId="48" fillId="0" borderId="38" xfId="0" quotePrefix="1" applyFont="1" applyBorder="1" applyAlignment="1" applyProtection="1">
      <alignment horizontal="left" vertical="center" indent="1"/>
      <protection locked="0"/>
    </xf>
    <xf numFmtId="0" fontId="46" fillId="0" borderId="24" xfId="0" quotePrefix="1" applyFont="1" applyBorder="1" applyAlignment="1" applyProtection="1">
      <alignment horizontal="left" vertical="center" indent="1"/>
      <protection locked="0"/>
    </xf>
    <xf numFmtId="0" fontId="46" fillId="0" borderId="41" xfId="0" quotePrefix="1" applyFont="1" applyBorder="1" applyAlignment="1" applyProtection="1">
      <alignment horizontal="left" vertical="center" indent="1"/>
      <protection locked="0"/>
    </xf>
    <xf numFmtId="0" fontId="46" fillId="0" borderId="38" xfId="0" quotePrefix="1" applyFont="1" applyBorder="1" applyAlignment="1" applyProtection="1">
      <alignment horizontal="left" vertical="center" indent="1"/>
      <protection locked="0"/>
    </xf>
    <xf numFmtId="0" fontId="46" fillId="0" borderId="24" xfId="0" quotePrefix="1" applyFont="1" applyBorder="1" applyAlignment="1" applyProtection="1">
      <alignment horizontal="left" vertical="center" indent="1"/>
    </xf>
    <xf numFmtId="0" fontId="46" fillId="0" borderId="41" xfId="0" quotePrefix="1" applyFont="1" applyBorder="1" applyAlignment="1" applyProtection="1">
      <alignment horizontal="left" vertical="center" indent="1"/>
    </xf>
    <xf numFmtId="0" fontId="46" fillId="0" borderId="38" xfId="0" quotePrefix="1" applyFont="1" applyBorder="1" applyAlignment="1" applyProtection="1">
      <alignment horizontal="left" vertical="center" indent="1"/>
    </xf>
    <xf numFmtId="0" fontId="0" fillId="0" borderId="32" xfId="0" applyBorder="1" applyAlignment="1">
      <alignment horizontal="center"/>
    </xf>
    <xf numFmtId="15" fontId="49" fillId="6" borderId="24" xfId="0" quotePrefix="1" applyNumberFormat="1" applyFont="1" applyFill="1" applyBorder="1" applyAlignment="1" applyProtection="1">
      <alignment horizontal="left" vertical="center" indent="1"/>
      <protection locked="0"/>
    </xf>
    <xf numFmtId="15" fontId="49" fillId="6" borderId="41" xfId="0" quotePrefix="1" applyNumberFormat="1" applyFont="1" applyFill="1" applyBorder="1" applyAlignment="1" applyProtection="1">
      <alignment horizontal="left" vertical="center" indent="1"/>
      <protection locked="0"/>
    </xf>
    <xf numFmtId="0" fontId="33" fillId="9" borderId="96" xfId="0" applyFont="1" applyFill="1" applyBorder="1" applyAlignment="1" applyProtection="1">
      <alignment horizontal="center" vertical="center"/>
    </xf>
    <xf numFmtId="0" fontId="33" fillId="9" borderId="78" xfId="0" applyFont="1" applyFill="1" applyBorder="1" applyAlignment="1" applyProtection="1">
      <alignment horizontal="center" vertical="center"/>
    </xf>
    <xf numFmtId="0" fontId="33" fillId="9" borderId="154" xfId="0" applyFont="1" applyFill="1" applyBorder="1" applyAlignment="1" applyProtection="1">
      <alignment horizontal="center" vertical="center"/>
    </xf>
    <xf numFmtId="0" fontId="181" fillId="18" borderId="151" xfId="0" quotePrefix="1" applyFont="1" applyFill="1" applyBorder="1" applyAlignment="1" applyProtection="1">
      <alignment horizontal="center" vertical="center" wrapText="1"/>
      <protection locked="0"/>
    </xf>
    <xf numFmtId="0" fontId="0" fillId="0" borderId="152" xfId="0" applyBorder="1"/>
    <xf numFmtId="174" fontId="4" fillId="7" borderId="148" xfId="0" quotePrefix="1" applyNumberFormat="1" applyFont="1" applyFill="1" applyBorder="1" applyAlignment="1" applyProtection="1">
      <alignment horizontal="center" vertical="center"/>
    </xf>
    <xf numFmtId="174" fontId="4" fillId="7" borderId="52" xfId="0" quotePrefix="1" applyNumberFormat="1" applyFont="1" applyFill="1" applyBorder="1" applyAlignment="1" applyProtection="1">
      <alignment horizontal="center" vertical="center"/>
    </xf>
    <xf numFmtId="174" fontId="7" fillId="7" borderId="78" xfId="0" applyNumberFormat="1" applyFont="1" applyFill="1" applyBorder="1" applyAlignment="1" applyProtection="1">
      <alignment horizontal="center" vertical="center"/>
    </xf>
    <xf numFmtId="174" fontId="7" fillId="7" borderId="79" xfId="0" applyNumberFormat="1" applyFont="1" applyFill="1" applyBorder="1" applyAlignment="1" applyProtection="1">
      <alignment horizontal="center" vertical="center"/>
    </xf>
    <xf numFmtId="49" fontId="12" fillId="0" borderId="24" xfId="0" quotePrefix="1" applyNumberFormat="1" applyFont="1" applyBorder="1" applyAlignment="1" applyProtection="1">
      <alignment horizontal="left" vertical="center" wrapText="1"/>
      <protection locked="0"/>
    </xf>
    <xf numFmtId="49" fontId="12" fillId="0" borderId="42" xfId="0" quotePrefix="1" applyNumberFormat="1" applyFont="1" applyBorder="1" applyAlignment="1" applyProtection="1">
      <alignment horizontal="left" vertical="center" wrapText="1"/>
      <protection locked="0"/>
    </xf>
    <xf numFmtId="0" fontId="18" fillId="6" borderId="27" xfId="0" quotePrefix="1" applyFont="1" applyFill="1" applyBorder="1" applyAlignment="1" applyProtection="1">
      <alignment horizontal="left" vertical="center"/>
      <protection hidden="1"/>
    </xf>
    <xf numFmtId="174" fontId="7" fillId="7" borderId="171" xfId="0" applyNumberFormat="1" applyFont="1" applyFill="1" applyBorder="1" applyAlignment="1" applyProtection="1">
      <alignment horizontal="center" vertical="center" wrapText="1"/>
    </xf>
    <xf numFmtId="174" fontId="7" fillId="7" borderId="79" xfId="0" applyNumberFormat="1" applyFont="1" applyFill="1" applyBorder="1" applyAlignment="1" applyProtection="1">
      <alignment horizontal="center" vertical="center" wrapText="1"/>
    </xf>
    <xf numFmtId="49" fontId="12" fillId="0" borderId="24" xfId="0" quotePrefix="1" applyNumberFormat="1" applyFont="1" applyFill="1" applyBorder="1" applyAlignment="1" applyProtection="1">
      <alignment horizontal="left" vertical="center" wrapText="1"/>
      <protection locked="0"/>
    </xf>
    <xf numFmtId="49" fontId="12" fillId="0" borderId="42" xfId="0" quotePrefix="1" applyNumberFormat="1" applyFont="1" applyFill="1" applyBorder="1" applyAlignment="1" applyProtection="1">
      <alignment horizontal="left" vertical="center" wrapText="1"/>
      <protection locked="0"/>
    </xf>
    <xf numFmtId="174" fontId="7" fillId="7" borderId="29" xfId="0" quotePrefix="1" applyNumberFormat="1" applyFont="1" applyFill="1" applyBorder="1" applyAlignment="1" applyProtection="1">
      <alignment horizontal="center" vertical="center" wrapText="1"/>
      <protection locked="0"/>
    </xf>
    <xf numFmtId="174" fontId="7" fillId="7" borderId="0" xfId="0" quotePrefix="1" applyNumberFormat="1" applyFont="1" applyFill="1" applyBorder="1" applyAlignment="1" applyProtection="1">
      <alignment horizontal="center" vertical="center" wrapText="1"/>
      <protection locked="0"/>
    </xf>
    <xf numFmtId="174" fontId="7" fillId="7" borderId="186" xfId="0" quotePrefix="1" applyNumberFormat="1" applyFont="1" applyFill="1" applyBorder="1" applyAlignment="1" applyProtection="1">
      <alignment horizontal="center" vertical="center" wrapText="1"/>
      <protection locked="0"/>
    </xf>
    <xf numFmtId="174" fontId="7" fillId="7" borderId="187" xfId="0" quotePrefix="1" applyNumberFormat="1" applyFont="1" applyFill="1" applyBorder="1" applyAlignment="1" applyProtection="1">
      <alignment horizontal="center" vertical="center" wrapText="1"/>
      <protection locked="0"/>
    </xf>
    <xf numFmtId="174" fontId="7" fillId="7" borderId="177" xfId="0" applyNumberFormat="1" applyFont="1" applyFill="1" applyBorder="1" applyAlignment="1" applyProtection="1">
      <alignment horizontal="center" vertical="center" wrapText="1"/>
    </xf>
    <xf numFmtId="174" fontId="7" fillId="7" borderId="178" xfId="0" quotePrefix="1" applyNumberFormat="1" applyFont="1" applyFill="1" applyBorder="1" applyAlignment="1" applyProtection="1">
      <alignment horizontal="center" vertical="center" wrapText="1"/>
    </xf>
    <xf numFmtId="174" fontId="7" fillId="7" borderId="29" xfId="0" applyNumberFormat="1" applyFont="1" applyFill="1" applyBorder="1" applyAlignment="1" applyProtection="1">
      <alignment horizontal="center" vertical="center" wrapText="1"/>
      <protection locked="0"/>
    </xf>
    <xf numFmtId="174" fontId="7" fillId="7" borderId="0" xfId="0" applyNumberFormat="1" applyFont="1" applyFill="1" applyBorder="1" applyAlignment="1" applyProtection="1">
      <alignment horizontal="center" vertical="center" wrapText="1"/>
      <protection locked="0"/>
    </xf>
    <xf numFmtId="174" fontId="34" fillId="7" borderId="20" xfId="0" applyNumberFormat="1" applyFont="1" applyFill="1" applyBorder="1" applyAlignment="1" applyProtection="1">
      <alignment horizontal="center" vertical="center" wrapText="1"/>
    </xf>
    <xf numFmtId="174" fontId="34" fillId="7" borderId="97" xfId="0" applyNumberFormat="1" applyFont="1" applyFill="1" applyBorder="1" applyAlignment="1" applyProtection="1">
      <alignment horizontal="center" vertical="center" wrapText="1"/>
    </xf>
    <xf numFmtId="174" fontId="35" fillId="7" borderId="82" xfId="0" quotePrefix="1" applyNumberFormat="1" applyFont="1" applyFill="1" applyBorder="1" applyAlignment="1" applyProtection="1">
      <alignment horizontal="center" vertical="center" wrapText="1"/>
    </xf>
    <xf numFmtId="174" fontId="35" fillId="7" borderId="83" xfId="0" quotePrefix="1" applyNumberFormat="1" applyFont="1" applyFill="1" applyBorder="1" applyAlignment="1" applyProtection="1">
      <alignment horizontal="center" vertical="center" wrapText="1"/>
    </xf>
    <xf numFmtId="174" fontId="34" fillId="7" borderId="172" xfId="0" quotePrefix="1" applyNumberFormat="1" applyFont="1" applyFill="1" applyBorder="1" applyAlignment="1" applyProtection="1">
      <alignment horizontal="center" vertical="center" wrapText="1"/>
    </xf>
    <xf numFmtId="174" fontId="35" fillId="7" borderId="15" xfId="0" quotePrefix="1" applyNumberFormat="1" applyFont="1" applyFill="1" applyBorder="1" applyAlignment="1" applyProtection="1">
      <alignment horizontal="center" vertical="center" wrapText="1"/>
    </xf>
    <xf numFmtId="174" fontId="35" fillId="7" borderId="184" xfId="0" applyNumberFormat="1" applyFont="1" applyFill="1" applyBorder="1" applyAlignment="1" applyProtection="1">
      <alignment horizontal="center" vertical="center" wrapText="1"/>
    </xf>
    <xf numFmtId="174" fontId="35" fillId="7" borderId="185" xfId="0" quotePrefix="1" applyNumberFormat="1" applyFont="1" applyFill="1" applyBorder="1" applyAlignment="1" applyProtection="1">
      <alignment horizontal="center" vertical="center" wrapText="1"/>
    </xf>
    <xf numFmtId="174" fontId="35" fillId="7" borderId="173" xfId="0" applyNumberFormat="1" applyFont="1" applyFill="1" applyBorder="1" applyAlignment="1" applyProtection="1">
      <alignment horizontal="center" vertical="center" wrapText="1"/>
    </xf>
    <xf numFmtId="174" fontId="35" fillId="7" borderId="174" xfId="0" applyNumberFormat="1" applyFont="1" applyFill="1" applyBorder="1" applyAlignment="1" applyProtection="1">
      <alignment horizontal="center" vertical="center" wrapText="1"/>
    </xf>
    <xf numFmtId="174" fontId="35" fillId="7" borderId="20" xfId="0" applyNumberFormat="1" applyFont="1" applyFill="1" applyBorder="1" applyAlignment="1" applyProtection="1">
      <alignment horizontal="center" vertical="center" wrapText="1"/>
    </xf>
    <xf numFmtId="174" fontId="35" fillId="7" borderId="97" xfId="0" applyNumberFormat="1" applyFont="1" applyFill="1" applyBorder="1" applyAlignment="1" applyProtection="1">
      <alignment horizontal="center" vertical="center" wrapText="1"/>
    </xf>
    <xf numFmtId="174" fontId="34" fillId="7" borderId="23" xfId="0" applyNumberFormat="1" applyFont="1" applyFill="1" applyBorder="1" applyAlignment="1" applyProtection="1">
      <alignment horizontal="center" vertical="center" wrapText="1"/>
    </xf>
    <xf numFmtId="174" fontId="35" fillId="7" borderId="29" xfId="0" applyNumberFormat="1" applyFont="1" applyFill="1" applyBorder="1" applyAlignment="1" applyProtection="1">
      <alignment horizontal="center" vertical="center" wrapText="1"/>
    </xf>
    <xf numFmtId="174" fontId="35" fillId="7" borderId="172" xfId="0" applyNumberFormat="1" applyFont="1" applyFill="1" applyBorder="1" applyAlignment="1" applyProtection="1">
      <alignment horizontal="center" vertical="center" wrapText="1"/>
    </xf>
    <xf numFmtId="174" fontId="35" fillId="7" borderId="180" xfId="0" applyNumberFormat="1" applyFont="1" applyFill="1" applyBorder="1" applyAlignment="1" applyProtection="1">
      <alignment horizontal="center" vertical="center" wrapText="1"/>
    </xf>
    <xf numFmtId="174" fontId="35" fillId="7" borderId="181" xfId="0" applyNumberFormat="1" applyFont="1" applyFill="1" applyBorder="1" applyAlignment="1" applyProtection="1">
      <alignment horizontal="center" vertical="center" wrapText="1"/>
    </xf>
    <xf numFmtId="192" fontId="18" fillId="6" borderId="27" xfId="0" applyNumberFormat="1" applyFont="1" applyFill="1" applyBorder="1" applyAlignment="1" applyProtection="1">
      <alignment horizontal="center" vertical="center"/>
    </xf>
    <xf numFmtId="174" fontId="35" fillId="7" borderId="82" xfId="0" applyNumberFormat="1" applyFont="1" applyFill="1" applyBorder="1" applyAlignment="1" applyProtection="1">
      <alignment horizontal="center" vertical="center" wrapText="1"/>
    </xf>
    <xf numFmtId="174" fontId="35" fillId="7" borderId="177" xfId="0" quotePrefix="1" applyNumberFormat="1" applyFont="1" applyFill="1" applyBorder="1" applyAlignment="1" applyProtection="1">
      <alignment horizontal="center" vertical="center" wrapText="1"/>
    </xf>
    <xf numFmtId="174" fontId="35" fillId="7" borderId="178" xfId="0" applyNumberFormat="1" applyFont="1" applyFill="1" applyBorder="1" applyAlignment="1" applyProtection="1">
      <alignment horizontal="center" vertical="center" wrapText="1"/>
    </xf>
    <xf numFmtId="174" fontId="35" fillId="7" borderId="182" xfId="0" applyNumberFormat="1" applyFont="1" applyFill="1" applyBorder="1" applyAlignment="1" applyProtection="1">
      <alignment horizontal="center" vertical="center" wrapText="1"/>
    </xf>
    <xf numFmtId="174" fontId="35" fillId="7" borderId="183" xfId="0" quotePrefix="1" applyNumberFormat="1" applyFont="1" applyFill="1" applyBorder="1" applyAlignment="1" applyProtection="1">
      <alignment horizontal="center" vertical="center" wrapText="1"/>
    </xf>
    <xf numFmtId="174" fontId="35" fillId="7" borderId="177" xfId="0" applyNumberFormat="1" applyFont="1" applyFill="1" applyBorder="1" applyAlignment="1" applyProtection="1">
      <alignment horizontal="center" vertical="center" wrapText="1"/>
    </xf>
    <xf numFmtId="174" fontId="35" fillId="7" borderId="178" xfId="0" quotePrefix="1" applyNumberFormat="1" applyFont="1" applyFill="1" applyBorder="1" applyAlignment="1" applyProtection="1">
      <alignment horizontal="center" vertical="center" wrapText="1"/>
    </xf>
    <xf numFmtId="174" fontId="35" fillId="7" borderId="36" xfId="0" applyNumberFormat="1" applyFont="1" applyFill="1" applyBorder="1" applyAlignment="1" applyProtection="1">
      <alignment horizontal="center" vertical="center" wrapText="1"/>
    </xf>
    <xf numFmtId="174" fontId="35" fillId="7" borderId="179" xfId="0" applyNumberFormat="1" applyFont="1" applyFill="1" applyBorder="1" applyAlignment="1" applyProtection="1">
      <alignment horizontal="center" vertical="center" wrapText="1"/>
    </xf>
    <xf numFmtId="174" fontId="34" fillId="7" borderId="82" xfId="0" applyNumberFormat="1" applyFont="1" applyFill="1" applyBorder="1" applyAlignment="1" applyProtection="1">
      <alignment horizontal="center" vertical="center" wrapText="1"/>
    </xf>
    <xf numFmtId="174" fontId="34" fillId="7" borderId="83" xfId="0" quotePrefix="1" applyNumberFormat="1" applyFont="1" applyFill="1" applyBorder="1" applyAlignment="1" applyProtection="1">
      <alignment horizontal="center" vertical="center" wrapText="1"/>
    </xf>
    <xf numFmtId="174" fontId="35" fillId="7" borderId="172" xfId="0" quotePrefix="1" applyNumberFormat="1" applyFont="1" applyFill="1" applyBorder="1" applyAlignment="1" applyProtection="1">
      <alignment horizontal="center" vertical="center" wrapText="1"/>
    </xf>
    <xf numFmtId="174" fontId="35" fillId="7" borderId="23" xfId="0" applyNumberFormat="1" applyFont="1" applyFill="1" applyBorder="1" applyAlignment="1" applyProtection="1">
      <alignment horizontal="center" vertical="center" wrapText="1"/>
    </xf>
    <xf numFmtId="174" fontId="35" fillId="7" borderId="33" xfId="0" applyNumberFormat="1" applyFont="1" applyFill="1" applyBorder="1" applyAlignment="1" applyProtection="1">
      <alignment horizontal="center" vertical="center" wrapText="1"/>
    </xf>
    <xf numFmtId="174" fontId="34" fillId="7" borderId="173" xfId="0" applyNumberFormat="1" applyFont="1" applyFill="1" applyBorder="1" applyAlignment="1" applyProtection="1">
      <alignment horizontal="center" vertical="center" wrapText="1"/>
    </xf>
    <xf numFmtId="174" fontId="35" fillId="7" borderId="175" xfId="0" applyNumberFormat="1" applyFont="1" applyFill="1" applyBorder="1" applyAlignment="1" applyProtection="1">
      <alignment horizontal="center" vertical="center" wrapText="1"/>
    </xf>
    <xf numFmtId="174" fontId="35" fillId="7" borderId="176" xfId="0" applyNumberFormat="1" applyFont="1" applyFill="1" applyBorder="1" applyAlignment="1" applyProtection="1">
      <alignment horizontal="center" vertical="center" wrapText="1"/>
    </xf>
    <xf numFmtId="174" fontId="35" fillId="7" borderId="14" xfId="0" quotePrefix="1" applyNumberFormat="1" applyFont="1" applyFill="1" applyBorder="1" applyAlignment="1" applyProtection="1">
      <alignment horizontal="center" vertical="center" wrapText="1"/>
    </xf>
    <xf numFmtId="174" fontId="35" fillId="7" borderId="15" xfId="0" applyNumberFormat="1" applyFont="1" applyFill="1" applyBorder="1" applyAlignment="1" applyProtection="1">
      <alignment horizontal="center" vertical="center" wrapText="1"/>
    </xf>
    <xf numFmtId="174" fontId="35" fillId="7" borderId="172" xfId="0" quotePrefix="1" applyNumberFormat="1" applyFont="1" applyFill="1" applyBorder="1" applyAlignment="1" applyProtection="1">
      <alignment horizontal="center" vertical="center" wrapText="1"/>
      <protection hidden="1"/>
    </xf>
    <xf numFmtId="174" fontId="35" fillId="7" borderId="15" xfId="0" applyNumberFormat="1" applyFont="1" applyFill="1" applyBorder="1" applyAlignment="1" applyProtection="1">
      <alignment horizontal="center" vertical="center" wrapText="1"/>
      <protection hidden="1"/>
    </xf>
    <xf numFmtId="174" fontId="60" fillId="7" borderId="172" xfId="0" applyNumberFormat="1" applyFont="1" applyFill="1" applyBorder="1" applyAlignment="1" applyProtection="1">
      <alignment horizontal="center" vertical="center" wrapText="1"/>
    </xf>
    <xf numFmtId="174" fontId="60" fillId="7" borderId="15" xfId="0" quotePrefix="1" applyNumberFormat="1" applyFont="1" applyFill="1" applyBorder="1" applyAlignment="1" applyProtection="1">
      <alignment horizontal="center" vertical="center" wrapText="1"/>
    </xf>
    <xf numFmtId="174" fontId="7" fillId="7" borderId="32" xfId="0" quotePrefix="1" applyNumberFormat="1" applyFont="1" applyFill="1" applyBorder="1" applyAlignment="1" applyProtection="1">
      <alignment horizontal="center" vertical="center" wrapText="1"/>
    </xf>
    <xf numFmtId="174" fontId="7" fillId="7" borderId="32" xfId="2094" applyNumberFormat="1" applyFont="1" applyFill="1" applyBorder="1" applyAlignment="1" applyProtection="1">
      <alignment horizontal="center" vertical="center" wrapText="1"/>
    </xf>
    <xf numFmtId="174" fontId="7" fillId="7" borderId="32" xfId="2094" quotePrefix="1" applyNumberFormat="1" applyFont="1" applyFill="1" applyBorder="1" applyAlignment="1" applyProtection="1">
      <alignment horizontal="center" vertical="center" wrapText="1"/>
    </xf>
    <xf numFmtId="174" fontId="7" fillId="7" borderId="32" xfId="0" applyNumberFormat="1" applyFont="1" applyFill="1" applyBorder="1" applyAlignment="1" applyProtection="1">
      <alignment horizontal="center" vertical="center" wrapText="1"/>
    </xf>
    <xf numFmtId="0" fontId="8" fillId="6" borderId="27" xfId="0" applyFont="1" applyFill="1" applyBorder="1" applyAlignment="1" applyProtection="1">
      <alignment horizontal="left" vertical="center"/>
      <protection locked="0"/>
    </xf>
    <xf numFmtId="174" fontId="7" fillId="7" borderId="82" xfId="0" applyNumberFormat="1" applyFont="1" applyFill="1" applyBorder="1" applyAlignment="1" applyProtection="1">
      <alignment horizontal="center" vertical="center" wrapText="1"/>
    </xf>
    <xf numFmtId="174" fontId="7" fillId="7" borderId="83" xfId="0" applyNumberFormat="1" applyFont="1" applyFill="1" applyBorder="1" applyAlignment="1" applyProtection="1">
      <alignment horizontal="center" vertical="center" wrapText="1"/>
    </xf>
    <xf numFmtId="186" fontId="8" fillId="0" borderId="27" xfId="0" applyNumberFormat="1" applyFont="1" applyFill="1" applyBorder="1" applyAlignment="1" applyProtection="1">
      <alignment horizontal="left" vertical="center"/>
    </xf>
    <xf numFmtId="174" fontId="7" fillId="7" borderId="188" xfId="0" applyNumberFormat="1" applyFont="1" applyFill="1" applyBorder="1" applyAlignment="1" applyProtection="1">
      <alignment horizontal="center" vertical="center" wrapText="1"/>
    </xf>
    <xf numFmtId="174" fontId="7" fillId="7" borderId="0" xfId="0" applyNumberFormat="1" applyFont="1" applyFill="1" applyBorder="1" applyAlignment="1" applyProtection="1">
      <alignment horizontal="center" vertical="center" wrapText="1"/>
    </xf>
    <xf numFmtId="174" fontId="7" fillId="7" borderId="189" xfId="0" applyNumberFormat="1" applyFont="1" applyFill="1" applyBorder="1" applyAlignment="1" applyProtection="1">
      <alignment horizontal="center" vertical="center" wrapText="1"/>
    </xf>
    <xf numFmtId="174" fontId="7" fillId="7" borderId="190" xfId="0" quotePrefix="1" applyNumberFormat="1" applyFont="1" applyFill="1" applyBorder="1" applyAlignment="1" applyProtection="1">
      <alignment horizontal="center" vertical="center" wrapText="1"/>
    </xf>
    <xf numFmtId="174" fontId="7" fillId="7" borderId="35" xfId="2093" applyNumberFormat="1" applyFont="1" applyFill="1" applyBorder="1" applyAlignment="1" applyProtection="1">
      <alignment horizontal="center" vertical="center" wrapText="1"/>
    </xf>
    <xf numFmtId="174" fontId="7" fillId="7" borderId="20" xfId="2093" applyNumberFormat="1" applyFont="1" applyFill="1" applyBorder="1" applyAlignment="1" applyProtection="1">
      <alignment horizontal="center" vertical="center" wrapText="1"/>
    </xf>
    <xf numFmtId="0" fontId="7" fillId="7" borderId="20" xfId="2093" quotePrefix="1" applyFont="1" applyFill="1" applyBorder="1" applyAlignment="1" applyProtection="1">
      <alignment horizontal="center" vertical="center" wrapText="1"/>
    </xf>
    <xf numFmtId="0" fontId="7" fillId="7" borderId="20" xfId="2093" applyFont="1" applyFill="1" applyBorder="1" applyAlignment="1" applyProtection="1">
      <alignment horizontal="center" vertical="center" wrapText="1"/>
    </xf>
    <xf numFmtId="0" fontId="7" fillId="7" borderId="20" xfId="2093" applyFont="1" applyFill="1" applyBorder="1" applyAlignment="1" applyProtection="1">
      <alignment horizontal="center" vertical="center"/>
    </xf>
    <xf numFmtId="0" fontId="7" fillId="7" borderId="36" xfId="2093" applyFont="1" applyFill="1" applyBorder="1" applyAlignment="1" applyProtection="1">
      <alignment horizontal="center" vertical="center"/>
    </xf>
    <xf numFmtId="1" fontId="25" fillId="6" borderId="59" xfId="2093" applyNumberFormat="1" applyFont="1" applyFill="1" applyBorder="1" applyAlignment="1" applyProtection="1">
      <alignment horizontal="right" vertical="center" indent="1"/>
      <protection locked="0"/>
    </xf>
    <xf numFmtId="1" fontId="25" fillId="6" borderId="7" xfId="2093" applyNumberFormat="1" applyFont="1" applyFill="1" applyBorder="1" applyAlignment="1" applyProtection="1">
      <alignment horizontal="right" vertical="center" indent="1"/>
      <protection locked="0"/>
    </xf>
    <xf numFmtId="179" fontId="12" fillId="6" borderId="7" xfId="2093" quotePrefix="1" applyNumberFormat="1" applyFont="1" applyFill="1" applyBorder="1" applyAlignment="1" applyProtection="1">
      <alignment horizontal="center" vertical="center"/>
      <protection locked="0"/>
    </xf>
    <xf numFmtId="179" fontId="12" fillId="6" borderId="7" xfId="2093" applyNumberFormat="1" applyFont="1" applyFill="1" applyBorder="1" applyAlignment="1" applyProtection="1">
      <alignment horizontal="center" vertical="center"/>
      <protection locked="0"/>
    </xf>
    <xf numFmtId="49" fontId="12" fillId="6" borderId="7" xfId="2093" applyNumberFormat="1" applyFont="1" applyFill="1" applyBorder="1" applyAlignment="1" applyProtection="1">
      <alignment horizontal="left" vertical="center" indent="1"/>
      <protection locked="0"/>
    </xf>
    <xf numFmtId="49" fontId="12" fillId="6" borderId="64" xfId="2093" applyNumberFormat="1" applyFont="1" applyFill="1" applyBorder="1" applyAlignment="1" applyProtection="1">
      <alignment horizontal="left" vertical="center" indent="1"/>
      <protection locked="0"/>
    </xf>
    <xf numFmtId="1" fontId="15" fillId="6" borderId="106" xfId="2093" applyNumberFormat="1" applyFont="1" applyFill="1" applyBorder="1" applyAlignment="1" applyProtection="1">
      <alignment horizontal="right" vertical="center" indent="1"/>
    </xf>
    <xf numFmtId="1" fontId="15" fillId="6" borderId="107" xfId="2093" applyNumberFormat="1" applyFont="1" applyFill="1" applyBorder="1" applyAlignment="1" applyProtection="1">
      <alignment horizontal="right" vertical="center" indent="1"/>
    </xf>
    <xf numFmtId="179" fontId="19" fillId="6" borderId="107" xfId="2093" applyNumberFormat="1" applyFont="1" applyFill="1" applyBorder="1" applyAlignment="1" applyProtection="1">
      <alignment horizontal="center" vertical="center"/>
    </xf>
    <xf numFmtId="49" fontId="12" fillId="6" borderId="107" xfId="2093" applyNumberFormat="1" applyFont="1" applyFill="1" applyBorder="1" applyAlignment="1" applyProtection="1">
      <alignment horizontal="left" vertical="center" indent="1"/>
    </xf>
    <xf numFmtId="49" fontId="12" fillId="6" borderId="65" xfId="2093" applyNumberFormat="1" applyFont="1" applyFill="1" applyBorder="1" applyAlignment="1" applyProtection="1">
      <alignment horizontal="left" vertical="center" indent="1"/>
    </xf>
    <xf numFmtId="1" fontId="7" fillId="7" borderId="12" xfId="2093" quotePrefix="1" applyNumberFormat="1" applyFont="1" applyFill="1" applyBorder="1" applyAlignment="1" applyProtection="1">
      <alignment horizontal="center" vertical="center" wrapText="1"/>
    </xf>
    <xf numFmtId="1" fontId="7" fillId="7" borderId="12" xfId="2093" applyNumberFormat="1" applyFont="1" applyFill="1" applyBorder="1" applyAlignment="1" applyProtection="1">
      <alignment horizontal="center" vertical="center" wrapText="1"/>
    </xf>
    <xf numFmtId="174" fontId="7" fillId="7" borderId="176" xfId="2093" quotePrefix="1" applyNumberFormat="1" applyFont="1" applyFill="1" applyBorder="1" applyAlignment="1" applyProtection="1">
      <alignment horizontal="center" vertical="center" wrapText="1"/>
    </xf>
    <xf numFmtId="174" fontId="7" fillId="7" borderId="14" xfId="2093" applyNumberFormat="1" applyFont="1" applyFill="1" applyBorder="1" applyAlignment="1" applyProtection="1">
      <alignment horizontal="center" vertical="center" wrapText="1"/>
    </xf>
    <xf numFmtId="174" fontId="7" fillId="7" borderId="172" xfId="2093" applyNumberFormat="1" applyFont="1" applyFill="1" applyBorder="1" applyAlignment="1" applyProtection="1">
      <alignment horizontal="center" vertical="center" wrapText="1"/>
    </xf>
    <xf numFmtId="174" fontId="7" fillId="7" borderId="192" xfId="2093" applyNumberFormat="1" applyFont="1" applyFill="1" applyBorder="1" applyAlignment="1" applyProtection="1">
      <alignment horizontal="center" vertical="center" wrapText="1"/>
    </xf>
    <xf numFmtId="0" fontId="12" fillId="0" borderId="108" xfId="2093" applyFont="1" applyFill="1" applyBorder="1" applyAlignment="1" applyProtection="1">
      <alignment horizontal="left" vertical="center" wrapText="1" indent="1"/>
      <protection locked="0"/>
    </xf>
    <xf numFmtId="0" fontId="12" fillId="0" borderId="108" xfId="2093" applyFont="1" applyFill="1" applyBorder="1" applyAlignment="1" applyProtection="1">
      <alignment horizontal="left" vertical="center" indent="1"/>
      <protection locked="0"/>
    </xf>
    <xf numFmtId="0" fontId="12" fillId="19" borderId="107" xfId="2093" applyFont="1" applyFill="1" applyBorder="1" applyAlignment="1" applyProtection="1">
      <alignment horizontal="left" vertical="center" indent="1"/>
    </xf>
    <xf numFmtId="0" fontId="27" fillId="0" borderId="0" xfId="2093" applyFont="1" applyBorder="1" applyAlignment="1" applyProtection="1">
      <alignment horizontal="center" vertical="center"/>
    </xf>
    <xf numFmtId="1" fontId="12" fillId="6" borderId="112" xfId="2093" applyNumberFormat="1" applyFont="1" applyFill="1" applyBorder="1" applyAlignment="1" applyProtection="1">
      <alignment horizontal="left" vertical="center" wrapText="1" indent="1"/>
      <protection locked="0"/>
    </xf>
    <xf numFmtId="1" fontId="12" fillId="6" borderId="41" xfId="2093" applyNumberFormat="1" applyFont="1" applyFill="1" applyBorder="1" applyAlignment="1" applyProtection="1">
      <alignment horizontal="left" vertical="center" wrapText="1" indent="1"/>
      <protection locked="0"/>
    </xf>
    <xf numFmtId="1" fontId="12" fillId="6" borderId="42" xfId="2093" applyNumberFormat="1" applyFont="1" applyFill="1" applyBorder="1" applyAlignment="1" applyProtection="1">
      <alignment horizontal="left" vertical="center" wrapText="1" indent="1"/>
      <protection locked="0"/>
    </xf>
    <xf numFmtId="1" fontId="12" fillId="6" borderId="113" xfId="2093" applyNumberFormat="1" applyFont="1" applyFill="1" applyBorder="1" applyAlignment="1" applyProtection="1">
      <alignment horizontal="left" vertical="center" wrapText="1" indent="1"/>
      <protection locked="0"/>
    </xf>
    <xf numFmtId="1" fontId="12" fillId="6" borderId="191" xfId="2093" applyNumberFormat="1" applyFont="1" applyFill="1" applyBorder="1" applyAlignment="1" applyProtection="1">
      <alignment horizontal="left" vertical="center" wrapText="1" indent="1"/>
      <protection locked="0"/>
    </xf>
    <xf numFmtId="1" fontId="12" fillId="6" borderId="156" xfId="2093" applyNumberFormat="1" applyFont="1" applyFill="1" applyBorder="1" applyAlignment="1" applyProtection="1">
      <alignment horizontal="left" vertical="center" wrapText="1" indent="1"/>
      <protection locked="0"/>
    </xf>
    <xf numFmtId="174" fontId="7" fillId="7" borderId="148" xfId="2093" applyNumberFormat="1" applyFont="1" applyFill="1" applyBorder="1" applyAlignment="1" applyProtection="1">
      <alignment horizontal="center" vertical="center"/>
    </xf>
    <xf numFmtId="174" fontId="7" fillId="7" borderId="52" xfId="2093" applyNumberFormat="1" applyFont="1" applyFill="1" applyBorder="1" applyAlignment="1" applyProtection="1">
      <alignment horizontal="center" vertical="center"/>
    </xf>
    <xf numFmtId="174" fontId="7" fillId="7" borderId="53" xfId="2093" applyNumberFormat="1" applyFont="1" applyFill="1" applyBorder="1" applyAlignment="1" applyProtection="1">
      <alignment horizontal="center" vertical="center"/>
    </xf>
    <xf numFmtId="1" fontId="12" fillId="6" borderId="112" xfId="2093" quotePrefix="1" applyNumberFormat="1" applyFont="1" applyFill="1" applyBorder="1" applyAlignment="1" applyProtection="1">
      <alignment horizontal="left" vertical="center" wrapText="1" indent="1"/>
      <protection locked="0"/>
    </xf>
    <xf numFmtId="15" fontId="137" fillId="0" borderId="27" xfId="0" applyNumberFormat="1" applyFont="1" applyFill="1" applyBorder="1" applyAlignment="1" applyProtection="1">
      <alignment horizontal="center" vertical="center"/>
    </xf>
    <xf numFmtId="15" fontId="137" fillId="0" borderId="27" xfId="0" quotePrefix="1" applyNumberFormat="1" applyFont="1" applyFill="1" applyBorder="1" applyAlignment="1" applyProtection="1">
      <alignment horizontal="center" vertical="center"/>
    </xf>
    <xf numFmtId="0" fontId="152" fillId="0" borderId="66" xfId="0" applyFont="1" applyBorder="1" applyAlignment="1" applyProtection="1">
      <alignment horizontal="right" vertical="center" indent="1"/>
    </xf>
    <xf numFmtId="0" fontId="152" fillId="0" borderId="63" xfId="0" applyFont="1" applyBorder="1" applyAlignment="1" applyProtection="1">
      <alignment horizontal="right" vertical="center" indent="1"/>
    </xf>
    <xf numFmtId="0" fontId="152" fillId="0" borderId="67" xfId="0" applyFont="1" applyBorder="1" applyAlignment="1" applyProtection="1">
      <alignment horizontal="right" vertical="center" indent="1"/>
    </xf>
    <xf numFmtId="0" fontId="11" fillId="6" borderId="47" xfId="0" applyFont="1" applyFill="1" applyBorder="1" applyAlignment="1" applyProtection="1">
      <alignment horizontal="center" vertical="center" wrapText="1"/>
    </xf>
    <xf numFmtId="0" fontId="11" fillId="6" borderId="193" xfId="0" quotePrefix="1" applyFont="1" applyFill="1" applyBorder="1" applyAlignment="1" applyProtection="1">
      <alignment horizontal="center" vertical="center" wrapText="1"/>
    </xf>
    <xf numFmtId="0" fontId="11" fillId="6" borderId="197" xfId="0" quotePrefix="1" applyFont="1" applyFill="1" applyBorder="1" applyAlignment="1" applyProtection="1">
      <alignment horizontal="center" vertical="center" wrapText="1"/>
    </xf>
    <xf numFmtId="0" fontId="11" fillId="6" borderId="47" xfId="0" quotePrefix="1" applyFont="1" applyFill="1" applyBorder="1" applyAlignment="1" applyProtection="1">
      <alignment horizontal="center" vertical="center" wrapText="1"/>
    </xf>
    <xf numFmtId="0" fontId="11" fillId="6" borderId="194" xfId="0" quotePrefix="1" applyFont="1" applyFill="1" applyBorder="1" applyAlignment="1" applyProtection="1">
      <alignment horizontal="center" vertical="center" wrapText="1"/>
    </xf>
    <xf numFmtId="0" fontId="11" fillId="6" borderId="195" xfId="0" quotePrefix="1" applyFont="1" applyFill="1" applyBorder="1" applyAlignment="1" applyProtection="1">
      <alignment horizontal="center" vertical="center" wrapText="1"/>
    </xf>
    <xf numFmtId="0" fontId="11" fillId="6" borderId="196" xfId="0" quotePrefix="1" applyFont="1" applyFill="1" applyBorder="1" applyAlignment="1" applyProtection="1">
      <alignment horizontal="center" vertical="center" wrapText="1"/>
    </xf>
    <xf numFmtId="174" fontId="34" fillId="7" borderId="198" xfId="0" applyNumberFormat="1" applyFont="1" applyFill="1" applyBorder="1" applyAlignment="1" applyProtection="1">
      <alignment horizontal="center" vertical="center" wrapText="1"/>
    </xf>
    <xf numFmtId="174" fontId="34" fillId="7" borderId="63" xfId="0" applyNumberFormat="1" applyFont="1" applyFill="1" applyBorder="1" applyAlignment="1" applyProtection="1">
      <alignment horizontal="center" vertical="center" wrapText="1"/>
    </xf>
    <xf numFmtId="174" fontId="34" fillId="7" borderId="67" xfId="0" applyNumberFormat="1" applyFont="1" applyFill="1" applyBorder="1" applyAlignment="1" applyProtection="1">
      <alignment horizontal="center" vertical="center" wrapText="1"/>
    </xf>
    <xf numFmtId="174" fontId="34" fillId="7" borderId="35" xfId="0" applyNumberFormat="1" applyFont="1" applyFill="1" applyBorder="1" applyAlignment="1" applyProtection="1">
      <alignment horizontal="center" vertical="center" wrapText="1"/>
    </xf>
    <xf numFmtId="174" fontId="34" fillId="7" borderId="199" xfId="0" applyNumberFormat="1" applyFont="1" applyFill="1" applyBorder="1" applyAlignment="1" applyProtection="1">
      <alignment horizontal="center" vertical="center" wrapText="1"/>
    </xf>
    <xf numFmtId="174" fontId="34" fillId="7" borderId="200" xfId="0" applyNumberFormat="1" applyFont="1" applyFill="1" applyBorder="1" applyAlignment="1" applyProtection="1">
      <alignment horizontal="center" vertical="center" wrapText="1"/>
    </xf>
    <xf numFmtId="180" fontId="23" fillId="10" borderId="1" xfId="0" applyNumberFormat="1" applyFont="1" applyFill="1" applyBorder="1" applyAlignment="1" applyProtection="1">
      <alignment horizontal="center" vertical="center"/>
    </xf>
    <xf numFmtId="0" fontId="152" fillId="0" borderId="66" xfId="0" quotePrefix="1" applyFont="1" applyBorder="1" applyAlignment="1" applyProtection="1">
      <alignment horizontal="right" vertical="center" indent="1"/>
    </xf>
    <xf numFmtId="174" fontId="60" fillId="7" borderId="203" xfId="0" applyNumberFormat="1" applyFont="1" applyFill="1" applyBorder="1" applyAlignment="1" applyProtection="1">
      <alignment horizontal="center" vertical="center" wrapText="1"/>
    </xf>
    <xf numFmtId="174" fontId="60" fillId="7" borderId="204" xfId="0" applyNumberFormat="1" applyFont="1" applyFill="1" applyBorder="1" applyAlignment="1" applyProtection="1">
      <alignment horizontal="center" vertical="center" wrapText="1"/>
    </xf>
    <xf numFmtId="0" fontId="0" fillId="0" borderId="0" xfId="0"/>
    <xf numFmtId="0" fontId="69" fillId="0" borderId="47" xfId="0" applyFont="1" applyBorder="1" applyAlignment="1" applyProtection="1">
      <alignment horizontal="center" vertical="center" wrapText="1"/>
    </xf>
    <xf numFmtId="0" fontId="69" fillId="0" borderId="197" xfId="0" applyFont="1" applyBorder="1" applyAlignment="1" applyProtection="1">
      <alignment horizontal="center" vertical="center" wrapText="1"/>
    </xf>
    <xf numFmtId="174" fontId="60" fillId="7" borderId="208" xfId="0" applyNumberFormat="1" applyFont="1" applyFill="1" applyBorder="1" applyAlignment="1" applyProtection="1">
      <alignment horizontal="center" vertical="center" wrapText="1"/>
    </xf>
    <xf numFmtId="174" fontId="60" fillId="7" borderId="209" xfId="0" applyNumberFormat="1" applyFont="1" applyFill="1" applyBorder="1" applyAlignment="1" applyProtection="1">
      <alignment horizontal="center" vertical="center" wrapText="1"/>
    </xf>
    <xf numFmtId="174" fontId="60" fillId="7" borderId="201" xfId="0" applyNumberFormat="1" applyFont="1" applyFill="1" applyBorder="1" applyAlignment="1" applyProtection="1">
      <alignment horizontal="center" vertical="center" wrapText="1"/>
    </xf>
    <xf numFmtId="174" fontId="60" fillId="7" borderId="202" xfId="0" applyNumberFormat="1" applyFont="1" applyFill="1" applyBorder="1" applyAlignment="1" applyProtection="1">
      <alignment horizontal="center" vertical="center" wrapText="1"/>
    </xf>
    <xf numFmtId="174" fontId="7" fillId="7" borderId="203" xfId="0" applyNumberFormat="1" applyFont="1" applyFill="1" applyBorder="1" applyAlignment="1" applyProtection="1">
      <alignment horizontal="center" vertical="center" wrapText="1"/>
    </xf>
    <xf numFmtId="174" fontId="7" fillId="7" borderId="204" xfId="0" applyNumberFormat="1" applyFont="1" applyFill="1" applyBorder="1" applyAlignment="1" applyProtection="1">
      <alignment horizontal="center" vertical="center" wrapText="1"/>
    </xf>
    <xf numFmtId="174" fontId="60" fillId="7" borderId="203" xfId="0" quotePrefix="1" applyNumberFormat="1" applyFont="1" applyFill="1" applyBorder="1" applyAlignment="1" applyProtection="1">
      <alignment horizontal="center" vertical="center" wrapText="1"/>
    </xf>
    <xf numFmtId="188" fontId="60" fillId="7" borderId="203" xfId="0" quotePrefix="1" applyNumberFormat="1" applyFont="1" applyFill="1" applyBorder="1" applyAlignment="1" applyProtection="1">
      <alignment horizontal="center" vertical="center" wrapText="1"/>
    </xf>
    <xf numFmtId="188" fontId="60" fillId="7" borderId="204" xfId="0" applyNumberFormat="1" applyFont="1" applyFill="1" applyBorder="1" applyAlignment="1" applyProtection="1">
      <alignment horizontal="center" vertical="center" wrapText="1"/>
    </xf>
    <xf numFmtId="188" fontId="60" fillId="7" borderId="210" xfId="0" quotePrefix="1" applyNumberFormat="1" applyFont="1" applyFill="1" applyBorder="1" applyAlignment="1" applyProtection="1">
      <alignment horizontal="center" vertical="center" wrapText="1"/>
    </xf>
    <xf numFmtId="188" fontId="60" fillId="7" borderId="211" xfId="0" applyNumberFormat="1" applyFont="1" applyFill="1" applyBorder="1" applyAlignment="1" applyProtection="1">
      <alignment horizontal="center" vertical="center" wrapText="1"/>
    </xf>
    <xf numFmtId="0" fontId="67" fillId="12" borderId="212" xfId="0" quotePrefix="1" applyNumberFormat="1" applyFont="1" applyFill="1" applyBorder="1" applyAlignment="1" applyProtection="1">
      <alignment horizontal="center" vertical="center" wrapText="1"/>
      <protection locked="0"/>
    </xf>
    <xf numFmtId="0" fontId="67" fillId="12" borderId="193" xfId="0" quotePrefix="1" applyNumberFormat="1" applyFont="1" applyFill="1" applyBorder="1" applyAlignment="1" applyProtection="1">
      <alignment horizontal="center" vertical="center" wrapText="1"/>
      <protection locked="0"/>
    </xf>
    <xf numFmtId="0" fontId="67" fillId="12" borderId="197" xfId="0" quotePrefix="1" applyNumberFormat="1" applyFont="1" applyFill="1" applyBorder="1" applyAlignment="1" applyProtection="1">
      <alignment horizontal="center" vertical="center" wrapText="1"/>
      <protection locked="0"/>
    </xf>
    <xf numFmtId="180" fontId="71" fillId="10" borderId="106" xfId="0" applyNumberFormat="1" applyFont="1" applyFill="1" applyBorder="1" applyAlignment="1" applyProtection="1">
      <alignment horizontal="right" vertical="center" indent="1"/>
    </xf>
    <xf numFmtId="180" fontId="71" fillId="10" borderId="107" xfId="0" applyNumberFormat="1" applyFont="1" applyFill="1" applyBorder="1" applyAlignment="1" applyProtection="1">
      <alignment horizontal="right" vertical="center" indent="1"/>
    </xf>
    <xf numFmtId="174" fontId="34" fillId="7" borderId="207" xfId="0" applyNumberFormat="1" applyFont="1" applyFill="1" applyBorder="1" applyAlignment="1" applyProtection="1">
      <alignment horizontal="center" vertical="center" wrapText="1"/>
    </xf>
    <xf numFmtId="1" fontId="34" fillId="7" borderId="111" xfId="0" quotePrefix="1" applyNumberFormat="1" applyFont="1" applyFill="1" applyBorder="1" applyAlignment="1" applyProtection="1">
      <alignment horizontal="center" vertical="center" wrapText="1"/>
    </xf>
    <xf numFmtId="1" fontId="34" fillId="7" borderId="29" xfId="0" applyNumberFormat="1" applyFont="1" applyFill="1" applyBorder="1" applyAlignment="1" applyProtection="1">
      <alignment horizontal="center" vertical="center" wrapText="1"/>
    </xf>
    <xf numFmtId="1" fontId="34" fillId="7" borderId="81" xfId="0" applyNumberFormat="1" applyFont="1" applyFill="1" applyBorder="1" applyAlignment="1" applyProtection="1">
      <alignment horizontal="center" vertical="center" wrapText="1"/>
    </xf>
    <xf numFmtId="196" fontId="142" fillId="0" borderId="162" xfId="0" applyNumberFormat="1" applyFont="1" applyFill="1" applyBorder="1" applyAlignment="1" applyProtection="1">
      <alignment horizontal="right" vertical="center" indent="1"/>
      <protection locked="0"/>
    </xf>
    <xf numFmtId="174" fontId="34" fillId="7" borderId="205" xfId="0" applyNumberFormat="1" applyFont="1" applyFill="1" applyBorder="1" applyAlignment="1" applyProtection="1">
      <alignment horizontal="center" vertical="center" wrapText="1"/>
    </xf>
    <xf numFmtId="174" fontId="34" fillId="7" borderId="75" xfId="0" applyNumberFormat="1" applyFont="1" applyFill="1" applyBorder="1" applyAlignment="1" applyProtection="1">
      <alignment horizontal="center" vertical="center" wrapText="1"/>
    </xf>
    <xf numFmtId="196" fontId="142" fillId="0" borderId="107" xfId="0" applyNumberFormat="1" applyFont="1" applyFill="1" applyBorder="1" applyAlignment="1" applyProtection="1">
      <alignment horizontal="right" vertical="center" indent="1"/>
      <protection locked="0"/>
    </xf>
    <xf numFmtId="174" fontId="34" fillId="7" borderId="75" xfId="0" quotePrefix="1" applyNumberFormat="1" applyFont="1" applyFill="1" applyBorder="1" applyAlignment="1" applyProtection="1">
      <alignment horizontal="center" vertical="center" wrapText="1"/>
    </xf>
    <xf numFmtId="174" fontId="34" fillId="7" borderId="76" xfId="0" quotePrefix="1" applyNumberFormat="1" applyFont="1" applyFill="1" applyBorder="1" applyAlignment="1" applyProtection="1">
      <alignment horizontal="center" vertical="center" wrapText="1"/>
    </xf>
    <xf numFmtId="196" fontId="135" fillId="0" borderId="162" xfId="0" applyNumberFormat="1" applyFont="1" applyFill="1" applyBorder="1" applyAlignment="1" applyProtection="1">
      <alignment horizontal="right" vertical="center" indent="1"/>
      <protection locked="0"/>
    </xf>
    <xf numFmtId="196" fontId="135" fillId="0" borderId="206" xfId="0" applyNumberFormat="1" applyFont="1" applyFill="1" applyBorder="1" applyAlignment="1" applyProtection="1">
      <alignment horizontal="right" vertical="center" indent="1"/>
      <protection locked="0"/>
    </xf>
    <xf numFmtId="180" fontId="71" fillId="10" borderId="109" xfId="0" applyNumberFormat="1" applyFont="1" applyFill="1" applyBorder="1" applyAlignment="1" applyProtection="1">
      <alignment horizontal="right" vertical="center" indent="1"/>
    </xf>
    <xf numFmtId="180" fontId="71" fillId="10" borderId="108" xfId="0" applyNumberFormat="1" applyFont="1" applyFill="1" applyBorder="1" applyAlignment="1" applyProtection="1">
      <alignment horizontal="right" vertical="center" indent="1"/>
    </xf>
    <xf numFmtId="180" fontId="163" fillId="10" borderId="1" xfId="0" applyNumberFormat="1" applyFont="1" applyFill="1" applyBorder="1" applyAlignment="1" applyProtection="1">
      <alignment horizontal="center" vertical="center"/>
    </xf>
    <xf numFmtId="0" fontId="69" fillId="0" borderId="32" xfId="0" applyFont="1" applyBorder="1" applyAlignment="1">
      <alignment horizontal="center" vertical="center"/>
    </xf>
    <xf numFmtId="0" fontId="168" fillId="0" borderId="66" xfId="0" applyFont="1" applyBorder="1" applyAlignment="1">
      <alignment horizontal="center" vertical="center"/>
    </xf>
    <xf numFmtId="0" fontId="168" fillId="0" borderId="67" xfId="0" applyFont="1" applyBorder="1" applyAlignment="1">
      <alignment horizontal="center" vertical="center"/>
    </xf>
    <xf numFmtId="0" fontId="168" fillId="0" borderId="213" xfId="0" applyFont="1" applyBorder="1"/>
    <xf numFmtId="0" fontId="168" fillId="0" borderId="214" xfId="0" applyFont="1" applyBorder="1"/>
    <xf numFmtId="0" fontId="168" fillId="0" borderId="215" xfId="0" applyFont="1" applyBorder="1"/>
    <xf numFmtId="0" fontId="0" fillId="0" borderId="137" xfId="0" applyBorder="1"/>
    <xf numFmtId="0" fontId="0" fillId="0" borderId="0" xfId="0" applyBorder="1"/>
    <xf numFmtId="0" fontId="69" fillId="0" borderId="29" xfId="0" applyFont="1" applyBorder="1" applyAlignment="1">
      <alignment horizontal="center" vertical="center"/>
    </xf>
    <xf numFmtId="175" fontId="168" fillId="0" borderId="66" xfId="0" applyNumberFormat="1" applyFont="1" applyBorder="1" applyAlignment="1">
      <alignment horizontal="center" vertical="center"/>
    </xf>
    <xf numFmtId="175" fontId="168" fillId="0" borderId="67" xfId="0" applyNumberFormat="1" applyFont="1" applyBorder="1" applyAlignment="1">
      <alignment horizontal="center" vertical="center"/>
    </xf>
  </cellXfs>
  <cellStyles count="2553">
    <cellStyle name="2decimal" xfId="1"/>
    <cellStyle name="2decimal 2" xfId="2"/>
    <cellStyle name="Bad 2" xfId="3"/>
    <cellStyle name="Bold_8" xfId="4"/>
    <cellStyle name="Comma  - Style1" xfId="5"/>
    <cellStyle name="Comma  - Style1 2" xfId="6"/>
    <cellStyle name="Comma  - Style2" xfId="7"/>
    <cellStyle name="Comma  - Style2 2" xfId="8"/>
    <cellStyle name="Comma  - Style3" xfId="9"/>
    <cellStyle name="Comma  - Style3 2" xfId="10"/>
    <cellStyle name="Comma  - Style4" xfId="11"/>
    <cellStyle name="Comma  - Style4 2" xfId="12"/>
    <cellStyle name="Comma  - Style5" xfId="13"/>
    <cellStyle name="Comma  - Style5 2" xfId="14"/>
    <cellStyle name="Comma  - Style6" xfId="15"/>
    <cellStyle name="Comma  - Style6 2" xfId="16"/>
    <cellStyle name="Comma  - Style7" xfId="17"/>
    <cellStyle name="Comma  - Style7 2" xfId="18"/>
    <cellStyle name="Comma  - Style8" xfId="19"/>
    <cellStyle name="Comma  - Style8 2" xfId="20"/>
    <cellStyle name="Comma 10" xfId="21"/>
    <cellStyle name="Comma 10 2" xfId="22"/>
    <cellStyle name="Comma 10 2 2" xfId="23"/>
    <cellStyle name="Comma 10 2 2 2" xfId="24"/>
    <cellStyle name="Comma 10 2 2 3" xfId="25"/>
    <cellStyle name="Comma 10 2 2 3 2" xfId="26"/>
    <cellStyle name="Comma 10 2 2 3 2 2" xfId="27"/>
    <cellStyle name="Comma 10 2 2 3 2 2 2" xfId="28"/>
    <cellStyle name="Comma 10 2 2 3 2 2 2 2" xfId="29"/>
    <cellStyle name="Comma 10 2 2 3 2 2 3" xfId="30"/>
    <cellStyle name="Comma 10 2 2 3 2 3" xfId="31"/>
    <cellStyle name="Comma 10 2 2 3 2 3 2" xfId="32"/>
    <cellStyle name="Comma 10 2 2 3 2 4" xfId="33"/>
    <cellStyle name="Comma 10 2 2 3 3" xfId="34"/>
    <cellStyle name="Comma 10 2 2 3 3 2" xfId="35"/>
    <cellStyle name="Comma 10 2 2 3 3 2 2" xfId="36"/>
    <cellStyle name="Comma 10 2 2 3 3 3" xfId="37"/>
    <cellStyle name="Comma 10 2 2 3 4" xfId="38"/>
    <cellStyle name="Comma 10 2 2 3 4 2" xfId="39"/>
    <cellStyle name="Comma 10 2 2 3 5" xfId="40"/>
    <cellStyle name="Comma 10 2 2 4" xfId="41"/>
    <cellStyle name="Comma 10 2 2 4 2" xfId="42"/>
    <cellStyle name="Comma 10 2 3" xfId="43"/>
    <cellStyle name="Comma 10 2 4" xfId="44"/>
    <cellStyle name="Comma 10 2 4 2" xfId="45"/>
    <cellStyle name="Comma 10 2 4 2 2" xfId="46"/>
    <cellStyle name="Comma 10 2 4 2 2 2" xfId="47"/>
    <cellStyle name="Comma 10 2 4 2 2 2 2" xfId="48"/>
    <cellStyle name="Comma 10 2 4 2 2 3" xfId="49"/>
    <cellStyle name="Comma 10 2 4 2 3" xfId="50"/>
    <cellStyle name="Comma 10 2 4 2 3 2" xfId="51"/>
    <cellStyle name="Comma 10 2 4 2 4" xfId="52"/>
    <cellStyle name="Comma 10 2 4 3" xfId="53"/>
    <cellStyle name="Comma 10 2 4 3 2" xfId="54"/>
    <cellStyle name="Comma 10 2 4 3 2 2" xfId="55"/>
    <cellStyle name="Comma 10 2 4 3 3" xfId="56"/>
    <cellStyle name="Comma 10 2 4 4" xfId="57"/>
    <cellStyle name="Comma 10 2 4 4 2" xfId="58"/>
    <cellStyle name="Comma 10 2 4 5" xfId="59"/>
    <cellStyle name="Comma 10 2 5" xfId="60"/>
    <cellStyle name="Comma 10 2 5 2" xfId="61"/>
    <cellStyle name="Comma 10 3" xfId="62"/>
    <cellStyle name="Comma 10 3 2" xfId="63"/>
    <cellStyle name="Comma 10 3 3" xfId="64"/>
    <cellStyle name="Comma 10 3 3 2" xfId="65"/>
    <cellStyle name="Comma 10 3 3 2 2" xfId="66"/>
    <cellStyle name="Comma 10 3 3 2 2 2" xfId="67"/>
    <cellStyle name="Comma 10 3 3 2 2 2 2" xfId="68"/>
    <cellStyle name="Comma 10 3 3 2 2 3" xfId="69"/>
    <cellStyle name="Comma 10 3 3 2 3" xfId="70"/>
    <cellStyle name="Comma 10 3 3 2 3 2" xfId="71"/>
    <cellStyle name="Comma 10 3 3 2 4" xfId="72"/>
    <cellStyle name="Comma 10 3 3 3" xfId="73"/>
    <cellStyle name="Comma 10 3 3 3 2" xfId="74"/>
    <cellStyle name="Comma 10 3 3 3 2 2" xfId="75"/>
    <cellStyle name="Comma 10 3 3 3 3" xfId="76"/>
    <cellStyle name="Comma 10 3 3 4" xfId="77"/>
    <cellStyle name="Comma 10 3 3 4 2" xfId="78"/>
    <cellStyle name="Comma 10 3 3 5" xfId="79"/>
    <cellStyle name="Comma 10 3 4" xfId="80"/>
    <cellStyle name="Comma 10 3 4 2" xfId="81"/>
    <cellStyle name="Comma 10 4" xfId="82"/>
    <cellStyle name="Comma 10 5" xfId="83"/>
    <cellStyle name="Comma 10 5 2" xfId="84"/>
    <cellStyle name="Comma 10 5 2 2" xfId="85"/>
    <cellStyle name="Comma 10 5 2 2 2" xfId="86"/>
    <cellStyle name="Comma 10 5 2 2 2 2" xfId="87"/>
    <cellStyle name="Comma 10 5 2 2 3" xfId="88"/>
    <cellStyle name="Comma 10 5 2 3" xfId="89"/>
    <cellStyle name="Comma 10 5 2 3 2" xfId="90"/>
    <cellStyle name="Comma 10 5 2 4" xfId="91"/>
    <cellStyle name="Comma 10 5 3" xfId="92"/>
    <cellStyle name="Comma 10 5 3 2" xfId="93"/>
    <cellStyle name="Comma 10 5 3 2 2" xfId="94"/>
    <cellStyle name="Comma 10 5 3 3" xfId="95"/>
    <cellStyle name="Comma 10 5 4" xfId="96"/>
    <cellStyle name="Comma 10 5 4 2" xfId="97"/>
    <cellStyle name="Comma 10 5 5" xfId="98"/>
    <cellStyle name="Comma 10 6" xfId="99"/>
    <cellStyle name="Comma 10 6 2" xfId="100"/>
    <cellStyle name="Comma 11" xfId="101"/>
    <cellStyle name="Comma 11 2" xfId="102"/>
    <cellStyle name="Comma 11 2 2" xfId="103"/>
    <cellStyle name="Comma 11 2 2 2" xfId="104"/>
    <cellStyle name="Comma 11 2 2 3" xfId="105"/>
    <cellStyle name="Comma 11 2 2 3 2" xfId="106"/>
    <cellStyle name="Comma 11 2 2 3 2 2" xfId="107"/>
    <cellStyle name="Comma 11 2 2 3 2 2 2" xfId="108"/>
    <cellStyle name="Comma 11 2 2 3 2 2 2 2" xfId="109"/>
    <cellStyle name="Comma 11 2 2 3 2 2 3" xfId="110"/>
    <cellStyle name="Comma 11 2 2 3 2 3" xfId="111"/>
    <cellStyle name="Comma 11 2 2 3 2 3 2" xfId="112"/>
    <cellStyle name="Comma 11 2 2 3 2 4" xfId="113"/>
    <cellStyle name="Comma 11 2 2 3 3" xfId="114"/>
    <cellStyle name="Comma 11 2 2 3 3 2" xfId="115"/>
    <cellStyle name="Comma 11 2 2 3 3 2 2" xfId="116"/>
    <cellStyle name="Comma 11 2 2 3 3 3" xfId="117"/>
    <cellStyle name="Comma 11 2 2 3 4" xfId="118"/>
    <cellStyle name="Comma 11 2 2 3 4 2" xfId="119"/>
    <cellStyle name="Comma 11 2 2 3 5" xfId="120"/>
    <cellStyle name="Comma 11 2 2 4" xfId="121"/>
    <cellStyle name="Comma 11 2 2 4 2" xfId="122"/>
    <cellStyle name="Comma 11 2 3" xfId="123"/>
    <cellStyle name="Comma 11 2 4" xfId="124"/>
    <cellStyle name="Comma 11 2 4 2" xfId="125"/>
    <cellStyle name="Comma 11 2 4 2 2" xfId="126"/>
    <cellStyle name="Comma 11 2 4 2 2 2" xfId="127"/>
    <cellStyle name="Comma 11 2 4 2 2 2 2" xfId="128"/>
    <cellStyle name="Comma 11 2 4 2 2 3" xfId="129"/>
    <cellStyle name="Comma 11 2 4 2 3" xfId="130"/>
    <cellStyle name="Comma 11 2 4 2 3 2" xfId="131"/>
    <cellStyle name="Comma 11 2 4 2 4" xfId="132"/>
    <cellStyle name="Comma 11 2 4 3" xfId="133"/>
    <cellStyle name="Comma 11 2 4 3 2" xfId="134"/>
    <cellStyle name="Comma 11 2 4 3 2 2" xfId="135"/>
    <cellStyle name="Comma 11 2 4 3 3" xfId="136"/>
    <cellStyle name="Comma 11 2 4 4" xfId="137"/>
    <cellStyle name="Comma 11 2 4 4 2" xfId="138"/>
    <cellStyle name="Comma 11 2 4 5" xfId="139"/>
    <cellStyle name="Comma 11 2 5" xfId="140"/>
    <cellStyle name="Comma 11 2 5 2" xfId="141"/>
    <cellStyle name="Comma 11 3" xfId="142"/>
    <cellStyle name="Comma 11 3 2" xfId="143"/>
    <cellStyle name="Comma 11 3 3" xfId="144"/>
    <cellStyle name="Comma 11 3 3 2" xfId="145"/>
    <cellStyle name="Comma 11 3 3 2 2" xfId="146"/>
    <cellStyle name="Comma 11 3 3 2 2 2" xfId="147"/>
    <cellStyle name="Comma 11 3 3 2 2 2 2" xfId="148"/>
    <cellStyle name="Comma 11 3 3 2 2 3" xfId="149"/>
    <cellStyle name="Comma 11 3 3 2 3" xfId="150"/>
    <cellStyle name="Comma 11 3 3 2 3 2" xfId="151"/>
    <cellStyle name="Comma 11 3 3 2 4" xfId="152"/>
    <cellStyle name="Comma 11 3 3 3" xfId="153"/>
    <cellStyle name="Comma 11 3 3 3 2" xfId="154"/>
    <cellStyle name="Comma 11 3 3 3 2 2" xfId="155"/>
    <cellStyle name="Comma 11 3 3 3 3" xfId="156"/>
    <cellStyle name="Comma 11 3 3 4" xfId="157"/>
    <cellStyle name="Comma 11 3 3 4 2" xfId="158"/>
    <cellStyle name="Comma 11 3 3 5" xfId="159"/>
    <cellStyle name="Comma 11 3 4" xfId="160"/>
    <cellStyle name="Comma 11 3 4 2" xfId="161"/>
    <cellStyle name="Comma 11 4" xfId="162"/>
    <cellStyle name="Comma 11 5" xfId="163"/>
    <cellStyle name="Comma 11 5 2" xfId="164"/>
    <cellStyle name="Comma 11 5 2 2" xfId="165"/>
    <cellStyle name="Comma 11 5 2 2 2" xfId="166"/>
    <cellStyle name="Comma 11 5 2 2 2 2" xfId="167"/>
    <cellStyle name="Comma 11 5 2 2 3" xfId="168"/>
    <cellStyle name="Comma 11 5 2 3" xfId="169"/>
    <cellStyle name="Comma 11 5 2 3 2" xfId="170"/>
    <cellStyle name="Comma 11 5 2 4" xfId="171"/>
    <cellStyle name="Comma 11 5 3" xfId="172"/>
    <cellStyle name="Comma 11 5 3 2" xfId="173"/>
    <cellStyle name="Comma 11 5 3 2 2" xfId="174"/>
    <cellStyle name="Comma 11 5 3 3" xfId="175"/>
    <cellStyle name="Comma 11 5 4" xfId="176"/>
    <cellStyle name="Comma 11 5 4 2" xfId="177"/>
    <cellStyle name="Comma 11 5 5" xfId="178"/>
    <cellStyle name="Comma 11 6" xfId="179"/>
    <cellStyle name="Comma 11 6 2" xfId="180"/>
    <cellStyle name="Comma 12" xfId="181"/>
    <cellStyle name="Comma 12 2" xfId="182"/>
    <cellStyle name="Comma 12 2 2" xfId="183"/>
    <cellStyle name="Comma 12 2 2 2" xfId="184"/>
    <cellStyle name="Comma 12 2 2 3" xfId="185"/>
    <cellStyle name="Comma 12 2 2 3 2" xfId="186"/>
    <cellStyle name="Comma 12 2 2 3 2 2" xfId="187"/>
    <cellStyle name="Comma 12 2 2 3 2 2 2" xfId="188"/>
    <cellStyle name="Comma 12 2 2 3 2 2 2 2" xfId="189"/>
    <cellStyle name="Comma 12 2 2 3 2 2 3" xfId="190"/>
    <cellStyle name="Comma 12 2 2 3 2 3" xfId="191"/>
    <cellStyle name="Comma 12 2 2 3 2 3 2" xfId="192"/>
    <cellStyle name="Comma 12 2 2 3 2 4" xfId="193"/>
    <cellStyle name="Comma 12 2 2 3 3" xfId="194"/>
    <cellStyle name="Comma 12 2 2 3 3 2" xfId="195"/>
    <cellStyle name="Comma 12 2 2 3 3 2 2" xfId="196"/>
    <cellStyle name="Comma 12 2 2 3 3 3" xfId="197"/>
    <cellStyle name="Comma 12 2 2 3 4" xfId="198"/>
    <cellStyle name="Comma 12 2 2 3 4 2" xfId="199"/>
    <cellStyle name="Comma 12 2 2 3 5" xfId="200"/>
    <cellStyle name="Comma 12 2 2 4" xfId="201"/>
    <cellStyle name="Comma 12 2 2 4 2" xfId="202"/>
    <cellStyle name="Comma 12 2 3" xfId="203"/>
    <cellStyle name="Comma 12 2 4" xfId="204"/>
    <cellStyle name="Comma 12 2 4 2" xfId="205"/>
    <cellStyle name="Comma 12 2 4 2 2" xfId="206"/>
    <cellStyle name="Comma 12 2 4 2 2 2" xfId="207"/>
    <cellStyle name="Comma 12 2 4 2 2 2 2" xfId="208"/>
    <cellStyle name="Comma 12 2 4 2 2 3" xfId="209"/>
    <cellStyle name="Comma 12 2 4 2 3" xfId="210"/>
    <cellStyle name="Comma 12 2 4 2 3 2" xfId="211"/>
    <cellStyle name="Comma 12 2 4 2 4" xfId="212"/>
    <cellStyle name="Comma 12 2 4 3" xfId="213"/>
    <cellStyle name="Comma 12 2 4 3 2" xfId="214"/>
    <cellStyle name="Comma 12 2 4 3 2 2" xfId="215"/>
    <cellStyle name="Comma 12 2 4 3 3" xfId="216"/>
    <cellStyle name="Comma 12 2 4 4" xfId="217"/>
    <cellStyle name="Comma 12 2 4 4 2" xfId="218"/>
    <cellStyle name="Comma 12 2 4 5" xfId="219"/>
    <cellStyle name="Comma 12 2 5" xfId="220"/>
    <cellStyle name="Comma 12 2 5 2" xfId="221"/>
    <cellStyle name="Comma 12 3" xfId="222"/>
    <cellStyle name="Comma 12 3 2" xfId="223"/>
    <cellStyle name="Comma 12 3 3" xfId="224"/>
    <cellStyle name="Comma 12 3 3 2" xfId="225"/>
    <cellStyle name="Comma 12 3 3 2 2" xfId="226"/>
    <cellStyle name="Comma 12 3 3 2 2 2" xfId="227"/>
    <cellStyle name="Comma 12 3 3 2 2 2 2" xfId="228"/>
    <cellStyle name="Comma 12 3 3 2 2 3" xfId="229"/>
    <cellStyle name="Comma 12 3 3 2 3" xfId="230"/>
    <cellStyle name="Comma 12 3 3 2 3 2" xfId="231"/>
    <cellStyle name="Comma 12 3 3 2 4" xfId="232"/>
    <cellStyle name="Comma 12 3 3 3" xfId="233"/>
    <cellStyle name="Comma 12 3 3 3 2" xfId="234"/>
    <cellStyle name="Comma 12 3 3 3 2 2" xfId="235"/>
    <cellStyle name="Comma 12 3 3 3 3" xfId="236"/>
    <cellStyle name="Comma 12 3 3 4" xfId="237"/>
    <cellStyle name="Comma 12 3 3 4 2" xfId="238"/>
    <cellStyle name="Comma 12 3 3 5" xfId="239"/>
    <cellStyle name="Comma 12 3 4" xfId="240"/>
    <cellStyle name="Comma 12 3 4 2" xfId="241"/>
    <cellStyle name="Comma 12 4" xfId="242"/>
    <cellStyle name="Comma 12 5" xfId="243"/>
    <cellStyle name="Comma 12 5 2" xfId="244"/>
    <cellStyle name="Comma 12 5 2 2" xfId="245"/>
    <cellStyle name="Comma 12 5 2 2 2" xfId="246"/>
    <cellStyle name="Comma 12 5 2 2 2 2" xfId="247"/>
    <cellStyle name="Comma 12 5 2 2 3" xfId="248"/>
    <cellStyle name="Comma 12 5 2 3" xfId="249"/>
    <cellStyle name="Comma 12 5 2 3 2" xfId="250"/>
    <cellStyle name="Comma 12 5 2 4" xfId="251"/>
    <cellStyle name="Comma 12 5 3" xfId="252"/>
    <cellStyle name="Comma 12 5 3 2" xfId="253"/>
    <cellStyle name="Comma 12 5 3 2 2" xfId="254"/>
    <cellStyle name="Comma 12 5 3 3" xfId="255"/>
    <cellStyle name="Comma 12 5 4" xfId="256"/>
    <cellStyle name="Comma 12 5 4 2" xfId="257"/>
    <cellStyle name="Comma 12 5 5" xfId="258"/>
    <cellStyle name="Comma 12 6" xfId="259"/>
    <cellStyle name="Comma 12 6 2" xfId="260"/>
    <cellStyle name="Comma 13" xfId="261"/>
    <cellStyle name="Comma 13 2" xfId="262"/>
    <cellStyle name="Comma 13 2 2" xfId="263"/>
    <cellStyle name="Comma 13 2 2 2" xfId="264"/>
    <cellStyle name="Comma 13 2 2 3" xfId="265"/>
    <cellStyle name="Comma 13 2 2 3 2" xfId="266"/>
    <cellStyle name="Comma 13 2 2 3 2 2" xfId="267"/>
    <cellStyle name="Comma 13 2 2 3 2 2 2" xfId="268"/>
    <cellStyle name="Comma 13 2 2 3 2 2 2 2" xfId="269"/>
    <cellStyle name="Comma 13 2 2 3 2 2 3" xfId="270"/>
    <cellStyle name="Comma 13 2 2 3 2 3" xfId="271"/>
    <cellStyle name="Comma 13 2 2 3 2 3 2" xfId="272"/>
    <cellStyle name="Comma 13 2 2 3 2 4" xfId="273"/>
    <cellStyle name="Comma 13 2 2 3 3" xfId="274"/>
    <cellStyle name="Comma 13 2 2 3 3 2" xfId="275"/>
    <cellStyle name="Comma 13 2 2 3 3 2 2" xfId="276"/>
    <cellStyle name="Comma 13 2 2 3 3 3" xfId="277"/>
    <cellStyle name="Comma 13 2 2 3 4" xfId="278"/>
    <cellStyle name="Comma 13 2 2 3 4 2" xfId="279"/>
    <cellStyle name="Comma 13 2 2 3 5" xfId="280"/>
    <cellStyle name="Comma 13 2 2 4" xfId="281"/>
    <cellStyle name="Comma 13 2 2 4 2" xfId="282"/>
    <cellStyle name="Comma 13 2 3" xfId="283"/>
    <cellStyle name="Comma 13 2 4" xfId="284"/>
    <cellStyle name="Comma 13 2 4 2" xfId="285"/>
    <cellStyle name="Comma 13 2 4 2 2" xfId="286"/>
    <cellStyle name="Comma 13 2 4 2 2 2" xfId="287"/>
    <cellStyle name="Comma 13 2 4 2 2 2 2" xfId="288"/>
    <cellStyle name="Comma 13 2 4 2 2 3" xfId="289"/>
    <cellStyle name="Comma 13 2 4 2 3" xfId="290"/>
    <cellStyle name="Comma 13 2 4 2 3 2" xfId="291"/>
    <cellStyle name="Comma 13 2 4 2 4" xfId="292"/>
    <cellStyle name="Comma 13 2 4 3" xfId="293"/>
    <cellStyle name="Comma 13 2 4 3 2" xfId="294"/>
    <cellStyle name="Comma 13 2 4 3 2 2" xfId="295"/>
    <cellStyle name="Comma 13 2 4 3 3" xfId="296"/>
    <cellStyle name="Comma 13 2 4 4" xfId="297"/>
    <cellStyle name="Comma 13 2 4 4 2" xfId="298"/>
    <cellStyle name="Comma 13 2 4 5" xfId="299"/>
    <cellStyle name="Comma 13 2 5" xfId="300"/>
    <cellStyle name="Comma 13 2 5 2" xfId="301"/>
    <cellStyle name="Comma 13 3" xfId="302"/>
    <cellStyle name="Comma 13 3 2" xfId="303"/>
    <cellStyle name="Comma 13 3 3" xfId="304"/>
    <cellStyle name="Comma 13 3 3 2" xfId="305"/>
    <cellStyle name="Comma 13 3 3 2 2" xfId="306"/>
    <cellStyle name="Comma 13 3 3 2 2 2" xfId="307"/>
    <cellStyle name="Comma 13 3 3 2 2 2 2" xfId="308"/>
    <cellStyle name="Comma 13 3 3 2 2 3" xfId="309"/>
    <cellStyle name="Comma 13 3 3 2 3" xfId="310"/>
    <cellStyle name="Comma 13 3 3 2 3 2" xfId="311"/>
    <cellStyle name="Comma 13 3 3 2 4" xfId="312"/>
    <cellStyle name="Comma 13 3 3 3" xfId="313"/>
    <cellStyle name="Comma 13 3 3 3 2" xfId="314"/>
    <cellStyle name="Comma 13 3 3 3 2 2" xfId="315"/>
    <cellStyle name="Comma 13 3 3 3 3" xfId="316"/>
    <cellStyle name="Comma 13 3 3 4" xfId="317"/>
    <cellStyle name="Comma 13 3 3 4 2" xfId="318"/>
    <cellStyle name="Comma 13 3 3 5" xfId="319"/>
    <cellStyle name="Comma 13 3 4" xfId="320"/>
    <cellStyle name="Comma 13 3 4 2" xfId="321"/>
    <cellStyle name="Comma 13 4" xfId="322"/>
    <cellStyle name="Comma 13 5" xfId="323"/>
    <cellStyle name="Comma 13 5 2" xfId="324"/>
    <cellStyle name="Comma 13 5 2 2" xfId="325"/>
    <cellStyle name="Comma 13 5 2 2 2" xfId="326"/>
    <cellStyle name="Comma 13 5 2 2 2 2" xfId="327"/>
    <cellStyle name="Comma 13 5 2 2 3" xfId="328"/>
    <cellStyle name="Comma 13 5 2 3" xfId="329"/>
    <cellStyle name="Comma 13 5 2 3 2" xfId="330"/>
    <cellStyle name="Comma 13 5 2 4" xfId="331"/>
    <cellStyle name="Comma 13 5 3" xfId="332"/>
    <cellStyle name="Comma 13 5 3 2" xfId="333"/>
    <cellStyle name="Comma 13 5 3 2 2" xfId="334"/>
    <cellStyle name="Comma 13 5 3 3" xfId="335"/>
    <cellStyle name="Comma 13 5 4" xfId="336"/>
    <cellStyle name="Comma 13 5 4 2" xfId="337"/>
    <cellStyle name="Comma 13 5 5" xfId="338"/>
    <cellStyle name="Comma 13 6" xfId="339"/>
    <cellStyle name="Comma 13 6 2" xfId="340"/>
    <cellStyle name="Comma 14" xfId="341"/>
    <cellStyle name="Comma 14 2" xfId="342"/>
    <cellStyle name="Comma 14 2 2" xfId="343"/>
    <cellStyle name="Comma 14 2 2 2" xfId="344"/>
    <cellStyle name="Comma 14 2 2 3" xfId="345"/>
    <cellStyle name="Comma 14 2 2 3 2" xfId="346"/>
    <cellStyle name="Comma 14 2 2 3 2 2" xfId="347"/>
    <cellStyle name="Comma 14 2 2 3 2 2 2" xfId="348"/>
    <cellStyle name="Comma 14 2 2 3 2 2 2 2" xfId="349"/>
    <cellStyle name="Comma 14 2 2 3 2 2 3" xfId="350"/>
    <cellStyle name="Comma 14 2 2 3 2 3" xfId="351"/>
    <cellStyle name="Comma 14 2 2 3 2 3 2" xfId="352"/>
    <cellStyle name="Comma 14 2 2 3 2 4" xfId="353"/>
    <cellStyle name="Comma 14 2 2 3 3" xfId="354"/>
    <cellStyle name="Comma 14 2 2 3 3 2" xfId="355"/>
    <cellStyle name="Comma 14 2 2 3 3 2 2" xfId="356"/>
    <cellStyle name="Comma 14 2 2 3 3 3" xfId="357"/>
    <cellStyle name="Comma 14 2 2 3 4" xfId="358"/>
    <cellStyle name="Comma 14 2 2 3 4 2" xfId="359"/>
    <cellStyle name="Comma 14 2 2 3 5" xfId="360"/>
    <cellStyle name="Comma 14 2 2 4" xfId="361"/>
    <cellStyle name="Comma 14 2 2 4 2" xfId="362"/>
    <cellStyle name="Comma 14 2 3" xfId="363"/>
    <cellStyle name="Comma 14 2 4" xfId="364"/>
    <cellStyle name="Comma 14 2 4 2" xfId="365"/>
    <cellStyle name="Comma 14 2 4 2 2" xfId="366"/>
    <cellStyle name="Comma 14 2 4 2 2 2" xfId="367"/>
    <cellStyle name="Comma 14 2 4 2 2 2 2" xfId="368"/>
    <cellStyle name="Comma 14 2 4 2 2 3" xfId="369"/>
    <cellStyle name="Comma 14 2 4 2 3" xfId="370"/>
    <cellStyle name="Comma 14 2 4 2 3 2" xfId="371"/>
    <cellStyle name="Comma 14 2 4 2 4" xfId="372"/>
    <cellStyle name="Comma 14 2 4 3" xfId="373"/>
    <cellStyle name="Comma 14 2 4 3 2" xfId="374"/>
    <cellStyle name="Comma 14 2 4 3 2 2" xfId="375"/>
    <cellStyle name="Comma 14 2 4 3 3" xfId="376"/>
    <cellStyle name="Comma 14 2 4 4" xfId="377"/>
    <cellStyle name="Comma 14 2 4 4 2" xfId="378"/>
    <cellStyle name="Comma 14 2 4 5" xfId="379"/>
    <cellStyle name="Comma 14 2 5" xfId="380"/>
    <cellStyle name="Comma 14 2 5 2" xfId="381"/>
    <cellStyle name="Comma 14 3" xfId="382"/>
    <cellStyle name="Comma 14 3 2" xfId="383"/>
    <cellStyle name="Comma 14 3 3" xfId="384"/>
    <cellStyle name="Comma 14 3 3 2" xfId="385"/>
    <cellStyle name="Comma 14 3 3 2 2" xfId="386"/>
    <cellStyle name="Comma 14 3 3 2 2 2" xfId="387"/>
    <cellStyle name="Comma 14 3 3 2 2 2 2" xfId="388"/>
    <cellStyle name="Comma 14 3 3 2 2 3" xfId="389"/>
    <cellStyle name="Comma 14 3 3 2 3" xfId="390"/>
    <cellStyle name="Comma 14 3 3 2 3 2" xfId="391"/>
    <cellStyle name="Comma 14 3 3 2 4" xfId="392"/>
    <cellStyle name="Comma 14 3 3 3" xfId="393"/>
    <cellStyle name="Comma 14 3 3 3 2" xfId="394"/>
    <cellStyle name="Comma 14 3 3 3 2 2" xfId="395"/>
    <cellStyle name="Comma 14 3 3 3 3" xfId="396"/>
    <cellStyle name="Comma 14 3 3 4" xfId="397"/>
    <cellStyle name="Comma 14 3 3 4 2" xfId="398"/>
    <cellStyle name="Comma 14 3 3 5" xfId="399"/>
    <cellStyle name="Comma 14 3 4" xfId="400"/>
    <cellStyle name="Comma 14 3 4 2" xfId="401"/>
    <cellStyle name="Comma 14 4" xfId="402"/>
    <cellStyle name="Comma 14 5" xfId="403"/>
    <cellStyle name="Comma 14 5 2" xfId="404"/>
    <cellStyle name="Comma 14 5 2 2" xfId="405"/>
    <cellStyle name="Comma 14 5 2 2 2" xfId="406"/>
    <cellStyle name="Comma 14 5 2 2 2 2" xfId="407"/>
    <cellStyle name="Comma 14 5 2 2 3" xfId="408"/>
    <cellStyle name="Comma 14 5 2 3" xfId="409"/>
    <cellStyle name="Comma 14 5 2 3 2" xfId="410"/>
    <cellStyle name="Comma 14 5 2 4" xfId="411"/>
    <cellStyle name="Comma 14 5 3" xfId="412"/>
    <cellStyle name="Comma 14 5 3 2" xfId="413"/>
    <cellStyle name="Comma 14 5 3 2 2" xfId="414"/>
    <cellStyle name="Comma 14 5 3 3" xfId="415"/>
    <cellStyle name="Comma 14 5 4" xfId="416"/>
    <cellStyle name="Comma 14 5 4 2" xfId="417"/>
    <cellStyle name="Comma 14 5 5" xfId="418"/>
    <cellStyle name="Comma 14 6" xfId="419"/>
    <cellStyle name="Comma 14 6 2" xfId="420"/>
    <cellStyle name="Comma 15" xfId="421"/>
    <cellStyle name="Comma 15 2" xfId="422"/>
    <cellStyle name="Comma 15 2 2" xfId="423"/>
    <cellStyle name="Comma 15 2 2 2" xfId="424"/>
    <cellStyle name="Comma 15 2 2 3" xfId="425"/>
    <cellStyle name="Comma 15 2 2 3 2" xfId="426"/>
    <cellStyle name="Comma 15 2 2 3 2 2" xfId="427"/>
    <cellStyle name="Comma 15 2 2 3 2 2 2" xfId="428"/>
    <cellStyle name="Comma 15 2 2 3 2 2 2 2" xfId="429"/>
    <cellStyle name="Comma 15 2 2 3 2 2 3" xfId="430"/>
    <cellStyle name="Comma 15 2 2 3 2 3" xfId="431"/>
    <cellStyle name="Comma 15 2 2 3 2 3 2" xfId="432"/>
    <cellStyle name="Comma 15 2 2 3 2 4" xfId="433"/>
    <cellStyle name="Comma 15 2 2 3 3" xfId="434"/>
    <cellStyle name="Comma 15 2 2 3 3 2" xfId="435"/>
    <cellStyle name="Comma 15 2 2 3 3 2 2" xfId="436"/>
    <cellStyle name="Comma 15 2 2 3 3 3" xfId="437"/>
    <cellStyle name="Comma 15 2 2 3 4" xfId="438"/>
    <cellStyle name="Comma 15 2 2 3 4 2" xfId="439"/>
    <cellStyle name="Comma 15 2 2 3 5" xfId="440"/>
    <cellStyle name="Comma 15 2 2 4" xfId="441"/>
    <cellStyle name="Comma 15 2 2 4 2" xfId="442"/>
    <cellStyle name="Comma 15 2 3" xfId="443"/>
    <cellStyle name="Comma 15 2 4" xfId="444"/>
    <cellStyle name="Comma 15 2 4 2" xfId="445"/>
    <cellStyle name="Comma 15 2 4 2 2" xfId="446"/>
    <cellStyle name="Comma 15 2 4 2 2 2" xfId="447"/>
    <cellStyle name="Comma 15 2 4 2 2 2 2" xfId="448"/>
    <cellStyle name="Comma 15 2 4 2 2 3" xfId="449"/>
    <cellStyle name="Comma 15 2 4 2 3" xfId="450"/>
    <cellStyle name="Comma 15 2 4 2 3 2" xfId="451"/>
    <cellStyle name="Comma 15 2 4 2 4" xfId="452"/>
    <cellStyle name="Comma 15 2 4 3" xfId="453"/>
    <cellStyle name="Comma 15 2 4 3 2" xfId="454"/>
    <cellStyle name="Comma 15 2 4 3 2 2" xfId="455"/>
    <cellStyle name="Comma 15 2 4 3 3" xfId="456"/>
    <cellStyle name="Comma 15 2 4 4" xfId="457"/>
    <cellStyle name="Comma 15 2 4 4 2" xfId="458"/>
    <cellStyle name="Comma 15 2 4 5" xfId="459"/>
    <cellStyle name="Comma 15 2 5" xfId="460"/>
    <cellStyle name="Comma 15 2 5 2" xfId="461"/>
    <cellStyle name="Comma 15 3" xfId="462"/>
    <cellStyle name="Comma 15 3 2" xfId="463"/>
    <cellStyle name="Comma 15 3 3" xfId="464"/>
    <cellStyle name="Comma 15 3 3 2" xfId="465"/>
    <cellStyle name="Comma 15 3 3 2 2" xfId="466"/>
    <cellStyle name="Comma 15 3 3 2 2 2" xfId="467"/>
    <cellStyle name="Comma 15 3 3 2 2 2 2" xfId="468"/>
    <cellStyle name="Comma 15 3 3 2 2 3" xfId="469"/>
    <cellStyle name="Comma 15 3 3 2 3" xfId="470"/>
    <cellStyle name="Comma 15 3 3 2 3 2" xfId="471"/>
    <cellStyle name="Comma 15 3 3 2 4" xfId="472"/>
    <cellStyle name="Comma 15 3 3 3" xfId="473"/>
    <cellStyle name="Comma 15 3 3 3 2" xfId="474"/>
    <cellStyle name="Comma 15 3 3 3 2 2" xfId="475"/>
    <cellStyle name="Comma 15 3 3 3 3" xfId="476"/>
    <cellStyle name="Comma 15 3 3 4" xfId="477"/>
    <cellStyle name="Comma 15 3 3 4 2" xfId="478"/>
    <cellStyle name="Comma 15 3 3 5" xfId="479"/>
    <cellStyle name="Comma 15 3 4" xfId="480"/>
    <cellStyle name="Comma 15 3 4 2" xfId="481"/>
    <cellStyle name="Comma 15 4" xfId="482"/>
    <cellStyle name="Comma 15 5" xfId="483"/>
    <cellStyle name="Comma 15 5 2" xfId="484"/>
    <cellStyle name="Comma 15 5 2 2" xfId="485"/>
    <cellStyle name="Comma 15 5 2 2 2" xfId="486"/>
    <cellStyle name="Comma 15 5 2 2 2 2" xfId="487"/>
    <cellStyle name="Comma 15 5 2 2 3" xfId="488"/>
    <cellStyle name="Comma 15 5 2 3" xfId="489"/>
    <cellStyle name="Comma 15 5 2 3 2" xfId="490"/>
    <cellStyle name="Comma 15 5 2 4" xfId="491"/>
    <cellStyle name="Comma 15 5 3" xfId="492"/>
    <cellStyle name="Comma 15 5 3 2" xfId="493"/>
    <cellStyle name="Comma 15 5 3 2 2" xfId="494"/>
    <cellStyle name="Comma 15 5 3 3" xfId="495"/>
    <cellStyle name="Comma 15 5 4" xfId="496"/>
    <cellStyle name="Comma 15 5 4 2" xfId="497"/>
    <cellStyle name="Comma 15 5 5" xfId="498"/>
    <cellStyle name="Comma 15 6" xfId="499"/>
    <cellStyle name="Comma 15 6 2" xfId="500"/>
    <cellStyle name="Comma 16" xfId="501"/>
    <cellStyle name="Comma 16 2" xfId="502"/>
    <cellStyle name="Comma 16 2 2" xfId="503"/>
    <cellStyle name="Comma 16 2 2 2" xfId="504"/>
    <cellStyle name="Comma 16 2 2 3" xfId="505"/>
    <cellStyle name="Comma 16 2 2 3 2" xfId="506"/>
    <cellStyle name="Comma 16 2 2 3 2 2" xfId="507"/>
    <cellStyle name="Comma 16 2 2 3 2 2 2" xfId="508"/>
    <cellStyle name="Comma 16 2 2 3 2 2 2 2" xfId="509"/>
    <cellStyle name="Comma 16 2 2 3 2 2 3" xfId="510"/>
    <cellStyle name="Comma 16 2 2 3 2 3" xfId="511"/>
    <cellStyle name="Comma 16 2 2 3 2 3 2" xfId="512"/>
    <cellStyle name="Comma 16 2 2 3 2 4" xfId="513"/>
    <cellStyle name="Comma 16 2 2 3 3" xfId="514"/>
    <cellStyle name="Comma 16 2 2 3 3 2" xfId="515"/>
    <cellStyle name="Comma 16 2 2 3 3 2 2" xfId="516"/>
    <cellStyle name="Comma 16 2 2 3 3 3" xfId="517"/>
    <cellStyle name="Comma 16 2 2 3 4" xfId="518"/>
    <cellStyle name="Comma 16 2 2 3 4 2" xfId="519"/>
    <cellStyle name="Comma 16 2 2 3 5" xfId="520"/>
    <cellStyle name="Comma 16 2 2 4" xfId="521"/>
    <cellStyle name="Comma 16 2 2 4 2" xfId="522"/>
    <cellStyle name="Comma 16 2 3" xfId="523"/>
    <cellStyle name="Comma 16 2 4" xfId="524"/>
    <cellStyle name="Comma 16 2 4 2" xfId="525"/>
    <cellStyle name="Comma 16 2 4 2 2" xfId="526"/>
    <cellStyle name="Comma 16 2 4 2 2 2" xfId="527"/>
    <cellStyle name="Comma 16 2 4 2 2 2 2" xfId="528"/>
    <cellStyle name="Comma 16 2 4 2 2 3" xfId="529"/>
    <cellStyle name="Comma 16 2 4 2 3" xfId="530"/>
    <cellStyle name="Comma 16 2 4 2 3 2" xfId="531"/>
    <cellStyle name="Comma 16 2 4 2 4" xfId="532"/>
    <cellStyle name="Comma 16 2 4 3" xfId="533"/>
    <cellStyle name="Comma 16 2 4 3 2" xfId="534"/>
    <cellStyle name="Comma 16 2 4 3 2 2" xfId="535"/>
    <cellStyle name="Comma 16 2 4 3 3" xfId="536"/>
    <cellStyle name="Comma 16 2 4 4" xfId="537"/>
    <cellStyle name="Comma 16 2 4 4 2" xfId="538"/>
    <cellStyle name="Comma 16 2 4 5" xfId="539"/>
    <cellStyle name="Comma 16 2 5" xfId="540"/>
    <cellStyle name="Comma 16 2 5 2" xfId="541"/>
    <cellStyle name="Comma 16 3" xfId="542"/>
    <cellStyle name="Comma 16 3 2" xfId="543"/>
    <cellStyle name="Comma 16 3 3" xfId="544"/>
    <cellStyle name="Comma 16 3 3 2" xfId="545"/>
    <cellStyle name="Comma 16 3 3 2 2" xfId="546"/>
    <cellStyle name="Comma 16 3 3 2 2 2" xfId="547"/>
    <cellStyle name="Comma 16 3 3 2 2 2 2" xfId="548"/>
    <cellStyle name="Comma 16 3 3 2 2 3" xfId="549"/>
    <cellStyle name="Comma 16 3 3 2 3" xfId="550"/>
    <cellStyle name="Comma 16 3 3 2 3 2" xfId="551"/>
    <cellStyle name="Comma 16 3 3 2 4" xfId="552"/>
    <cellStyle name="Comma 16 3 3 3" xfId="553"/>
    <cellStyle name="Comma 16 3 3 3 2" xfId="554"/>
    <cellStyle name="Comma 16 3 3 3 2 2" xfId="555"/>
    <cellStyle name="Comma 16 3 3 3 3" xfId="556"/>
    <cellStyle name="Comma 16 3 3 4" xfId="557"/>
    <cellStyle name="Comma 16 3 3 4 2" xfId="558"/>
    <cellStyle name="Comma 16 3 3 5" xfId="559"/>
    <cellStyle name="Comma 16 3 4" xfId="560"/>
    <cellStyle name="Comma 16 3 4 2" xfId="561"/>
    <cellStyle name="Comma 16 4" xfId="562"/>
    <cellStyle name="Comma 16 5" xfId="563"/>
    <cellStyle name="Comma 16 5 2" xfId="564"/>
    <cellStyle name="Comma 16 5 2 2" xfId="565"/>
    <cellStyle name="Comma 16 5 2 2 2" xfId="566"/>
    <cellStyle name="Comma 16 5 2 2 2 2" xfId="567"/>
    <cellStyle name="Comma 16 5 2 2 3" xfId="568"/>
    <cellStyle name="Comma 16 5 2 3" xfId="569"/>
    <cellStyle name="Comma 16 5 2 3 2" xfId="570"/>
    <cellStyle name="Comma 16 5 2 4" xfId="571"/>
    <cellStyle name="Comma 16 5 3" xfId="572"/>
    <cellStyle name="Comma 16 5 3 2" xfId="573"/>
    <cellStyle name="Comma 16 5 3 2 2" xfId="574"/>
    <cellStyle name="Comma 16 5 3 3" xfId="575"/>
    <cellStyle name="Comma 16 5 4" xfId="576"/>
    <cellStyle name="Comma 16 5 4 2" xfId="577"/>
    <cellStyle name="Comma 16 5 5" xfId="578"/>
    <cellStyle name="Comma 16 6" xfId="579"/>
    <cellStyle name="Comma 16 6 2" xfId="580"/>
    <cellStyle name="Comma 17" xfId="581"/>
    <cellStyle name="Comma 17 2" xfId="582"/>
    <cellStyle name="Comma 17 2 2" xfId="583"/>
    <cellStyle name="Comma 17 2 2 2" xfId="584"/>
    <cellStyle name="Comma 17 2 2 3" xfId="585"/>
    <cellStyle name="Comma 17 2 2 3 2" xfId="586"/>
    <cellStyle name="Comma 17 2 2 3 2 2" xfId="587"/>
    <cellStyle name="Comma 17 2 2 3 2 2 2" xfId="588"/>
    <cellStyle name="Comma 17 2 2 3 2 2 2 2" xfId="589"/>
    <cellStyle name="Comma 17 2 2 3 2 2 3" xfId="590"/>
    <cellStyle name="Comma 17 2 2 3 2 3" xfId="591"/>
    <cellStyle name="Comma 17 2 2 3 2 3 2" xfId="592"/>
    <cellStyle name="Comma 17 2 2 3 2 4" xfId="593"/>
    <cellStyle name="Comma 17 2 2 3 3" xfId="594"/>
    <cellStyle name="Comma 17 2 2 3 3 2" xfId="595"/>
    <cellStyle name="Comma 17 2 2 3 3 2 2" xfId="596"/>
    <cellStyle name="Comma 17 2 2 3 3 3" xfId="597"/>
    <cellStyle name="Comma 17 2 2 3 4" xfId="598"/>
    <cellStyle name="Comma 17 2 2 3 4 2" xfId="599"/>
    <cellStyle name="Comma 17 2 2 3 5" xfId="600"/>
    <cellStyle name="Comma 17 2 2 4" xfId="601"/>
    <cellStyle name="Comma 17 2 2 4 2" xfId="602"/>
    <cellStyle name="Comma 17 2 3" xfId="603"/>
    <cellStyle name="Comma 17 2 4" xfId="604"/>
    <cellStyle name="Comma 17 2 4 2" xfId="605"/>
    <cellStyle name="Comma 17 2 4 2 2" xfId="606"/>
    <cellStyle name="Comma 17 2 4 2 2 2" xfId="607"/>
    <cellStyle name="Comma 17 2 4 2 2 2 2" xfId="608"/>
    <cellStyle name="Comma 17 2 4 2 2 3" xfId="609"/>
    <cellStyle name="Comma 17 2 4 2 3" xfId="610"/>
    <cellStyle name="Comma 17 2 4 2 3 2" xfId="611"/>
    <cellStyle name="Comma 17 2 4 2 4" xfId="612"/>
    <cellStyle name="Comma 17 2 4 3" xfId="613"/>
    <cellStyle name="Comma 17 2 4 3 2" xfId="614"/>
    <cellStyle name="Comma 17 2 4 3 2 2" xfId="615"/>
    <cellStyle name="Comma 17 2 4 3 3" xfId="616"/>
    <cellStyle name="Comma 17 2 4 4" xfId="617"/>
    <cellStyle name="Comma 17 2 4 4 2" xfId="618"/>
    <cellStyle name="Comma 17 2 4 5" xfId="619"/>
    <cellStyle name="Comma 17 2 5" xfId="620"/>
    <cellStyle name="Comma 17 2 5 2" xfId="621"/>
    <cellStyle name="Comma 17 3" xfId="622"/>
    <cellStyle name="Comma 17 3 2" xfId="623"/>
    <cellStyle name="Comma 17 3 3" xfId="624"/>
    <cellStyle name="Comma 17 3 3 2" xfId="625"/>
    <cellStyle name="Comma 17 3 3 2 2" xfId="626"/>
    <cellStyle name="Comma 17 3 3 2 2 2" xfId="627"/>
    <cellStyle name="Comma 17 3 3 2 2 2 2" xfId="628"/>
    <cellStyle name="Comma 17 3 3 2 2 3" xfId="629"/>
    <cellStyle name="Comma 17 3 3 2 3" xfId="630"/>
    <cellStyle name="Comma 17 3 3 2 3 2" xfId="631"/>
    <cellStyle name="Comma 17 3 3 2 4" xfId="632"/>
    <cellStyle name="Comma 17 3 3 3" xfId="633"/>
    <cellStyle name="Comma 17 3 3 3 2" xfId="634"/>
    <cellStyle name="Comma 17 3 3 3 2 2" xfId="635"/>
    <cellStyle name="Comma 17 3 3 3 3" xfId="636"/>
    <cellStyle name="Comma 17 3 3 4" xfId="637"/>
    <cellStyle name="Comma 17 3 3 4 2" xfId="638"/>
    <cellStyle name="Comma 17 3 3 5" xfId="639"/>
    <cellStyle name="Comma 17 3 4" xfId="640"/>
    <cellStyle name="Comma 17 3 4 2" xfId="641"/>
    <cellStyle name="Comma 17 4" xfId="642"/>
    <cellStyle name="Comma 17 5" xfId="643"/>
    <cellStyle name="Comma 17 5 2" xfId="644"/>
    <cellStyle name="Comma 17 5 2 2" xfId="645"/>
    <cellStyle name="Comma 17 5 2 2 2" xfId="646"/>
    <cellStyle name="Comma 17 5 2 2 2 2" xfId="647"/>
    <cellStyle name="Comma 17 5 2 2 3" xfId="648"/>
    <cellStyle name="Comma 17 5 2 3" xfId="649"/>
    <cellStyle name="Comma 17 5 2 3 2" xfId="650"/>
    <cellStyle name="Comma 17 5 2 4" xfId="651"/>
    <cellStyle name="Comma 17 5 3" xfId="652"/>
    <cellStyle name="Comma 17 5 3 2" xfId="653"/>
    <cellStyle name="Comma 17 5 3 2 2" xfId="654"/>
    <cellStyle name="Comma 17 5 3 3" xfId="655"/>
    <cellStyle name="Comma 17 5 4" xfId="656"/>
    <cellStyle name="Comma 17 5 4 2" xfId="657"/>
    <cellStyle name="Comma 17 5 5" xfId="658"/>
    <cellStyle name="Comma 17 6" xfId="659"/>
    <cellStyle name="Comma 17 6 2" xfId="660"/>
    <cellStyle name="Comma 18" xfId="661"/>
    <cellStyle name="Comma 18 2" xfId="662"/>
    <cellStyle name="Comma 18 2 2" xfId="663"/>
    <cellStyle name="Comma 18 2 2 2" xfId="664"/>
    <cellStyle name="Comma 18 2 2 3" xfId="665"/>
    <cellStyle name="Comma 18 2 2 3 2" xfId="666"/>
    <cellStyle name="Comma 18 2 2 3 2 2" xfId="667"/>
    <cellStyle name="Comma 18 2 2 3 2 2 2" xfId="668"/>
    <cellStyle name="Comma 18 2 2 3 2 2 2 2" xfId="669"/>
    <cellStyle name="Comma 18 2 2 3 2 2 3" xfId="670"/>
    <cellStyle name="Comma 18 2 2 3 2 3" xfId="671"/>
    <cellStyle name="Comma 18 2 2 3 2 3 2" xfId="672"/>
    <cellStyle name="Comma 18 2 2 3 2 4" xfId="673"/>
    <cellStyle name="Comma 18 2 2 3 3" xfId="674"/>
    <cellStyle name="Comma 18 2 2 3 3 2" xfId="675"/>
    <cellStyle name="Comma 18 2 2 3 3 2 2" xfId="676"/>
    <cellStyle name="Comma 18 2 2 3 3 3" xfId="677"/>
    <cellStyle name="Comma 18 2 2 3 4" xfId="678"/>
    <cellStyle name="Comma 18 2 2 3 4 2" xfId="679"/>
    <cellStyle name="Comma 18 2 2 3 5" xfId="680"/>
    <cellStyle name="Comma 18 2 2 4" xfId="681"/>
    <cellStyle name="Comma 18 2 2 4 2" xfId="682"/>
    <cellStyle name="Comma 18 2 3" xfId="683"/>
    <cellStyle name="Comma 18 2 4" xfId="684"/>
    <cellStyle name="Comma 18 2 4 2" xfId="685"/>
    <cellStyle name="Comma 18 2 4 2 2" xfId="686"/>
    <cellStyle name="Comma 18 2 4 2 2 2" xfId="687"/>
    <cellStyle name="Comma 18 2 4 2 2 2 2" xfId="688"/>
    <cellStyle name="Comma 18 2 4 2 2 3" xfId="689"/>
    <cellStyle name="Comma 18 2 4 2 3" xfId="690"/>
    <cellStyle name="Comma 18 2 4 2 3 2" xfId="691"/>
    <cellStyle name="Comma 18 2 4 2 4" xfId="692"/>
    <cellStyle name="Comma 18 2 4 3" xfId="693"/>
    <cellStyle name="Comma 18 2 4 3 2" xfId="694"/>
    <cellStyle name="Comma 18 2 4 3 2 2" xfId="695"/>
    <cellStyle name="Comma 18 2 4 3 3" xfId="696"/>
    <cellStyle name="Comma 18 2 4 4" xfId="697"/>
    <cellStyle name="Comma 18 2 4 4 2" xfId="698"/>
    <cellStyle name="Comma 18 2 4 5" xfId="699"/>
    <cellStyle name="Comma 18 2 5" xfId="700"/>
    <cellStyle name="Comma 18 2 5 2" xfId="701"/>
    <cellStyle name="Comma 18 3" xfId="702"/>
    <cellStyle name="Comma 18 3 2" xfId="703"/>
    <cellStyle name="Comma 18 3 3" xfId="704"/>
    <cellStyle name="Comma 18 3 3 2" xfId="705"/>
    <cellStyle name="Comma 18 3 3 2 2" xfId="706"/>
    <cellStyle name="Comma 18 3 3 2 2 2" xfId="707"/>
    <cellStyle name="Comma 18 3 3 2 2 2 2" xfId="708"/>
    <cellStyle name="Comma 18 3 3 2 2 3" xfId="709"/>
    <cellStyle name="Comma 18 3 3 2 3" xfId="710"/>
    <cellStyle name="Comma 18 3 3 2 3 2" xfId="711"/>
    <cellStyle name="Comma 18 3 3 2 4" xfId="712"/>
    <cellStyle name="Comma 18 3 3 3" xfId="713"/>
    <cellStyle name="Comma 18 3 3 3 2" xfId="714"/>
    <cellStyle name="Comma 18 3 3 3 2 2" xfId="715"/>
    <cellStyle name="Comma 18 3 3 3 3" xfId="716"/>
    <cellStyle name="Comma 18 3 3 4" xfId="717"/>
    <cellStyle name="Comma 18 3 3 4 2" xfId="718"/>
    <cellStyle name="Comma 18 3 3 5" xfId="719"/>
    <cellStyle name="Comma 18 3 4" xfId="720"/>
    <cellStyle name="Comma 18 3 4 2" xfId="721"/>
    <cellStyle name="Comma 18 4" xfId="722"/>
    <cellStyle name="Comma 18 5" xfId="723"/>
    <cellStyle name="Comma 18 5 2" xfId="724"/>
    <cellStyle name="Comma 18 5 2 2" xfId="725"/>
    <cellStyle name="Comma 18 5 2 2 2" xfId="726"/>
    <cellStyle name="Comma 18 5 2 2 2 2" xfId="727"/>
    <cellStyle name="Comma 18 5 2 2 3" xfId="728"/>
    <cellStyle name="Comma 18 5 2 3" xfId="729"/>
    <cellStyle name="Comma 18 5 2 3 2" xfId="730"/>
    <cellStyle name="Comma 18 5 2 4" xfId="731"/>
    <cellStyle name="Comma 18 5 3" xfId="732"/>
    <cellStyle name="Comma 18 5 3 2" xfId="733"/>
    <cellStyle name="Comma 18 5 3 2 2" xfId="734"/>
    <cellStyle name="Comma 18 5 3 3" xfId="735"/>
    <cellStyle name="Comma 18 5 4" xfId="736"/>
    <cellStyle name="Comma 18 5 4 2" xfId="737"/>
    <cellStyle name="Comma 18 5 5" xfId="738"/>
    <cellStyle name="Comma 18 6" xfId="739"/>
    <cellStyle name="Comma 18 6 2" xfId="740"/>
    <cellStyle name="Comma 19" xfId="741"/>
    <cellStyle name="Comma 19 2" xfId="742"/>
    <cellStyle name="Comma 19 2 2" xfId="743"/>
    <cellStyle name="Comma 19 2 2 2" xfId="744"/>
    <cellStyle name="Comma 19 2 2 3" xfId="745"/>
    <cellStyle name="Comma 19 2 2 3 2" xfId="746"/>
    <cellStyle name="Comma 19 2 2 3 2 2" xfId="747"/>
    <cellStyle name="Comma 19 2 2 3 2 2 2" xfId="748"/>
    <cellStyle name="Comma 19 2 2 3 2 2 2 2" xfId="749"/>
    <cellStyle name="Comma 19 2 2 3 2 2 3" xfId="750"/>
    <cellStyle name="Comma 19 2 2 3 2 3" xfId="751"/>
    <cellStyle name="Comma 19 2 2 3 2 3 2" xfId="752"/>
    <cellStyle name="Comma 19 2 2 3 2 4" xfId="753"/>
    <cellStyle name="Comma 19 2 2 3 3" xfId="754"/>
    <cellStyle name="Comma 19 2 2 3 3 2" xfId="755"/>
    <cellStyle name="Comma 19 2 2 3 3 2 2" xfId="756"/>
    <cellStyle name="Comma 19 2 2 3 3 3" xfId="757"/>
    <cellStyle name="Comma 19 2 2 3 4" xfId="758"/>
    <cellStyle name="Comma 19 2 2 3 4 2" xfId="759"/>
    <cellStyle name="Comma 19 2 2 3 5" xfId="760"/>
    <cellStyle name="Comma 19 2 2 4" xfId="761"/>
    <cellStyle name="Comma 19 2 2 4 2" xfId="762"/>
    <cellStyle name="Comma 19 2 3" xfId="763"/>
    <cellStyle name="Comma 19 2 4" xfId="764"/>
    <cellStyle name="Comma 19 2 4 2" xfId="765"/>
    <cellStyle name="Comma 19 2 4 2 2" xfId="766"/>
    <cellStyle name="Comma 19 2 4 2 2 2" xfId="767"/>
    <cellStyle name="Comma 19 2 4 2 2 2 2" xfId="768"/>
    <cellStyle name="Comma 19 2 4 2 2 3" xfId="769"/>
    <cellStyle name="Comma 19 2 4 2 3" xfId="770"/>
    <cellStyle name="Comma 19 2 4 2 3 2" xfId="771"/>
    <cellStyle name="Comma 19 2 4 2 4" xfId="772"/>
    <cellStyle name="Comma 19 2 4 3" xfId="773"/>
    <cellStyle name="Comma 19 2 4 3 2" xfId="774"/>
    <cellStyle name="Comma 19 2 4 3 2 2" xfId="775"/>
    <cellStyle name="Comma 19 2 4 3 3" xfId="776"/>
    <cellStyle name="Comma 19 2 4 4" xfId="777"/>
    <cellStyle name="Comma 19 2 4 4 2" xfId="778"/>
    <cellStyle name="Comma 19 2 4 5" xfId="779"/>
    <cellStyle name="Comma 19 2 5" xfId="780"/>
    <cellStyle name="Comma 19 2 5 2" xfId="781"/>
    <cellStyle name="Comma 19 3" xfId="782"/>
    <cellStyle name="Comma 19 3 2" xfId="783"/>
    <cellStyle name="Comma 19 3 3" xfId="784"/>
    <cellStyle name="Comma 19 3 3 2" xfId="785"/>
    <cellStyle name="Comma 19 3 3 2 2" xfId="786"/>
    <cellStyle name="Comma 19 3 3 2 2 2" xfId="787"/>
    <cellStyle name="Comma 19 3 3 2 2 2 2" xfId="788"/>
    <cellStyle name="Comma 19 3 3 2 2 3" xfId="789"/>
    <cellStyle name="Comma 19 3 3 2 3" xfId="790"/>
    <cellStyle name="Comma 19 3 3 2 3 2" xfId="791"/>
    <cellStyle name="Comma 19 3 3 2 4" xfId="792"/>
    <cellStyle name="Comma 19 3 3 3" xfId="793"/>
    <cellStyle name="Comma 19 3 3 3 2" xfId="794"/>
    <cellStyle name="Comma 19 3 3 3 2 2" xfId="795"/>
    <cellStyle name="Comma 19 3 3 3 3" xfId="796"/>
    <cellStyle name="Comma 19 3 3 4" xfId="797"/>
    <cellStyle name="Comma 19 3 3 4 2" xfId="798"/>
    <cellStyle name="Comma 19 3 3 5" xfId="799"/>
    <cellStyle name="Comma 19 3 4" xfId="800"/>
    <cellStyle name="Comma 19 3 4 2" xfId="801"/>
    <cellStyle name="Comma 19 4" xfId="802"/>
    <cellStyle name="Comma 19 5" xfId="803"/>
    <cellStyle name="Comma 19 5 2" xfId="804"/>
    <cellStyle name="Comma 19 5 2 2" xfId="805"/>
    <cellStyle name="Comma 19 5 2 2 2" xfId="806"/>
    <cellStyle name="Comma 19 5 2 2 2 2" xfId="807"/>
    <cellStyle name="Comma 19 5 2 2 3" xfId="808"/>
    <cellStyle name="Comma 19 5 2 3" xfId="809"/>
    <cellStyle name="Comma 19 5 2 3 2" xfId="810"/>
    <cellStyle name="Comma 19 5 2 4" xfId="811"/>
    <cellStyle name="Comma 19 5 3" xfId="812"/>
    <cellStyle name="Comma 19 5 3 2" xfId="813"/>
    <cellStyle name="Comma 19 5 3 2 2" xfId="814"/>
    <cellStyle name="Comma 19 5 3 3" xfId="815"/>
    <cellStyle name="Comma 19 5 4" xfId="816"/>
    <cellStyle name="Comma 19 5 4 2" xfId="817"/>
    <cellStyle name="Comma 19 5 5" xfId="818"/>
    <cellStyle name="Comma 19 6" xfId="819"/>
    <cellStyle name="Comma 19 6 2" xfId="820"/>
    <cellStyle name="Comma 2" xfId="821"/>
    <cellStyle name="Comma 2 2" xfId="822"/>
    <cellStyle name="Comma 2 2 2" xfId="823"/>
    <cellStyle name="Comma 2 2 3" xfId="824"/>
    <cellStyle name="Comma 2 2 3 2" xfId="825"/>
    <cellStyle name="Comma 2 2 3 2 2" xfId="826"/>
    <cellStyle name="Comma 2 2 3 2 2 2" xfId="827"/>
    <cellStyle name="Comma 2 2 3 2 2 2 2" xfId="828"/>
    <cellStyle name="Comma 2 2 3 2 2 3" xfId="829"/>
    <cellStyle name="Comma 2 2 3 2 3" xfId="830"/>
    <cellStyle name="Comma 2 2 3 2 3 2" xfId="831"/>
    <cellStyle name="Comma 2 2 3 2 4" xfId="832"/>
    <cellStyle name="Comma 2 2 3 3" xfId="833"/>
    <cellStyle name="Comma 2 2 3 3 2" xfId="834"/>
    <cellStyle name="Comma 2 2 3 3 2 2" xfId="835"/>
    <cellStyle name="Comma 2 2 3 3 3" xfId="836"/>
    <cellStyle name="Comma 2 2 3 4" xfId="837"/>
    <cellStyle name="Comma 2 2 3 4 2" xfId="838"/>
    <cellStyle name="Comma 2 2 3 5" xfId="839"/>
    <cellStyle name="Comma 2 2 4" xfId="840"/>
    <cellStyle name="Comma 2 2 4 2" xfId="841"/>
    <cellStyle name="Comma 2 3" xfId="842"/>
    <cellStyle name="Comma 2 4" xfId="843"/>
    <cellStyle name="Comma 2 4 2" xfId="844"/>
    <cellStyle name="Comma 2 4 2 2" xfId="845"/>
    <cellStyle name="Comma 2 4 2 2 2" xfId="846"/>
    <cellStyle name="Comma 2 4 2 2 2 2" xfId="847"/>
    <cellStyle name="Comma 2 4 2 2 3" xfId="848"/>
    <cellStyle name="Comma 2 4 2 3" xfId="849"/>
    <cellStyle name="Comma 2 4 2 3 2" xfId="850"/>
    <cellStyle name="Comma 2 4 2 4" xfId="851"/>
    <cellStyle name="Comma 2 4 3" xfId="852"/>
    <cellStyle name="Comma 2 4 3 2" xfId="853"/>
    <cellStyle name="Comma 2 4 3 2 2" xfId="854"/>
    <cellStyle name="Comma 2 4 3 3" xfId="855"/>
    <cellStyle name="Comma 2 4 4" xfId="856"/>
    <cellStyle name="Comma 2 4 4 2" xfId="857"/>
    <cellStyle name="Comma 2 4 5" xfId="858"/>
    <cellStyle name="Comma 2 5" xfId="859"/>
    <cellStyle name="Comma 2 5 2" xfId="860"/>
    <cellStyle name="Comma 20" xfId="861"/>
    <cellStyle name="Comma 20 2" xfId="862"/>
    <cellStyle name="Comma 20 2 2" xfId="863"/>
    <cellStyle name="Comma 20 2 2 2" xfId="864"/>
    <cellStyle name="Comma 20 2 2 3" xfId="865"/>
    <cellStyle name="Comma 20 2 2 3 2" xfId="866"/>
    <cellStyle name="Comma 20 2 2 3 2 2" xfId="867"/>
    <cellStyle name="Comma 20 2 2 3 2 2 2" xfId="868"/>
    <cellStyle name="Comma 20 2 2 3 2 2 2 2" xfId="869"/>
    <cellStyle name="Comma 20 2 2 3 2 2 3" xfId="870"/>
    <cellStyle name="Comma 20 2 2 3 2 3" xfId="871"/>
    <cellStyle name="Comma 20 2 2 3 2 3 2" xfId="872"/>
    <cellStyle name="Comma 20 2 2 3 2 4" xfId="873"/>
    <cellStyle name="Comma 20 2 2 3 3" xfId="874"/>
    <cellStyle name="Comma 20 2 2 3 3 2" xfId="875"/>
    <cellStyle name="Comma 20 2 2 3 3 2 2" xfId="876"/>
    <cellStyle name="Comma 20 2 2 3 3 3" xfId="877"/>
    <cellStyle name="Comma 20 2 2 3 4" xfId="878"/>
    <cellStyle name="Comma 20 2 2 3 4 2" xfId="879"/>
    <cellStyle name="Comma 20 2 2 3 5" xfId="880"/>
    <cellStyle name="Comma 20 2 2 4" xfId="881"/>
    <cellStyle name="Comma 20 2 2 4 2" xfId="882"/>
    <cellStyle name="Comma 20 2 3" xfId="883"/>
    <cellStyle name="Comma 20 2 4" xfId="884"/>
    <cellStyle name="Comma 20 2 4 2" xfId="885"/>
    <cellStyle name="Comma 20 2 4 2 2" xfId="886"/>
    <cellStyle name="Comma 20 2 4 2 2 2" xfId="887"/>
    <cellStyle name="Comma 20 2 4 2 2 2 2" xfId="888"/>
    <cellStyle name="Comma 20 2 4 2 2 3" xfId="889"/>
    <cellStyle name="Comma 20 2 4 2 3" xfId="890"/>
    <cellStyle name="Comma 20 2 4 2 3 2" xfId="891"/>
    <cellStyle name="Comma 20 2 4 2 4" xfId="892"/>
    <cellStyle name="Comma 20 2 4 3" xfId="893"/>
    <cellStyle name="Comma 20 2 4 3 2" xfId="894"/>
    <cellStyle name="Comma 20 2 4 3 2 2" xfId="895"/>
    <cellStyle name="Comma 20 2 4 3 3" xfId="896"/>
    <cellStyle name="Comma 20 2 4 4" xfId="897"/>
    <cellStyle name="Comma 20 2 4 4 2" xfId="898"/>
    <cellStyle name="Comma 20 2 4 5" xfId="899"/>
    <cellStyle name="Comma 20 2 5" xfId="900"/>
    <cellStyle name="Comma 20 2 5 2" xfId="901"/>
    <cellStyle name="Comma 20 3" xfId="902"/>
    <cellStyle name="Comma 20 3 2" xfId="903"/>
    <cellStyle name="Comma 20 3 3" xfId="904"/>
    <cellStyle name="Comma 20 3 3 2" xfId="905"/>
    <cellStyle name="Comma 20 3 3 2 2" xfId="906"/>
    <cellStyle name="Comma 20 3 3 2 2 2" xfId="907"/>
    <cellStyle name="Comma 20 3 3 2 2 2 2" xfId="908"/>
    <cellStyle name="Comma 20 3 3 2 2 3" xfId="909"/>
    <cellStyle name="Comma 20 3 3 2 3" xfId="910"/>
    <cellStyle name="Comma 20 3 3 2 3 2" xfId="911"/>
    <cellStyle name="Comma 20 3 3 2 4" xfId="912"/>
    <cellStyle name="Comma 20 3 3 3" xfId="913"/>
    <cellStyle name="Comma 20 3 3 3 2" xfId="914"/>
    <cellStyle name="Comma 20 3 3 3 2 2" xfId="915"/>
    <cellStyle name="Comma 20 3 3 3 3" xfId="916"/>
    <cellStyle name="Comma 20 3 3 4" xfId="917"/>
    <cellStyle name="Comma 20 3 3 4 2" xfId="918"/>
    <cellStyle name="Comma 20 3 3 5" xfId="919"/>
    <cellStyle name="Comma 20 3 4" xfId="920"/>
    <cellStyle name="Comma 20 3 4 2" xfId="921"/>
    <cellStyle name="Comma 20 4" xfId="922"/>
    <cellStyle name="Comma 20 5" xfId="923"/>
    <cellStyle name="Comma 20 5 2" xfId="924"/>
    <cellStyle name="Comma 20 5 2 2" xfId="925"/>
    <cellStyle name="Comma 20 5 2 2 2" xfId="926"/>
    <cellStyle name="Comma 20 5 2 2 2 2" xfId="927"/>
    <cellStyle name="Comma 20 5 2 2 3" xfId="928"/>
    <cellStyle name="Comma 20 5 2 3" xfId="929"/>
    <cellStyle name="Comma 20 5 2 3 2" xfId="930"/>
    <cellStyle name="Comma 20 5 2 4" xfId="931"/>
    <cellStyle name="Comma 20 5 3" xfId="932"/>
    <cellStyle name="Comma 20 5 3 2" xfId="933"/>
    <cellStyle name="Comma 20 5 3 2 2" xfId="934"/>
    <cellStyle name="Comma 20 5 3 3" xfId="935"/>
    <cellStyle name="Comma 20 5 4" xfId="936"/>
    <cellStyle name="Comma 20 5 4 2" xfId="937"/>
    <cellStyle name="Comma 20 5 5" xfId="938"/>
    <cellStyle name="Comma 20 6" xfId="939"/>
    <cellStyle name="Comma 20 6 2" xfId="940"/>
    <cellStyle name="Comma 21" xfId="941"/>
    <cellStyle name="Comma 21 2" xfId="942"/>
    <cellStyle name="Comma 21 2 2" xfId="943"/>
    <cellStyle name="Comma 21 2 2 2" xfId="944"/>
    <cellStyle name="Comma 21 2 2 3" xfId="945"/>
    <cellStyle name="Comma 21 2 2 3 2" xfId="946"/>
    <cellStyle name="Comma 21 2 2 3 2 2" xfId="947"/>
    <cellStyle name="Comma 21 2 2 3 2 2 2" xfId="948"/>
    <cellStyle name="Comma 21 2 2 3 2 2 2 2" xfId="949"/>
    <cellStyle name="Comma 21 2 2 3 2 2 3" xfId="950"/>
    <cellStyle name="Comma 21 2 2 3 2 3" xfId="951"/>
    <cellStyle name="Comma 21 2 2 3 2 3 2" xfId="952"/>
    <cellStyle name="Comma 21 2 2 3 2 4" xfId="953"/>
    <cellStyle name="Comma 21 2 2 3 3" xfId="954"/>
    <cellStyle name="Comma 21 2 2 3 3 2" xfId="955"/>
    <cellStyle name="Comma 21 2 2 3 3 2 2" xfId="956"/>
    <cellStyle name="Comma 21 2 2 3 3 3" xfId="957"/>
    <cellStyle name="Comma 21 2 2 3 4" xfId="958"/>
    <cellStyle name="Comma 21 2 2 3 4 2" xfId="959"/>
    <cellStyle name="Comma 21 2 2 3 5" xfId="960"/>
    <cellStyle name="Comma 21 2 2 4" xfId="961"/>
    <cellStyle name="Comma 21 2 2 4 2" xfId="962"/>
    <cellStyle name="Comma 21 2 3" xfId="963"/>
    <cellStyle name="Comma 21 2 4" xfId="964"/>
    <cellStyle name="Comma 21 2 4 2" xfId="965"/>
    <cellStyle name="Comma 21 2 4 2 2" xfId="966"/>
    <cellStyle name="Comma 21 2 4 2 2 2" xfId="967"/>
    <cellStyle name="Comma 21 2 4 2 2 2 2" xfId="968"/>
    <cellStyle name="Comma 21 2 4 2 2 3" xfId="969"/>
    <cellStyle name="Comma 21 2 4 2 3" xfId="970"/>
    <cellStyle name="Comma 21 2 4 2 3 2" xfId="971"/>
    <cellStyle name="Comma 21 2 4 2 4" xfId="972"/>
    <cellStyle name="Comma 21 2 4 3" xfId="973"/>
    <cellStyle name="Comma 21 2 4 3 2" xfId="974"/>
    <cellStyle name="Comma 21 2 4 3 2 2" xfId="975"/>
    <cellStyle name="Comma 21 2 4 3 3" xfId="976"/>
    <cellStyle name="Comma 21 2 4 4" xfId="977"/>
    <cellStyle name="Comma 21 2 4 4 2" xfId="978"/>
    <cellStyle name="Comma 21 2 4 5" xfId="979"/>
    <cellStyle name="Comma 21 2 5" xfId="980"/>
    <cellStyle name="Comma 21 2 5 2" xfId="981"/>
    <cellStyle name="Comma 21 3" xfId="982"/>
    <cellStyle name="Comma 21 3 2" xfId="983"/>
    <cellStyle name="Comma 21 3 3" xfId="984"/>
    <cellStyle name="Comma 21 3 3 2" xfId="985"/>
    <cellStyle name="Comma 21 3 3 2 2" xfId="986"/>
    <cellStyle name="Comma 21 3 3 2 2 2" xfId="987"/>
    <cellStyle name="Comma 21 3 3 2 2 2 2" xfId="988"/>
    <cellStyle name="Comma 21 3 3 2 2 3" xfId="989"/>
    <cellStyle name="Comma 21 3 3 2 3" xfId="990"/>
    <cellStyle name="Comma 21 3 3 2 3 2" xfId="991"/>
    <cellStyle name="Comma 21 3 3 2 4" xfId="992"/>
    <cellStyle name="Comma 21 3 3 3" xfId="993"/>
    <cellStyle name="Comma 21 3 3 3 2" xfId="994"/>
    <cellStyle name="Comma 21 3 3 3 2 2" xfId="995"/>
    <cellStyle name="Comma 21 3 3 3 3" xfId="996"/>
    <cellStyle name="Comma 21 3 3 4" xfId="997"/>
    <cellStyle name="Comma 21 3 3 4 2" xfId="998"/>
    <cellStyle name="Comma 21 3 3 5" xfId="999"/>
    <cellStyle name="Comma 21 3 4" xfId="1000"/>
    <cellStyle name="Comma 21 3 4 2" xfId="1001"/>
    <cellStyle name="Comma 21 4" xfId="1002"/>
    <cellStyle name="Comma 21 5" xfId="1003"/>
    <cellStyle name="Comma 21 5 2" xfId="1004"/>
    <cellStyle name="Comma 21 5 2 2" xfId="1005"/>
    <cellStyle name="Comma 21 5 2 2 2" xfId="1006"/>
    <cellStyle name="Comma 21 5 2 2 2 2" xfId="1007"/>
    <cellStyle name="Comma 21 5 2 2 3" xfId="1008"/>
    <cellStyle name="Comma 21 5 2 3" xfId="1009"/>
    <cellStyle name="Comma 21 5 2 3 2" xfId="1010"/>
    <cellStyle name="Comma 21 5 2 4" xfId="1011"/>
    <cellStyle name="Comma 21 5 3" xfId="1012"/>
    <cellStyle name="Comma 21 5 3 2" xfId="1013"/>
    <cellStyle name="Comma 21 5 3 2 2" xfId="1014"/>
    <cellStyle name="Comma 21 5 3 3" xfId="1015"/>
    <cellStyle name="Comma 21 5 4" xfId="1016"/>
    <cellStyle name="Comma 21 5 4 2" xfId="1017"/>
    <cellStyle name="Comma 21 5 5" xfId="1018"/>
    <cellStyle name="Comma 21 6" xfId="1019"/>
    <cellStyle name="Comma 21 6 2" xfId="1020"/>
    <cellStyle name="Comma 22" xfId="1021"/>
    <cellStyle name="Comma 22 2" xfId="1022"/>
    <cellStyle name="Comma 22 2 2" xfId="1023"/>
    <cellStyle name="Comma 22 2 2 2" xfId="1024"/>
    <cellStyle name="Comma 22 2 2 3" xfId="1025"/>
    <cellStyle name="Comma 22 2 2 3 2" xfId="1026"/>
    <cellStyle name="Comma 22 2 2 3 2 2" xfId="1027"/>
    <cellStyle name="Comma 22 2 2 3 2 2 2" xfId="1028"/>
    <cellStyle name="Comma 22 2 2 3 2 2 2 2" xfId="1029"/>
    <cellStyle name="Comma 22 2 2 3 2 2 3" xfId="1030"/>
    <cellStyle name="Comma 22 2 2 3 2 3" xfId="1031"/>
    <cellStyle name="Comma 22 2 2 3 2 3 2" xfId="1032"/>
    <cellStyle name="Comma 22 2 2 3 2 4" xfId="1033"/>
    <cellStyle name="Comma 22 2 2 3 3" xfId="1034"/>
    <cellStyle name="Comma 22 2 2 3 3 2" xfId="1035"/>
    <cellStyle name="Comma 22 2 2 3 3 2 2" xfId="1036"/>
    <cellStyle name="Comma 22 2 2 3 3 3" xfId="1037"/>
    <cellStyle name="Comma 22 2 2 3 4" xfId="1038"/>
    <cellStyle name="Comma 22 2 2 3 4 2" xfId="1039"/>
    <cellStyle name="Comma 22 2 2 3 5" xfId="1040"/>
    <cellStyle name="Comma 22 2 2 4" xfId="1041"/>
    <cellStyle name="Comma 22 2 2 4 2" xfId="1042"/>
    <cellStyle name="Comma 22 2 3" xfId="1043"/>
    <cellStyle name="Comma 22 2 4" xfId="1044"/>
    <cellStyle name="Comma 22 2 4 2" xfId="1045"/>
    <cellStyle name="Comma 22 2 4 2 2" xfId="1046"/>
    <cellStyle name="Comma 22 2 4 2 2 2" xfId="1047"/>
    <cellStyle name="Comma 22 2 4 2 2 2 2" xfId="1048"/>
    <cellStyle name="Comma 22 2 4 2 2 3" xfId="1049"/>
    <cellStyle name="Comma 22 2 4 2 3" xfId="1050"/>
    <cellStyle name="Comma 22 2 4 2 3 2" xfId="1051"/>
    <cellStyle name="Comma 22 2 4 2 4" xfId="1052"/>
    <cellStyle name="Comma 22 2 4 3" xfId="1053"/>
    <cellStyle name="Comma 22 2 4 3 2" xfId="1054"/>
    <cellStyle name="Comma 22 2 4 3 2 2" xfId="1055"/>
    <cellStyle name="Comma 22 2 4 3 3" xfId="1056"/>
    <cellStyle name="Comma 22 2 4 4" xfId="1057"/>
    <cellStyle name="Comma 22 2 4 4 2" xfId="1058"/>
    <cellStyle name="Comma 22 2 4 5" xfId="1059"/>
    <cellStyle name="Comma 22 2 5" xfId="1060"/>
    <cellStyle name="Comma 22 2 5 2" xfId="1061"/>
    <cellStyle name="Comma 22 3" xfId="1062"/>
    <cellStyle name="Comma 22 3 2" xfId="1063"/>
    <cellStyle name="Comma 22 3 3" xfId="1064"/>
    <cellStyle name="Comma 22 3 3 2" xfId="1065"/>
    <cellStyle name="Comma 22 3 3 2 2" xfId="1066"/>
    <cellStyle name="Comma 22 3 3 2 2 2" xfId="1067"/>
    <cellStyle name="Comma 22 3 3 2 2 2 2" xfId="1068"/>
    <cellStyle name="Comma 22 3 3 2 2 3" xfId="1069"/>
    <cellStyle name="Comma 22 3 3 2 3" xfId="1070"/>
    <cellStyle name="Comma 22 3 3 2 3 2" xfId="1071"/>
    <cellStyle name="Comma 22 3 3 2 4" xfId="1072"/>
    <cellStyle name="Comma 22 3 3 3" xfId="1073"/>
    <cellStyle name="Comma 22 3 3 3 2" xfId="1074"/>
    <cellStyle name="Comma 22 3 3 3 2 2" xfId="1075"/>
    <cellStyle name="Comma 22 3 3 3 3" xfId="1076"/>
    <cellStyle name="Comma 22 3 3 4" xfId="1077"/>
    <cellStyle name="Comma 22 3 3 4 2" xfId="1078"/>
    <cellStyle name="Comma 22 3 3 5" xfId="1079"/>
    <cellStyle name="Comma 22 3 4" xfId="1080"/>
    <cellStyle name="Comma 22 3 4 2" xfId="1081"/>
    <cellStyle name="Comma 22 4" xfId="1082"/>
    <cellStyle name="Comma 22 5" xfId="1083"/>
    <cellStyle name="Comma 22 5 2" xfId="1084"/>
    <cellStyle name="Comma 22 5 2 2" xfId="1085"/>
    <cellStyle name="Comma 22 5 2 2 2" xfId="1086"/>
    <cellStyle name="Comma 22 5 2 2 2 2" xfId="1087"/>
    <cellStyle name="Comma 22 5 2 2 3" xfId="1088"/>
    <cellStyle name="Comma 22 5 2 3" xfId="1089"/>
    <cellStyle name="Comma 22 5 2 3 2" xfId="1090"/>
    <cellStyle name="Comma 22 5 2 4" xfId="1091"/>
    <cellStyle name="Comma 22 5 3" xfId="1092"/>
    <cellStyle name="Comma 22 5 3 2" xfId="1093"/>
    <cellStyle name="Comma 22 5 3 2 2" xfId="1094"/>
    <cellStyle name="Comma 22 5 3 3" xfId="1095"/>
    <cellStyle name="Comma 22 5 4" xfId="1096"/>
    <cellStyle name="Comma 22 5 4 2" xfId="1097"/>
    <cellStyle name="Comma 22 5 5" xfId="1098"/>
    <cellStyle name="Comma 22 6" xfId="1099"/>
    <cellStyle name="Comma 22 6 2" xfId="1100"/>
    <cellStyle name="Comma 23" xfId="1101"/>
    <cellStyle name="Comma 23 2" xfId="1102"/>
    <cellStyle name="Comma 23 2 2" xfId="1103"/>
    <cellStyle name="Comma 23 2 3" xfId="1104"/>
    <cellStyle name="Comma 23 2 3 2" xfId="1105"/>
    <cellStyle name="Comma 23 2 3 2 2" xfId="1106"/>
    <cellStyle name="Comma 23 2 3 2 2 2" xfId="1107"/>
    <cellStyle name="Comma 23 2 3 2 2 2 2" xfId="1108"/>
    <cellStyle name="Comma 23 2 3 2 2 3" xfId="1109"/>
    <cellStyle name="Comma 23 2 3 2 3" xfId="1110"/>
    <cellStyle name="Comma 23 2 3 2 3 2" xfId="1111"/>
    <cellStyle name="Comma 23 2 3 2 4" xfId="1112"/>
    <cellStyle name="Comma 23 2 3 3" xfId="1113"/>
    <cellStyle name="Comma 23 2 3 3 2" xfId="1114"/>
    <cellStyle name="Comma 23 2 3 3 2 2" xfId="1115"/>
    <cellStyle name="Comma 23 2 3 3 3" xfId="1116"/>
    <cellStyle name="Comma 23 2 3 4" xfId="1117"/>
    <cellStyle name="Comma 23 2 3 4 2" xfId="1118"/>
    <cellStyle name="Comma 23 2 3 5" xfId="1119"/>
    <cellStyle name="Comma 23 2 4" xfId="1120"/>
    <cellStyle name="Comma 23 2 4 2" xfId="1121"/>
    <cellStyle name="Comma 23 3" xfId="1122"/>
    <cellStyle name="Comma 23 4" xfId="1123"/>
    <cellStyle name="Comma 23 4 2" xfId="1124"/>
    <cellStyle name="Comma 23 4 2 2" xfId="1125"/>
    <cellStyle name="Comma 23 4 2 2 2" xfId="1126"/>
    <cellStyle name="Comma 23 4 2 2 2 2" xfId="1127"/>
    <cellStyle name="Comma 23 4 2 2 3" xfId="1128"/>
    <cellStyle name="Comma 23 4 2 3" xfId="1129"/>
    <cellStyle name="Comma 23 4 2 3 2" xfId="1130"/>
    <cellStyle name="Comma 23 4 2 4" xfId="1131"/>
    <cellStyle name="Comma 23 4 3" xfId="1132"/>
    <cellStyle name="Comma 23 4 3 2" xfId="1133"/>
    <cellStyle name="Comma 23 4 3 2 2" xfId="1134"/>
    <cellStyle name="Comma 23 4 3 3" xfId="1135"/>
    <cellStyle name="Comma 23 4 4" xfId="1136"/>
    <cellStyle name="Comma 23 4 4 2" xfId="1137"/>
    <cellStyle name="Comma 23 4 5" xfId="1138"/>
    <cellStyle name="Comma 23 5" xfId="1139"/>
    <cellStyle name="Comma 23 5 2" xfId="1140"/>
    <cellStyle name="Comma 24" xfId="1141"/>
    <cellStyle name="Comma 24 2" xfId="1142"/>
    <cellStyle name="Comma 24 2 2" xfId="1143"/>
    <cellStyle name="Comma 24 2 3" xfId="1144"/>
    <cellStyle name="Comma 24 2 3 2" xfId="1145"/>
    <cellStyle name="Comma 24 2 3 2 2" xfId="1146"/>
    <cellStyle name="Comma 24 2 3 2 2 2" xfId="1147"/>
    <cellStyle name="Comma 24 2 3 2 2 2 2" xfId="1148"/>
    <cellStyle name="Comma 24 2 3 2 2 3" xfId="1149"/>
    <cellStyle name="Comma 24 2 3 2 3" xfId="1150"/>
    <cellStyle name="Comma 24 2 3 2 3 2" xfId="1151"/>
    <cellStyle name="Comma 24 2 3 2 4" xfId="1152"/>
    <cellStyle name="Comma 24 2 3 3" xfId="1153"/>
    <cellStyle name="Comma 24 2 3 3 2" xfId="1154"/>
    <cellStyle name="Comma 24 2 3 3 2 2" xfId="1155"/>
    <cellStyle name="Comma 24 2 3 3 3" xfId="1156"/>
    <cellStyle name="Comma 24 2 3 4" xfId="1157"/>
    <cellStyle name="Comma 24 2 3 4 2" xfId="1158"/>
    <cellStyle name="Comma 24 2 3 5" xfId="1159"/>
    <cellStyle name="Comma 24 2 4" xfId="1160"/>
    <cellStyle name="Comma 24 2 4 2" xfId="1161"/>
    <cellStyle name="Comma 24 3" xfId="1162"/>
    <cellStyle name="Comma 24 4" xfId="1163"/>
    <cellStyle name="Comma 24 4 2" xfId="1164"/>
    <cellStyle name="Comma 24 4 2 2" xfId="1165"/>
    <cellStyle name="Comma 24 4 2 2 2" xfId="1166"/>
    <cellStyle name="Comma 24 4 2 2 2 2" xfId="1167"/>
    <cellStyle name="Comma 24 4 2 2 3" xfId="1168"/>
    <cellStyle name="Comma 24 4 2 3" xfId="1169"/>
    <cellStyle name="Comma 24 4 2 3 2" xfId="1170"/>
    <cellStyle name="Comma 24 4 2 4" xfId="1171"/>
    <cellStyle name="Comma 24 4 3" xfId="1172"/>
    <cellStyle name="Comma 24 4 3 2" xfId="1173"/>
    <cellStyle name="Comma 24 4 3 2 2" xfId="1174"/>
    <cellStyle name="Comma 24 4 3 3" xfId="1175"/>
    <cellStyle name="Comma 24 4 4" xfId="1176"/>
    <cellStyle name="Comma 24 4 4 2" xfId="1177"/>
    <cellStyle name="Comma 24 4 5" xfId="1178"/>
    <cellStyle name="Comma 24 5" xfId="1179"/>
    <cellStyle name="Comma 24 5 2" xfId="1180"/>
    <cellStyle name="Comma 25" xfId="1181"/>
    <cellStyle name="Comma 25 2" xfId="1182"/>
    <cellStyle name="Comma 25 2 2" xfId="1183"/>
    <cellStyle name="Comma 25 2 3" xfId="1184"/>
    <cellStyle name="Comma 25 2 3 2" xfId="1185"/>
    <cellStyle name="Comma 25 2 3 2 2" xfId="1186"/>
    <cellStyle name="Comma 25 2 3 2 2 2" xfId="1187"/>
    <cellStyle name="Comma 25 2 3 2 2 2 2" xfId="1188"/>
    <cellStyle name="Comma 25 2 3 2 2 3" xfId="1189"/>
    <cellStyle name="Comma 25 2 3 2 3" xfId="1190"/>
    <cellStyle name="Comma 25 2 3 2 3 2" xfId="1191"/>
    <cellStyle name="Comma 25 2 3 2 4" xfId="1192"/>
    <cellStyle name="Comma 25 2 3 3" xfId="1193"/>
    <cellStyle name="Comma 25 2 3 3 2" xfId="1194"/>
    <cellStyle name="Comma 25 2 3 3 2 2" xfId="1195"/>
    <cellStyle name="Comma 25 2 3 3 3" xfId="1196"/>
    <cellStyle name="Comma 25 2 3 4" xfId="1197"/>
    <cellStyle name="Comma 25 2 3 4 2" xfId="1198"/>
    <cellStyle name="Comma 25 2 3 5" xfId="1199"/>
    <cellStyle name="Comma 25 2 4" xfId="1200"/>
    <cellStyle name="Comma 25 2 4 2" xfId="1201"/>
    <cellStyle name="Comma 25 3" xfId="1202"/>
    <cellStyle name="Comma 25 4" xfId="1203"/>
    <cellStyle name="Comma 25 4 2" xfId="1204"/>
    <cellStyle name="Comma 25 4 2 2" xfId="1205"/>
    <cellStyle name="Comma 25 4 2 2 2" xfId="1206"/>
    <cellStyle name="Comma 25 4 2 2 2 2" xfId="1207"/>
    <cellStyle name="Comma 25 4 2 2 3" xfId="1208"/>
    <cellStyle name="Comma 25 4 2 3" xfId="1209"/>
    <cellStyle name="Comma 25 4 2 3 2" xfId="1210"/>
    <cellStyle name="Comma 25 4 2 4" xfId="1211"/>
    <cellStyle name="Comma 25 4 3" xfId="1212"/>
    <cellStyle name="Comma 25 4 3 2" xfId="1213"/>
    <cellStyle name="Comma 25 4 3 2 2" xfId="1214"/>
    <cellStyle name="Comma 25 4 3 3" xfId="1215"/>
    <cellStyle name="Comma 25 4 4" xfId="1216"/>
    <cellStyle name="Comma 25 4 4 2" xfId="1217"/>
    <cellStyle name="Comma 25 4 5" xfId="1218"/>
    <cellStyle name="Comma 25 5" xfId="1219"/>
    <cellStyle name="Comma 25 5 2" xfId="1220"/>
    <cellStyle name="Comma 26" xfId="1221"/>
    <cellStyle name="Comma 26 2" xfId="1222"/>
    <cellStyle name="Comma 26 2 2" xfId="1223"/>
    <cellStyle name="Comma 26 2 3" xfId="1224"/>
    <cellStyle name="Comma 26 2 3 2" xfId="1225"/>
    <cellStyle name="Comma 26 2 3 2 2" xfId="1226"/>
    <cellStyle name="Comma 26 2 3 2 2 2" xfId="1227"/>
    <cellStyle name="Comma 26 2 3 2 2 2 2" xfId="1228"/>
    <cellStyle name="Comma 26 2 3 2 2 3" xfId="1229"/>
    <cellStyle name="Comma 26 2 3 2 3" xfId="1230"/>
    <cellStyle name="Comma 26 2 3 2 3 2" xfId="1231"/>
    <cellStyle name="Comma 26 2 3 2 4" xfId="1232"/>
    <cellStyle name="Comma 26 2 3 3" xfId="1233"/>
    <cellStyle name="Comma 26 2 3 3 2" xfId="1234"/>
    <cellStyle name="Comma 26 2 3 3 2 2" xfId="1235"/>
    <cellStyle name="Comma 26 2 3 3 3" xfId="1236"/>
    <cellStyle name="Comma 26 2 3 4" xfId="1237"/>
    <cellStyle name="Comma 26 2 3 4 2" xfId="1238"/>
    <cellStyle name="Comma 26 2 3 5" xfId="1239"/>
    <cellStyle name="Comma 26 2 4" xfId="1240"/>
    <cellStyle name="Comma 26 2 4 2" xfId="1241"/>
    <cellStyle name="Comma 26 3" xfId="1242"/>
    <cellStyle name="Comma 26 4" xfId="1243"/>
    <cellStyle name="Comma 26 4 2" xfId="1244"/>
    <cellStyle name="Comma 26 4 2 2" xfId="1245"/>
    <cellStyle name="Comma 26 4 2 2 2" xfId="1246"/>
    <cellStyle name="Comma 26 4 2 2 2 2" xfId="1247"/>
    <cellStyle name="Comma 26 4 2 2 3" xfId="1248"/>
    <cellStyle name="Comma 26 4 2 3" xfId="1249"/>
    <cellStyle name="Comma 26 4 2 3 2" xfId="1250"/>
    <cellStyle name="Comma 26 4 2 4" xfId="1251"/>
    <cellStyle name="Comma 26 4 3" xfId="1252"/>
    <cellStyle name="Comma 26 4 3 2" xfId="1253"/>
    <cellStyle name="Comma 26 4 3 2 2" xfId="1254"/>
    <cellStyle name="Comma 26 4 3 3" xfId="1255"/>
    <cellStyle name="Comma 26 4 4" xfId="1256"/>
    <cellStyle name="Comma 26 4 4 2" xfId="1257"/>
    <cellStyle name="Comma 26 4 5" xfId="1258"/>
    <cellStyle name="Comma 26 5" xfId="1259"/>
    <cellStyle name="Comma 26 5 2" xfId="1260"/>
    <cellStyle name="Comma 27" xfId="1261"/>
    <cellStyle name="Comma 27 2" xfId="1262"/>
    <cellStyle name="Comma 27 2 2" xfId="1263"/>
    <cellStyle name="Comma 27 2 3" xfId="1264"/>
    <cellStyle name="Comma 27 2 3 2" xfId="1265"/>
    <cellStyle name="Comma 27 2 3 2 2" xfId="1266"/>
    <cellStyle name="Comma 27 2 3 2 2 2" xfId="1267"/>
    <cellStyle name="Comma 27 2 3 2 2 2 2" xfId="1268"/>
    <cellStyle name="Comma 27 2 3 2 2 3" xfId="1269"/>
    <cellStyle name="Comma 27 2 3 2 3" xfId="1270"/>
    <cellStyle name="Comma 27 2 3 2 3 2" xfId="1271"/>
    <cellStyle name="Comma 27 2 3 2 4" xfId="1272"/>
    <cellStyle name="Comma 27 2 3 3" xfId="1273"/>
    <cellStyle name="Comma 27 2 3 3 2" xfId="1274"/>
    <cellStyle name="Comma 27 2 3 3 2 2" xfId="1275"/>
    <cellStyle name="Comma 27 2 3 3 3" xfId="1276"/>
    <cellStyle name="Comma 27 2 3 4" xfId="1277"/>
    <cellStyle name="Comma 27 2 3 4 2" xfId="1278"/>
    <cellStyle name="Comma 27 2 3 5" xfId="1279"/>
    <cellStyle name="Comma 27 2 4" xfId="1280"/>
    <cellStyle name="Comma 27 2 4 2" xfId="1281"/>
    <cellStyle name="Comma 27 3" xfId="1282"/>
    <cellStyle name="Comma 27 4" xfId="1283"/>
    <cellStyle name="Comma 27 4 2" xfId="1284"/>
    <cellStyle name="Comma 27 4 2 2" xfId="1285"/>
    <cellStyle name="Comma 27 4 2 2 2" xfId="1286"/>
    <cellStyle name="Comma 27 4 2 2 2 2" xfId="1287"/>
    <cellStyle name="Comma 27 4 2 2 3" xfId="1288"/>
    <cellStyle name="Comma 27 4 2 3" xfId="1289"/>
    <cellStyle name="Comma 27 4 2 3 2" xfId="1290"/>
    <cellStyle name="Comma 27 4 2 4" xfId="1291"/>
    <cellStyle name="Comma 27 4 3" xfId="1292"/>
    <cellStyle name="Comma 27 4 3 2" xfId="1293"/>
    <cellStyle name="Comma 27 4 3 2 2" xfId="1294"/>
    <cellStyle name="Comma 27 4 3 3" xfId="1295"/>
    <cellStyle name="Comma 27 4 4" xfId="1296"/>
    <cellStyle name="Comma 27 4 4 2" xfId="1297"/>
    <cellStyle name="Comma 27 4 5" xfId="1298"/>
    <cellStyle name="Comma 27 5" xfId="1299"/>
    <cellStyle name="Comma 27 5 2" xfId="1300"/>
    <cellStyle name="Comma 28" xfId="1301"/>
    <cellStyle name="Comma 28 2" xfId="1302"/>
    <cellStyle name="Comma 28 2 2" xfId="1303"/>
    <cellStyle name="Comma 28 2 3" xfId="1304"/>
    <cellStyle name="Comma 28 2 3 2" xfId="1305"/>
    <cellStyle name="Comma 28 2 3 2 2" xfId="1306"/>
    <cellStyle name="Comma 28 2 3 2 2 2" xfId="1307"/>
    <cellStyle name="Comma 28 2 3 2 2 2 2" xfId="1308"/>
    <cellStyle name="Comma 28 2 3 2 2 3" xfId="1309"/>
    <cellStyle name="Comma 28 2 3 2 3" xfId="1310"/>
    <cellStyle name="Comma 28 2 3 2 3 2" xfId="1311"/>
    <cellStyle name="Comma 28 2 3 2 4" xfId="1312"/>
    <cellStyle name="Comma 28 2 3 3" xfId="1313"/>
    <cellStyle name="Comma 28 2 3 3 2" xfId="1314"/>
    <cellStyle name="Comma 28 2 3 3 2 2" xfId="1315"/>
    <cellStyle name="Comma 28 2 3 3 3" xfId="1316"/>
    <cellStyle name="Comma 28 2 3 4" xfId="1317"/>
    <cellStyle name="Comma 28 2 3 4 2" xfId="1318"/>
    <cellStyle name="Comma 28 2 3 5" xfId="1319"/>
    <cellStyle name="Comma 28 2 4" xfId="1320"/>
    <cellStyle name="Comma 28 2 4 2" xfId="1321"/>
    <cellStyle name="Comma 28 3" xfId="1322"/>
    <cellStyle name="Comma 28 4" xfId="1323"/>
    <cellStyle name="Comma 28 4 2" xfId="1324"/>
    <cellStyle name="Comma 28 4 2 2" xfId="1325"/>
    <cellStyle name="Comma 28 4 2 2 2" xfId="1326"/>
    <cellStyle name="Comma 28 4 2 2 2 2" xfId="1327"/>
    <cellStyle name="Comma 28 4 2 2 3" xfId="1328"/>
    <cellStyle name="Comma 28 4 2 3" xfId="1329"/>
    <cellStyle name="Comma 28 4 2 3 2" xfId="1330"/>
    <cellStyle name="Comma 28 4 2 4" xfId="1331"/>
    <cellStyle name="Comma 28 4 3" xfId="1332"/>
    <cellStyle name="Comma 28 4 3 2" xfId="1333"/>
    <cellStyle name="Comma 28 4 3 2 2" xfId="1334"/>
    <cellStyle name="Comma 28 4 3 3" xfId="1335"/>
    <cellStyle name="Comma 28 4 4" xfId="1336"/>
    <cellStyle name="Comma 28 4 4 2" xfId="1337"/>
    <cellStyle name="Comma 28 4 5" xfId="1338"/>
    <cellStyle name="Comma 28 5" xfId="1339"/>
    <cellStyle name="Comma 28 5 2" xfId="1340"/>
    <cellStyle name="Comma 29" xfId="1341"/>
    <cellStyle name="Comma 29 2" xfId="1342"/>
    <cellStyle name="Comma 29 2 2" xfId="1343"/>
    <cellStyle name="Comma 29 2 3" xfId="1344"/>
    <cellStyle name="Comma 29 2 3 2" xfId="1345"/>
    <cellStyle name="Comma 29 2 3 2 2" xfId="1346"/>
    <cellStyle name="Comma 29 2 3 2 2 2" xfId="1347"/>
    <cellStyle name="Comma 29 2 3 2 2 2 2" xfId="1348"/>
    <cellStyle name="Comma 29 2 3 2 2 3" xfId="1349"/>
    <cellStyle name="Comma 29 2 3 2 3" xfId="1350"/>
    <cellStyle name="Comma 29 2 3 2 3 2" xfId="1351"/>
    <cellStyle name="Comma 29 2 3 2 4" xfId="1352"/>
    <cellStyle name="Comma 29 2 3 3" xfId="1353"/>
    <cellStyle name="Comma 29 2 3 3 2" xfId="1354"/>
    <cellStyle name="Comma 29 2 3 3 2 2" xfId="1355"/>
    <cellStyle name="Comma 29 2 3 3 3" xfId="1356"/>
    <cellStyle name="Comma 29 2 3 4" xfId="1357"/>
    <cellStyle name="Comma 29 2 3 4 2" xfId="1358"/>
    <cellStyle name="Comma 29 2 3 5" xfId="1359"/>
    <cellStyle name="Comma 29 2 4" xfId="1360"/>
    <cellStyle name="Comma 29 2 4 2" xfId="1361"/>
    <cellStyle name="Comma 29 3" xfId="1362"/>
    <cellStyle name="Comma 29 4" xfId="1363"/>
    <cellStyle name="Comma 29 4 2" xfId="1364"/>
    <cellStyle name="Comma 29 4 2 2" xfId="1365"/>
    <cellStyle name="Comma 29 4 2 2 2" xfId="1366"/>
    <cellStyle name="Comma 29 4 2 2 2 2" xfId="1367"/>
    <cellStyle name="Comma 29 4 2 2 3" xfId="1368"/>
    <cellStyle name="Comma 29 4 2 3" xfId="1369"/>
    <cellStyle name="Comma 29 4 2 3 2" xfId="1370"/>
    <cellStyle name="Comma 29 4 2 4" xfId="1371"/>
    <cellStyle name="Comma 29 4 3" xfId="1372"/>
    <cellStyle name="Comma 29 4 3 2" xfId="1373"/>
    <cellStyle name="Comma 29 4 3 2 2" xfId="1374"/>
    <cellStyle name="Comma 29 4 3 3" xfId="1375"/>
    <cellStyle name="Comma 29 4 4" xfId="1376"/>
    <cellStyle name="Comma 29 4 4 2" xfId="1377"/>
    <cellStyle name="Comma 29 4 5" xfId="1378"/>
    <cellStyle name="Comma 29 5" xfId="1379"/>
    <cellStyle name="Comma 29 5 2" xfId="1380"/>
    <cellStyle name="Comma 3" xfId="1381"/>
    <cellStyle name="Comma 3 2" xfId="1382"/>
    <cellStyle name="Comma 3 2 2" xfId="1383"/>
    <cellStyle name="Comma 3 2 3" xfId="1384"/>
    <cellStyle name="Comma 3 2 3 2" xfId="1385"/>
    <cellStyle name="Comma 3 2 3 2 2" xfId="1386"/>
    <cellStyle name="Comma 3 2 3 2 2 2" xfId="1387"/>
    <cellStyle name="Comma 3 2 3 2 2 2 2" xfId="1388"/>
    <cellStyle name="Comma 3 2 3 2 2 3" xfId="1389"/>
    <cellStyle name="Comma 3 2 3 2 3" xfId="1390"/>
    <cellStyle name="Comma 3 2 3 2 3 2" xfId="1391"/>
    <cellStyle name="Comma 3 2 3 2 4" xfId="1392"/>
    <cellStyle name="Comma 3 2 3 3" xfId="1393"/>
    <cellStyle name="Comma 3 2 3 3 2" xfId="1394"/>
    <cellStyle name="Comma 3 2 3 3 2 2" xfId="1395"/>
    <cellStyle name="Comma 3 2 3 3 3" xfId="1396"/>
    <cellStyle name="Comma 3 2 3 4" xfId="1397"/>
    <cellStyle name="Comma 3 2 3 4 2" xfId="1398"/>
    <cellStyle name="Comma 3 2 3 5" xfId="1399"/>
    <cellStyle name="Comma 3 2 4" xfId="1400"/>
    <cellStyle name="Comma 3 2 4 2" xfId="1401"/>
    <cellStyle name="Comma 3 3" xfId="1402"/>
    <cellStyle name="Comma 3 4" xfId="1403"/>
    <cellStyle name="Comma 3 4 2" xfId="1404"/>
    <cellStyle name="Comma 3 4 2 2" xfId="1405"/>
    <cellStyle name="Comma 3 4 2 2 2" xfId="1406"/>
    <cellStyle name="Comma 3 4 2 2 2 2" xfId="1407"/>
    <cellStyle name="Comma 3 4 2 2 3" xfId="1408"/>
    <cellStyle name="Comma 3 4 2 3" xfId="1409"/>
    <cellStyle name="Comma 3 4 2 3 2" xfId="1410"/>
    <cellStyle name="Comma 3 4 2 4" xfId="1411"/>
    <cellStyle name="Comma 3 4 3" xfId="1412"/>
    <cellStyle name="Comma 3 4 3 2" xfId="1413"/>
    <cellStyle name="Comma 3 4 3 2 2" xfId="1414"/>
    <cellStyle name="Comma 3 4 3 3" xfId="1415"/>
    <cellStyle name="Comma 3 4 4" xfId="1416"/>
    <cellStyle name="Comma 3 4 4 2" xfId="1417"/>
    <cellStyle name="Comma 3 4 5" xfId="1418"/>
    <cellStyle name="Comma 3 5" xfId="1419"/>
    <cellStyle name="Comma 3 5 2" xfId="1420"/>
    <cellStyle name="Comma 30" xfId="1421"/>
    <cellStyle name="Comma 30 2" xfId="1422"/>
    <cellStyle name="Comma 30 2 2" xfId="1423"/>
    <cellStyle name="Comma 30 2 3" xfId="1424"/>
    <cellStyle name="Comma 30 2 3 2" xfId="1425"/>
    <cellStyle name="Comma 30 2 3 2 2" xfId="1426"/>
    <cellStyle name="Comma 30 2 3 2 2 2" xfId="1427"/>
    <cellStyle name="Comma 30 2 3 2 2 2 2" xfId="1428"/>
    <cellStyle name="Comma 30 2 3 2 2 3" xfId="1429"/>
    <cellStyle name="Comma 30 2 3 2 3" xfId="1430"/>
    <cellStyle name="Comma 30 2 3 2 3 2" xfId="1431"/>
    <cellStyle name="Comma 30 2 3 2 4" xfId="1432"/>
    <cellStyle name="Comma 30 2 3 3" xfId="1433"/>
    <cellStyle name="Comma 30 2 3 3 2" xfId="1434"/>
    <cellStyle name="Comma 30 2 3 3 2 2" xfId="1435"/>
    <cellStyle name="Comma 30 2 3 3 3" xfId="1436"/>
    <cellStyle name="Comma 30 2 3 4" xfId="1437"/>
    <cellStyle name="Comma 30 2 3 4 2" xfId="1438"/>
    <cellStyle name="Comma 30 2 3 5" xfId="1439"/>
    <cellStyle name="Comma 30 2 4" xfId="1440"/>
    <cellStyle name="Comma 30 2 4 2" xfId="1441"/>
    <cellStyle name="Comma 30 3" xfId="1442"/>
    <cellStyle name="Comma 30 4" xfId="1443"/>
    <cellStyle name="Comma 30 4 2" xfId="1444"/>
    <cellStyle name="Comma 30 4 2 2" xfId="1445"/>
    <cellStyle name="Comma 30 4 2 2 2" xfId="1446"/>
    <cellStyle name="Comma 30 4 2 2 2 2" xfId="1447"/>
    <cellStyle name="Comma 30 4 2 2 3" xfId="1448"/>
    <cellStyle name="Comma 30 4 2 3" xfId="1449"/>
    <cellStyle name="Comma 30 4 2 3 2" xfId="1450"/>
    <cellStyle name="Comma 30 4 2 4" xfId="1451"/>
    <cellStyle name="Comma 30 4 3" xfId="1452"/>
    <cellStyle name="Comma 30 4 3 2" xfId="1453"/>
    <cellStyle name="Comma 30 4 3 2 2" xfId="1454"/>
    <cellStyle name="Comma 30 4 3 3" xfId="1455"/>
    <cellStyle name="Comma 30 4 4" xfId="1456"/>
    <cellStyle name="Comma 30 4 4 2" xfId="1457"/>
    <cellStyle name="Comma 30 4 5" xfId="1458"/>
    <cellStyle name="Comma 30 5" xfId="1459"/>
    <cellStyle name="Comma 30 5 2" xfId="1460"/>
    <cellStyle name="Comma 31" xfId="1461"/>
    <cellStyle name="Comma 31 2" xfId="1462"/>
    <cellStyle name="Comma 31 2 2" xfId="1463"/>
    <cellStyle name="Comma 31 2 3" xfId="1464"/>
    <cellStyle name="Comma 31 2 3 2" xfId="1465"/>
    <cellStyle name="Comma 31 2 3 2 2" xfId="1466"/>
    <cellStyle name="Comma 31 2 3 2 2 2" xfId="1467"/>
    <cellStyle name="Comma 31 2 3 2 2 2 2" xfId="1468"/>
    <cellStyle name="Comma 31 2 3 2 2 3" xfId="1469"/>
    <cellStyle name="Comma 31 2 3 2 3" xfId="1470"/>
    <cellStyle name="Comma 31 2 3 2 3 2" xfId="1471"/>
    <cellStyle name="Comma 31 2 3 2 4" xfId="1472"/>
    <cellStyle name="Comma 31 2 3 3" xfId="1473"/>
    <cellStyle name="Comma 31 2 3 3 2" xfId="1474"/>
    <cellStyle name="Comma 31 2 3 3 2 2" xfId="1475"/>
    <cellStyle name="Comma 31 2 3 3 3" xfId="1476"/>
    <cellStyle name="Comma 31 2 3 4" xfId="1477"/>
    <cellStyle name="Comma 31 2 3 4 2" xfId="1478"/>
    <cellStyle name="Comma 31 2 3 5" xfId="1479"/>
    <cellStyle name="Comma 31 2 4" xfId="1480"/>
    <cellStyle name="Comma 31 2 4 2" xfId="1481"/>
    <cellStyle name="Comma 31 3" xfId="1482"/>
    <cellStyle name="Comma 31 4" xfId="1483"/>
    <cellStyle name="Comma 31 4 2" xfId="1484"/>
    <cellStyle name="Comma 31 4 2 2" xfId="1485"/>
    <cellStyle name="Comma 31 4 2 2 2" xfId="1486"/>
    <cellStyle name="Comma 31 4 2 2 2 2" xfId="1487"/>
    <cellStyle name="Comma 31 4 2 2 3" xfId="1488"/>
    <cellStyle name="Comma 31 4 2 3" xfId="1489"/>
    <cellStyle name="Comma 31 4 2 3 2" xfId="1490"/>
    <cellStyle name="Comma 31 4 2 4" xfId="1491"/>
    <cellStyle name="Comma 31 4 3" xfId="1492"/>
    <cellStyle name="Comma 31 4 3 2" xfId="1493"/>
    <cellStyle name="Comma 31 4 3 2 2" xfId="1494"/>
    <cellStyle name="Comma 31 4 3 3" xfId="1495"/>
    <cellStyle name="Comma 31 4 4" xfId="1496"/>
    <cellStyle name="Comma 31 4 4 2" xfId="1497"/>
    <cellStyle name="Comma 31 4 5" xfId="1498"/>
    <cellStyle name="Comma 31 5" xfId="1499"/>
    <cellStyle name="Comma 31 5 2" xfId="1500"/>
    <cellStyle name="Comma 32" xfId="1501"/>
    <cellStyle name="Comma 32 2" xfId="1502"/>
    <cellStyle name="Comma 32 2 2" xfId="1503"/>
    <cellStyle name="Comma 32 2 3" xfId="1504"/>
    <cellStyle name="Comma 32 2 3 2" xfId="1505"/>
    <cellStyle name="Comma 32 2 3 2 2" xfId="1506"/>
    <cellStyle name="Comma 32 2 3 2 2 2" xfId="1507"/>
    <cellStyle name="Comma 32 2 3 2 2 2 2" xfId="1508"/>
    <cellStyle name="Comma 32 2 3 2 2 3" xfId="1509"/>
    <cellStyle name="Comma 32 2 3 2 3" xfId="1510"/>
    <cellStyle name="Comma 32 2 3 2 3 2" xfId="1511"/>
    <cellStyle name="Comma 32 2 3 2 4" xfId="1512"/>
    <cellStyle name="Comma 32 2 3 3" xfId="1513"/>
    <cellStyle name="Comma 32 2 3 3 2" xfId="1514"/>
    <cellStyle name="Comma 32 2 3 3 2 2" xfId="1515"/>
    <cellStyle name="Comma 32 2 3 3 3" xfId="1516"/>
    <cellStyle name="Comma 32 2 3 4" xfId="1517"/>
    <cellStyle name="Comma 32 2 3 4 2" xfId="1518"/>
    <cellStyle name="Comma 32 2 3 5" xfId="1519"/>
    <cellStyle name="Comma 32 2 4" xfId="1520"/>
    <cellStyle name="Comma 32 2 4 2" xfId="1521"/>
    <cellStyle name="Comma 32 3" xfId="1522"/>
    <cellStyle name="Comma 32 4" xfId="1523"/>
    <cellStyle name="Comma 32 4 2" xfId="1524"/>
    <cellStyle name="Comma 32 4 2 2" xfId="1525"/>
    <cellStyle name="Comma 32 4 2 2 2" xfId="1526"/>
    <cellStyle name="Comma 32 4 2 2 2 2" xfId="1527"/>
    <cellStyle name="Comma 32 4 2 2 3" xfId="1528"/>
    <cellStyle name="Comma 32 4 2 3" xfId="1529"/>
    <cellStyle name="Comma 32 4 2 3 2" xfId="1530"/>
    <cellStyle name="Comma 32 4 2 4" xfId="1531"/>
    <cellStyle name="Comma 32 4 3" xfId="1532"/>
    <cellStyle name="Comma 32 4 3 2" xfId="1533"/>
    <cellStyle name="Comma 32 4 3 2 2" xfId="1534"/>
    <cellStyle name="Comma 32 4 3 3" xfId="1535"/>
    <cellStyle name="Comma 32 4 4" xfId="1536"/>
    <cellStyle name="Comma 32 4 4 2" xfId="1537"/>
    <cellStyle name="Comma 32 4 5" xfId="1538"/>
    <cellStyle name="Comma 32 5" xfId="1539"/>
    <cellStyle name="Comma 32 5 2" xfId="1540"/>
    <cellStyle name="Comma 33" xfId="1541"/>
    <cellStyle name="Comma 33 2" xfId="1542"/>
    <cellStyle name="Comma 33 2 2" xfId="1543"/>
    <cellStyle name="Comma 33 2 3" xfId="1544"/>
    <cellStyle name="Comma 33 2 3 2" xfId="1545"/>
    <cellStyle name="Comma 33 2 3 2 2" xfId="1546"/>
    <cellStyle name="Comma 33 2 3 2 2 2" xfId="1547"/>
    <cellStyle name="Comma 33 2 3 2 2 2 2" xfId="1548"/>
    <cellStyle name="Comma 33 2 3 2 2 3" xfId="1549"/>
    <cellStyle name="Comma 33 2 3 2 3" xfId="1550"/>
    <cellStyle name="Comma 33 2 3 2 3 2" xfId="1551"/>
    <cellStyle name="Comma 33 2 3 2 4" xfId="1552"/>
    <cellStyle name="Comma 33 2 3 3" xfId="1553"/>
    <cellStyle name="Comma 33 2 3 3 2" xfId="1554"/>
    <cellStyle name="Comma 33 2 3 3 2 2" xfId="1555"/>
    <cellStyle name="Comma 33 2 3 3 3" xfId="1556"/>
    <cellStyle name="Comma 33 2 3 4" xfId="1557"/>
    <cellStyle name="Comma 33 2 3 4 2" xfId="1558"/>
    <cellStyle name="Comma 33 2 3 5" xfId="1559"/>
    <cellStyle name="Comma 33 2 4" xfId="1560"/>
    <cellStyle name="Comma 33 2 4 2" xfId="1561"/>
    <cellStyle name="Comma 33 3" xfId="1562"/>
    <cellStyle name="Comma 33 4" xfId="1563"/>
    <cellStyle name="Comma 33 4 2" xfId="1564"/>
    <cellStyle name="Comma 33 4 2 2" xfId="1565"/>
    <cellStyle name="Comma 33 4 2 2 2" xfId="1566"/>
    <cellStyle name="Comma 33 4 2 2 2 2" xfId="1567"/>
    <cellStyle name="Comma 33 4 2 2 3" xfId="1568"/>
    <cellStyle name="Comma 33 4 2 3" xfId="1569"/>
    <cellStyle name="Comma 33 4 2 3 2" xfId="1570"/>
    <cellStyle name="Comma 33 4 2 4" xfId="1571"/>
    <cellStyle name="Comma 33 4 3" xfId="1572"/>
    <cellStyle name="Comma 33 4 3 2" xfId="1573"/>
    <cellStyle name="Comma 33 4 3 2 2" xfId="1574"/>
    <cellStyle name="Comma 33 4 3 3" xfId="1575"/>
    <cellStyle name="Comma 33 4 4" xfId="1576"/>
    <cellStyle name="Comma 33 4 4 2" xfId="1577"/>
    <cellStyle name="Comma 33 4 5" xfId="1578"/>
    <cellStyle name="Comma 33 5" xfId="1579"/>
    <cellStyle name="Comma 33 5 2" xfId="1580"/>
    <cellStyle name="Comma 34" xfId="1581"/>
    <cellStyle name="Comma 34 2" xfId="1582"/>
    <cellStyle name="Comma 34 2 2" xfId="1583"/>
    <cellStyle name="Comma 34 2 3" xfId="1584"/>
    <cellStyle name="Comma 34 2 3 2" xfId="1585"/>
    <cellStyle name="Comma 34 2 3 2 2" xfId="1586"/>
    <cellStyle name="Comma 34 2 3 2 2 2" xfId="1587"/>
    <cellStyle name="Comma 34 2 3 2 2 2 2" xfId="1588"/>
    <cellStyle name="Comma 34 2 3 2 2 3" xfId="1589"/>
    <cellStyle name="Comma 34 2 3 2 3" xfId="1590"/>
    <cellStyle name="Comma 34 2 3 2 3 2" xfId="1591"/>
    <cellStyle name="Comma 34 2 3 2 4" xfId="1592"/>
    <cellStyle name="Comma 34 2 3 3" xfId="1593"/>
    <cellStyle name="Comma 34 2 3 3 2" xfId="1594"/>
    <cellStyle name="Comma 34 2 3 3 2 2" xfId="1595"/>
    <cellStyle name="Comma 34 2 3 3 3" xfId="1596"/>
    <cellStyle name="Comma 34 2 3 4" xfId="1597"/>
    <cellStyle name="Comma 34 2 3 4 2" xfId="1598"/>
    <cellStyle name="Comma 34 2 3 5" xfId="1599"/>
    <cellStyle name="Comma 34 2 4" xfId="1600"/>
    <cellStyle name="Comma 34 2 4 2" xfId="1601"/>
    <cellStyle name="Comma 34 3" xfId="1602"/>
    <cellStyle name="Comma 34 4" xfId="1603"/>
    <cellStyle name="Comma 34 4 2" xfId="1604"/>
    <cellStyle name="Comma 34 4 2 2" xfId="1605"/>
    <cellStyle name="Comma 34 4 2 2 2" xfId="1606"/>
    <cellStyle name="Comma 34 4 2 2 2 2" xfId="1607"/>
    <cellStyle name="Comma 34 4 2 2 3" xfId="1608"/>
    <cellStyle name="Comma 34 4 2 3" xfId="1609"/>
    <cellStyle name="Comma 34 4 2 3 2" xfId="1610"/>
    <cellStyle name="Comma 34 4 2 4" xfId="1611"/>
    <cellStyle name="Comma 34 4 3" xfId="1612"/>
    <cellStyle name="Comma 34 4 3 2" xfId="1613"/>
    <cellStyle name="Comma 34 4 3 2 2" xfId="1614"/>
    <cellStyle name="Comma 34 4 3 3" xfId="1615"/>
    <cellStyle name="Comma 34 4 4" xfId="1616"/>
    <cellStyle name="Comma 34 4 4 2" xfId="1617"/>
    <cellStyle name="Comma 34 4 5" xfId="1618"/>
    <cellStyle name="Comma 34 5" xfId="1619"/>
    <cellStyle name="Comma 34 5 2" xfId="1620"/>
    <cellStyle name="Comma 35" xfId="1621"/>
    <cellStyle name="Comma 35 2" xfId="1622"/>
    <cellStyle name="Comma 35 2 2" xfId="1623"/>
    <cellStyle name="Comma 35 2 2 2" xfId="1624"/>
    <cellStyle name="Comma 35 2 2 3" xfId="1625"/>
    <cellStyle name="Comma 35 2 2 3 2" xfId="1626"/>
    <cellStyle name="Comma 35 2 2 3 2 2" xfId="1627"/>
    <cellStyle name="Comma 35 2 2 3 2 2 2" xfId="1628"/>
    <cellStyle name="Comma 35 2 2 3 2 2 2 2" xfId="1629"/>
    <cellStyle name="Comma 35 2 2 3 2 2 3" xfId="1630"/>
    <cellStyle name="Comma 35 2 2 3 2 3" xfId="1631"/>
    <cellStyle name="Comma 35 2 2 3 2 3 2" xfId="1632"/>
    <cellStyle name="Comma 35 2 2 3 2 4" xfId="1633"/>
    <cellStyle name="Comma 35 2 2 3 3" xfId="1634"/>
    <cellStyle name="Comma 35 2 2 3 3 2" xfId="1635"/>
    <cellStyle name="Comma 35 2 2 3 3 2 2" xfId="1636"/>
    <cellStyle name="Comma 35 2 2 3 3 3" xfId="1637"/>
    <cellStyle name="Comma 35 2 2 3 4" xfId="1638"/>
    <cellStyle name="Comma 35 2 2 3 4 2" xfId="1639"/>
    <cellStyle name="Comma 35 2 2 3 5" xfId="1640"/>
    <cellStyle name="Comma 35 2 2 4" xfId="1641"/>
    <cellStyle name="Comma 35 2 2 4 2" xfId="1642"/>
    <cellStyle name="Comma 35 2 3" xfId="1643"/>
    <cellStyle name="Comma 35 2 4" xfId="1644"/>
    <cellStyle name="Comma 35 2 4 2" xfId="1645"/>
    <cellStyle name="Comma 35 2 4 2 2" xfId="1646"/>
    <cellStyle name="Comma 35 2 4 2 2 2" xfId="1647"/>
    <cellStyle name="Comma 35 2 4 2 2 2 2" xfId="1648"/>
    <cellStyle name="Comma 35 2 4 2 2 3" xfId="1649"/>
    <cellStyle name="Comma 35 2 4 2 3" xfId="1650"/>
    <cellStyle name="Comma 35 2 4 2 3 2" xfId="1651"/>
    <cellStyle name="Comma 35 2 4 2 4" xfId="1652"/>
    <cellStyle name="Comma 35 2 4 3" xfId="1653"/>
    <cellStyle name="Comma 35 2 4 3 2" xfId="1654"/>
    <cellStyle name="Comma 35 2 4 3 2 2" xfId="1655"/>
    <cellStyle name="Comma 35 2 4 3 3" xfId="1656"/>
    <cellStyle name="Comma 35 2 4 4" xfId="1657"/>
    <cellStyle name="Comma 35 2 4 4 2" xfId="1658"/>
    <cellStyle name="Comma 35 2 4 5" xfId="1659"/>
    <cellStyle name="Comma 35 2 5" xfId="1660"/>
    <cellStyle name="Comma 35 2 5 2" xfId="1661"/>
    <cellStyle name="Comma 35 3" xfId="1662"/>
    <cellStyle name="Comma 35 3 2" xfId="1663"/>
    <cellStyle name="Comma 35 3 3" xfId="1664"/>
    <cellStyle name="Comma 35 3 3 2" xfId="1665"/>
    <cellStyle name="Comma 35 3 3 2 2" xfId="1666"/>
    <cellStyle name="Comma 35 3 3 2 2 2" xfId="1667"/>
    <cellStyle name="Comma 35 3 3 2 2 2 2" xfId="1668"/>
    <cellStyle name="Comma 35 3 3 2 2 3" xfId="1669"/>
    <cellStyle name="Comma 35 3 3 2 3" xfId="1670"/>
    <cellStyle name="Comma 35 3 3 2 3 2" xfId="1671"/>
    <cellStyle name="Comma 35 3 3 2 4" xfId="1672"/>
    <cellStyle name="Comma 35 3 3 3" xfId="1673"/>
    <cellStyle name="Comma 35 3 3 3 2" xfId="1674"/>
    <cellStyle name="Comma 35 3 3 3 2 2" xfId="1675"/>
    <cellStyle name="Comma 35 3 3 3 3" xfId="1676"/>
    <cellStyle name="Comma 35 3 3 4" xfId="1677"/>
    <cellStyle name="Comma 35 3 3 4 2" xfId="1678"/>
    <cellStyle name="Comma 35 3 3 5" xfId="1679"/>
    <cellStyle name="Comma 35 3 4" xfId="1680"/>
    <cellStyle name="Comma 35 3 4 2" xfId="1681"/>
    <cellStyle name="Comma 35 4" xfId="1682"/>
    <cellStyle name="Comma 35 5" xfId="1683"/>
    <cellStyle name="Comma 35 5 2" xfId="1684"/>
    <cellStyle name="Comma 35 5 2 2" xfId="1685"/>
    <cellStyle name="Comma 35 5 2 2 2" xfId="1686"/>
    <cellStyle name="Comma 35 5 2 2 2 2" xfId="1687"/>
    <cellStyle name="Comma 35 5 2 2 3" xfId="1688"/>
    <cellStyle name="Comma 35 5 2 3" xfId="1689"/>
    <cellStyle name="Comma 35 5 2 3 2" xfId="1690"/>
    <cellStyle name="Comma 35 5 2 4" xfId="1691"/>
    <cellStyle name="Comma 35 5 3" xfId="1692"/>
    <cellStyle name="Comma 35 5 3 2" xfId="1693"/>
    <cellStyle name="Comma 35 5 3 2 2" xfId="1694"/>
    <cellStyle name="Comma 35 5 3 3" xfId="1695"/>
    <cellStyle name="Comma 35 5 4" xfId="1696"/>
    <cellStyle name="Comma 35 5 4 2" xfId="1697"/>
    <cellStyle name="Comma 35 5 5" xfId="1698"/>
    <cellStyle name="Comma 35 6" xfId="1699"/>
    <cellStyle name="Comma 35 6 2" xfId="1700"/>
    <cellStyle name="Comma 36" xfId="1701"/>
    <cellStyle name="Comma 37" xfId="1702"/>
    <cellStyle name="Comma 4" xfId="1703"/>
    <cellStyle name="Comma 4 2" xfId="1704"/>
    <cellStyle name="Comma 4 2 2" xfId="1705"/>
    <cellStyle name="Comma 4 2 3" xfId="1706"/>
    <cellStyle name="Comma 4 2 3 2" xfId="1707"/>
    <cellStyle name="Comma 4 2 3 2 2" xfId="1708"/>
    <cellStyle name="Comma 4 2 3 2 2 2" xfId="1709"/>
    <cellStyle name="Comma 4 2 3 2 2 2 2" xfId="1710"/>
    <cellStyle name="Comma 4 2 3 2 2 3" xfId="1711"/>
    <cellStyle name="Comma 4 2 3 2 3" xfId="1712"/>
    <cellStyle name="Comma 4 2 3 2 3 2" xfId="1713"/>
    <cellStyle name="Comma 4 2 3 2 4" xfId="1714"/>
    <cellStyle name="Comma 4 2 3 3" xfId="1715"/>
    <cellStyle name="Comma 4 2 3 3 2" xfId="1716"/>
    <cellStyle name="Comma 4 2 3 3 2 2" xfId="1717"/>
    <cellStyle name="Comma 4 2 3 3 3" xfId="1718"/>
    <cellStyle name="Comma 4 2 3 4" xfId="1719"/>
    <cellStyle name="Comma 4 2 3 4 2" xfId="1720"/>
    <cellStyle name="Comma 4 2 3 5" xfId="1721"/>
    <cellStyle name="Comma 4 2 4" xfId="1722"/>
    <cellStyle name="Comma 4 2 4 2" xfId="1723"/>
    <cellStyle name="Comma 4 3" xfId="1724"/>
    <cellStyle name="Comma 4 4" xfId="1725"/>
    <cellStyle name="Comma 4 4 2" xfId="1726"/>
    <cellStyle name="Comma 4 4 2 2" xfId="1727"/>
    <cellStyle name="Comma 4 4 2 2 2" xfId="1728"/>
    <cellStyle name="Comma 4 4 2 2 2 2" xfId="1729"/>
    <cellStyle name="Comma 4 4 2 2 3" xfId="1730"/>
    <cellStyle name="Comma 4 4 2 3" xfId="1731"/>
    <cellStyle name="Comma 4 4 2 3 2" xfId="1732"/>
    <cellStyle name="Comma 4 4 2 4" xfId="1733"/>
    <cellStyle name="Comma 4 4 3" xfId="1734"/>
    <cellStyle name="Comma 4 4 3 2" xfId="1735"/>
    <cellStyle name="Comma 4 4 3 2 2" xfId="1736"/>
    <cellStyle name="Comma 4 4 3 3" xfId="1737"/>
    <cellStyle name="Comma 4 4 4" xfId="1738"/>
    <cellStyle name="Comma 4 4 4 2" xfId="1739"/>
    <cellStyle name="Comma 4 4 5" xfId="1740"/>
    <cellStyle name="Comma 4 5" xfId="1741"/>
    <cellStyle name="Comma 4 5 2" xfId="1742"/>
    <cellStyle name="Comma 5" xfId="1743"/>
    <cellStyle name="Comma 5 2" xfId="1744"/>
    <cellStyle name="Comma 5 2 2" xfId="1745"/>
    <cellStyle name="Comma 5 2 3" xfId="1746"/>
    <cellStyle name="Comma 5 2 3 2" xfId="1747"/>
    <cellStyle name="Comma 5 2 3 2 2" xfId="1748"/>
    <cellStyle name="Comma 5 2 3 2 2 2" xfId="1749"/>
    <cellStyle name="Comma 5 2 3 2 2 2 2" xfId="1750"/>
    <cellStyle name="Comma 5 2 3 2 2 3" xfId="1751"/>
    <cellStyle name="Comma 5 2 3 2 3" xfId="1752"/>
    <cellStyle name="Comma 5 2 3 2 3 2" xfId="1753"/>
    <cellStyle name="Comma 5 2 3 2 4" xfId="1754"/>
    <cellStyle name="Comma 5 2 3 3" xfId="1755"/>
    <cellStyle name="Comma 5 2 3 3 2" xfId="1756"/>
    <cellStyle name="Comma 5 2 3 3 2 2" xfId="1757"/>
    <cellStyle name="Comma 5 2 3 3 3" xfId="1758"/>
    <cellStyle name="Comma 5 2 3 4" xfId="1759"/>
    <cellStyle name="Comma 5 2 3 4 2" xfId="1760"/>
    <cellStyle name="Comma 5 2 3 5" xfId="1761"/>
    <cellStyle name="Comma 5 2 4" xfId="1762"/>
    <cellStyle name="Comma 5 2 4 2" xfId="1763"/>
    <cellStyle name="Comma 5 3" xfId="1764"/>
    <cellStyle name="Comma 5 4" xfId="1765"/>
    <cellStyle name="Comma 5 4 2" xfId="1766"/>
    <cellStyle name="Comma 5 4 2 2" xfId="1767"/>
    <cellStyle name="Comma 5 4 2 2 2" xfId="1768"/>
    <cellStyle name="Comma 5 4 2 2 2 2" xfId="1769"/>
    <cellStyle name="Comma 5 4 2 2 3" xfId="1770"/>
    <cellStyle name="Comma 5 4 2 3" xfId="1771"/>
    <cellStyle name="Comma 5 4 2 3 2" xfId="1772"/>
    <cellStyle name="Comma 5 4 2 4" xfId="1773"/>
    <cellStyle name="Comma 5 4 3" xfId="1774"/>
    <cellStyle name="Comma 5 4 3 2" xfId="1775"/>
    <cellStyle name="Comma 5 4 3 2 2" xfId="1776"/>
    <cellStyle name="Comma 5 4 3 3" xfId="1777"/>
    <cellStyle name="Comma 5 4 4" xfId="1778"/>
    <cellStyle name="Comma 5 4 4 2" xfId="1779"/>
    <cellStyle name="Comma 5 4 5" xfId="1780"/>
    <cellStyle name="Comma 5 5" xfId="1781"/>
    <cellStyle name="Comma 5 5 2" xfId="1782"/>
    <cellStyle name="Comma 6" xfId="1783"/>
    <cellStyle name="Comma 6 2" xfId="1784"/>
    <cellStyle name="Comma 6 2 2" xfId="1785"/>
    <cellStyle name="Comma 6 2 3" xfId="1786"/>
    <cellStyle name="Comma 6 2 3 2" xfId="1787"/>
    <cellStyle name="Comma 6 2 3 2 2" xfId="1788"/>
    <cellStyle name="Comma 6 2 3 2 2 2" xfId="1789"/>
    <cellStyle name="Comma 6 2 3 2 2 2 2" xfId="1790"/>
    <cellStyle name="Comma 6 2 3 2 2 3" xfId="1791"/>
    <cellStyle name="Comma 6 2 3 2 3" xfId="1792"/>
    <cellStyle name="Comma 6 2 3 2 3 2" xfId="1793"/>
    <cellStyle name="Comma 6 2 3 2 4" xfId="1794"/>
    <cellStyle name="Comma 6 2 3 3" xfId="1795"/>
    <cellStyle name="Comma 6 2 3 3 2" xfId="1796"/>
    <cellStyle name="Comma 6 2 3 3 2 2" xfId="1797"/>
    <cellStyle name="Comma 6 2 3 3 3" xfId="1798"/>
    <cellStyle name="Comma 6 2 3 4" xfId="1799"/>
    <cellStyle name="Comma 6 2 3 4 2" xfId="1800"/>
    <cellStyle name="Comma 6 2 3 5" xfId="1801"/>
    <cellStyle name="Comma 6 2 4" xfId="1802"/>
    <cellStyle name="Comma 6 2 4 2" xfId="1803"/>
    <cellStyle name="Comma 6 3" xfId="1804"/>
    <cellStyle name="Comma 6 4" xfId="1805"/>
    <cellStyle name="Comma 6 4 2" xfId="1806"/>
    <cellStyle name="Comma 6 4 2 2" xfId="1807"/>
    <cellStyle name="Comma 6 4 2 2 2" xfId="1808"/>
    <cellStyle name="Comma 6 4 2 2 2 2" xfId="1809"/>
    <cellStyle name="Comma 6 4 2 2 3" xfId="1810"/>
    <cellStyle name="Comma 6 4 2 3" xfId="1811"/>
    <cellStyle name="Comma 6 4 2 3 2" xfId="1812"/>
    <cellStyle name="Comma 6 4 2 4" xfId="1813"/>
    <cellStyle name="Comma 6 4 3" xfId="1814"/>
    <cellStyle name="Comma 6 4 3 2" xfId="1815"/>
    <cellStyle name="Comma 6 4 3 2 2" xfId="1816"/>
    <cellStyle name="Comma 6 4 3 3" xfId="1817"/>
    <cellStyle name="Comma 6 4 4" xfId="1818"/>
    <cellStyle name="Comma 6 4 4 2" xfId="1819"/>
    <cellStyle name="Comma 6 4 5" xfId="1820"/>
    <cellStyle name="Comma 6 5" xfId="1821"/>
    <cellStyle name="Comma 6 5 2" xfId="1822"/>
    <cellStyle name="Comma 7" xfId="1823"/>
    <cellStyle name="Comma 7 2" xfId="1824"/>
    <cellStyle name="Comma 7 2 2" xfId="1825"/>
    <cellStyle name="Comma 7 2 2 2" xfId="1826"/>
    <cellStyle name="Comma 7 2 2 3" xfId="1827"/>
    <cellStyle name="Comma 7 2 2 3 2" xfId="1828"/>
    <cellStyle name="Comma 7 2 2 3 2 2" xfId="1829"/>
    <cellStyle name="Comma 7 2 2 3 2 2 2" xfId="1830"/>
    <cellStyle name="Comma 7 2 2 3 2 2 2 2" xfId="1831"/>
    <cellStyle name="Comma 7 2 2 3 2 2 3" xfId="1832"/>
    <cellStyle name="Comma 7 2 2 3 2 3" xfId="1833"/>
    <cellStyle name="Comma 7 2 2 3 2 3 2" xfId="1834"/>
    <cellStyle name="Comma 7 2 2 3 2 4" xfId="1835"/>
    <cellStyle name="Comma 7 2 2 3 3" xfId="1836"/>
    <cellStyle name="Comma 7 2 2 3 3 2" xfId="1837"/>
    <cellStyle name="Comma 7 2 2 3 3 2 2" xfId="1838"/>
    <cellStyle name="Comma 7 2 2 3 3 3" xfId="1839"/>
    <cellStyle name="Comma 7 2 2 3 4" xfId="1840"/>
    <cellStyle name="Comma 7 2 2 3 4 2" xfId="1841"/>
    <cellStyle name="Comma 7 2 2 3 5" xfId="1842"/>
    <cellStyle name="Comma 7 2 2 4" xfId="1843"/>
    <cellStyle name="Comma 7 2 2 4 2" xfId="1844"/>
    <cellStyle name="Comma 7 2 3" xfId="1845"/>
    <cellStyle name="Comma 7 2 4" xfId="1846"/>
    <cellStyle name="Comma 7 2 4 2" xfId="1847"/>
    <cellStyle name="Comma 7 2 4 2 2" xfId="1848"/>
    <cellStyle name="Comma 7 2 4 2 2 2" xfId="1849"/>
    <cellStyle name="Comma 7 2 4 2 2 2 2" xfId="1850"/>
    <cellStyle name="Comma 7 2 4 2 2 3" xfId="1851"/>
    <cellStyle name="Comma 7 2 4 2 3" xfId="1852"/>
    <cellStyle name="Comma 7 2 4 2 3 2" xfId="1853"/>
    <cellStyle name="Comma 7 2 4 2 4" xfId="1854"/>
    <cellStyle name="Comma 7 2 4 3" xfId="1855"/>
    <cellStyle name="Comma 7 2 4 3 2" xfId="1856"/>
    <cellStyle name="Comma 7 2 4 3 2 2" xfId="1857"/>
    <cellStyle name="Comma 7 2 4 3 3" xfId="1858"/>
    <cellStyle name="Comma 7 2 4 4" xfId="1859"/>
    <cellStyle name="Comma 7 2 4 4 2" xfId="1860"/>
    <cellStyle name="Comma 7 2 4 5" xfId="1861"/>
    <cellStyle name="Comma 7 2 5" xfId="1862"/>
    <cellStyle name="Comma 7 2 5 2" xfId="1863"/>
    <cellStyle name="Comma 7 3" xfId="1864"/>
    <cellStyle name="Comma 7 3 2" xfId="1865"/>
    <cellStyle name="Comma 7 3 3" xfId="1866"/>
    <cellStyle name="Comma 7 3 3 2" xfId="1867"/>
    <cellStyle name="Comma 7 3 3 2 2" xfId="1868"/>
    <cellStyle name="Comma 7 3 3 2 2 2" xfId="1869"/>
    <cellStyle name="Comma 7 3 3 2 2 2 2" xfId="1870"/>
    <cellStyle name="Comma 7 3 3 2 2 3" xfId="1871"/>
    <cellStyle name="Comma 7 3 3 2 3" xfId="1872"/>
    <cellStyle name="Comma 7 3 3 2 3 2" xfId="1873"/>
    <cellStyle name="Comma 7 3 3 2 4" xfId="1874"/>
    <cellStyle name="Comma 7 3 3 3" xfId="1875"/>
    <cellStyle name="Comma 7 3 3 3 2" xfId="1876"/>
    <cellStyle name="Comma 7 3 3 3 2 2" xfId="1877"/>
    <cellStyle name="Comma 7 3 3 3 3" xfId="1878"/>
    <cellStyle name="Comma 7 3 3 4" xfId="1879"/>
    <cellStyle name="Comma 7 3 3 4 2" xfId="1880"/>
    <cellStyle name="Comma 7 3 3 5" xfId="1881"/>
    <cellStyle name="Comma 7 3 4" xfId="1882"/>
    <cellStyle name="Comma 7 3 4 2" xfId="1883"/>
    <cellStyle name="Comma 7 4" xfId="1884"/>
    <cellStyle name="Comma 7 5" xfId="1885"/>
    <cellStyle name="Comma 7 5 2" xfId="1886"/>
    <cellStyle name="Comma 7 5 2 2" xfId="1887"/>
    <cellStyle name="Comma 7 5 2 2 2" xfId="1888"/>
    <cellStyle name="Comma 7 5 2 2 2 2" xfId="1889"/>
    <cellStyle name="Comma 7 5 2 2 3" xfId="1890"/>
    <cellStyle name="Comma 7 5 2 3" xfId="1891"/>
    <cellStyle name="Comma 7 5 2 3 2" xfId="1892"/>
    <cellStyle name="Comma 7 5 2 4" xfId="1893"/>
    <cellStyle name="Comma 7 5 3" xfId="1894"/>
    <cellStyle name="Comma 7 5 3 2" xfId="1895"/>
    <cellStyle name="Comma 7 5 3 2 2" xfId="1896"/>
    <cellStyle name="Comma 7 5 3 3" xfId="1897"/>
    <cellStyle name="Comma 7 5 4" xfId="1898"/>
    <cellStyle name="Comma 7 5 4 2" xfId="1899"/>
    <cellStyle name="Comma 7 5 5" xfId="1900"/>
    <cellStyle name="Comma 7 6" xfId="1901"/>
    <cellStyle name="Comma 7 6 2" xfId="1902"/>
    <cellStyle name="Comma 8" xfId="1903"/>
    <cellStyle name="Comma 8 2" xfId="1904"/>
    <cellStyle name="Comma 8 2 2" xfId="1905"/>
    <cellStyle name="Comma 8 2 2 2" xfId="1906"/>
    <cellStyle name="Comma 8 2 2 3" xfId="1907"/>
    <cellStyle name="Comma 8 2 2 3 2" xfId="1908"/>
    <cellStyle name="Comma 8 2 2 3 2 2" xfId="1909"/>
    <cellStyle name="Comma 8 2 2 3 2 2 2" xfId="1910"/>
    <cellStyle name="Comma 8 2 2 3 2 2 2 2" xfId="1911"/>
    <cellStyle name="Comma 8 2 2 3 2 2 3" xfId="1912"/>
    <cellStyle name="Comma 8 2 2 3 2 3" xfId="1913"/>
    <cellStyle name="Comma 8 2 2 3 2 3 2" xfId="1914"/>
    <cellStyle name="Comma 8 2 2 3 2 4" xfId="1915"/>
    <cellStyle name="Comma 8 2 2 3 3" xfId="1916"/>
    <cellStyle name="Comma 8 2 2 3 3 2" xfId="1917"/>
    <cellStyle name="Comma 8 2 2 3 3 2 2" xfId="1918"/>
    <cellStyle name="Comma 8 2 2 3 3 3" xfId="1919"/>
    <cellStyle name="Comma 8 2 2 3 4" xfId="1920"/>
    <cellStyle name="Comma 8 2 2 3 4 2" xfId="1921"/>
    <cellStyle name="Comma 8 2 2 3 5" xfId="1922"/>
    <cellStyle name="Comma 8 2 2 4" xfId="1923"/>
    <cellStyle name="Comma 8 2 2 4 2" xfId="1924"/>
    <cellStyle name="Comma 8 2 3" xfId="1925"/>
    <cellStyle name="Comma 8 2 4" xfId="1926"/>
    <cellStyle name="Comma 8 2 4 2" xfId="1927"/>
    <cellStyle name="Comma 8 2 4 2 2" xfId="1928"/>
    <cellStyle name="Comma 8 2 4 2 2 2" xfId="1929"/>
    <cellStyle name="Comma 8 2 4 2 2 2 2" xfId="1930"/>
    <cellStyle name="Comma 8 2 4 2 2 3" xfId="1931"/>
    <cellStyle name="Comma 8 2 4 2 3" xfId="1932"/>
    <cellStyle name="Comma 8 2 4 2 3 2" xfId="1933"/>
    <cellStyle name="Comma 8 2 4 2 4" xfId="1934"/>
    <cellStyle name="Comma 8 2 4 3" xfId="1935"/>
    <cellStyle name="Comma 8 2 4 3 2" xfId="1936"/>
    <cellStyle name="Comma 8 2 4 3 2 2" xfId="1937"/>
    <cellStyle name="Comma 8 2 4 3 3" xfId="1938"/>
    <cellStyle name="Comma 8 2 4 4" xfId="1939"/>
    <cellStyle name="Comma 8 2 4 4 2" xfId="1940"/>
    <cellStyle name="Comma 8 2 4 5" xfId="1941"/>
    <cellStyle name="Comma 8 2 5" xfId="1942"/>
    <cellStyle name="Comma 8 2 5 2" xfId="1943"/>
    <cellStyle name="Comma 8 3" xfId="1944"/>
    <cellStyle name="Comma 8 3 2" xfId="1945"/>
    <cellStyle name="Comma 8 3 3" xfId="1946"/>
    <cellStyle name="Comma 8 3 3 2" xfId="1947"/>
    <cellStyle name="Comma 8 3 3 2 2" xfId="1948"/>
    <cellStyle name="Comma 8 3 3 2 2 2" xfId="1949"/>
    <cellStyle name="Comma 8 3 3 2 2 2 2" xfId="1950"/>
    <cellStyle name="Comma 8 3 3 2 2 3" xfId="1951"/>
    <cellStyle name="Comma 8 3 3 2 3" xfId="1952"/>
    <cellStyle name="Comma 8 3 3 2 3 2" xfId="1953"/>
    <cellStyle name="Comma 8 3 3 2 4" xfId="1954"/>
    <cellStyle name="Comma 8 3 3 3" xfId="1955"/>
    <cellStyle name="Comma 8 3 3 3 2" xfId="1956"/>
    <cellStyle name="Comma 8 3 3 3 2 2" xfId="1957"/>
    <cellStyle name="Comma 8 3 3 3 3" xfId="1958"/>
    <cellStyle name="Comma 8 3 3 4" xfId="1959"/>
    <cellStyle name="Comma 8 3 3 4 2" xfId="1960"/>
    <cellStyle name="Comma 8 3 3 5" xfId="1961"/>
    <cellStyle name="Comma 8 3 4" xfId="1962"/>
    <cellStyle name="Comma 8 3 4 2" xfId="1963"/>
    <cellStyle name="Comma 8 4" xfId="1964"/>
    <cellStyle name="Comma 8 5" xfId="1965"/>
    <cellStyle name="Comma 8 5 2" xfId="1966"/>
    <cellStyle name="Comma 8 5 2 2" xfId="1967"/>
    <cellStyle name="Comma 8 5 2 2 2" xfId="1968"/>
    <cellStyle name="Comma 8 5 2 2 2 2" xfId="1969"/>
    <cellStyle name="Comma 8 5 2 2 3" xfId="1970"/>
    <cellStyle name="Comma 8 5 2 3" xfId="1971"/>
    <cellStyle name="Comma 8 5 2 3 2" xfId="1972"/>
    <cellStyle name="Comma 8 5 2 4" xfId="1973"/>
    <cellStyle name="Comma 8 5 3" xfId="1974"/>
    <cellStyle name="Comma 8 5 3 2" xfId="1975"/>
    <cellStyle name="Comma 8 5 3 2 2" xfId="1976"/>
    <cellStyle name="Comma 8 5 3 3" xfId="1977"/>
    <cellStyle name="Comma 8 5 4" xfId="1978"/>
    <cellStyle name="Comma 8 5 4 2" xfId="1979"/>
    <cellStyle name="Comma 8 5 5" xfId="1980"/>
    <cellStyle name="Comma 8 6" xfId="1981"/>
    <cellStyle name="Comma 8 6 2" xfId="1982"/>
    <cellStyle name="Comma 9" xfId="1983"/>
    <cellStyle name="Comma 9 2" xfId="1984"/>
    <cellStyle name="Comma 9 2 2" xfId="1985"/>
    <cellStyle name="Comma 9 2 2 2" xfId="1986"/>
    <cellStyle name="Comma 9 2 2 3" xfId="1987"/>
    <cellStyle name="Comma 9 2 2 3 2" xfId="1988"/>
    <cellStyle name="Comma 9 2 2 3 2 2" xfId="1989"/>
    <cellStyle name="Comma 9 2 2 3 2 2 2" xfId="1990"/>
    <cellStyle name="Comma 9 2 2 3 2 2 2 2" xfId="1991"/>
    <cellStyle name="Comma 9 2 2 3 2 2 3" xfId="1992"/>
    <cellStyle name="Comma 9 2 2 3 2 3" xfId="1993"/>
    <cellStyle name="Comma 9 2 2 3 2 3 2" xfId="1994"/>
    <cellStyle name="Comma 9 2 2 3 2 4" xfId="1995"/>
    <cellStyle name="Comma 9 2 2 3 3" xfId="1996"/>
    <cellStyle name="Comma 9 2 2 3 3 2" xfId="1997"/>
    <cellStyle name="Comma 9 2 2 3 3 2 2" xfId="1998"/>
    <cellStyle name="Comma 9 2 2 3 3 3" xfId="1999"/>
    <cellStyle name="Comma 9 2 2 3 4" xfId="2000"/>
    <cellStyle name="Comma 9 2 2 3 4 2" xfId="2001"/>
    <cellStyle name="Comma 9 2 2 3 5" xfId="2002"/>
    <cellStyle name="Comma 9 2 2 4" xfId="2003"/>
    <cellStyle name="Comma 9 2 2 4 2" xfId="2004"/>
    <cellStyle name="Comma 9 2 3" xfId="2005"/>
    <cellStyle name="Comma 9 2 4" xfId="2006"/>
    <cellStyle name="Comma 9 2 4 2" xfId="2007"/>
    <cellStyle name="Comma 9 2 4 2 2" xfId="2008"/>
    <cellStyle name="Comma 9 2 4 2 2 2" xfId="2009"/>
    <cellStyle name="Comma 9 2 4 2 2 2 2" xfId="2010"/>
    <cellStyle name="Comma 9 2 4 2 2 3" xfId="2011"/>
    <cellStyle name="Comma 9 2 4 2 3" xfId="2012"/>
    <cellStyle name="Comma 9 2 4 2 3 2" xfId="2013"/>
    <cellStyle name="Comma 9 2 4 2 4" xfId="2014"/>
    <cellStyle name="Comma 9 2 4 3" xfId="2015"/>
    <cellStyle name="Comma 9 2 4 3 2" xfId="2016"/>
    <cellStyle name="Comma 9 2 4 3 2 2" xfId="2017"/>
    <cellStyle name="Comma 9 2 4 3 3" xfId="2018"/>
    <cellStyle name="Comma 9 2 4 4" xfId="2019"/>
    <cellStyle name="Comma 9 2 4 4 2" xfId="2020"/>
    <cellStyle name="Comma 9 2 4 5" xfId="2021"/>
    <cellStyle name="Comma 9 2 5" xfId="2022"/>
    <cellStyle name="Comma 9 2 5 2" xfId="2023"/>
    <cellStyle name="Comma 9 3" xfId="2024"/>
    <cellStyle name="Comma 9 3 2" xfId="2025"/>
    <cellStyle name="Comma 9 3 3" xfId="2026"/>
    <cellStyle name="Comma 9 3 3 2" xfId="2027"/>
    <cellStyle name="Comma 9 3 3 2 2" xfId="2028"/>
    <cellStyle name="Comma 9 3 3 2 2 2" xfId="2029"/>
    <cellStyle name="Comma 9 3 3 2 2 2 2" xfId="2030"/>
    <cellStyle name="Comma 9 3 3 2 2 3" xfId="2031"/>
    <cellStyle name="Comma 9 3 3 2 3" xfId="2032"/>
    <cellStyle name="Comma 9 3 3 2 3 2" xfId="2033"/>
    <cellStyle name="Comma 9 3 3 2 4" xfId="2034"/>
    <cellStyle name="Comma 9 3 3 3" xfId="2035"/>
    <cellStyle name="Comma 9 3 3 3 2" xfId="2036"/>
    <cellStyle name="Comma 9 3 3 3 2 2" xfId="2037"/>
    <cellStyle name="Comma 9 3 3 3 3" xfId="2038"/>
    <cellStyle name="Comma 9 3 3 4" xfId="2039"/>
    <cellStyle name="Comma 9 3 3 4 2" xfId="2040"/>
    <cellStyle name="Comma 9 3 3 5" xfId="2041"/>
    <cellStyle name="Comma 9 3 4" xfId="2042"/>
    <cellStyle name="Comma 9 3 4 2" xfId="2043"/>
    <cellStyle name="Comma 9 4" xfId="2044"/>
    <cellStyle name="Comma 9 5" xfId="2045"/>
    <cellStyle name="Comma 9 5 2" xfId="2046"/>
    <cellStyle name="Comma 9 5 2 2" xfId="2047"/>
    <cellStyle name="Comma 9 5 2 2 2" xfId="2048"/>
    <cellStyle name="Comma 9 5 2 2 2 2" xfId="2049"/>
    <cellStyle name="Comma 9 5 2 2 3" xfId="2050"/>
    <cellStyle name="Comma 9 5 2 3" xfId="2051"/>
    <cellStyle name="Comma 9 5 2 3 2" xfId="2052"/>
    <cellStyle name="Comma 9 5 2 4" xfId="2053"/>
    <cellStyle name="Comma 9 5 3" xfId="2054"/>
    <cellStyle name="Comma 9 5 3 2" xfId="2055"/>
    <cellStyle name="Comma 9 5 3 2 2" xfId="2056"/>
    <cellStyle name="Comma 9 5 3 3" xfId="2057"/>
    <cellStyle name="Comma 9 5 4" xfId="2058"/>
    <cellStyle name="Comma 9 5 4 2" xfId="2059"/>
    <cellStyle name="Comma 9 5 5" xfId="2060"/>
    <cellStyle name="Comma 9 6" xfId="2061"/>
    <cellStyle name="Comma 9 6 2" xfId="2062"/>
    <cellStyle name="Comma0" xfId="2063"/>
    <cellStyle name="Currency [0]b" xfId="2064"/>
    <cellStyle name="Currency 2" xfId="2065"/>
    <cellStyle name="Currency 2 2" xfId="2066"/>
    <cellStyle name="Currency 2 2 2" xfId="2067"/>
    <cellStyle name="Currency 2 3" xfId="2068"/>
    <cellStyle name="Currency 3" xfId="2069"/>
    <cellStyle name="Currency 3 2" xfId="2070"/>
    <cellStyle name="Currency 3 2 2" xfId="2071"/>
    <cellStyle name="Currency 3 2 2 2" xfId="2072"/>
    <cellStyle name="Currency 3 2 2 2 2" xfId="2073"/>
    <cellStyle name="Currency 3 2 3" xfId="2074"/>
    <cellStyle name="Currency 3 2 3 2" xfId="2075"/>
    <cellStyle name="Currency 3 3" xfId="2076"/>
    <cellStyle name="Currency 3 3 2" xfId="2077"/>
    <cellStyle name="Currency 3 3 2 2" xfId="2078"/>
    <cellStyle name="Currency 3 4" xfId="2079"/>
    <cellStyle name="Currency 3 4 2" xfId="2080"/>
    <cellStyle name="currency(2)" xfId="2081"/>
    <cellStyle name="currency(2) 2" xfId="2082"/>
    <cellStyle name="Currency0" xfId="2083"/>
    <cellStyle name="Date" xfId="2084"/>
    <cellStyle name="erik" xfId="2085"/>
    <cellStyle name="Fixed" xfId="2086"/>
    <cellStyle name="GreyOrWhite" xfId="2087"/>
    <cellStyle name="Hyperlink 2" xfId="2088"/>
    <cellStyle name="Naira" xfId="2089"/>
    <cellStyle name="Naira 2" xfId="2090"/>
    <cellStyle name="Normal" xfId="0" builtinId="0"/>
    <cellStyle name="Normal - Style1" xfId="2091"/>
    <cellStyle name="Normal 10" xfId="2092"/>
    <cellStyle name="Normal 10 2" xfId="2093"/>
    <cellStyle name="Normal 10 2 2" xfId="2094"/>
    <cellStyle name="Normal 10 3" xfId="2095"/>
    <cellStyle name="Normal 11" xfId="2096"/>
    <cellStyle name="Normal 11 2" xfId="2097"/>
    <cellStyle name="Normal 11 2 2" xfId="2098"/>
    <cellStyle name="Normal 11 3" xfId="2099"/>
    <cellStyle name="Normal 12" xfId="2100"/>
    <cellStyle name="Normal 12 2" xfId="2101"/>
    <cellStyle name="Normal 12 2 2" xfId="2102"/>
    <cellStyle name="Normal 12 3" xfId="2103"/>
    <cellStyle name="Normal 13" xfId="2104"/>
    <cellStyle name="Normal 13 2" xfId="2105"/>
    <cellStyle name="Normal 13 2 2" xfId="2106"/>
    <cellStyle name="Normal 13 3" xfId="2107"/>
    <cellStyle name="Normal 14" xfId="2108"/>
    <cellStyle name="Normal 14 2" xfId="2109"/>
    <cellStyle name="Normal 14 2 2" xfId="2110"/>
    <cellStyle name="Normal 14 3" xfId="2111"/>
    <cellStyle name="Normal 15" xfId="2112"/>
    <cellStyle name="Normal 15 2" xfId="2113"/>
    <cellStyle name="Normal 15 2 2" xfId="2114"/>
    <cellStyle name="Normal 15 3" xfId="2115"/>
    <cellStyle name="Normal 16" xfId="2116"/>
    <cellStyle name="Normal 16 2" xfId="2117"/>
    <cellStyle name="Normal 16 2 2" xfId="2118"/>
    <cellStyle name="Normal 16 3" xfId="2119"/>
    <cellStyle name="Normal 17" xfId="2120"/>
    <cellStyle name="Normal 17 2" xfId="2121"/>
    <cellStyle name="Normal 17 2 2" xfId="2122"/>
    <cellStyle name="Normal 17 3" xfId="2123"/>
    <cellStyle name="Normal 18" xfId="2124"/>
    <cellStyle name="Normal 19" xfId="2125"/>
    <cellStyle name="Normal 2" xfId="2126"/>
    <cellStyle name="Normal 2 10" xfId="2127"/>
    <cellStyle name="Normal 2 10 2" xfId="2128"/>
    <cellStyle name="Normal 2 10 2 2" xfId="2129"/>
    <cellStyle name="Normal 2 10 3" xfId="2130"/>
    <cellStyle name="Normal 2 11" xfId="2131"/>
    <cellStyle name="Normal 2 11 2" xfId="2132"/>
    <cellStyle name="Normal 2 11 2 2" xfId="2133"/>
    <cellStyle name="Normal 2 11 3" xfId="2134"/>
    <cellStyle name="Normal 2 12" xfId="2135"/>
    <cellStyle name="Normal 2 12 2" xfId="2136"/>
    <cellStyle name="Normal 2 12 2 2" xfId="2137"/>
    <cellStyle name="Normal 2 12 3" xfId="2138"/>
    <cellStyle name="Normal 2 13" xfId="2139"/>
    <cellStyle name="Normal 2 13 2" xfId="2140"/>
    <cellStyle name="Normal 2 13 2 2" xfId="2141"/>
    <cellStyle name="Normal 2 13 3" xfId="2142"/>
    <cellStyle name="Normal 2 14" xfId="2143"/>
    <cellStyle name="Normal 2 15" xfId="2144"/>
    <cellStyle name="Normal 2 16" xfId="2145"/>
    <cellStyle name="Normal 2 2" xfId="2146"/>
    <cellStyle name="Normal 2 2 2" xfId="2147"/>
    <cellStyle name="Normal 2 2 2 2" xfId="2148"/>
    <cellStyle name="Normal 2 2 3" xfId="2149"/>
    <cellStyle name="Normal 2 2 3 2" xfId="2150"/>
    <cellStyle name="Normal 2 2 3 2 2" xfId="2151"/>
    <cellStyle name="Normal 2 2 3 3" xfId="2152"/>
    <cellStyle name="Normal 2 2 4" xfId="2153"/>
    <cellStyle name="Normal 2 2 5" xfId="2154"/>
    <cellStyle name="Normal 2 3" xfId="2155"/>
    <cellStyle name="Normal 2 3 2" xfId="2156"/>
    <cellStyle name="Normal 2 4" xfId="2157"/>
    <cellStyle name="Normal 2 4 2" xfId="2158"/>
    <cellStyle name="Normal 2 5" xfId="2159"/>
    <cellStyle name="Normal 2 5 2" xfId="2160"/>
    <cellStyle name="Normal 2 5 2 2" xfId="2161"/>
    <cellStyle name="Normal 2 5 3" xfId="2162"/>
    <cellStyle name="Normal 2 6" xfId="2163"/>
    <cellStyle name="Normal 2 6 2" xfId="2164"/>
    <cellStyle name="Normal 2 6 2 2" xfId="2165"/>
    <cellStyle name="Normal 2 6 3" xfId="2166"/>
    <cellStyle name="Normal 2 7" xfId="2167"/>
    <cellStyle name="Normal 2 7 2" xfId="2168"/>
    <cellStyle name="Normal 2 7 2 2" xfId="2169"/>
    <cellStyle name="Normal 2 7 3" xfId="2170"/>
    <cellStyle name="Normal 2 8" xfId="2171"/>
    <cellStyle name="Normal 2 8 2" xfId="2172"/>
    <cellStyle name="Normal 2 8 2 2" xfId="2173"/>
    <cellStyle name="Normal 2 8 3" xfId="2174"/>
    <cellStyle name="Normal 2 9" xfId="2175"/>
    <cellStyle name="Normal 2 9 2" xfId="2176"/>
    <cellStyle name="Normal 2 9 2 2" xfId="2177"/>
    <cellStyle name="Normal 2 9 3" xfId="2178"/>
    <cellStyle name="Normal 20" xfId="2179"/>
    <cellStyle name="Normal 21" xfId="2180"/>
    <cellStyle name="Normal 21 2" xfId="2181"/>
    <cellStyle name="Normal 22" xfId="2182"/>
    <cellStyle name="Normal 22 2" xfId="2183"/>
    <cellStyle name="Normal 23" xfId="2184"/>
    <cellStyle name="Normal 23 2" xfId="2185"/>
    <cellStyle name="Normal 24" xfId="2186"/>
    <cellStyle name="Normal 24 2" xfId="2187"/>
    <cellStyle name="Normal 25" xfId="2188"/>
    <cellStyle name="Normal 25 2" xfId="2189"/>
    <cellStyle name="Normal 25 2 2" xfId="2190"/>
    <cellStyle name="Normal 25 3" xfId="2191"/>
    <cellStyle name="Normal 26" xfId="2192"/>
    <cellStyle name="Normal 26 2" xfId="2193"/>
    <cellStyle name="Normal 26 2 2" xfId="2194"/>
    <cellStyle name="Normal 26 3" xfId="2195"/>
    <cellStyle name="Normal 27" xfId="2196"/>
    <cellStyle name="Normal 27 2" xfId="2197"/>
    <cellStyle name="Normal 27 2 2" xfId="2198"/>
    <cellStyle name="Normal 27 3" xfId="2199"/>
    <cellStyle name="Normal 28" xfId="2200"/>
    <cellStyle name="Normal 28 2" xfId="2201"/>
    <cellStyle name="Normal 28 2 2" xfId="2202"/>
    <cellStyle name="Normal 28 3" xfId="2203"/>
    <cellStyle name="Normal 29" xfId="2204"/>
    <cellStyle name="Normal 29 2" xfId="2205"/>
    <cellStyle name="Normal 3" xfId="2206"/>
    <cellStyle name="Normal 3 2" xfId="2207"/>
    <cellStyle name="Normal 3 2 2" xfId="2208"/>
    <cellStyle name="Normal 3 3" xfId="2209"/>
    <cellStyle name="Normal 3 3 2" xfId="2210"/>
    <cellStyle name="Normal 3 4" xfId="2211"/>
    <cellStyle name="Normal 3 5" xfId="2212"/>
    <cellStyle name="Normal 3 6" xfId="2213"/>
    <cellStyle name="Normal 30" xfId="2214"/>
    <cellStyle name="Normal 30 2" xfId="2215"/>
    <cellStyle name="Normal 31" xfId="2216"/>
    <cellStyle name="Normal 31 2" xfId="2217"/>
    <cellStyle name="Normal 32" xfId="2218"/>
    <cellStyle name="Normal 32 2" xfId="2219"/>
    <cellStyle name="Normal 33" xfId="2220"/>
    <cellStyle name="Normal 33 2" xfId="2221"/>
    <cellStyle name="Normal 34" xfId="2222"/>
    <cellStyle name="Normal 34 2" xfId="2223"/>
    <cellStyle name="Normal 35" xfId="2224"/>
    <cellStyle name="Normal 35 2" xfId="2225"/>
    <cellStyle name="Normal 36" xfId="2226"/>
    <cellStyle name="Normal 36 2" xfId="2227"/>
    <cellStyle name="Normal 36 2 2" xfId="2228"/>
    <cellStyle name="Normal 36 3" xfId="2229"/>
    <cellStyle name="Normal 37" xfId="2230"/>
    <cellStyle name="Normal 37 2" xfId="2231"/>
    <cellStyle name="Normal 37 2 2" xfId="2232"/>
    <cellStyle name="Normal 37 3" xfId="2233"/>
    <cellStyle name="Normal 38" xfId="2234"/>
    <cellStyle name="Normal 38 2" xfId="2235"/>
    <cellStyle name="Normal 38 2 2" xfId="2236"/>
    <cellStyle name="Normal 38 3" xfId="2237"/>
    <cellStyle name="Normal 39" xfId="2238"/>
    <cellStyle name="Normal 39 2" xfId="2239"/>
    <cellStyle name="Normal 39 2 2" xfId="2240"/>
    <cellStyle name="Normal 39 3" xfId="2241"/>
    <cellStyle name="Normal 4" xfId="2242"/>
    <cellStyle name="Normal 4 10" xfId="2243"/>
    <cellStyle name="Normal 4 10 2" xfId="2244"/>
    <cellStyle name="Normal 4 10 2 2" xfId="2245"/>
    <cellStyle name="Normal 4 10 3" xfId="2246"/>
    <cellStyle name="Normal 4 11" xfId="2247"/>
    <cellStyle name="Normal 4 11 2" xfId="2248"/>
    <cellStyle name="Normal 4 11 2 2" xfId="2249"/>
    <cellStyle name="Normal 4 11 3" xfId="2250"/>
    <cellStyle name="Normal 4 12" xfId="2251"/>
    <cellStyle name="Normal 4 12 2" xfId="2252"/>
    <cellStyle name="Normal 4 12 2 2" xfId="2253"/>
    <cellStyle name="Normal 4 12 3" xfId="2254"/>
    <cellStyle name="Normal 4 13" xfId="2255"/>
    <cellStyle name="Normal 4 2" xfId="2256"/>
    <cellStyle name="Normal 4 2 2" xfId="2257"/>
    <cellStyle name="Normal 4 2 2 2" xfId="2258"/>
    <cellStyle name="Normal 4 2 3" xfId="2259"/>
    <cellStyle name="Normal 4 3" xfId="2260"/>
    <cellStyle name="Normal 4 3 2" xfId="2261"/>
    <cellStyle name="Normal 4 4" xfId="2262"/>
    <cellStyle name="Normal 4 4 2" xfId="2263"/>
    <cellStyle name="Normal 4 4 2 2" xfId="2264"/>
    <cellStyle name="Normal 4 4 3" xfId="2265"/>
    <cellStyle name="Normal 4 5" xfId="2266"/>
    <cellStyle name="Normal 4 5 2" xfId="2267"/>
    <cellStyle name="Normal 4 5 2 2" xfId="2268"/>
    <cellStyle name="Normal 4 5 3" xfId="2269"/>
    <cellStyle name="Normal 4 6" xfId="2270"/>
    <cellStyle name="Normal 4 6 2" xfId="2271"/>
    <cellStyle name="Normal 4 6 2 2" xfId="2272"/>
    <cellStyle name="Normal 4 6 3" xfId="2273"/>
    <cellStyle name="Normal 4 7" xfId="2274"/>
    <cellStyle name="Normal 4 7 2" xfId="2275"/>
    <cellStyle name="Normal 4 7 2 2" xfId="2276"/>
    <cellStyle name="Normal 4 7 3" xfId="2277"/>
    <cellStyle name="Normal 4 8" xfId="2278"/>
    <cellStyle name="Normal 4 8 2" xfId="2279"/>
    <cellStyle name="Normal 4 8 2 2" xfId="2280"/>
    <cellStyle name="Normal 4 8 3" xfId="2281"/>
    <cellStyle name="Normal 4 9" xfId="2282"/>
    <cellStyle name="Normal 4 9 2" xfId="2283"/>
    <cellStyle name="Normal 4 9 2 2" xfId="2284"/>
    <cellStyle name="Normal 4 9 3" xfId="2285"/>
    <cellStyle name="Normal 40" xfId="2286"/>
    <cellStyle name="Normal 40 2" xfId="2287"/>
    <cellStyle name="Normal 40 2 2" xfId="2288"/>
    <cellStyle name="Normal 40 3" xfId="2289"/>
    <cellStyle name="Normal 41" xfId="2290"/>
    <cellStyle name="Normal 41 2" xfId="2291"/>
    <cellStyle name="Normal 41 2 2" xfId="2292"/>
    <cellStyle name="Normal 41 3" xfId="2293"/>
    <cellStyle name="Normal 42" xfId="2294"/>
    <cellStyle name="Normal 42 2" xfId="2295"/>
    <cellStyle name="Normal 42 2 2" xfId="2296"/>
    <cellStyle name="Normal 42 3" xfId="2297"/>
    <cellStyle name="Normal 43" xfId="2298"/>
    <cellStyle name="Normal 43 2" xfId="2299"/>
    <cellStyle name="Normal 43 2 2" xfId="2300"/>
    <cellStyle name="Normal 43 3" xfId="2301"/>
    <cellStyle name="Normal 44" xfId="2302"/>
    <cellStyle name="Normal 44 2" xfId="2303"/>
    <cellStyle name="Normal 45" xfId="2304"/>
    <cellStyle name="Normal 45 2" xfId="2305"/>
    <cellStyle name="Normal 46" xfId="2306"/>
    <cellStyle name="Normal 46 2" xfId="2307"/>
    <cellStyle name="Normal 46 2 2" xfId="2308"/>
    <cellStyle name="Normal 46 3" xfId="2309"/>
    <cellStyle name="Normal 47" xfId="2310"/>
    <cellStyle name="Normal 47 2" xfId="2311"/>
    <cellStyle name="Normal 47 2 2" xfId="2312"/>
    <cellStyle name="Normal 47 3" xfId="2313"/>
    <cellStyle name="Normal 48" xfId="2314"/>
    <cellStyle name="Normal 48 2" xfId="2315"/>
    <cellStyle name="Normal 49" xfId="2316"/>
    <cellStyle name="Normal 49 2" xfId="2317"/>
    <cellStyle name="Normal 5" xfId="2318"/>
    <cellStyle name="Normal 5 2" xfId="2319"/>
    <cellStyle name="Normal 50" xfId="2320"/>
    <cellStyle name="Normal 50 2" xfId="2321"/>
    <cellStyle name="Normal 51" xfId="2322"/>
    <cellStyle name="Normal 51 2" xfId="2323"/>
    <cellStyle name="Normal 51 2 2" xfId="2324"/>
    <cellStyle name="Normal 51 3" xfId="2325"/>
    <cellStyle name="Normal 52" xfId="2326"/>
    <cellStyle name="Normal 52 2" xfId="2327"/>
    <cellStyle name="Normal 53" xfId="2328"/>
    <cellStyle name="Normal 53 2" xfId="2329"/>
    <cellStyle name="Normal 54" xfId="2330"/>
    <cellStyle name="Normal 55" xfId="2331"/>
    <cellStyle name="Normal 56" xfId="2332"/>
    <cellStyle name="Normal 57" xfId="2333"/>
    <cellStyle name="Normal 58" xfId="2334"/>
    <cellStyle name="Normal 58 2" xfId="2335"/>
    <cellStyle name="Normal 59" xfId="2336"/>
    <cellStyle name="Normal 6" xfId="2337"/>
    <cellStyle name="Normal 6 2" xfId="2338"/>
    <cellStyle name="Normal 60" xfId="2339"/>
    <cellStyle name="Normal 60 2" xfId="2340"/>
    <cellStyle name="Normal 61" xfId="2341"/>
    <cellStyle name="Normal 61 2" xfId="2342"/>
    <cellStyle name="Normal 62" xfId="2343"/>
    <cellStyle name="Normal 62 2" xfId="2344"/>
    <cellStyle name="Normal 63" xfId="2345"/>
    <cellStyle name="Normal 63 2" xfId="2346"/>
    <cellStyle name="Normal 64" xfId="2347"/>
    <cellStyle name="Normal 64 2" xfId="2348"/>
    <cellStyle name="Normal 65" xfId="2349"/>
    <cellStyle name="Normal 65 2" xfId="2350"/>
    <cellStyle name="Normal 66" xfId="2351"/>
    <cellStyle name="Normal 66 2" xfId="2352"/>
    <cellStyle name="Normal 67" xfId="2353"/>
    <cellStyle name="Normal 67 2" xfId="2354"/>
    <cellStyle name="Normal 68" xfId="2355"/>
    <cellStyle name="Normal 68 2" xfId="2356"/>
    <cellStyle name="Normal 69" xfId="2357"/>
    <cellStyle name="Normal 69 2" xfId="2358"/>
    <cellStyle name="Normal 7" xfId="2359"/>
    <cellStyle name="Normal 7 2" xfId="2360"/>
    <cellStyle name="Normal 7 2 2" xfId="2361"/>
    <cellStyle name="Normal 7 3" xfId="2362"/>
    <cellStyle name="Normal 70" xfId="2363"/>
    <cellStyle name="Normal 70 2" xfId="2364"/>
    <cellStyle name="Normal 71" xfId="2365"/>
    <cellStyle name="Normal 71 2" xfId="2366"/>
    <cellStyle name="Normal 72" xfId="2367"/>
    <cellStyle name="Normal 72 2" xfId="2368"/>
    <cellStyle name="Normal 73" xfId="2369"/>
    <cellStyle name="Normal 73 2" xfId="2370"/>
    <cellStyle name="Normal 74" xfId="2371"/>
    <cellStyle name="Normal 74 2" xfId="2372"/>
    <cellStyle name="Normal 75" xfId="2373"/>
    <cellStyle name="Normal 75 2" xfId="2374"/>
    <cellStyle name="Normal 76" xfId="2375"/>
    <cellStyle name="Normal 76 2" xfId="2376"/>
    <cellStyle name="Normal 77" xfId="2377"/>
    <cellStyle name="Normal 77 2" xfId="2378"/>
    <cellStyle name="Normal 78" xfId="2379"/>
    <cellStyle name="Normal 78 2" xfId="2380"/>
    <cellStyle name="Normal 79" xfId="2381"/>
    <cellStyle name="Normal 79 2" xfId="2382"/>
    <cellStyle name="Normal 79 2 2" xfId="2383"/>
    <cellStyle name="Normal 79 3" xfId="2384"/>
    <cellStyle name="Normal 8" xfId="2385"/>
    <cellStyle name="Normal 8 2" xfId="2386"/>
    <cellStyle name="Normal 8 2 2" xfId="2387"/>
    <cellStyle name="Normal 8 2 2 2" xfId="2388"/>
    <cellStyle name="Normal 8 3" xfId="2389"/>
    <cellStyle name="Normal 80" xfId="2390"/>
    <cellStyle name="Normal 80 2" xfId="2391"/>
    <cellStyle name="Normal 81" xfId="2392"/>
    <cellStyle name="Normal 82" xfId="2393"/>
    <cellStyle name="Normal 83" xfId="2394"/>
    <cellStyle name="Normal 84" xfId="2395"/>
    <cellStyle name="Normal 85" xfId="2396"/>
    <cellStyle name="Normal 86" xfId="2397"/>
    <cellStyle name="Normal 87" xfId="2398"/>
    <cellStyle name="Normal 88" xfId="2399"/>
    <cellStyle name="Normal 89" xfId="2400"/>
    <cellStyle name="Normal 9" xfId="2401"/>
    <cellStyle name="Normal 9 2" xfId="2402"/>
    <cellStyle name="Normal 9 2 2" xfId="2403"/>
    <cellStyle name="Normal 9 3" xfId="2404"/>
    <cellStyle name="Normal 90" xfId="2405"/>
    <cellStyle name="Normal 90 2" xfId="2406"/>
    <cellStyle name="Normal 91" xfId="2407"/>
    <cellStyle name="Normal 91 2" xfId="2408"/>
    <cellStyle name="Normal 92" xfId="2409"/>
    <cellStyle name="Normal_New receiving area tanks report,2005" xfId="2410"/>
    <cellStyle name="Normal6" xfId="2411"/>
    <cellStyle name="Normal6Red" xfId="2412"/>
    <cellStyle name="Œ…‹??‚è [0.00]_Sheet1" xfId="2413"/>
    <cellStyle name="Œ…‹??‚è_Sheet1" xfId="2414"/>
    <cellStyle name="Page_No" xfId="2415"/>
    <cellStyle name="Percent" xfId="2416" builtinId="5"/>
    <cellStyle name="Percent 10" xfId="2417"/>
    <cellStyle name="Percent 10 2" xfId="2418"/>
    <cellStyle name="Percent 10 2 2" xfId="2419"/>
    <cellStyle name="Percent 10 3" xfId="2420"/>
    <cellStyle name="Percent 11" xfId="2421"/>
    <cellStyle name="Percent 11 2" xfId="2422"/>
    <cellStyle name="Percent 11 2 2" xfId="2423"/>
    <cellStyle name="Percent 11 3" xfId="2424"/>
    <cellStyle name="Percent 12" xfId="2425"/>
    <cellStyle name="Percent 12 2" xfId="2426"/>
    <cellStyle name="Percent 12 2 2" xfId="2427"/>
    <cellStyle name="Percent 12 3" xfId="2428"/>
    <cellStyle name="Percent 13" xfId="2429"/>
    <cellStyle name="Percent 13 2" xfId="2430"/>
    <cellStyle name="Percent 13 2 2" xfId="2431"/>
    <cellStyle name="Percent 13 3" xfId="2432"/>
    <cellStyle name="Percent 14" xfId="2433"/>
    <cellStyle name="Percent 14 2" xfId="2434"/>
    <cellStyle name="Percent 14 2 2" xfId="2435"/>
    <cellStyle name="Percent 14 3" xfId="2436"/>
    <cellStyle name="Percent 15" xfId="2437"/>
    <cellStyle name="Percent 15 2" xfId="2438"/>
    <cellStyle name="Percent 15 2 2" xfId="2439"/>
    <cellStyle name="Percent 15 3" xfId="2440"/>
    <cellStyle name="Percent 16" xfId="2441"/>
    <cellStyle name="Percent 16 2" xfId="2442"/>
    <cellStyle name="Percent 16 2 2" xfId="2443"/>
    <cellStyle name="Percent 16 3" xfId="2444"/>
    <cellStyle name="Percent 17" xfId="2445"/>
    <cellStyle name="Percent 17 2" xfId="2446"/>
    <cellStyle name="Percent 17 2 2" xfId="2447"/>
    <cellStyle name="Percent 17 3" xfId="2448"/>
    <cellStyle name="Percent 18" xfId="2449"/>
    <cellStyle name="Percent 18 2" xfId="2450"/>
    <cellStyle name="Percent 18 2 2" xfId="2451"/>
    <cellStyle name="Percent 18 3" xfId="2452"/>
    <cellStyle name="Percent 19" xfId="2453"/>
    <cellStyle name="Percent 19 2" xfId="2454"/>
    <cellStyle name="Percent 2" xfId="2455"/>
    <cellStyle name="Percent 2 2" xfId="2456"/>
    <cellStyle name="Percent 2 2 2" xfId="2457"/>
    <cellStyle name="Percent 2 3" xfId="2458"/>
    <cellStyle name="Percent 20" xfId="2459"/>
    <cellStyle name="Percent 20 2" xfId="2460"/>
    <cellStyle name="Percent 20 2 2" xfId="2461"/>
    <cellStyle name="Percent 20 2 2 2" xfId="2462"/>
    <cellStyle name="Percent 20 2 3" xfId="2463"/>
    <cellStyle name="Percent 20 2 3 2" xfId="2464"/>
    <cellStyle name="Percent 20 2 3 2 2" xfId="2465"/>
    <cellStyle name="Percent 20 2 3 3" xfId="2466"/>
    <cellStyle name="Percent 20 2 4" xfId="2467"/>
    <cellStyle name="Percent 20 3" xfId="2468"/>
    <cellStyle name="Percent 20 3 2" xfId="2469"/>
    <cellStyle name="Percent 20 4" xfId="2470"/>
    <cellStyle name="Percent 21" xfId="2471"/>
    <cellStyle name="Percent 21 2" xfId="2472"/>
    <cellStyle name="Percent 21 2 2" xfId="2473"/>
    <cellStyle name="Percent 21 3" xfId="2474"/>
    <cellStyle name="Percent 21 3 2" xfId="2475"/>
    <cellStyle name="Percent 21 3 2 2" xfId="2476"/>
    <cellStyle name="Percent 21 3 3" xfId="2477"/>
    <cellStyle name="Percent 21 4" xfId="2478"/>
    <cellStyle name="Percent 22" xfId="2479"/>
    <cellStyle name="Percent 22 2" xfId="2480"/>
    <cellStyle name="Percent 22 2 2" xfId="2481"/>
    <cellStyle name="Percent 22 3" xfId="2482"/>
    <cellStyle name="Percent 23" xfId="2483"/>
    <cellStyle name="Percent 23 2" xfId="2484"/>
    <cellStyle name="Percent 23 2 2" xfId="2485"/>
    <cellStyle name="Percent 23 3" xfId="2486"/>
    <cellStyle name="Percent 24" xfId="2487"/>
    <cellStyle name="Percent 24 2" xfId="2488"/>
    <cellStyle name="Percent 24 2 2" xfId="2489"/>
    <cellStyle name="Percent 24 3" xfId="2490"/>
    <cellStyle name="Percent 25" xfId="2491"/>
    <cellStyle name="Percent 25 2" xfId="2492"/>
    <cellStyle name="Percent 25 2 2" xfId="2493"/>
    <cellStyle name="Percent 25 3" xfId="2494"/>
    <cellStyle name="Percent 26" xfId="2495"/>
    <cellStyle name="Percent 26 2" xfId="2496"/>
    <cellStyle name="Percent 26 2 2" xfId="2497"/>
    <cellStyle name="Percent 26 3" xfId="2498"/>
    <cellStyle name="Percent 27" xfId="2499"/>
    <cellStyle name="Percent 27 2" xfId="2500"/>
    <cellStyle name="Percent 27 2 2" xfId="2501"/>
    <cellStyle name="Percent 27 3" xfId="2502"/>
    <cellStyle name="Percent 28" xfId="2503"/>
    <cellStyle name="Percent 28 2" xfId="2504"/>
    <cellStyle name="Percent 28 2 2" xfId="2505"/>
    <cellStyle name="Percent 28 3" xfId="2506"/>
    <cellStyle name="Percent 29" xfId="2507"/>
    <cellStyle name="Percent 29 2" xfId="2508"/>
    <cellStyle name="Percent 3" xfId="2509"/>
    <cellStyle name="Percent 3 2" xfId="2510"/>
    <cellStyle name="Percent 3 2 2" xfId="2511"/>
    <cellStyle name="Percent 3 3" xfId="2512"/>
    <cellStyle name="Percent 30" xfId="2513"/>
    <cellStyle name="Percent 30 2" xfId="2514"/>
    <cellStyle name="Percent 31" xfId="2515"/>
    <cellStyle name="Percent 31 2" xfId="2516"/>
    <cellStyle name="Percent 32" xfId="2517"/>
    <cellStyle name="Percent 32 2" xfId="2518"/>
    <cellStyle name="Percent 33" xfId="2519"/>
    <cellStyle name="Percent 33 2" xfId="2520"/>
    <cellStyle name="Percent 4" xfId="2521"/>
    <cellStyle name="Percent 4 2" xfId="2522"/>
    <cellStyle name="Percent 4 2 2" xfId="2523"/>
    <cellStyle name="Percent 4 3" xfId="2524"/>
    <cellStyle name="Percent 5" xfId="2525"/>
    <cellStyle name="Percent 5 2" xfId="2526"/>
    <cellStyle name="Percent 5 2 2" xfId="2527"/>
    <cellStyle name="Percent 5 3" xfId="2528"/>
    <cellStyle name="Percent 6" xfId="2529"/>
    <cellStyle name="Percent 6 2" xfId="2530"/>
    <cellStyle name="Percent 6 2 2" xfId="2531"/>
    <cellStyle name="Percent 6 3" xfId="2532"/>
    <cellStyle name="Percent 7" xfId="2533"/>
    <cellStyle name="Percent 7 2" xfId="2534"/>
    <cellStyle name="Percent 7 2 2" xfId="2535"/>
    <cellStyle name="Percent 7 3" xfId="2536"/>
    <cellStyle name="Percent 8" xfId="2537"/>
    <cellStyle name="Percent 8 2" xfId="2538"/>
    <cellStyle name="Percent 8 2 2" xfId="2539"/>
    <cellStyle name="Percent 8 3" xfId="2540"/>
    <cellStyle name="Percent 9" xfId="2541"/>
    <cellStyle name="Percent 9 2" xfId="2542"/>
    <cellStyle name="Percent 9 2 2" xfId="2543"/>
    <cellStyle name="Percent 9 3" xfId="2544"/>
    <cellStyle name="sonhead" xfId="2545"/>
    <cellStyle name="sonscript" xfId="2546"/>
    <cellStyle name="sontitle" xfId="2547"/>
    <cellStyle name="Time" xfId="2548"/>
    <cellStyle name="TimeEnd" xfId="2549"/>
    <cellStyle name="TimeSpent" xfId="2550"/>
    <cellStyle name="TitleEvid" xfId="2551"/>
    <cellStyle name="Yellow" xfId="2552"/>
  </cellStyles>
  <dxfs count="1959">
    <dxf>
      <fill>
        <patternFill>
          <bgColor indexed="51"/>
        </patternFill>
      </fill>
    </dxf>
    <dxf>
      <fill>
        <patternFill>
          <bgColor indexed="51"/>
        </patternFill>
      </fill>
    </dxf>
    <dxf>
      <fill>
        <patternFill>
          <bgColor indexed="51"/>
        </patternFill>
      </fill>
    </dxf>
    <dxf>
      <fill>
        <patternFill>
          <bgColor indexed="51"/>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indexed="51"/>
        </patternFill>
      </fill>
    </dxf>
    <dxf>
      <fill>
        <patternFill>
          <bgColor theme="8" tint="0.79998168889431442"/>
        </patternFill>
      </fill>
    </dxf>
    <dxf>
      <fill>
        <patternFill>
          <bgColor indexed="51"/>
        </patternFill>
      </fill>
    </dxf>
    <dxf>
      <fill>
        <patternFill>
          <bgColor theme="8" tint="0.79998168889431442"/>
        </patternFill>
      </fill>
    </dxf>
    <dxf>
      <fill>
        <patternFill>
          <bgColor indexed="51"/>
        </patternFill>
      </fill>
    </dxf>
    <dxf>
      <fill>
        <patternFill>
          <bgColor theme="8" tint="0.79998168889431442"/>
        </patternFill>
      </fill>
    </dxf>
    <dxf>
      <fill>
        <patternFill>
          <bgColor theme="8" tint="0.79998168889431442"/>
        </patternFill>
      </fill>
    </dxf>
    <dxf>
      <fill>
        <patternFill>
          <bgColor indexed="51"/>
        </patternFill>
      </fill>
    </dxf>
    <dxf>
      <fill>
        <patternFill>
          <bgColor theme="8" tint="0.79998168889431442"/>
        </patternFill>
      </fill>
    </dxf>
    <dxf>
      <fill>
        <patternFill>
          <bgColor indexed="51"/>
        </patternFill>
      </fill>
    </dxf>
    <dxf>
      <fill>
        <patternFill>
          <bgColor indexed="51"/>
        </patternFill>
      </fill>
    </dxf>
    <dxf>
      <fill>
        <patternFill>
          <bgColor indexed="51"/>
        </patternFill>
      </fill>
    </dxf>
    <dxf>
      <fill>
        <patternFill>
          <bgColor indexed="51"/>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indexed="51"/>
        </patternFill>
      </fill>
    </dxf>
    <dxf>
      <fill>
        <patternFill>
          <bgColor theme="8" tint="0.79998168889431442"/>
        </patternFill>
      </fill>
    </dxf>
    <dxf>
      <fill>
        <patternFill>
          <bgColor indexed="51"/>
        </patternFill>
      </fill>
    </dxf>
    <dxf>
      <fill>
        <patternFill>
          <bgColor theme="8" tint="0.79998168889431442"/>
        </patternFill>
      </fill>
    </dxf>
    <dxf>
      <fill>
        <patternFill>
          <bgColor indexed="51"/>
        </patternFill>
      </fill>
    </dxf>
    <dxf>
      <fill>
        <patternFill>
          <bgColor theme="8" tint="0.79998168889431442"/>
        </patternFill>
      </fill>
    </dxf>
    <dxf>
      <fill>
        <patternFill>
          <bgColor indexed="51"/>
        </patternFill>
      </fill>
    </dxf>
    <dxf>
      <fill>
        <patternFill>
          <bgColor theme="8" tint="0.79998168889431442"/>
        </patternFill>
      </fill>
    </dxf>
    <dxf>
      <fill>
        <patternFill>
          <bgColor indexed="51"/>
        </patternFill>
      </fill>
    </dxf>
    <dxf>
      <fill>
        <patternFill>
          <bgColor indexed="51"/>
        </patternFill>
      </fill>
    </dxf>
    <dxf>
      <fill>
        <patternFill>
          <bgColor theme="8" tint="0.79998168889431442"/>
        </patternFill>
      </fill>
    </dxf>
    <dxf>
      <fill>
        <patternFill>
          <bgColor indexed="51"/>
        </patternFill>
      </fill>
    </dxf>
    <dxf>
      <fill>
        <patternFill>
          <bgColor theme="8" tint="0.79998168889431442"/>
        </patternFill>
      </fill>
    </dxf>
    <dxf>
      <fill>
        <patternFill>
          <bgColor indexed="51"/>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indexed="51"/>
        </patternFill>
      </fill>
    </dxf>
    <dxf>
      <fill>
        <patternFill>
          <bgColor indexed="51"/>
        </patternFill>
      </fill>
    </dxf>
    <dxf>
      <fill>
        <patternFill>
          <bgColor theme="8" tint="0.79998168889431442"/>
        </patternFill>
      </fill>
    </dxf>
    <dxf>
      <fill>
        <patternFill>
          <bgColor indexed="51"/>
        </patternFill>
      </fill>
    </dxf>
    <dxf>
      <fill>
        <patternFill>
          <bgColor theme="8" tint="0.79998168889431442"/>
        </patternFill>
      </fill>
    </dxf>
    <dxf>
      <fill>
        <patternFill>
          <bgColor indexed="51"/>
        </patternFill>
      </fill>
    </dxf>
    <dxf>
      <fill>
        <patternFill>
          <bgColor theme="8" tint="0.79998168889431442"/>
        </patternFill>
      </fill>
    </dxf>
    <dxf>
      <fill>
        <patternFill>
          <bgColor indexed="51"/>
        </patternFill>
      </fill>
    </dxf>
    <dxf>
      <fill>
        <patternFill>
          <bgColor indexed="51"/>
        </patternFill>
      </fill>
    </dxf>
    <dxf>
      <fill>
        <patternFill>
          <bgColor theme="8" tint="0.79998168889431442"/>
        </patternFill>
      </fill>
    </dxf>
    <dxf>
      <fill>
        <patternFill>
          <bgColor indexed="51"/>
        </patternFill>
      </fill>
    </dxf>
    <dxf>
      <fill>
        <patternFill>
          <bgColor indexed="51"/>
        </patternFill>
      </fill>
    </dxf>
    <dxf>
      <fill>
        <patternFill>
          <bgColor theme="8" tint="0.79998168889431442"/>
        </patternFill>
      </fill>
    </dxf>
    <dxf>
      <fill>
        <patternFill>
          <bgColor indexed="51"/>
        </patternFill>
      </fill>
    </dxf>
    <dxf>
      <fill>
        <patternFill>
          <bgColor theme="8" tint="0.79998168889431442"/>
        </patternFill>
      </fill>
    </dxf>
    <dxf>
      <fill>
        <patternFill>
          <bgColor indexed="51"/>
        </patternFill>
      </fill>
    </dxf>
    <dxf>
      <fill>
        <patternFill>
          <bgColor indexed="51"/>
        </patternFill>
      </fill>
    </dxf>
    <dxf>
      <fill>
        <patternFill>
          <bgColor indexed="51"/>
        </patternFill>
      </fill>
    </dxf>
    <dxf>
      <fill>
        <patternFill>
          <bgColor indexed="51"/>
        </patternFill>
      </fill>
    </dxf>
    <dxf>
      <fill>
        <patternFill>
          <bgColor theme="8" tint="0.79998168889431442"/>
        </patternFill>
      </fill>
    </dxf>
    <dxf>
      <fill>
        <patternFill>
          <bgColor indexed="51"/>
        </patternFill>
      </fill>
    </dxf>
    <dxf>
      <fill>
        <patternFill>
          <bgColor theme="8" tint="0.79998168889431442"/>
        </patternFill>
      </fill>
    </dxf>
    <dxf>
      <fill>
        <patternFill>
          <bgColor indexed="51"/>
        </patternFill>
      </fill>
    </dxf>
    <dxf>
      <fill>
        <patternFill>
          <bgColor theme="8" tint="0.79998168889431442"/>
        </patternFill>
      </fill>
    </dxf>
    <dxf>
      <fill>
        <patternFill>
          <bgColor indexed="51"/>
        </patternFill>
      </fill>
    </dxf>
    <dxf>
      <fill>
        <patternFill>
          <bgColor indexed="51"/>
        </patternFill>
      </fill>
    </dxf>
    <dxf>
      <fill>
        <patternFill>
          <bgColor theme="8" tint="0.79998168889431442"/>
        </patternFill>
      </fill>
    </dxf>
    <dxf>
      <fill>
        <patternFill>
          <bgColor indexed="51"/>
        </patternFill>
      </fill>
    </dxf>
    <dxf>
      <fill>
        <patternFill>
          <bgColor indexed="51"/>
        </patternFill>
      </fill>
    </dxf>
    <dxf>
      <fill>
        <patternFill>
          <bgColor theme="8" tint="0.79998168889431442"/>
        </patternFill>
      </fill>
    </dxf>
    <dxf>
      <fill>
        <patternFill>
          <bgColor indexed="51"/>
        </patternFill>
      </fill>
    </dxf>
    <dxf>
      <fill>
        <patternFill>
          <bgColor indexed="51"/>
        </patternFill>
      </fill>
    </dxf>
    <dxf>
      <fill>
        <patternFill>
          <bgColor indexed="51"/>
        </patternFill>
      </fill>
    </dxf>
    <dxf>
      <fill>
        <patternFill>
          <bgColor indexed="51"/>
        </patternFill>
      </fill>
    </dxf>
    <dxf>
      <fill>
        <patternFill>
          <bgColor indexed="51"/>
        </patternFill>
      </fill>
    </dxf>
    <dxf>
      <fill>
        <patternFill>
          <bgColor indexed="51"/>
        </patternFill>
      </fill>
    </dxf>
    <dxf>
      <fill>
        <patternFill>
          <bgColor theme="8" tint="0.79998168889431442"/>
        </patternFill>
      </fill>
    </dxf>
    <dxf>
      <fill>
        <patternFill>
          <bgColor indexed="51"/>
        </patternFill>
      </fill>
    </dxf>
    <dxf>
      <fill>
        <patternFill>
          <bgColor indexed="51"/>
        </patternFill>
      </fill>
    </dxf>
    <dxf>
      <fill>
        <patternFill>
          <bgColor indexed="51"/>
        </patternFill>
      </fill>
    </dxf>
    <dxf>
      <fill>
        <patternFill>
          <bgColor indexed="51"/>
        </patternFill>
      </fill>
    </dxf>
    <dxf>
      <fill>
        <patternFill>
          <bgColor theme="8" tint="0.79998168889431442"/>
        </patternFill>
      </fill>
    </dxf>
    <dxf>
      <fill>
        <patternFill>
          <bgColor indexed="51"/>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indexed="51"/>
        </patternFill>
      </fill>
    </dxf>
    <dxf>
      <fill>
        <patternFill>
          <bgColor indexed="51"/>
        </patternFill>
      </fill>
    </dxf>
    <dxf>
      <fill>
        <patternFill>
          <bgColor indexed="51"/>
        </patternFill>
      </fill>
    </dxf>
    <dxf>
      <fill>
        <patternFill>
          <bgColor indexed="51"/>
        </patternFill>
      </fill>
    </dxf>
    <dxf>
      <fill>
        <patternFill>
          <bgColor indexed="51"/>
        </patternFill>
      </fill>
    </dxf>
    <dxf>
      <fill>
        <patternFill>
          <bgColor indexed="51"/>
        </patternFill>
      </fill>
    </dxf>
    <dxf>
      <fill>
        <patternFill>
          <bgColor indexed="51"/>
        </patternFill>
      </fill>
    </dxf>
    <dxf>
      <fill>
        <patternFill>
          <bgColor theme="8" tint="0.79998168889431442"/>
        </patternFill>
      </fill>
    </dxf>
    <dxf>
      <fill>
        <patternFill>
          <bgColor indexed="51"/>
        </patternFill>
      </fill>
    </dxf>
    <dxf>
      <fill>
        <patternFill>
          <bgColor indexed="51"/>
        </patternFill>
      </fill>
    </dxf>
    <dxf>
      <fill>
        <patternFill>
          <bgColor theme="8" tint="0.79998168889431442"/>
        </patternFill>
      </fill>
    </dxf>
    <dxf>
      <fill>
        <patternFill>
          <bgColor indexed="51"/>
        </patternFill>
      </fill>
    </dxf>
    <dxf>
      <fill>
        <patternFill>
          <bgColor indexed="51"/>
        </patternFill>
      </fill>
    </dxf>
    <dxf>
      <fill>
        <patternFill>
          <bgColor indexed="51"/>
        </patternFill>
      </fill>
    </dxf>
    <dxf>
      <fill>
        <patternFill>
          <bgColor theme="8" tint="0.79998168889431442"/>
        </patternFill>
      </fill>
    </dxf>
    <dxf>
      <fill>
        <patternFill>
          <bgColor indexed="51"/>
        </patternFill>
      </fill>
    </dxf>
    <dxf>
      <fill>
        <patternFill>
          <bgColor indexed="51"/>
        </patternFill>
      </fill>
    </dxf>
    <dxf>
      <fill>
        <patternFill>
          <bgColor indexed="51"/>
        </patternFill>
      </fill>
    </dxf>
    <dxf>
      <fill>
        <patternFill>
          <bgColor indexed="51"/>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indexed="51"/>
        </patternFill>
      </fill>
    </dxf>
    <dxf>
      <fill>
        <patternFill>
          <bgColor theme="8" tint="0.79998168889431442"/>
        </patternFill>
      </fill>
    </dxf>
    <dxf>
      <fill>
        <patternFill>
          <bgColor indexed="51"/>
        </patternFill>
      </fill>
    </dxf>
    <dxf>
      <fill>
        <patternFill>
          <bgColor theme="8" tint="0.79998168889431442"/>
        </patternFill>
      </fill>
    </dxf>
    <dxf>
      <fill>
        <patternFill>
          <bgColor indexed="45"/>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ill>
        <patternFill>
          <bgColor theme="8" tint="0.59996337778862885"/>
        </patternFill>
      </fill>
    </dxf>
    <dxf>
      <fill>
        <patternFill>
          <bgColor theme="8" tint="0.59996337778862885"/>
        </patternFill>
      </fill>
    </dxf>
    <dxf>
      <fill>
        <patternFill>
          <bgColor indexed="51"/>
        </patternFill>
      </fill>
    </dxf>
    <dxf>
      <fill>
        <patternFill>
          <bgColor indexed="51"/>
        </patternFill>
      </fill>
    </dxf>
    <dxf>
      <fill>
        <patternFill>
          <bgColor indexed="51"/>
        </patternFill>
      </fill>
    </dxf>
    <dxf>
      <fill>
        <patternFill>
          <bgColor theme="8" tint="0.59996337778862885"/>
        </patternFill>
      </fill>
    </dxf>
    <dxf>
      <fill>
        <patternFill>
          <bgColor indexed="51"/>
        </patternFill>
      </fill>
    </dxf>
    <dxf>
      <fill>
        <patternFill>
          <bgColor indexed="51"/>
        </patternFill>
      </fill>
    </dxf>
    <dxf>
      <fill>
        <patternFill>
          <bgColor theme="8" tint="0.59996337778862885"/>
        </patternFill>
      </fill>
    </dxf>
    <dxf>
      <fill>
        <patternFill>
          <bgColor indexed="51"/>
        </patternFill>
      </fill>
    </dxf>
    <dxf>
      <font>
        <condense val="0"/>
        <extend val="0"/>
        <color indexed="10"/>
      </font>
      <fill>
        <patternFill>
          <bgColor indexed="22"/>
        </patternFill>
      </fill>
    </dxf>
    <dxf>
      <font>
        <condense val="0"/>
        <extend val="0"/>
        <color indexed="10"/>
      </font>
      <fill>
        <patternFill>
          <bgColor indexed="2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condense val="0"/>
        <extend val="0"/>
        <color indexed="10"/>
      </font>
      <fill>
        <patternFill>
          <bgColor indexed="2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condense val="0"/>
        <extend val="0"/>
        <color indexed="10"/>
      </font>
      <fill>
        <patternFill>
          <bgColor indexed="2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b val="0"/>
        <i val="0"/>
        <color auto="1"/>
      </font>
      <fill>
        <patternFill>
          <bgColor rgb="FFCADCF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lor auto="1"/>
      </font>
      <fill>
        <patternFill>
          <bgColor rgb="FFE4E4E4"/>
        </patternFill>
      </fill>
    </dxf>
    <dxf>
      <font>
        <b/>
        <i val="0"/>
        <color rgb="FFFF0000"/>
      </font>
      <fill>
        <patternFill>
          <fgColor rgb="FF000000"/>
          <bgColor rgb="FFB4E3FA"/>
        </patternFill>
      </fill>
    </dxf>
    <dxf>
      <font>
        <condense val="0"/>
        <extend val="0"/>
        <color indexed="10"/>
      </font>
      <fill>
        <patternFill>
          <bgColor indexed="22"/>
        </patternFill>
      </fill>
    </dxf>
    <dxf>
      <font>
        <color auto="1"/>
      </font>
      <fill>
        <patternFill>
          <bgColor rgb="FFE4E4E4"/>
        </patternFill>
      </fill>
    </dxf>
    <dxf>
      <font>
        <b/>
        <i val="0"/>
        <color rgb="FFFF0000"/>
      </font>
      <fill>
        <patternFill>
          <fgColor rgb="FF000000"/>
          <bgColor rgb="FFB4E3FA"/>
        </patternFill>
      </fill>
    </dxf>
    <dxf>
      <font>
        <condense val="0"/>
        <extend val="0"/>
        <color indexed="10"/>
      </font>
      <fill>
        <patternFill>
          <bgColor indexed="22"/>
        </patternFill>
      </fill>
    </dxf>
    <dxf>
      <font>
        <color auto="1"/>
      </font>
      <fill>
        <patternFill>
          <bgColor rgb="FFE4E4E4"/>
        </patternFill>
      </fill>
    </dxf>
    <dxf>
      <font>
        <b/>
        <i val="0"/>
        <color rgb="FFFF0000"/>
      </font>
      <fill>
        <patternFill>
          <fgColor rgb="FF000000"/>
          <bgColor rgb="FFB4E3FA"/>
        </patternFill>
      </fill>
    </dxf>
    <dxf>
      <font>
        <condense val="0"/>
        <extend val="0"/>
        <color indexed="10"/>
      </font>
      <fill>
        <patternFill>
          <bgColor indexed="22"/>
        </patternFill>
      </fill>
    </dxf>
    <dxf>
      <font>
        <color auto="1"/>
      </font>
      <fill>
        <patternFill>
          <bgColor rgb="FFE4E4E4"/>
        </patternFill>
      </fill>
    </dxf>
    <dxf>
      <font>
        <b/>
        <i val="0"/>
        <color rgb="FFFF0000"/>
      </font>
      <fill>
        <patternFill>
          <fgColor rgb="FF000000"/>
          <bgColor rgb="FFB4E3FA"/>
        </patternFill>
      </fill>
    </dxf>
    <dxf>
      <font>
        <condense val="0"/>
        <extend val="0"/>
        <color indexed="10"/>
      </font>
      <fill>
        <patternFill>
          <bgColor indexed="22"/>
        </patternFill>
      </fill>
    </dxf>
    <dxf>
      <font>
        <color auto="1"/>
      </font>
      <fill>
        <patternFill>
          <bgColor rgb="FFE4E4E4"/>
        </patternFill>
      </fill>
    </dxf>
    <dxf>
      <font>
        <b/>
        <i val="0"/>
        <color rgb="FFFF0000"/>
      </font>
      <fill>
        <patternFill>
          <fgColor rgb="FF000000"/>
          <bgColor rgb="FFB4E3FA"/>
        </patternFill>
      </fill>
    </dxf>
    <dxf>
      <font>
        <condense val="0"/>
        <extend val="0"/>
        <color indexed="10"/>
      </font>
      <fill>
        <patternFill>
          <bgColor indexed="22"/>
        </patternFill>
      </fill>
    </dxf>
    <dxf>
      <font>
        <color auto="1"/>
      </font>
      <fill>
        <patternFill>
          <bgColor rgb="FFE4E4E4"/>
        </patternFill>
      </fill>
    </dxf>
    <dxf>
      <font>
        <b/>
        <i val="0"/>
        <color rgb="FFFF0000"/>
      </font>
      <fill>
        <patternFill>
          <fgColor rgb="FF000000"/>
          <bgColor rgb="FFB4E3FA"/>
        </patternFill>
      </fill>
    </dxf>
    <dxf>
      <font>
        <condense val="0"/>
        <extend val="0"/>
        <color indexed="10"/>
      </font>
      <fill>
        <patternFill>
          <bgColor indexed="22"/>
        </patternFill>
      </fill>
    </dxf>
    <dxf>
      <font>
        <color auto="1"/>
      </font>
      <fill>
        <patternFill>
          <bgColor rgb="FFE4E4E4"/>
        </patternFill>
      </fill>
    </dxf>
    <dxf>
      <font>
        <b/>
        <i val="0"/>
        <color rgb="FFFF0000"/>
      </font>
      <fill>
        <patternFill>
          <fgColor rgb="FF000000"/>
          <bgColor rgb="FFB4E3FA"/>
        </patternFill>
      </fill>
    </dxf>
    <dxf>
      <font>
        <condense val="0"/>
        <extend val="0"/>
        <color indexed="10"/>
      </font>
      <fill>
        <patternFill>
          <bgColor indexed="22"/>
        </patternFill>
      </fill>
    </dxf>
    <dxf>
      <font>
        <color auto="1"/>
      </font>
      <fill>
        <patternFill>
          <bgColor rgb="FFE4E4E4"/>
        </patternFill>
      </fill>
    </dxf>
    <dxf>
      <font>
        <b/>
        <i val="0"/>
        <color rgb="FFFF0000"/>
      </font>
      <fill>
        <patternFill>
          <fgColor rgb="FF000000"/>
          <bgColor rgb="FFB4E3FA"/>
        </patternFill>
      </fill>
    </dxf>
    <dxf>
      <font>
        <condense val="0"/>
        <extend val="0"/>
        <color indexed="10"/>
      </font>
      <fill>
        <patternFill>
          <bgColor indexed="22"/>
        </patternFill>
      </fill>
    </dxf>
    <dxf>
      <font>
        <color auto="1"/>
      </font>
      <fill>
        <patternFill>
          <bgColor rgb="FFE4E4E4"/>
        </patternFill>
      </fill>
    </dxf>
    <dxf>
      <font>
        <b/>
        <i val="0"/>
        <color rgb="FFFF0000"/>
      </font>
      <fill>
        <patternFill>
          <fgColor rgb="FF000000"/>
          <bgColor rgb="FFB4E3FA"/>
        </patternFill>
      </fill>
    </dxf>
    <dxf>
      <font>
        <condense val="0"/>
        <extend val="0"/>
        <color indexed="10"/>
      </font>
      <fill>
        <patternFill>
          <bgColor indexed="22"/>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lor auto="1"/>
      </font>
      <fill>
        <patternFill>
          <bgColor rgb="FFE4E4E4"/>
        </patternFill>
      </fill>
    </dxf>
    <dxf>
      <font>
        <b/>
        <i val="0"/>
        <color rgb="FFFF0000"/>
      </font>
      <fill>
        <patternFill>
          <fgColor rgb="FF000000"/>
          <bgColor rgb="FFB4E3FA"/>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lor auto="1"/>
      </font>
      <fill>
        <patternFill>
          <bgColor rgb="FFE4E4E4"/>
        </patternFill>
      </fill>
    </dxf>
    <dxf>
      <font>
        <b/>
        <i val="0"/>
        <color rgb="FFFF0000"/>
      </font>
      <fill>
        <patternFill>
          <fgColor rgb="FF000000"/>
          <bgColor rgb="FFB4E3FA"/>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lor auto="1"/>
      </font>
      <fill>
        <patternFill>
          <bgColor rgb="FFE4E4E4"/>
        </patternFill>
      </fill>
    </dxf>
    <dxf>
      <font>
        <b/>
        <i val="0"/>
        <color rgb="FFFF0000"/>
      </font>
      <fill>
        <patternFill>
          <fgColor indexed="64"/>
          <bgColor rgb="FFB4E3FA"/>
        </patternFill>
      </fill>
    </dxf>
    <dxf>
      <font>
        <condense val="0"/>
        <extend val="0"/>
        <color indexed="10"/>
      </font>
      <fill>
        <patternFill>
          <bgColor indexed="22"/>
        </patternFill>
      </fill>
    </dxf>
    <dxf>
      <fill>
        <patternFill>
          <bgColor rgb="FFEAEAEA"/>
        </patternFill>
      </fill>
    </dxf>
    <dxf>
      <fill>
        <patternFill>
          <bgColor indexed="10"/>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ont>
        <condense val="0"/>
        <extend val="0"/>
        <color indexed="10"/>
      </font>
      <fill>
        <patternFill>
          <bgColor indexed="22"/>
        </patternFill>
      </fill>
    </dxf>
    <dxf>
      <fill>
        <patternFill>
          <bgColor indexed="2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14A6AA"/>
      <rgbColor rgb="00FF00FF"/>
      <rgbColor rgb="0000FFFF"/>
      <rgbColor rgb="00800000"/>
      <rgbColor rgb="0099FF99"/>
      <rgbColor rgb="000000AA"/>
      <rgbColor rgb="00808000"/>
      <rgbColor rgb="00800080"/>
      <rgbColor rgb="00008080"/>
      <rgbColor rgb="00E8E8E8"/>
      <rgbColor rgb="00708090"/>
      <rgbColor rgb="009999FF"/>
      <rgbColor rgb="00993366"/>
      <rgbColor rgb="00FFFFCC"/>
      <rgbColor rgb="00CCFFFF"/>
      <rgbColor rgb="00660066"/>
      <rgbColor rgb="00FF8080"/>
      <rgbColor rgb="004FA7FF"/>
      <rgbColor rgb="00FFFF99"/>
      <rgbColor rgb="00000080"/>
      <rgbColor rgb="00FF00FF"/>
      <rgbColor rgb="00FFFF00"/>
      <rgbColor rgb="0000FFFF"/>
      <rgbColor rgb="00800080"/>
      <rgbColor rgb="00800000"/>
      <rgbColor rgb="0099FF99"/>
      <rgbColor rgb="000000FF"/>
      <rgbColor rgb="00FFFFD5"/>
      <rgbColor rgb="006699CC"/>
      <rgbColor rgb="000000AA"/>
      <rgbColor rgb="00B2B2B2"/>
      <rgbColor rgb="0068A8FE"/>
      <rgbColor rgb="00E5EBED"/>
      <rgbColor rgb="00CC99FF"/>
      <rgbColor rgb="006699CC"/>
      <rgbColor rgb="003366FF"/>
      <rgbColor rgb="0033CCCC"/>
      <rgbColor rgb="0099CC00"/>
      <rgbColor rgb="00CCECFF"/>
      <rgbColor rgb="00FF9900"/>
      <rgbColor rgb="00FF6600"/>
      <rgbColor rgb="00666699"/>
      <rgbColor rgb="00969696"/>
      <rgbColor rgb="00003366"/>
      <rgbColor rgb="00339966"/>
      <rgbColor rgb="00003300"/>
      <rgbColor rgb="00333300"/>
      <rgbColor rgb="00993300"/>
      <rgbColor rgb="00993366"/>
      <rgbColor rgb="003D3DB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Button" lockText="1"/>
</file>

<file path=xl/ctrlProps/ctrlProp19.xml><?xml version="1.0" encoding="utf-8"?>
<formControlPr xmlns="http://schemas.microsoft.com/office/spreadsheetml/2009/9/main" objectType="Button" lockText="1"/>
</file>

<file path=xl/ctrlProps/ctrlProp20.xml><?xml version="1.0" encoding="utf-8"?>
<formControlPr xmlns="http://schemas.microsoft.com/office/spreadsheetml/2009/9/main" objectType="Button" lockText="1"/>
</file>

<file path=xl/ctrlProps/ctrlProp21.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676275</xdr:colOff>
      <xdr:row>1</xdr:row>
      <xdr:rowOff>66675</xdr:rowOff>
    </xdr:to>
    <xdr:sp macro="" textlink="">
      <xdr:nvSpPr>
        <xdr:cNvPr id="62850325" name="Rectangle 3">
          <a:extLst>
            <a:ext uri="{FF2B5EF4-FFF2-40B4-BE49-F238E27FC236}">
              <a16:creationId xmlns:a16="http://schemas.microsoft.com/office/drawing/2014/main" id="{7DCB18AE-3B2E-4281-A114-107462BA70AF}"/>
            </a:ext>
          </a:extLst>
        </xdr:cNvPr>
        <xdr:cNvSpPr>
          <a:spLocks noChangeArrowheads="1"/>
        </xdr:cNvSpPr>
      </xdr:nvSpPr>
      <xdr:spPr bwMode="auto">
        <a:xfrm>
          <a:off x="0" y="0"/>
          <a:ext cx="1114425" cy="46672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0</xdr:colOff>
      <xdr:row>2</xdr:row>
      <xdr:rowOff>0</xdr:rowOff>
    </xdr:from>
    <xdr:to>
      <xdr:col>26</xdr:col>
      <xdr:colOff>143201</xdr:colOff>
      <xdr:row>3</xdr:row>
      <xdr:rowOff>0</xdr:rowOff>
    </xdr:to>
    <xdr:sp macro="" textlink="">
      <xdr:nvSpPr>
        <xdr:cNvPr id="4" name="Rectangle 3">
          <a:extLst>
            <a:ext uri="{FF2B5EF4-FFF2-40B4-BE49-F238E27FC236}">
              <a16:creationId xmlns:a16="http://schemas.microsoft.com/office/drawing/2014/main" id="{9A0C9D77-9BFD-4C10-8677-62282F1DB1AD}"/>
            </a:ext>
          </a:extLst>
        </xdr:cNvPr>
        <xdr:cNvSpPr/>
      </xdr:nvSpPr>
      <xdr:spPr bwMode="auto">
        <a:xfrm>
          <a:off x="15864840" y="396240"/>
          <a:ext cx="3451860" cy="350520"/>
        </a:xfrm>
        <a:prstGeom prst="rect">
          <a:avLst/>
        </a:prstGeom>
        <a:solidFill>
          <a:schemeClr val="accent5">
            <a:lumMod val="20000"/>
            <a:lumOff val="80000"/>
          </a:schemeClr>
        </a:solidFill>
        <a:ln w="9525" cap="flat" cmpd="sng" algn="ctr">
          <a:solidFill>
            <a:srgbClr val="000000"/>
          </a:solidFill>
          <a:prstDash val="solid"/>
          <a:round/>
          <a:headEnd type="none" w="med" len="med"/>
          <a:tailEnd type="none" w="med" len="med"/>
        </a:ln>
        <a:effectLst/>
      </xdr:spPr>
      <xdr:txBody>
        <a:bodyPr vertOverflow="clip" wrap="square" lIns="36000" tIns="36000" rIns="36000" bIns="36000" rtlCol="0" anchor="ctr" upright="1"/>
        <a:lstStyle/>
        <a:p>
          <a:pPr algn="ctr" rtl="0">
            <a:defRPr sz="1000"/>
          </a:pPr>
          <a:r>
            <a:rPr lang="en-US" sz="1100" b="0" i="0" u="none" strike="noStrike" baseline="0">
              <a:solidFill>
                <a:srgbClr val="003366"/>
              </a:solidFill>
              <a:latin typeface="Calibri"/>
              <a:ea typeface="Calibri"/>
              <a:cs typeface="Calibri"/>
            </a:rPr>
            <a:t>Click to protect all sheets and save the file</a:t>
          </a:r>
        </a:p>
      </xdr:txBody>
    </xdr:sp>
    <xdr:clientData/>
  </xdr:twoCellAnchor>
  <xdr:twoCellAnchor>
    <xdr:from>
      <xdr:col>21</xdr:col>
      <xdr:colOff>0</xdr:colOff>
      <xdr:row>3</xdr:row>
      <xdr:rowOff>75565</xdr:rowOff>
    </xdr:from>
    <xdr:to>
      <xdr:col>26</xdr:col>
      <xdr:colOff>143204</xdr:colOff>
      <xdr:row>4</xdr:row>
      <xdr:rowOff>37072</xdr:rowOff>
    </xdr:to>
    <xdr:sp macro="" textlink="">
      <xdr:nvSpPr>
        <xdr:cNvPr id="5" name="Rectangle 4">
          <a:extLst>
            <a:ext uri="{FF2B5EF4-FFF2-40B4-BE49-F238E27FC236}">
              <a16:creationId xmlns:a16="http://schemas.microsoft.com/office/drawing/2014/main" id="{471160ED-065C-4D31-BB01-8C755D87B2D4}"/>
            </a:ext>
          </a:extLst>
        </xdr:cNvPr>
        <xdr:cNvSpPr/>
      </xdr:nvSpPr>
      <xdr:spPr bwMode="auto">
        <a:xfrm>
          <a:off x="15554325" y="647700"/>
          <a:ext cx="3346572" cy="228563"/>
        </a:xfrm>
        <a:prstGeom prst="rect">
          <a:avLst/>
        </a:prstGeom>
        <a:solidFill>
          <a:schemeClr val="accent5">
            <a:lumMod val="20000"/>
            <a:lumOff val="80000"/>
          </a:schemeClr>
        </a:solidFill>
        <a:ln w="9525" cap="flat" cmpd="sng" algn="ctr">
          <a:solidFill>
            <a:srgbClr val="000000"/>
          </a:solidFill>
          <a:prstDash val="solid"/>
          <a:round/>
          <a:headEnd type="none" w="med" len="med"/>
          <a:tailEnd type="none" w="med" len="med"/>
        </a:ln>
        <a:effectLst/>
      </xdr:spPr>
      <xdr:txBody>
        <a:bodyPr vertOverflow="clip" wrap="square" lIns="36000" tIns="36000" rIns="36000" bIns="36000" rtlCol="0" anchor="ctr" upright="1"/>
        <a:lstStyle/>
        <a:p>
          <a:pPr algn="ctr" rtl="0">
            <a:defRPr sz="1000"/>
          </a:pPr>
          <a:r>
            <a:rPr lang="en-US" sz="1100" b="0" i="0" u="none" strike="noStrike" baseline="0">
              <a:solidFill>
                <a:srgbClr val="003366"/>
              </a:solidFill>
              <a:latin typeface="Calibri"/>
              <a:ea typeface="Calibri"/>
              <a:cs typeface="Calibri"/>
            </a:rPr>
            <a:t>Click to save the file to C: Drive (as FILE7.xls)</a:t>
          </a:r>
        </a:p>
      </xdr:txBody>
    </xdr:sp>
    <xdr:clientData/>
  </xdr:twoCellAnchor>
  <xdr:twoCellAnchor>
    <xdr:from>
      <xdr:col>20</xdr:col>
      <xdr:colOff>584200</xdr:colOff>
      <xdr:row>4</xdr:row>
      <xdr:rowOff>262890</xdr:rowOff>
    </xdr:from>
    <xdr:to>
      <xdr:col>26</xdr:col>
      <xdr:colOff>34805</xdr:colOff>
      <xdr:row>5</xdr:row>
      <xdr:rowOff>267809</xdr:rowOff>
    </xdr:to>
    <xdr:sp macro="" textlink="">
      <xdr:nvSpPr>
        <xdr:cNvPr id="7" name="Rectangle 6">
          <a:extLst>
            <a:ext uri="{FF2B5EF4-FFF2-40B4-BE49-F238E27FC236}">
              <a16:creationId xmlns:a16="http://schemas.microsoft.com/office/drawing/2014/main" id="{9C229CAA-D289-4F08-B933-E924BE2A22F2}"/>
            </a:ext>
          </a:extLst>
        </xdr:cNvPr>
        <xdr:cNvSpPr/>
      </xdr:nvSpPr>
      <xdr:spPr bwMode="auto">
        <a:xfrm>
          <a:off x="15535275" y="1476375"/>
          <a:ext cx="3346572" cy="306705"/>
        </a:xfrm>
        <a:prstGeom prst="rect">
          <a:avLst/>
        </a:prstGeom>
        <a:solidFill>
          <a:schemeClr val="accent5">
            <a:lumMod val="20000"/>
            <a:lumOff val="80000"/>
          </a:schemeClr>
        </a:solidFill>
        <a:ln w="9525" cap="flat" cmpd="sng" algn="ctr">
          <a:solidFill>
            <a:srgbClr val="000000"/>
          </a:solidFill>
          <a:prstDash val="solid"/>
          <a:round/>
          <a:headEnd type="none" w="med" len="med"/>
          <a:tailEnd type="none" w="med" len="med"/>
        </a:ln>
        <a:effectLst/>
      </xdr:spPr>
      <xdr:txBody>
        <a:bodyPr vertOverflow="clip" wrap="square" lIns="36000" tIns="36000" rIns="36000" bIns="36000" rtlCol="0" anchor="ctr" upright="1"/>
        <a:lstStyle/>
        <a:p>
          <a:pPr algn="ctr" rtl="0">
            <a:defRPr sz="1000"/>
          </a:pPr>
          <a:r>
            <a:rPr lang="en-US" sz="1100" b="0" i="0" u="none" strike="noStrike" baseline="0">
              <a:solidFill>
                <a:srgbClr val="003366"/>
              </a:solidFill>
              <a:latin typeface="Calibri"/>
              <a:ea typeface="Calibri"/>
              <a:cs typeface="Calibri"/>
            </a:rPr>
            <a:t>Click to save the file to X: Drive (as FILE7.xls)</a:t>
          </a:r>
        </a:p>
      </xdr:txBody>
    </xdr:sp>
    <xdr:clientData/>
  </xdr:twoCellAnchor>
  <mc:AlternateContent xmlns:mc="http://schemas.openxmlformats.org/markup-compatibility/2006">
    <mc:Choice xmlns:a14="http://schemas.microsoft.com/office/drawing/2010/main" Requires="a14">
      <xdr:twoCellAnchor editAs="absolute">
        <xdr:from>
          <xdr:col>10</xdr:col>
          <xdr:colOff>1228725</xdr:colOff>
          <xdr:row>0</xdr:row>
          <xdr:rowOff>123825</xdr:rowOff>
        </xdr:from>
        <xdr:to>
          <xdr:col>12</xdr:col>
          <xdr:colOff>152400</xdr:colOff>
          <xdr:row>1</xdr:row>
          <xdr:rowOff>28575</xdr:rowOff>
        </xdr:to>
        <xdr:sp macro="" textlink="">
          <xdr:nvSpPr>
            <xdr:cNvPr id="13314" name="Button 1026" hidden="1">
              <a:extLst>
                <a:ext uri="{63B3BB69-23CF-44E3-9099-C40C66FF867C}">
                  <a14:compatExt spid="_x0000_s13314"/>
                </a:ext>
                <a:ext uri="{FF2B5EF4-FFF2-40B4-BE49-F238E27FC236}">
                  <a16:creationId xmlns:a16="http://schemas.microsoft.com/office/drawing/2014/main" id="{B36DE3B8-8BF6-4C5D-9A61-8CF69B4D16C2}"/>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900" b="1" i="0" u="none" strike="noStrike" baseline="0">
                  <a:solidFill>
                    <a:srgbClr val="6699CC"/>
                  </a:solidFill>
                  <a:latin typeface="Arial"/>
                  <a:cs typeface="Arial"/>
                </a:rPr>
                <a:t>INITIALISE REPORT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10</xdr:col>
          <xdr:colOff>1247775</xdr:colOff>
          <xdr:row>1</xdr:row>
          <xdr:rowOff>114300</xdr:rowOff>
        </xdr:from>
        <xdr:to>
          <xdr:col>12</xdr:col>
          <xdr:colOff>171450</xdr:colOff>
          <xdr:row>2</xdr:row>
          <xdr:rowOff>38100</xdr:rowOff>
        </xdr:to>
        <xdr:sp macro="" textlink="">
          <xdr:nvSpPr>
            <xdr:cNvPr id="13316" name="Button 1028" hidden="1">
              <a:extLst>
                <a:ext uri="{63B3BB69-23CF-44E3-9099-C40C66FF867C}">
                  <a14:compatExt spid="_x0000_s13316"/>
                </a:ext>
                <a:ext uri="{FF2B5EF4-FFF2-40B4-BE49-F238E27FC236}">
                  <a16:creationId xmlns:a16="http://schemas.microsoft.com/office/drawing/2014/main" id="{0CDD67F6-43BE-48FE-92E0-F87912652283}"/>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900" b="1" i="0" u="none" strike="noStrike" baseline="0">
                  <a:solidFill>
                    <a:srgbClr val="FF0000"/>
                  </a:solidFill>
                  <a:latin typeface="Arial"/>
                  <a:cs typeface="Arial"/>
                </a:rPr>
                <a:t>PRINT REPORT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76</xdr:col>
          <xdr:colOff>295275</xdr:colOff>
          <xdr:row>2</xdr:row>
          <xdr:rowOff>19050</xdr:rowOff>
        </xdr:from>
        <xdr:to>
          <xdr:col>79</xdr:col>
          <xdr:colOff>457200</xdr:colOff>
          <xdr:row>3</xdr:row>
          <xdr:rowOff>0</xdr:rowOff>
        </xdr:to>
        <xdr:sp macro="" textlink="">
          <xdr:nvSpPr>
            <xdr:cNvPr id="13600" name="Button 1312" hidden="1">
              <a:extLst>
                <a:ext uri="{63B3BB69-23CF-44E3-9099-C40C66FF867C}">
                  <a14:compatExt spid="_x0000_s13600"/>
                </a:ext>
                <a:ext uri="{FF2B5EF4-FFF2-40B4-BE49-F238E27FC236}">
                  <a16:creationId xmlns:a16="http://schemas.microsoft.com/office/drawing/2014/main" id="{72283567-70A7-42DD-BA90-62D3CB4E33D9}"/>
                </a:ext>
              </a:extLst>
            </xdr:cNvPr>
            <xdr:cNvSpPr/>
          </xdr:nvSpPr>
          <xdr:spPr bwMode="auto">
            <a:xfrm>
              <a:off x="0" y="0"/>
              <a:ext cx="0" cy="0"/>
            </a:xfrm>
            <a:prstGeom prst="rect">
              <a:avLst/>
            </a:prstGeom>
            <a:noFill/>
            <a:ln w="9525">
              <a:miter lim="800000"/>
              <a:headEnd/>
              <a:tailEnd/>
            </a:ln>
            <a:effectLst/>
            <a:extLst>
              <a:ext uri="{53640926-AAD7-44D8-BBD7-CCE9431645EC}">
                <a14:shadowObscured val="1"/>
              </a:ext>
            </a:extLst>
          </xdr:spPr>
          <xdr:txBody>
            <a:bodyPr vertOverflow="clip" wrap="square" lIns="36576" tIns="22860" rIns="36576" bIns="22860" anchor="ctr" upright="1"/>
            <a:lstStyle/>
            <a:p>
              <a:pPr algn="ctr" rtl="0">
                <a:defRPr sz="1000"/>
              </a:pPr>
              <a:r>
                <a:rPr lang="en-US" sz="1100" b="1" i="0" u="none" strike="noStrike" baseline="0">
                  <a:solidFill>
                    <a:srgbClr val="FF0000"/>
                  </a:solidFill>
                  <a:latin typeface="Verdana"/>
                  <a:ea typeface="Verdana"/>
                </a:rPr>
                <a:t>FILE1 TO X: DRIVE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17</xdr:col>
          <xdr:colOff>314325</xdr:colOff>
          <xdr:row>3</xdr:row>
          <xdr:rowOff>66675</xdr:rowOff>
        </xdr:from>
        <xdr:to>
          <xdr:col>20</xdr:col>
          <xdr:colOff>476250</xdr:colOff>
          <xdr:row>4</xdr:row>
          <xdr:rowOff>0</xdr:rowOff>
        </xdr:to>
        <xdr:sp macro="" textlink="">
          <xdr:nvSpPr>
            <xdr:cNvPr id="33298" name="Button 4626" hidden="1">
              <a:extLst>
                <a:ext uri="{63B3BB69-23CF-44E3-9099-C40C66FF867C}">
                  <a14:compatExt spid="_x0000_s33298"/>
                </a:ext>
                <a:ext uri="{FF2B5EF4-FFF2-40B4-BE49-F238E27FC236}">
                  <a16:creationId xmlns:a16="http://schemas.microsoft.com/office/drawing/2014/main" id="{35F447A3-D81B-4AC1-9C07-A67C5AA2754F}"/>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en-US" sz="1100" b="1" i="0" u="none" strike="noStrike" baseline="0">
                  <a:solidFill>
                    <a:srgbClr val="0000FF"/>
                  </a:solidFill>
                  <a:latin typeface="Verdana"/>
                  <a:ea typeface="Verdana"/>
                </a:rPr>
                <a:t>FILE7 TO C: DRIVE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190500</xdr:colOff>
          <xdr:row>2</xdr:row>
          <xdr:rowOff>0</xdr:rowOff>
        </xdr:from>
        <xdr:to>
          <xdr:col>20</xdr:col>
          <xdr:colOff>476250</xdr:colOff>
          <xdr:row>3</xdr:row>
          <xdr:rowOff>0</xdr:rowOff>
        </xdr:to>
        <xdr:sp macro="" textlink="">
          <xdr:nvSpPr>
            <xdr:cNvPr id="33460" name="Button 4788" hidden="1">
              <a:extLst>
                <a:ext uri="{63B3BB69-23CF-44E3-9099-C40C66FF867C}">
                  <a14:compatExt spid="_x0000_s33460"/>
                </a:ext>
                <a:ext uri="{FF2B5EF4-FFF2-40B4-BE49-F238E27FC236}">
                  <a16:creationId xmlns:a16="http://schemas.microsoft.com/office/drawing/2014/main" id="{FE59C6BA-028F-49FA-8737-43154461AAFC}"/>
                </a:ext>
              </a:extLst>
            </xdr:cNvPr>
            <xdr:cNvSpPr/>
          </xdr:nvSpPr>
          <xdr:spPr bwMode="auto">
            <a:xfrm>
              <a:off x="0" y="0"/>
              <a:ext cx="0" cy="0"/>
            </a:xfrm>
            <a:prstGeom prst="rect">
              <a:avLst/>
            </a:prstGeom>
            <a:noFill/>
            <a:ln w="9525">
              <a:miter lim="800000"/>
              <a:headEnd/>
              <a:tailEnd/>
            </a:ln>
          </xdr:spPr>
          <xdr:txBody>
            <a:bodyPr vertOverflow="clip" wrap="square" lIns="36000" tIns="36000" rIns="36000" bIns="36000" anchor="ctr" upright="1"/>
            <a:lstStyle/>
            <a:p>
              <a:pPr algn="ctr" rtl="0">
                <a:defRPr sz="1000"/>
              </a:pPr>
              <a:r>
                <a:rPr lang="en-US" sz="1000" b="1" i="0" u="none" strike="noStrike" baseline="0">
                  <a:solidFill>
                    <a:srgbClr val="6699CC"/>
                  </a:solidFill>
                  <a:latin typeface="Verdana"/>
                  <a:ea typeface="Verdana"/>
                </a:rPr>
                <a:t>PROTECT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17</xdr:col>
          <xdr:colOff>238125</xdr:colOff>
          <xdr:row>4</xdr:row>
          <xdr:rowOff>257175</xdr:rowOff>
        </xdr:from>
        <xdr:to>
          <xdr:col>20</xdr:col>
          <xdr:colOff>400050</xdr:colOff>
          <xdr:row>5</xdr:row>
          <xdr:rowOff>257175</xdr:rowOff>
        </xdr:to>
        <xdr:sp macro="" textlink="">
          <xdr:nvSpPr>
            <xdr:cNvPr id="475493" name="Button 33125" hidden="1">
              <a:extLst>
                <a:ext uri="{63B3BB69-23CF-44E3-9099-C40C66FF867C}">
                  <a14:compatExt spid="_x0000_s475493"/>
                </a:ext>
                <a:ext uri="{FF2B5EF4-FFF2-40B4-BE49-F238E27FC236}">
                  <a16:creationId xmlns:a16="http://schemas.microsoft.com/office/drawing/2014/main" id="{EC55A3BC-54B7-47D6-BBC7-1BA4E8C5C3DD}"/>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en-US" sz="1100" b="1" i="0" u="none" strike="noStrike" baseline="0">
                  <a:solidFill>
                    <a:srgbClr val="FF0000"/>
                  </a:solidFill>
                  <a:latin typeface="Verdana"/>
                  <a:ea typeface="Verdana"/>
                </a:rPr>
                <a:t>FILE 7 TO X: DRIVE</a:t>
              </a:r>
            </a:p>
          </xdr:txBody>
        </xdr:sp>
        <xdr:clientData fPrintsWithSheet="0"/>
      </xdr:twoCellAnchor>
    </mc:Choice>
    <mc:Fallback/>
  </mc:AlternateContent>
  <xdr:twoCellAnchor editAs="oneCell">
    <xdr:from>
      <xdr:col>0</xdr:col>
      <xdr:colOff>304800</xdr:colOff>
      <xdr:row>0</xdr:row>
      <xdr:rowOff>66675</xdr:rowOff>
    </xdr:from>
    <xdr:to>
      <xdr:col>2</xdr:col>
      <xdr:colOff>495300</xdr:colOff>
      <xdr:row>1</xdr:row>
      <xdr:rowOff>323850</xdr:rowOff>
    </xdr:to>
    <xdr:pic>
      <xdr:nvPicPr>
        <xdr:cNvPr id="62850329" name="Picture 18" descr="A white text on a black background&#10;&#10;AI-generated content may be incorrect.">
          <a:extLst>
            <a:ext uri="{FF2B5EF4-FFF2-40B4-BE49-F238E27FC236}">
              <a16:creationId xmlns:a16="http://schemas.microsoft.com/office/drawing/2014/main" id="{9AA93057-E079-4D03-A510-3E01CC6D61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 y="66675"/>
          <a:ext cx="2152650" cy="657225"/>
        </a:xfrm>
        <a:prstGeom prst="rect">
          <a:avLst/>
        </a:prstGeom>
        <a:solidFill>
          <a:srgbClr val="0070C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361552</xdr:colOff>
      <xdr:row>0</xdr:row>
      <xdr:rowOff>66675</xdr:rowOff>
    </xdr:from>
    <xdr:to>
      <xdr:col>9</xdr:col>
      <xdr:colOff>508720</xdr:colOff>
      <xdr:row>0</xdr:row>
      <xdr:rowOff>307975</xdr:rowOff>
    </xdr:to>
    <xdr:sp macro="" textlink="">
      <xdr:nvSpPr>
        <xdr:cNvPr id="6237" name="Text Box 93">
          <a:extLst>
            <a:ext uri="{FF2B5EF4-FFF2-40B4-BE49-F238E27FC236}">
              <a16:creationId xmlns:a16="http://schemas.microsoft.com/office/drawing/2014/main" id="{77124627-5A7D-4E8E-922C-2971097625A9}"/>
            </a:ext>
          </a:extLst>
        </xdr:cNvPr>
        <xdr:cNvSpPr txBox="1">
          <a:spLocks noChangeArrowheads="1"/>
        </xdr:cNvSpPr>
      </xdr:nvSpPr>
      <xdr:spPr bwMode="auto">
        <a:xfrm>
          <a:off x="4710758" y="66675"/>
          <a:ext cx="2631392" cy="247650"/>
        </a:xfrm>
        <a:prstGeom prst="rect">
          <a:avLst/>
        </a:prstGeom>
        <a:solidFill>
          <a:srgbClr val="E5EBED"/>
        </a:solidFill>
        <a:ln w="9525">
          <a:solidFill>
            <a:srgbClr val="000000"/>
          </a:solidFill>
          <a:miter lim="800000"/>
          <a:headEnd/>
          <a:tailEnd/>
        </a:ln>
      </xdr:spPr>
      <xdr:txBody>
        <a:bodyPr vertOverflow="clip" wrap="square" lIns="36000" tIns="36000" rIns="36000" bIns="36000" anchor="ctr" upright="1"/>
        <a:lstStyle/>
        <a:p>
          <a:pPr algn="ctr" rtl="1">
            <a:defRPr sz="1000"/>
          </a:pPr>
          <a:r>
            <a:rPr lang="en-US" sz="1000" b="1" i="0" strike="noStrike">
              <a:solidFill>
                <a:srgbClr val="FF0000"/>
              </a:solidFill>
              <a:latin typeface="Verdana"/>
            </a:rPr>
            <a:t>PLEASE DO NOT COPY AND PASTE</a:t>
          </a:r>
        </a:p>
      </xdr:txBody>
    </xdr:sp>
    <xdr:clientData fPrintsWithSheet="0"/>
  </xdr:twoCellAnchor>
  <xdr:twoCellAnchor editAs="absolute">
    <xdr:from>
      <xdr:col>10</xdr:col>
      <xdr:colOff>166424</xdr:colOff>
      <xdr:row>0</xdr:row>
      <xdr:rowOff>66675</xdr:rowOff>
    </xdr:from>
    <xdr:to>
      <xdr:col>16</xdr:col>
      <xdr:colOff>459261</xdr:colOff>
      <xdr:row>0</xdr:row>
      <xdr:rowOff>307975</xdr:rowOff>
    </xdr:to>
    <xdr:sp macro="" textlink="">
      <xdr:nvSpPr>
        <xdr:cNvPr id="6560" name="Text Box 416">
          <a:extLst>
            <a:ext uri="{FF2B5EF4-FFF2-40B4-BE49-F238E27FC236}">
              <a16:creationId xmlns:a16="http://schemas.microsoft.com/office/drawing/2014/main" id="{6C0500DF-A890-49EB-AF02-E7621146914A}"/>
            </a:ext>
          </a:extLst>
        </xdr:cNvPr>
        <xdr:cNvSpPr txBox="1">
          <a:spLocks noChangeArrowheads="1"/>
        </xdr:cNvSpPr>
      </xdr:nvSpPr>
      <xdr:spPr bwMode="auto">
        <a:xfrm>
          <a:off x="7717663" y="66675"/>
          <a:ext cx="4151276" cy="247650"/>
        </a:xfrm>
        <a:prstGeom prst="rect">
          <a:avLst/>
        </a:prstGeom>
        <a:solidFill>
          <a:srgbClr val="E5EBED"/>
        </a:solidFill>
        <a:ln w="9525">
          <a:solidFill>
            <a:srgbClr val="000000"/>
          </a:solidFill>
          <a:miter lim="800000"/>
          <a:headEnd/>
          <a:tailEnd/>
        </a:ln>
      </xdr:spPr>
      <xdr:txBody>
        <a:bodyPr vertOverflow="clip" wrap="square" lIns="36000" tIns="36000" rIns="36000" bIns="36000" anchor="ctr" upright="1"/>
        <a:lstStyle/>
        <a:p>
          <a:pPr algn="ctr" rtl="1">
            <a:defRPr sz="1000"/>
          </a:pPr>
          <a:r>
            <a:rPr lang="en-US" sz="1000" b="1" i="0" strike="noStrike">
              <a:solidFill>
                <a:srgbClr val="FF0000"/>
              </a:solidFill>
              <a:latin typeface="Verdana"/>
            </a:rPr>
            <a:t>DO NOT LEAVE BLANK LINES BETWEEN WELL TEST DATA</a:t>
          </a:r>
        </a:p>
      </xdr:txBody>
    </xdr:sp>
    <xdr:clientData fPrintsWithSheet="0"/>
  </xdr:twoCellAnchor>
</xdr:wsDr>
</file>

<file path=xl/drawings/drawing3.xml><?xml version="1.0" encoding="utf-8"?>
<xdr:wsDr xmlns:xdr="http://schemas.openxmlformats.org/drawingml/2006/spreadsheetDrawing" xmlns:a="http://schemas.openxmlformats.org/drawingml/2006/main">
  <xdr:twoCellAnchor>
    <xdr:from>
      <xdr:col>93</xdr:col>
      <xdr:colOff>74930</xdr:colOff>
      <xdr:row>3</xdr:row>
      <xdr:rowOff>0</xdr:rowOff>
    </xdr:from>
    <xdr:to>
      <xdr:col>97</xdr:col>
      <xdr:colOff>114493</xdr:colOff>
      <xdr:row>5</xdr:row>
      <xdr:rowOff>76200</xdr:rowOff>
    </xdr:to>
    <xdr:sp macro="" textlink="">
      <xdr:nvSpPr>
        <xdr:cNvPr id="4833" name="Text Box 737">
          <a:extLst>
            <a:ext uri="{FF2B5EF4-FFF2-40B4-BE49-F238E27FC236}">
              <a16:creationId xmlns:a16="http://schemas.microsoft.com/office/drawing/2014/main" id="{C65C9B1D-86FA-49B9-8602-C3F3C4B566DE}"/>
            </a:ext>
          </a:extLst>
        </xdr:cNvPr>
        <xdr:cNvSpPr txBox="1">
          <a:spLocks noChangeArrowheads="1"/>
        </xdr:cNvSpPr>
      </xdr:nvSpPr>
      <xdr:spPr bwMode="auto">
        <a:xfrm>
          <a:off x="55759350" y="952500"/>
          <a:ext cx="1733550" cy="495300"/>
        </a:xfrm>
        <a:prstGeom prst="rect">
          <a:avLst/>
        </a:prstGeom>
        <a:solidFill>
          <a:srgbClr val="CCECFF"/>
        </a:solidFill>
        <a:ln w="9525">
          <a:noFill/>
          <a:miter lim="800000"/>
          <a:headEnd/>
          <a:tailEnd/>
        </a:ln>
      </xdr:spPr>
      <xdr:txBody>
        <a:bodyPr vertOverflow="clip" wrap="square" lIns="91440" tIns="91440" rIns="91440" bIns="91440" anchor="t" upright="1"/>
        <a:lstStyle/>
        <a:p>
          <a:pPr algn="ctr" rtl="1">
            <a:lnSpc>
              <a:spcPts val="600"/>
            </a:lnSpc>
            <a:defRPr sz="1000"/>
          </a:pPr>
          <a:r>
            <a:rPr lang="en-US" sz="1000" b="1" i="0" strike="noStrike">
              <a:solidFill>
                <a:srgbClr val="000000"/>
              </a:solidFill>
              <a:latin typeface="Arial"/>
              <a:cs typeface="Arial"/>
            </a:rPr>
            <a:t>PASTE THE </a:t>
          </a:r>
          <a:r>
            <a:rPr lang="en-US" sz="1000" b="1" i="0" strike="noStrike">
              <a:solidFill>
                <a:srgbClr val="0000FF"/>
              </a:solidFill>
              <a:latin typeface="Arial"/>
              <a:cs typeface="Arial"/>
            </a:rPr>
            <a:t>BLUE</a:t>
          </a:r>
          <a:r>
            <a:rPr lang="en-US" sz="1000" b="1" i="0" strike="noStrike">
              <a:solidFill>
                <a:srgbClr val="000000"/>
              </a:solidFill>
              <a:latin typeface="Arial"/>
              <a:cs typeface="Arial"/>
            </a:rPr>
            <a:t> SHADED CELLS TO THE DATA UPLOADER</a:t>
          </a:r>
        </a:p>
      </xdr:txBody>
    </xdr:sp>
    <xdr:clientData fPrintsWithSheet="0"/>
  </xdr:twoCellAnchor>
  <xdr:twoCellAnchor>
    <xdr:from>
      <xdr:col>33</xdr:col>
      <xdr:colOff>19050</xdr:colOff>
      <xdr:row>0</xdr:row>
      <xdr:rowOff>66675</xdr:rowOff>
    </xdr:from>
    <xdr:to>
      <xdr:col>34</xdr:col>
      <xdr:colOff>0</xdr:colOff>
      <xdr:row>0</xdr:row>
      <xdr:rowOff>266700</xdr:rowOff>
    </xdr:to>
    <xdr:sp macro="" textlink="">
      <xdr:nvSpPr>
        <xdr:cNvPr id="62852264" name="Rectangle 3326">
          <a:extLst>
            <a:ext uri="{FF2B5EF4-FFF2-40B4-BE49-F238E27FC236}">
              <a16:creationId xmlns:a16="http://schemas.microsoft.com/office/drawing/2014/main" id="{9E0AE8E1-347F-410B-80D7-710D7A8A43D2}"/>
            </a:ext>
          </a:extLst>
        </xdr:cNvPr>
        <xdr:cNvSpPr>
          <a:spLocks noChangeArrowheads="1"/>
        </xdr:cNvSpPr>
      </xdr:nvSpPr>
      <xdr:spPr bwMode="auto">
        <a:xfrm>
          <a:off x="21135975" y="66675"/>
          <a:ext cx="1114425" cy="200025"/>
        </a:xfrm>
        <a:prstGeom prst="rect">
          <a:avLst/>
        </a:prstGeom>
        <a:solidFill>
          <a:srgbClr val="CCECFF"/>
        </a:solidFill>
        <a:ln>
          <a:noFill/>
        </a:ln>
        <a:extLst>
          <a:ext uri="{91240B29-F687-4F45-9708-019B960494DF}">
            <a14:hiddenLine xmlns:a14="http://schemas.microsoft.com/office/drawing/2010/main" w="9525" algn="ctr">
              <a:solidFill>
                <a:srgbClr val="000000"/>
              </a:solidFill>
              <a:miter lim="800000"/>
              <a:headEnd/>
              <a:tailEnd/>
            </a14:hiddenLine>
          </a:ext>
        </a:extLst>
      </xdr:spPr>
    </xdr:sp>
    <xdr:clientData/>
  </xdr:twoCellAnchor>
  <xdr:twoCellAnchor editAs="oneCell">
    <xdr:from>
      <xdr:col>4</xdr:col>
      <xdr:colOff>547370</xdr:colOff>
      <xdr:row>0</xdr:row>
      <xdr:rowOff>49530</xdr:rowOff>
    </xdr:from>
    <xdr:to>
      <xdr:col>6</xdr:col>
      <xdr:colOff>2109653</xdr:colOff>
      <xdr:row>0</xdr:row>
      <xdr:rowOff>308189</xdr:rowOff>
    </xdr:to>
    <xdr:sp macro="" textlink="">
      <xdr:nvSpPr>
        <xdr:cNvPr id="39606" name="Text Box 3766">
          <a:extLst>
            <a:ext uri="{FF2B5EF4-FFF2-40B4-BE49-F238E27FC236}">
              <a16:creationId xmlns:a16="http://schemas.microsoft.com/office/drawing/2014/main" id="{D507E619-490F-4C10-B89B-86611352EE8C}"/>
            </a:ext>
          </a:extLst>
        </xdr:cNvPr>
        <xdr:cNvSpPr txBox="1">
          <a:spLocks noChangeArrowheads="1"/>
        </xdr:cNvSpPr>
      </xdr:nvSpPr>
      <xdr:spPr bwMode="auto">
        <a:xfrm>
          <a:off x="3724275" y="57150"/>
          <a:ext cx="2886075" cy="257175"/>
        </a:xfrm>
        <a:prstGeom prst="rect">
          <a:avLst/>
        </a:prstGeom>
        <a:solidFill>
          <a:srgbClr val="E5EBED"/>
        </a:solidFill>
        <a:ln w="9525">
          <a:solidFill>
            <a:srgbClr val="000000"/>
          </a:solidFill>
          <a:miter lim="800000"/>
          <a:headEnd/>
          <a:tailEnd/>
        </a:ln>
      </xdr:spPr>
      <xdr:txBody>
        <a:bodyPr vertOverflow="clip" wrap="square" lIns="36000" tIns="36000" rIns="36000" bIns="36000" anchor="t" upright="1"/>
        <a:lstStyle/>
        <a:p>
          <a:pPr algn="ctr" rtl="1">
            <a:defRPr sz="1000"/>
          </a:pPr>
          <a:r>
            <a:rPr lang="en-US" sz="1000" b="1" i="0" strike="noStrike">
              <a:solidFill>
                <a:srgbClr val="FF0000"/>
              </a:solidFill>
              <a:latin typeface="Verdana"/>
            </a:rPr>
            <a:t>PLEASE DO NOT CUT AND PASTE</a:t>
          </a:r>
        </a:p>
      </xdr:txBody>
    </xdr:sp>
    <xdr:clientData fPrintsWithSheet="0"/>
  </xdr:twoCellAnchor>
</xdr:wsDr>
</file>

<file path=xl/drawings/drawing4.xml><?xml version="1.0" encoding="utf-8"?>
<xdr:wsDr xmlns:xdr="http://schemas.openxmlformats.org/drawingml/2006/spreadsheetDrawing" xmlns:a="http://schemas.openxmlformats.org/drawingml/2006/main">
  <xdr:twoCellAnchor>
    <xdr:from>
      <xdr:col>5</xdr:col>
      <xdr:colOff>1845310</xdr:colOff>
      <xdr:row>0</xdr:row>
      <xdr:rowOff>79375</xdr:rowOff>
    </xdr:from>
    <xdr:to>
      <xdr:col>7</xdr:col>
      <xdr:colOff>397121</xdr:colOff>
      <xdr:row>0</xdr:row>
      <xdr:rowOff>314325</xdr:rowOff>
    </xdr:to>
    <xdr:sp macro="" textlink="">
      <xdr:nvSpPr>
        <xdr:cNvPr id="8003" name="Rectangle 835">
          <a:extLst>
            <a:ext uri="{FF2B5EF4-FFF2-40B4-BE49-F238E27FC236}">
              <a16:creationId xmlns:a16="http://schemas.microsoft.com/office/drawing/2014/main" id="{45A2F31F-EF1B-4FF4-9AF1-D66ED49DC6DD}"/>
            </a:ext>
          </a:extLst>
        </xdr:cNvPr>
        <xdr:cNvSpPr>
          <a:spLocks noChangeArrowheads="1"/>
        </xdr:cNvSpPr>
      </xdr:nvSpPr>
      <xdr:spPr bwMode="auto">
        <a:xfrm>
          <a:off x="6776085" y="85725"/>
          <a:ext cx="1483995" cy="228600"/>
        </a:xfrm>
        <a:prstGeom prst="rect">
          <a:avLst/>
        </a:prstGeom>
        <a:solidFill>
          <a:srgbClr val="99FF99"/>
        </a:solidFill>
        <a:ln w="9525">
          <a:solidFill>
            <a:srgbClr val="000000"/>
          </a:solidFill>
          <a:miter lim="800000"/>
          <a:headEnd/>
          <a:tailEnd/>
        </a:ln>
      </xdr:spPr>
      <xdr:txBody>
        <a:bodyPr vertOverflow="clip" wrap="square" lIns="36000" tIns="36000" rIns="36000" bIns="36000" anchor="t" upright="1"/>
        <a:lstStyle/>
        <a:p>
          <a:pPr algn="ctr" rtl="1">
            <a:lnSpc>
              <a:spcPts val="600"/>
            </a:lnSpc>
            <a:defRPr sz="1000"/>
          </a:pPr>
          <a:r>
            <a:rPr lang="en-US" sz="800" b="1" i="0" strike="noStrike">
              <a:solidFill>
                <a:srgbClr val="000000"/>
              </a:solidFill>
              <a:latin typeface="Arial"/>
              <a:cs typeface="Arial"/>
            </a:rPr>
            <a:t>&gt; 10% OVER TARGET</a:t>
          </a:r>
        </a:p>
      </xdr:txBody>
    </xdr:sp>
    <xdr:clientData/>
  </xdr:twoCellAnchor>
  <xdr:twoCellAnchor>
    <xdr:from>
      <xdr:col>7</xdr:col>
      <xdr:colOff>508635</xdr:colOff>
      <xdr:row>0</xdr:row>
      <xdr:rowOff>79375</xdr:rowOff>
    </xdr:from>
    <xdr:to>
      <xdr:col>10</xdr:col>
      <xdr:colOff>432478</xdr:colOff>
      <xdr:row>0</xdr:row>
      <xdr:rowOff>314325</xdr:rowOff>
    </xdr:to>
    <xdr:sp macro="" textlink="">
      <xdr:nvSpPr>
        <xdr:cNvPr id="8070" name="Rectangle 902">
          <a:extLst>
            <a:ext uri="{FF2B5EF4-FFF2-40B4-BE49-F238E27FC236}">
              <a16:creationId xmlns:a16="http://schemas.microsoft.com/office/drawing/2014/main" id="{F6CAE3BC-F5E9-4099-826C-F4540BBB0D27}"/>
            </a:ext>
          </a:extLst>
        </xdr:cNvPr>
        <xdr:cNvSpPr>
          <a:spLocks noChangeArrowheads="1"/>
        </xdr:cNvSpPr>
      </xdr:nvSpPr>
      <xdr:spPr bwMode="auto">
        <a:xfrm>
          <a:off x="8366760" y="85725"/>
          <a:ext cx="1369706" cy="228600"/>
        </a:xfrm>
        <a:prstGeom prst="rect">
          <a:avLst/>
        </a:prstGeom>
        <a:solidFill>
          <a:srgbClr val="FFFF99"/>
        </a:solidFill>
        <a:ln w="9525">
          <a:solidFill>
            <a:srgbClr val="000000"/>
          </a:solidFill>
          <a:miter lim="800000"/>
          <a:headEnd/>
          <a:tailEnd/>
        </a:ln>
      </xdr:spPr>
      <xdr:txBody>
        <a:bodyPr vertOverflow="clip" wrap="square" lIns="36000" tIns="36000" rIns="36000" bIns="36000" anchor="t" upright="1"/>
        <a:lstStyle/>
        <a:p>
          <a:pPr algn="ctr" rtl="1">
            <a:defRPr sz="1000"/>
          </a:pPr>
          <a:r>
            <a:rPr lang="en-US" sz="800" b="1" i="0" strike="noStrike">
              <a:solidFill>
                <a:srgbClr val="000000"/>
              </a:solidFill>
              <a:latin typeface="Arial"/>
              <a:cs typeface="Arial"/>
            </a:rPr>
            <a:t>&gt; 10% UNDER TARGET</a:t>
          </a:r>
        </a:p>
      </xdr:txBody>
    </xdr:sp>
    <xdr:clientData/>
  </xdr:twoCellAnchor>
  <xdr:twoCellAnchor editAs="absolute">
    <xdr:from>
      <xdr:col>3</xdr:col>
      <xdr:colOff>655955</xdr:colOff>
      <xdr:row>0</xdr:row>
      <xdr:rowOff>66675</xdr:rowOff>
    </xdr:from>
    <xdr:to>
      <xdr:col>5</xdr:col>
      <xdr:colOff>1709653</xdr:colOff>
      <xdr:row>0</xdr:row>
      <xdr:rowOff>314325</xdr:rowOff>
    </xdr:to>
    <xdr:sp macro="" textlink="">
      <xdr:nvSpPr>
        <xdr:cNvPr id="8181" name="Text Box 1013">
          <a:extLst>
            <a:ext uri="{FF2B5EF4-FFF2-40B4-BE49-F238E27FC236}">
              <a16:creationId xmlns:a16="http://schemas.microsoft.com/office/drawing/2014/main" id="{0A69DF69-30D0-4A6C-B26D-D35C28F86200}"/>
            </a:ext>
          </a:extLst>
        </xdr:cNvPr>
        <xdr:cNvSpPr txBox="1">
          <a:spLocks noChangeArrowheads="1"/>
        </xdr:cNvSpPr>
      </xdr:nvSpPr>
      <xdr:spPr bwMode="auto">
        <a:xfrm>
          <a:off x="2876550" y="66675"/>
          <a:ext cx="2371725" cy="247650"/>
        </a:xfrm>
        <a:prstGeom prst="rect">
          <a:avLst/>
        </a:prstGeom>
        <a:solidFill>
          <a:srgbClr val="E5EBED"/>
        </a:solidFill>
        <a:ln w="9525">
          <a:solidFill>
            <a:srgbClr val="000000"/>
          </a:solidFill>
          <a:miter lim="800000"/>
          <a:headEnd/>
          <a:tailEnd/>
        </a:ln>
      </xdr:spPr>
      <xdr:txBody>
        <a:bodyPr vertOverflow="clip" wrap="square" lIns="36000" tIns="36000" rIns="36000" bIns="36000" anchor="ctr" upright="1"/>
        <a:lstStyle/>
        <a:p>
          <a:pPr algn="ctr" rtl="1">
            <a:defRPr sz="1000"/>
          </a:pPr>
          <a:r>
            <a:rPr lang="en-US" sz="1000" b="1" i="0" strike="noStrike">
              <a:solidFill>
                <a:srgbClr val="FF0000"/>
              </a:solidFill>
              <a:latin typeface="Verdana"/>
            </a:rPr>
            <a:t>PLEASE DO NOT COPY AND PASTE</a:t>
          </a:r>
        </a:p>
      </xdr:txBody>
    </xdr:sp>
    <xdr:clientData fPrintsWithSheet="0"/>
  </xdr:twoCellAnchor>
</xdr:wsDr>
</file>

<file path=xl/drawings/drawing5.xml><?xml version="1.0" encoding="utf-8"?>
<xdr:wsDr xmlns:xdr="http://schemas.openxmlformats.org/drawingml/2006/spreadsheetDrawing" xmlns:a="http://schemas.openxmlformats.org/drawingml/2006/main">
  <xdr:twoCellAnchor>
    <xdr:from>
      <xdr:col>1</xdr:col>
      <xdr:colOff>28575</xdr:colOff>
      <xdr:row>0</xdr:row>
      <xdr:rowOff>0</xdr:rowOff>
    </xdr:from>
    <xdr:to>
      <xdr:col>7</xdr:col>
      <xdr:colOff>38100</xdr:colOff>
      <xdr:row>0</xdr:row>
      <xdr:rowOff>0</xdr:rowOff>
    </xdr:to>
    <xdr:grpSp>
      <xdr:nvGrpSpPr>
        <xdr:cNvPr id="62942285" name="Group 1">
          <a:extLst>
            <a:ext uri="{FF2B5EF4-FFF2-40B4-BE49-F238E27FC236}">
              <a16:creationId xmlns:a16="http://schemas.microsoft.com/office/drawing/2014/main" id="{742583E5-170B-410B-BD96-9F11EB2696EC}"/>
            </a:ext>
          </a:extLst>
        </xdr:cNvPr>
        <xdr:cNvGrpSpPr>
          <a:grpSpLocks/>
        </xdr:cNvGrpSpPr>
      </xdr:nvGrpSpPr>
      <xdr:grpSpPr bwMode="auto">
        <a:xfrm>
          <a:off x="219075" y="0"/>
          <a:ext cx="5657850" cy="0"/>
          <a:chOff x="3178" y="1611"/>
          <a:chExt cx="1036" cy="748"/>
        </a:xfrm>
      </xdr:grpSpPr>
      <xdr:sp macro="" textlink="">
        <xdr:nvSpPr>
          <xdr:cNvPr id="62942287" name="Oval 2">
            <a:extLst>
              <a:ext uri="{FF2B5EF4-FFF2-40B4-BE49-F238E27FC236}">
                <a16:creationId xmlns:a16="http://schemas.microsoft.com/office/drawing/2014/main" id="{B3851FD5-B1AB-4B7A-ACE6-AED17BC45500}"/>
              </a:ext>
            </a:extLst>
          </xdr:cNvPr>
          <xdr:cNvSpPr>
            <a:spLocks noChangeAspect="1" noChangeArrowheads="1"/>
          </xdr:cNvSpPr>
        </xdr:nvSpPr>
        <xdr:spPr bwMode="auto">
          <a:xfrm>
            <a:off x="3178" y="1617"/>
            <a:ext cx="1036" cy="741"/>
          </a:xfrm>
          <a:prstGeom prst="ellipse">
            <a:avLst/>
          </a:prstGeom>
          <a:solidFill>
            <a:srgbClr val="FF3300"/>
          </a:solidFill>
          <a:ln w="3175">
            <a:solidFill>
              <a:srgbClr val="000000"/>
            </a:solidFill>
            <a:round/>
            <a:headEnd/>
            <a:tailEnd/>
          </a:ln>
        </xdr:spPr>
      </xdr:sp>
      <xdr:sp macro="" textlink="">
        <xdr:nvSpPr>
          <xdr:cNvPr id="62942288" name="Oval 3">
            <a:extLst>
              <a:ext uri="{FF2B5EF4-FFF2-40B4-BE49-F238E27FC236}">
                <a16:creationId xmlns:a16="http://schemas.microsoft.com/office/drawing/2014/main" id="{2E929A38-2F8A-4E21-87D0-380F71FCD494}"/>
              </a:ext>
            </a:extLst>
          </xdr:cNvPr>
          <xdr:cNvSpPr>
            <a:spLocks noChangeAspect="1" noChangeArrowheads="1"/>
          </xdr:cNvSpPr>
        </xdr:nvSpPr>
        <xdr:spPr bwMode="auto">
          <a:xfrm>
            <a:off x="3187" y="1626"/>
            <a:ext cx="1018" cy="722"/>
          </a:xfrm>
          <a:prstGeom prst="ellipse">
            <a:avLst/>
          </a:prstGeom>
          <a:solidFill>
            <a:srgbClr val="0000DD"/>
          </a:solidFill>
          <a:ln w="3175">
            <a:solidFill>
              <a:srgbClr val="000000"/>
            </a:solidFill>
            <a:round/>
            <a:headEnd/>
            <a:tailEnd/>
          </a:ln>
        </xdr:spPr>
      </xdr:sp>
      <xdr:sp macro="" textlink="">
        <xdr:nvSpPr>
          <xdr:cNvPr id="5" name="Oval 4">
            <a:extLst>
              <a:ext uri="{FF2B5EF4-FFF2-40B4-BE49-F238E27FC236}">
                <a16:creationId xmlns:a16="http://schemas.microsoft.com/office/drawing/2014/main" id="{7270138C-1EEA-4EDC-94B0-1DE21ACFE6D5}"/>
              </a:ext>
            </a:extLst>
          </xdr:cNvPr>
          <xdr:cNvSpPr>
            <a:spLocks noChangeAspect="1" noChangeArrowheads="1"/>
          </xdr:cNvSpPr>
        </xdr:nvSpPr>
        <xdr:spPr bwMode="auto">
          <a:xfrm>
            <a:off x="7407969008524" y="0"/>
            <a:ext cx="877" cy="0"/>
          </a:xfrm>
          <a:prstGeom prst="ellipse">
            <a:avLst/>
          </a:prstGeom>
          <a:solidFill>
            <a:srgbClr val="FFFFFF"/>
          </a:solidFill>
          <a:ln w="3175">
            <a:solidFill>
              <a:srgbClr val="000000"/>
            </a:solidFill>
            <a:round/>
            <a:headEnd/>
            <a:tailEnd/>
          </a:ln>
          <a:effectLst/>
        </xdr:spPr>
        <xdr:txBody>
          <a:bodyPr vertOverflow="clip" wrap="square" lIns="92075" tIns="46038" rIns="92075" bIns="46038" anchor="t" upright="1"/>
          <a:lstStyle/>
          <a:p>
            <a:pPr algn="l" rtl="0">
              <a:defRPr sz="1000"/>
            </a:pPr>
            <a:r>
              <a:rPr lang="en-US" sz="1100" b="0" i="0" u="none" strike="noStrike" baseline="0">
                <a:solidFill>
                  <a:srgbClr val="000000"/>
                </a:solidFill>
                <a:latin typeface="Calibri"/>
                <a:ea typeface="Calibri"/>
                <a:cs typeface="Calibri"/>
              </a:rPr>
              <a:t> </a:t>
            </a:r>
          </a:p>
          <a:p>
            <a:pPr algn="l" rtl="0">
              <a:defRPr sz="1000"/>
            </a:pPr>
            <a:endParaRPr lang="en-US" sz="1100" b="0" i="0" u="none" strike="noStrike" baseline="0">
              <a:solidFill>
                <a:srgbClr val="000000"/>
              </a:solidFill>
              <a:latin typeface="Calibri"/>
              <a:ea typeface="Calibri"/>
              <a:cs typeface="Calibri"/>
            </a:endParaRPr>
          </a:p>
        </xdr:txBody>
      </xdr:sp>
      <xdr:sp macro="" textlink="">
        <xdr:nvSpPr>
          <xdr:cNvPr id="6" name="Oval 5">
            <a:extLst>
              <a:ext uri="{FF2B5EF4-FFF2-40B4-BE49-F238E27FC236}">
                <a16:creationId xmlns:a16="http://schemas.microsoft.com/office/drawing/2014/main" id="{668B4F67-05F0-41AA-A486-CCE0E514B171}"/>
              </a:ext>
            </a:extLst>
          </xdr:cNvPr>
          <xdr:cNvSpPr>
            <a:spLocks noChangeAspect="1" noChangeArrowheads="1"/>
          </xdr:cNvSpPr>
        </xdr:nvSpPr>
        <xdr:spPr bwMode="auto">
          <a:xfrm>
            <a:off x="9464430543619" y="0"/>
            <a:ext cx="862" cy="0"/>
          </a:xfrm>
          <a:prstGeom prst="ellipse">
            <a:avLst/>
          </a:prstGeom>
          <a:solidFill>
            <a:srgbClr val="72C7FF"/>
          </a:solidFill>
          <a:ln w="3175">
            <a:solidFill>
              <a:srgbClr val="000000"/>
            </a:solidFill>
            <a:round/>
            <a:headEnd/>
            <a:tailEnd/>
          </a:ln>
          <a:effectLst/>
        </xdr:spPr>
        <xdr:txBody>
          <a:bodyPr vertOverflow="clip" wrap="square" lIns="92075" tIns="46038" rIns="92075" bIns="46038" anchor="t" upright="1"/>
          <a:lstStyle/>
          <a:p>
            <a:pPr algn="l" rtl="0">
              <a:defRPr sz="1000"/>
            </a:pPr>
            <a:endParaRPr lang="en-US" sz="1100" b="0" i="0" u="none" strike="noStrike" baseline="0">
              <a:solidFill>
                <a:srgbClr val="000000"/>
              </a:solidFill>
              <a:latin typeface="Calibri"/>
              <a:ea typeface="Calibri"/>
              <a:cs typeface="Calibri"/>
            </a:endParaRPr>
          </a:p>
          <a:p>
            <a:pPr algn="l" rtl="0">
              <a:defRPr sz="1000"/>
            </a:pPr>
            <a:endParaRPr lang="en-US" sz="1100" b="0" i="0" u="none" strike="noStrike" baseline="0">
              <a:solidFill>
                <a:srgbClr val="000000"/>
              </a:solidFill>
              <a:latin typeface="Calibri"/>
              <a:ea typeface="Calibri"/>
              <a:cs typeface="Calibri"/>
            </a:endParaRPr>
          </a:p>
        </xdr:txBody>
      </xdr:sp>
      <xdr:sp macro="" textlink="">
        <xdr:nvSpPr>
          <xdr:cNvPr id="62942291" name="Freeform 8">
            <a:extLst>
              <a:ext uri="{FF2B5EF4-FFF2-40B4-BE49-F238E27FC236}">
                <a16:creationId xmlns:a16="http://schemas.microsoft.com/office/drawing/2014/main" id="{1FECFD77-9D4A-49AE-9AA3-315F466A352C}"/>
              </a:ext>
            </a:extLst>
          </xdr:cNvPr>
          <xdr:cNvSpPr>
            <a:spLocks noChangeAspect="1"/>
          </xdr:cNvSpPr>
        </xdr:nvSpPr>
        <xdr:spPr bwMode="auto">
          <a:xfrm>
            <a:off x="3574" y="1712"/>
            <a:ext cx="275" cy="558"/>
          </a:xfrm>
          <a:custGeom>
            <a:avLst/>
            <a:gdLst>
              <a:gd name="T0" fmla="*/ 0 w 1325"/>
              <a:gd name="T1" fmla="*/ 0 h 2688"/>
              <a:gd name="T2" fmla="*/ 0 w 1325"/>
              <a:gd name="T3" fmla="*/ 0 h 2688"/>
              <a:gd name="T4" fmla="*/ 0 w 1325"/>
              <a:gd name="T5" fmla="*/ 0 h 2688"/>
              <a:gd name="T6" fmla="*/ 0 w 1325"/>
              <a:gd name="T7" fmla="*/ 0 h 2688"/>
              <a:gd name="T8" fmla="*/ 0 w 1325"/>
              <a:gd name="T9" fmla="*/ 0 h 2688"/>
              <a:gd name="T10" fmla="*/ 0 w 1325"/>
              <a:gd name="T11" fmla="*/ 0 h 2688"/>
              <a:gd name="T12" fmla="*/ 0 w 1325"/>
              <a:gd name="T13" fmla="*/ 0 h 2688"/>
              <a:gd name="T14" fmla="*/ 0 w 1325"/>
              <a:gd name="T15" fmla="*/ 0 h 2688"/>
              <a:gd name="T16" fmla="*/ 0 w 1325"/>
              <a:gd name="T17" fmla="*/ 0 h 2688"/>
              <a:gd name="T18" fmla="*/ 0 w 1325"/>
              <a:gd name="T19" fmla="*/ 0 h 2688"/>
              <a:gd name="T20" fmla="*/ 0 w 1325"/>
              <a:gd name="T21" fmla="*/ 0 h 2688"/>
              <a:gd name="T22" fmla="*/ 0 w 1325"/>
              <a:gd name="T23" fmla="*/ 0 h 2688"/>
              <a:gd name="T24" fmla="*/ 0 w 1325"/>
              <a:gd name="T25" fmla="*/ 0 h 2688"/>
              <a:gd name="T26" fmla="*/ 0 w 1325"/>
              <a:gd name="T27" fmla="*/ 0 h 2688"/>
              <a:gd name="T28" fmla="*/ 0 w 1325"/>
              <a:gd name="T29" fmla="*/ 0 h 2688"/>
              <a:gd name="T30" fmla="*/ 0 w 1325"/>
              <a:gd name="T31" fmla="*/ 0 h 2688"/>
              <a:gd name="T32" fmla="*/ 0 w 1325"/>
              <a:gd name="T33" fmla="*/ 0 h 2688"/>
              <a:gd name="T34" fmla="*/ 0 w 1325"/>
              <a:gd name="T35" fmla="*/ 0 h 2688"/>
              <a:gd name="T36" fmla="*/ 0 w 1325"/>
              <a:gd name="T37" fmla="*/ 0 h 2688"/>
              <a:gd name="T38" fmla="*/ 0 w 1325"/>
              <a:gd name="T39" fmla="*/ 0 h 2688"/>
              <a:gd name="T40" fmla="*/ 0 w 1325"/>
              <a:gd name="T41" fmla="*/ 0 h 2688"/>
              <a:gd name="T42" fmla="*/ 0 w 1325"/>
              <a:gd name="T43" fmla="*/ 0 h 2688"/>
              <a:gd name="T44" fmla="*/ 0 w 1325"/>
              <a:gd name="T45" fmla="*/ 0 h 2688"/>
              <a:gd name="T46" fmla="*/ 0 w 1325"/>
              <a:gd name="T47" fmla="*/ 0 h 2688"/>
              <a:gd name="T48" fmla="*/ 0 w 1325"/>
              <a:gd name="T49" fmla="*/ 0 h 2688"/>
              <a:gd name="T50" fmla="*/ 0 w 1325"/>
              <a:gd name="T51" fmla="*/ 0 h 2688"/>
              <a:gd name="T52" fmla="*/ 0 w 1325"/>
              <a:gd name="T53" fmla="*/ 0 h 2688"/>
              <a:gd name="T54" fmla="*/ 0 w 1325"/>
              <a:gd name="T55" fmla="*/ 0 h 2688"/>
              <a:gd name="T56" fmla="*/ 0 w 1325"/>
              <a:gd name="T57" fmla="*/ 0 h 2688"/>
              <a:gd name="T58" fmla="*/ 0 w 1325"/>
              <a:gd name="T59" fmla="*/ 0 h 2688"/>
              <a:gd name="T60" fmla="*/ 0 w 1325"/>
              <a:gd name="T61" fmla="*/ 0 h 2688"/>
              <a:gd name="T62" fmla="*/ 0 w 1325"/>
              <a:gd name="T63" fmla="*/ 0 h 2688"/>
              <a:gd name="T64" fmla="*/ 0 w 1325"/>
              <a:gd name="T65" fmla="*/ 0 h 2688"/>
              <a:gd name="T66" fmla="*/ 0 w 1325"/>
              <a:gd name="T67" fmla="*/ 0 h 2688"/>
              <a:gd name="T68" fmla="*/ 0 w 1325"/>
              <a:gd name="T69" fmla="*/ 0 h 2688"/>
              <a:gd name="T70" fmla="*/ 0 w 1325"/>
              <a:gd name="T71" fmla="*/ 0 h 2688"/>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w 1325"/>
              <a:gd name="T109" fmla="*/ 0 h 2688"/>
              <a:gd name="T110" fmla="*/ 1325 w 1325"/>
              <a:gd name="T111" fmla="*/ 2688 h 2688"/>
            </a:gdLst>
            <a:ahLst/>
            <a:cxnLst>
              <a:cxn ang="T72">
                <a:pos x="T0" y="T1"/>
              </a:cxn>
              <a:cxn ang="T73">
                <a:pos x="T2" y="T3"/>
              </a:cxn>
              <a:cxn ang="T74">
                <a:pos x="T4" y="T5"/>
              </a:cxn>
              <a:cxn ang="T75">
                <a:pos x="T6" y="T7"/>
              </a:cxn>
              <a:cxn ang="T76">
                <a:pos x="T8" y="T9"/>
              </a:cxn>
              <a:cxn ang="T77">
                <a:pos x="T10" y="T11"/>
              </a:cxn>
              <a:cxn ang="T78">
                <a:pos x="T12" y="T13"/>
              </a:cxn>
              <a:cxn ang="T79">
                <a:pos x="T14" y="T15"/>
              </a:cxn>
              <a:cxn ang="T80">
                <a:pos x="T16" y="T17"/>
              </a:cxn>
              <a:cxn ang="T81">
                <a:pos x="T18" y="T19"/>
              </a:cxn>
              <a:cxn ang="T82">
                <a:pos x="T20" y="T21"/>
              </a:cxn>
              <a:cxn ang="T83">
                <a:pos x="T22" y="T23"/>
              </a:cxn>
              <a:cxn ang="T84">
                <a:pos x="T24" y="T25"/>
              </a:cxn>
              <a:cxn ang="T85">
                <a:pos x="T26" y="T27"/>
              </a:cxn>
              <a:cxn ang="T86">
                <a:pos x="T28" y="T29"/>
              </a:cxn>
              <a:cxn ang="T87">
                <a:pos x="T30" y="T31"/>
              </a:cxn>
              <a:cxn ang="T88">
                <a:pos x="T32" y="T33"/>
              </a:cxn>
              <a:cxn ang="T89">
                <a:pos x="T34" y="T35"/>
              </a:cxn>
              <a:cxn ang="T90">
                <a:pos x="T36" y="T37"/>
              </a:cxn>
              <a:cxn ang="T91">
                <a:pos x="T38" y="T39"/>
              </a:cxn>
              <a:cxn ang="T92">
                <a:pos x="T40" y="T41"/>
              </a:cxn>
              <a:cxn ang="T93">
                <a:pos x="T42" y="T43"/>
              </a:cxn>
              <a:cxn ang="T94">
                <a:pos x="T44" y="T45"/>
              </a:cxn>
              <a:cxn ang="T95">
                <a:pos x="T46" y="T47"/>
              </a:cxn>
              <a:cxn ang="T96">
                <a:pos x="T48" y="T49"/>
              </a:cxn>
              <a:cxn ang="T97">
                <a:pos x="T50" y="T51"/>
              </a:cxn>
              <a:cxn ang="T98">
                <a:pos x="T52" y="T53"/>
              </a:cxn>
              <a:cxn ang="T99">
                <a:pos x="T54" y="T55"/>
              </a:cxn>
              <a:cxn ang="T100">
                <a:pos x="T56" y="T57"/>
              </a:cxn>
              <a:cxn ang="T101">
                <a:pos x="T58" y="T59"/>
              </a:cxn>
              <a:cxn ang="T102">
                <a:pos x="T60" y="T61"/>
              </a:cxn>
              <a:cxn ang="T103">
                <a:pos x="T62" y="T63"/>
              </a:cxn>
              <a:cxn ang="T104">
                <a:pos x="T64" y="T65"/>
              </a:cxn>
              <a:cxn ang="T105">
                <a:pos x="T66" y="T67"/>
              </a:cxn>
              <a:cxn ang="T106">
                <a:pos x="T68" y="T69"/>
              </a:cxn>
              <a:cxn ang="T107">
                <a:pos x="T70" y="T71"/>
              </a:cxn>
            </a:cxnLst>
            <a:rect l="T108" t="T109" r="T110" b="T111"/>
            <a:pathLst>
              <a:path w="1325" h="2688">
                <a:moveTo>
                  <a:pt x="518" y="8"/>
                </a:moveTo>
                <a:cubicBezTo>
                  <a:pt x="487" y="0"/>
                  <a:pt x="543" y="84"/>
                  <a:pt x="546" y="132"/>
                </a:cubicBezTo>
                <a:cubicBezTo>
                  <a:pt x="549" y="180"/>
                  <a:pt x="544" y="248"/>
                  <a:pt x="536" y="299"/>
                </a:cubicBezTo>
                <a:cubicBezTo>
                  <a:pt x="528" y="350"/>
                  <a:pt x="523" y="376"/>
                  <a:pt x="499" y="437"/>
                </a:cubicBezTo>
                <a:cubicBezTo>
                  <a:pt x="475" y="498"/>
                  <a:pt x="421" y="613"/>
                  <a:pt x="393" y="663"/>
                </a:cubicBezTo>
                <a:cubicBezTo>
                  <a:pt x="365" y="713"/>
                  <a:pt x="348" y="742"/>
                  <a:pt x="333" y="737"/>
                </a:cubicBezTo>
                <a:cubicBezTo>
                  <a:pt x="318" y="732"/>
                  <a:pt x="315" y="673"/>
                  <a:pt x="301" y="631"/>
                </a:cubicBezTo>
                <a:cubicBezTo>
                  <a:pt x="287" y="589"/>
                  <a:pt x="260" y="518"/>
                  <a:pt x="246" y="483"/>
                </a:cubicBezTo>
                <a:cubicBezTo>
                  <a:pt x="232" y="448"/>
                  <a:pt x="230" y="414"/>
                  <a:pt x="218" y="423"/>
                </a:cubicBezTo>
                <a:cubicBezTo>
                  <a:pt x="206" y="432"/>
                  <a:pt x="197" y="479"/>
                  <a:pt x="176" y="534"/>
                </a:cubicBezTo>
                <a:cubicBezTo>
                  <a:pt x="155" y="589"/>
                  <a:pt x="118" y="681"/>
                  <a:pt x="93" y="755"/>
                </a:cubicBezTo>
                <a:cubicBezTo>
                  <a:pt x="68" y="829"/>
                  <a:pt x="38" y="894"/>
                  <a:pt x="24" y="977"/>
                </a:cubicBezTo>
                <a:cubicBezTo>
                  <a:pt x="10" y="1060"/>
                  <a:pt x="0" y="1162"/>
                  <a:pt x="6" y="1254"/>
                </a:cubicBezTo>
                <a:cubicBezTo>
                  <a:pt x="12" y="1346"/>
                  <a:pt x="29" y="1444"/>
                  <a:pt x="61" y="1531"/>
                </a:cubicBezTo>
                <a:cubicBezTo>
                  <a:pt x="93" y="1618"/>
                  <a:pt x="142" y="1692"/>
                  <a:pt x="195" y="1775"/>
                </a:cubicBezTo>
                <a:cubicBezTo>
                  <a:pt x="248" y="1858"/>
                  <a:pt x="323" y="1937"/>
                  <a:pt x="379" y="2029"/>
                </a:cubicBezTo>
                <a:cubicBezTo>
                  <a:pt x="435" y="2121"/>
                  <a:pt x="491" y="2220"/>
                  <a:pt x="532" y="2325"/>
                </a:cubicBezTo>
                <a:cubicBezTo>
                  <a:pt x="573" y="2430"/>
                  <a:pt x="596" y="2626"/>
                  <a:pt x="624" y="2657"/>
                </a:cubicBezTo>
                <a:cubicBezTo>
                  <a:pt x="652" y="2688"/>
                  <a:pt x="665" y="2585"/>
                  <a:pt x="698" y="2509"/>
                </a:cubicBezTo>
                <a:cubicBezTo>
                  <a:pt x="731" y="2433"/>
                  <a:pt x="777" y="2301"/>
                  <a:pt x="823" y="2200"/>
                </a:cubicBezTo>
                <a:cubicBezTo>
                  <a:pt x="869" y="2099"/>
                  <a:pt x="919" y="2001"/>
                  <a:pt x="975" y="1900"/>
                </a:cubicBezTo>
                <a:cubicBezTo>
                  <a:pt x="1031" y="1799"/>
                  <a:pt x="1108" y="1682"/>
                  <a:pt x="1159" y="1595"/>
                </a:cubicBezTo>
                <a:cubicBezTo>
                  <a:pt x="1210" y="1508"/>
                  <a:pt x="1252" y="1462"/>
                  <a:pt x="1279" y="1379"/>
                </a:cubicBezTo>
                <a:cubicBezTo>
                  <a:pt x="1306" y="1296"/>
                  <a:pt x="1317" y="1182"/>
                  <a:pt x="1321" y="1097"/>
                </a:cubicBezTo>
                <a:cubicBezTo>
                  <a:pt x="1325" y="1012"/>
                  <a:pt x="1316" y="942"/>
                  <a:pt x="1303" y="871"/>
                </a:cubicBezTo>
                <a:cubicBezTo>
                  <a:pt x="1290" y="800"/>
                  <a:pt x="1258" y="667"/>
                  <a:pt x="1243" y="672"/>
                </a:cubicBezTo>
                <a:cubicBezTo>
                  <a:pt x="1228" y="677"/>
                  <a:pt x="1228" y="907"/>
                  <a:pt x="1210" y="899"/>
                </a:cubicBezTo>
                <a:cubicBezTo>
                  <a:pt x="1192" y="891"/>
                  <a:pt x="1163" y="711"/>
                  <a:pt x="1132" y="622"/>
                </a:cubicBezTo>
                <a:cubicBezTo>
                  <a:pt x="1101" y="533"/>
                  <a:pt x="1051" y="421"/>
                  <a:pt x="1026" y="368"/>
                </a:cubicBezTo>
                <a:cubicBezTo>
                  <a:pt x="1001" y="315"/>
                  <a:pt x="983" y="299"/>
                  <a:pt x="979" y="303"/>
                </a:cubicBezTo>
                <a:cubicBezTo>
                  <a:pt x="975" y="307"/>
                  <a:pt x="998" y="343"/>
                  <a:pt x="1003" y="391"/>
                </a:cubicBezTo>
                <a:cubicBezTo>
                  <a:pt x="1008" y="439"/>
                  <a:pt x="1010" y="536"/>
                  <a:pt x="1007" y="594"/>
                </a:cubicBezTo>
                <a:cubicBezTo>
                  <a:pt x="1004" y="652"/>
                  <a:pt x="1000" y="761"/>
                  <a:pt x="984" y="742"/>
                </a:cubicBezTo>
                <a:cubicBezTo>
                  <a:pt x="968" y="723"/>
                  <a:pt x="952" y="577"/>
                  <a:pt x="910" y="483"/>
                </a:cubicBezTo>
                <a:cubicBezTo>
                  <a:pt x="868" y="389"/>
                  <a:pt x="793" y="257"/>
                  <a:pt x="730" y="179"/>
                </a:cubicBezTo>
                <a:cubicBezTo>
                  <a:pt x="667" y="101"/>
                  <a:pt x="549" y="16"/>
                  <a:pt x="518" y="8"/>
                </a:cubicBezTo>
                <a:close/>
              </a:path>
            </a:pathLst>
          </a:custGeom>
          <a:solidFill>
            <a:srgbClr val="EC0000"/>
          </a:solidFill>
          <a:ln w="3175">
            <a:solidFill>
              <a:srgbClr val="FFFFFF"/>
            </a:solidFill>
            <a:round/>
            <a:headEnd type="none" w="sm" len="sm"/>
            <a:tailEnd type="none" w="sm" len="sm"/>
          </a:ln>
        </xdr:spPr>
      </xdr:sp>
      <xdr:sp macro="" textlink="">
        <xdr:nvSpPr>
          <xdr:cNvPr id="62942292" name="Freeform 9">
            <a:extLst>
              <a:ext uri="{FF2B5EF4-FFF2-40B4-BE49-F238E27FC236}">
                <a16:creationId xmlns:a16="http://schemas.microsoft.com/office/drawing/2014/main" id="{42C9247C-D72D-4362-9292-BFEA62681792}"/>
              </a:ext>
            </a:extLst>
          </xdr:cNvPr>
          <xdr:cNvSpPr>
            <a:spLocks noChangeAspect="1"/>
          </xdr:cNvSpPr>
        </xdr:nvSpPr>
        <xdr:spPr bwMode="auto">
          <a:xfrm>
            <a:off x="3629" y="2073"/>
            <a:ext cx="81" cy="71"/>
          </a:xfrm>
          <a:custGeom>
            <a:avLst/>
            <a:gdLst>
              <a:gd name="T0" fmla="*/ 0 w 235"/>
              <a:gd name="T1" fmla="*/ 0 h 215"/>
              <a:gd name="T2" fmla="*/ 0 w 235"/>
              <a:gd name="T3" fmla="*/ 0 h 215"/>
              <a:gd name="T4" fmla="*/ 0 w 235"/>
              <a:gd name="T5" fmla="*/ 0 h 215"/>
              <a:gd name="T6" fmla="*/ 0 w 235"/>
              <a:gd name="T7" fmla="*/ 0 h 215"/>
              <a:gd name="T8" fmla="*/ 0 w 235"/>
              <a:gd name="T9" fmla="*/ 0 h 215"/>
              <a:gd name="T10" fmla="*/ 0 w 235"/>
              <a:gd name="T11" fmla="*/ 0 h 215"/>
              <a:gd name="T12" fmla="*/ 0 w 235"/>
              <a:gd name="T13" fmla="*/ 0 h 215"/>
              <a:gd name="T14" fmla="*/ 0 w 235"/>
              <a:gd name="T15" fmla="*/ 0 h 215"/>
              <a:gd name="T16" fmla="*/ 0 w 235"/>
              <a:gd name="T17" fmla="*/ 0 h 215"/>
              <a:gd name="T18" fmla="*/ 0 w 235"/>
              <a:gd name="T19" fmla="*/ 0 h 215"/>
              <a:gd name="T20" fmla="*/ 0 w 235"/>
              <a:gd name="T21" fmla="*/ 0 h 215"/>
              <a:gd name="T22" fmla="*/ 0 w 235"/>
              <a:gd name="T23" fmla="*/ 0 h 215"/>
              <a:gd name="T24" fmla="*/ 0 w 235"/>
              <a:gd name="T25" fmla="*/ 0 h 215"/>
              <a:gd name="T26" fmla="*/ 0 w 235"/>
              <a:gd name="T27" fmla="*/ 0 h 215"/>
              <a:gd name="T28" fmla="*/ 0 w 235"/>
              <a:gd name="T29" fmla="*/ 0 h 215"/>
              <a:gd name="T30" fmla="*/ 0 w 235"/>
              <a:gd name="T31" fmla="*/ 0 h 215"/>
              <a:gd name="T32" fmla="*/ 0 w 235"/>
              <a:gd name="T33" fmla="*/ 0 h 215"/>
              <a:gd name="T34" fmla="*/ 0 w 235"/>
              <a:gd name="T35" fmla="*/ 0 h 215"/>
              <a:gd name="T36" fmla="*/ 0 w 235"/>
              <a:gd name="T37" fmla="*/ 0 h 215"/>
              <a:gd name="T38" fmla="*/ 0 w 235"/>
              <a:gd name="T39" fmla="*/ 0 h 215"/>
              <a:gd name="T40" fmla="*/ 0 w 235"/>
              <a:gd name="T41" fmla="*/ 0 h 215"/>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w 235"/>
              <a:gd name="T64" fmla="*/ 0 h 215"/>
              <a:gd name="T65" fmla="*/ 235 w 235"/>
              <a:gd name="T66" fmla="*/ 215 h 215"/>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T63" t="T64" r="T65" b="T66"/>
            <a:pathLst>
              <a:path w="235" h="215">
                <a:moveTo>
                  <a:pt x="126" y="214"/>
                </a:moveTo>
                <a:lnTo>
                  <a:pt x="37" y="214"/>
                </a:lnTo>
                <a:lnTo>
                  <a:pt x="23" y="209"/>
                </a:lnTo>
                <a:lnTo>
                  <a:pt x="14" y="200"/>
                </a:lnTo>
                <a:lnTo>
                  <a:pt x="7" y="195"/>
                </a:lnTo>
                <a:lnTo>
                  <a:pt x="3" y="185"/>
                </a:lnTo>
                <a:lnTo>
                  <a:pt x="0" y="178"/>
                </a:lnTo>
                <a:lnTo>
                  <a:pt x="0" y="166"/>
                </a:lnTo>
                <a:lnTo>
                  <a:pt x="0" y="154"/>
                </a:lnTo>
                <a:lnTo>
                  <a:pt x="1" y="145"/>
                </a:lnTo>
                <a:lnTo>
                  <a:pt x="125" y="2"/>
                </a:lnTo>
                <a:lnTo>
                  <a:pt x="139" y="0"/>
                </a:lnTo>
                <a:lnTo>
                  <a:pt x="203" y="0"/>
                </a:lnTo>
                <a:lnTo>
                  <a:pt x="221" y="6"/>
                </a:lnTo>
                <a:lnTo>
                  <a:pt x="230" y="17"/>
                </a:lnTo>
                <a:lnTo>
                  <a:pt x="234" y="27"/>
                </a:lnTo>
                <a:lnTo>
                  <a:pt x="234" y="214"/>
                </a:lnTo>
                <a:lnTo>
                  <a:pt x="184" y="214"/>
                </a:lnTo>
                <a:lnTo>
                  <a:pt x="184" y="152"/>
                </a:lnTo>
                <a:lnTo>
                  <a:pt x="182" y="151"/>
                </a:lnTo>
                <a:lnTo>
                  <a:pt x="126" y="214"/>
                </a:lnTo>
              </a:path>
            </a:pathLst>
          </a:custGeom>
          <a:solidFill>
            <a:srgbClr val="FFD521"/>
          </a:solidFill>
          <a:ln>
            <a:noFill/>
          </a:ln>
          <a:extLst>
            <a:ext uri="{91240B29-F687-4F45-9708-019B960494DF}">
              <a14:hiddenLine xmlns:a14="http://schemas.microsoft.com/office/drawing/2010/main" w="9525" cap="rnd">
                <a:solidFill>
                  <a:srgbClr val="000000"/>
                </a:solidFill>
                <a:round/>
                <a:headEnd/>
                <a:tailEnd/>
              </a14:hiddenLine>
            </a:ext>
          </a:extLst>
        </xdr:spPr>
      </xdr:sp>
      <xdr:sp macro="" textlink="">
        <xdr:nvSpPr>
          <xdr:cNvPr id="62942293" name="Freeform 10">
            <a:extLst>
              <a:ext uri="{FF2B5EF4-FFF2-40B4-BE49-F238E27FC236}">
                <a16:creationId xmlns:a16="http://schemas.microsoft.com/office/drawing/2014/main" id="{1B8F4894-1037-4666-8E57-D7F1E1CA1353}"/>
              </a:ext>
            </a:extLst>
          </xdr:cNvPr>
          <xdr:cNvSpPr>
            <a:spLocks noChangeAspect="1"/>
          </xdr:cNvSpPr>
        </xdr:nvSpPr>
        <xdr:spPr bwMode="auto">
          <a:xfrm>
            <a:off x="3485" y="2033"/>
            <a:ext cx="164" cy="133"/>
          </a:xfrm>
          <a:custGeom>
            <a:avLst/>
            <a:gdLst>
              <a:gd name="T0" fmla="*/ 0 w 473"/>
              <a:gd name="T1" fmla="*/ 0 h 407"/>
              <a:gd name="T2" fmla="*/ 0 w 473"/>
              <a:gd name="T3" fmla="*/ 0 h 407"/>
              <a:gd name="T4" fmla="*/ 0 w 473"/>
              <a:gd name="T5" fmla="*/ 0 h 407"/>
              <a:gd name="T6" fmla="*/ 0 w 473"/>
              <a:gd name="T7" fmla="*/ 0 h 407"/>
              <a:gd name="T8" fmla="*/ 0 w 473"/>
              <a:gd name="T9" fmla="*/ 0 h 407"/>
              <a:gd name="T10" fmla="*/ 0 w 473"/>
              <a:gd name="T11" fmla="*/ 0 h 407"/>
              <a:gd name="T12" fmla="*/ 0 w 473"/>
              <a:gd name="T13" fmla="*/ 0 h 407"/>
              <a:gd name="T14" fmla="*/ 0 w 473"/>
              <a:gd name="T15" fmla="*/ 0 h 407"/>
              <a:gd name="T16" fmla="*/ 0 w 473"/>
              <a:gd name="T17" fmla="*/ 0 h 407"/>
              <a:gd name="T18" fmla="*/ 0 w 473"/>
              <a:gd name="T19" fmla="*/ 0 h 407"/>
              <a:gd name="T20" fmla="*/ 0 w 473"/>
              <a:gd name="T21" fmla="*/ 0 h 407"/>
              <a:gd name="T22" fmla="*/ 0 w 473"/>
              <a:gd name="T23" fmla="*/ 0 h 407"/>
              <a:gd name="T24" fmla="*/ 0 w 473"/>
              <a:gd name="T25" fmla="*/ 0 h 407"/>
              <a:gd name="T26" fmla="*/ 0 w 473"/>
              <a:gd name="T27" fmla="*/ 0 h 407"/>
              <a:gd name="T28" fmla="*/ 0 w 473"/>
              <a:gd name="T29" fmla="*/ 0 h 407"/>
              <a:gd name="T30" fmla="*/ 0 w 473"/>
              <a:gd name="T31" fmla="*/ 0 h 407"/>
              <a:gd name="T32" fmla="*/ 0 w 473"/>
              <a:gd name="T33" fmla="*/ 0 h 407"/>
              <a:gd name="T34" fmla="*/ 0 w 473"/>
              <a:gd name="T35" fmla="*/ 0 h 407"/>
              <a:gd name="T36" fmla="*/ 0 w 473"/>
              <a:gd name="T37" fmla="*/ 0 h 407"/>
              <a:gd name="T38" fmla="*/ 0 w 473"/>
              <a:gd name="T39" fmla="*/ 0 h 407"/>
              <a:gd name="T40" fmla="*/ 0 w 473"/>
              <a:gd name="T41" fmla="*/ 0 h 407"/>
              <a:gd name="T42" fmla="*/ 0 w 473"/>
              <a:gd name="T43" fmla="*/ 0 h 407"/>
              <a:gd name="T44" fmla="*/ 0 w 473"/>
              <a:gd name="T45" fmla="*/ 0 h 407"/>
              <a:gd name="T46" fmla="*/ 0 w 473"/>
              <a:gd name="T47" fmla="*/ 0 h 407"/>
              <a:gd name="T48" fmla="*/ 0 w 473"/>
              <a:gd name="T49" fmla="*/ 0 h 407"/>
              <a:gd name="T50" fmla="*/ 0 w 473"/>
              <a:gd name="T51" fmla="*/ 0 h 407"/>
              <a:gd name="T52" fmla="*/ 0 w 473"/>
              <a:gd name="T53" fmla="*/ 0 h 407"/>
              <a:gd name="T54" fmla="*/ 0 w 473"/>
              <a:gd name="T55" fmla="*/ 0 h 407"/>
              <a:gd name="T56" fmla="*/ 0 w 473"/>
              <a:gd name="T57" fmla="*/ 0 h 407"/>
              <a:gd name="T58" fmla="*/ 0 w 473"/>
              <a:gd name="T59" fmla="*/ 0 h 407"/>
              <a:gd name="T60" fmla="*/ 0 w 473"/>
              <a:gd name="T61" fmla="*/ 0 h 407"/>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w 473"/>
              <a:gd name="T94" fmla="*/ 0 h 407"/>
              <a:gd name="T95" fmla="*/ 473 w 473"/>
              <a:gd name="T96" fmla="*/ 407 h 407"/>
            </a:gdLst>
            <a:ahLst/>
            <a:cxnLst>
              <a:cxn ang="T62">
                <a:pos x="T0" y="T1"/>
              </a:cxn>
              <a:cxn ang="T63">
                <a:pos x="T2" y="T3"/>
              </a:cxn>
              <a:cxn ang="T64">
                <a:pos x="T4" y="T5"/>
              </a:cxn>
              <a:cxn ang="T65">
                <a:pos x="T6" y="T7"/>
              </a:cxn>
              <a:cxn ang="T66">
                <a:pos x="T8" y="T9"/>
              </a:cxn>
              <a:cxn ang="T67">
                <a:pos x="T10" y="T11"/>
              </a:cxn>
              <a:cxn ang="T68">
                <a:pos x="T12" y="T13"/>
              </a:cxn>
              <a:cxn ang="T69">
                <a:pos x="T14" y="T15"/>
              </a:cxn>
              <a:cxn ang="T70">
                <a:pos x="T16" y="T17"/>
              </a:cxn>
              <a:cxn ang="T71">
                <a:pos x="T18" y="T19"/>
              </a:cxn>
              <a:cxn ang="T72">
                <a:pos x="T20" y="T21"/>
              </a:cxn>
              <a:cxn ang="T73">
                <a:pos x="T22" y="T23"/>
              </a:cxn>
              <a:cxn ang="T74">
                <a:pos x="T24" y="T25"/>
              </a:cxn>
              <a:cxn ang="T75">
                <a:pos x="T26" y="T27"/>
              </a:cxn>
              <a:cxn ang="T76">
                <a:pos x="T28" y="T29"/>
              </a:cxn>
              <a:cxn ang="T77">
                <a:pos x="T30" y="T31"/>
              </a:cxn>
              <a:cxn ang="T78">
                <a:pos x="T32" y="T33"/>
              </a:cxn>
              <a:cxn ang="T79">
                <a:pos x="T34" y="T35"/>
              </a:cxn>
              <a:cxn ang="T80">
                <a:pos x="T36" y="T37"/>
              </a:cxn>
              <a:cxn ang="T81">
                <a:pos x="T38" y="T39"/>
              </a:cxn>
              <a:cxn ang="T82">
                <a:pos x="T40" y="T41"/>
              </a:cxn>
              <a:cxn ang="T83">
                <a:pos x="T42" y="T43"/>
              </a:cxn>
              <a:cxn ang="T84">
                <a:pos x="T44" y="T45"/>
              </a:cxn>
              <a:cxn ang="T85">
                <a:pos x="T46" y="T47"/>
              </a:cxn>
              <a:cxn ang="T86">
                <a:pos x="T48" y="T49"/>
              </a:cxn>
              <a:cxn ang="T87">
                <a:pos x="T50" y="T51"/>
              </a:cxn>
              <a:cxn ang="T88">
                <a:pos x="T52" y="T53"/>
              </a:cxn>
              <a:cxn ang="T89">
                <a:pos x="T54" y="T55"/>
              </a:cxn>
              <a:cxn ang="T90">
                <a:pos x="T56" y="T57"/>
              </a:cxn>
              <a:cxn ang="T91">
                <a:pos x="T58" y="T59"/>
              </a:cxn>
              <a:cxn ang="T92">
                <a:pos x="T60" y="T61"/>
              </a:cxn>
            </a:cxnLst>
            <a:rect l="T93" t="T94" r="T95" b="T96"/>
            <a:pathLst>
              <a:path w="473" h="407">
                <a:moveTo>
                  <a:pt x="158" y="53"/>
                </a:moveTo>
                <a:lnTo>
                  <a:pt x="183" y="26"/>
                </a:lnTo>
                <a:lnTo>
                  <a:pt x="199" y="9"/>
                </a:lnTo>
                <a:lnTo>
                  <a:pt x="224" y="0"/>
                </a:lnTo>
                <a:lnTo>
                  <a:pt x="246" y="0"/>
                </a:lnTo>
                <a:lnTo>
                  <a:pt x="262" y="9"/>
                </a:lnTo>
                <a:lnTo>
                  <a:pt x="276" y="20"/>
                </a:lnTo>
                <a:lnTo>
                  <a:pt x="284" y="34"/>
                </a:lnTo>
                <a:lnTo>
                  <a:pt x="284" y="191"/>
                </a:lnTo>
                <a:lnTo>
                  <a:pt x="343" y="123"/>
                </a:lnTo>
                <a:lnTo>
                  <a:pt x="449" y="123"/>
                </a:lnTo>
                <a:lnTo>
                  <a:pt x="462" y="135"/>
                </a:lnTo>
                <a:lnTo>
                  <a:pt x="468" y="147"/>
                </a:lnTo>
                <a:lnTo>
                  <a:pt x="472" y="157"/>
                </a:lnTo>
                <a:lnTo>
                  <a:pt x="469" y="177"/>
                </a:lnTo>
                <a:lnTo>
                  <a:pt x="336" y="336"/>
                </a:lnTo>
                <a:lnTo>
                  <a:pt x="287" y="336"/>
                </a:lnTo>
                <a:lnTo>
                  <a:pt x="287" y="406"/>
                </a:lnTo>
                <a:lnTo>
                  <a:pt x="227" y="406"/>
                </a:lnTo>
                <a:lnTo>
                  <a:pt x="227" y="275"/>
                </a:lnTo>
                <a:lnTo>
                  <a:pt x="173" y="337"/>
                </a:lnTo>
                <a:lnTo>
                  <a:pt x="39" y="337"/>
                </a:lnTo>
                <a:lnTo>
                  <a:pt x="29" y="333"/>
                </a:lnTo>
                <a:lnTo>
                  <a:pt x="17" y="319"/>
                </a:lnTo>
                <a:lnTo>
                  <a:pt x="11" y="312"/>
                </a:lnTo>
                <a:lnTo>
                  <a:pt x="3" y="302"/>
                </a:lnTo>
                <a:lnTo>
                  <a:pt x="0" y="291"/>
                </a:lnTo>
                <a:lnTo>
                  <a:pt x="0" y="278"/>
                </a:lnTo>
                <a:lnTo>
                  <a:pt x="2" y="268"/>
                </a:lnTo>
                <a:lnTo>
                  <a:pt x="6" y="262"/>
                </a:lnTo>
                <a:lnTo>
                  <a:pt x="158" y="53"/>
                </a:lnTo>
              </a:path>
            </a:pathLst>
          </a:custGeom>
          <a:solidFill>
            <a:srgbClr val="FFD521"/>
          </a:solidFill>
          <a:ln>
            <a:noFill/>
          </a:ln>
          <a:extLst>
            <a:ext uri="{91240B29-F687-4F45-9708-019B960494DF}">
              <a14:hiddenLine xmlns:a14="http://schemas.microsoft.com/office/drawing/2010/main" w="9525" cap="rnd">
                <a:solidFill>
                  <a:srgbClr val="000000"/>
                </a:solidFill>
                <a:round/>
                <a:headEnd/>
                <a:tailEnd/>
              </a14:hiddenLine>
            </a:ext>
          </a:extLst>
        </xdr:spPr>
      </xdr:sp>
      <xdr:sp macro="" textlink="">
        <xdr:nvSpPr>
          <xdr:cNvPr id="62942294" name="Oval 11">
            <a:extLst>
              <a:ext uri="{FF2B5EF4-FFF2-40B4-BE49-F238E27FC236}">
                <a16:creationId xmlns:a16="http://schemas.microsoft.com/office/drawing/2014/main" id="{9EB2DCFA-16E4-42B8-87BF-2DD64BE2F555}"/>
              </a:ext>
            </a:extLst>
          </xdr:cNvPr>
          <xdr:cNvSpPr>
            <a:spLocks noChangeAspect="1" noChangeArrowheads="1"/>
          </xdr:cNvSpPr>
        </xdr:nvSpPr>
        <xdr:spPr bwMode="auto">
          <a:xfrm>
            <a:off x="3522" y="2089"/>
            <a:ext cx="42" cy="37"/>
          </a:xfrm>
          <a:prstGeom prst="ellipse">
            <a:avLst/>
          </a:prstGeom>
          <a:solidFill>
            <a:srgbClr val="72C7FF"/>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62942295" name="Oval 12">
            <a:extLst>
              <a:ext uri="{FF2B5EF4-FFF2-40B4-BE49-F238E27FC236}">
                <a16:creationId xmlns:a16="http://schemas.microsoft.com/office/drawing/2014/main" id="{DD365655-C129-4B42-A908-2EEBFD2C9AE3}"/>
              </a:ext>
            </a:extLst>
          </xdr:cNvPr>
          <xdr:cNvSpPr>
            <a:spLocks noChangeAspect="1" noChangeArrowheads="1"/>
          </xdr:cNvSpPr>
        </xdr:nvSpPr>
        <xdr:spPr bwMode="auto">
          <a:xfrm>
            <a:off x="3651" y="2094"/>
            <a:ext cx="35" cy="31"/>
          </a:xfrm>
          <a:prstGeom prst="ellipse">
            <a:avLst/>
          </a:prstGeom>
          <a:solidFill>
            <a:srgbClr val="EC0000"/>
          </a:solidFill>
          <a:ln>
            <a:noFill/>
          </a:ln>
          <a:extLst>
            <a:ext uri="{91240B29-F687-4F45-9708-019B960494DF}">
              <a14:hiddenLine xmlns:a14="http://schemas.microsoft.com/office/drawing/2010/main" w="3175">
                <a:solidFill>
                  <a:srgbClr val="000000"/>
                </a:solidFill>
                <a:round/>
                <a:headEnd type="none" w="sm" len="sm"/>
                <a:tailEnd type="none" w="sm" len="sm"/>
              </a14:hiddenLine>
            </a:ext>
          </a:extLst>
        </xdr:spPr>
      </xdr:sp>
      <xdr:sp macro="" textlink="">
        <xdr:nvSpPr>
          <xdr:cNvPr id="62942296" name="Freeform 13">
            <a:extLst>
              <a:ext uri="{FF2B5EF4-FFF2-40B4-BE49-F238E27FC236}">
                <a16:creationId xmlns:a16="http://schemas.microsoft.com/office/drawing/2014/main" id="{E349C4D4-BD2E-4351-8903-1BA116EECC91}"/>
              </a:ext>
            </a:extLst>
          </xdr:cNvPr>
          <xdr:cNvSpPr>
            <a:spLocks noChangeAspect="1"/>
          </xdr:cNvSpPr>
        </xdr:nvSpPr>
        <xdr:spPr bwMode="auto">
          <a:xfrm>
            <a:off x="3716" y="2073"/>
            <a:ext cx="49" cy="70"/>
          </a:xfrm>
          <a:custGeom>
            <a:avLst/>
            <a:gdLst>
              <a:gd name="T0" fmla="*/ 0 w 141"/>
              <a:gd name="T1" fmla="*/ 0 h 214"/>
              <a:gd name="T2" fmla="*/ 0 w 141"/>
              <a:gd name="T3" fmla="*/ 0 h 214"/>
              <a:gd name="T4" fmla="*/ 0 w 141"/>
              <a:gd name="T5" fmla="*/ 0 h 214"/>
              <a:gd name="T6" fmla="*/ 0 w 141"/>
              <a:gd name="T7" fmla="*/ 0 h 214"/>
              <a:gd name="T8" fmla="*/ 0 w 141"/>
              <a:gd name="T9" fmla="*/ 0 h 214"/>
              <a:gd name="T10" fmla="*/ 0 w 141"/>
              <a:gd name="T11" fmla="*/ 0 h 214"/>
              <a:gd name="T12" fmla="*/ 0 w 141"/>
              <a:gd name="T13" fmla="*/ 0 h 214"/>
              <a:gd name="T14" fmla="*/ 0 w 141"/>
              <a:gd name="T15" fmla="*/ 0 h 214"/>
              <a:gd name="T16" fmla="*/ 0 w 141"/>
              <a:gd name="T17" fmla="*/ 0 h 214"/>
              <a:gd name="T18" fmla="*/ 0 w 141"/>
              <a:gd name="T19" fmla="*/ 0 h 214"/>
              <a:gd name="T20" fmla="*/ 0 w 141"/>
              <a:gd name="T21" fmla="*/ 0 h 214"/>
              <a:gd name="T22" fmla="*/ 0 w 141"/>
              <a:gd name="T23" fmla="*/ 0 h 214"/>
              <a:gd name="T24" fmla="*/ 0 w 141"/>
              <a:gd name="T25" fmla="*/ 0 h 214"/>
              <a:gd name="T26" fmla="*/ 0 w 141"/>
              <a:gd name="T27" fmla="*/ 0 h 214"/>
              <a:gd name="T28" fmla="*/ 0 w 141"/>
              <a:gd name="T29" fmla="*/ 0 h 214"/>
              <a:gd name="T30" fmla="*/ 0 w 141"/>
              <a:gd name="T31" fmla="*/ 0 h 214"/>
              <a:gd name="T32" fmla="*/ 0 w 141"/>
              <a:gd name="T33" fmla="*/ 0 h 214"/>
              <a:gd name="T34" fmla="*/ 0 w 141"/>
              <a:gd name="T35" fmla="*/ 0 h 214"/>
              <a:gd name="T36" fmla="*/ 0 w 141"/>
              <a:gd name="T37" fmla="*/ 0 h 214"/>
              <a:gd name="T38" fmla="*/ 0 w 141"/>
              <a:gd name="T39" fmla="*/ 0 h 214"/>
              <a:gd name="T40" fmla="*/ 0 w 141"/>
              <a:gd name="T41" fmla="*/ 0 h 214"/>
              <a:gd name="T42" fmla="*/ 0 w 141"/>
              <a:gd name="T43" fmla="*/ 0 h 214"/>
              <a:gd name="T44" fmla="*/ 0 w 141"/>
              <a:gd name="T45" fmla="*/ 0 h 214"/>
              <a:gd name="T46" fmla="*/ 0 w 141"/>
              <a:gd name="T47" fmla="*/ 0 h 214"/>
              <a:gd name="T48" fmla="*/ 0 w 141"/>
              <a:gd name="T49" fmla="*/ 0 h 214"/>
              <a:gd name="T50" fmla="*/ 0 w 141"/>
              <a:gd name="T51" fmla="*/ 0 h 214"/>
              <a:gd name="T52" fmla="*/ 0 w 141"/>
              <a:gd name="T53" fmla="*/ 0 h 214"/>
              <a:gd name="T54" fmla="*/ 0 w 141"/>
              <a:gd name="T55" fmla="*/ 0 h 214"/>
              <a:gd name="T56" fmla="*/ 0 w 141"/>
              <a:gd name="T57" fmla="*/ 0 h 214"/>
              <a:gd name="T58" fmla="*/ 0 w 141"/>
              <a:gd name="T59" fmla="*/ 0 h 214"/>
              <a:gd name="T60" fmla="*/ 0 w 141"/>
              <a:gd name="T61" fmla="*/ 0 h 214"/>
              <a:gd name="T62" fmla="*/ 0 w 141"/>
              <a:gd name="T63" fmla="*/ 0 h 214"/>
              <a:gd name="T64" fmla="*/ 0 w 141"/>
              <a:gd name="T65" fmla="*/ 0 h 214"/>
              <a:gd name="T66" fmla="*/ 0 w 141"/>
              <a:gd name="T67" fmla="*/ 0 h 214"/>
              <a:gd name="T68" fmla="*/ 0 w 141"/>
              <a:gd name="T69" fmla="*/ 0 h 214"/>
              <a:gd name="T70" fmla="*/ 0 w 141"/>
              <a:gd name="T71" fmla="*/ 0 h 214"/>
              <a:gd name="T72" fmla="*/ 0 w 141"/>
              <a:gd name="T73" fmla="*/ 0 h 214"/>
              <a:gd name="T74" fmla="*/ 0 w 141"/>
              <a:gd name="T75" fmla="*/ 0 h 214"/>
              <a:gd name="T76" fmla="*/ 0 w 141"/>
              <a:gd name="T77" fmla="*/ 0 h 214"/>
              <a:gd name="T78" fmla="*/ 0 w 141"/>
              <a:gd name="T79" fmla="*/ 0 h 214"/>
              <a:gd name="T80" fmla="*/ 0 w 141"/>
              <a:gd name="T81" fmla="*/ 0 h 214"/>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w 141"/>
              <a:gd name="T124" fmla="*/ 0 h 214"/>
              <a:gd name="T125" fmla="*/ 141 w 141"/>
              <a:gd name="T126" fmla="*/ 214 h 214"/>
            </a:gdLst>
            <a:ahLst/>
            <a:cxnLst>
              <a:cxn ang="T82">
                <a:pos x="T0" y="T1"/>
              </a:cxn>
              <a:cxn ang="T83">
                <a:pos x="T2" y="T3"/>
              </a:cxn>
              <a:cxn ang="T84">
                <a:pos x="T4" y="T5"/>
              </a:cxn>
              <a:cxn ang="T85">
                <a:pos x="T6" y="T7"/>
              </a:cxn>
              <a:cxn ang="T86">
                <a:pos x="T8" y="T9"/>
              </a:cxn>
              <a:cxn ang="T87">
                <a:pos x="T10" y="T11"/>
              </a:cxn>
              <a:cxn ang="T88">
                <a:pos x="T12" y="T13"/>
              </a:cxn>
              <a:cxn ang="T89">
                <a:pos x="T14" y="T15"/>
              </a:cxn>
              <a:cxn ang="T90">
                <a:pos x="T16" y="T17"/>
              </a:cxn>
              <a:cxn ang="T91">
                <a:pos x="T18" y="T19"/>
              </a:cxn>
              <a:cxn ang="T92">
                <a:pos x="T20" y="T21"/>
              </a:cxn>
              <a:cxn ang="T93">
                <a:pos x="T22" y="T23"/>
              </a:cxn>
              <a:cxn ang="T94">
                <a:pos x="T24" y="T25"/>
              </a:cxn>
              <a:cxn ang="T95">
                <a:pos x="T26" y="T27"/>
              </a:cxn>
              <a:cxn ang="T96">
                <a:pos x="T28" y="T29"/>
              </a:cxn>
              <a:cxn ang="T97">
                <a:pos x="T30" y="T31"/>
              </a:cxn>
              <a:cxn ang="T98">
                <a:pos x="T32" y="T33"/>
              </a:cxn>
              <a:cxn ang="T99">
                <a:pos x="T34" y="T35"/>
              </a:cxn>
              <a:cxn ang="T100">
                <a:pos x="T36" y="T37"/>
              </a:cxn>
              <a:cxn ang="T101">
                <a:pos x="T38" y="T39"/>
              </a:cxn>
              <a:cxn ang="T102">
                <a:pos x="T40" y="T41"/>
              </a:cxn>
              <a:cxn ang="T103">
                <a:pos x="T42" y="T43"/>
              </a:cxn>
              <a:cxn ang="T104">
                <a:pos x="T44" y="T45"/>
              </a:cxn>
              <a:cxn ang="T105">
                <a:pos x="T46" y="T47"/>
              </a:cxn>
              <a:cxn ang="T106">
                <a:pos x="T48" y="T49"/>
              </a:cxn>
              <a:cxn ang="T107">
                <a:pos x="T50" y="T51"/>
              </a:cxn>
              <a:cxn ang="T108">
                <a:pos x="T52" y="T53"/>
              </a:cxn>
              <a:cxn ang="T109">
                <a:pos x="T54" y="T55"/>
              </a:cxn>
              <a:cxn ang="T110">
                <a:pos x="T56" y="T57"/>
              </a:cxn>
              <a:cxn ang="T111">
                <a:pos x="T58" y="T59"/>
              </a:cxn>
              <a:cxn ang="T112">
                <a:pos x="T60" y="T61"/>
              </a:cxn>
              <a:cxn ang="T113">
                <a:pos x="T62" y="T63"/>
              </a:cxn>
              <a:cxn ang="T114">
                <a:pos x="T64" y="T65"/>
              </a:cxn>
              <a:cxn ang="T115">
                <a:pos x="T66" y="T67"/>
              </a:cxn>
              <a:cxn ang="T116">
                <a:pos x="T68" y="T69"/>
              </a:cxn>
              <a:cxn ang="T117">
                <a:pos x="T70" y="T71"/>
              </a:cxn>
              <a:cxn ang="T118">
                <a:pos x="T72" y="T73"/>
              </a:cxn>
              <a:cxn ang="T119">
                <a:pos x="T74" y="T75"/>
              </a:cxn>
              <a:cxn ang="T120">
                <a:pos x="T76" y="T77"/>
              </a:cxn>
              <a:cxn ang="T121">
                <a:pos x="T78" y="T79"/>
              </a:cxn>
              <a:cxn ang="T122">
                <a:pos x="T80" y="T81"/>
              </a:cxn>
            </a:cxnLst>
            <a:rect l="T123" t="T124" r="T125" b="T126"/>
            <a:pathLst>
              <a:path w="141" h="214">
                <a:moveTo>
                  <a:pt x="140" y="0"/>
                </a:moveTo>
                <a:lnTo>
                  <a:pt x="34" y="0"/>
                </a:lnTo>
                <a:lnTo>
                  <a:pt x="23" y="6"/>
                </a:lnTo>
                <a:lnTo>
                  <a:pt x="11" y="17"/>
                </a:lnTo>
                <a:lnTo>
                  <a:pt x="4" y="26"/>
                </a:lnTo>
                <a:lnTo>
                  <a:pt x="1" y="33"/>
                </a:lnTo>
                <a:lnTo>
                  <a:pt x="0" y="34"/>
                </a:lnTo>
                <a:lnTo>
                  <a:pt x="0" y="36"/>
                </a:lnTo>
                <a:lnTo>
                  <a:pt x="0" y="50"/>
                </a:lnTo>
                <a:lnTo>
                  <a:pt x="0" y="74"/>
                </a:lnTo>
                <a:lnTo>
                  <a:pt x="0" y="97"/>
                </a:lnTo>
                <a:lnTo>
                  <a:pt x="0" y="111"/>
                </a:lnTo>
                <a:lnTo>
                  <a:pt x="0" y="125"/>
                </a:lnTo>
                <a:lnTo>
                  <a:pt x="0" y="135"/>
                </a:lnTo>
                <a:lnTo>
                  <a:pt x="0" y="149"/>
                </a:lnTo>
                <a:lnTo>
                  <a:pt x="0" y="154"/>
                </a:lnTo>
                <a:lnTo>
                  <a:pt x="0" y="159"/>
                </a:lnTo>
                <a:lnTo>
                  <a:pt x="0" y="165"/>
                </a:lnTo>
                <a:lnTo>
                  <a:pt x="0" y="189"/>
                </a:lnTo>
                <a:lnTo>
                  <a:pt x="12" y="200"/>
                </a:lnTo>
                <a:lnTo>
                  <a:pt x="27" y="210"/>
                </a:lnTo>
                <a:lnTo>
                  <a:pt x="44" y="213"/>
                </a:lnTo>
                <a:lnTo>
                  <a:pt x="89" y="213"/>
                </a:lnTo>
                <a:lnTo>
                  <a:pt x="104" y="199"/>
                </a:lnTo>
                <a:lnTo>
                  <a:pt x="114" y="185"/>
                </a:lnTo>
                <a:lnTo>
                  <a:pt x="130" y="168"/>
                </a:lnTo>
                <a:lnTo>
                  <a:pt x="137" y="154"/>
                </a:lnTo>
                <a:lnTo>
                  <a:pt x="137" y="151"/>
                </a:lnTo>
                <a:lnTo>
                  <a:pt x="126" y="156"/>
                </a:lnTo>
                <a:lnTo>
                  <a:pt x="103" y="156"/>
                </a:lnTo>
                <a:lnTo>
                  <a:pt x="82" y="152"/>
                </a:lnTo>
                <a:lnTo>
                  <a:pt x="67" y="142"/>
                </a:lnTo>
                <a:lnTo>
                  <a:pt x="60" y="133"/>
                </a:lnTo>
                <a:lnTo>
                  <a:pt x="56" y="132"/>
                </a:lnTo>
                <a:lnTo>
                  <a:pt x="56" y="91"/>
                </a:lnTo>
                <a:lnTo>
                  <a:pt x="67" y="84"/>
                </a:lnTo>
                <a:lnTo>
                  <a:pt x="74" y="75"/>
                </a:lnTo>
                <a:lnTo>
                  <a:pt x="84" y="68"/>
                </a:lnTo>
                <a:lnTo>
                  <a:pt x="88" y="67"/>
                </a:lnTo>
                <a:lnTo>
                  <a:pt x="137" y="67"/>
                </a:lnTo>
                <a:lnTo>
                  <a:pt x="140" y="0"/>
                </a:lnTo>
              </a:path>
            </a:pathLst>
          </a:custGeom>
          <a:solidFill>
            <a:srgbClr val="FFD521"/>
          </a:solidFill>
          <a:ln>
            <a:noFill/>
          </a:ln>
          <a:extLst>
            <a:ext uri="{91240B29-F687-4F45-9708-019B960494DF}">
              <a14:hiddenLine xmlns:a14="http://schemas.microsoft.com/office/drawing/2010/main" w="9525" cap="rnd">
                <a:solidFill>
                  <a:srgbClr val="000000"/>
                </a:solidFill>
                <a:round/>
                <a:headEnd/>
                <a:tailEnd/>
              </a14:hiddenLine>
            </a:ext>
          </a:extLst>
        </xdr:spPr>
      </xdr:sp>
      <xdr:sp macro="" textlink="">
        <xdr:nvSpPr>
          <xdr:cNvPr id="62942297" name="Freeform 14">
            <a:extLst>
              <a:ext uri="{FF2B5EF4-FFF2-40B4-BE49-F238E27FC236}">
                <a16:creationId xmlns:a16="http://schemas.microsoft.com/office/drawing/2014/main" id="{BC346CD4-C1B3-44A1-BD58-D840F464FD3D}"/>
              </a:ext>
            </a:extLst>
          </xdr:cNvPr>
          <xdr:cNvSpPr>
            <a:spLocks noChangeAspect="1"/>
          </xdr:cNvSpPr>
        </xdr:nvSpPr>
        <xdr:spPr bwMode="auto">
          <a:xfrm>
            <a:off x="3769" y="2052"/>
            <a:ext cx="73" cy="92"/>
          </a:xfrm>
          <a:custGeom>
            <a:avLst/>
            <a:gdLst>
              <a:gd name="T0" fmla="*/ 0 w 211"/>
              <a:gd name="T1" fmla="*/ 0 h 281"/>
              <a:gd name="T2" fmla="*/ 0 w 211"/>
              <a:gd name="T3" fmla="*/ 0 h 281"/>
              <a:gd name="T4" fmla="*/ 0 w 211"/>
              <a:gd name="T5" fmla="*/ 0 h 281"/>
              <a:gd name="T6" fmla="*/ 0 w 211"/>
              <a:gd name="T7" fmla="*/ 0 h 281"/>
              <a:gd name="T8" fmla="*/ 0 w 211"/>
              <a:gd name="T9" fmla="*/ 0 h 281"/>
              <a:gd name="T10" fmla="*/ 0 w 211"/>
              <a:gd name="T11" fmla="*/ 0 h 281"/>
              <a:gd name="T12" fmla="*/ 0 w 211"/>
              <a:gd name="T13" fmla="*/ 0 h 281"/>
              <a:gd name="T14" fmla="*/ 0 w 211"/>
              <a:gd name="T15" fmla="*/ 0 h 281"/>
              <a:gd name="T16" fmla="*/ 0 w 211"/>
              <a:gd name="T17" fmla="*/ 0 h 281"/>
              <a:gd name="T18" fmla="*/ 0 w 211"/>
              <a:gd name="T19" fmla="*/ 0 h 281"/>
              <a:gd name="T20" fmla="*/ 0 w 211"/>
              <a:gd name="T21" fmla="*/ 0 h 281"/>
              <a:gd name="T22" fmla="*/ 0 w 211"/>
              <a:gd name="T23" fmla="*/ 0 h 281"/>
              <a:gd name="T24" fmla="*/ 0 w 211"/>
              <a:gd name="T25" fmla="*/ 0 h 281"/>
              <a:gd name="T26" fmla="*/ 0 w 211"/>
              <a:gd name="T27" fmla="*/ 0 h 281"/>
              <a:gd name="T28" fmla="*/ 0 w 211"/>
              <a:gd name="T29" fmla="*/ 0 h 281"/>
              <a:gd name="T30" fmla="*/ 0 w 211"/>
              <a:gd name="T31" fmla="*/ 0 h 281"/>
              <a:gd name="T32" fmla="*/ 0 w 211"/>
              <a:gd name="T33" fmla="*/ 0 h 281"/>
              <a:gd name="T34" fmla="*/ 0 w 211"/>
              <a:gd name="T35" fmla="*/ 0 h 281"/>
              <a:gd name="T36" fmla="*/ 0 w 211"/>
              <a:gd name="T37" fmla="*/ 0 h 281"/>
              <a:gd name="T38" fmla="*/ 0 w 211"/>
              <a:gd name="T39" fmla="*/ 0 h 281"/>
              <a:gd name="T40" fmla="*/ 0 w 211"/>
              <a:gd name="T41" fmla="*/ 0 h 281"/>
              <a:gd name="T42" fmla="*/ 0 w 211"/>
              <a:gd name="T43" fmla="*/ 0 h 281"/>
              <a:gd name="T44" fmla="*/ 0 w 211"/>
              <a:gd name="T45" fmla="*/ 0 h 281"/>
              <a:gd name="T46" fmla="*/ 0 w 211"/>
              <a:gd name="T47" fmla="*/ 0 h 281"/>
              <a:gd name="T48" fmla="*/ 0 w 211"/>
              <a:gd name="T49" fmla="*/ 0 h 281"/>
              <a:gd name="T50" fmla="*/ 0 w 211"/>
              <a:gd name="T51" fmla="*/ 0 h 281"/>
              <a:gd name="T52" fmla="*/ 0 w 211"/>
              <a:gd name="T53" fmla="*/ 0 h 281"/>
              <a:gd name="T54" fmla="*/ 0 w 211"/>
              <a:gd name="T55" fmla="*/ 0 h 281"/>
              <a:gd name="T56" fmla="*/ 0 w 211"/>
              <a:gd name="T57" fmla="*/ 0 h 281"/>
              <a:gd name="T58" fmla="*/ 0 w 211"/>
              <a:gd name="T59" fmla="*/ 0 h 281"/>
              <a:gd name="T60" fmla="*/ 0 w 211"/>
              <a:gd name="T61" fmla="*/ 0 h 281"/>
              <a:gd name="T62" fmla="*/ 0 w 211"/>
              <a:gd name="T63" fmla="*/ 0 h 281"/>
              <a:gd name="T64" fmla="*/ 0 w 211"/>
              <a:gd name="T65" fmla="*/ 0 h 281"/>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w 211"/>
              <a:gd name="T100" fmla="*/ 0 h 281"/>
              <a:gd name="T101" fmla="*/ 211 w 211"/>
              <a:gd name="T102" fmla="*/ 281 h 281"/>
            </a:gdLst>
            <a:ahLst/>
            <a:cxnLst>
              <a:cxn ang="T66">
                <a:pos x="T0" y="T1"/>
              </a:cxn>
              <a:cxn ang="T67">
                <a:pos x="T2" y="T3"/>
              </a:cxn>
              <a:cxn ang="T68">
                <a:pos x="T4" y="T5"/>
              </a:cxn>
              <a:cxn ang="T69">
                <a:pos x="T6" y="T7"/>
              </a:cxn>
              <a:cxn ang="T70">
                <a:pos x="T8" y="T9"/>
              </a:cxn>
              <a:cxn ang="T71">
                <a:pos x="T10" y="T11"/>
              </a:cxn>
              <a:cxn ang="T72">
                <a:pos x="T12" y="T13"/>
              </a:cxn>
              <a:cxn ang="T73">
                <a:pos x="T14" y="T15"/>
              </a:cxn>
              <a:cxn ang="T74">
                <a:pos x="T16" y="T17"/>
              </a:cxn>
              <a:cxn ang="T75">
                <a:pos x="T18" y="T19"/>
              </a:cxn>
              <a:cxn ang="T76">
                <a:pos x="T20" y="T21"/>
              </a:cxn>
              <a:cxn ang="T77">
                <a:pos x="T22" y="T23"/>
              </a:cxn>
              <a:cxn ang="T78">
                <a:pos x="T24" y="T25"/>
              </a:cxn>
              <a:cxn ang="T79">
                <a:pos x="T26" y="T27"/>
              </a:cxn>
              <a:cxn ang="T80">
                <a:pos x="T28" y="T29"/>
              </a:cxn>
              <a:cxn ang="T81">
                <a:pos x="T30" y="T31"/>
              </a:cxn>
              <a:cxn ang="T82">
                <a:pos x="T32" y="T33"/>
              </a:cxn>
              <a:cxn ang="T83">
                <a:pos x="T34" y="T35"/>
              </a:cxn>
              <a:cxn ang="T84">
                <a:pos x="T36" y="T37"/>
              </a:cxn>
              <a:cxn ang="T85">
                <a:pos x="T38" y="T39"/>
              </a:cxn>
              <a:cxn ang="T86">
                <a:pos x="T40" y="T41"/>
              </a:cxn>
              <a:cxn ang="T87">
                <a:pos x="T42" y="T43"/>
              </a:cxn>
              <a:cxn ang="T88">
                <a:pos x="T44" y="T45"/>
              </a:cxn>
              <a:cxn ang="T89">
                <a:pos x="T46" y="T47"/>
              </a:cxn>
              <a:cxn ang="T90">
                <a:pos x="T48" y="T49"/>
              </a:cxn>
              <a:cxn ang="T91">
                <a:pos x="T50" y="T51"/>
              </a:cxn>
              <a:cxn ang="T92">
                <a:pos x="T52" y="T53"/>
              </a:cxn>
              <a:cxn ang="T93">
                <a:pos x="T54" y="T55"/>
              </a:cxn>
              <a:cxn ang="T94">
                <a:pos x="T56" y="T57"/>
              </a:cxn>
              <a:cxn ang="T95">
                <a:pos x="T58" y="T59"/>
              </a:cxn>
              <a:cxn ang="T96">
                <a:pos x="T60" y="T61"/>
              </a:cxn>
              <a:cxn ang="T97">
                <a:pos x="T62" y="T63"/>
              </a:cxn>
              <a:cxn ang="T98">
                <a:pos x="T64" y="T65"/>
              </a:cxn>
            </a:cxnLst>
            <a:rect l="T99" t="T100" r="T101" b="T102"/>
            <a:pathLst>
              <a:path w="211" h="281">
                <a:moveTo>
                  <a:pt x="0" y="0"/>
                </a:moveTo>
                <a:lnTo>
                  <a:pt x="0" y="280"/>
                </a:lnTo>
                <a:lnTo>
                  <a:pt x="55" y="280"/>
                </a:lnTo>
                <a:lnTo>
                  <a:pt x="55" y="140"/>
                </a:lnTo>
                <a:lnTo>
                  <a:pt x="58" y="134"/>
                </a:lnTo>
                <a:lnTo>
                  <a:pt x="68" y="130"/>
                </a:lnTo>
                <a:lnTo>
                  <a:pt x="73" y="126"/>
                </a:lnTo>
                <a:lnTo>
                  <a:pt x="81" y="124"/>
                </a:lnTo>
                <a:lnTo>
                  <a:pt x="87" y="120"/>
                </a:lnTo>
                <a:lnTo>
                  <a:pt x="88" y="119"/>
                </a:lnTo>
                <a:lnTo>
                  <a:pt x="132" y="119"/>
                </a:lnTo>
                <a:lnTo>
                  <a:pt x="143" y="124"/>
                </a:lnTo>
                <a:lnTo>
                  <a:pt x="149" y="129"/>
                </a:lnTo>
                <a:lnTo>
                  <a:pt x="151" y="140"/>
                </a:lnTo>
                <a:lnTo>
                  <a:pt x="151" y="278"/>
                </a:lnTo>
                <a:lnTo>
                  <a:pt x="210" y="278"/>
                </a:lnTo>
                <a:lnTo>
                  <a:pt x="210" y="99"/>
                </a:lnTo>
                <a:lnTo>
                  <a:pt x="206" y="92"/>
                </a:lnTo>
                <a:lnTo>
                  <a:pt x="202" y="86"/>
                </a:lnTo>
                <a:lnTo>
                  <a:pt x="195" y="79"/>
                </a:lnTo>
                <a:lnTo>
                  <a:pt x="187" y="75"/>
                </a:lnTo>
                <a:lnTo>
                  <a:pt x="184" y="68"/>
                </a:lnTo>
                <a:lnTo>
                  <a:pt x="182" y="68"/>
                </a:lnTo>
                <a:lnTo>
                  <a:pt x="101" y="68"/>
                </a:lnTo>
                <a:lnTo>
                  <a:pt x="95" y="71"/>
                </a:lnTo>
                <a:lnTo>
                  <a:pt x="88" y="79"/>
                </a:lnTo>
                <a:lnTo>
                  <a:pt x="81" y="88"/>
                </a:lnTo>
                <a:lnTo>
                  <a:pt x="77" y="96"/>
                </a:lnTo>
                <a:lnTo>
                  <a:pt x="72" y="103"/>
                </a:lnTo>
                <a:lnTo>
                  <a:pt x="58" y="112"/>
                </a:lnTo>
                <a:lnTo>
                  <a:pt x="55" y="113"/>
                </a:lnTo>
                <a:lnTo>
                  <a:pt x="55" y="0"/>
                </a:lnTo>
                <a:lnTo>
                  <a:pt x="0" y="0"/>
                </a:lnTo>
              </a:path>
            </a:pathLst>
          </a:custGeom>
          <a:solidFill>
            <a:srgbClr val="FFD521"/>
          </a:solidFill>
          <a:ln>
            <a:noFill/>
          </a:ln>
          <a:extLst>
            <a:ext uri="{91240B29-F687-4F45-9708-019B960494DF}">
              <a14:hiddenLine xmlns:a14="http://schemas.microsoft.com/office/drawing/2010/main" w="9525" cap="rnd">
                <a:solidFill>
                  <a:srgbClr val="000000"/>
                </a:solidFill>
                <a:round/>
                <a:headEnd/>
                <a:tailEnd/>
              </a14:hiddenLine>
            </a:ext>
          </a:extLst>
        </xdr:spPr>
      </xdr:sp>
      <xdr:sp macro="" textlink="">
        <xdr:nvSpPr>
          <xdr:cNvPr id="62942298" name="Freeform 15">
            <a:extLst>
              <a:ext uri="{FF2B5EF4-FFF2-40B4-BE49-F238E27FC236}">
                <a16:creationId xmlns:a16="http://schemas.microsoft.com/office/drawing/2014/main" id="{262AF095-21EC-46BE-8C80-82B032F5F0B7}"/>
              </a:ext>
            </a:extLst>
          </xdr:cNvPr>
          <xdr:cNvSpPr>
            <a:spLocks noChangeAspect="1"/>
          </xdr:cNvSpPr>
        </xdr:nvSpPr>
        <xdr:spPr bwMode="auto">
          <a:xfrm>
            <a:off x="3847" y="2073"/>
            <a:ext cx="60" cy="70"/>
          </a:xfrm>
          <a:custGeom>
            <a:avLst/>
            <a:gdLst>
              <a:gd name="T0" fmla="*/ 0 w 172"/>
              <a:gd name="T1" fmla="*/ 0 h 213"/>
              <a:gd name="T2" fmla="*/ 0 w 172"/>
              <a:gd name="T3" fmla="*/ 0 h 213"/>
              <a:gd name="T4" fmla="*/ 0 w 172"/>
              <a:gd name="T5" fmla="*/ 0 h 213"/>
              <a:gd name="T6" fmla="*/ 0 w 172"/>
              <a:gd name="T7" fmla="*/ 0 h 213"/>
              <a:gd name="T8" fmla="*/ 0 w 172"/>
              <a:gd name="T9" fmla="*/ 0 h 213"/>
              <a:gd name="T10" fmla="*/ 0 w 172"/>
              <a:gd name="T11" fmla="*/ 0 h 213"/>
              <a:gd name="T12" fmla="*/ 0 w 172"/>
              <a:gd name="T13" fmla="*/ 0 h 213"/>
              <a:gd name="T14" fmla="*/ 0 w 172"/>
              <a:gd name="T15" fmla="*/ 0 h 213"/>
              <a:gd name="T16" fmla="*/ 0 w 172"/>
              <a:gd name="T17" fmla="*/ 0 h 213"/>
              <a:gd name="T18" fmla="*/ 0 w 172"/>
              <a:gd name="T19" fmla="*/ 0 h 213"/>
              <a:gd name="T20" fmla="*/ 0 w 172"/>
              <a:gd name="T21" fmla="*/ 0 h 213"/>
              <a:gd name="T22" fmla="*/ 0 w 172"/>
              <a:gd name="T23" fmla="*/ 0 h 213"/>
              <a:gd name="T24" fmla="*/ 0 w 172"/>
              <a:gd name="T25" fmla="*/ 0 h 213"/>
              <a:gd name="T26" fmla="*/ 0 w 172"/>
              <a:gd name="T27" fmla="*/ 0 h 213"/>
              <a:gd name="T28" fmla="*/ 0 w 172"/>
              <a:gd name="T29" fmla="*/ 0 h 213"/>
              <a:gd name="T30" fmla="*/ 0 w 172"/>
              <a:gd name="T31" fmla="*/ 0 h 213"/>
              <a:gd name="T32" fmla="*/ 0 w 172"/>
              <a:gd name="T33" fmla="*/ 0 h 213"/>
              <a:gd name="T34" fmla="*/ 0 w 172"/>
              <a:gd name="T35" fmla="*/ 0 h 213"/>
              <a:gd name="T36" fmla="*/ 0 w 172"/>
              <a:gd name="T37" fmla="*/ 0 h 213"/>
              <a:gd name="T38" fmla="*/ 0 w 172"/>
              <a:gd name="T39" fmla="*/ 0 h 213"/>
              <a:gd name="T40" fmla="*/ 0 w 172"/>
              <a:gd name="T41" fmla="*/ 0 h 213"/>
              <a:gd name="T42" fmla="*/ 0 w 172"/>
              <a:gd name="T43" fmla="*/ 0 h 213"/>
              <a:gd name="T44" fmla="*/ 0 w 172"/>
              <a:gd name="T45" fmla="*/ 0 h 213"/>
              <a:gd name="T46" fmla="*/ 0 w 172"/>
              <a:gd name="T47" fmla="*/ 0 h 213"/>
              <a:gd name="T48" fmla="*/ 0 w 172"/>
              <a:gd name="T49" fmla="*/ 0 h 213"/>
              <a:gd name="T50" fmla="*/ 0 w 172"/>
              <a:gd name="T51" fmla="*/ 0 h 213"/>
              <a:gd name="T52" fmla="*/ 0 w 172"/>
              <a:gd name="T53" fmla="*/ 0 h 213"/>
              <a:gd name="T54" fmla="*/ 0 w 172"/>
              <a:gd name="T55" fmla="*/ 0 h 213"/>
              <a:gd name="T56" fmla="*/ 0 w 172"/>
              <a:gd name="T57" fmla="*/ 0 h 213"/>
              <a:gd name="T58" fmla="*/ 0 w 172"/>
              <a:gd name="T59" fmla="*/ 0 h 213"/>
              <a:gd name="T60" fmla="*/ 0 w 172"/>
              <a:gd name="T61" fmla="*/ 0 h 213"/>
              <a:gd name="T62" fmla="*/ 0 w 172"/>
              <a:gd name="T63" fmla="*/ 0 h 213"/>
              <a:gd name="T64" fmla="*/ 0 w 172"/>
              <a:gd name="T65" fmla="*/ 0 h 213"/>
              <a:gd name="T66" fmla="*/ 0 w 172"/>
              <a:gd name="T67" fmla="*/ 0 h 213"/>
              <a:gd name="T68" fmla="*/ 0 w 172"/>
              <a:gd name="T69" fmla="*/ 0 h 213"/>
              <a:gd name="T70" fmla="*/ 0 w 172"/>
              <a:gd name="T71" fmla="*/ 0 h 213"/>
              <a:gd name="T72" fmla="*/ 0 w 172"/>
              <a:gd name="T73" fmla="*/ 0 h 213"/>
              <a:gd name="T74" fmla="*/ 0 w 172"/>
              <a:gd name="T75" fmla="*/ 0 h 213"/>
              <a:gd name="T76" fmla="*/ 0 w 172"/>
              <a:gd name="T77" fmla="*/ 0 h 213"/>
              <a:gd name="T78" fmla="*/ 0 w 172"/>
              <a:gd name="T79" fmla="*/ 0 h 213"/>
              <a:gd name="T80" fmla="*/ 0 w 172"/>
              <a:gd name="T81" fmla="*/ 0 h 213"/>
              <a:gd name="T82" fmla="*/ 0 w 172"/>
              <a:gd name="T83" fmla="*/ 0 h 213"/>
              <a:gd name="T84" fmla="*/ 0 w 172"/>
              <a:gd name="T85" fmla="*/ 0 h 213"/>
              <a:gd name="T86" fmla="*/ 0 w 172"/>
              <a:gd name="T87" fmla="*/ 0 h 213"/>
              <a:gd name="T88" fmla="*/ 0 w 172"/>
              <a:gd name="T89" fmla="*/ 0 h 213"/>
              <a:gd name="T90" fmla="*/ 0 w 172"/>
              <a:gd name="T91" fmla="*/ 0 h 213"/>
              <a:gd name="T92" fmla="*/ 0 w 172"/>
              <a:gd name="T93" fmla="*/ 0 h 213"/>
              <a:gd name="T94" fmla="*/ 0 w 172"/>
              <a:gd name="T95" fmla="*/ 0 h 213"/>
              <a:gd name="T96" fmla="*/ 0 w 172"/>
              <a:gd name="T97" fmla="*/ 0 h 213"/>
              <a:gd name="T98" fmla="*/ 0 w 172"/>
              <a:gd name="T99" fmla="*/ 0 h 213"/>
              <a:gd name="T100" fmla="*/ 0 w 172"/>
              <a:gd name="T101" fmla="*/ 0 h 213"/>
              <a:gd name="T102" fmla="*/ 0 w 172"/>
              <a:gd name="T103" fmla="*/ 0 h 213"/>
              <a:gd name="T104" fmla="*/ 0 w 172"/>
              <a:gd name="T105" fmla="*/ 0 h 213"/>
              <a:gd name="T106" fmla="*/ 0 w 172"/>
              <a:gd name="T107" fmla="*/ 0 h 213"/>
              <a:gd name="T108" fmla="*/ 0 w 172"/>
              <a:gd name="T109" fmla="*/ 0 h 213"/>
              <a:gd name="T110" fmla="*/ 0 w 172"/>
              <a:gd name="T111" fmla="*/ 0 h 213"/>
              <a:gd name="T112" fmla="*/ 0 w 172"/>
              <a:gd name="T113" fmla="*/ 0 h 213"/>
              <a:gd name="T114" fmla="*/ 0 w 172"/>
              <a:gd name="T115" fmla="*/ 0 h 213"/>
              <a:gd name="T116" fmla="*/ 0 w 172"/>
              <a:gd name="T117" fmla="*/ 0 h 213"/>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w 172"/>
              <a:gd name="T178" fmla="*/ 0 h 213"/>
              <a:gd name="T179" fmla="*/ 172 w 172"/>
              <a:gd name="T180" fmla="*/ 213 h 213"/>
            </a:gdLst>
            <a:ahLst/>
            <a:cxnLst>
              <a:cxn ang="T118">
                <a:pos x="T0" y="T1"/>
              </a:cxn>
              <a:cxn ang="T119">
                <a:pos x="T2" y="T3"/>
              </a:cxn>
              <a:cxn ang="T120">
                <a:pos x="T4" y="T5"/>
              </a:cxn>
              <a:cxn ang="T121">
                <a:pos x="T6" y="T7"/>
              </a:cxn>
              <a:cxn ang="T122">
                <a:pos x="T8" y="T9"/>
              </a:cxn>
              <a:cxn ang="T123">
                <a:pos x="T10" y="T11"/>
              </a:cxn>
              <a:cxn ang="T124">
                <a:pos x="T12" y="T13"/>
              </a:cxn>
              <a:cxn ang="T125">
                <a:pos x="T14" y="T15"/>
              </a:cxn>
              <a:cxn ang="T126">
                <a:pos x="T16" y="T17"/>
              </a:cxn>
              <a:cxn ang="T127">
                <a:pos x="T18" y="T19"/>
              </a:cxn>
              <a:cxn ang="T128">
                <a:pos x="T20" y="T21"/>
              </a:cxn>
              <a:cxn ang="T129">
                <a:pos x="T22" y="T23"/>
              </a:cxn>
              <a:cxn ang="T130">
                <a:pos x="T24" y="T25"/>
              </a:cxn>
              <a:cxn ang="T131">
                <a:pos x="T26" y="T27"/>
              </a:cxn>
              <a:cxn ang="T132">
                <a:pos x="T28" y="T29"/>
              </a:cxn>
              <a:cxn ang="T133">
                <a:pos x="T30" y="T31"/>
              </a:cxn>
              <a:cxn ang="T134">
                <a:pos x="T32" y="T33"/>
              </a:cxn>
              <a:cxn ang="T135">
                <a:pos x="T34" y="T35"/>
              </a:cxn>
              <a:cxn ang="T136">
                <a:pos x="T36" y="T37"/>
              </a:cxn>
              <a:cxn ang="T137">
                <a:pos x="T38" y="T39"/>
              </a:cxn>
              <a:cxn ang="T138">
                <a:pos x="T40" y="T41"/>
              </a:cxn>
              <a:cxn ang="T139">
                <a:pos x="T42" y="T43"/>
              </a:cxn>
              <a:cxn ang="T140">
                <a:pos x="T44" y="T45"/>
              </a:cxn>
              <a:cxn ang="T141">
                <a:pos x="T46" y="T47"/>
              </a:cxn>
              <a:cxn ang="T142">
                <a:pos x="T48" y="T49"/>
              </a:cxn>
              <a:cxn ang="T143">
                <a:pos x="T50" y="T51"/>
              </a:cxn>
              <a:cxn ang="T144">
                <a:pos x="T52" y="T53"/>
              </a:cxn>
              <a:cxn ang="T145">
                <a:pos x="T54" y="T55"/>
              </a:cxn>
              <a:cxn ang="T146">
                <a:pos x="T56" y="T57"/>
              </a:cxn>
              <a:cxn ang="T147">
                <a:pos x="T58" y="T59"/>
              </a:cxn>
              <a:cxn ang="T148">
                <a:pos x="T60" y="T61"/>
              </a:cxn>
              <a:cxn ang="T149">
                <a:pos x="T62" y="T63"/>
              </a:cxn>
              <a:cxn ang="T150">
                <a:pos x="T64" y="T65"/>
              </a:cxn>
              <a:cxn ang="T151">
                <a:pos x="T66" y="T67"/>
              </a:cxn>
              <a:cxn ang="T152">
                <a:pos x="T68" y="T69"/>
              </a:cxn>
              <a:cxn ang="T153">
                <a:pos x="T70" y="T71"/>
              </a:cxn>
              <a:cxn ang="T154">
                <a:pos x="T72" y="T73"/>
              </a:cxn>
              <a:cxn ang="T155">
                <a:pos x="T74" y="T75"/>
              </a:cxn>
              <a:cxn ang="T156">
                <a:pos x="T76" y="T77"/>
              </a:cxn>
              <a:cxn ang="T157">
                <a:pos x="T78" y="T79"/>
              </a:cxn>
              <a:cxn ang="T158">
                <a:pos x="T80" y="T81"/>
              </a:cxn>
              <a:cxn ang="T159">
                <a:pos x="T82" y="T83"/>
              </a:cxn>
              <a:cxn ang="T160">
                <a:pos x="T84" y="T85"/>
              </a:cxn>
              <a:cxn ang="T161">
                <a:pos x="T86" y="T87"/>
              </a:cxn>
              <a:cxn ang="T162">
                <a:pos x="T88" y="T89"/>
              </a:cxn>
              <a:cxn ang="T163">
                <a:pos x="T90" y="T91"/>
              </a:cxn>
              <a:cxn ang="T164">
                <a:pos x="T92" y="T93"/>
              </a:cxn>
              <a:cxn ang="T165">
                <a:pos x="T94" y="T95"/>
              </a:cxn>
              <a:cxn ang="T166">
                <a:pos x="T96" y="T97"/>
              </a:cxn>
              <a:cxn ang="T167">
                <a:pos x="T98" y="T99"/>
              </a:cxn>
              <a:cxn ang="T168">
                <a:pos x="T100" y="T101"/>
              </a:cxn>
              <a:cxn ang="T169">
                <a:pos x="T102" y="T103"/>
              </a:cxn>
              <a:cxn ang="T170">
                <a:pos x="T104" y="T105"/>
              </a:cxn>
              <a:cxn ang="T171">
                <a:pos x="T106" y="T107"/>
              </a:cxn>
              <a:cxn ang="T172">
                <a:pos x="T108" y="T109"/>
              </a:cxn>
              <a:cxn ang="T173">
                <a:pos x="T110" y="T111"/>
              </a:cxn>
              <a:cxn ang="T174">
                <a:pos x="T112" y="T113"/>
              </a:cxn>
              <a:cxn ang="T175">
                <a:pos x="T114" y="T115"/>
              </a:cxn>
              <a:cxn ang="T176">
                <a:pos x="T116" y="T117"/>
              </a:cxn>
            </a:cxnLst>
            <a:rect l="T177" t="T178" r="T179" b="T180"/>
            <a:pathLst>
              <a:path w="172" h="213">
                <a:moveTo>
                  <a:pt x="148" y="140"/>
                </a:moveTo>
                <a:lnTo>
                  <a:pt x="106" y="204"/>
                </a:lnTo>
                <a:lnTo>
                  <a:pt x="100" y="210"/>
                </a:lnTo>
                <a:lnTo>
                  <a:pt x="100" y="212"/>
                </a:lnTo>
                <a:lnTo>
                  <a:pt x="28" y="212"/>
                </a:lnTo>
                <a:lnTo>
                  <a:pt x="22" y="208"/>
                </a:lnTo>
                <a:lnTo>
                  <a:pt x="14" y="201"/>
                </a:lnTo>
                <a:lnTo>
                  <a:pt x="11" y="197"/>
                </a:lnTo>
                <a:lnTo>
                  <a:pt x="6" y="191"/>
                </a:lnTo>
                <a:lnTo>
                  <a:pt x="0" y="186"/>
                </a:lnTo>
                <a:lnTo>
                  <a:pt x="0" y="25"/>
                </a:lnTo>
                <a:lnTo>
                  <a:pt x="9" y="17"/>
                </a:lnTo>
                <a:lnTo>
                  <a:pt x="14" y="10"/>
                </a:lnTo>
                <a:lnTo>
                  <a:pt x="18" y="4"/>
                </a:lnTo>
                <a:lnTo>
                  <a:pt x="24" y="3"/>
                </a:lnTo>
                <a:lnTo>
                  <a:pt x="26" y="0"/>
                </a:lnTo>
                <a:lnTo>
                  <a:pt x="33" y="0"/>
                </a:lnTo>
                <a:lnTo>
                  <a:pt x="133" y="0"/>
                </a:lnTo>
                <a:lnTo>
                  <a:pt x="147" y="6"/>
                </a:lnTo>
                <a:lnTo>
                  <a:pt x="152" y="13"/>
                </a:lnTo>
                <a:lnTo>
                  <a:pt x="162" y="25"/>
                </a:lnTo>
                <a:lnTo>
                  <a:pt x="167" y="30"/>
                </a:lnTo>
                <a:lnTo>
                  <a:pt x="171" y="37"/>
                </a:lnTo>
                <a:lnTo>
                  <a:pt x="171" y="103"/>
                </a:lnTo>
                <a:lnTo>
                  <a:pt x="167" y="109"/>
                </a:lnTo>
                <a:lnTo>
                  <a:pt x="162" y="112"/>
                </a:lnTo>
                <a:lnTo>
                  <a:pt x="156" y="116"/>
                </a:lnTo>
                <a:lnTo>
                  <a:pt x="148" y="117"/>
                </a:lnTo>
                <a:lnTo>
                  <a:pt x="140" y="119"/>
                </a:lnTo>
                <a:lnTo>
                  <a:pt x="84" y="119"/>
                </a:lnTo>
                <a:lnTo>
                  <a:pt x="74" y="113"/>
                </a:lnTo>
                <a:lnTo>
                  <a:pt x="70" y="109"/>
                </a:lnTo>
                <a:lnTo>
                  <a:pt x="69" y="103"/>
                </a:lnTo>
                <a:lnTo>
                  <a:pt x="69" y="100"/>
                </a:lnTo>
                <a:lnTo>
                  <a:pt x="69" y="99"/>
                </a:lnTo>
                <a:lnTo>
                  <a:pt x="121" y="99"/>
                </a:lnTo>
                <a:lnTo>
                  <a:pt x="128" y="90"/>
                </a:lnTo>
                <a:lnTo>
                  <a:pt x="133" y="85"/>
                </a:lnTo>
                <a:lnTo>
                  <a:pt x="133" y="68"/>
                </a:lnTo>
                <a:lnTo>
                  <a:pt x="130" y="62"/>
                </a:lnTo>
                <a:lnTo>
                  <a:pt x="128" y="55"/>
                </a:lnTo>
                <a:lnTo>
                  <a:pt x="122" y="54"/>
                </a:lnTo>
                <a:lnTo>
                  <a:pt x="81" y="54"/>
                </a:lnTo>
                <a:lnTo>
                  <a:pt x="73" y="55"/>
                </a:lnTo>
                <a:lnTo>
                  <a:pt x="69" y="61"/>
                </a:lnTo>
                <a:lnTo>
                  <a:pt x="63" y="64"/>
                </a:lnTo>
                <a:lnTo>
                  <a:pt x="58" y="71"/>
                </a:lnTo>
                <a:lnTo>
                  <a:pt x="55" y="79"/>
                </a:lnTo>
                <a:lnTo>
                  <a:pt x="54" y="90"/>
                </a:lnTo>
                <a:lnTo>
                  <a:pt x="52" y="107"/>
                </a:lnTo>
                <a:lnTo>
                  <a:pt x="54" y="119"/>
                </a:lnTo>
                <a:lnTo>
                  <a:pt x="59" y="134"/>
                </a:lnTo>
                <a:lnTo>
                  <a:pt x="70" y="142"/>
                </a:lnTo>
                <a:lnTo>
                  <a:pt x="78" y="145"/>
                </a:lnTo>
                <a:lnTo>
                  <a:pt x="87" y="145"/>
                </a:lnTo>
                <a:lnTo>
                  <a:pt x="110" y="145"/>
                </a:lnTo>
                <a:lnTo>
                  <a:pt x="125" y="145"/>
                </a:lnTo>
                <a:lnTo>
                  <a:pt x="133" y="147"/>
                </a:lnTo>
                <a:lnTo>
                  <a:pt x="148" y="140"/>
                </a:lnTo>
              </a:path>
            </a:pathLst>
          </a:custGeom>
          <a:solidFill>
            <a:srgbClr val="FFD521"/>
          </a:solidFill>
          <a:ln>
            <a:noFill/>
          </a:ln>
          <a:extLst>
            <a:ext uri="{91240B29-F687-4F45-9708-019B960494DF}">
              <a14:hiddenLine xmlns:a14="http://schemas.microsoft.com/office/drawing/2010/main" w="9525" cap="rnd">
                <a:solidFill>
                  <a:srgbClr val="000000"/>
                </a:solidFill>
                <a:round/>
                <a:headEnd/>
                <a:tailEnd/>
              </a14:hiddenLine>
            </a:ext>
          </a:extLst>
        </xdr:spPr>
      </xdr:sp>
      <xdr:sp macro="" textlink="">
        <xdr:nvSpPr>
          <xdr:cNvPr id="62942299" name="Oval 16">
            <a:extLst>
              <a:ext uri="{FF2B5EF4-FFF2-40B4-BE49-F238E27FC236}">
                <a16:creationId xmlns:a16="http://schemas.microsoft.com/office/drawing/2014/main" id="{CAA6A72E-1629-4F55-AE16-3488763F81E7}"/>
              </a:ext>
            </a:extLst>
          </xdr:cNvPr>
          <xdr:cNvSpPr>
            <a:spLocks noChangeAspect="1" noChangeArrowheads="1"/>
          </xdr:cNvSpPr>
        </xdr:nvSpPr>
        <xdr:spPr bwMode="auto">
          <a:xfrm>
            <a:off x="3581" y="2092"/>
            <a:ext cx="35" cy="31"/>
          </a:xfrm>
          <a:prstGeom prst="ellipse">
            <a:avLst/>
          </a:prstGeom>
          <a:solidFill>
            <a:srgbClr val="72C7FF"/>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62942300" name="Oval 17">
            <a:extLst>
              <a:ext uri="{FF2B5EF4-FFF2-40B4-BE49-F238E27FC236}">
                <a16:creationId xmlns:a16="http://schemas.microsoft.com/office/drawing/2014/main" id="{F8B7F045-96A2-4FA4-BB8C-5E8EF64A4AD9}"/>
              </a:ext>
            </a:extLst>
          </xdr:cNvPr>
          <xdr:cNvSpPr>
            <a:spLocks noChangeAspect="1" noChangeArrowheads="1"/>
          </xdr:cNvSpPr>
        </xdr:nvSpPr>
        <xdr:spPr bwMode="auto">
          <a:xfrm>
            <a:off x="3768" y="2158"/>
            <a:ext cx="56" cy="56"/>
          </a:xfrm>
          <a:prstGeom prst="ellipse">
            <a:avLst/>
          </a:prstGeom>
          <a:solidFill>
            <a:srgbClr val="CA0000"/>
          </a:solidFill>
          <a:ln>
            <a:noFill/>
          </a:ln>
          <a:extLst>
            <a:ext uri="{91240B29-F687-4F45-9708-019B960494DF}">
              <a14:hiddenLine xmlns:a14="http://schemas.microsoft.com/office/drawing/2010/main" w="3175">
                <a:solidFill>
                  <a:srgbClr val="000000"/>
                </a:solidFill>
                <a:round/>
                <a:headEnd type="none" w="sm" len="sm"/>
                <a:tailEnd type="none" w="sm" len="sm"/>
              </a14:hiddenLine>
            </a:ext>
          </a:extLst>
        </xdr:spPr>
      </xdr:sp>
      <xdr:sp macro="" textlink="">
        <xdr:nvSpPr>
          <xdr:cNvPr id="62942301" name="Freeform 18">
            <a:extLst>
              <a:ext uri="{FF2B5EF4-FFF2-40B4-BE49-F238E27FC236}">
                <a16:creationId xmlns:a16="http://schemas.microsoft.com/office/drawing/2014/main" id="{E65E3A41-0880-4BA0-B2F7-2024F0B295CA}"/>
              </a:ext>
            </a:extLst>
          </xdr:cNvPr>
          <xdr:cNvSpPr>
            <a:spLocks noChangeAspect="1"/>
          </xdr:cNvSpPr>
        </xdr:nvSpPr>
        <xdr:spPr bwMode="auto">
          <a:xfrm>
            <a:off x="3776" y="2168"/>
            <a:ext cx="41" cy="38"/>
          </a:xfrm>
          <a:custGeom>
            <a:avLst/>
            <a:gdLst>
              <a:gd name="T0" fmla="*/ 0 w 170"/>
              <a:gd name="T1" fmla="*/ 0 h 158"/>
              <a:gd name="T2" fmla="*/ 0 w 170"/>
              <a:gd name="T3" fmla="*/ 0 h 158"/>
              <a:gd name="T4" fmla="*/ 0 w 170"/>
              <a:gd name="T5" fmla="*/ 0 h 158"/>
              <a:gd name="T6" fmla="*/ 0 w 170"/>
              <a:gd name="T7" fmla="*/ 0 h 158"/>
              <a:gd name="T8" fmla="*/ 0 w 170"/>
              <a:gd name="T9" fmla="*/ 0 h 158"/>
              <a:gd name="T10" fmla="*/ 0 w 170"/>
              <a:gd name="T11" fmla="*/ 0 h 158"/>
              <a:gd name="T12" fmla="*/ 0 w 170"/>
              <a:gd name="T13" fmla="*/ 0 h 158"/>
              <a:gd name="T14" fmla="*/ 0 w 170"/>
              <a:gd name="T15" fmla="*/ 0 h 158"/>
              <a:gd name="T16" fmla="*/ 0 w 170"/>
              <a:gd name="T17" fmla="*/ 0 h 158"/>
              <a:gd name="T18" fmla="*/ 0 w 170"/>
              <a:gd name="T19" fmla="*/ 0 h 158"/>
              <a:gd name="T20" fmla="*/ 0 w 170"/>
              <a:gd name="T21" fmla="*/ 0 h 158"/>
              <a:gd name="T22" fmla="*/ 0 w 170"/>
              <a:gd name="T23" fmla="*/ 0 h 158"/>
              <a:gd name="T24" fmla="*/ 0 w 170"/>
              <a:gd name="T25" fmla="*/ 0 h 158"/>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170"/>
              <a:gd name="T40" fmla="*/ 0 h 158"/>
              <a:gd name="T41" fmla="*/ 170 w 170"/>
              <a:gd name="T42" fmla="*/ 158 h 158"/>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170" h="158">
                <a:moveTo>
                  <a:pt x="170" y="0"/>
                </a:moveTo>
                <a:lnTo>
                  <a:pt x="137" y="14"/>
                </a:lnTo>
                <a:lnTo>
                  <a:pt x="115" y="19"/>
                </a:lnTo>
                <a:lnTo>
                  <a:pt x="103" y="21"/>
                </a:lnTo>
                <a:lnTo>
                  <a:pt x="93" y="26"/>
                </a:lnTo>
                <a:lnTo>
                  <a:pt x="83" y="36"/>
                </a:lnTo>
                <a:lnTo>
                  <a:pt x="65" y="57"/>
                </a:lnTo>
                <a:lnTo>
                  <a:pt x="53" y="73"/>
                </a:lnTo>
                <a:lnTo>
                  <a:pt x="47" y="81"/>
                </a:lnTo>
                <a:lnTo>
                  <a:pt x="37" y="102"/>
                </a:lnTo>
                <a:lnTo>
                  <a:pt x="25" y="121"/>
                </a:lnTo>
                <a:lnTo>
                  <a:pt x="15" y="134"/>
                </a:lnTo>
                <a:lnTo>
                  <a:pt x="0" y="158"/>
                </a:lnTo>
              </a:path>
            </a:pathLst>
          </a:custGeom>
          <a:noFill/>
          <a:ln w="5080">
            <a:solidFill>
              <a:srgbClr val="FFFFFF"/>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62942302" name="Freeform 19">
            <a:extLst>
              <a:ext uri="{FF2B5EF4-FFF2-40B4-BE49-F238E27FC236}">
                <a16:creationId xmlns:a16="http://schemas.microsoft.com/office/drawing/2014/main" id="{CA3EE1EA-E839-4F22-B27A-C8155CBE545C}"/>
              </a:ext>
            </a:extLst>
          </xdr:cNvPr>
          <xdr:cNvSpPr>
            <a:spLocks noChangeAspect="1"/>
          </xdr:cNvSpPr>
        </xdr:nvSpPr>
        <xdr:spPr bwMode="auto">
          <a:xfrm>
            <a:off x="3786" y="2177"/>
            <a:ext cx="36" cy="34"/>
          </a:xfrm>
          <a:custGeom>
            <a:avLst/>
            <a:gdLst>
              <a:gd name="T0" fmla="*/ 0 w 153"/>
              <a:gd name="T1" fmla="*/ 0 h 141"/>
              <a:gd name="T2" fmla="*/ 0 w 153"/>
              <a:gd name="T3" fmla="*/ 0 h 141"/>
              <a:gd name="T4" fmla="*/ 0 w 153"/>
              <a:gd name="T5" fmla="*/ 0 h 141"/>
              <a:gd name="T6" fmla="*/ 0 w 153"/>
              <a:gd name="T7" fmla="*/ 0 h 141"/>
              <a:gd name="T8" fmla="*/ 0 w 153"/>
              <a:gd name="T9" fmla="*/ 0 h 141"/>
              <a:gd name="T10" fmla="*/ 0 w 153"/>
              <a:gd name="T11" fmla="*/ 0 h 141"/>
              <a:gd name="T12" fmla="*/ 0 w 153"/>
              <a:gd name="T13" fmla="*/ 0 h 141"/>
              <a:gd name="T14" fmla="*/ 0 w 153"/>
              <a:gd name="T15" fmla="*/ 0 h 141"/>
              <a:gd name="T16" fmla="*/ 0 w 153"/>
              <a:gd name="T17" fmla="*/ 0 h 141"/>
              <a:gd name="T18" fmla="*/ 0 w 153"/>
              <a:gd name="T19" fmla="*/ 0 h 141"/>
              <a:gd name="T20" fmla="*/ 0 w 153"/>
              <a:gd name="T21" fmla="*/ 0 h 141"/>
              <a:gd name="T22" fmla="*/ 0 w 153"/>
              <a:gd name="T23" fmla="*/ 0 h 141"/>
              <a:gd name="T24" fmla="*/ 0 w 153"/>
              <a:gd name="T25" fmla="*/ 0 h 141"/>
              <a:gd name="T26" fmla="*/ 0 w 153"/>
              <a:gd name="T27" fmla="*/ 0 h 141"/>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w 153"/>
              <a:gd name="T43" fmla="*/ 0 h 141"/>
              <a:gd name="T44" fmla="*/ 153 w 153"/>
              <a:gd name="T45" fmla="*/ 141 h 141"/>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T42" t="T43" r="T44" b="T45"/>
            <a:pathLst>
              <a:path w="153" h="141">
                <a:moveTo>
                  <a:pt x="153" y="0"/>
                </a:moveTo>
                <a:lnTo>
                  <a:pt x="129" y="0"/>
                </a:lnTo>
                <a:lnTo>
                  <a:pt x="110" y="6"/>
                </a:lnTo>
                <a:lnTo>
                  <a:pt x="96" y="17"/>
                </a:lnTo>
                <a:lnTo>
                  <a:pt x="81" y="22"/>
                </a:lnTo>
                <a:lnTo>
                  <a:pt x="69" y="35"/>
                </a:lnTo>
                <a:lnTo>
                  <a:pt x="53" y="49"/>
                </a:lnTo>
                <a:lnTo>
                  <a:pt x="43" y="59"/>
                </a:lnTo>
                <a:lnTo>
                  <a:pt x="34" y="71"/>
                </a:lnTo>
                <a:lnTo>
                  <a:pt x="27" y="84"/>
                </a:lnTo>
                <a:lnTo>
                  <a:pt x="10" y="97"/>
                </a:lnTo>
                <a:lnTo>
                  <a:pt x="2" y="113"/>
                </a:lnTo>
                <a:lnTo>
                  <a:pt x="1" y="125"/>
                </a:lnTo>
                <a:lnTo>
                  <a:pt x="0" y="141"/>
                </a:lnTo>
              </a:path>
            </a:pathLst>
          </a:custGeom>
          <a:noFill/>
          <a:ln w="5080">
            <a:solidFill>
              <a:srgbClr val="FFFFFF"/>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62942303" name="Freeform 20">
            <a:extLst>
              <a:ext uri="{FF2B5EF4-FFF2-40B4-BE49-F238E27FC236}">
                <a16:creationId xmlns:a16="http://schemas.microsoft.com/office/drawing/2014/main" id="{D8416128-DBD0-46C0-90E9-F42695AB266A}"/>
              </a:ext>
            </a:extLst>
          </xdr:cNvPr>
          <xdr:cNvSpPr>
            <a:spLocks noChangeAspect="1"/>
          </xdr:cNvSpPr>
        </xdr:nvSpPr>
        <xdr:spPr bwMode="auto">
          <a:xfrm>
            <a:off x="3795" y="2189"/>
            <a:ext cx="29" cy="24"/>
          </a:xfrm>
          <a:custGeom>
            <a:avLst/>
            <a:gdLst>
              <a:gd name="T0" fmla="*/ 0 w 120"/>
              <a:gd name="T1" fmla="*/ 0 h 102"/>
              <a:gd name="T2" fmla="*/ 0 w 120"/>
              <a:gd name="T3" fmla="*/ 0 h 102"/>
              <a:gd name="T4" fmla="*/ 0 w 120"/>
              <a:gd name="T5" fmla="*/ 0 h 102"/>
              <a:gd name="T6" fmla="*/ 0 w 120"/>
              <a:gd name="T7" fmla="*/ 0 h 102"/>
              <a:gd name="T8" fmla="*/ 0 w 120"/>
              <a:gd name="T9" fmla="*/ 0 h 102"/>
              <a:gd name="T10" fmla="*/ 0 w 120"/>
              <a:gd name="T11" fmla="*/ 0 h 102"/>
              <a:gd name="T12" fmla="*/ 0 w 120"/>
              <a:gd name="T13" fmla="*/ 0 h 102"/>
              <a:gd name="T14" fmla="*/ 0 w 120"/>
              <a:gd name="T15" fmla="*/ 0 h 102"/>
              <a:gd name="T16" fmla="*/ 0 w 120"/>
              <a:gd name="T17" fmla="*/ 0 h 102"/>
              <a:gd name="T18" fmla="*/ 0 w 120"/>
              <a:gd name="T19" fmla="*/ 0 h 102"/>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20"/>
              <a:gd name="T31" fmla="*/ 0 h 102"/>
              <a:gd name="T32" fmla="*/ 120 w 120"/>
              <a:gd name="T33" fmla="*/ 102 h 102"/>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20" h="102">
                <a:moveTo>
                  <a:pt x="120" y="1"/>
                </a:moveTo>
                <a:lnTo>
                  <a:pt x="99" y="0"/>
                </a:lnTo>
                <a:lnTo>
                  <a:pt x="85" y="2"/>
                </a:lnTo>
                <a:lnTo>
                  <a:pt x="68" y="5"/>
                </a:lnTo>
                <a:lnTo>
                  <a:pt x="47" y="13"/>
                </a:lnTo>
                <a:lnTo>
                  <a:pt x="29" y="31"/>
                </a:lnTo>
                <a:lnTo>
                  <a:pt x="17" y="49"/>
                </a:lnTo>
                <a:lnTo>
                  <a:pt x="5" y="78"/>
                </a:lnTo>
                <a:lnTo>
                  <a:pt x="1" y="96"/>
                </a:lnTo>
                <a:lnTo>
                  <a:pt x="0" y="102"/>
                </a:lnTo>
              </a:path>
            </a:pathLst>
          </a:custGeom>
          <a:noFill/>
          <a:ln w="5080">
            <a:solidFill>
              <a:srgbClr val="FFFFFF"/>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62942304" name="Freeform 21">
            <a:extLst>
              <a:ext uri="{FF2B5EF4-FFF2-40B4-BE49-F238E27FC236}">
                <a16:creationId xmlns:a16="http://schemas.microsoft.com/office/drawing/2014/main" id="{8750A791-AD72-4E1F-AF77-6F8E56762D76}"/>
              </a:ext>
            </a:extLst>
          </xdr:cNvPr>
          <xdr:cNvSpPr>
            <a:spLocks noChangeAspect="1"/>
          </xdr:cNvSpPr>
        </xdr:nvSpPr>
        <xdr:spPr bwMode="auto">
          <a:xfrm>
            <a:off x="3803" y="2196"/>
            <a:ext cx="19" cy="16"/>
          </a:xfrm>
          <a:custGeom>
            <a:avLst/>
            <a:gdLst>
              <a:gd name="T0" fmla="*/ 0 w 78"/>
              <a:gd name="T1" fmla="*/ 0 h 67"/>
              <a:gd name="T2" fmla="*/ 0 w 78"/>
              <a:gd name="T3" fmla="*/ 0 h 67"/>
              <a:gd name="T4" fmla="*/ 0 w 78"/>
              <a:gd name="T5" fmla="*/ 0 h 67"/>
              <a:gd name="T6" fmla="*/ 0 w 78"/>
              <a:gd name="T7" fmla="*/ 0 h 67"/>
              <a:gd name="T8" fmla="*/ 0 w 78"/>
              <a:gd name="T9" fmla="*/ 0 h 67"/>
              <a:gd name="T10" fmla="*/ 0 w 78"/>
              <a:gd name="T11" fmla="*/ 0 h 67"/>
              <a:gd name="T12" fmla="*/ 0 w 78"/>
              <a:gd name="T13" fmla="*/ 0 h 67"/>
              <a:gd name="T14" fmla="*/ 0 w 78"/>
              <a:gd name="T15" fmla="*/ 0 h 67"/>
              <a:gd name="T16" fmla="*/ 0 60000 65536"/>
              <a:gd name="T17" fmla="*/ 0 60000 65536"/>
              <a:gd name="T18" fmla="*/ 0 60000 65536"/>
              <a:gd name="T19" fmla="*/ 0 60000 65536"/>
              <a:gd name="T20" fmla="*/ 0 60000 65536"/>
              <a:gd name="T21" fmla="*/ 0 60000 65536"/>
              <a:gd name="T22" fmla="*/ 0 60000 65536"/>
              <a:gd name="T23" fmla="*/ 0 60000 65536"/>
              <a:gd name="T24" fmla="*/ 0 w 78"/>
              <a:gd name="T25" fmla="*/ 0 h 67"/>
              <a:gd name="T26" fmla="*/ 78 w 78"/>
              <a:gd name="T27" fmla="*/ 67 h 67"/>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78" h="67">
                <a:moveTo>
                  <a:pt x="78" y="0"/>
                </a:moveTo>
                <a:lnTo>
                  <a:pt x="58" y="1"/>
                </a:lnTo>
                <a:lnTo>
                  <a:pt x="42" y="6"/>
                </a:lnTo>
                <a:lnTo>
                  <a:pt x="26" y="18"/>
                </a:lnTo>
                <a:lnTo>
                  <a:pt x="15" y="32"/>
                </a:lnTo>
                <a:lnTo>
                  <a:pt x="7" y="45"/>
                </a:lnTo>
                <a:lnTo>
                  <a:pt x="3" y="60"/>
                </a:lnTo>
                <a:lnTo>
                  <a:pt x="0" y="67"/>
                </a:lnTo>
              </a:path>
            </a:pathLst>
          </a:custGeom>
          <a:noFill/>
          <a:ln w="5080">
            <a:solidFill>
              <a:srgbClr val="FFFFFF"/>
            </a:solidFill>
            <a:round/>
            <a:headEnd/>
            <a:tailEnd/>
          </a:ln>
          <a:extLst>
            <a:ext uri="{909E8E84-426E-40DD-AFC4-6F175D3DCCD1}">
              <a14:hiddenFill xmlns:a14="http://schemas.microsoft.com/office/drawing/2010/main">
                <a:solidFill>
                  <a:srgbClr val="FFFFFF"/>
                </a:solidFill>
              </a14:hiddenFill>
            </a:ext>
          </a:extLst>
        </xdr:spPr>
      </xdr:sp>
    </xdr:grpSp>
    <xdr:clientData/>
  </xdr:twoCellAnchor>
  <xdr:twoCellAnchor>
    <xdr:from>
      <xdr:col>1</xdr:col>
      <xdr:colOff>3175</xdr:colOff>
      <xdr:row>33</xdr:row>
      <xdr:rowOff>74295</xdr:rowOff>
    </xdr:from>
    <xdr:to>
      <xdr:col>11</xdr:col>
      <xdr:colOff>15876</xdr:colOff>
      <xdr:row>34</xdr:row>
      <xdr:rowOff>127616</xdr:rowOff>
    </xdr:to>
    <xdr:sp macro="" textlink="">
      <xdr:nvSpPr>
        <xdr:cNvPr id="21" name="Text Box 22">
          <a:extLst>
            <a:ext uri="{FF2B5EF4-FFF2-40B4-BE49-F238E27FC236}">
              <a16:creationId xmlns:a16="http://schemas.microsoft.com/office/drawing/2014/main" id="{24047A3E-DEFE-47B3-92E7-F3444B173E21}"/>
            </a:ext>
          </a:extLst>
        </xdr:cNvPr>
        <xdr:cNvSpPr txBox="1">
          <a:spLocks noChangeArrowheads="1"/>
        </xdr:cNvSpPr>
      </xdr:nvSpPr>
      <xdr:spPr bwMode="auto">
        <a:xfrm>
          <a:off x="200025" y="18221325"/>
          <a:ext cx="8553450" cy="268658"/>
        </a:xfrm>
        <a:prstGeom prst="rect">
          <a:avLst/>
        </a:prstGeom>
        <a:solidFill>
          <a:srgbClr val="E5EBED"/>
        </a:solidFill>
        <a:ln w="9525">
          <a:solidFill>
            <a:srgbClr val="000000"/>
          </a:solidFill>
          <a:miter lim="800000"/>
          <a:headEnd/>
          <a:tailEnd/>
        </a:ln>
      </xdr:spPr>
      <xdr:txBody>
        <a:bodyPr vertOverflow="clip" wrap="square" lIns="36000" tIns="36000" rIns="36000" bIns="36000" anchor="t" upright="1"/>
        <a:lstStyle/>
        <a:p>
          <a:pPr algn="l" rtl="0">
            <a:defRPr sz="1000"/>
          </a:pPr>
          <a:r>
            <a:rPr lang="en-US" sz="1000" b="1" i="0" strike="noStrike">
              <a:solidFill>
                <a:srgbClr val="000000"/>
              </a:solidFill>
              <a:latin typeface="Verdana"/>
            </a:rPr>
            <a:t>To add more lines, simply insert a row anywhere in the above table then copy the format from the row above it</a:t>
          </a:r>
        </a:p>
      </xdr:txBody>
    </xdr:sp>
    <xdr:clientData fPrintsWithSheet="0"/>
  </xdr:twoCellAnchor>
  <mc:AlternateContent xmlns:mc="http://schemas.openxmlformats.org/markup-compatibility/2006">
    <mc:Choice xmlns:a14="http://schemas.microsoft.com/office/drawing/2010/main" Requires="a14">
      <xdr:twoCellAnchor>
        <xdr:from>
          <xdr:col>0</xdr:col>
          <xdr:colOff>9525</xdr:colOff>
          <xdr:row>0</xdr:row>
          <xdr:rowOff>0</xdr:rowOff>
        </xdr:from>
        <xdr:to>
          <xdr:col>0</xdr:col>
          <xdr:colOff>95250</xdr:colOff>
          <xdr:row>0</xdr:row>
          <xdr:rowOff>0</xdr:rowOff>
        </xdr:to>
        <xdr:sp macro="" textlink="">
          <xdr:nvSpPr>
            <xdr:cNvPr id="586753" name="Object 31745" hidden="1">
              <a:extLst>
                <a:ext uri="{63B3BB69-23CF-44E3-9099-C40C66FF867C}">
                  <a14:compatExt spid="_x0000_s586753"/>
                </a:ext>
                <a:ext uri="{FF2B5EF4-FFF2-40B4-BE49-F238E27FC236}">
                  <a16:creationId xmlns:a16="http://schemas.microsoft.com/office/drawing/2014/main" id="{829B41D0-39A6-4412-8ED0-D848E0EF705C}"/>
                </a:ext>
              </a:extLst>
            </xdr:cNvPr>
            <xdr:cNvSpPr/>
          </xdr:nvSpPr>
          <xdr:spPr bwMode="auto">
            <a:xfrm>
              <a:off x="0" y="0"/>
              <a:ext cx="0" cy="0"/>
            </a:xfrm>
            <a:prstGeom prst="rect">
              <a:avLst/>
            </a:prstGeom>
            <a:noFill/>
            <a:effectLst/>
            <a:extLst>
              <a:ext uri="{909E8E84-426E-40DD-AFC4-6F175D3DCCD1}">
                <a14:hiddenFill>
                  <a:solidFill>
                    <a:srgbClr val="282828"/>
                  </a:solidFill>
                </a14:hiddenFill>
              </a:ext>
              <a:ext uri="{AF507438-7753-43E0-B8FC-AC1667EBCBE1}">
                <a14:hiddenEffects>
                  <a:effectLst>
                    <a:outerShdw dist="35921" dir="2700000" algn="ctr" rotWithShape="0">
                      <a:srgbClr val="A3A3A3"/>
                    </a:outerShdw>
                  </a:effectLst>
                </a14:hiddenEffects>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11</xdr:col>
      <xdr:colOff>0</xdr:colOff>
      <xdr:row>0</xdr:row>
      <xdr:rowOff>15240</xdr:rowOff>
    </xdr:from>
    <xdr:to>
      <xdr:col>14</xdr:col>
      <xdr:colOff>35</xdr:colOff>
      <xdr:row>0</xdr:row>
      <xdr:rowOff>289560</xdr:rowOff>
    </xdr:to>
    <xdr:sp macro="" textlink="">
      <xdr:nvSpPr>
        <xdr:cNvPr id="3" name="Rectangle 2">
          <a:extLst>
            <a:ext uri="{FF2B5EF4-FFF2-40B4-BE49-F238E27FC236}">
              <a16:creationId xmlns:a16="http://schemas.microsoft.com/office/drawing/2014/main" id="{669B28D9-A5FF-48BD-AA9B-90EEC71D3748}"/>
            </a:ext>
          </a:extLst>
        </xdr:cNvPr>
        <xdr:cNvSpPr/>
      </xdr:nvSpPr>
      <xdr:spPr bwMode="auto">
        <a:xfrm>
          <a:off x="7985760" y="15240"/>
          <a:ext cx="3189005" cy="274320"/>
        </a:xfrm>
        <a:prstGeom prst="rect">
          <a:avLst/>
        </a:prstGeom>
        <a:solidFill>
          <a:schemeClr val="accent5">
            <a:lumMod val="20000"/>
            <a:lumOff val="80000"/>
          </a:schemeClr>
        </a:solidFill>
        <a:ln w="9525" cap="flat" cmpd="sng" algn="ctr">
          <a:solidFill>
            <a:srgbClr val="000000"/>
          </a:solidFill>
          <a:prstDash val="solid"/>
          <a:round/>
          <a:headEnd type="none" w="med" len="med"/>
          <a:tailEnd type="none" w="med" len="med"/>
        </a:ln>
        <a:effectLst/>
      </xdr:spPr>
      <xdr:txBody>
        <a:bodyPr vertOverflow="clip" wrap="square" lIns="36000" tIns="36000" rIns="36000" bIns="36000" rtlCol="0" anchor="ctr" upright="1"/>
        <a:lstStyle/>
        <a:p>
          <a:pPr algn="ctr" rtl="0">
            <a:defRPr sz="1000"/>
          </a:pPr>
          <a:r>
            <a:rPr lang="en-US" sz="1100" b="0" i="0" u="none" strike="noStrike" baseline="0">
              <a:solidFill>
                <a:srgbClr val="003366"/>
              </a:solidFill>
              <a:latin typeface="Calibri"/>
              <a:ea typeface="Calibri"/>
              <a:cs typeface="Calibri"/>
            </a:rPr>
            <a:t>All volumes expressed in bbl @60°F</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284480</xdr:colOff>
      <xdr:row>0</xdr:row>
      <xdr:rowOff>38100</xdr:rowOff>
    </xdr:from>
    <xdr:to>
      <xdr:col>8</xdr:col>
      <xdr:colOff>323311</xdr:colOff>
      <xdr:row>0</xdr:row>
      <xdr:rowOff>289002</xdr:rowOff>
    </xdr:to>
    <xdr:sp macro="" textlink="">
      <xdr:nvSpPr>
        <xdr:cNvPr id="9283" name="Text Box 67">
          <a:extLst>
            <a:ext uri="{FF2B5EF4-FFF2-40B4-BE49-F238E27FC236}">
              <a16:creationId xmlns:a16="http://schemas.microsoft.com/office/drawing/2014/main" id="{3411AB0F-7FF3-46DD-AFB3-DBF5B23A975D}"/>
            </a:ext>
          </a:extLst>
        </xdr:cNvPr>
        <xdr:cNvSpPr txBox="1">
          <a:spLocks noChangeArrowheads="1"/>
        </xdr:cNvSpPr>
      </xdr:nvSpPr>
      <xdr:spPr bwMode="auto">
        <a:xfrm>
          <a:off x="3362325" y="38100"/>
          <a:ext cx="2886075" cy="257175"/>
        </a:xfrm>
        <a:prstGeom prst="rect">
          <a:avLst/>
        </a:prstGeom>
        <a:solidFill>
          <a:srgbClr val="E5EBED"/>
        </a:solidFill>
        <a:ln w="9525">
          <a:solidFill>
            <a:srgbClr val="000000"/>
          </a:solidFill>
          <a:miter lim="800000"/>
          <a:headEnd/>
          <a:tailEnd/>
        </a:ln>
      </xdr:spPr>
      <xdr:txBody>
        <a:bodyPr vertOverflow="clip" wrap="square" lIns="36000" tIns="36000" rIns="36000" bIns="36000" anchor="t" upright="1"/>
        <a:lstStyle/>
        <a:p>
          <a:pPr algn="ctr" rtl="1">
            <a:defRPr sz="1000"/>
          </a:pPr>
          <a:r>
            <a:rPr lang="en-US" sz="1000" b="1" i="0" strike="noStrike">
              <a:solidFill>
                <a:srgbClr val="FF0000"/>
              </a:solidFill>
              <a:latin typeface="Verdana"/>
            </a:rPr>
            <a:t>PLEASE DO NOT CUT AND PASTE</a:t>
          </a:r>
        </a:p>
      </xdr:txBody>
    </xdr:sp>
    <xdr:clientData fPrintsWithSheet="0"/>
  </xdr:twoCellAnchor>
  <xdr:twoCellAnchor>
    <xdr:from>
      <xdr:col>1</xdr:col>
      <xdr:colOff>28575</xdr:colOff>
      <xdr:row>0</xdr:row>
      <xdr:rowOff>0</xdr:rowOff>
    </xdr:from>
    <xdr:to>
      <xdr:col>5</xdr:col>
      <xdr:colOff>38100</xdr:colOff>
      <xdr:row>0</xdr:row>
      <xdr:rowOff>0</xdr:rowOff>
    </xdr:to>
    <xdr:grpSp>
      <xdr:nvGrpSpPr>
        <xdr:cNvPr id="62943310" name="Group 1">
          <a:extLst>
            <a:ext uri="{FF2B5EF4-FFF2-40B4-BE49-F238E27FC236}">
              <a16:creationId xmlns:a16="http://schemas.microsoft.com/office/drawing/2014/main" id="{BC2C3FF0-118D-4A41-9E10-08B57BCC87E0}"/>
            </a:ext>
          </a:extLst>
        </xdr:cNvPr>
        <xdr:cNvGrpSpPr>
          <a:grpSpLocks/>
        </xdr:cNvGrpSpPr>
      </xdr:nvGrpSpPr>
      <xdr:grpSpPr bwMode="auto">
        <a:xfrm>
          <a:off x="209550" y="0"/>
          <a:ext cx="3619500" cy="0"/>
          <a:chOff x="3178" y="1611"/>
          <a:chExt cx="1036" cy="748"/>
        </a:xfrm>
      </xdr:grpSpPr>
      <xdr:sp macro="" textlink="">
        <xdr:nvSpPr>
          <xdr:cNvPr id="62943311" name="Oval 2">
            <a:extLst>
              <a:ext uri="{FF2B5EF4-FFF2-40B4-BE49-F238E27FC236}">
                <a16:creationId xmlns:a16="http://schemas.microsoft.com/office/drawing/2014/main" id="{F33F636F-FF0A-4493-B5F1-59E8CE4B1006}"/>
              </a:ext>
            </a:extLst>
          </xdr:cNvPr>
          <xdr:cNvSpPr>
            <a:spLocks noChangeAspect="1" noChangeArrowheads="1"/>
          </xdr:cNvSpPr>
        </xdr:nvSpPr>
        <xdr:spPr bwMode="auto">
          <a:xfrm>
            <a:off x="3178" y="1617"/>
            <a:ext cx="1036" cy="741"/>
          </a:xfrm>
          <a:prstGeom prst="ellipse">
            <a:avLst/>
          </a:prstGeom>
          <a:solidFill>
            <a:srgbClr val="FF3300"/>
          </a:solidFill>
          <a:ln w="3175">
            <a:solidFill>
              <a:srgbClr val="000000"/>
            </a:solidFill>
            <a:round/>
            <a:headEnd/>
            <a:tailEnd/>
          </a:ln>
        </xdr:spPr>
      </xdr:sp>
      <xdr:sp macro="" textlink="">
        <xdr:nvSpPr>
          <xdr:cNvPr id="62943312" name="Oval 3">
            <a:extLst>
              <a:ext uri="{FF2B5EF4-FFF2-40B4-BE49-F238E27FC236}">
                <a16:creationId xmlns:a16="http://schemas.microsoft.com/office/drawing/2014/main" id="{AB0390DE-3507-47D4-9916-5966A508E079}"/>
              </a:ext>
            </a:extLst>
          </xdr:cNvPr>
          <xdr:cNvSpPr>
            <a:spLocks noChangeAspect="1" noChangeArrowheads="1"/>
          </xdr:cNvSpPr>
        </xdr:nvSpPr>
        <xdr:spPr bwMode="auto">
          <a:xfrm>
            <a:off x="3187" y="1626"/>
            <a:ext cx="1018" cy="722"/>
          </a:xfrm>
          <a:prstGeom prst="ellipse">
            <a:avLst/>
          </a:prstGeom>
          <a:solidFill>
            <a:srgbClr val="0000DD"/>
          </a:solidFill>
          <a:ln w="3175">
            <a:solidFill>
              <a:srgbClr val="000000"/>
            </a:solidFill>
            <a:round/>
            <a:headEnd/>
            <a:tailEnd/>
          </a:ln>
        </xdr:spPr>
      </xdr:sp>
      <xdr:sp macro="" textlink="">
        <xdr:nvSpPr>
          <xdr:cNvPr id="9220" name="Oval 4">
            <a:extLst>
              <a:ext uri="{FF2B5EF4-FFF2-40B4-BE49-F238E27FC236}">
                <a16:creationId xmlns:a16="http://schemas.microsoft.com/office/drawing/2014/main" id="{9CB57B2D-A991-4508-9164-54402EA01B39}"/>
              </a:ext>
            </a:extLst>
          </xdr:cNvPr>
          <xdr:cNvSpPr>
            <a:spLocks noChangeAspect="1" noChangeArrowheads="1"/>
          </xdr:cNvSpPr>
        </xdr:nvSpPr>
        <xdr:spPr bwMode="auto">
          <a:xfrm>
            <a:off x="4346755866608" y="0"/>
            <a:ext cx="883" cy="0"/>
          </a:xfrm>
          <a:prstGeom prst="ellipse">
            <a:avLst/>
          </a:prstGeom>
          <a:solidFill>
            <a:srgbClr val="FFFFFF"/>
          </a:solidFill>
          <a:ln w="3175">
            <a:solidFill>
              <a:srgbClr val="000000"/>
            </a:solidFill>
            <a:round/>
            <a:headEnd/>
            <a:tailEnd/>
          </a:ln>
          <a:effectLst/>
        </xdr:spPr>
        <xdr:txBody>
          <a:bodyPr vertOverflow="clip" wrap="square" lIns="92075" tIns="46038" rIns="92075" bIns="46038" anchor="t" upright="1"/>
          <a:lstStyle/>
          <a:p>
            <a:pPr algn="l" rtl="0">
              <a:defRPr sz="1000"/>
            </a:pPr>
            <a:r>
              <a:rPr lang="en-US" sz="1100" b="0" i="0" u="none" strike="noStrike" baseline="0">
                <a:solidFill>
                  <a:srgbClr val="000000"/>
                </a:solidFill>
                <a:latin typeface="Calibri"/>
                <a:ea typeface="Calibri"/>
                <a:cs typeface="Calibri"/>
              </a:rPr>
              <a:t> </a:t>
            </a:r>
          </a:p>
          <a:p>
            <a:pPr algn="l" rtl="0">
              <a:defRPr sz="1000"/>
            </a:pPr>
            <a:endParaRPr lang="en-US" sz="1100" b="0" i="0" u="none" strike="noStrike" baseline="0">
              <a:solidFill>
                <a:srgbClr val="000000"/>
              </a:solidFill>
              <a:latin typeface="Calibri"/>
              <a:ea typeface="Calibri"/>
              <a:cs typeface="Calibri"/>
            </a:endParaRPr>
          </a:p>
        </xdr:txBody>
      </xdr:sp>
      <xdr:sp macro="" textlink="">
        <xdr:nvSpPr>
          <xdr:cNvPr id="9221" name="Oval 5">
            <a:extLst>
              <a:ext uri="{FF2B5EF4-FFF2-40B4-BE49-F238E27FC236}">
                <a16:creationId xmlns:a16="http://schemas.microsoft.com/office/drawing/2014/main" id="{CBCD9DD2-CBF8-462C-801E-92FE3A344128}"/>
              </a:ext>
            </a:extLst>
          </xdr:cNvPr>
          <xdr:cNvSpPr>
            <a:spLocks noChangeAspect="1" noChangeArrowheads="1"/>
          </xdr:cNvSpPr>
        </xdr:nvSpPr>
        <xdr:spPr bwMode="auto">
          <a:xfrm>
            <a:off x="-4876198425245" y="0"/>
            <a:ext cx="864" cy="0"/>
          </a:xfrm>
          <a:prstGeom prst="ellipse">
            <a:avLst/>
          </a:prstGeom>
          <a:solidFill>
            <a:srgbClr val="72C7FF"/>
          </a:solidFill>
          <a:ln w="3175">
            <a:solidFill>
              <a:srgbClr val="000000"/>
            </a:solidFill>
            <a:round/>
            <a:headEnd/>
            <a:tailEnd/>
          </a:ln>
          <a:effectLst/>
        </xdr:spPr>
        <xdr:txBody>
          <a:bodyPr vertOverflow="clip" wrap="square" lIns="92075" tIns="46038" rIns="92075" bIns="46038" anchor="t" upright="1"/>
          <a:lstStyle/>
          <a:p>
            <a:pPr algn="l" rtl="0">
              <a:defRPr sz="1000"/>
            </a:pPr>
            <a:endParaRPr lang="en-US" sz="1100" b="0" i="0" u="none" strike="noStrike" baseline="0">
              <a:solidFill>
                <a:srgbClr val="000000"/>
              </a:solidFill>
              <a:latin typeface="Calibri"/>
              <a:ea typeface="Calibri"/>
              <a:cs typeface="Calibri"/>
            </a:endParaRPr>
          </a:p>
          <a:p>
            <a:pPr algn="l" rtl="0">
              <a:defRPr sz="1000"/>
            </a:pPr>
            <a:endParaRPr lang="en-US" sz="1100" b="0" i="0" u="none" strike="noStrike" baseline="0">
              <a:solidFill>
                <a:srgbClr val="000000"/>
              </a:solidFill>
              <a:latin typeface="Calibri"/>
              <a:ea typeface="Calibri"/>
              <a:cs typeface="Calibri"/>
            </a:endParaRPr>
          </a:p>
        </xdr:txBody>
      </xdr:sp>
      <xdr:sp macro="" textlink="">
        <xdr:nvSpPr>
          <xdr:cNvPr id="62943315" name="Freeform 8">
            <a:extLst>
              <a:ext uri="{FF2B5EF4-FFF2-40B4-BE49-F238E27FC236}">
                <a16:creationId xmlns:a16="http://schemas.microsoft.com/office/drawing/2014/main" id="{7BC145A6-CE38-47FB-B7B6-D98CF6416B25}"/>
              </a:ext>
            </a:extLst>
          </xdr:cNvPr>
          <xdr:cNvSpPr>
            <a:spLocks noChangeAspect="1"/>
          </xdr:cNvSpPr>
        </xdr:nvSpPr>
        <xdr:spPr bwMode="auto">
          <a:xfrm>
            <a:off x="3574" y="1712"/>
            <a:ext cx="275" cy="558"/>
          </a:xfrm>
          <a:custGeom>
            <a:avLst/>
            <a:gdLst>
              <a:gd name="T0" fmla="*/ 0 w 1325"/>
              <a:gd name="T1" fmla="*/ 0 h 2688"/>
              <a:gd name="T2" fmla="*/ 0 w 1325"/>
              <a:gd name="T3" fmla="*/ 0 h 2688"/>
              <a:gd name="T4" fmla="*/ 0 w 1325"/>
              <a:gd name="T5" fmla="*/ 0 h 2688"/>
              <a:gd name="T6" fmla="*/ 0 w 1325"/>
              <a:gd name="T7" fmla="*/ 0 h 2688"/>
              <a:gd name="T8" fmla="*/ 0 w 1325"/>
              <a:gd name="T9" fmla="*/ 0 h 2688"/>
              <a:gd name="T10" fmla="*/ 0 w 1325"/>
              <a:gd name="T11" fmla="*/ 0 h 2688"/>
              <a:gd name="T12" fmla="*/ 0 w 1325"/>
              <a:gd name="T13" fmla="*/ 0 h 2688"/>
              <a:gd name="T14" fmla="*/ 0 w 1325"/>
              <a:gd name="T15" fmla="*/ 0 h 2688"/>
              <a:gd name="T16" fmla="*/ 0 w 1325"/>
              <a:gd name="T17" fmla="*/ 0 h 2688"/>
              <a:gd name="T18" fmla="*/ 0 w 1325"/>
              <a:gd name="T19" fmla="*/ 0 h 2688"/>
              <a:gd name="T20" fmla="*/ 0 w 1325"/>
              <a:gd name="T21" fmla="*/ 0 h 2688"/>
              <a:gd name="T22" fmla="*/ 0 w 1325"/>
              <a:gd name="T23" fmla="*/ 0 h 2688"/>
              <a:gd name="T24" fmla="*/ 0 w 1325"/>
              <a:gd name="T25" fmla="*/ 0 h 2688"/>
              <a:gd name="T26" fmla="*/ 0 w 1325"/>
              <a:gd name="T27" fmla="*/ 0 h 2688"/>
              <a:gd name="T28" fmla="*/ 0 w 1325"/>
              <a:gd name="T29" fmla="*/ 0 h 2688"/>
              <a:gd name="T30" fmla="*/ 0 w 1325"/>
              <a:gd name="T31" fmla="*/ 0 h 2688"/>
              <a:gd name="T32" fmla="*/ 0 w 1325"/>
              <a:gd name="T33" fmla="*/ 0 h 2688"/>
              <a:gd name="T34" fmla="*/ 0 w 1325"/>
              <a:gd name="T35" fmla="*/ 0 h 2688"/>
              <a:gd name="T36" fmla="*/ 0 w 1325"/>
              <a:gd name="T37" fmla="*/ 0 h 2688"/>
              <a:gd name="T38" fmla="*/ 0 w 1325"/>
              <a:gd name="T39" fmla="*/ 0 h 2688"/>
              <a:gd name="T40" fmla="*/ 0 w 1325"/>
              <a:gd name="T41" fmla="*/ 0 h 2688"/>
              <a:gd name="T42" fmla="*/ 0 w 1325"/>
              <a:gd name="T43" fmla="*/ 0 h 2688"/>
              <a:gd name="T44" fmla="*/ 0 w 1325"/>
              <a:gd name="T45" fmla="*/ 0 h 2688"/>
              <a:gd name="T46" fmla="*/ 0 w 1325"/>
              <a:gd name="T47" fmla="*/ 0 h 2688"/>
              <a:gd name="T48" fmla="*/ 0 w 1325"/>
              <a:gd name="T49" fmla="*/ 0 h 2688"/>
              <a:gd name="T50" fmla="*/ 0 w 1325"/>
              <a:gd name="T51" fmla="*/ 0 h 2688"/>
              <a:gd name="T52" fmla="*/ 0 w 1325"/>
              <a:gd name="T53" fmla="*/ 0 h 2688"/>
              <a:gd name="T54" fmla="*/ 0 w 1325"/>
              <a:gd name="T55" fmla="*/ 0 h 2688"/>
              <a:gd name="T56" fmla="*/ 0 w 1325"/>
              <a:gd name="T57" fmla="*/ 0 h 2688"/>
              <a:gd name="T58" fmla="*/ 0 w 1325"/>
              <a:gd name="T59" fmla="*/ 0 h 2688"/>
              <a:gd name="T60" fmla="*/ 0 w 1325"/>
              <a:gd name="T61" fmla="*/ 0 h 2688"/>
              <a:gd name="T62" fmla="*/ 0 w 1325"/>
              <a:gd name="T63" fmla="*/ 0 h 2688"/>
              <a:gd name="T64" fmla="*/ 0 w 1325"/>
              <a:gd name="T65" fmla="*/ 0 h 2688"/>
              <a:gd name="T66" fmla="*/ 0 w 1325"/>
              <a:gd name="T67" fmla="*/ 0 h 2688"/>
              <a:gd name="T68" fmla="*/ 0 w 1325"/>
              <a:gd name="T69" fmla="*/ 0 h 2688"/>
              <a:gd name="T70" fmla="*/ 0 w 1325"/>
              <a:gd name="T71" fmla="*/ 0 h 2688"/>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w 1325"/>
              <a:gd name="T109" fmla="*/ 0 h 2688"/>
              <a:gd name="T110" fmla="*/ 1325 w 1325"/>
              <a:gd name="T111" fmla="*/ 2688 h 2688"/>
            </a:gdLst>
            <a:ahLst/>
            <a:cxnLst>
              <a:cxn ang="T72">
                <a:pos x="T0" y="T1"/>
              </a:cxn>
              <a:cxn ang="T73">
                <a:pos x="T2" y="T3"/>
              </a:cxn>
              <a:cxn ang="T74">
                <a:pos x="T4" y="T5"/>
              </a:cxn>
              <a:cxn ang="T75">
                <a:pos x="T6" y="T7"/>
              </a:cxn>
              <a:cxn ang="T76">
                <a:pos x="T8" y="T9"/>
              </a:cxn>
              <a:cxn ang="T77">
                <a:pos x="T10" y="T11"/>
              </a:cxn>
              <a:cxn ang="T78">
                <a:pos x="T12" y="T13"/>
              </a:cxn>
              <a:cxn ang="T79">
                <a:pos x="T14" y="T15"/>
              </a:cxn>
              <a:cxn ang="T80">
                <a:pos x="T16" y="T17"/>
              </a:cxn>
              <a:cxn ang="T81">
                <a:pos x="T18" y="T19"/>
              </a:cxn>
              <a:cxn ang="T82">
                <a:pos x="T20" y="T21"/>
              </a:cxn>
              <a:cxn ang="T83">
                <a:pos x="T22" y="T23"/>
              </a:cxn>
              <a:cxn ang="T84">
                <a:pos x="T24" y="T25"/>
              </a:cxn>
              <a:cxn ang="T85">
                <a:pos x="T26" y="T27"/>
              </a:cxn>
              <a:cxn ang="T86">
                <a:pos x="T28" y="T29"/>
              </a:cxn>
              <a:cxn ang="T87">
                <a:pos x="T30" y="T31"/>
              </a:cxn>
              <a:cxn ang="T88">
                <a:pos x="T32" y="T33"/>
              </a:cxn>
              <a:cxn ang="T89">
                <a:pos x="T34" y="T35"/>
              </a:cxn>
              <a:cxn ang="T90">
                <a:pos x="T36" y="T37"/>
              </a:cxn>
              <a:cxn ang="T91">
                <a:pos x="T38" y="T39"/>
              </a:cxn>
              <a:cxn ang="T92">
                <a:pos x="T40" y="T41"/>
              </a:cxn>
              <a:cxn ang="T93">
                <a:pos x="T42" y="T43"/>
              </a:cxn>
              <a:cxn ang="T94">
                <a:pos x="T44" y="T45"/>
              </a:cxn>
              <a:cxn ang="T95">
                <a:pos x="T46" y="T47"/>
              </a:cxn>
              <a:cxn ang="T96">
                <a:pos x="T48" y="T49"/>
              </a:cxn>
              <a:cxn ang="T97">
                <a:pos x="T50" y="T51"/>
              </a:cxn>
              <a:cxn ang="T98">
                <a:pos x="T52" y="T53"/>
              </a:cxn>
              <a:cxn ang="T99">
                <a:pos x="T54" y="T55"/>
              </a:cxn>
              <a:cxn ang="T100">
                <a:pos x="T56" y="T57"/>
              </a:cxn>
              <a:cxn ang="T101">
                <a:pos x="T58" y="T59"/>
              </a:cxn>
              <a:cxn ang="T102">
                <a:pos x="T60" y="T61"/>
              </a:cxn>
              <a:cxn ang="T103">
                <a:pos x="T62" y="T63"/>
              </a:cxn>
              <a:cxn ang="T104">
                <a:pos x="T64" y="T65"/>
              </a:cxn>
              <a:cxn ang="T105">
                <a:pos x="T66" y="T67"/>
              </a:cxn>
              <a:cxn ang="T106">
                <a:pos x="T68" y="T69"/>
              </a:cxn>
              <a:cxn ang="T107">
                <a:pos x="T70" y="T71"/>
              </a:cxn>
            </a:cxnLst>
            <a:rect l="T108" t="T109" r="T110" b="T111"/>
            <a:pathLst>
              <a:path w="1325" h="2688">
                <a:moveTo>
                  <a:pt x="518" y="8"/>
                </a:moveTo>
                <a:cubicBezTo>
                  <a:pt x="487" y="0"/>
                  <a:pt x="543" y="84"/>
                  <a:pt x="546" y="132"/>
                </a:cubicBezTo>
                <a:cubicBezTo>
                  <a:pt x="549" y="180"/>
                  <a:pt x="544" y="248"/>
                  <a:pt x="536" y="299"/>
                </a:cubicBezTo>
                <a:cubicBezTo>
                  <a:pt x="528" y="350"/>
                  <a:pt x="523" y="376"/>
                  <a:pt x="499" y="437"/>
                </a:cubicBezTo>
                <a:cubicBezTo>
                  <a:pt x="475" y="498"/>
                  <a:pt x="421" y="613"/>
                  <a:pt x="393" y="663"/>
                </a:cubicBezTo>
                <a:cubicBezTo>
                  <a:pt x="365" y="713"/>
                  <a:pt x="348" y="742"/>
                  <a:pt x="333" y="737"/>
                </a:cubicBezTo>
                <a:cubicBezTo>
                  <a:pt x="318" y="732"/>
                  <a:pt x="315" y="673"/>
                  <a:pt x="301" y="631"/>
                </a:cubicBezTo>
                <a:cubicBezTo>
                  <a:pt x="287" y="589"/>
                  <a:pt x="260" y="518"/>
                  <a:pt x="246" y="483"/>
                </a:cubicBezTo>
                <a:cubicBezTo>
                  <a:pt x="232" y="448"/>
                  <a:pt x="230" y="414"/>
                  <a:pt x="218" y="423"/>
                </a:cubicBezTo>
                <a:cubicBezTo>
                  <a:pt x="206" y="432"/>
                  <a:pt x="197" y="479"/>
                  <a:pt x="176" y="534"/>
                </a:cubicBezTo>
                <a:cubicBezTo>
                  <a:pt x="155" y="589"/>
                  <a:pt x="118" y="681"/>
                  <a:pt x="93" y="755"/>
                </a:cubicBezTo>
                <a:cubicBezTo>
                  <a:pt x="68" y="829"/>
                  <a:pt x="38" y="894"/>
                  <a:pt x="24" y="977"/>
                </a:cubicBezTo>
                <a:cubicBezTo>
                  <a:pt x="10" y="1060"/>
                  <a:pt x="0" y="1162"/>
                  <a:pt x="6" y="1254"/>
                </a:cubicBezTo>
                <a:cubicBezTo>
                  <a:pt x="12" y="1346"/>
                  <a:pt x="29" y="1444"/>
                  <a:pt x="61" y="1531"/>
                </a:cubicBezTo>
                <a:cubicBezTo>
                  <a:pt x="93" y="1618"/>
                  <a:pt x="142" y="1692"/>
                  <a:pt x="195" y="1775"/>
                </a:cubicBezTo>
                <a:cubicBezTo>
                  <a:pt x="248" y="1858"/>
                  <a:pt x="323" y="1937"/>
                  <a:pt x="379" y="2029"/>
                </a:cubicBezTo>
                <a:cubicBezTo>
                  <a:pt x="435" y="2121"/>
                  <a:pt x="491" y="2220"/>
                  <a:pt x="532" y="2325"/>
                </a:cubicBezTo>
                <a:cubicBezTo>
                  <a:pt x="573" y="2430"/>
                  <a:pt x="596" y="2626"/>
                  <a:pt x="624" y="2657"/>
                </a:cubicBezTo>
                <a:cubicBezTo>
                  <a:pt x="652" y="2688"/>
                  <a:pt x="665" y="2585"/>
                  <a:pt x="698" y="2509"/>
                </a:cubicBezTo>
                <a:cubicBezTo>
                  <a:pt x="731" y="2433"/>
                  <a:pt x="777" y="2301"/>
                  <a:pt x="823" y="2200"/>
                </a:cubicBezTo>
                <a:cubicBezTo>
                  <a:pt x="869" y="2099"/>
                  <a:pt x="919" y="2001"/>
                  <a:pt x="975" y="1900"/>
                </a:cubicBezTo>
                <a:cubicBezTo>
                  <a:pt x="1031" y="1799"/>
                  <a:pt x="1108" y="1682"/>
                  <a:pt x="1159" y="1595"/>
                </a:cubicBezTo>
                <a:cubicBezTo>
                  <a:pt x="1210" y="1508"/>
                  <a:pt x="1252" y="1462"/>
                  <a:pt x="1279" y="1379"/>
                </a:cubicBezTo>
                <a:cubicBezTo>
                  <a:pt x="1306" y="1296"/>
                  <a:pt x="1317" y="1182"/>
                  <a:pt x="1321" y="1097"/>
                </a:cubicBezTo>
                <a:cubicBezTo>
                  <a:pt x="1325" y="1012"/>
                  <a:pt x="1316" y="942"/>
                  <a:pt x="1303" y="871"/>
                </a:cubicBezTo>
                <a:cubicBezTo>
                  <a:pt x="1290" y="800"/>
                  <a:pt x="1258" y="667"/>
                  <a:pt x="1243" y="672"/>
                </a:cubicBezTo>
                <a:cubicBezTo>
                  <a:pt x="1228" y="677"/>
                  <a:pt x="1228" y="907"/>
                  <a:pt x="1210" y="899"/>
                </a:cubicBezTo>
                <a:cubicBezTo>
                  <a:pt x="1192" y="891"/>
                  <a:pt x="1163" y="711"/>
                  <a:pt x="1132" y="622"/>
                </a:cubicBezTo>
                <a:cubicBezTo>
                  <a:pt x="1101" y="533"/>
                  <a:pt x="1051" y="421"/>
                  <a:pt x="1026" y="368"/>
                </a:cubicBezTo>
                <a:cubicBezTo>
                  <a:pt x="1001" y="315"/>
                  <a:pt x="983" y="299"/>
                  <a:pt x="979" y="303"/>
                </a:cubicBezTo>
                <a:cubicBezTo>
                  <a:pt x="975" y="307"/>
                  <a:pt x="998" y="343"/>
                  <a:pt x="1003" y="391"/>
                </a:cubicBezTo>
                <a:cubicBezTo>
                  <a:pt x="1008" y="439"/>
                  <a:pt x="1010" y="536"/>
                  <a:pt x="1007" y="594"/>
                </a:cubicBezTo>
                <a:cubicBezTo>
                  <a:pt x="1004" y="652"/>
                  <a:pt x="1000" y="761"/>
                  <a:pt x="984" y="742"/>
                </a:cubicBezTo>
                <a:cubicBezTo>
                  <a:pt x="968" y="723"/>
                  <a:pt x="952" y="577"/>
                  <a:pt x="910" y="483"/>
                </a:cubicBezTo>
                <a:cubicBezTo>
                  <a:pt x="868" y="389"/>
                  <a:pt x="793" y="257"/>
                  <a:pt x="730" y="179"/>
                </a:cubicBezTo>
                <a:cubicBezTo>
                  <a:pt x="667" y="101"/>
                  <a:pt x="549" y="16"/>
                  <a:pt x="518" y="8"/>
                </a:cubicBezTo>
                <a:close/>
              </a:path>
            </a:pathLst>
          </a:custGeom>
          <a:solidFill>
            <a:srgbClr val="EC0000"/>
          </a:solidFill>
          <a:ln w="3175">
            <a:solidFill>
              <a:srgbClr val="FFFFFF"/>
            </a:solidFill>
            <a:round/>
            <a:headEnd type="none" w="sm" len="sm"/>
            <a:tailEnd type="none" w="sm" len="sm"/>
          </a:ln>
        </xdr:spPr>
      </xdr:sp>
      <xdr:sp macro="" textlink="">
        <xdr:nvSpPr>
          <xdr:cNvPr id="62943316" name="Freeform 9">
            <a:extLst>
              <a:ext uri="{FF2B5EF4-FFF2-40B4-BE49-F238E27FC236}">
                <a16:creationId xmlns:a16="http://schemas.microsoft.com/office/drawing/2014/main" id="{A299A6D5-9291-4E21-B536-ACC4DC0B6916}"/>
              </a:ext>
            </a:extLst>
          </xdr:cNvPr>
          <xdr:cNvSpPr>
            <a:spLocks noChangeAspect="1"/>
          </xdr:cNvSpPr>
        </xdr:nvSpPr>
        <xdr:spPr bwMode="auto">
          <a:xfrm>
            <a:off x="3629" y="2073"/>
            <a:ext cx="81" cy="71"/>
          </a:xfrm>
          <a:custGeom>
            <a:avLst/>
            <a:gdLst>
              <a:gd name="T0" fmla="*/ 0 w 235"/>
              <a:gd name="T1" fmla="*/ 0 h 215"/>
              <a:gd name="T2" fmla="*/ 0 w 235"/>
              <a:gd name="T3" fmla="*/ 0 h 215"/>
              <a:gd name="T4" fmla="*/ 0 w 235"/>
              <a:gd name="T5" fmla="*/ 0 h 215"/>
              <a:gd name="T6" fmla="*/ 0 w 235"/>
              <a:gd name="T7" fmla="*/ 0 h 215"/>
              <a:gd name="T8" fmla="*/ 0 w 235"/>
              <a:gd name="T9" fmla="*/ 0 h 215"/>
              <a:gd name="T10" fmla="*/ 0 w 235"/>
              <a:gd name="T11" fmla="*/ 0 h 215"/>
              <a:gd name="T12" fmla="*/ 0 w 235"/>
              <a:gd name="T13" fmla="*/ 0 h 215"/>
              <a:gd name="T14" fmla="*/ 0 w 235"/>
              <a:gd name="T15" fmla="*/ 0 h 215"/>
              <a:gd name="T16" fmla="*/ 0 w 235"/>
              <a:gd name="T17" fmla="*/ 0 h 215"/>
              <a:gd name="T18" fmla="*/ 0 w 235"/>
              <a:gd name="T19" fmla="*/ 0 h 215"/>
              <a:gd name="T20" fmla="*/ 0 w 235"/>
              <a:gd name="T21" fmla="*/ 0 h 215"/>
              <a:gd name="T22" fmla="*/ 0 w 235"/>
              <a:gd name="T23" fmla="*/ 0 h 215"/>
              <a:gd name="T24" fmla="*/ 0 w 235"/>
              <a:gd name="T25" fmla="*/ 0 h 215"/>
              <a:gd name="T26" fmla="*/ 0 w 235"/>
              <a:gd name="T27" fmla="*/ 0 h 215"/>
              <a:gd name="T28" fmla="*/ 0 w 235"/>
              <a:gd name="T29" fmla="*/ 0 h 215"/>
              <a:gd name="T30" fmla="*/ 0 w 235"/>
              <a:gd name="T31" fmla="*/ 0 h 215"/>
              <a:gd name="T32" fmla="*/ 0 w 235"/>
              <a:gd name="T33" fmla="*/ 0 h 215"/>
              <a:gd name="T34" fmla="*/ 0 w 235"/>
              <a:gd name="T35" fmla="*/ 0 h 215"/>
              <a:gd name="T36" fmla="*/ 0 w 235"/>
              <a:gd name="T37" fmla="*/ 0 h 215"/>
              <a:gd name="T38" fmla="*/ 0 w 235"/>
              <a:gd name="T39" fmla="*/ 0 h 215"/>
              <a:gd name="T40" fmla="*/ 0 w 235"/>
              <a:gd name="T41" fmla="*/ 0 h 215"/>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w 235"/>
              <a:gd name="T64" fmla="*/ 0 h 215"/>
              <a:gd name="T65" fmla="*/ 235 w 235"/>
              <a:gd name="T66" fmla="*/ 215 h 215"/>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T63" t="T64" r="T65" b="T66"/>
            <a:pathLst>
              <a:path w="235" h="215">
                <a:moveTo>
                  <a:pt x="126" y="214"/>
                </a:moveTo>
                <a:lnTo>
                  <a:pt x="37" y="214"/>
                </a:lnTo>
                <a:lnTo>
                  <a:pt x="23" y="209"/>
                </a:lnTo>
                <a:lnTo>
                  <a:pt x="14" y="200"/>
                </a:lnTo>
                <a:lnTo>
                  <a:pt x="7" y="195"/>
                </a:lnTo>
                <a:lnTo>
                  <a:pt x="3" y="185"/>
                </a:lnTo>
                <a:lnTo>
                  <a:pt x="0" y="178"/>
                </a:lnTo>
                <a:lnTo>
                  <a:pt x="0" y="166"/>
                </a:lnTo>
                <a:lnTo>
                  <a:pt x="0" y="154"/>
                </a:lnTo>
                <a:lnTo>
                  <a:pt x="1" y="145"/>
                </a:lnTo>
                <a:lnTo>
                  <a:pt x="125" y="2"/>
                </a:lnTo>
                <a:lnTo>
                  <a:pt x="139" y="0"/>
                </a:lnTo>
                <a:lnTo>
                  <a:pt x="203" y="0"/>
                </a:lnTo>
                <a:lnTo>
                  <a:pt x="221" y="6"/>
                </a:lnTo>
                <a:lnTo>
                  <a:pt x="230" y="17"/>
                </a:lnTo>
                <a:lnTo>
                  <a:pt x="234" y="27"/>
                </a:lnTo>
                <a:lnTo>
                  <a:pt x="234" y="214"/>
                </a:lnTo>
                <a:lnTo>
                  <a:pt x="184" y="214"/>
                </a:lnTo>
                <a:lnTo>
                  <a:pt x="184" y="152"/>
                </a:lnTo>
                <a:lnTo>
                  <a:pt x="182" y="151"/>
                </a:lnTo>
                <a:lnTo>
                  <a:pt x="126" y="214"/>
                </a:lnTo>
              </a:path>
            </a:pathLst>
          </a:custGeom>
          <a:solidFill>
            <a:srgbClr val="FFD521"/>
          </a:solidFill>
          <a:ln>
            <a:noFill/>
          </a:ln>
          <a:extLst>
            <a:ext uri="{91240B29-F687-4F45-9708-019B960494DF}">
              <a14:hiddenLine xmlns:a14="http://schemas.microsoft.com/office/drawing/2010/main" w="9525" cap="rnd">
                <a:solidFill>
                  <a:srgbClr val="000000"/>
                </a:solidFill>
                <a:round/>
                <a:headEnd/>
                <a:tailEnd/>
              </a14:hiddenLine>
            </a:ext>
          </a:extLst>
        </xdr:spPr>
      </xdr:sp>
      <xdr:sp macro="" textlink="">
        <xdr:nvSpPr>
          <xdr:cNvPr id="62943317" name="Freeform 10">
            <a:extLst>
              <a:ext uri="{FF2B5EF4-FFF2-40B4-BE49-F238E27FC236}">
                <a16:creationId xmlns:a16="http://schemas.microsoft.com/office/drawing/2014/main" id="{C1FD6F6D-88AE-4B6B-B645-230E70A31168}"/>
              </a:ext>
            </a:extLst>
          </xdr:cNvPr>
          <xdr:cNvSpPr>
            <a:spLocks noChangeAspect="1"/>
          </xdr:cNvSpPr>
        </xdr:nvSpPr>
        <xdr:spPr bwMode="auto">
          <a:xfrm>
            <a:off x="3485" y="2033"/>
            <a:ext cx="164" cy="133"/>
          </a:xfrm>
          <a:custGeom>
            <a:avLst/>
            <a:gdLst>
              <a:gd name="T0" fmla="*/ 0 w 473"/>
              <a:gd name="T1" fmla="*/ 0 h 407"/>
              <a:gd name="T2" fmla="*/ 0 w 473"/>
              <a:gd name="T3" fmla="*/ 0 h 407"/>
              <a:gd name="T4" fmla="*/ 0 w 473"/>
              <a:gd name="T5" fmla="*/ 0 h 407"/>
              <a:gd name="T6" fmla="*/ 0 w 473"/>
              <a:gd name="T7" fmla="*/ 0 h 407"/>
              <a:gd name="T8" fmla="*/ 0 w 473"/>
              <a:gd name="T9" fmla="*/ 0 h 407"/>
              <a:gd name="T10" fmla="*/ 0 w 473"/>
              <a:gd name="T11" fmla="*/ 0 h 407"/>
              <a:gd name="T12" fmla="*/ 0 w 473"/>
              <a:gd name="T13" fmla="*/ 0 h 407"/>
              <a:gd name="T14" fmla="*/ 0 w 473"/>
              <a:gd name="T15" fmla="*/ 0 h 407"/>
              <a:gd name="T16" fmla="*/ 0 w 473"/>
              <a:gd name="T17" fmla="*/ 0 h 407"/>
              <a:gd name="T18" fmla="*/ 0 w 473"/>
              <a:gd name="T19" fmla="*/ 0 h 407"/>
              <a:gd name="T20" fmla="*/ 0 w 473"/>
              <a:gd name="T21" fmla="*/ 0 h 407"/>
              <a:gd name="T22" fmla="*/ 0 w 473"/>
              <a:gd name="T23" fmla="*/ 0 h 407"/>
              <a:gd name="T24" fmla="*/ 0 w 473"/>
              <a:gd name="T25" fmla="*/ 0 h 407"/>
              <a:gd name="T26" fmla="*/ 0 w 473"/>
              <a:gd name="T27" fmla="*/ 0 h 407"/>
              <a:gd name="T28" fmla="*/ 0 w 473"/>
              <a:gd name="T29" fmla="*/ 0 h 407"/>
              <a:gd name="T30" fmla="*/ 0 w 473"/>
              <a:gd name="T31" fmla="*/ 0 h 407"/>
              <a:gd name="T32" fmla="*/ 0 w 473"/>
              <a:gd name="T33" fmla="*/ 0 h 407"/>
              <a:gd name="T34" fmla="*/ 0 w 473"/>
              <a:gd name="T35" fmla="*/ 0 h 407"/>
              <a:gd name="T36" fmla="*/ 0 w 473"/>
              <a:gd name="T37" fmla="*/ 0 h 407"/>
              <a:gd name="T38" fmla="*/ 0 w 473"/>
              <a:gd name="T39" fmla="*/ 0 h 407"/>
              <a:gd name="T40" fmla="*/ 0 w 473"/>
              <a:gd name="T41" fmla="*/ 0 h 407"/>
              <a:gd name="T42" fmla="*/ 0 w 473"/>
              <a:gd name="T43" fmla="*/ 0 h 407"/>
              <a:gd name="T44" fmla="*/ 0 w 473"/>
              <a:gd name="T45" fmla="*/ 0 h 407"/>
              <a:gd name="T46" fmla="*/ 0 w 473"/>
              <a:gd name="T47" fmla="*/ 0 h 407"/>
              <a:gd name="T48" fmla="*/ 0 w 473"/>
              <a:gd name="T49" fmla="*/ 0 h 407"/>
              <a:gd name="T50" fmla="*/ 0 w 473"/>
              <a:gd name="T51" fmla="*/ 0 h 407"/>
              <a:gd name="T52" fmla="*/ 0 w 473"/>
              <a:gd name="T53" fmla="*/ 0 h 407"/>
              <a:gd name="T54" fmla="*/ 0 w 473"/>
              <a:gd name="T55" fmla="*/ 0 h 407"/>
              <a:gd name="T56" fmla="*/ 0 w 473"/>
              <a:gd name="T57" fmla="*/ 0 h 407"/>
              <a:gd name="T58" fmla="*/ 0 w 473"/>
              <a:gd name="T59" fmla="*/ 0 h 407"/>
              <a:gd name="T60" fmla="*/ 0 w 473"/>
              <a:gd name="T61" fmla="*/ 0 h 407"/>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w 473"/>
              <a:gd name="T94" fmla="*/ 0 h 407"/>
              <a:gd name="T95" fmla="*/ 473 w 473"/>
              <a:gd name="T96" fmla="*/ 407 h 407"/>
            </a:gdLst>
            <a:ahLst/>
            <a:cxnLst>
              <a:cxn ang="T62">
                <a:pos x="T0" y="T1"/>
              </a:cxn>
              <a:cxn ang="T63">
                <a:pos x="T2" y="T3"/>
              </a:cxn>
              <a:cxn ang="T64">
                <a:pos x="T4" y="T5"/>
              </a:cxn>
              <a:cxn ang="T65">
                <a:pos x="T6" y="T7"/>
              </a:cxn>
              <a:cxn ang="T66">
                <a:pos x="T8" y="T9"/>
              </a:cxn>
              <a:cxn ang="T67">
                <a:pos x="T10" y="T11"/>
              </a:cxn>
              <a:cxn ang="T68">
                <a:pos x="T12" y="T13"/>
              </a:cxn>
              <a:cxn ang="T69">
                <a:pos x="T14" y="T15"/>
              </a:cxn>
              <a:cxn ang="T70">
                <a:pos x="T16" y="T17"/>
              </a:cxn>
              <a:cxn ang="T71">
                <a:pos x="T18" y="T19"/>
              </a:cxn>
              <a:cxn ang="T72">
                <a:pos x="T20" y="T21"/>
              </a:cxn>
              <a:cxn ang="T73">
                <a:pos x="T22" y="T23"/>
              </a:cxn>
              <a:cxn ang="T74">
                <a:pos x="T24" y="T25"/>
              </a:cxn>
              <a:cxn ang="T75">
                <a:pos x="T26" y="T27"/>
              </a:cxn>
              <a:cxn ang="T76">
                <a:pos x="T28" y="T29"/>
              </a:cxn>
              <a:cxn ang="T77">
                <a:pos x="T30" y="T31"/>
              </a:cxn>
              <a:cxn ang="T78">
                <a:pos x="T32" y="T33"/>
              </a:cxn>
              <a:cxn ang="T79">
                <a:pos x="T34" y="T35"/>
              </a:cxn>
              <a:cxn ang="T80">
                <a:pos x="T36" y="T37"/>
              </a:cxn>
              <a:cxn ang="T81">
                <a:pos x="T38" y="T39"/>
              </a:cxn>
              <a:cxn ang="T82">
                <a:pos x="T40" y="T41"/>
              </a:cxn>
              <a:cxn ang="T83">
                <a:pos x="T42" y="T43"/>
              </a:cxn>
              <a:cxn ang="T84">
                <a:pos x="T44" y="T45"/>
              </a:cxn>
              <a:cxn ang="T85">
                <a:pos x="T46" y="T47"/>
              </a:cxn>
              <a:cxn ang="T86">
                <a:pos x="T48" y="T49"/>
              </a:cxn>
              <a:cxn ang="T87">
                <a:pos x="T50" y="T51"/>
              </a:cxn>
              <a:cxn ang="T88">
                <a:pos x="T52" y="T53"/>
              </a:cxn>
              <a:cxn ang="T89">
                <a:pos x="T54" y="T55"/>
              </a:cxn>
              <a:cxn ang="T90">
                <a:pos x="T56" y="T57"/>
              </a:cxn>
              <a:cxn ang="T91">
                <a:pos x="T58" y="T59"/>
              </a:cxn>
              <a:cxn ang="T92">
                <a:pos x="T60" y="T61"/>
              </a:cxn>
            </a:cxnLst>
            <a:rect l="T93" t="T94" r="T95" b="T96"/>
            <a:pathLst>
              <a:path w="473" h="407">
                <a:moveTo>
                  <a:pt x="158" y="53"/>
                </a:moveTo>
                <a:lnTo>
                  <a:pt x="183" y="26"/>
                </a:lnTo>
                <a:lnTo>
                  <a:pt x="199" y="9"/>
                </a:lnTo>
                <a:lnTo>
                  <a:pt x="224" y="0"/>
                </a:lnTo>
                <a:lnTo>
                  <a:pt x="246" y="0"/>
                </a:lnTo>
                <a:lnTo>
                  <a:pt x="262" y="9"/>
                </a:lnTo>
                <a:lnTo>
                  <a:pt x="276" y="20"/>
                </a:lnTo>
                <a:lnTo>
                  <a:pt x="284" y="34"/>
                </a:lnTo>
                <a:lnTo>
                  <a:pt x="284" y="191"/>
                </a:lnTo>
                <a:lnTo>
                  <a:pt x="343" y="123"/>
                </a:lnTo>
                <a:lnTo>
                  <a:pt x="449" y="123"/>
                </a:lnTo>
                <a:lnTo>
                  <a:pt x="462" y="135"/>
                </a:lnTo>
                <a:lnTo>
                  <a:pt x="468" y="147"/>
                </a:lnTo>
                <a:lnTo>
                  <a:pt x="472" y="157"/>
                </a:lnTo>
                <a:lnTo>
                  <a:pt x="469" y="177"/>
                </a:lnTo>
                <a:lnTo>
                  <a:pt x="336" y="336"/>
                </a:lnTo>
                <a:lnTo>
                  <a:pt x="287" y="336"/>
                </a:lnTo>
                <a:lnTo>
                  <a:pt x="287" y="406"/>
                </a:lnTo>
                <a:lnTo>
                  <a:pt x="227" y="406"/>
                </a:lnTo>
                <a:lnTo>
                  <a:pt x="227" y="275"/>
                </a:lnTo>
                <a:lnTo>
                  <a:pt x="173" y="337"/>
                </a:lnTo>
                <a:lnTo>
                  <a:pt x="39" y="337"/>
                </a:lnTo>
                <a:lnTo>
                  <a:pt x="29" y="333"/>
                </a:lnTo>
                <a:lnTo>
                  <a:pt x="17" y="319"/>
                </a:lnTo>
                <a:lnTo>
                  <a:pt x="11" y="312"/>
                </a:lnTo>
                <a:lnTo>
                  <a:pt x="3" y="302"/>
                </a:lnTo>
                <a:lnTo>
                  <a:pt x="0" y="291"/>
                </a:lnTo>
                <a:lnTo>
                  <a:pt x="0" y="278"/>
                </a:lnTo>
                <a:lnTo>
                  <a:pt x="2" y="268"/>
                </a:lnTo>
                <a:lnTo>
                  <a:pt x="6" y="262"/>
                </a:lnTo>
                <a:lnTo>
                  <a:pt x="158" y="53"/>
                </a:lnTo>
              </a:path>
            </a:pathLst>
          </a:custGeom>
          <a:solidFill>
            <a:srgbClr val="FFD521"/>
          </a:solidFill>
          <a:ln>
            <a:noFill/>
          </a:ln>
          <a:extLst>
            <a:ext uri="{91240B29-F687-4F45-9708-019B960494DF}">
              <a14:hiddenLine xmlns:a14="http://schemas.microsoft.com/office/drawing/2010/main" w="9525" cap="rnd">
                <a:solidFill>
                  <a:srgbClr val="000000"/>
                </a:solidFill>
                <a:round/>
                <a:headEnd/>
                <a:tailEnd/>
              </a14:hiddenLine>
            </a:ext>
          </a:extLst>
        </xdr:spPr>
      </xdr:sp>
      <xdr:sp macro="" textlink="">
        <xdr:nvSpPr>
          <xdr:cNvPr id="62943318" name="Oval 11">
            <a:extLst>
              <a:ext uri="{FF2B5EF4-FFF2-40B4-BE49-F238E27FC236}">
                <a16:creationId xmlns:a16="http://schemas.microsoft.com/office/drawing/2014/main" id="{2BEF4B8E-FCC6-4D05-AD80-625D9797E156}"/>
              </a:ext>
            </a:extLst>
          </xdr:cNvPr>
          <xdr:cNvSpPr>
            <a:spLocks noChangeAspect="1" noChangeArrowheads="1"/>
          </xdr:cNvSpPr>
        </xdr:nvSpPr>
        <xdr:spPr bwMode="auto">
          <a:xfrm>
            <a:off x="3522" y="2089"/>
            <a:ext cx="42" cy="37"/>
          </a:xfrm>
          <a:prstGeom prst="ellipse">
            <a:avLst/>
          </a:prstGeom>
          <a:solidFill>
            <a:srgbClr val="72C7FF"/>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62943319" name="Oval 12">
            <a:extLst>
              <a:ext uri="{FF2B5EF4-FFF2-40B4-BE49-F238E27FC236}">
                <a16:creationId xmlns:a16="http://schemas.microsoft.com/office/drawing/2014/main" id="{432ACD41-D688-4F7F-820C-CBA5977172C2}"/>
              </a:ext>
            </a:extLst>
          </xdr:cNvPr>
          <xdr:cNvSpPr>
            <a:spLocks noChangeAspect="1" noChangeArrowheads="1"/>
          </xdr:cNvSpPr>
        </xdr:nvSpPr>
        <xdr:spPr bwMode="auto">
          <a:xfrm>
            <a:off x="3651" y="2094"/>
            <a:ext cx="35" cy="31"/>
          </a:xfrm>
          <a:prstGeom prst="ellipse">
            <a:avLst/>
          </a:prstGeom>
          <a:solidFill>
            <a:srgbClr val="EC0000"/>
          </a:solidFill>
          <a:ln>
            <a:noFill/>
          </a:ln>
          <a:extLst>
            <a:ext uri="{91240B29-F687-4F45-9708-019B960494DF}">
              <a14:hiddenLine xmlns:a14="http://schemas.microsoft.com/office/drawing/2010/main" w="3175">
                <a:solidFill>
                  <a:srgbClr val="000000"/>
                </a:solidFill>
                <a:round/>
                <a:headEnd type="none" w="sm" len="sm"/>
                <a:tailEnd type="none" w="sm" len="sm"/>
              </a14:hiddenLine>
            </a:ext>
          </a:extLst>
        </xdr:spPr>
      </xdr:sp>
      <xdr:sp macro="" textlink="">
        <xdr:nvSpPr>
          <xdr:cNvPr id="62943320" name="Freeform 13">
            <a:extLst>
              <a:ext uri="{FF2B5EF4-FFF2-40B4-BE49-F238E27FC236}">
                <a16:creationId xmlns:a16="http://schemas.microsoft.com/office/drawing/2014/main" id="{BB612F5A-5648-475C-AFD9-C0C063EA7341}"/>
              </a:ext>
            </a:extLst>
          </xdr:cNvPr>
          <xdr:cNvSpPr>
            <a:spLocks noChangeAspect="1"/>
          </xdr:cNvSpPr>
        </xdr:nvSpPr>
        <xdr:spPr bwMode="auto">
          <a:xfrm>
            <a:off x="3716" y="2073"/>
            <a:ext cx="49" cy="70"/>
          </a:xfrm>
          <a:custGeom>
            <a:avLst/>
            <a:gdLst>
              <a:gd name="T0" fmla="*/ 0 w 141"/>
              <a:gd name="T1" fmla="*/ 0 h 214"/>
              <a:gd name="T2" fmla="*/ 0 w 141"/>
              <a:gd name="T3" fmla="*/ 0 h 214"/>
              <a:gd name="T4" fmla="*/ 0 w 141"/>
              <a:gd name="T5" fmla="*/ 0 h 214"/>
              <a:gd name="T6" fmla="*/ 0 w 141"/>
              <a:gd name="T7" fmla="*/ 0 h 214"/>
              <a:gd name="T8" fmla="*/ 0 w 141"/>
              <a:gd name="T9" fmla="*/ 0 h 214"/>
              <a:gd name="T10" fmla="*/ 0 w 141"/>
              <a:gd name="T11" fmla="*/ 0 h 214"/>
              <a:gd name="T12" fmla="*/ 0 w 141"/>
              <a:gd name="T13" fmla="*/ 0 h 214"/>
              <a:gd name="T14" fmla="*/ 0 w 141"/>
              <a:gd name="T15" fmla="*/ 0 h 214"/>
              <a:gd name="T16" fmla="*/ 0 w 141"/>
              <a:gd name="T17" fmla="*/ 0 h 214"/>
              <a:gd name="T18" fmla="*/ 0 w 141"/>
              <a:gd name="T19" fmla="*/ 0 h 214"/>
              <a:gd name="T20" fmla="*/ 0 w 141"/>
              <a:gd name="T21" fmla="*/ 0 h 214"/>
              <a:gd name="T22" fmla="*/ 0 w 141"/>
              <a:gd name="T23" fmla="*/ 0 h 214"/>
              <a:gd name="T24" fmla="*/ 0 w 141"/>
              <a:gd name="T25" fmla="*/ 0 h 214"/>
              <a:gd name="T26" fmla="*/ 0 w 141"/>
              <a:gd name="T27" fmla="*/ 0 h 214"/>
              <a:gd name="T28" fmla="*/ 0 w 141"/>
              <a:gd name="T29" fmla="*/ 0 h 214"/>
              <a:gd name="T30" fmla="*/ 0 w 141"/>
              <a:gd name="T31" fmla="*/ 0 h 214"/>
              <a:gd name="T32" fmla="*/ 0 w 141"/>
              <a:gd name="T33" fmla="*/ 0 h 214"/>
              <a:gd name="T34" fmla="*/ 0 w 141"/>
              <a:gd name="T35" fmla="*/ 0 h 214"/>
              <a:gd name="T36" fmla="*/ 0 w 141"/>
              <a:gd name="T37" fmla="*/ 0 h 214"/>
              <a:gd name="T38" fmla="*/ 0 w 141"/>
              <a:gd name="T39" fmla="*/ 0 h 214"/>
              <a:gd name="T40" fmla="*/ 0 w 141"/>
              <a:gd name="T41" fmla="*/ 0 h 214"/>
              <a:gd name="T42" fmla="*/ 0 w 141"/>
              <a:gd name="T43" fmla="*/ 0 h 214"/>
              <a:gd name="T44" fmla="*/ 0 w 141"/>
              <a:gd name="T45" fmla="*/ 0 h 214"/>
              <a:gd name="T46" fmla="*/ 0 w 141"/>
              <a:gd name="T47" fmla="*/ 0 h 214"/>
              <a:gd name="T48" fmla="*/ 0 w 141"/>
              <a:gd name="T49" fmla="*/ 0 h 214"/>
              <a:gd name="T50" fmla="*/ 0 w 141"/>
              <a:gd name="T51" fmla="*/ 0 h 214"/>
              <a:gd name="T52" fmla="*/ 0 w 141"/>
              <a:gd name="T53" fmla="*/ 0 h 214"/>
              <a:gd name="T54" fmla="*/ 0 w 141"/>
              <a:gd name="T55" fmla="*/ 0 h 214"/>
              <a:gd name="T56" fmla="*/ 0 w 141"/>
              <a:gd name="T57" fmla="*/ 0 h 214"/>
              <a:gd name="T58" fmla="*/ 0 w 141"/>
              <a:gd name="T59" fmla="*/ 0 h 214"/>
              <a:gd name="T60" fmla="*/ 0 w 141"/>
              <a:gd name="T61" fmla="*/ 0 h 214"/>
              <a:gd name="T62" fmla="*/ 0 w 141"/>
              <a:gd name="T63" fmla="*/ 0 h 214"/>
              <a:gd name="T64" fmla="*/ 0 w 141"/>
              <a:gd name="T65" fmla="*/ 0 h 214"/>
              <a:gd name="T66" fmla="*/ 0 w 141"/>
              <a:gd name="T67" fmla="*/ 0 h 214"/>
              <a:gd name="T68" fmla="*/ 0 w 141"/>
              <a:gd name="T69" fmla="*/ 0 h 214"/>
              <a:gd name="T70" fmla="*/ 0 w 141"/>
              <a:gd name="T71" fmla="*/ 0 h 214"/>
              <a:gd name="T72" fmla="*/ 0 w 141"/>
              <a:gd name="T73" fmla="*/ 0 h 214"/>
              <a:gd name="T74" fmla="*/ 0 w 141"/>
              <a:gd name="T75" fmla="*/ 0 h 214"/>
              <a:gd name="T76" fmla="*/ 0 w 141"/>
              <a:gd name="T77" fmla="*/ 0 h 214"/>
              <a:gd name="T78" fmla="*/ 0 w 141"/>
              <a:gd name="T79" fmla="*/ 0 h 214"/>
              <a:gd name="T80" fmla="*/ 0 w 141"/>
              <a:gd name="T81" fmla="*/ 0 h 214"/>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w 141"/>
              <a:gd name="T124" fmla="*/ 0 h 214"/>
              <a:gd name="T125" fmla="*/ 141 w 141"/>
              <a:gd name="T126" fmla="*/ 214 h 214"/>
            </a:gdLst>
            <a:ahLst/>
            <a:cxnLst>
              <a:cxn ang="T82">
                <a:pos x="T0" y="T1"/>
              </a:cxn>
              <a:cxn ang="T83">
                <a:pos x="T2" y="T3"/>
              </a:cxn>
              <a:cxn ang="T84">
                <a:pos x="T4" y="T5"/>
              </a:cxn>
              <a:cxn ang="T85">
                <a:pos x="T6" y="T7"/>
              </a:cxn>
              <a:cxn ang="T86">
                <a:pos x="T8" y="T9"/>
              </a:cxn>
              <a:cxn ang="T87">
                <a:pos x="T10" y="T11"/>
              </a:cxn>
              <a:cxn ang="T88">
                <a:pos x="T12" y="T13"/>
              </a:cxn>
              <a:cxn ang="T89">
                <a:pos x="T14" y="T15"/>
              </a:cxn>
              <a:cxn ang="T90">
                <a:pos x="T16" y="T17"/>
              </a:cxn>
              <a:cxn ang="T91">
                <a:pos x="T18" y="T19"/>
              </a:cxn>
              <a:cxn ang="T92">
                <a:pos x="T20" y="T21"/>
              </a:cxn>
              <a:cxn ang="T93">
                <a:pos x="T22" y="T23"/>
              </a:cxn>
              <a:cxn ang="T94">
                <a:pos x="T24" y="T25"/>
              </a:cxn>
              <a:cxn ang="T95">
                <a:pos x="T26" y="T27"/>
              </a:cxn>
              <a:cxn ang="T96">
                <a:pos x="T28" y="T29"/>
              </a:cxn>
              <a:cxn ang="T97">
                <a:pos x="T30" y="T31"/>
              </a:cxn>
              <a:cxn ang="T98">
                <a:pos x="T32" y="T33"/>
              </a:cxn>
              <a:cxn ang="T99">
                <a:pos x="T34" y="T35"/>
              </a:cxn>
              <a:cxn ang="T100">
                <a:pos x="T36" y="T37"/>
              </a:cxn>
              <a:cxn ang="T101">
                <a:pos x="T38" y="T39"/>
              </a:cxn>
              <a:cxn ang="T102">
                <a:pos x="T40" y="T41"/>
              </a:cxn>
              <a:cxn ang="T103">
                <a:pos x="T42" y="T43"/>
              </a:cxn>
              <a:cxn ang="T104">
                <a:pos x="T44" y="T45"/>
              </a:cxn>
              <a:cxn ang="T105">
                <a:pos x="T46" y="T47"/>
              </a:cxn>
              <a:cxn ang="T106">
                <a:pos x="T48" y="T49"/>
              </a:cxn>
              <a:cxn ang="T107">
                <a:pos x="T50" y="T51"/>
              </a:cxn>
              <a:cxn ang="T108">
                <a:pos x="T52" y="T53"/>
              </a:cxn>
              <a:cxn ang="T109">
                <a:pos x="T54" y="T55"/>
              </a:cxn>
              <a:cxn ang="T110">
                <a:pos x="T56" y="T57"/>
              </a:cxn>
              <a:cxn ang="T111">
                <a:pos x="T58" y="T59"/>
              </a:cxn>
              <a:cxn ang="T112">
                <a:pos x="T60" y="T61"/>
              </a:cxn>
              <a:cxn ang="T113">
                <a:pos x="T62" y="T63"/>
              </a:cxn>
              <a:cxn ang="T114">
                <a:pos x="T64" y="T65"/>
              </a:cxn>
              <a:cxn ang="T115">
                <a:pos x="T66" y="T67"/>
              </a:cxn>
              <a:cxn ang="T116">
                <a:pos x="T68" y="T69"/>
              </a:cxn>
              <a:cxn ang="T117">
                <a:pos x="T70" y="T71"/>
              </a:cxn>
              <a:cxn ang="T118">
                <a:pos x="T72" y="T73"/>
              </a:cxn>
              <a:cxn ang="T119">
                <a:pos x="T74" y="T75"/>
              </a:cxn>
              <a:cxn ang="T120">
                <a:pos x="T76" y="T77"/>
              </a:cxn>
              <a:cxn ang="T121">
                <a:pos x="T78" y="T79"/>
              </a:cxn>
              <a:cxn ang="T122">
                <a:pos x="T80" y="T81"/>
              </a:cxn>
            </a:cxnLst>
            <a:rect l="T123" t="T124" r="T125" b="T126"/>
            <a:pathLst>
              <a:path w="141" h="214">
                <a:moveTo>
                  <a:pt x="140" y="0"/>
                </a:moveTo>
                <a:lnTo>
                  <a:pt x="34" y="0"/>
                </a:lnTo>
                <a:lnTo>
                  <a:pt x="23" y="6"/>
                </a:lnTo>
                <a:lnTo>
                  <a:pt x="11" y="17"/>
                </a:lnTo>
                <a:lnTo>
                  <a:pt x="4" y="26"/>
                </a:lnTo>
                <a:lnTo>
                  <a:pt x="1" y="33"/>
                </a:lnTo>
                <a:lnTo>
                  <a:pt x="0" y="34"/>
                </a:lnTo>
                <a:lnTo>
                  <a:pt x="0" y="36"/>
                </a:lnTo>
                <a:lnTo>
                  <a:pt x="0" y="50"/>
                </a:lnTo>
                <a:lnTo>
                  <a:pt x="0" y="74"/>
                </a:lnTo>
                <a:lnTo>
                  <a:pt x="0" y="97"/>
                </a:lnTo>
                <a:lnTo>
                  <a:pt x="0" y="111"/>
                </a:lnTo>
                <a:lnTo>
                  <a:pt x="0" y="125"/>
                </a:lnTo>
                <a:lnTo>
                  <a:pt x="0" y="135"/>
                </a:lnTo>
                <a:lnTo>
                  <a:pt x="0" y="149"/>
                </a:lnTo>
                <a:lnTo>
                  <a:pt x="0" y="154"/>
                </a:lnTo>
                <a:lnTo>
                  <a:pt x="0" y="159"/>
                </a:lnTo>
                <a:lnTo>
                  <a:pt x="0" y="165"/>
                </a:lnTo>
                <a:lnTo>
                  <a:pt x="0" y="189"/>
                </a:lnTo>
                <a:lnTo>
                  <a:pt x="12" y="200"/>
                </a:lnTo>
                <a:lnTo>
                  <a:pt x="27" y="210"/>
                </a:lnTo>
                <a:lnTo>
                  <a:pt x="44" y="213"/>
                </a:lnTo>
                <a:lnTo>
                  <a:pt x="89" y="213"/>
                </a:lnTo>
                <a:lnTo>
                  <a:pt x="104" y="199"/>
                </a:lnTo>
                <a:lnTo>
                  <a:pt x="114" y="185"/>
                </a:lnTo>
                <a:lnTo>
                  <a:pt x="130" y="168"/>
                </a:lnTo>
                <a:lnTo>
                  <a:pt x="137" y="154"/>
                </a:lnTo>
                <a:lnTo>
                  <a:pt x="137" y="151"/>
                </a:lnTo>
                <a:lnTo>
                  <a:pt x="126" y="156"/>
                </a:lnTo>
                <a:lnTo>
                  <a:pt x="103" y="156"/>
                </a:lnTo>
                <a:lnTo>
                  <a:pt x="82" y="152"/>
                </a:lnTo>
                <a:lnTo>
                  <a:pt x="67" y="142"/>
                </a:lnTo>
                <a:lnTo>
                  <a:pt x="60" y="133"/>
                </a:lnTo>
                <a:lnTo>
                  <a:pt x="56" y="132"/>
                </a:lnTo>
                <a:lnTo>
                  <a:pt x="56" y="91"/>
                </a:lnTo>
                <a:lnTo>
                  <a:pt x="67" y="84"/>
                </a:lnTo>
                <a:lnTo>
                  <a:pt x="74" y="75"/>
                </a:lnTo>
                <a:lnTo>
                  <a:pt x="84" y="68"/>
                </a:lnTo>
                <a:lnTo>
                  <a:pt x="88" y="67"/>
                </a:lnTo>
                <a:lnTo>
                  <a:pt x="137" y="67"/>
                </a:lnTo>
                <a:lnTo>
                  <a:pt x="140" y="0"/>
                </a:lnTo>
              </a:path>
            </a:pathLst>
          </a:custGeom>
          <a:solidFill>
            <a:srgbClr val="FFD521"/>
          </a:solidFill>
          <a:ln>
            <a:noFill/>
          </a:ln>
          <a:extLst>
            <a:ext uri="{91240B29-F687-4F45-9708-019B960494DF}">
              <a14:hiddenLine xmlns:a14="http://schemas.microsoft.com/office/drawing/2010/main" w="9525" cap="rnd">
                <a:solidFill>
                  <a:srgbClr val="000000"/>
                </a:solidFill>
                <a:round/>
                <a:headEnd/>
                <a:tailEnd/>
              </a14:hiddenLine>
            </a:ext>
          </a:extLst>
        </xdr:spPr>
      </xdr:sp>
      <xdr:sp macro="" textlink="">
        <xdr:nvSpPr>
          <xdr:cNvPr id="62943321" name="Freeform 14">
            <a:extLst>
              <a:ext uri="{FF2B5EF4-FFF2-40B4-BE49-F238E27FC236}">
                <a16:creationId xmlns:a16="http://schemas.microsoft.com/office/drawing/2014/main" id="{A62F5607-FBD8-409A-94B7-0E18CE26FA26}"/>
              </a:ext>
            </a:extLst>
          </xdr:cNvPr>
          <xdr:cNvSpPr>
            <a:spLocks noChangeAspect="1"/>
          </xdr:cNvSpPr>
        </xdr:nvSpPr>
        <xdr:spPr bwMode="auto">
          <a:xfrm>
            <a:off x="3769" y="2052"/>
            <a:ext cx="73" cy="92"/>
          </a:xfrm>
          <a:custGeom>
            <a:avLst/>
            <a:gdLst>
              <a:gd name="T0" fmla="*/ 0 w 211"/>
              <a:gd name="T1" fmla="*/ 0 h 281"/>
              <a:gd name="T2" fmla="*/ 0 w 211"/>
              <a:gd name="T3" fmla="*/ 0 h 281"/>
              <a:gd name="T4" fmla="*/ 0 w 211"/>
              <a:gd name="T5" fmla="*/ 0 h 281"/>
              <a:gd name="T6" fmla="*/ 0 w 211"/>
              <a:gd name="T7" fmla="*/ 0 h 281"/>
              <a:gd name="T8" fmla="*/ 0 w 211"/>
              <a:gd name="T9" fmla="*/ 0 h 281"/>
              <a:gd name="T10" fmla="*/ 0 w 211"/>
              <a:gd name="T11" fmla="*/ 0 h 281"/>
              <a:gd name="T12" fmla="*/ 0 w 211"/>
              <a:gd name="T13" fmla="*/ 0 h 281"/>
              <a:gd name="T14" fmla="*/ 0 w 211"/>
              <a:gd name="T15" fmla="*/ 0 h 281"/>
              <a:gd name="T16" fmla="*/ 0 w 211"/>
              <a:gd name="T17" fmla="*/ 0 h 281"/>
              <a:gd name="T18" fmla="*/ 0 w 211"/>
              <a:gd name="T19" fmla="*/ 0 h 281"/>
              <a:gd name="T20" fmla="*/ 0 w 211"/>
              <a:gd name="T21" fmla="*/ 0 h 281"/>
              <a:gd name="T22" fmla="*/ 0 w 211"/>
              <a:gd name="T23" fmla="*/ 0 h 281"/>
              <a:gd name="T24" fmla="*/ 0 w 211"/>
              <a:gd name="T25" fmla="*/ 0 h 281"/>
              <a:gd name="T26" fmla="*/ 0 w 211"/>
              <a:gd name="T27" fmla="*/ 0 h 281"/>
              <a:gd name="T28" fmla="*/ 0 w 211"/>
              <a:gd name="T29" fmla="*/ 0 h 281"/>
              <a:gd name="T30" fmla="*/ 0 w 211"/>
              <a:gd name="T31" fmla="*/ 0 h 281"/>
              <a:gd name="T32" fmla="*/ 0 w 211"/>
              <a:gd name="T33" fmla="*/ 0 h 281"/>
              <a:gd name="T34" fmla="*/ 0 w 211"/>
              <a:gd name="T35" fmla="*/ 0 h 281"/>
              <a:gd name="T36" fmla="*/ 0 w 211"/>
              <a:gd name="T37" fmla="*/ 0 h 281"/>
              <a:gd name="T38" fmla="*/ 0 w 211"/>
              <a:gd name="T39" fmla="*/ 0 h 281"/>
              <a:gd name="T40" fmla="*/ 0 w 211"/>
              <a:gd name="T41" fmla="*/ 0 h 281"/>
              <a:gd name="T42" fmla="*/ 0 w 211"/>
              <a:gd name="T43" fmla="*/ 0 h 281"/>
              <a:gd name="T44" fmla="*/ 0 w 211"/>
              <a:gd name="T45" fmla="*/ 0 h 281"/>
              <a:gd name="T46" fmla="*/ 0 w 211"/>
              <a:gd name="T47" fmla="*/ 0 h 281"/>
              <a:gd name="T48" fmla="*/ 0 w 211"/>
              <a:gd name="T49" fmla="*/ 0 h 281"/>
              <a:gd name="T50" fmla="*/ 0 w 211"/>
              <a:gd name="T51" fmla="*/ 0 h 281"/>
              <a:gd name="T52" fmla="*/ 0 w 211"/>
              <a:gd name="T53" fmla="*/ 0 h 281"/>
              <a:gd name="T54" fmla="*/ 0 w 211"/>
              <a:gd name="T55" fmla="*/ 0 h 281"/>
              <a:gd name="T56" fmla="*/ 0 w 211"/>
              <a:gd name="T57" fmla="*/ 0 h 281"/>
              <a:gd name="T58" fmla="*/ 0 w 211"/>
              <a:gd name="T59" fmla="*/ 0 h 281"/>
              <a:gd name="T60" fmla="*/ 0 w 211"/>
              <a:gd name="T61" fmla="*/ 0 h 281"/>
              <a:gd name="T62" fmla="*/ 0 w 211"/>
              <a:gd name="T63" fmla="*/ 0 h 281"/>
              <a:gd name="T64" fmla="*/ 0 w 211"/>
              <a:gd name="T65" fmla="*/ 0 h 281"/>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w 211"/>
              <a:gd name="T100" fmla="*/ 0 h 281"/>
              <a:gd name="T101" fmla="*/ 211 w 211"/>
              <a:gd name="T102" fmla="*/ 281 h 281"/>
            </a:gdLst>
            <a:ahLst/>
            <a:cxnLst>
              <a:cxn ang="T66">
                <a:pos x="T0" y="T1"/>
              </a:cxn>
              <a:cxn ang="T67">
                <a:pos x="T2" y="T3"/>
              </a:cxn>
              <a:cxn ang="T68">
                <a:pos x="T4" y="T5"/>
              </a:cxn>
              <a:cxn ang="T69">
                <a:pos x="T6" y="T7"/>
              </a:cxn>
              <a:cxn ang="T70">
                <a:pos x="T8" y="T9"/>
              </a:cxn>
              <a:cxn ang="T71">
                <a:pos x="T10" y="T11"/>
              </a:cxn>
              <a:cxn ang="T72">
                <a:pos x="T12" y="T13"/>
              </a:cxn>
              <a:cxn ang="T73">
                <a:pos x="T14" y="T15"/>
              </a:cxn>
              <a:cxn ang="T74">
                <a:pos x="T16" y="T17"/>
              </a:cxn>
              <a:cxn ang="T75">
                <a:pos x="T18" y="T19"/>
              </a:cxn>
              <a:cxn ang="T76">
                <a:pos x="T20" y="T21"/>
              </a:cxn>
              <a:cxn ang="T77">
                <a:pos x="T22" y="T23"/>
              </a:cxn>
              <a:cxn ang="T78">
                <a:pos x="T24" y="T25"/>
              </a:cxn>
              <a:cxn ang="T79">
                <a:pos x="T26" y="T27"/>
              </a:cxn>
              <a:cxn ang="T80">
                <a:pos x="T28" y="T29"/>
              </a:cxn>
              <a:cxn ang="T81">
                <a:pos x="T30" y="T31"/>
              </a:cxn>
              <a:cxn ang="T82">
                <a:pos x="T32" y="T33"/>
              </a:cxn>
              <a:cxn ang="T83">
                <a:pos x="T34" y="T35"/>
              </a:cxn>
              <a:cxn ang="T84">
                <a:pos x="T36" y="T37"/>
              </a:cxn>
              <a:cxn ang="T85">
                <a:pos x="T38" y="T39"/>
              </a:cxn>
              <a:cxn ang="T86">
                <a:pos x="T40" y="T41"/>
              </a:cxn>
              <a:cxn ang="T87">
                <a:pos x="T42" y="T43"/>
              </a:cxn>
              <a:cxn ang="T88">
                <a:pos x="T44" y="T45"/>
              </a:cxn>
              <a:cxn ang="T89">
                <a:pos x="T46" y="T47"/>
              </a:cxn>
              <a:cxn ang="T90">
                <a:pos x="T48" y="T49"/>
              </a:cxn>
              <a:cxn ang="T91">
                <a:pos x="T50" y="T51"/>
              </a:cxn>
              <a:cxn ang="T92">
                <a:pos x="T52" y="T53"/>
              </a:cxn>
              <a:cxn ang="T93">
                <a:pos x="T54" y="T55"/>
              </a:cxn>
              <a:cxn ang="T94">
                <a:pos x="T56" y="T57"/>
              </a:cxn>
              <a:cxn ang="T95">
                <a:pos x="T58" y="T59"/>
              </a:cxn>
              <a:cxn ang="T96">
                <a:pos x="T60" y="T61"/>
              </a:cxn>
              <a:cxn ang="T97">
                <a:pos x="T62" y="T63"/>
              </a:cxn>
              <a:cxn ang="T98">
                <a:pos x="T64" y="T65"/>
              </a:cxn>
            </a:cxnLst>
            <a:rect l="T99" t="T100" r="T101" b="T102"/>
            <a:pathLst>
              <a:path w="211" h="281">
                <a:moveTo>
                  <a:pt x="0" y="0"/>
                </a:moveTo>
                <a:lnTo>
                  <a:pt x="0" y="280"/>
                </a:lnTo>
                <a:lnTo>
                  <a:pt x="55" y="280"/>
                </a:lnTo>
                <a:lnTo>
                  <a:pt x="55" y="140"/>
                </a:lnTo>
                <a:lnTo>
                  <a:pt x="58" y="134"/>
                </a:lnTo>
                <a:lnTo>
                  <a:pt x="68" y="130"/>
                </a:lnTo>
                <a:lnTo>
                  <a:pt x="73" y="126"/>
                </a:lnTo>
                <a:lnTo>
                  <a:pt x="81" y="124"/>
                </a:lnTo>
                <a:lnTo>
                  <a:pt x="87" y="120"/>
                </a:lnTo>
                <a:lnTo>
                  <a:pt x="88" y="119"/>
                </a:lnTo>
                <a:lnTo>
                  <a:pt x="132" y="119"/>
                </a:lnTo>
                <a:lnTo>
                  <a:pt x="143" y="124"/>
                </a:lnTo>
                <a:lnTo>
                  <a:pt x="149" y="129"/>
                </a:lnTo>
                <a:lnTo>
                  <a:pt x="151" y="140"/>
                </a:lnTo>
                <a:lnTo>
                  <a:pt x="151" y="278"/>
                </a:lnTo>
                <a:lnTo>
                  <a:pt x="210" y="278"/>
                </a:lnTo>
                <a:lnTo>
                  <a:pt x="210" y="99"/>
                </a:lnTo>
                <a:lnTo>
                  <a:pt x="206" y="92"/>
                </a:lnTo>
                <a:lnTo>
                  <a:pt x="202" y="86"/>
                </a:lnTo>
                <a:lnTo>
                  <a:pt x="195" y="79"/>
                </a:lnTo>
                <a:lnTo>
                  <a:pt x="187" y="75"/>
                </a:lnTo>
                <a:lnTo>
                  <a:pt x="184" y="68"/>
                </a:lnTo>
                <a:lnTo>
                  <a:pt x="182" y="68"/>
                </a:lnTo>
                <a:lnTo>
                  <a:pt x="101" y="68"/>
                </a:lnTo>
                <a:lnTo>
                  <a:pt x="95" y="71"/>
                </a:lnTo>
                <a:lnTo>
                  <a:pt x="88" y="79"/>
                </a:lnTo>
                <a:lnTo>
                  <a:pt x="81" y="88"/>
                </a:lnTo>
                <a:lnTo>
                  <a:pt x="77" y="96"/>
                </a:lnTo>
                <a:lnTo>
                  <a:pt x="72" y="103"/>
                </a:lnTo>
                <a:lnTo>
                  <a:pt x="58" y="112"/>
                </a:lnTo>
                <a:lnTo>
                  <a:pt x="55" y="113"/>
                </a:lnTo>
                <a:lnTo>
                  <a:pt x="55" y="0"/>
                </a:lnTo>
                <a:lnTo>
                  <a:pt x="0" y="0"/>
                </a:lnTo>
              </a:path>
            </a:pathLst>
          </a:custGeom>
          <a:solidFill>
            <a:srgbClr val="FFD521"/>
          </a:solidFill>
          <a:ln>
            <a:noFill/>
          </a:ln>
          <a:extLst>
            <a:ext uri="{91240B29-F687-4F45-9708-019B960494DF}">
              <a14:hiddenLine xmlns:a14="http://schemas.microsoft.com/office/drawing/2010/main" w="9525" cap="rnd">
                <a:solidFill>
                  <a:srgbClr val="000000"/>
                </a:solidFill>
                <a:round/>
                <a:headEnd/>
                <a:tailEnd/>
              </a14:hiddenLine>
            </a:ext>
          </a:extLst>
        </xdr:spPr>
      </xdr:sp>
      <xdr:sp macro="" textlink="">
        <xdr:nvSpPr>
          <xdr:cNvPr id="62943322" name="Freeform 15">
            <a:extLst>
              <a:ext uri="{FF2B5EF4-FFF2-40B4-BE49-F238E27FC236}">
                <a16:creationId xmlns:a16="http://schemas.microsoft.com/office/drawing/2014/main" id="{F45FB6B0-2DF0-42B5-8A0A-CADD9808F0F1}"/>
              </a:ext>
            </a:extLst>
          </xdr:cNvPr>
          <xdr:cNvSpPr>
            <a:spLocks noChangeAspect="1"/>
          </xdr:cNvSpPr>
        </xdr:nvSpPr>
        <xdr:spPr bwMode="auto">
          <a:xfrm>
            <a:off x="3847" y="2073"/>
            <a:ext cx="60" cy="70"/>
          </a:xfrm>
          <a:custGeom>
            <a:avLst/>
            <a:gdLst>
              <a:gd name="T0" fmla="*/ 0 w 172"/>
              <a:gd name="T1" fmla="*/ 0 h 213"/>
              <a:gd name="T2" fmla="*/ 0 w 172"/>
              <a:gd name="T3" fmla="*/ 0 h 213"/>
              <a:gd name="T4" fmla="*/ 0 w 172"/>
              <a:gd name="T5" fmla="*/ 0 h 213"/>
              <a:gd name="T6" fmla="*/ 0 w 172"/>
              <a:gd name="T7" fmla="*/ 0 h 213"/>
              <a:gd name="T8" fmla="*/ 0 w 172"/>
              <a:gd name="T9" fmla="*/ 0 h 213"/>
              <a:gd name="T10" fmla="*/ 0 w 172"/>
              <a:gd name="T11" fmla="*/ 0 h 213"/>
              <a:gd name="T12" fmla="*/ 0 w 172"/>
              <a:gd name="T13" fmla="*/ 0 h 213"/>
              <a:gd name="T14" fmla="*/ 0 w 172"/>
              <a:gd name="T15" fmla="*/ 0 h 213"/>
              <a:gd name="T16" fmla="*/ 0 w 172"/>
              <a:gd name="T17" fmla="*/ 0 h 213"/>
              <a:gd name="T18" fmla="*/ 0 w 172"/>
              <a:gd name="T19" fmla="*/ 0 h 213"/>
              <a:gd name="T20" fmla="*/ 0 w 172"/>
              <a:gd name="T21" fmla="*/ 0 h 213"/>
              <a:gd name="T22" fmla="*/ 0 w 172"/>
              <a:gd name="T23" fmla="*/ 0 h 213"/>
              <a:gd name="T24" fmla="*/ 0 w 172"/>
              <a:gd name="T25" fmla="*/ 0 h 213"/>
              <a:gd name="T26" fmla="*/ 0 w 172"/>
              <a:gd name="T27" fmla="*/ 0 h 213"/>
              <a:gd name="T28" fmla="*/ 0 w 172"/>
              <a:gd name="T29" fmla="*/ 0 h 213"/>
              <a:gd name="T30" fmla="*/ 0 w 172"/>
              <a:gd name="T31" fmla="*/ 0 h 213"/>
              <a:gd name="T32" fmla="*/ 0 w 172"/>
              <a:gd name="T33" fmla="*/ 0 h 213"/>
              <a:gd name="T34" fmla="*/ 0 w 172"/>
              <a:gd name="T35" fmla="*/ 0 h 213"/>
              <a:gd name="T36" fmla="*/ 0 w 172"/>
              <a:gd name="T37" fmla="*/ 0 h 213"/>
              <a:gd name="T38" fmla="*/ 0 w 172"/>
              <a:gd name="T39" fmla="*/ 0 h 213"/>
              <a:gd name="T40" fmla="*/ 0 w 172"/>
              <a:gd name="T41" fmla="*/ 0 h 213"/>
              <a:gd name="T42" fmla="*/ 0 w 172"/>
              <a:gd name="T43" fmla="*/ 0 h 213"/>
              <a:gd name="T44" fmla="*/ 0 w 172"/>
              <a:gd name="T45" fmla="*/ 0 h 213"/>
              <a:gd name="T46" fmla="*/ 0 w 172"/>
              <a:gd name="T47" fmla="*/ 0 h 213"/>
              <a:gd name="T48" fmla="*/ 0 w 172"/>
              <a:gd name="T49" fmla="*/ 0 h 213"/>
              <a:gd name="T50" fmla="*/ 0 w 172"/>
              <a:gd name="T51" fmla="*/ 0 h 213"/>
              <a:gd name="T52" fmla="*/ 0 w 172"/>
              <a:gd name="T53" fmla="*/ 0 h 213"/>
              <a:gd name="T54" fmla="*/ 0 w 172"/>
              <a:gd name="T55" fmla="*/ 0 h 213"/>
              <a:gd name="T56" fmla="*/ 0 w 172"/>
              <a:gd name="T57" fmla="*/ 0 h 213"/>
              <a:gd name="T58" fmla="*/ 0 w 172"/>
              <a:gd name="T59" fmla="*/ 0 h 213"/>
              <a:gd name="T60" fmla="*/ 0 w 172"/>
              <a:gd name="T61" fmla="*/ 0 h 213"/>
              <a:gd name="T62" fmla="*/ 0 w 172"/>
              <a:gd name="T63" fmla="*/ 0 h 213"/>
              <a:gd name="T64" fmla="*/ 0 w 172"/>
              <a:gd name="T65" fmla="*/ 0 h 213"/>
              <a:gd name="T66" fmla="*/ 0 w 172"/>
              <a:gd name="T67" fmla="*/ 0 h 213"/>
              <a:gd name="T68" fmla="*/ 0 w 172"/>
              <a:gd name="T69" fmla="*/ 0 h 213"/>
              <a:gd name="T70" fmla="*/ 0 w 172"/>
              <a:gd name="T71" fmla="*/ 0 h 213"/>
              <a:gd name="T72" fmla="*/ 0 w 172"/>
              <a:gd name="T73" fmla="*/ 0 h 213"/>
              <a:gd name="T74" fmla="*/ 0 w 172"/>
              <a:gd name="T75" fmla="*/ 0 h 213"/>
              <a:gd name="T76" fmla="*/ 0 w 172"/>
              <a:gd name="T77" fmla="*/ 0 h 213"/>
              <a:gd name="T78" fmla="*/ 0 w 172"/>
              <a:gd name="T79" fmla="*/ 0 h 213"/>
              <a:gd name="T80" fmla="*/ 0 w 172"/>
              <a:gd name="T81" fmla="*/ 0 h 213"/>
              <a:gd name="T82" fmla="*/ 0 w 172"/>
              <a:gd name="T83" fmla="*/ 0 h 213"/>
              <a:gd name="T84" fmla="*/ 0 w 172"/>
              <a:gd name="T85" fmla="*/ 0 h 213"/>
              <a:gd name="T86" fmla="*/ 0 w 172"/>
              <a:gd name="T87" fmla="*/ 0 h 213"/>
              <a:gd name="T88" fmla="*/ 0 w 172"/>
              <a:gd name="T89" fmla="*/ 0 h 213"/>
              <a:gd name="T90" fmla="*/ 0 w 172"/>
              <a:gd name="T91" fmla="*/ 0 h 213"/>
              <a:gd name="T92" fmla="*/ 0 w 172"/>
              <a:gd name="T93" fmla="*/ 0 h 213"/>
              <a:gd name="T94" fmla="*/ 0 w 172"/>
              <a:gd name="T95" fmla="*/ 0 h 213"/>
              <a:gd name="T96" fmla="*/ 0 w 172"/>
              <a:gd name="T97" fmla="*/ 0 h 213"/>
              <a:gd name="T98" fmla="*/ 0 w 172"/>
              <a:gd name="T99" fmla="*/ 0 h 213"/>
              <a:gd name="T100" fmla="*/ 0 w 172"/>
              <a:gd name="T101" fmla="*/ 0 h 213"/>
              <a:gd name="T102" fmla="*/ 0 w 172"/>
              <a:gd name="T103" fmla="*/ 0 h 213"/>
              <a:gd name="T104" fmla="*/ 0 w 172"/>
              <a:gd name="T105" fmla="*/ 0 h 213"/>
              <a:gd name="T106" fmla="*/ 0 w 172"/>
              <a:gd name="T107" fmla="*/ 0 h 213"/>
              <a:gd name="T108" fmla="*/ 0 w 172"/>
              <a:gd name="T109" fmla="*/ 0 h 213"/>
              <a:gd name="T110" fmla="*/ 0 w 172"/>
              <a:gd name="T111" fmla="*/ 0 h 213"/>
              <a:gd name="T112" fmla="*/ 0 w 172"/>
              <a:gd name="T113" fmla="*/ 0 h 213"/>
              <a:gd name="T114" fmla="*/ 0 w 172"/>
              <a:gd name="T115" fmla="*/ 0 h 213"/>
              <a:gd name="T116" fmla="*/ 0 w 172"/>
              <a:gd name="T117" fmla="*/ 0 h 213"/>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w 172"/>
              <a:gd name="T178" fmla="*/ 0 h 213"/>
              <a:gd name="T179" fmla="*/ 172 w 172"/>
              <a:gd name="T180" fmla="*/ 213 h 213"/>
            </a:gdLst>
            <a:ahLst/>
            <a:cxnLst>
              <a:cxn ang="T118">
                <a:pos x="T0" y="T1"/>
              </a:cxn>
              <a:cxn ang="T119">
                <a:pos x="T2" y="T3"/>
              </a:cxn>
              <a:cxn ang="T120">
                <a:pos x="T4" y="T5"/>
              </a:cxn>
              <a:cxn ang="T121">
                <a:pos x="T6" y="T7"/>
              </a:cxn>
              <a:cxn ang="T122">
                <a:pos x="T8" y="T9"/>
              </a:cxn>
              <a:cxn ang="T123">
                <a:pos x="T10" y="T11"/>
              </a:cxn>
              <a:cxn ang="T124">
                <a:pos x="T12" y="T13"/>
              </a:cxn>
              <a:cxn ang="T125">
                <a:pos x="T14" y="T15"/>
              </a:cxn>
              <a:cxn ang="T126">
                <a:pos x="T16" y="T17"/>
              </a:cxn>
              <a:cxn ang="T127">
                <a:pos x="T18" y="T19"/>
              </a:cxn>
              <a:cxn ang="T128">
                <a:pos x="T20" y="T21"/>
              </a:cxn>
              <a:cxn ang="T129">
                <a:pos x="T22" y="T23"/>
              </a:cxn>
              <a:cxn ang="T130">
                <a:pos x="T24" y="T25"/>
              </a:cxn>
              <a:cxn ang="T131">
                <a:pos x="T26" y="T27"/>
              </a:cxn>
              <a:cxn ang="T132">
                <a:pos x="T28" y="T29"/>
              </a:cxn>
              <a:cxn ang="T133">
                <a:pos x="T30" y="T31"/>
              </a:cxn>
              <a:cxn ang="T134">
                <a:pos x="T32" y="T33"/>
              </a:cxn>
              <a:cxn ang="T135">
                <a:pos x="T34" y="T35"/>
              </a:cxn>
              <a:cxn ang="T136">
                <a:pos x="T36" y="T37"/>
              </a:cxn>
              <a:cxn ang="T137">
                <a:pos x="T38" y="T39"/>
              </a:cxn>
              <a:cxn ang="T138">
                <a:pos x="T40" y="T41"/>
              </a:cxn>
              <a:cxn ang="T139">
                <a:pos x="T42" y="T43"/>
              </a:cxn>
              <a:cxn ang="T140">
                <a:pos x="T44" y="T45"/>
              </a:cxn>
              <a:cxn ang="T141">
                <a:pos x="T46" y="T47"/>
              </a:cxn>
              <a:cxn ang="T142">
                <a:pos x="T48" y="T49"/>
              </a:cxn>
              <a:cxn ang="T143">
                <a:pos x="T50" y="T51"/>
              </a:cxn>
              <a:cxn ang="T144">
                <a:pos x="T52" y="T53"/>
              </a:cxn>
              <a:cxn ang="T145">
                <a:pos x="T54" y="T55"/>
              </a:cxn>
              <a:cxn ang="T146">
                <a:pos x="T56" y="T57"/>
              </a:cxn>
              <a:cxn ang="T147">
                <a:pos x="T58" y="T59"/>
              </a:cxn>
              <a:cxn ang="T148">
                <a:pos x="T60" y="T61"/>
              </a:cxn>
              <a:cxn ang="T149">
                <a:pos x="T62" y="T63"/>
              </a:cxn>
              <a:cxn ang="T150">
                <a:pos x="T64" y="T65"/>
              </a:cxn>
              <a:cxn ang="T151">
                <a:pos x="T66" y="T67"/>
              </a:cxn>
              <a:cxn ang="T152">
                <a:pos x="T68" y="T69"/>
              </a:cxn>
              <a:cxn ang="T153">
                <a:pos x="T70" y="T71"/>
              </a:cxn>
              <a:cxn ang="T154">
                <a:pos x="T72" y="T73"/>
              </a:cxn>
              <a:cxn ang="T155">
                <a:pos x="T74" y="T75"/>
              </a:cxn>
              <a:cxn ang="T156">
                <a:pos x="T76" y="T77"/>
              </a:cxn>
              <a:cxn ang="T157">
                <a:pos x="T78" y="T79"/>
              </a:cxn>
              <a:cxn ang="T158">
                <a:pos x="T80" y="T81"/>
              </a:cxn>
              <a:cxn ang="T159">
                <a:pos x="T82" y="T83"/>
              </a:cxn>
              <a:cxn ang="T160">
                <a:pos x="T84" y="T85"/>
              </a:cxn>
              <a:cxn ang="T161">
                <a:pos x="T86" y="T87"/>
              </a:cxn>
              <a:cxn ang="T162">
                <a:pos x="T88" y="T89"/>
              </a:cxn>
              <a:cxn ang="T163">
                <a:pos x="T90" y="T91"/>
              </a:cxn>
              <a:cxn ang="T164">
                <a:pos x="T92" y="T93"/>
              </a:cxn>
              <a:cxn ang="T165">
                <a:pos x="T94" y="T95"/>
              </a:cxn>
              <a:cxn ang="T166">
                <a:pos x="T96" y="T97"/>
              </a:cxn>
              <a:cxn ang="T167">
                <a:pos x="T98" y="T99"/>
              </a:cxn>
              <a:cxn ang="T168">
                <a:pos x="T100" y="T101"/>
              </a:cxn>
              <a:cxn ang="T169">
                <a:pos x="T102" y="T103"/>
              </a:cxn>
              <a:cxn ang="T170">
                <a:pos x="T104" y="T105"/>
              </a:cxn>
              <a:cxn ang="T171">
                <a:pos x="T106" y="T107"/>
              </a:cxn>
              <a:cxn ang="T172">
                <a:pos x="T108" y="T109"/>
              </a:cxn>
              <a:cxn ang="T173">
                <a:pos x="T110" y="T111"/>
              </a:cxn>
              <a:cxn ang="T174">
                <a:pos x="T112" y="T113"/>
              </a:cxn>
              <a:cxn ang="T175">
                <a:pos x="T114" y="T115"/>
              </a:cxn>
              <a:cxn ang="T176">
                <a:pos x="T116" y="T117"/>
              </a:cxn>
            </a:cxnLst>
            <a:rect l="T177" t="T178" r="T179" b="T180"/>
            <a:pathLst>
              <a:path w="172" h="213">
                <a:moveTo>
                  <a:pt x="148" y="140"/>
                </a:moveTo>
                <a:lnTo>
                  <a:pt x="106" y="204"/>
                </a:lnTo>
                <a:lnTo>
                  <a:pt x="100" y="210"/>
                </a:lnTo>
                <a:lnTo>
                  <a:pt x="100" y="212"/>
                </a:lnTo>
                <a:lnTo>
                  <a:pt x="28" y="212"/>
                </a:lnTo>
                <a:lnTo>
                  <a:pt x="22" y="208"/>
                </a:lnTo>
                <a:lnTo>
                  <a:pt x="14" y="201"/>
                </a:lnTo>
                <a:lnTo>
                  <a:pt x="11" y="197"/>
                </a:lnTo>
                <a:lnTo>
                  <a:pt x="6" y="191"/>
                </a:lnTo>
                <a:lnTo>
                  <a:pt x="0" y="186"/>
                </a:lnTo>
                <a:lnTo>
                  <a:pt x="0" y="25"/>
                </a:lnTo>
                <a:lnTo>
                  <a:pt x="9" y="17"/>
                </a:lnTo>
                <a:lnTo>
                  <a:pt x="14" y="10"/>
                </a:lnTo>
                <a:lnTo>
                  <a:pt x="18" y="4"/>
                </a:lnTo>
                <a:lnTo>
                  <a:pt x="24" y="3"/>
                </a:lnTo>
                <a:lnTo>
                  <a:pt x="26" y="0"/>
                </a:lnTo>
                <a:lnTo>
                  <a:pt x="33" y="0"/>
                </a:lnTo>
                <a:lnTo>
                  <a:pt x="133" y="0"/>
                </a:lnTo>
                <a:lnTo>
                  <a:pt x="147" y="6"/>
                </a:lnTo>
                <a:lnTo>
                  <a:pt x="152" y="13"/>
                </a:lnTo>
                <a:lnTo>
                  <a:pt x="162" y="25"/>
                </a:lnTo>
                <a:lnTo>
                  <a:pt x="167" y="30"/>
                </a:lnTo>
                <a:lnTo>
                  <a:pt x="171" y="37"/>
                </a:lnTo>
                <a:lnTo>
                  <a:pt x="171" y="103"/>
                </a:lnTo>
                <a:lnTo>
                  <a:pt x="167" y="109"/>
                </a:lnTo>
                <a:lnTo>
                  <a:pt x="162" y="112"/>
                </a:lnTo>
                <a:lnTo>
                  <a:pt x="156" y="116"/>
                </a:lnTo>
                <a:lnTo>
                  <a:pt x="148" y="117"/>
                </a:lnTo>
                <a:lnTo>
                  <a:pt x="140" y="119"/>
                </a:lnTo>
                <a:lnTo>
                  <a:pt x="84" y="119"/>
                </a:lnTo>
                <a:lnTo>
                  <a:pt x="74" y="113"/>
                </a:lnTo>
                <a:lnTo>
                  <a:pt x="70" y="109"/>
                </a:lnTo>
                <a:lnTo>
                  <a:pt x="69" y="103"/>
                </a:lnTo>
                <a:lnTo>
                  <a:pt x="69" y="100"/>
                </a:lnTo>
                <a:lnTo>
                  <a:pt x="69" y="99"/>
                </a:lnTo>
                <a:lnTo>
                  <a:pt x="121" y="99"/>
                </a:lnTo>
                <a:lnTo>
                  <a:pt x="128" y="90"/>
                </a:lnTo>
                <a:lnTo>
                  <a:pt x="133" y="85"/>
                </a:lnTo>
                <a:lnTo>
                  <a:pt x="133" y="68"/>
                </a:lnTo>
                <a:lnTo>
                  <a:pt x="130" y="62"/>
                </a:lnTo>
                <a:lnTo>
                  <a:pt x="128" y="55"/>
                </a:lnTo>
                <a:lnTo>
                  <a:pt x="122" y="54"/>
                </a:lnTo>
                <a:lnTo>
                  <a:pt x="81" y="54"/>
                </a:lnTo>
                <a:lnTo>
                  <a:pt x="73" y="55"/>
                </a:lnTo>
                <a:lnTo>
                  <a:pt x="69" y="61"/>
                </a:lnTo>
                <a:lnTo>
                  <a:pt x="63" y="64"/>
                </a:lnTo>
                <a:lnTo>
                  <a:pt x="58" y="71"/>
                </a:lnTo>
                <a:lnTo>
                  <a:pt x="55" y="79"/>
                </a:lnTo>
                <a:lnTo>
                  <a:pt x="54" y="90"/>
                </a:lnTo>
                <a:lnTo>
                  <a:pt x="52" y="107"/>
                </a:lnTo>
                <a:lnTo>
                  <a:pt x="54" y="119"/>
                </a:lnTo>
                <a:lnTo>
                  <a:pt x="59" y="134"/>
                </a:lnTo>
                <a:lnTo>
                  <a:pt x="70" y="142"/>
                </a:lnTo>
                <a:lnTo>
                  <a:pt x="78" y="145"/>
                </a:lnTo>
                <a:lnTo>
                  <a:pt x="87" y="145"/>
                </a:lnTo>
                <a:lnTo>
                  <a:pt x="110" y="145"/>
                </a:lnTo>
                <a:lnTo>
                  <a:pt x="125" y="145"/>
                </a:lnTo>
                <a:lnTo>
                  <a:pt x="133" y="147"/>
                </a:lnTo>
                <a:lnTo>
                  <a:pt x="148" y="140"/>
                </a:lnTo>
              </a:path>
            </a:pathLst>
          </a:custGeom>
          <a:solidFill>
            <a:srgbClr val="FFD521"/>
          </a:solidFill>
          <a:ln>
            <a:noFill/>
          </a:ln>
          <a:extLst>
            <a:ext uri="{91240B29-F687-4F45-9708-019B960494DF}">
              <a14:hiddenLine xmlns:a14="http://schemas.microsoft.com/office/drawing/2010/main" w="9525" cap="rnd">
                <a:solidFill>
                  <a:srgbClr val="000000"/>
                </a:solidFill>
                <a:round/>
                <a:headEnd/>
                <a:tailEnd/>
              </a14:hiddenLine>
            </a:ext>
          </a:extLst>
        </xdr:spPr>
      </xdr:sp>
      <xdr:sp macro="" textlink="">
        <xdr:nvSpPr>
          <xdr:cNvPr id="62943323" name="Oval 16">
            <a:extLst>
              <a:ext uri="{FF2B5EF4-FFF2-40B4-BE49-F238E27FC236}">
                <a16:creationId xmlns:a16="http://schemas.microsoft.com/office/drawing/2014/main" id="{0A5FB192-AD5D-4A31-968C-172A04CA3DAA}"/>
              </a:ext>
            </a:extLst>
          </xdr:cNvPr>
          <xdr:cNvSpPr>
            <a:spLocks noChangeAspect="1" noChangeArrowheads="1"/>
          </xdr:cNvSpPr>
        </xdr:nvSpPr>
        <xdr:spPr bwMode="auto">
          <a:xfrm>
            <a:off x="3581" y="2092"/>
            <a:ext cx="35" cy="31"/>
          </a:xfrm>
          <a:prstGeom prst="ellipse">
            <a:avLst/>
          </a:prstGeom>
          <a:solidFill>
            <a:srgbClr val="72C7FF"/>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62943324" name="Oval 17">
            <a:extLst>
              <a:ext uri="{FF2B5EF4-FFF2-40B4-BE49-F238E27FC236}">
                <a16:creationId xmlns:a16="http://schemas.microsoft.com/office/drawing/2014/main" id="{D966276B-361C-4452-98C8-3A4AFC9FCC19}"/>
              </a:ext>
            </a:extLst>
          </xdr:cNvPr>
          <xdr:cNvSpPr>
            <a:spLocks noChangeAspect="1" noChangeArrowheads="1"/>
          </xdr:cNvSpPr>
        </xdr:nvSpPr>
        <xdr:spPr bwMode="auto">
          <a:xfrm>
            <a:off x="3768" y="2158"/>
            <a:ext cx="56" cy="56"/>
          </a:xfrm>
          <a:prstGeom prst="ellipse">
            <a:avLst/>
          </a:prstGeom>
          <a:solidFill>
            <a:srgbClr val="CA0000"/>
          </a:solidFill>
          <a:ln>
            <a:noFill/>
          </a:ln>
          <a:extLst>
            <a:ext uri="{91240B29-F687-4F45-9708-019B960494DF}">
              <a14:hiddenLine xmlns:a14="http://schemas.microsoft.com/office/drawing/2010/main" w="3175">
                <a:solidFill>
                  <a:srgbClr val="000000"/>
                </a:solidFill>
                <a:round/>
                <a:headEnd type="none" w="sm" len="sm"/>
                <a:tailEnd type="none" w="sm" len="sm"/>
              </a14:hiddenLine>
            </a:ext>
          </a:extLst>
        </xdr:spPr>
      </xdr:sp>
      <xdr:sp macro="" textlink="">
        <xdr:nvSpPr>
          <xdr:cNvPr id="62943325" name="Freeform 18">
            <a:extLst>
              <a:ext uri="{FF2B5EF4-FFF2-40B4-BE49-F238E27FC236}">
                <a16:creationId xmlns:a16="http://schemas.microsoft.com/office/drawing/2014/main" id="{D2101CA4-CCC3-46F8-A70F-754C3D1F941C}"/>
              </a:ext>
            </a:extLst>
          </xdr:cNvPr>
          <xdr:cNvSpPr>
            <a:spLocks noChangeAspect="1"/>
          </xdr:cNvSpPr>
        </xdr:nvSpPr>
        <xdr:spPr bwMode="auto">
          <a:xfrm>
            <a:off x="3776" y="2168"/>
            <a:ext cx="41" cy="38"/>
          </a:xfrm>
          <a:custGeom>
            <a:avLst/>
            <a:gdLst>
              <a:gd name="T0" fmla="*/ 0 w 170"/>
              <a:gd name="T1" fmla="*/ 0 h 158"/>
              <a:gd name="T2" fmla="*/ 0 w 170"/>
              <a:gd name="T3" fmla="*/ 0 h 158"/>
              <a:gd name="T4" fmla="*/ 0 w 170"/>
              <a:gd name="T5" fmla="*/ 0 h 158"/>
              <a:gd name="T6" fmla="*/ 0 w 170"/>
              <a:gd name="T7" fmla="*/ 0 h 158"/>
              <a:gd name="T8" fmla="*/ 0 w 170"/>
              <a:gd name="T9" fmla="*/ 0 h 158"/>
              <a:gd name="T10" fmla="*/ 0 w 170"/>
              <a:gd name="T11" fmla="*/ 0 h 158"/>
              <a:gd name="T12" fmla="*/ 0 w 170"/>
              <a:gd name="T13" fmla="*/ 0 h 158"/>
              <a:gd name="T14" fmla="*/ 0 w 170"/>
              <a:gd name="T15" fmla="*/ 0 h 158"/>
              <a:gd name="T16" fmla="*/ 0 w 170"/>
              <a:gd name="T17" fmla="*/ 0 h 158"/>
              <a:gd name="T18" fmla="*/ 0 w 170"/>
              <a:gd name="T19" fmla="*/ 0 h 158"/>
              <a:gd name="T20" fmla="*/ 0 w 170"/>
              <a:gd name="T21" fmla="*/ 0 h 158"/>
              <a:gd name="T22" fmla="*/ 0 w 170"/>
              <a:gd name="T23" fmla="*/ 0 h 158"/>
              <a:gd name="T24" fmla="*/ 0 w 170"/>
              <a:gd name="T25" fmla="*/ 0 h 158"/>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170"/>
              <a:gd name="T40" fmla="*/ 0 h 158"/>
              <a:gd name="T41" fmla="*/ 170 w 170"/>
              <a:gd name="T42" fmla="*/ 158 h 158"/>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170" h="158">
                <a:moveTo>
                  <a:pt x="170" y="0"/>
                </a:moveTo>
                <a:lnTo>
                  <a:pt x="137" y="14"/>
                </a:lnTo>
                <a:lnTo>
                  <a:pt x="115" y="19"/>
                </a:lnTo>
                <a:lnTo>
                  <a:pt x="103" y="21"/>
                </a:lnTo>
                <a:lnTo>
                  <a:pt x="93" y="26"/>
                </a:lnTo>
                <a:lnTo>
                  <a:pt x="83" y="36"/>
                </a:lnTo>
                <a:lnTo>
                  <a:pt x="65" y="57"/>
                </a:lnTo>
                <a:lnTo>
                  <a:pt x="53" y="73"/>
                </a:lnTo>
                <a:lnTo>
                  <a:pt x="47" y="81"/>
                </a:lnTo>
                <a:lnTo>
                  <a:pt x="37" y="102"/>
                </a:lnTo>
                <a:lnTo>
                  <a:pt x="25" y="121"/>
                </a:lnTo>
                <a:lnTo>
                  <a:pt x="15" y="134"/>
                </a:lnTo>
                <a:lnTo>
                  <a:pt x="0" y="158"/>
                </a:lnTo>
              </a:path>
            </a:pathLst>
          </a:custGeom>
          <a:noFill/>
          <a:ln w="5080">
            <a:solidFill>
              <a:srgbClr val="FFFFFF"/>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62943326" name="Freeform 19">
            <a:extLst>
              <a:ext uri="{FF2B5EF4-FFF2-40B4-BE49-F238E27FC236}">
                <a16:creationId xmlns:a16="http://schemas.microsoft.com/office/drawing/2014/main" id="{E9A34EF2-18EF-4952-82ED-E376C669906C}"/>
              </a:ext>
            </a:extLst>
          </xdr:cNvPr>
          <xdr:cNvSpPr>
            <a:spLocks noChangeAspect="1"/>
          </xdr:cNvSpPr>
        </xdr:nvSpPr>
        <xdr:spPr bwMode="auto">
          <a:xfrm>
            <a:off x="3786" y="2177"/>
            <a:ext cx="36" cy="34"/>
          </a:xfrm>
          <a:custGeom>
            <a:avLst/>
            <a:gdLst>
              <a:gd name="T0" fmla="*/ 0 w 153"/>
              <a:gd name="T1" fmla="*/ 0 h 141"/>
              <a:gd name="T2" fmla="*/ 0 w 153"/>
              <a:gd name="T3" fmla="*/ 0 h 141"/>
              <a:gd name="T4" fmla="*/ 0 w 153"/>
              <a:gd name="T5" fmla="*/ 0 h 141"/>
              <a:gd name="T6" fmla="*/ 0 w 153"/>
              <a:gd name="T7" fmla="*/ 0 h 141"/>
              <a:gd name="T8" fmla="*/ 0 w 153"/>
              <a:gd name="T9" fmla="*/ 0 h 141"/>
              <a:gd name="T10" fmla="*/ 0 w 153"/>
              <a:gd name="T11" fmla="*/ 0 h 141"/>
              <a:gd name="T12" fmla="*/ 0 w 153"/>
              <a:gd name="T13" fmla="*/ 0 h 141"/>
              <a:gd name="T14" fmla="*/ 0 w 153"/>
              <a:gd name="T15" fmla="*/ 0 h 141"/>
              <a:gd name="T16" fmla="*/ 0 w 153"/>
              <a:gd name="T17" fmla="*/ 0 h 141"/>
              <a:gd name="T18" fmla="*/ 0 w 153"/>
              <a:gd name="T19" fmla="*/ 0 h 141"/>
              <a:gd name="T20" fmla="*/ 0 w 153"/>
              <a:gd name="T21" fmla="*/ 0 h 141"/>
              <a:gd name="T22" fmla="*/ 0 w 153"/>
              <a:gd name="T23" fmla="*/ 0 h 141"/>
              <a:gd name="T24" fmla="*/ 0 w 153"/>
              <a:gd name="T25" fmla="*/ 0 h 141"/>
              <a:gd name="T26" fmla="*/ 0 w 153"/>
              <a:gd name="T27" fmla="*/ 0 h 141"/>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w 153"/>
              <a:gd name="T43" fmla="*/ 0 h 141"/>
              <a:gd name="T44" fmla="*/ 153 w 153"/>
              <a:gd name="T45" fmla="*/ 141 h 141"/>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T42" t="T43" r="T44" b="T45"/>
            <a:pathLst>
              <a:path w="153" h="141">
                <a:moveTo>
                  <a:pt x="153" y="0"/>
                </a:moveTo>
                <a:lnTo>
                  <a:pt x="129" y="0"/>
                </a:lnTo>
                <a:lnTo>
                  <a:pt x="110" y="6"/>
                </a:lnTo>
                <a:lnTo>
                  <a:pt x="96" y="17"/>
                </a:lnTo>
                <a:lnTo>
                  <a:pt x="81" y="22"/>
                </a:lnTo>
                <a:lnTo>
                  <a:pt x="69" y="35"/>
                </a:lnTo>
                <a:lnTo>
                  <a:pt x="53" y="49"/>
                </a:lnTo>
                <a:lnTo>
                  <a:pt x="43" y="59"/>
                </a:lnTo>
                <a:lnTo>
                  <a:pt x="34" y="71"/>
                </a:lnTo>
                <a:lnTo>
                  <a:pt x="27" y="84"/>
                </a:lnTo>
                <a:lnTo>
                  <a:pt x="10" y="97"/>
                </a:lnTo>
                <a:lnTo>
                  <a:pt x="2" y="113"/>
                </a:lnTo>
                <a:lnTo>
                  <a:pt x="1" y="125"/>
                </a:lnTo>
                <a:lnTo>
                  <a:pt x="0" y="141"/>
                </a:lnTo>
              </a:path>
            </a:pathLst>
          </a:custGeom>
          <a:noFill/>
          <a:ln w="5080">
            <a:solidFill>
              <a:srgbClr val="FFFFFF"/>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62943327" name="Freeform 20">
            <a:extLst>
              <a:ext uri="{FF2B5EF4-FFF2-40B4-BE49-F238E27FC236}">
                <a16:creationId xmlns:a16="http://schemas.microsoft.com/office/drawing/2014/main" id="{FC1F962F-5AF8-49BE-A62A-76B96529BA1A}"/>
              </a:ext>
            </a:extLst>
          </xdr:cNvPr>
          <xdr:cNvSpPr>
            <a:spLocks noChangeAspect="1"/>
          </xdr:cNvSpPr>
        </xdr:nvSpPr>
        <xdr:spPr bwMode="auto">
          <a:xfrm>
            <a:off x="3795" y="2189"/>
            <a:ext cx="29" cy="24"/>
          </a:xfrm>
          <a:custGeom>
            <a:avLst/>
            <a:gdLst>
              <a:gd name="T0" fmla="*/ 0 w 120"/>
              <a:gd name="T1" fmla="*/ 0 h 102"/>
              <a:gd name="T2" fmla="*/ 0 w 120"/>
              <a:gd name="T3" fmla="*/ 0 h 102"/>
              <a:gd name="T4" fmla="*/ 0 w 120"/>
              <a:gd name="T5" fmla="*/ 0 h 102"/>
              <a:gd name="T6" fmla="*/ 0 w 120"/>
              <a:gd name="T7" fmla="*/ 0 h 102"/>
              <a:gd name="T8" fmla="*/ 0 w 120"/>
              <a:gd name="T9" fmla="*/ 0 h 102"/>
              <a:gd name="T10" fmla="*/ 0 w 120"/>
              <a:gd name="T11" fmla="*/ 0 h 102"/>
              <a:gd name="T12" fmla="*/ 0 w 120"/>
              <a:gd name="T13" fmla="*/ 0 h 102"/>
              <a:gd name="T14" fmla="*/ 0 w 120"/>
              <a:gd name="T15" fmla="*/ 0 h 102"/>
              <a:gd name="T16" fmla="*/ 0 w 120"/>
              <a:gd name="T17" fmla="*/ 0 h 102"/>
              <a:gd name="T18" fmla="*/ 0 w 120"/>
              <a:gd name="T19" fmla="*/ 0 h 102"/>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20"/>
              <a:gd name="T31" fmla="*/ 0 h 102"/>
              <a:gd name="T32" fmla="*/ 120 w 120"/>
              <a:gd name="T33" fmla="*/ 102 h 102"/>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20" h="102">
                <a:moveTo>
                  <a:pt x="120" y="1"/>
                </a:moveTo>
                <a:lnTo>
                  <a:pt x="99" y="0"/>
                </a:lnTo>
                <a:lnTo>
                  <a:pt x="85" y="2"/>
                </a:lnTo>
                <a:lnTo>
                  <a:pt x="68" y="5"/>
                </a:lnTo>
                <a:lnTo>
                  <a:pt x="47" y="13"/>
                </a:lnTo>
                <a:lnTo>
                  <a:pt x="29" y="31"/>
                </a:lnTo>
                <a:lnTo>
                  <a:pt x="17" y="49"/>
                </a:lnTo>
                <a:lnTo>
                  <a:pt x="5" y="78"/>
                </a:lnTo>
                <a:lnTo>
                  <a:pt x="1" y="96"/>
                </a:lnTo>
                <a:lnTo>
                  <a:pt x="0" y="102"/>
                </a:lnTo>
              </a:path>
            </a:pathLst>
          </a:custGeom>
          <a:noFill/>
          <a:ln w="5080">
            <a:solidFill>
              <a:srgbClr val="FFFFFF"/>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62943328" name="Freeform 21">
            <a:extLst>
              <a:ext uri="{FF2B5EF4-FFF2-40B4-BE49-F238E27FC236}">
                <a16:creationId xmlns:a16="http://schemas.microsoft.com/office/drawing/2014/main" id="{B4B3E59D-BAC9-4A63-BF30-D8AD0C81F4BB}"/>
              </a:ext>
            </a:extLst>
          </xdr:cNvPr>
          <xdr:cNvSpPr>
            <a:spLocks noChangeAspect="1"/>
          </xdr:cNvSpPr>
        </xdr:nvSpPr>
        <xdr:spPr bwMode="auto">
          <a:xfrm>
            <a:off x="3803" y="2196"/>
            <a:ext cx="19" cy="16"/>
          </a:xfrm>
          <a:custGeom>
            <a:avLst/>
            <a:gdLst>
              <a:gd name="T0" fmla="*/ 0 w 78"/>
              <a:gd name="T1" fmla="*/ 0 h 67"/>
              <a:gd name="T2" fmla="*/ 0 w 78"/>
              <a:gd name="T3" fmla="*/ 0 h 67"/>
              <a:gd name="T4" fmla="*/ 0 w 78"/>
              <a:gd name="T5" fmla="*/ 0 h 67"/>
              <a:gd name="T6" fmla="*/ 0 w 78"/>
              <a:gd name="T7" fmla="*/ 0 h 67"/>
              <a:gd name="T8" fmla="*/ 0 w 78"/>
              <a:gd name="T9" fmla="*/ 0 h 67"/>
              <a:gd name="T10" fmla="*/ 0 w 78"/>
              <a:gd name="T11" fmla="*/ 0 h 67"/>
              <a:gd name="T12" fmla="*/ 0 w 78"/>
              <a:gd name="T13" fmla="*/ 0 h 67"/>
              <a:gd name="T14" fmla="*/ 0 w 78"/>
              <a:gd name="T15" fmla="*/ 0 h 67"/>
              <a:gd name="T16" fmla="*/ 0 60000 65536"/>
              <a:gd name="T17" fmla="*/ 0 60000 65536"/>
              <a:gd name="T18" fmla="*/ 0 60000 65536"/>
              <a:gd name="T19" fmla="*/ 0 60000 65536"/>
              <a:gd name="T20" fmla="*/ 0 60000 65536"/>
              <a:gd name="T21" fmla="*/ 0 60000 65536"/>
              <a:gd name="T22" fmla="*/ 0 60000 65536"/>
              <a:gd name="T23" fmla="*/ 0 60000 65536"/>
              <a:gd name="T24" fmla="*/ 0 w 78"/>
              <a:gd name="T25" fmla="*/ 0 h 67"/>
              <a:gd name="T26" fmla="*/ 78 w 78"/>
              <a:gd name="T27" fmla="*/ 67 h 67"/>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78" h="67">
                <a:moveTo>
                  <a:pt x="78" y="0"/>
                </a:moveTo>
                <a:lnTo>
                  <a:pt x="58" y="1"/>
                </a:lnTo>
                <a:lnTo>
                  <a:pt x="42" y="6"/>
                </a:lnTo>
                <a:lnTo>
                  <a:pt x="26" y="18"/>
                </a:lnTo>
                <a:lnTo>
                  <a:pt x="15" y="32"/>
                </a:lnTo>
                <a:lnTo>
                  <a:pt x="7" y="45"/>
                </a:lnTo>
                <a:lnTo>
                  <a:pt x="3" y="60"/>
                </a:lnTo>
                <a:lnTo>
                  <a:pt x="0" y="67"/>
                </a:lnTo>
              </a:path>
            </a:pathLst>
          </a:custGeom>
          <a:noFill/>
          <a:ln w="5080">
            <a:solidFill>
              <a:srgbClr val="FFFFFF"/>
            </a:solidFill>
            <a:round/>
            <a:headEnd/>
            <a:tailEnd/>
          </a:ln>
          <a:extLst>
            <a:ext uri="{909E8E84-426E-40DD-AFC4-6F175D3DCCD1}">
              <a14:hiddenFill xmlns:a14="http://schemas.microsoft.com/office/drawing/2010/main">
                <a:solidFill>
                  <a:srgbClr val="FFFFFF"/>
                </a:solidFill>
              </a14:hiddenFill>
            </a:ext>
          </a:extLst>
        </xdr:spPr>
      </xdr:sp>
    </xdr:grpSp>
    <xdr:clientData/>
  </xdr:twoCellAnchor>
  <mc:AlternateContent xmlns:mc="http://schemas.openxmlformats.org/markup-compatibility/2006">
    <mc:Choice xmlns:a14="http://schemas.microsoft.com/office/drawing/2010/main" Requires="a14">
      <xdr:twoCellAnchor>
        <xdr:from>
          <xdr:col>1</xdr:col>
          <xdr:colOff>295275</xdr:colOff>
          <xdr:row>0</xdr:row>
          <xdr:rowOff>0</xdr:rowOff>
        </xdr:from>
        <xdr:to>
          <xdr:col>4</xdr:col>
          <xdr:colOff>523875</xdr:colOff>
          <xdr:row>0</xdr:row>
          <xdr:rowOff>0</xdr:rowOff>
        </xdr:to>
        <xdr:sp macro="" textlink="">
          <xdr:nvSpPr>
            <xdr:cNvPr id="9222" name="Object 6" hidden="1">
              <a:extLst>
                <a:ext uri="{63B3BB69-23CF-44E3-9099-C40C66FF867C}">
                  <a14:compatExt spid="_x0000_s9222"/>
                </a:ext>
                <a:ext uri="{FF2B5EF4-FFF2-40B4-BE49-F238E27FC236}">
                  <a16:creationId xmlns:a16="http://schemas.microsoft.com/office/drawing/2014/main" id="{F6835CA6-E91D-4450-B96B-327C4DDA38C4}"/>
                </a:ext>
              </a:extLst>
            </xdr:cNvPr>
            <xdr:cNvSpPr/>
          </xdr:nvSpPr>
          <xdr:spPr bwMode="auto">
            <a:xfrm>
              <a:off x="0" y="0"/>
              <a:ext cx="0" cy="0"/>
            </a:xfrm>
            <a:prstGeom prst="rect">
              <a:avLst/>
            </a:prstGeom>
            <a:noFill/>
            <a:effectLst/>
            <a:extLst>
              <a:ext uri="{909E8E84-426E-40DD-AFC4-6F175D3DCCD1}">
                <a14:hiddenFill>
                  <a:solidFill>
                    <a:srgbClr val="282828"/>
                  </a:solidFill>
                </a14:hiddenFill>
              </a:ext>
              <a:ext uri="{AF507438-7753-43E0-B8FC-AC1667EBCBE1}">
                <a14:hiddenEffects>
                  <a:effectLst>
                    <a:outerShdw dist="35921" dir="2700000" algn="ctr" rotWithShape="0">
                      <a:srgbClr val="A3A3A3"/>
                    </a:outerShdw>
                  </a:effectLst>
                </a14:hiddenEffects>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editAs="oneCell">
    <xdr:from>
      <xdr:col>4</xdr:col>
      <xdr:colOff>0</xdr:colOff>
      <xdr:row>0</xdr:row>
      <xdr:rowOff>38100</xdr:rowOff>
    </xdr:from>
    <xdr:to>
      <xdr:col>7</xdr:col>
      <xdr:colOff>818430</xdr:colOff>
      <xdr:row>0</xdr:row>
      <xdr:rowOff>289002</xdr:rowOff>
    </xdr:to>
    <xdr:sp macro="" textlink="">
      <xdr:nvSpPr>
        <xdr:cNvPr id="2" name="Text Box 67">
          <a:extLst>
            <a:ext uri="{FF2B5EF4-FFF2-40B4-BE49-F238E27FC236}">
              <a16:creationId xmlns:a16="http://schemas.microsoft.com/office/drawing/2014/main" id="{97A781AF-F55A-4A8A-8C86-FFEB564D6A16}"/>
            </a:ext>
          </a:extLst>
        </xdr:cNvPr>
        <xdr:cNvSpPr txBox="1">
          <a:spLocks noChangeArrowheads="1"/>
        </xdr:cNvSpPr>
      </xdr:nvSpPr>
      <xdr:spPr bwMode="auto">
        <a:xfrm>
          <a:off x="3356610" y="38100"/>
          <a:ext cx="2886075" cy="257175"/>
        </a:xfrm>
        <a:prstGeom prst="rect">
          <a:avLst/>
        </a:prstGeom>
        <a:solidFill>
          <a:srgbClr val="E5EBED"/>
        </a:solidFill>
        <a:ln w="9525">
          <a:solidFill>
            <a:srgbClr val="000000"/>
          </a:solidFill>
          <a:miter lim="800000"/>
          <a:headEnd/>
          <a:tailEnd/>
        </a:ln>
      </xdr:spPr>
      <xdr:txBody>
        <a:bodyPr vertOverflow="clip" wrap="square" lIns="36000" tIns="36000" rIns="36000" bIns="36000" anchor="t" upright="1"/>
        <a:lstStyle/>
        <a:p>
          <a:pPr algn="ctr" rtl="1">
            <a:defRPr sz="1000"/>
          </a:pPr>
          <a:r>
            <a:rPr lang="en-US" sz="1000" b="1" i="0" strike="noStrike">
              <a:solidFill>
                <a:srgbClr val="FF0000"/>
              </a:solidFill>
              <a:latin typeface="Verdana"/>
            </a:rPr>
            <a:t>PLEASE DO NOT CUT AND PASTE</a:t>
          </a:r>
        </a:p>
      </xdr:txBody>
    </xdr:sp>
    <xdr:clientData fPrintsWithSheet="0"/>
  </xdr:twoCellAnchor>
  <xdr:twoCellAnchor>
    <xdr:from>
      <xdr:col>1</xdr:col>
      <xdr:colOff>28575</xdr:colOff>
      <xdr:row>0</xdr:row>
      <xdr:rowOff>0</xdr:rowOff>
    </xdr:from>
    <xdr:to>
      <xdr:col>4</xdr:col>
      <xdr:colOff>38100</xdr:colOff>
      <xdr:row>0</xdr:row>
      <xdr:rowOff>0</xdr:rowOff>
    </xdr:to>
    <xdr:grpSp>
      <xdr:nvGrpSpPr>
        <xdr:cNvPr id="62944334" name="Group 1">
          <a:extLst>
            <a:ext uri="{FF2B5EF4-FFF2-40B4-BE49-F238E27FC236}">
              <a16:creationId xmlns:a16="http://schemas.microsoft.com/office/drawing/2014/main" id="{F106CB6E-B233-419D-806D-4570FD898131}"/>
            </a:ext>
          </a:extLst>
        </xdr:cNvPr>
        <xdr:cNvGrpSpPr>
          <a:grpSpLocks/>
        </xdr:cNvGrpSpPr>
      </xdr:nvGrpSpPr>
      <xdr:grpSpPr bwMode="auto">
        <a:xfrm>
          <a:off x="209550" y="0"/>
          <a:ext cx="4219575" cy="0"/>
          <a:chOff x="3178" y="1611"/>
          <a:chExt cx="1036" cy="748"/>
        </a:xfrm>
      </xdr:grpSpPr>
      <xdr:sp macro="" textlink="">
        <xdr:nvSpPr>
          <xdr:cNvPr id="62944335" name="Oval 2">
            <a:extLst>
              <a:ext uri="{FF2B5EF4-FFF2-40B4-BE49-F238E27FC236}">
                <a16:creationId xmlns:a16="http://schemas.microsoft.com/office/drawing/2014/main" id="{70A859C1-FF68-40DC-9110-44CA12FC136E}"/>
              </a:ext>
            </a:extLst>
          </xdr:cNvPr>
          <xdr:cNvSpPr>
            <a:spLocks noChangeAspect="1" noChangeArrowheads="1"/>
          </xdr:cNvSpPr>
        </xdr:nvSpPr>
        <xdr:spPr bwMode="auto">
          <a:xfrm>
            <a:off x="3178" y="1617"/>
            <a:ext cx="1036" cy="741"/>
          </a:xfrm>
          <a:prstGeom prst="ellipse">
            <a:avLst/>
          </a:prstGeom>
          <a:solidFill>
            <a:srgbClr val="FF3300"/>
          </a:solidFill>
          <a:ln w="3175">
            <a:solidFill>
              <a:srgbClr val="000000"/>
            </a:solidFill>
            <a:round/>
            <a:headEnd/>
            <a:tailEnd/>
          </a:ln>
        </xdr:spPr>
      </xdr:sp>
      <xdr:sp macro="" textlink="">
        <xdr:nvSpPr>
          <xdr:cNvPr id="62944336" name="Oval 3">
            <a:extLst>
              <a:ext uri="{FF2B5EF4-FFF2-40B4-BE49-F238E27FC236}">
                <a16:creationId xmlns:a16="http://schemas.microsoft.com/office/drawing/2014/main" id="{B1C6267D-FF73-4B76-83D5-271FB983D03F}"/>
              </a:ext>
            </a:extLst>
          </xdr:cNvPr>
          <xdr:cNvSpPr>
            <a:spLocks noChangeAspect="1" noChangeArrowheads="1"/>
          </xdr:cNvSpPr>
        </xdr:nvSpPr>
        <xdr:spPr bwMode="auto">
          <a:xfrm>
            <a:off x="3187" y="1626"/>
            <a:ext cx="1018" cy="722"/>
          </a:xfrm>
          <a:prstGeom prst="ellipse">
            <a:avLst/>
          </a:prstGeom>
          <a:solidFill>
            <a:srgbClr val="0000DD"/>
          </a:solidFill>
          <a:ln w="3175">
            <a:solidFill>
              <a:srgbClr val="000000"/>
            </a:solidFill>
            <a:round/>
            <a:headEnd/>
            <a:tailEnd/>
          </a:ln>
        </xdr:spPr>
      </xdr:sp>
      <xdr:sp macro="" textlink="">
        <xdr:nvSpPr>
          <xdr:cNvPr id="6" name="Oval 4">
            <a:extLst>
              <a:ext uri="{FF2B5EF4-FFF2-40B4-BE49-F238E27FC236}">
                <a16:creationId xmlns:a16="http://schemas.microsoft.com/office/drawing/2014/main" id="{F1385EBC-680D-4B2F-BD54-37670A5D901B}"/>
              </a:ext>
            </a:extLst>
          </xdr:cNvPr>
          <xdr:cNvSpPr>
            <a:spLocks noChangeAspect="1" noChangeArrowheads="1"/>
          </xdr:cNvSpPr>
        </xdr:nvSpPr>
        <xdr:spPr bwMode="auto">
          <a:xfrm>
            <a:off x="-8346772969035" y="0"/>
            <a:ext cx="870" cy="0"/>
          </a:xfrm>
          <a:prstGeom prst="ellipse">
            <a:avLst/>
          </a:prstGeom>
          <a:solidFill>
            <a:srgbClr val="FFFFFF"/>
          </a:solidFill>
          <a:ln w="3175">
            <a:solidFill>
              <a:srgbClr val="000000"/>
            </a:solidFill>
            <a:round/>
            <a:headEnd/>
            <a:tailEnd/>
          </a:ln>
          <a:effectLst/>
        </xdr:spPr>
        <xdr:txBody>
          <a:bodyPr vertOverflow="clip" wrap="square" lIns="92075" tIns="46038" rIns="92075" bIns="46038" anchor="t" upright="1"/>
          <a:lstStyle/>
          <a:p>
            <a:pPr algn="l" rtl="0">
              <a:defRPr sz="1000"/>
            </a:pPr>
            <a:r>
              <a:rPr lang="en-US" sz="1100" b="0" i="0" u="none" strike="noStrike" baseline="0">
                <a:solidFill>
                  <a:srgbClr val="000000"/>
                </a:solidFill>
                <a:latin typeface="Calibri"/>
                <a:ea typeface="Calibri"/>
                <a:cs typeface="Calibri"/>
              </a:rPr>
              <a:t> </a:t>
            </a:r>
          </a:p>
          <a:p>
            <a:pPr algn="l" rtl="0">
              <a:defRPr sz="1000"/>
            </a:pPr>
            <a:endParaRPr lang="en-US" sz="1100" b="0" i="0" u="none" strike="noStrike" baseline="0">
              <a:solidFill>
                <a:srgbClr val="000000"/>
              </a:solidFill>
              <a:latin typeface="Calibri"/>
              <a:ea typeface="Calibri"/>
              <a:cs typeface="Calibri"/>
            </a:endParaRPr>
          </a:p>
        </xdr:txBody>
      </xdr:sp>
      <xdr:sp macro="" textlink="">
        <xdr:nvSpPr>
          <xdr:cNvPr id="7" name="Oval 5">
            <a:extLst>
              <a:ext uri="{FF2B5EF4-FFF2-40B4-BE49-F238E27FC236}">
                <a16:creationId xmlns:a16="http://schemas.microsoft.com/office/drawing/2014/main" id="{EB66BDDA-172F-4EAE-9250-0B429E19C2B1}"/>
              </a:ext>
            </a:extLst>
          </xdr:cNvPr>
          <xdr:cNvSpPr>
            <a:spLocks noChangeAspect="1" noChangeArrowheads="1"/>
          </xdr:cNvSpPr>
        </xdr:nvSpPr>
        <xdr:spPr bwMode="auto">
          <a:xfrm>
            <a:off x="4893035047740" y="0"/>
            <a:ext cx="870" cy="0"/>
          </a:xfrm>
          <a:prstGeom prst="ellipse">
            <a:avLst/>
          </a:prstGeom>
          <a:solidFill>
            <a:srgbClr val="72C7FF"/>
          </a:solidFill>
          <a:ln w="3175">
            <a:solidFill>
              <a:srgbClr val="000000"/>
            </a:solidFill>
            <a:round/>
            <a:headEnd/>
            <a:tailEnd/>
          </a:ln>
          <a:effectLst/>
        </xdr:spPr>
        <xdr:txBody>
          <a:bodyPr vertOverflow="clip" wrap="square" lIns="92075" tIns="46038" rIns="92075" bIns="46038" anchor="t" upright="1"/>
          <a:lstStyle/>
          <a:p>
            <a:pPr algn="l" rtl="0">
              <a:defRPr sz="1000"/>
            </a:pPr>
            <a:endParaRPr lang="en-US" sz="1100" b="0" i="0" u="none" strike="noStrike" baseline="0">
              <a:solidFill>
                <a:srgbClr val="000000"/>
              </a:solidFill>
              <a:latin typeface="Calibri"/>
              <a:ea typeface="Calibri"/>
              <a:cs typeface="Calibri"/>
            </a:endParaRPr>
          </a:p>
          <a:p>
            <a:pPr algn="l" rtl="0">
              <a:defRPr sz="1000"/>
            </a:pPr>
            <a:endParaRPr lang="en-US" sz="1100" b="0" i="0" u="none" strike="noStrike" baseline="0">
              <a:solidFill>
                <a:srgbClr val="000000"/>
              </a:solidFill>
              <a:latin typeface="Calibri"/>
              <a:ea typeface="Calibri"/>
              <a:cs typeface="Calibri"/>
            </a:endParaRPr>
          </a:p>
        </xdr:txBody>
      </xdr:sp>
      <xdr:sp macro="" textlink="">
        <xdr:nvSpPr>
          <xdr:cNvPr id="62944339" name="Freeform 8">
            <a:extLst>
              <a:ext uri="{FF2B5EF4-FFF2-40B4-BE49-F238E27FC236}">
                <a16:creationId xmlns:a16="http://schemas.microsoft.com/office/drawing/2014/main" id="{BAF40C1B-BFA3-4BFC-8368-E3045BC30BBD}"/>
              </a:ext>
            </a:extLst>
          </xdr:cNvPr>
          <xdr:cNvSpPr>
            <a:spLocks noChangeAspect="1"/>
          </xdr:cNvSpPr>
        </xdr:nvSpPr>
        <xdr:spPr bwMode="auto">
          <a:xfrm>
            <a:off x="3574" y="1712"/>
            <a:ext cx="275" cy="558"/>
          </a:xfrm>
          <a:custGeom>
            <a:avLst/>
            <a:gdLst>
              <a:gd name="T0" fmla="*/ 0 w 1325"/>
              <a:gd name="T1" fmla="*/ 0 h 2688"/>
              <a:gd name="T2" fmla="*/ 0 w 1325"/>
              <a:gd name="T3" fmla="*/ 0 h 2688"/>
              <a:gd name="T4" fmla="*/ 0 w 1325"/>
              <a:gd name="T5" fmla="*/ 0 h 2688"/>
              <a:gd name="T6" fmla="*/ 0 w 1325"/>
              <a:gd name="T7" fmla="*/ 0 h 2688"/>
              <a:gd name="T8" fmla="*/ 0 w 1325"/>
              <a:gd name="T9" fmla="*/ 0 h 2688"/>
              <a:gd name="T10" fmla="*/ 0 w 1325"/>
              <a:gd name="T11" fmla="*/ 0 h 2688"/>
              <a:gd name="T12" fmla="*/ 0 w 1325"/>
              <a:gd name="T13" fmla="*/ 0 h 2688"/>
              <a:gd name="T14" fmla="*/ 0 w 1325"/>
              <a:gd name="T15" fmla="*/ 0 h 2688"/>
              <a:gd name="T16" fmla="*/ 0 w 1325"/>
              <a:gd name="T17" fmla="*/ 0 h 2688"/>
              <a:gd name="T18" fmla="*/ 0 w 1325"/>
              <a:gd name="T19" fmla="*/ 0 h 2688"/>
              <a:gd name="T20" fmla="*/ 0 w 1325"/>
              <a:gd name="T21" fmla="*/ 0 h 2688"/>
              <a:gd name="T22" fmla="*/ 0 w 1325"/>
              <a:gd name="T23" fmla="*/ 0 h 2688"/>
              <a:gd name="T24" fmla="*/ 0 w 1325"/>
              <a:gd name="T25" fmla="*/ 0 h 2688"/>
              <a:gd name="T26" fmla="*/ 0 w 1325"/>
              <a:gd name="T27" fmla="*/ 0 h 2688"/>
              <a:gd name="T28" fmla="*/ 0 w 1325"/>
              <a:gd name="T29" fmla="*/ 0 h 2688"/>
              <a:gd name="T30" fmla="*/ 0 w 1325"/>
              <a:gd name="T31" fmla="*/ 0 h 2688"/>
              <a:gd name="T32" fmla="*/ 0 w 1325"/>
              <a:gd name="T33" fmla="*/ 0 h 2688"/>
              <a:gd name="T34" fmla="*/ 0 w 1325"/>
              <a:gd name="T35" fmla="*/ 0 h 2688"/>
              <a:gd name="T36" fmla="*/ 0 w 1325"/>
              <a:gd name="T37" fmla="*/ 0 h 2688"/>
              <a:gd name="T38" fmla="*/ 0 w 1325"/>
              <a:gd name="T39" fmla="*/ 0 h 2688"/>
              <a:gd name="T40" fmla="*/ 0 w 1325"/>
              <a:gd name="T41" fmla="*/ 0 h 2688"/>
              <a:gd name="T42" fmla="*/ 0 w 1325"/>
              <a:gd name="T43" fmla="*/ 0 h 2688"/>
              <a:gd name="T44" fmla="*/ 0 w 1325"/>
              <a:gd name="T45" fmla="*/ 0 h 2688"/>
              <a:gd name="T46" fmla="*/ 0 w 1325"/>
              <a:gd name="T47" fmla="*/ 0 h 2688"/>
              <a:gd name="T48" fmla="*/ 0 w 1325"/>
              <a:gd name="T49" fmla="*/ 0 h 2688"/>
              <a:gd name="T50" fmla="*/ 0 w 1325"/>
              <a:gd name="T51" fmla="*/ 0 h 2688"/>
              <a:gd name="T52" fmla="*/ 0 w 1325"/>
              <a:gd name="T53" fmla="*/ 0 h 2688"/>
              <a:gd name="T54" fmla="*/ 0 w 1325"/>
              <a:gd name="T55" fmla="*/ 0 h 2688"/>
              <a:gd name="T56" fmla="*/ 0 w 1325"/>
              <a:gd name="T57" fmla="*/ 0 h 2688"/>
              <a:gd name="T58" fmla="*/ 0 w 1325"/>
              <a:gd name="T59" fmla="*/ 0 h 2688"/>
              <a:gd name="T60" fmla="*/ 0 w 1325"/>
              <a:gd name="T61" fmla="*/ 0 h 2688"/>
              <a:gd name="T62" fmla="*/ 0 w 1325"/>
              <a:gd name="T63" fmla="*/ 0 h 2688"/>
              <a:gd name="T64" fmla="*/ 0 w 1325"/>
              <a:gd name="T65" fmla="*/ 0 h 2688"/>
              <a:gd name="T66" fmla="*/ 0 w 1325"/>
              <a:gd name="T67" fmla="*/ 0 h 2688"/>
              <a:gd name="T68" fmla="*/ 0 w 1325"/>
              <a:gd name="T69" fmla="*/ 0 h 2688"/>
              <a:gd name="T70" fmla="*/ 0 w 1325"/>
              <a:gd name="T71" fmla="*/ 0 h 2688"/>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w 1325"/>
              <a:gd name="T109" fmla="*/ 0 h 2688"/>
              <a:gd name="T110" fmla="*/ 1325 w 1325"/>
              <a:gd name="T111" fmla="*/ 2688 h 2688"/>
            </a:gdLst>
            <a:ahLst/>
            <a:cxnLst>
              <a:cxn ang="T72">
                <a:pos x="T0" y="T1"/>
              </a:cxn>
              <a:cxn ang="T73">
                <a:pos x="T2" y="T3"/>
              </a:cxn>
              <a:cxn ang="T74">
                <a:pos x="T4" y="T5"/>
              </a:cxn>
              <a:cxn ang="T75">
                <a:pos x="T6" y="T7"/>
              </a:cxn>
              <a:cxn ang="T76">
                <a:pos x="T8" y="T9"/>
              </a:cxn>
              <a:cxn ang="T77">
                <a:pos x="T10" y="T11"/>
              </a:cxn>
              <a:cxn ang="T78">
                <a:pos x="T12" y="T13"/>
              </a:cxn>
              <a:cxn ang="T79">
                <a:pos x="T14" y="T15"/>
              </a:cxn>
              <a:cxn ang="T80">
                <a:pos x="T16" y="T17"/>
              </a:cxn>
              <a:cxn ang="T81">
                <a:pos x="T18" y="T19"/>
              </a:cxn>
              <a:cxn ang="T82">
                <a:pos x="T20" y="T21"/>
              </a:cxn>
              <a:cxn ang="T83">
                <a:pos x="T22" y="T23"/>
              </a:cxn>
              <a:cxn ang="T84">
                <a:pos x="T24" y="T25"/>
              </a:cxn>
              <a:cxn ang="T85">
                <a:pos x="T26" y="T27"/>
              </a:cxn>
              <a:cxn ang="T86">
                <a:pos x="T28" y="T29"/>
              </a:cxn>
              <a:cxn ang="T87">
                <a:pos x="T30" y="T31"/>
              </a:cxn>
              <a:cxn ang="T88">
                <a:pos x="T32" y="T33"/>
              </a:cxn>
              <a:cxn ang="T89">
                <a:pos x="T34" y="T35"/>
              </a:cxn>
              <a:cxn ang="T90">
                <a:pos x="T36" y="T37"/>
              </a:cxn>
              <a:cxn ang="T91">
                <a:pos x="T38" y="T39"/>
              </a:cxn>
              <a:cxn ang="T92">
                <a:pos x="T40" y="T41"/>
              </a:cxn>
              <a:cxn ang="T93">
                <a:pos x="T42" y="T43"/>
              </a:cxn>
              <a:cxn ang="T94">
                <a:pos x="T44" y="T45"/>
              </a:cxn>
              <a:cxn ang="T95">
                <a:pos x="T46" y="T47"/>
              </a:cxn>
              <a:cxn ang="T96">
                <a:pos x="T48" y="T49"/>
              </a:cxn>
              <a:cxn ang="T97">
                <a:pos x="T50" y="T51"/>
              </a:cxn>
              <a:cxn ang="T98">
                <a:pos x="T52" y="T53"/>
              </a:cxn>
              <a:cxn ang="T99">
                <a:pos x="T54" y="T55"/>
              </a:cxn>
              <a:cxn ang="T100">
                <a:pos x="T56" y="T57"/>
              </a:cxn>
              <a:cxn ang="T101">
                <a:pos x="T58" y="T59"/>
              </a:cxn>
              <a:cxn ang="T102">
                <a:pos x="T60" y="T61"/>
              </a:cxn>
              <a:cxn ang="T103">
                <a:pos x="T62" y="T63"/>
              </a:cxn>
              <a:cxn ang="T104">
                <a:pos x="T64" y="T65"/>
              </a:cxn>
              <a:cxn ang="T105">
                <a:pos x="T66" y="T67"/>
              </a:cxn>
              <a:cxn ang="T106">
                <a:pos x="T68" y="T69"/>
              </a:cxn>
              <a:cxn ang="T107">
                <a:pos x="T70" y="T71"/>
              </a:cxn>
            </a:cxnLst>
            <a:rect l="T108" t="T109" r="T110" b="T111"/>
            <a:pathLst>
              <a:path w="1325" h="2688">
                <a:moveTo>
                  <a:pt x="518" y="8"/>
                </a:moveTo>
                <a:cubicBezTo>
                  <a:pt x="487" y="0"/>
                  <a:pt x="543" y="84"/>
                  <a:pt x="546" y="132"/>
                </a:cubicBezTo>
                <a:cubicBezTo>
                  <a:pt x="549" y="180"/>
                  <a:pt x="544" y="248"/>
                  <a:pt x="536" y="299"/>
                </a:cubicBezTo>
                <a:cubicBezTo>
                  <a:pt x="528" y="350"/>
                  <a:pt x="523" y="376"/>
                  <a:pt x="499" y="437"/>
                </a:cubicBezTo>
                <a:cubicBezTo>
                  <a:pt x="475" y="498"/>
                  <a:pt x="421" y="613"/>
                  <a:pt x="393" y="663"/>
                </a:cubicBezTo>
                <a:cubicBezTo>
                  <a:pt x="365" y="713"/>
                  <a:pt x="348" y="742"/>
                  <a:pt x="333" y="737"/>
                </a:cubicBezTo>
                <a:cubicBezTo>
                  <a:pt x="318" y="732"/>
                  <a:pt x="315" y="673"/>
                  <a:pt x="301" y="631"/>
                </a:cubicBezTo>
                <a:cubicBezTo>
                  <a:pt x="287" y="589"/>
                  <a:pt x="260" y="518"/>
                  <a:pt x="246" y="483"/>
                </a:cubicBezTo>
                <a:cubicBezTo>
                  <a:pt x="232" y="448"/>
                  <a:pt x="230" y="414"/>
                  <a:pt x="218" y="423"/>
                </a:cubicBezTo>
                <a:cubicBezTo>
                  <a:pt x="206" y="432"/>
                  <a:pt x="197" y="479"/>
                  <a:pt x="176" y="534"/>
                </a:cubicBezTo>
                <a:cubicBezTo>
                  <a:pt x="155" y="589"/>
                  <a:pt x="118" y="681"/>
                  <a:pt x="93" y="755"/>
                </a:cubicBezTo>
                <a:cubicBezTo>
                  <a:pt x="68" y="829"/>
                  <a:pt x="38" y="894"/>
                  <a:pt x="24" y="977"/>
                </a:cubicBezTo>
                <a:cubicBezTo>
                  <a:pt x="10" y="1060"/>
                  <a:pt x="0" y="1162"/>
                  <a:pt x="6" y="1254"/>
                </a:cubicBezTo>
                <a:cubicBezTo>
                  <a:pt x="12" y="1346"/>
                  <a:pt x="29" y="1444"/>
                  <a:pt x="61" y="1531"/>
                </a:cubicBezTo>
                <a:cubicBezTo>
                  <a:pt x="93" y="1618"/>
                  <a:pt x="142" y="1692"/>
                  <a:pt x="195" y="1775"/>
                </a:cubicBezTo>
                <a:cubicBezTo>
                  <a:pt x="248" y="1858"/>
                  <a:pt x="323" y="1937"/>
                  <a:pt x="379" y="2029"/>
                </a:cubicBezTo>
                <a:cubicBezTo>
                  <a:pt x="435" y="2121"/>
                  <a:pt x="491" y="2220"/>
                  <a:pt x="532" y="2325"/>
                </a:cubicBezTo>
                <a:cubicBezTo>
                  <a:pt x="573" y="2430"/>
                  <a:pt x="596" y="2626"/>
                  <a:pt x="624" y="2657"/>
                </a:cubicBezTo>
                <a:cubicBezTo>
                  <a:pt x="652" y="2688"/>
                  <a:pt x="665" y="2585"/>
                  <a:pt x="698" y="2509"/>
                </a:cubicBezTo>
                <a:cubicBezTo>
                  <a:pt x="731" y="2433"/>
                  <a:pt x="777" y="2301"/>
                  <a:pt x="823" y="2200"/>
                </a:cubicBezTo>
                <a:cubicBezTo>
                  <a:pt x="869" y="2099"/>
                  <a:pt x="919" y="2001"/>
                  <a:pt x="975" y="1900"/>
                </a:cubicBezTo>
                <a:cubicBezTo>
                  <a:pt x="1031" y="1799"/>
                  <a:pt x="1108" y="1682"/>
                  <a:pt x="1159" y="1595"/>
                </a:cubicBezTo>
                <a:cubicBezTo>
                  <a:pt x="1210" y="1508"/>
                  <a:pt x="1252" y="1462"/>
                  <a:pt x="1279" y="1379"/>
                </a:cubicBezTo>
                <a:cubicBezTo>
                  <a:pt x="1306" y="1296"/>
                  <a:pt x="1317" y="1182"/>
                  <a:pt x="1321" y="1097"/>
                </a:cubicBezTo>
                <a:cubicBezTo>
                  <a:pt x="1325" y="1012"/>
                  <a:pt x="1316" y="942"/>
                  <a:pt x="1303" y="871"/>
                </a:cubicBezTo>
                <a:cubicBezTo>
                  <a:pt x="1290" y="800"/>
                  <a:pt x="1258" y="667"/>
                  <a:pt x="1243" y="672"/>
                </a:cubicBezTo>
                <a:cubicBezTo>
                  <a:pt x="1228" y="677"/>
                  <a:pt x="1228" y="907"/>
                  <a:pt x="1210" y="899"/>
                </a:cubicBezTo>
                <a:cubicBezTo>
                  <a:pt x="1192" y="891"/>
                  <a:pt x="1163" y="711"/>
                  <a:pt x="1132" y="622"/>
                </a:cubicBezTo>
                <a:cubicBezTo>
                  <a:pt x="1101" y="533"/>
                  <a:pt x="1051" y="421"/>
                  <a:pt x="1026" y="368"/>
                </a:cubicBezTo>
                <a:cubicBezTo>
                  <a:pt x="1001" y="315"/>
                  <a:pt x="983" y="299"/>
                  <a:pt x="979" y="303"/>
                </a:cubicBezTo>
                <a:cubicBezTo>
                  <a:pt x="975" y="307"/>
                  <a:pt x="998" y="343"/>
                  <a:pt x="1003" y="391"/>
                </a:cubicBezTo>
                <a:cubicBezTo>
                  <a:pt x="1008" y="439"/>
                  <a:pt x="1010" y="536"/>
                  <a:pt x="1007" y="594"/>
                </a:cubicBezTo>
                <a:cubicBezTo>
                  <a:pt x="1004" y="652"/>
                  <a:pt x="1000" y="761"/>
                  <a:pt x="984" y="742"/>
                </a:cubicBezTo>
                <a:cubicBezTo>
                  <a:pt x="968" y="723"/>
                  <a:pt x="952" y="577"/>
                  <a:pt x="910" y="483"/>
                </a:cubicBezTo>
                <a:cubicBezTo>
                  <a:pt x="868" y="389"/>
                  <a:pt x="793" y="257"/>
                  <a:pt x="730" y="179"/>
                </a:cubicBezTo>
                <a:cubicBezTo>
                  <a:pt x="667" y="101"/>
                  <a:pt x="549" y="16"/>
                  <a:pt x="518" y="8"/>
                </a:cubicBezTo>
                <a:close/>
              </a:path>
            </a:pathLst>
          </a:custGeom>
          <a:solidFill>
            <a:srgbClr val="EC0000"/>
          </a:solidFill>
          <a:ln w="3175">
            <a:solidFill>
              <a:srgbClr val="FFFFFF"/>
            </a:solidFill>
            <a:round/>
            <a:headEnd type="none" w="sm" len="sm"/>
            <a:tailEnd type="none" w="sm" len="sm"/>
          </a:ln>
        </xdr:spPr>
      </xdr:sp>
      <xdr:sp macro="" textlink="">
        <xdr:nvSpPr>
          <xdr:cNvPr id="62944340" name="Freeform 9">
            <a:extLst>
              <a:ext uri="{FF2B5EF4-FFF2-40B4-BE49-F238E27FC236}">
                <a16:creationId xmlns:a16="http://schemas.microsoft.com/office/drawing/2014/main" id="{66AE994C-1E7E-461A-9E81-B250C2F7F36B}"/>
              </a:ext>
            </a:extLst>
          </xdr:cNvPr>
          <xdr:cNvSpPr>
            <a:spLocks noChangeAspect="1"/>
          </xdr:cNvSpPr>
        </xdr:nvSpPr>
        <xdr:spPr bwMode="auto">
          <a:xfrm>
            <a:off x="3629" y="2073"/>
            <a:ext cx="81" cy="71"/>
          </a:xfrm>
          <a:custGeom>
            <a:avLst/>
            <a:gdLst>
              <a:gd name="T0" fmla="*/ 0 w 235"/>
              <a:gd name="T1" fmla="*/ 0 h 215"/>
              <a:gd name="T2" fmla="*/ 0 w 235"/>
              <a:gd name="T3" fmla="*/ 0 h 215"/>
              <a:gd name="T4" fmla="*/ 0 w 235"/>
              <a:gd name="T5" fmla="*/ 0 h 215"/>
              <a:gd name="T6" fmla="*/ 0 w 235"/>
              <a:gd name="T7" fmla="*/ 0 h 215"/>
              <a:gd name="T8" fmla="*/ 0 w 235"/>
              <a:gd name="T9" fmla="*/ 0 h 215"/>
              <a:gd name="T10" fmla="*/ 0 w 235"/>
              <a:gd name="T11" fmla="*/ 0 h 215"/>
              <a:gd name="T12" fmla="*/ 0 w 235"/>
              <a:gd name="T13" fmla="*/ 0 h 215"/>
              <a:gd name="T14" fmla="*/ 0 w 235"/>
              <a:gd name="T15" fmla="*/ 0 h 215"/>
              <a:gd name="T16" fmla="*/ 0 w 235"/>
              <a:gd name="T17" fmla="*/ 0 h 215"/>
              <a:gd name="T18" fmla="*/ 0 w 235"/>
              <a:gd name="T19" fmla="*/ 0 h 215"/>
              <a:gd name="T20" fmla="*/ 0 w 235"/>
              <a:gd name="T21" fmla="*/ 0 h 215"/>
              <a:gd name="T22" fmla="*/ 0 w 235"/>
              <a:gd name="T23" fmla="*/ 0 h 215"/>
              <a:gd name="T24" fmla="*/ 0 w 235"/>
              <a:gd name="T25" fmla="*/ 0 h 215"/>
              <a:gd name="T26" fmla="*/ 0 w 235"/>
              <a:gd name="T27" fmla="*/ 0 h 215"/>
              <a:gd name="T28" fmla="*/ 0 w 235"/>
              <a:gd name="T29" fmla="*/ 0 h 215"/>
              <a:gd name="T30" fmla="*/ 0 w 235"/>
              <a:gd name="T31" fmla="*/ 0 h 215"/>
              <a:gd name="T32" fmla="*/ 0 w 235"/>
              <a:gd name="T33" fmla="*/ 0 h 215"/>
              <a:gd name="T34" fmla="*/ 0 w 235"/>
              <a:gd name="T35" fmla="*/ 0 h 215"/>
              <a:gd name="T36" fmla="*/ 0 w 235"/>
              <a:gd name="T37" fmla="*/ 0 h 215"/>
              <a:gd name="T38" fmla="*/ 0 w 235"/>
              <a:gd name="T39" fmla="*/ 0 h 215"/>
              <a:gd name="T40" fmla="*/ 0 w 235"/>
              <a:gd name="T41" fmla="*/ 0 h 215"/>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w 235"/>
              <a:gd name="T64" fmla="*/ 0 h 215"/>
              <a:gd name="T65" fmla="*/ 235 w 235"/>
              <a:gd name="T66" fmla="*/ 215 h 215"/>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T63" t="T64" r="T65" b="T66"/>
            <a:pathLst>
              <a:path w="235" h="215">
                <a:moveTo>
                  <a:pt x="126" y="214"/>
                </a:moveTo>
                <a:lnTo>
                  <a:pt x="37" y="214"/>
                </a:lnTo>
                <a:lnTo>
                  <a:pt x="23" y="209"/>
                </a:lnTo>
                <a:lnTo>
                  <a:pt x="14" y="200"/>
                </a:lnTo>
                <a:lnTo>
                  <a:pt x="7" y="195"/>
                </a:lnTo>
                <a:lnTo>
                  <a:pt x="3" y="185"/>
                </a:lnTo>
                <a:lnTo>
                  <a:pt x="0" y="178"/>
                </a:lnTo>
                <a:lnTo>
                  <a:pt x="0" y="166"/>
                </a:lnTo>
                <a:lnTo>
                  <a:pt x="0" y="154"/>
                </a:lnTo>
                <a:lnTo>
                  <a:pt x="1" y="145"/>
                </a:lnTo>
                <a:lnTo>
                  <a:pt x="125" y="2"/>
                </a:lnTo>
                <a:lnTo>
                  <a:pt x="139" y="0"/>
                </a:lnTo>
                <a:lnTo>
                  <a:pt x="203" y="0"/>
                </a:lnTo>
                <a:lnTo>
                  <a:pt x="221" y="6"/>
                </a:lnTo>
                <a:lnTo>
                  <a:pt x="230" y="17"/>
                </a:lnTo>
                <a:lnTo>
                  <a:pt x="234" y="27"/>
                </a:lnTo>
                <a:lnTo>
                  <a:pt x="234" y="214"/>
                </a:lnTo>
                <a:lnTo>
                  <a:pt x="184" y="214"/>
                </a:lnTo>
                <a:lnTo>
                  <a:pt x="184" y="152"/>
                </a:lnTo>
                <a:lnTo>
                  <a:pt x="182" y="151"/>
                </a:lnTo>
                <a:lnTo>
                  <a:pt x="126" y="214"/>
                </a:lnTo>
              </a:path>
            </a:pathLst>
          </a:custGeom>
          <a:solidFill>
            <a:srgbClr val="FFD521"/>
          </a:solidFill>
          <a:ln>
            <a:noFill/>
          </a:ln>
          <a:extLst>
            <a:ext uri="{91240B29-F687-4F45-9708-019B960494DF}">
              <a14:hiddenLine xmlns:a14="http://schemas.microsoft.com/office/drawing/2010/main" w="9525" cap="rnd">
                <a:solidFill>
                  <a:srgbClr val="000000"/>
                </a:solidFill>
                <a:round/>
                <a:headEnd/>
                <a:tailEnd/>
              </a14:hiddenLine>
            </a:ext>
          </a:extLst>
        </xdr:spPr>
      </xdr:sp>
      <xdr:sp macro="" textlink="">
        <xdr:nvSpPr>
          <xdr:cNvPr id="62944341" name="Freeform 10">
            <a:extLst>
              <a:ext uri="{FF2B5EF4-FFF2-40B4-BE49-F238E27FC236}">
                <a16:creationId xmlns:a16="http://schemas.microsoft.com/office/drawing/2014/main" id="{A69642D9-56F2-486A-A678-AD00B0EA01CA}"/>
              </a:ext>
            </a:extLst>
          </xdr:cNvPr>
          <xdr:cNvSpPr>
            <a:spLocks noChangeAspect="1"/>
          </xdr:cNvSpPr>
        </xdr:nvSpPr>
        <xdr:spPr bwMode="auto">
          <a:xfrm>
            <a:off x="3485" y="2033"/>
            <a:ext cx="164" cy="133"/>
          </a:xfrm>
          <a:custGeom>
            <a:avLst/>
            <a:gdLst>
              <a:gd name="T0" fmla="*/ 0 w 473"/>
              <a:gd name="T1" fmla="*/ 0 h 407"/>
              <a:gd name="T2" fmla="*/ 0 w 473"/>
              <a:gd name="T3" fmla="*/ 0 h 407"/>
              <a:gd name="T4" fmla="*/ 0 w 473"/>
              <a:gd name="T5" fmla="*/ 0 h 407"/>
              <a:gd name="T6" fmla="*/ 0 w 473"/>
              <a:gd name="T7" fmla="*/ 0 h 407"/>
              <a:gd name="T8" fmla="*/ 0 w 473"/>
              <a:gd name="T9" fmla="*/ 0 h 407"/>
              <a:gd name="T10" fmla="*/ 0 w 473"/>
              <a:gd name="T11" fmla="*/ 0 h 407"/>
              <a:gd name="T12" fmla="*/ 0 w 473"/>
              <a:gd name="T13" fmla="*/ 0 h 407"/>
              <a:gd name="T14" fmla="*/ 0 w 473"/>
              <a:gd name="T15" fmla="*/ 0 h 407"/>
              <a:gd name="T16" fmla="*/ 0 w 473"/>
              <a:gd name="T17" fmla="*/ 0 h 407"/>
              <a:gd name="T18" fmla="*/ 0 w 473"/>
              <a:gd name="T19" fmla="*/ 0 h 407"/>
              <a:gd name="T20" fmla="*/ 0 w 473"/>
              <a:gd name="T21" fmla="*/ 0 h 407"/>
              <a:gd name="T22" fmla="*/ 0 w 473"/>
              <a:gd name="T23" fmla="*/ 0 h 407"/>
              <a:gd name="T24" fmla="*/ 0 w 473"/>
              <a:gd name="T25" fmla="*/ 0 h 407"/>
              <a:gd name="T26" fmla="*/ 0 w 473"/>
              <a:gd name="T27" fmla="*/ 0 h 407"/>
              <a:gd name="T28" fmla="*/ 0 w 473"/>
              <a:gd name="T29" fmla="*/ 0 h 407"/>
              <a:gd name="T30" fmla="*/ 0 w 473"/>
              <a:gd name="T31" fmla="*/ 0 h 407"/>
              <a:gd name="T32" fmla="*/ 0 w 473"/>
              <a:gd name="T33" fmla="*/ 0 h 407"/>
              <a:gd name="T34" fmla="*/ 0 w 473"/>
              <a:gd name="T35" fmla="*/ 0 h 407"/>
              <a:gd name="T36" fmla="*/ 0 w 473"/>
              <a:gd name="T37" fmla="*/ 0 h 407"/>
              <a:gd name="T38" fmla="*/ 0 w 473"/>
              <a:gd name="T39" fmla="*/ 0 h 407"/>
              <a:gd name="T40" fmla="*/ 0 w 473"/>
              <a:gd name="T41" fmla="*/ 0 h 407"/>
              <a:gd name="T42" fmla="*/ 0 w 473"/>
              <a:gd name="T43" fmla="*/ 0 h 407"/>
              <a:gd name="T44" fmla="*/ 0 w 473"/>
              <a:gd name="T45" fmla="*/ 0 h 407"/>
              <a:gd name="T46" fmla="*/ 0 w 473"/>
              <a:gd name="T47" fmla="*/ 0 h 407"/>
              <a:gd name="T48" fmla="*/ 0 w 473"/>
              <a:gd name="T49" fmla="*/ 0 h 407"/>
              <a:gd name="T50" fmla="*/ 0 w 473"/>
              <a:gd name="T51" fmla="*/ 0 h 407"/>
              <a:gd name="T52" fmla="*/ 0 w 473"/>
              <a:gd name="T53" fmla="*/ 0 h 407"/>
              <a:gd name="T54" fmla="*/ 0 w 473"/>
              <a:gd name="T55" fmla="*/ 0 h 407"/>
              <a:gd name="T56" fmla="*/ 0 w 473"/>
              <a:gd name="T57" fmla="*/ 0 h 407"/>
              <a:gd name="T58" fmla="*/ 0 w 473"/>
              <a:gd name="T59" fmla="*/ 0 h 407"/>
              <a:gd name="T60" fmla="*/ 0 w 473"/>
              <a:gd name="T61" fmla="*/ 0 h 407"/>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w 473"/>
              <a:gd name="T94" fmla="*/ 0 h 407"/>
              <a:gd name="T95" fmla="*/ 473 w 473"/>
              <a:gd name="T96" fmla="*/ 407 h 407"/>
            </a:gdLst>
            <a:ahLst/>
            <a:cxnLst>
              <a:cxn ang="T62">
                <a:pos x="T0" y="T1"/>
              </a:cxn>
              <a:cxn ang="T63">
                <a:pos x="T2" y="T3"/>
              </a:cxn>
              <a:cxn ang="T64">
                <a:pos x="T4" y="T5"/>
              </a:cxn>
              <a:cxn ang="T65">
                <a:pos x="T6" y="T7"/>
              </a:cxn>
              <a:cxn ang="T66">
                <a:pos x="T8" y="T9"/>
              </a:cxn>
              <a:cxn ang="T67">
                <a:pos x="T10" y="T11"/>
              </a:cxn>
              <a:cxn ang="T68">
                <a:pos x="T12" y="T13"/>
              </a:cxn>
              <a:cxn ang="T69">
                <a:pos x="T14" y="T15"/>
              </a:cxn>
              <a:cxn ang="T70">
                <a:pos x="T16" y="T17"/>
              </a:cxn>
              <a:cxn ang="T71">
                <a:pos x="T18" y="T19"/>
              </a:cxn>
              <a:cxn ang="T72">
                <a:pos x="T20" y="T21"/>
              </a:cxn>
              <a:cxn ang="T73">
                <a:pos x="T22" y="T23"/>
              </a:cxn>
              <a:cxn ang="T74">
                <a:pos x="T24" y="T25"/>
              </a:cxn>
              <a:cxn ang="T75">
                <a:pos x="T26" y="T27"/>
              </a:cxn>
              <a:cxn ang="T76">
                <a:pos x="T28" y="T29"/>
              </a:cxn>
              <a:cxn ang="T77">
                <a:pos x="T30" y="T31"/>
              </a:cxn>
              <a:cxn ang="T78">
                <a:pos x="T32" y="T33"/>
              </a:cxn>
              <a:cxn ang="T79">
                <a:pos x="T34" y="T35"/>
              </a:cxn>
              <a:cxn ang="T80">
                <a:pos x="T36" y="T37"/>
              </a:cxn>
              <a:cxn ang="T81">
                <a:pos x="T38" y="T39"/>
              </a:cxn>
              <a:cxn ang="T82">
                <a:pos x="T40" y="T41"/>
              </a:cxn>
              <a:cxn ang="T83">
                <a:pos x="T42" y="T43"/>
              </a:cxn>
              <a:cxn ang="T84">
                <a:pos x="T44" y="T45"/>
              </a:cxn>
              <a:cxn ang="T85">
                <a:pos x="T46" y="T47"/>
              </a:cxn>
              <a:cxn ang="T86">
                <a:pos x="T48" y="T49"/>
              </a:cxn>
              <a:cxn ang="T87">
                <a:pos x="T50" y="T51"/>
              </a:cxn>
              <a:cxn ang="T88">
                <a:pos x="T52" y="T53"/>
              </a:cxn>
              <a:cxn ang="T89">
                <a:pos x="T54" y="T55"/>
              </a:cxn>
              <a:cxn ang="T90">
                <a:pos x="T56" y="T57"/>
              </a:cxn>
              <a:cxn ang="T91">
                <a:pos x="T58" y="T59"/>
              </a:cxn>
              <a:cxn ang="T92">
                <a:pos x="T60" y="T61"/>
              </a:cxn>
            </a:cxnLst>
            <a:rect l="T93" t="T94" r="T95" b="T96"/>
            <a:pathLst>
              <a:path w="473" h="407">
                <a:moveTo>
                  <a:pt x="158" y="53"/>
                </a:moveTo>
                <a:lnTo>
                  <a:pt x="183" y="26"/>
                </a:lnTo>
                <a:lnTo>
                  <a:pt x="199" y="9"/>
                </a:lnTo>
                <a:lnTo>
                  <a:pt x="224" y="0"/>
                </a:lnTo>
                <a:lnTo>
                  <a:pt x="246" y="0"/>
                </a:lnTo>
                <a:lnTo>
                  <a:pt x="262" y="9"/>
                </a:lnTo>
                <a:lnTo>
                  <a:pt x="276" y="20"/>
                </a:lnTo>
                <a:lnTo>
                  <a:pt x="284" y="34"/>
                </a:lnTo>
                <a:lnTo>
                  <a:pt x="284" y="191"/>
                </a:lnTo>
                <a:lnTo>
                  <a:pt x="343" y="123"/>
                </a:lnTo>
                <a:lnTo>
                  <a:pt x="449" y="123"/>
                </a:lnTo>
                <a:lnTo>
                  <a:pt x="462" y="135"/>
                </a:lnTo>
                <a:lnTo>
                  <a:pt x="468" y="147"/>
                </a:lnTo>
                <a:lnTo>
                  <a:pt x="472" y="157"/>
                </a:lnTo>
                <a:lnTo>
                  <a:pt x="469" y="177"/>
                </a:lnTo>
                <a:lnTo>
                  <a:pt x="336" y="336"/>
                </a:lnTo>
                <a:lnTo>
                  <a:pt x="287" y="336"/>
                </a:lnTo>
                <a:lnTo>
                  <a:pt x="287" y="406"/>
                </a:lnTo>
                <a:lnTo>
                  <a:pt x="227" y="406"/>
                </a:lnTo>
                <a:lnTo>
                  <a:pt x="227" y="275"/>
                </a:lnTo>
                <a:lnTo>
                  <a:pt x="173" y="337"/>
                </a:lnTo>
                <a:lnTo>
                  <a:pt x="39" y="337"/>
                </a:lnTo>
                <a:lnTo>
                  <a:pt x="29" y="333"/>
                </a:lnTo>
                <a:lnTo>
                  <a:pt x="17" y="319"/>
                </a:lnTo>
                <a:lnTo>
                  <a:pt x="11" y="312"/>
                </a:lnTo>
                <a:lnTo>
                  <a:pt x="3" y="302"/>
                </a:lnTo>
                <a:lnTo>
                  <a:pt x="0" y="291"/>
                </a:lnTo>
                <a:lnTo>
                  <a:pt x="0" y="278"/>
                </a:lnTo>
                <a:lnTo>
                  <a:pt x="2" y="268"/>
                </a:lnTo>
                <a:lnTo>
                  <a:pt x="6" y="262"/>
                </a:lnTo>
                <a:lnTo>
                  <a:pt x="158" y="53"/>
                </a:lnTo>
              </a:path>
            </a:pathLst>
          </a:custGeom>
          <a:solidFill>
            <a:srgbClr val="FFD521"/>
          </a:solidFill>
          <a:ln>
            <a:noFill/>
          </a:ln>
          <a:extLst>
            <a:ext uri="{91240B29-F687-4F45-9708-019B960494DF}">
              <a14:hiddenLine xmlns:a14="http://schemas.microsoft.com/office/drawing/2010/main" w="9525" cap="rnd">
                <a:solidFill>
                  <a:srgbClr val="000000"/>
                </a:solidFill>
                <a:round/>
                <a:headEnd/>
                <a:tailEnd/>
              </a14:hiddenLine>
            </a:ext>
          </a:extLst>
        </xdr:spPr>
      </xdr:sp>
      <xdr:sp macro="" textlink="">
        <xdr:nvSpPr>
          <xdr:cNvPr id="62944342" name="Oval 11">
            <a:extLst>
              <a:ext uri="{FF2B5EF4-FFF2-40B4-BE49-F238E27FC236}">
                <a16:creationId xmlns:a16="http://schemas.microsoft.com/office/drawing/2014/main" id="{032F46D2-F904-4233-8BE9-296A46AD90F2}"/>
              </a:ext>
            </a:extLst>
          </xdr:cNvPr>
          <xdr:cNvSpPr>
            <a:spLocks noChangeAspect="1" noChangeArrowheads="1"/>
          </xdr:cNvSpPr>
        </xdr:nvSpPr>
        <xdr:spPr bwMode="auto">
          <a:xfrm>
            <a:off x="3522" y="2089"/>
            <a:ext cx="42" cy="37"/>
          </a:xfrm>
          <a:prstGeom prst="ellipse">
            <a:avLst/>
          </a:prstGeom>
          <a:solidFill>
            <a:srgbClr val="72C7FF"/>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62944343" name="Oval 12">
            <a:extLst>
              <a:ext uri="{FF2B5EF4-FFF2-40B4-BE49-F238E27FC236}">
                <a16:creationId xmlns:a16="http://schemas.microsoft.com/office/drawing/2014/main" id="{9382FB6E-C3D2-4024-8DEA-0306803C9AF6}"/>
              </a:ext>
            </a:extLst>
          </xdr:cNvPr>
          <xdr:cNvSpPr>
            <a:spLocks noChangeAspect="1" noChangeArrowheads="1"/>
          </xdr:cNvSpPr>
        </xdr:nvSpPr>
        <xdr:spPr bwMode="auto">
          <a:xfrm>
            <a:off x="3651" y="2094"/>
            <a:ext cx="35" cy="31"/>
          </a:xfrm>
          <a:prstGeom prst="ellipse">
            <a:avLst/>
          </a:prstGeom>
          <a:solidFill>
            <a:srgbClr val="EC0000"/>
          </a:solidFill>
          <a:ln>
            <a:noFill/>
          </a:ln>
          <a:extLst>
            <a:ext uri="{91240B29-F687-4F45-9708-019B960494DF}">
              <a14:hiddenLine xmlns:a14="http://schemas.microsoft.com/office/drawing/2010/main" w="3175">
                <a:solidFill>
                  <a:srgbClr val="000000"/>
                </a:solidFill>
                <a:round/>
                <a:headEnd type="none" w="sm" len="sm"/>
                <a:tailEnd type="none" w="sm" len="sm"/>
              </a14:hiddenLine>
            </a:ext>
          </a:extLst>
        </xdr:spPr>
      </xdr:sp>
      <xdr:sp macro="" textlink="">
        <xdr:nvSpPr>
          <xdr:cNvPr id="62944344" name="Freeform 13">
            <a:extLst>
              <a:ext uri="{FF2B5EF4-FFF2-40B4-BE49-F238E27FC236}">
                <a16:creationId xmlns:a16="http://schemas.microsoft.com/office/drawing/2014/main" id="{D51CFD3B-241C-48E6-9638-6AABB6A8EBD9}"/>
              </a:ext>
            </a:extLst>
          </xdr:cNvPr>
          <xdr:cNvSpPr>
            <a:spLocks noChangeAspect="1"/>
          </xdr:cNvSpPr>
        </xdr:nvSpPr>
        <xdr:spPr bwMode="auto">
          <a:xfrm>
            <a:off x="3716" y="2073"/>
            <a:ext cx="49" cy="70"/>
          </a:xfrm>
          <a:custGeom>
            <a:avLst/>
            <a:gdLst>
              <a:gd name="T0" fmla="*/ 0 w 141"/>
              <a:gd name="T1" fmla="*/ 0 h 214"/>
              <a:gd name="T2" fmla="*/ 0 w 141"/>
              <a:gd name="T3" fmla="*/ 0 h 214"/>
              <a:gd name="T4" fmla="*/ 0 w 141"/>
              <a:gd name="T5" fmla="*/ 0 h 214"/>
              <a:gd name="T6" fmla="*/ 0 w 141"/>
              <a:gd name="T7" fmla="*/ 0 h 214"/>
              <a:gd name="T8" fmla="*/ 0 w 141"/>
              <a:gd name="T9" fmla="*/ 0 h 214"/>
              <a:gd name="T10" fmla="*/ 0 w 141"/>
              <a:gd name="T11" fmla="*/ 0 h 214"/>
              <a:gd name="T12" fmla="*/ 0 w 141"/>
              <a:gd name="T13" fmla="*/ 0 h 214"/>
              <a:gd name="T14" fmla="*/ 0 w 141"/>
              <a:gd name="T15" fmla="*/ 0 h 214"/>
              <a:gd name="T16" fmla="*/ 0 w 141"/>
              <a:gd name="T17" fmla="*/ 0 h 214"/>
              <a:gd name="T18" fmla="*/ 0 w 141"/>
              <a:gd name="T19" fmla="*/ 0 h 214"/>
              <a:gd name="T20" fmla="*/ 0 w 141"/>
              <a:gd name="T21" fmla="*/ 0 h 214"/>
              <a:gd name="T22" fmla="*/ 0 w 141"/>
              <a:gd name="T23" fmla="*/ 0 h 214"/>
              <a:gd name="T24" fmla="*/ 0 w 141"/>
              <a:gd name="T25" fmla="*/ 0 h 214"/>
              <a:gd name="T26" fmla="*/ 0 w 141"/>
              <a:gd name="T27" fmla="*/ 0 h 214"/>
              <a:gd name="T28" fmla="*/ 0 w 141"/>
              <a:gd name="T29" fmla="*/ 0 h 214"/>
              <a:gd name="T30" fmla="*/ 0 w 141"/>
              <a:gd name="T31" fmla="*/ 0 h 214"/>
              <a:gd name="T32" fmla="*/ 0 w 141"/>
              <a:gd name="T33" fmla="*/ 0 h 214"/>
              <a:gd name="T34" fmla="*/ 0 w 141"/>
              <a:gd name="T35" fmla="*/ 0 h 214"/>
              <a:gd name="T36" fmla="*/ 0 w 141"/>
              <a:gd name="T37" fmla="*/ 0 h 214"/>
              <a:gd name="T38" fmla="*/ 0 w 141"/>
              <a:gd name="T39" fmla="*/ 0 h 214"/>
              <a:gd name="T40" fmla="*/ 0 w 141"/>
              <a:gd name="T41" fmla="*/ 0 h 214"/>
              <a:gd name="T42" fmla="*/ 0 w 141"/>
              <a:gd name="T43" fmla="*/ 0 h 214"/>
              <a:gd name="T44" fmla="*/ 0 w 141"/>
              <a:gd name="T45" fmla="*/ 0 h 214"/>
              <a:gd name="T46" fmla="*/ 0 w 141"/>
              <a:gd name="T47" fmla="*/ 0 h 214"/>
              <a:gd name="T48" fmla="*/ 0 w 141"/>
              <a:gd name="T49" fmla="*/ 0 h 214"/>
              <a:gd name="T50" fmla="*/ 0 w 141"/>
              <a:gd name="T51" fmla="*/ 0 h 214"/>
              <a:gd name="T52" fmla="*/ 0 w 141"/>
              <a:gd name="T53" fmla="*/ 0 h 214"/>
              <a:gd name="T54" fmla="*/ 0 w 141"/>
              <a:gd name="T55" fmla="*/ 0 h 214"/>
              <a:gd name="T56" fmla="*/ 0 w 141"/>
              <a:gd name="T57" fmla="*/ 0 h 214"/>
              <a:gd name="T58" fmla="*/ 0 w 141"/>
              <a:gd name="T59" fmla="*/ 0 h 214"/>
              <a:gd name="T60" fmla="*/ 0 w 141"/>
              <a:gd name="T61" fmla="*/ 0 h 214"/>
              <a:gd name="T62" fmla="*/ 0 w 141"/>
              <a:gd name="T63" fmla="*/ 0 h 214"/>
              <a:gd name="T64" fmla="*/ 0 w 141"/>
              <a:gd name="T65" fmla="*/ 0 h 214"/>
              <a:gd name="T66" fmla="*/ 0 w 141"/>
              <a:gd name="T67" fmla="*/ 0 h 214"/>
              <a:gd name="T68" fmla="*/ 0 w 141"/>
              <a:gd name="T69" fmla="*/ 0 h 214"/>
              <a:gd name="T70" fmla="*/ 0 w 141"/>
              <a:gd name="T71" fmla="*/ 0 h 214"/>
              <a:gd name="T72" fmla="*/ 0 w 141"/>
              <a:gd name="T73" fmla="*/ 0 h 214"/>
              <a:gd name="T74" fmla="*/ 0 w 141"/>
              <a:gd name="T75" fmla="*/ 0 h 214"/>
              <a:gd name="T76" fmla="*/ 0 w 141"/>
              <a:gd name="T77" fmla="*/ 0 h 214"/>
              <a:gd name="T78" fmla="*/ 0 w 141"/>
              <a:gd name="T79" fmla="*/ 0 h 214"/>
              <a:gd name="T80" fmla="*/ 0 w 141"/>
              <a:gd name="T81" fmla="*/ 0 h 214"/>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w 141"/>
              <a:gd name="T124" fmla="*/ 0 h 214"/>
              <a:gd name="T125" fmla="*/ 141 w 141"/>
              <a:gd name="T126" fmla="*/ 214 h 214"/>
            </a:gdLst>
            <a:ahLst/>
            <a:cxnLst>
              <a:cxn ang="T82">
                <a:pos x="T0" y="T1"/>
              </a:cxn>
              <a:cxn ang="T83">
                <a:pos x="T2" y="T3"/>
              </a:cxn>
              <a:cxn ang="T84">
                <a:pos x="T4" y="T5"/>
              </a:cxn>
              <a:cxn ang="T85">
                <a:pos x="T6" y="T7"/>
              </a:cxn>
              <a:cxn ang="T86">
                <a:pos x="T8" y="T9"/>
              </a:cxn>
              <a:cxn ang="T87">
                <a:pos x="T10" y="T11"/>
              </a:cxn>
              <a:cxn ang="T88">
                <a:pos x="T12" y="T13"/>
              </a:cxn>
              <a:cxn ang="T89">
                <a:pos x="T14" y="T15"/>
              </a:cxn>
              <a:cxn ang="T90">
                <a:pos x="T16" y="T17"/>
              </a:cxn>
              <a:cxn ang="T91">
                <a:pos x="T18" y="T19"/>
              </a:cxn>
              <a:cxn ang="T92">
                <a:pos x="T20" y="T21"/>
              </a:cxn>
              <a:cxn ang="T93">
                <a:pos x="T22" y="T23"/>
              </a:cxn>
              <a:cxn ang="T94">
                <a:pos x="T24" y="T25"/>
              </a:cxn>
              <a:cxn ang="T95">
                <a:pos x="T26" y="T27"/>
              </a:cxn>
              <a:cxn ang="T96">
                <a:pos x="T28" y="T29"/>
              </a:cxn>
              <a:cxn ang="T97">
                <a:pos x="T30" y="T31"/>
              </a:cxn>
              <a:cxn ang="T98">
                <a:pos x="T32" y="T33"/>
              </a:cxn>
              <a:cxn ang="T99">
                <a:pos x="T34" y="T35"/>
              </a:cxn>
              <a:cxn ang="T100">
                <a:pos x="T36" y="T37"/>
              </a:cxn>
              <a:cxn ang="T101">
                <a:pos x="T38" y="T39"/>
              </a:cxn>
              <a:cxn ang="T102">
                <a:pos x="T40" y="T41"/>
              </a:cxn>
              <a:cxn ang="T103">
                <a:pos x="T42" y="T43"/>
              </a:cxn>
              <a:cxn ang="T104">
                <a:pos x="T44" y="T45"/>
              </a:cxn>
              <a:cxn ang="T105">
                <a:pos x="T46" y="T47"/>
              </a:cxn>
              <a:cxn ang="T106">
                <a:pos x="T48" y="T49"/>
              </a:cxn>
              <a:cxn ang="T107">
                <a:pos x="T50" y="T51"/>
              </a:cxn>
              <a:cxn ang="T108">
                <a:pos x="T52" y="T53"/>
              </a:cxn>
              <a:cxn ang="T109">
                <a:pos x="T54" y="T55"/>
              </a:cxn>
              <a:cxn ang="T110">
                <a:pos x="T56" y="T57"/>
              </a:cxn>
              <a:cxn ang="T111">
                <a:pos x="T58" y="T59"/>
              </a:cxn>
              <a:cxn ang="T112">
                <a:pos x="T60" y="T61"/>
              </a:cxn>
              <a:cxn ang="T113">
                <a:pos x="T62" y="T63"/>
              </a:cxn>
              <a:cxn ang="T114">
                <a:pos x="T64" y="T65"/>
              </a:cxn>
              <a:cxn ang="T115">
                <a:pos x="T66" y="T67"/>
              </a:cxn>
              <a:cxn ang="T116">
                <a:pos x="T68" y="T69"/>
              </a:cxn>
              <a:cxn ang="T117">
                <a:pos x="T70" y="T71"/>
              </a:cxn>
              <a:cxn ang="T118">
                <a:pos x="T72" y="T73"/>
              </a:cxn>
              <a:cxn ang="T119">
                <a:pos x="T74" y="T75"/>
              </a:cxn>
              <a:cxn ang="T120">
                <a:pos x="T76" y="T77"/>
              </a:cxn>
              <a:cxn ang="T121">
                <a:pos x="T78" y="T79"/>
              </a:cxn>
              <a:cxn ang="T122">
                <a:pos x="T80" y="T81"/>
              </a:cxn>
            </a:cxnLst>
            <a:rect l="T123" t="T124" r="T125" b="T126"/>
            <a:pathLst>
              <a:path w="141" h="214">
                <a:moveTo>
                  <a:pt x="140" y="0"/>
                </a:moveTo>
                <a:lnTo>
                  <a:pt x="34" y="0"/>
                </a:lnTo>
                <a:lnTo>
                  <a:pt x="23" y="6"/>
                </a:lnTo>
                <a:lnTo>
                  <a:pt x="11" y="17"/>
                </a:lnTo>
                <a:lnTo>
                  <a:pt x="4" y="26"/>
                </a:lnTo>
                <a:lnTo>
                  <a:pt x="1" y="33"/>
                </a:lnTo>
                <a:lnTo>
                  <a:pt x="0" y="34"/>
                </a:lnTo>
                <a:lnTo>
                  <a:pt x="0" y="36"/>
                </a:lnTo>
                <a:lnTo>
                  <a:pt x="0" y="50"/>
                </a:lnTo>
                <a:lnTo>
                  <a:pt x="0" y="74"/>
                </a:lnTo>
                <a:lnTo>
                  <a:pt x="0" y="97"/>
                </a:lnTo>
                <a:lnTo>
                  <a:pt x="0" y="111"/>
                </a:lnTo>
                <a:lnTo>
                  <a:pt x="0" y="125"/>
                </a:lnTo>
                <a:lnTo>
                  <a:pt x="0" y="135"/>
                </a:lnTo>
                <a:lnTo>
                  <a:pt x="0" y="149"/>
                </a:lnTo>
                <a:lnTo>
                  <a:pt x="0" y="154"/>
                </a:lnTo>
                <a:lnTo>
                  <a:pt x="0" y="159"/>
                </a:lnTo>
                <a:lnTo>
                  <a:pt x="0" y="165"/>
                </a:lnTo>
                <a:lnTo>
                  <a:pt x="0" y="189"/>
                </a:lnTo>
                <a:lnTo>
                  <a:pt x="12" y="200"/>
                </a:lnTo>
                <a:lnTo>
                  <a:pt x="27" y="210"/>
                </a:lnTo>
                <a:lnTo>
                  <a:pt x="44" y="213"/>
                </a:lnTo>
                <a:lnTo>
                  <a:pt x="89" y="213"/>
                </a:lnTo>
                <a:lnTo>
                  <a:pt x="104" y="199"/>
                </a:lnTo>
                <a:lnTo>
                  <a:pt x="114" y="185"/>
                </a:lnTo>
                <a:lnTo>
                  <a:pt x="130" y="168"/>
                </a:lnTo>
                <a:lnTo>
                  <a:pt x="137" y="154"/>
                </a:lnTo>
                <a:lnTo>
                  <a:pt x="137" y="151"/>
                </a:lnTo>
                <a:lnTo>
                  <a:pt x="126" y="156"/>
                </a:lnTo>
                <a:lnTo>
                  <a:pt x="103" y="156"/>
                </a:lnTo>
                <a:lnTo>
                  <a:pt x="82" y="152"/>
                </a:lnTo>
                <a:lnTo>
                  <a:pt x="67" y="142"/>
                </a:lnTo>
                <a:lnTo>
                  <a:pt x="60" y="133"/>
                </a:lnTo>
                <a:lnTo>
                  <a:pt x="56" y="132"/>
                </a:lnTo>
                <a:lnTo>
                  <a:pt x="56" y="91"/>
                </a:lnTo>
                <a:lnTo>
                  <a:pt x="67" y="84"/>
                </a:lnTo>
                <a:lnTo>
                  <a:pt x="74" y="75"/>
                </a:lnTo>
                <a:lnTo>
                  <a:pt x="84" y="68"/>
                </a:lnTo>
                <a:lnTo>
                  <a:pt x="88" y="67"/>
                </a:lnTo>
                <a:lnTo>
                  <a:pt x="137" y="67"/>
                </a:lnTo>
                <a:lnTo>
                  <a:pt x="140" y="0"/>
                </a:lnTo>
              </a:path>
            </a:pathLst>
          </a:custGeom>
          <a:solidFill>
            <a:srgbClr val="FFD521"/>
          </a:solidFill>
          <a:ln>
            <a:noFill/>
          </a:ln>
          <a:extLst>
            <a:ext uri="{91240B29-F687-4F45-9708-019B960494DF}">
              <a14:hiddenLine xmlns:a14="http://schemas.microsoft.com/office/drawing/2010/main" w="9525" cap="rnd">
                <a:solidFill>
                  <a:srgbClr val="000000"/>
                </a:solidFill>
                <a:round/>
                <a:headEnd/>
                <a:tailEnd/>
              </a14:hiddenLine>
            </a:ext>
          </a:extLst>
        </xdr:spPr>
      </xdr:sp>
      <xdr:sp macro="" textlink="">
        <xdr:nvSpPr>
          <xdr:cNvPr id="62944345" name="Freeform 14">
            <a:extLst>
              <a:ext uri="{FF2B5EF4-FFF2-40B4-BE49-F238E27FC236}">
                <a16:creationId xmlns:a16="http://schemas.microsoft.com/office/drawing/2014/main" id="{DB727C16-1062-4FB4-9E58-881340E4E08D}"/>
              </a:ext>
            </a:extLst>
          </xdr:cNvPr>
          <xdr:cNvSpPr>
            <a:spLocks noChangeAspect="1"/>
          </xdr:cNvSpPr>
        </xdr:nvSpPr>
        <xdr:spPr bwMode="auto">
          <a:xfrm>
            <a:off x="3769" y="2052"/>
            <a:ext cx="73" cy="92"/>
          </a:xfrm>
          <a:custGeom>
            <a:avLst/>
            <a:gdLst>
              <a:gd name="T0" fmla="*/ 0 w 211"/>
              <a:gd name="T1" fmla="*/ 0 h 281"/>
              <a:gd name="T2" fmla="*/ 0 w 211"/>
              <a:gd name="T3" fmla="*/ 0 h 281"/>
              <a:gd name="T4" fmla="*/ 0 w 211"/>
              <a:gd name="T5" fmla="*/ 0 h 281"/>
              <a:gd name="T6" fmla="*/ 0 w 211"/>
              <a:gd name="T7" fmla="*/ 0 h 281"/>
              <a:gd name="T8" fmla="*/ 0 w 211"/>
              <a:gd name="T9" fmla="*/ 0 h 281"/>
              <a:gd name="T10" fmla="*/ 0 w 211"/>
              <a:gd name="T11" fmla="*/ 0 h 281"/>
              <a:gd name="T12" fmla="*/ 0 w 211"/>
              <a:gd name="T13" fmla="*/ 0 h 281"/>
              <a:gd name="T14" fmla="*/ 0 w 211"/>
              <a:gd name="T15" fmla="*/ 0 h 281"/>
              <a:gd name="T16" fmla="*/ 0 w 211"/>
              <a:gd name="T17" fmla="*/ 0 h 281"/>
              <a:gd name="T18" fmla="*/ 0 w 211"/>
              <a:gd name="T19" fmla="*/ 0 h 281"/>
              <a:gd name="T20" fmla="*/ 0 w 211"/>
              <a:gd name="T21" fmla="*/ 0 h 281"/>
              <a:gd name="T22" fmla="*/ 0 w 211"/>
              <a:gd name="T23" fmla="*/ 0 h 281"/>
              <a:gd name="T24" fmla="*/ 0 w 211"/>
              <a:gd name="T25" fmla="*/ 0 h 281"/>
              <a:gd name="T26" fmla="*/ 0 w 211"/>
              <a:gd name="T27" fmla="*/ 0 h 281"/>
              <a:gd name="T28" fmla="*/ 0 w 211"/>
              <a:gd name="T29" fmla="*/ 0 h 281"/>
              <a:gd name="T30" fmla="*/ 0 w 211"/>
              <a:gd name="T31" fmla="*/ 0 h 281"/>
              <a:gd name="T32" fmla="*/ 0 w 211"/>
              <a:gd name="T33" fmla="*/ 0 h 281"/>
              <a:gd name="T34" fmla="*/ 0 w 211"/>
              <a:gd name="T35" fmla="*/ 0 h 281"/>
              <a:gd name="T36" fmla="*/ 0 w 211"/>
              <a:gd name="T37" fmla="*/ 0 h 281"/>
              <a:gd name="T38" fmla="*/ 0 w 211"/>
              <a:gd name="T39" fmla="*/ 0 h 281"/>
              <a:gd name="T40" fmla="*/ 0 w 211"/>
              <a:gd name="T41" fmla="*/ 0 h 281"/>
              <a:gd name="T42" fmla="*/ 0 w 211"/>
              <a:gd name="T43" fmla="*/ 0 h 281"/>
              <a:gd name="T44" fmla="*/ 0 w 211"/>
              <a:gd name="T45" fmla="*/ 0 h 281"/>
              <a:gd name="T46" fmla="*/ 0 w 211"/>
              <a:gd name="T47" fmla="*/ 0 h 281"/>
              <a:gd name="T48" fmla="*/ 0 w 211"/>
              <a:gd name="T49" fmla="*/ 0 h 281"/>
              <a:gd name="T50" fmla="*/ 0 w 211"/>
              <a:gd name="T51" fmla="*/ 0 h 281"/>
              <a:gd name="T52" fmla="*/ 0 w 211"/>
              <a:gd name="T53" fmla="*/ 0 h 281"/>
              <a:gd name="T54" fmla="*/ 0 w 211"/>
              <a:gd name="T55" fmla="*/ 0 h 281"/>
              <a:gd name="T56" fmla="*/ 0 w 211"/>
              <a:gd name="T57" fmla="*/ 0 h 281"/>
              <a:gd name="T58" fmla="*/ 0 w 211"/>
              <a:gd name="T59" fmla="*/ 0 h 281"/>
              <a:gd name="T60" fmla="*/ 0 w 211"/>
              <a:gd name="T61" fmla="*/ 0 h 281"/>
              <a:gd name="T62" fmla="*/ 0 w 211"/>
              <a:gd name="T63" fmla="*/ 0 h 281"/>
              <a:gd name="T64" fmla="*/ 0 w 211"/>
              <a:gd name="T65" fmla="*/ 0 h 281"/>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w 211"/>
              <a:gd name="T100" fmla="*/ 0 h 281"/>
              <a:gd name="T101" fmla="*/ 211 w 211"/>
              <a:gd name="T102" fmla="*/ 281 h 281"/>
            </a:gdLst>
            <a:ahLst/>
            <a:cxnLst>
              <a:cxn ang="T66">
                <a:pos x="T0" y="T1"/>
              </a:cxn>
              <a:cxn ang="T67">
                <a:pos x="T2" y="T3"/>
              </a:cxn>
              <a:cxn ang="T68">
                <a:pos x="T4" y="T5"/>
              </a:cxn>
              <a:cxn ang="T69">
                <a:pos x="T6" y="T7"/>
              </a:cxn>
              <a:cxn ang="T70">
                <a:pos x="T8" y="T9"/>
              </a:cxn>
              <a:cxn ang="T71">
                <a:pos x="T10" y="T11"/>
              </a:cxn>
              <a:cxn ang="T72">
                <a:pos x="T12" y="T13"/>
              </a:cxn>
              <a:cxn ang="T73">
                <a:pos x="T14" y="T15"/>
              </a:cxn>
              <a:cxn ang="T74">
                <a:pos x="T16" y="T17"/>
              </a:cxn>
              <a:cxn ang="T75">
                <a:pos x="T18" y="T19"/>
              </a:cxn>
              <a:cxn ang="T76">
                <a:pos x="T20" y="T21"/>
              </a:cxn>
              <a:cxn ang="T77">
                <a:pos x="T22" y="T23"/>
              </a:cxn>
              <a:cxn ang="T78">
                <a:pos x="T24" y="T25"/>
              </a:cxn>
              <a:cxn ang="T79">
                <a:pos x="T26" y="T27"/>
              </a:cxn>
              <a:cxn ang="T80">
                <a:pos x="T28" y="T29"/>
              </a:cxn>
              <a:cxn ang="T81">
                <a:pos x="T30" y="T31"/>
              </a:cxn>
              <a:cxn ang="T82">
                <a:pos x="T32" y="T33"/>
              </a:cxn>
              <a:cxn ang="T83">
                <a:pos x="T34" y="T35"/>
              </a:cxn>
              <a:cxn ang="T84">
                <a:pos x="T36" y="T37"/>
              </a:cxn>
              <a:cxn ang="T85">
                <a:pos x="T38" y="T39"/>
              </a:cxn>
              <a:cxn ang="T86">
                <a:pos x="T40" y="T41"/>
              </a:cxn>
              <a:cxn ang="T87">
                <a:pos x="T42" y="T43"/>
              </a:cxn>
              <a:cxn ang="T88">
                <a:pos x="T44" y="T45"/>
              </a:cxn>
              <a:cxn ang="T89">
                <a:pos x="T46" y="T47"/>
              </a:cxn>
              <a:cxn ang="T90">
                <a:pos x="T48" y="T49"/>
              </a:cxn>
              <a:cxn ang="T91">
                <a:pos x="T50" y="T51"/>
              </a:cxn>
              <a:cxn ang="T92">
                <a:pos x="T52" y="T53"/>
              </a:cxn>
              <a:cxn ang="T93">
                <a:pos x="T54" y="T55"/>
              </a:cxn>
              <a:cxn ang="T94">
                <a:pos x="T56" y="T57"/>
              </a:cxn>
              <a:cxn ang="T95">
                <a:pos x="T58" y="T59"/>
              </a:cxn>
              <a:cxn ang="T96">
                <a:pos x="T60" y="T61"/>
              </a:cxn>
              <a:cxn ang="T97">
                <a:pos x="T62" y="T63"/>
              </a:cxn>
              <a:cxn ang="T98">
                <a:pos x="T64" y="T65"/>
              </a:cxn>
            </a:cxnLst>
            <a:rect l="T99" t="T100" r="T101" b="T102"/>
            <a:pathLst>
              <a:path w="211" h="281">
                <a:moveTo>
                  <a:pt x="0" y="0"/>
                </a:moveTo>
                <a:lnTo>
                  <a:pt x="0" y="280"/>
                </a:lnTo>
                <a:lnTo>
                  <a:pt x="55" y="280"/>
                </a:lnTo>
                <a:lnTo>
                  <a:pt x="55" y="140"/>
                </a:lnTo>
                <a:lnTo>
                  <a:pt x="58" y="134"/>
                </a:lnTo>
                <a:lnTo>
                  <a:pt x="68" y="130"/>
                </a:lnTo>
                <a:lnTo>
                  <a:pt x="73" y="126"/>
                </a:lnTo>
                <a:lnTo>
                  <a:pt x="81" y="124"/>
                </a:lnTo>
                <a:lnTo>
                  <a:pt x="87" y="120"/>
                </a:lnTo>
                <a:lnTo>
                  <a:pt x="88" y="119"/>
                </a:lnTo>
                <a:lnTo>
                  <a:pt x="132" y="119"/>
                </a:lnTo>
                <a:lnTo>
                  <a:pt x="143" y="124"/>
                </a:lnTo>
                <a:lnTo>
                  <a:pt x="149" y="129"/>
                </a:lnTo>
                <a:lnTo>
                  <a:pt x="151" y="140"/>
                </a:lnTo>
                <a:lnTo>
                  <a:pt x="151" y="278"/>
                </a:lnTo>
                <a:lnTo>
                  <a:pt x="210" y="278"/>
                </a:lnTo>
                <a:lnTo>
                  <a:pt x="210" y="99"/>
                </a:lnTo>
                <a:lnTo>
                  <a:pt x="206" y="92"/>
                </a:lnTo>
                <a:lnTo>
                  <a:pt x="202" y="86"/>
                </a:lnTo>
                <a:lnTo>
                  <a:pt x="195" y="79"/>
                </a:lnTo>
                <a:lnTo>
                  <a:pt x="187" y="75"/>
                </a:lnTo>
                <a:lnTo>
                  <a:pt x="184" y="68"/>
                </a:lnTo>
                <a:lnTo>
                  <a:pt x="182" y="68"/>
                </a:lnTo>
                <a:lnTo>
                  <a:pt x="101" y="68"/>
                </a:lnTo>
                <a:lnTo>
                  <a:pt x="95" y="71"/>
                </a:lnTo>
                <a:lnTo>
                  <a:pt x="88" y="79"/>
                </a:lnTo>
                <a:lnTo>
                  <a:pt x="81" y="88"/>
                </a:lnTo>
                <a:lnTo>
                  <a:pt x="77" y="96"/>
                </a:lnTo>
                <a:lnTo>
                  <a:pt x="72" y="103"/>
                </a:lnTo>
                <a:lnTo>
                  <a:pt x="58" y="112"/>
                </a:lnTo>
                <a:lnTo>
                  <a:pt x="55" y="113"/>
                </a:lnTo>
                <a:lnTo>
                  <a:pt x="55" y="0"/>
                </a:lnTo>
                <a:lnTo>
                  <a:pt x="0" y="0"/>
                </a:lnTo>
              </a:path>
            </a:pathLst>
          </a:custGeom>
          <a:solidFill>
            <a:srgbClr val="FFD521"/>
          </a:solidFill>
          <a:ln>
            <a:noFill/>
          </a:ln>
          <a:extLst>
            <a:ext uri="{91240B29-F687-4F45-9708-019B960494DF}">
              <a14:hiddenLine xmlns:a14="http://schemas.microsoft.com/office/drawing/2010/main" w="9525" cap="rnd">
                <a:solidFill>
                  <a:srgbClr val="000000"/>
                </a:solidFill>
                <a:round/>
                <a:headEnd/>
                <a:tailEnd/>
              </a14:hiddenLine>
            </a:ext>
          </a:extLst>
        </xdr:spPr>
      </xdr:sp>
      <xdr:sp macro="" textlink="">
        <xdr:nvSpPr>
          <xdr:cNvPr id="62944346" name="Freeform 15">
            <a:extLst>
              <a:ext uri="{FF2B5EF4-FFF2-40B4-BE49-F238E27FC236}">
                <a16:creationId xmlns:a16="http://schemas.microsoft.com/office/drawing/2014/main" id="{A877511D-B24A-4CAF-96F0-1738D40E15ED}"/>
              </a:ext>
            </a:extLst>
          </xdr:cNvPr>
          <xdr:cNvSpPr>
            <a:spLocks noChangeAspect="1"/>
          </xdr:cNvSpPr>
        </xdr:nvSpPr>
        <xdr:spPr bwMode="auto">
          <a:xfrm>
            <a:off x="3847" y="2073"/>
            <a:ext cx="60" cy="70"/>
          </a:xfrm>
          <a:custGeom>
            <a:avLst/>
            <a:gdLst>
              <a:gd name="T0" fmla="*/ 0 w 172"/>
              <a:gd name="T1" fmla="*/ 0 h 213"/>
              <a:gd name="T2" fmla="*/ 0 w 172"/>
              <a:gd name="T3" fmla="*/ 0 h 213"/>
              <a:gd name="T4" fmla="*/ 0 w 172"/>
              <a:gd name="T5" fmla="*/ 0 h 213"/>
              <a:gd name="T6" fmla="*/ 0 w 172"/>
              <a:gd name="T7" fmla="*/ 0 h 213"/>
              <a:gd name="T8" fmla="*/ 0 w 172"/>
              <a:gd name="T9" fmla="*/ 0 h 213"/>
              <a:gd name="T10" fmla="*/ 0 w 172"/>
              <a:gd name="T11" fmla="*/ 0 h 213"/>
              <a:gd name="T12" fmla="*/ 0 w 172"/>
              <a:gd name="T13" fmla="*/ 0 h 213"/>
              <a:gd name="T14" fmla="*/ 0 w 172"/>
              <a:gd name="T15" fmla="*/ 0 h 213"/>
              <a:gd name="T16" fmla="*/ 0 w 172"/>
              <a:gd name="T17" fmla="*/ 0 h 213"/>
              <a:gd name="T18" fmla="*/ 0 w 172"/>
              <a:gd name="T19" fmla="*/ 0 h 213"/>
              <a:gd name="T20" fmla="*/ 0 w 172"/>
              <a:gd name="T21" fmla="*/ 0 h 213"/>
              <a:gd name="T22" fmla="*/ 0 w 172"/>
              <a:gd name="T23" fmla="*/ 0 h 213"/>
              <a:gd name="T24" fmla="*/ 0 w 172"/>
              <a:gd name="T25" fmla="*/ 0 h 213"/>
              <a:gd name="T26" fmla="*/ 0 w 172"/>
              <a:gd name="T27" fmla="*/ 0 h 213"/>
              <a:gd name="T28" fmla="*/ 0 w 172"/>
              <a:gd name="T29" fmla="*/ 0 h 213"/>
              <a:gd name="T30" fmla="*/ 0 w 172"/>
              <a:gd name="T31" fmla="*/ 0 h 213"/>
              <a:gd name="T32" fmla="*/ 0 w 172"/>
              <a:gd name="T33" fmla="*/ 0 h 213"/>
              <a:gd name="T34" fmla="*/ 0 w 172"/>
              <a:gd name="T35" fmla="*/ 0 h 213"/>
              <a:gd name="T36" fmla="*/ 0 w 172"/>
              <a:gd name="T37" fmla="*/ 0 h 213"/>
              <a:gd name="T38" fmla="*/ 0 w 172"/>
              <a:gd name="T39" fmla="*/ 0 h 213"/>
              <a:gd name="T40" fmla="*/ 0 w 172"/>
              <a:gd name="T41" fmla="*/ 0 h 213"/>
              <a:gd name="T42" fmla="*/ 0 w 172"/>
              <a:gd name="T43" fmla="*/ 0 h 213"/>
              <a:gd name="T44" fmla="*/ 0 w 172"/>
              <a:gd name="T45" fmla="*/ 0 h 213"/>
              <a:gd name="T46" fmla="*/ 0 w 172"/>
              <a:gd name="T47" fmla="*/ 0 h 213"/>
              <a:gd name="T48" fmla="*/ 0 w 172"/>
              <a:gd name="T49" fmla="*/ 0 h 213"/>
              <a:gd name="T50" fmla="*/ 0 w 172"/>
              <a:gd name="T51" fmla="*/ 0 h 213"/>
              <a:gd name="T52" fmla="*/ 0 w 172"/>
              <a:gd name="T53" fmla="*/ 0 h 213"/>
              <a:gd name="T54" fmla="*/ 0 w 172"/>
              <a:gd name="T55" fmla="*/ 0 h 213"/>
              <a:gd name="T56" fmla="*/ 0 w 172"/>
              <a:gd name="T57" fmla="*/ 0 h 213"/>
              <a:gd name="T58" fmla="*/ 0 w 172"/>
              <a:gd name="T59" fmla="*/ 0 h 213"/>
              <a:gd name="T60" fmla="*/ 0 w 172"/>
              <a:gd name="T61" fmla="*/ 0 h 213"/>
              <a:gd name="T62" fmla="*/ 0 w 172"/>
              <a:gd name="T63" fmla="*/ 0 h 213"/>
              <a:gd name="T64" fmla="*/ 0 w 172"/>
              <a:gd name="T65" fmla="*/ 0 h 213"/>
              <a:gd name="T66" fmla="*/ 0 w 172"/>
              <a:gd name="T67" fmla="*/ 0 h 213"/>
              <a:gd name="T68" fmla="*/ 0 w 172"/>
              <a:gd name="T69" fmla="*/ 0 h 213"/>
              <a:gd name="T70" fmla="*/ 0 w 172"/>
              <a:gd name="T71" fmla="*/ 0 h 213"/>
              <a:gd name="T72" fmla="*/ 0 w 172"/>
              <a:gd name="T73" fmla="*/ 0 h 213"/>
              <a:gd name="T74" fmla="*/ 0 w 172"/>
              <a:gd name="T75" fmla="*/ 0 h 213"/>
              <a:gd name="T76" fmla="*/ 0 w 172"/>
              <a:gd name="T77" fmla="*/ 0 h 213"/>
              <a:gd name="T78" fmla="*/ 0 w 172"/>
              <a:gd name="T79" fmla="*/ 0 h 213"/>
              <a:gd name="T80" fmla="*/ 0 w 172"/>
              <a:gd name="T81" fmla="*/ 0 h 213"/>
              <a:gd name="T82" fmla="*/ 0 w 172"/>
              <a:gd name="T83" fmla="*/ 0 h 213"/>
              <a:gd name="T84" fmla="*/ 0 w 172"/>
              <a:gd name="T85" fmla="*/ 0 h 213"/>
              <a:gd name="T86" fmla="*/ 0 w 172"/>
              <a:gd name="T87" fmla="*/ 0 h 213"/>
              <a:gd name="T88" fmla="*/ 0 w 172"/>
              <a:gd name="T89" fmla="*/ 0 h 213"/>
              <a:gd name="T90" fmla="*/ 0 w 172"/>
              <a:gd name="T91" fmla="*/ 0 h 213"/>
              <a:gd name="T92" fmla="*/ 0 w 172"/>
              <a:gd name="T93" fmla="*/ 0 h 213"/>
              <a:gd name="T94" fmla="*/ 0 w 172"/>
              <a:gd name="T95" fmla="*/ 0 h 213"/>
              <a:gd name="T96" fmla="*/ 0 w 172"/>
              <a:gd name="T97" fmla="*/ 0 h 213"/>
              <a:gd name="T98" fmla="*/ 0 w 172"/>
              <a:gd name="T99" fmla="*/ 0 h 213"/>
              <a:gd name="T100" fmla="*/ 0 w 172"/>
              <a:gd name="T101" fmla="*/ 0 h 213"/>
              <a:gd name="T102" fmla="*/ 0 w 172"/>
              <a:gd name="T103" fmla="*/ 0 h 213"/>
              <a:gd name="T104" fmla="*/ 0 w 172"/>
              <a:gd name="T105" fmla="*/ 0 h 213"/>
              <a:gd name="T106" fmla="*/ 0 w 172"/>
              <a:gd name="T107" fmla="*/ 0 h 213"/>
              <a:gd name="T108" fmla="*/ 0 w 172"/>
              <a:gd name="T109" fmla="*/ 0 h 213"/>
              <a:gd name="T110" fmla="*/ 0 w 172"/>
              <a:gd name="T111" fmla="*/ 0 h 213"/>
              <a:gd name="T112" fmla="*/ 0 w 172"/>
              <a:gd name="T113" fmla="*/ 0 h 213"/>
              <a:gd name="T114" fmla="*/ 0 w 172"/>
              <a:gd name="T115" fmla="*/ 0 h 213"/>
              <a:gd name="T116" fmla="*/ 0 w 172"/>
              <a:gd name="T117" fmla="*/ 0 h 213"/>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w 172"/>
              <a:gd name="T178" fmla="*/ 0 h 213"/>
              <a:gd name="T179" fmla="*/ 172 w 172"/>
              <a:gd name="T180" fmla="*/ 213 h 213"/>
            </a:gdLst>
            <a:ahLst/>
            <a:cxnLst>
              <a:cxn ang="T118">
                <a:pos x="T0" y="T1"/>
              </a:cxn>
              <a:cxn ang="T119">
                <a:pos x="T2" y="T3"/>
              </a:cxn>
              <a:cxn ang="T120">
                <a:pos x="T4" y="T5"/>
              </a:cxn>
              <a:cxn ang="T121">
                <a:pos x="T6" y="T7"/>
              </a:cxn>
              <a:cxn ang="T122">
                <a:pos x="T8" y="T9"/>
              </a:cxn>
              <a:cxn ang="T123">
                <a:pos x="T10" y="T11"/>
              </a:cxn>
              <a:cxn ang="T124">
                <a:pos x="T12" y="T13"/>
              </a:cxn>
              <a:cxn ang="T125">
                <a:pos x="T14" y="T15"/>
              </a:cxn>
              <a:cxn ang="T126">
                <a:pos x="T16" y="T17"/>
              </a:cxn>
              <a:cxn ang="T127">
                <a:pos x="T18" y="T19"/>
              </a:cxn>
              <a:cxn ang="T128">
                <a:pos x="T20" y="T21"/>
              </a:cxn>
              <a:cxn ang="T129">
                <a:pos x="T22" y="T23"/>
              </a:cxn>
              <a:cxn ang="T130">
                <a:pos x="T24" y="T25"/>
              </a:cxn>
              <a:cxn ang="T131">
                <a:pos x="T26" y="T27"/>
              </a:cxn>
              <a:cxn ang="T132">
                <a:pos x="T28" y="T29"/>
              </a:cxn>
              <a:cxn ang="T133">
                <a:pos x="T30" y="T31"/>
              </a:cxn>
              <a:cxn ang="T134">
                <a:pos x="T32" y="T33"/>
              </a:cxn>
              <a:cxn ang="T135">
                <a:pos x="T34" y="T35"/>
              </a:cxn>
              <a:cxn ang="T136">
                <a:pos x="T36" y="T37"/>
              </a:cxn>
              <a:cxn ang="T137">
                <a:pos x="T38" y="T39"/>
              </a:cxn>
              <a:cxn ang="T138">
                <a:pos x="T40" y="T41"/>
              </a:cxn>
              <a:cxn ang="T139">
                <a:pos x="T42" y="T43"/>
              </a:cxn>
              <a:cxn ang="T140">
                <a:pos x="T44" y="T45"/>
              </a:cxn>
              <a:cxn ang="T141">
                <a:pos x="T46" y="T47"/>
              </a:cxn>
              <a:cxn ang="T142">
                <a:pos x="T48" y="T49"/>
              </a:cxn>
              <a:cxn ang="T143">
                <a:pos x="T50" y="T51"/>
              </a:cxn>
              <a:cxn ang="T144">
                <a:pos x="T52" y="T53"/>
              </a:cxn>
              <a:cxn ang="T145">
                <a:pos x="T54" y="T55"/>
              </a:cxn>
              <a:cxn ang="T146">
                <a:pos x="T56" y="T57"/>
              </a:cxn>
              <a:cxn ang="T147">
                <a:pos x="T58" y="T59"/>
              </a:cxn>
              <a:cxn ang="T148">
                <a:pos x="T60" y="T61"/>
              </a:cxn>
              <a:cxn ang="T149">
                <a:pos x="T62" y="T63"/>
              </a:cxn>
              <a:cxn ang="T150">
                <a:pos x="T64" y="T65"/>
              </a:cxn>
              <a:cxn ang="T151">
                <a:pos x="T66" y="T67"/>
              </a:cxn>
              <a:cxn ang="T152">
                <a:pos x="T68" y="T69"/>
              </a:cxn>
              <a:cxn ang="T153">
                <a:pos x="T70" y="T71"/>
              </a:cxn>
              <a:cxn ang="T154">
                <a:pos x="T72" y="T73"/>
              </a:cxn>
              <a:cxn ang="T155">
                <a:pos x="T74" y="T75"/>
              </a:cxn>
              <a:cxn ang="T156">
                <a:pos x="T76" y="T77"/>
              </a:cxn>
              <a:cxn ang="T157">
                <a:pos x="T78" y="T79"/>
              </a:cxn>
              <a:cxn ang="T158">
                <a:pos x="T80" y="T81"/>
              </a:cxn>
              <a:cxn ang="T159">
                <a:pos x="T82" y="T83"/>
              </a:cxn>
              <a:cxn ang="T160">
                <a:pos x="T84" y="T85"/>
              </a:cxn>
              <a:cxn ang="T161">
                <a:pos x="T86" y="T87"/>
              </a:cxn>
              <a:cxn ang="T162">
                <a:pos x="T88" y="T89"/>
              </a:cxn>
              <a:cxn ang="T163">
                <a:pos x="T90" y="T91"/>
              </a:cxn>
              <a:cxn ang="T164">
                <a:pos x="T92" y="T93"/>
              </a:cxn>
              <a:cxn ang="T165">
                <a:pos x="T94" y="T95"/>
              </a:cxn>
              <a:cxn ang="T166">
                <a:pos x="T96" y="T97"/>
              </a:cxn>
              <a:cxn ang="T167">
                <a:pos x="T98" y="T99"/>
              </a:cxn>
              <a:cxn ang="T168">
                <a:pos x="T100" y="T101"/>
              </a:cxn>
              <a:cxn ang="T169">
                <a:pos x="T102" y="T103"/>
              </a:cxn>
              <a:cxn ang="T170">
                <a:pos x="T104" y="T105"/>
              </a:cxn>
              <a:cxn ang="T171">
                <a:pos x="T106" y="T107"/>
              </a:cxn>
              <a:cxn ang="T172">
                <a:pos x="T108" y="T109"/>
              </a:cxn>
              <a:cxn ang="T173">
                <a:pos x="T110" y="T111"/>
              </a:cxn>
              <a:cxn ang="T174">
                <a:pos x="T112" y="T113"/>
              </a:cxn>
              <a:cxn ang="T175">
                <a:pos x="T114" y="T115"/>
              </a:cxn>
              <a:cxn ang="T176">
                <a:pos x="T116" y="T117"/>
              </a:cxn>
            </a:cxnLst>
            <a:rect l="T177" t="T178" r="T179" b="T180"/>
            <a:pathLst>
              <a:path w="172" h="213">
                <a:moveTo>
                  <a:pt x="148" y="140"/>
                </a:moveTo>
                <a:lnTo>
                  <a:pt x="106" y="204"/>
                </a:lnTo>
                <a:lnTo>
                  <a:pt x="100" y="210"/>
                </a:lnTo>
                <a:lnTo>
                  <a:pt x="100" y="212"/>
                </a:lnTo>
                <a:lnTo>
                  <a:pt x="28" y="212"/>
                </a:lnTo>
                <a:lnTo>
                  <a:pt x="22" y="208"/>
                </a:lnTo>
                <a:lnTo>
                  <a:pt x="14" y="201"/>
                </a:lnTo>
                <a:lnTo>
                  <a:pt x="11" y="197"/>
                </a:lnTo>
                <a:lnTo>
                  <a:pt x="6" y="191"/>
                </a:lnTo>
                <a:lnTo>
                  <a:pt x="0" y="186"/>
                </a:lnTo>
                <a:lnTo>
                  <a:pt x="0" y="25"/>
                </a:lnTo>
                <a:lnTo>
                  <a:pt x="9" y="17"/>
                </a:lnTo>
                <a:lnTo>
                  <a:pt x="14" y="10"/>
                </a:lnTo>
                <a:lnTo>
                  <a:pt x="18" y="4"/>
                </a:lnTo>
                <a:lnTo>
                  <a:pt x="24" y="3"/>
                </a:lnTo>
                <a:lnTo>
                  <a:pt x="26" y="0"/>
                </a:lnTo>
                <a:lnTo>
                  <a:pt x="33" y="0"/>
                </a:lnTo>
                <a:lnTo>
                  <a:pt x="133" y="0"/>
                </a:lnTo>
                <a:lnTo>
                  <a:pt x="147" y="6"/>
                </a:lnTo>
                <a:lnTo>
                  <a:pt x="152" y="13"/>
                </a:lnTo>
                <a:lnTo>
                  <a:pt x="162" y="25"/>
                </a:lnTo>
                <a:lnTo>
                  <a:pt x="167" y="30"/>
                </a:lnTo>
                <a:lnTo>
                  <a:pt x="171" y="37"/>
                </a:lnTo>
                <a:lnTo>
                  <a:pt x="171" y="103"/>
                </a:lnTo>
                <a:lnTo>
                  <a:pt x="167" y="109"/>
                </a:lnTo>
                <a:lnTo>
                  <a:pt x="162" y="112"/>
                </a:lnTo>
                <a:lnTo>
                  <a:pt x="156" y="116"/>
                </a:lnTo>
                <a:lnTo>
                  <a:pt x="148" y="117"/>
                </a:lnTo>
                <a:lnTo>
                  <a:pt x="140" y="119"/>
                </a:lnTo>
                <a:lnTo>
                  <a:pt x="84" y="119"/>
                </a:lnTo>
                <a:lnTo>
                  <a:pt x="74" y="113"/>
                </a:lnTo>
                <a:lnTo>
                  <a:pt x="70" y="109"/>
                </a:lnTo>
                <a:lnTo>
                  <a:pt x="69" y="103"/>
                </a:lnTo>
                <a:lnTo>
                  <a:pt x="69" y="100"/>
                </a:lnTo>
                <a:lnTo>
                  <a:pt x="69" y="99"/>
                </a:lnTo>
                <a:lnTo>
                  <a:pt x="121" y="99"/>
                </a:lnTo>
                <a:lnTo>
                  <a:pt x="128" y="90"/>
                </a:lnTo>
                <a:lnTo>
                  <a:pt x="133" y="85"/>
                </a:lnTo>
                <a:lnTo>
                  <a:pt x="133" y="68"/>
                </a:lnTo>
                <a:lnTo>
                  <a:pt x="130" y="62"/>
                </a:lnTo>
                <a:lnTo>
                  <a:pt x="128" y="55"/>
                </a:lnTo>
                <a:lnTo>
                  <a:pt x="122" y="54"/>
                </a:lnTo>
                <a:lnTo>
                  <a:pt x="81" y="54"/>
                </a:lnTo>
                <a:lnTo>
                  <a:pt x="73" y="55"/>
                </a:lnTo>
                <a:lnTo>
                  <a:pt x="69" y="61"/>
                </a:lnTo>
                <a:lnTo>
                  <a:pt x="63" y="64"/>
                </a:lnTo>
                <a:lnTo>
                  <a:pt x="58" y="71"/>
                </a:lnTo>
                <a:lnTo>
                  <a:pt x="55" y="79"/>
                </a:lnTo>
                <a:lnTo>
                  <a:pt x="54" y="90"/>
                </a:lnTo>
                <a:lnTo>
                  <a:pt x="52" y="107"/>
                </a:lnTo>
                <a:lnTo>
                  <a:pt x="54" y="119"/>
                </a:lnTo>
                <a:lnTo>
                  <a:pt x="59" y="134"/>
                </a:lnTo>
                <a:lnTo>
                  <a:pt x="70" y="142"/>
                </a:lnTo>
                <a:lnTo>
                  <a:pt x="78" y="145"/>
                </a:lnTo>
                <a:lnTo>
                  <a:pt x="87" y="145"/>
                </a:lnTo>
                <a:lnTo>
                  <a:pt x="110" y="145"/>
                </a:lnTo>
                <a:lnTo>
                  <a:pt x="125" y="145"/>
                </a:lnTo>
                <a:lnTo>
                  <a:pt x="133" y="147"/>
                </a:lnTo>
                <a:lnTo>
                  <a:pt x="148" y="140"/>
                </a:lnTo>
              </a:path>
            </a:pathLst>
          </a:custGeom>
          <a:solidFill>
            <a:srgbClr val="FFD521"/>
          </a:solidFill>
          <a:ln>
            <a:noFill/>
          </a:ln>
          <a:extLst>
            <a:ext uri="{91240B29-F687-4F45-9708-019B960494DF}">
              <a14:hiddenLine xmlns:a14="http://schemas.microsoft.com/office/drawing/2010/main" w="9525" cap="rnd">
                <a:solidFill>
                  <a:srgbClr val="000000"/>
                </a:solidFill>
                <a:round/>
                <a:headEnd/>
                <a:tailEnd/>
              </a14:hiddenLine>
            </a:ext>
          </a:extLst>
        </xdr:spPr>
      </xdr:sp>
      <xdr:sp macro="" textlink="">
        <xdr:nvSpPr>
          <xdr:cNvPr id="62944347" name="Oval 16">
            <a:extLst>
              <a:ext uri="{FF2B5EF4-FFF2-40B4-BE49-F238E27FC236}">
                <a16:creationId xmlns:a16="http://schemas.microsoft.com/office/drawing/2014/main" id="{243E979D-868D-4FB2-822A-EF3B354623FC}"/>
              </a:ext>
            </a:extLst>
          </xdr:cNvPr>
          <xdr:cNvSpPr>
            <a:spLocks noChangeAspect="1" noChangeArrowheads="1"/>
          </xdr:cNvSpPr>
        </xdr:nvSpPr>
        <xdr:spPr bwMode="auto">
          <a:xfrm>
            <a:off x="3581" y="2092"/>
            <a:ext cx="35" cy="31"/>
          </a:xfrm>
          <a:prstGeom prst="ellipse">
            <a:avLst/>
          </a:prstGeom>
          <a:solidFill>
            <a:srgbClr val="72C7FF"/>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62944348" name="Oval 17">
            <a:extLst>
              <a:ext uri="{FF2B5EF4-FFF2-40B4-BE49-F238E27FC236}">
                <a16:creationId xmlns:a16="http://schemas.microsoft.com/office/drawing/2014/main" id="{495CDA6B-8F74-4374-9899-A23D8343ADD5}"/>
              </a:ext>
            </a:extLst>
          </xdr:cNvPr>
          <xdr:cNvSpPr>
            <a:spLocks noChangeAspect="1" noChangeArrowheads="1"/>
          </xdr:cNvSpPr>
        </xdr:nvSpPr>
        <xdr:spPr bwMode="auto">
          <a:xfrm>
            <a:off x="3768" y="2158"/>
            <a:ext cx="56" cy="56"/>
          </a:xfrm>
          <a:prstGeom prst="ellipse">
            <a:avLst/>
          </a:prstGeom>
          <a:solidFill>
            <a:srgbClr val="CA0000"/>
          </a:solidFill>
          <a:ln>
            <a:noFill/>
          </a:ln>
          <a:extLst>
            <a:ext uri="{91240B29-F687-4F45-9708-019B960494DF}">
              <a14:hiddenLine xmlns:a14="http://schemas.microsoft.com/office/drawing/2010/main" w="3175">
                <a:solidFill>
                  <a:srgbClr val="000000"/>
                </a:solidFill>
                <a:round/>
                <a:headEnd type="none" w="sm" len="sm"/>
                <a:tailEnd type="none" w="sm" len="sm"/>
              </a14:hiddenLine>
            </a:ext>
          </a:extLst>
        </xdr:spPr>
      </xdr:sp>
      <xdr:sp macro="" textlink="">
        <xdr:nvSpPr>
          <xdr:cNvPr id="62944349" name="Freeform 18">
            <a:extLst>
              <a:ext uri="{FF2B5EF4-FFF2-40B4-BE49-F238E27FC236}">
                <a16:creationId xmlns:a16="http://schemas.microsoft.com/office/drawing/2014/main" id="{69C2C1F0-2CCD-448A-A017-82EAF4CA6DDA}"/>
              </a:ext>
            </a:extLst>
          </xdr:cNvPr>
          <xdr:cNvSpPr>
            <a:spLocks noChangeAspect="1"/>
          </xdr:cNvSpPr>
        </xdr:nvSpPr>
        <xdr:spPr bwMode="auto">
          <a:xfrm>
            <a:off x="3776" y="2168"/>
            <a:ext cx="41" cy="38"/>
          </a:xfrm>
          <a:custGeom>
            <a:avLst/>
            <a:gdLst>
              <a:gd name="T0" fmla="*/ 0 w 170"/>
              <a:gd name="T1" fmla="*/ 0 h 158"/>
              <a:gd name="T2" fmla="*/ 0 w 170"/>
              <a:gd name="T3" fmla="*/ 0 h 158"/>
              <a:gd name="T4" fmla="*/ 0 w 170"/>
              <a:gd name="T5" fmla="*/ 0 h 158"/>
              <a:gd name="T6" fmla="*/ 0 w 170"/>
              <a:gd name="T7" fmla="*/ 0 h 158"/>
              <a:gd name="T8" fmla="*/ 0 w 170"/>
              <a:gd name="T9" fmla="*/ 0 h 158"/>
              <a:gd name="T10" fmla="*/ 0 w 170"/>
              <a:gd name="T11" fmla="*/ 0 h 158"/>
              <a:gd name="T12" fmla="*/ 0 w 170"/>
              <a:gd name="T13" fmla="*/ 0 h 158"/>
              <a:gd name="T14" fmla="*/ 0 w 170"/>
              <a:gd name="T15" fmla="*/ 0 h 158"/>
              <a:gd name="T16" fmla="*/ 0 w 170"/>
              <a:gd name="T17" fmla="*/ 0 h 158"/>
              <a:gd name="T18" fmla="*/ 0 w 170"/>
              <a:gd name="T19" fmla="*/ 0 h 158"/>
              <a:gd name="T20" fmla="*/ 0 w 170"/>
              <a:gd name="T21" fmla="*/ 0 h 158"/>
              <a:gd name="T22" fmla="*/ 0 w 170"/>
              <a:gd name="T23" fmla="*/ 0 h 158"/>
              <a:gd name="T24" fmla="*/ 0 w 170"/>
              <a:gd name="T25" fmla="*/ 0 h 158"/>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170"/>
              <a:gd name="T40" fmla="*/ 0 h 158"/>
              <a:gd name="T41" fmla="*/ 170 w 170"/>
              <a:gd name="T42" fmla="*/ 158 h 158"/>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170" h="158">
                <a:moveTo>
                  <a:pt x="170" y="0"/>
                </a:moveTo>
                <a:lnTo>
                  <a:pt x="137" y="14"/>
                </a:lnTo>
                <a:lnTo>
                  <a:pt x="115" y="19"/>
                </a:lnTo>
                <a:lnTo>
                  <a:pt x="103" y="21"/>
                </a:lnTo>
                <a:lnTo>
                  <a:pt x="93" y="26"/>
                </a:lnTo>
                <a:lnTo>
                  <a:pt x="83" y="36"/>
                </a:lnTo>
                <a:lnTo>
                  <a:pt x="65" y="57"/>
                </a:lnTo>
                <a:lnTo>
                  <a:pt x="53" y="73"/>
                </a:lnTo>
                <a:lnTo>
                  <a:pt x="47" y="81"/>
                </a:lnTo>
                <a:lnTo>
                  <a:pt x="37" y="102"/>
                </a:lnTo>
                <a:lnTo>
                  <a:pt x="25" y="121"/>
                </a:lnTo>
                <a:lnTo>
                  <a:pt x="15" y="134"/>
                </a:lnTo>
                <a:lnTo>
                  <a:pt x="0" y="158"/>
                </a:lnTo>
              </a:path>
            </a:pathLst>
          </a:custGeom>
          <a:noFill/>
          <a:ln w="5080">
            <a:solidFill>
              <a:srgbClr val="FFFFFF"/>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62944350" name="Freeform 19">
            <a:extLst>
              <a:ext uri="{FF2B5EF4-FFF2-40B4-BE49-F238E27FC236}">
                <a16:creationId xmlns:a16="http://schemas.microsoft.com/office/drawing/2014/main" id="{16DFB29B-CF20-40F6-8659-99148E841C57}"/>
              </a:ext>
            </a:extLst>
          </xdr:cNvPr>
          <xdr:cNvSpPr>
            <a:spLocks noChangeAspect="1"/>
          </xdr:cNvSpPr>
        </xdr:nvSpPr>
        <xdr:spPr bwMode="auto">
          <a:xfrm>
            <a:off x="3786" y="2177"/>
            <a:ext cx="36" cy="34"/>
          </a:xfrm>
          <a:custGeom>
            <a:avLst/>
            <a:gdLst>
              <a:gd name="T0" fmla="*/ 0 w 153"/>
              <a:gd name="T1" fmla="*/ 0 h 141"/>
              <a:gd name="T2" fmla="*/ 0 w 153"/>
              <a:gd name="T3" fmla="*/ 0 h 141"/>
              <a:gd name="T4" fmla="*/ 0 w 153"/>
              <a:gd name="T5" fmla="*/ 0 h 141"/>
              <a:gd name="T6" fmla="*/ 0 w 153"/>
              <a:gd name="T7" fmla="*/ 0 h 141"/>
              <a:gd name="T8" fmla="*/ 0 w 153"/>
              <a:gd name="T9" fmla="*/ 0 h 141"/>
              <a:gd name="T10" fmla="*/ 0 w 153"/>
              <a:gd name="T11" fmla="*/ 0 h 141"/>
              <a:gd name="T12" fmla="*/ 0 w 153"/>
              <a:gd name="T13" fmla="*/ 0 h 141"/>
              <a:gd name="T14" fmla="*/ 0 w 153"/>
              <a:gd name="T15" fmla="*/ 0 h 141"/>
              <a:gd name="T16" fmla="*/ 0 w 153"/>
              <a:gd name="T17" fmla="*/ 0 h 141"/>
              <a:gd name="T18" fmla="*/ 0 w 153"/>
              <a:gd name="T19" fmla="*/ 0 h 141"/>
              <a:gd name="T20" fmla="*/ 0 w 153"/>
              <a:gd name="T21" fmla="*/ 0 h 141"/>
              <a:gd name="T22" fmla="*/ 0 w 153"/>
              <a:gd name="T23" fmla="*/ 0 h 141"/>
              <a:gd name="T24" fmla="*/ 0 w 153"/>
              <a:gd name="T25" fmla="*/ 0 h 141"/>
              <a:gd name="T26" fmla="*/ 0 w 153"/>
              <a:gd name="T27" fmla="*/ 0 h 141"/>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w 153"/>
              <a:gd name="T43" fmla="*/ 0 h 141"/>
              <a:gd name="T44" fmla="*/ 153 w 153"/>
              <a:gd name="T45" fmla="*/ 141 h 141"/>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T42" t="T43" r="T44" b="T45"/>
            <a:pathLst>
              <a:path w="153" h="141">
                <a:moveTo>
                  <a:pt x="153" y="0"/>
                </a:moveTo>
                <a:lnTo>
                  <a:pt x="129" y="0"/>
                </a:lnTo>
                <a:lnTo>
                  <a:pt x="110" y="6"/>
                </a:lnTo>
                <a:lnTo>
                  <a:pt x="96" y="17"/>
                </a:lnTo>
                <a:lnTo>
                  <a:pt x="81" y="22"/>
                </a:lnTo>
                <a:lnTo>
                  <a:pt x="69" y="35"/>
                </a:lnTo>
                <a:lnTo>
                  <a:pt x="53" y="49"/>
                </a:lnTo>
                <a:lnTo>
                  <a:pt x="43" y="59"/>
                </a:lnTo>
                <a:lnTo>
                  <a:pt x="34" y="71"/>
                </a:lnTo>
                <a:lnTo>
                  <a:pt x="27" y="84"/>
                </a:lnTo>
                <a:lnTo>
                  <a:pt x="10" y="97"/>
                </a:lnTo>
                <a:lnTo>
                  <a:pt x="2" y="113"/>
                </a:lnTo>
                <a:lnTo>
                  <a:pt x="1" y="125"/>
                </a:lnTo>
                <a:lnTo>
                  <a:pt x="0" y="141"/>
                </a:lnTo>
              </a:path>
            </a:pathLst>
          </a:custGeom>
          <a:noFill/>
          <a:ln w="5080">
            <a:solidFill>
              <a:srgbClr val="FFFFFF"/>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62944351" name="Freeform 20">
            <a:extLst>
              <a:ext uri="{FF2B5EF4-FFF2-40B4-BE49-F238E27FC236}">
                <a16:creationId xmlns:a16="http://schemas.microsoft.com/office/drawing/2014/main" id="{0578365C-7362-46A1-969D-389BAEE14D47}"/>
              </a:ext>
            </a:extLst>
          </xdr:cNvPr>
          <xdr:cNvSpPr>
            <a:spLocks noChangeAspect="1"/>
          </xdr:cNvSpPr>
        </xdr:nvSpPr>
        <xdr:spPr bwMode="auto">
          <a:xfrm>
            <a:off x="3795" y="2189"/>
            <a:ext cx="29" cy="24"/>
          </a:xfrm>
          <a:custGeom>
            <a:avLst/>
            <a:gdLst>
              <a:gd name="T0" fmla="*/ 0 w 120"/>
              <a:gd name="T1" fmla="*/ 0 h 102"/>
              <a:gd name="T2" fmla="*/ 0 w 120"/>
              <a:gd name="T3" fmla="*/ 0 h 102"/>
              <a:gd name="T4" fmla="*/ 0 w 120"/>
              <a:gd name="T5" fmla="*/ 0 h 102"/>
              <a:gd name="T6" fmla="*/ 0 w 120"/>
              <a:gd name="T7" fmla="*/ 0 h 102"/>
              <a:gd name="T8" fmla="*/ 0 w 120"/>
              <a:gd name="T9" fmla="*/ 0 h 102"/>
              <a:gd name="T10" fmla="*/ 0 w 120"/>
              <a:gd name="T11" fmla="*/ 0 h 102"/>
              <a:gd name="T12" fmla="*/ 0 w 120"/>
              <a:gd name="T13" fmla="*/ 0 h 102"/>
              <a:gd name="T14" fmla="*/ 0 w 120"/>
              <a:gd name="T15" fmla="*/ 0 h 102"/>
              <a:gd name="T16" fmla="*/ 0 w 120"/>
              <a:gd name="T17" fmla="*/ 0 h 102"/>
              <a:gd name="T18" fmla="*/ 0 w 120"/>
              <a:gd name="T19" fmla="*/ 0 h 102"/>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20"/>
              <a:gd name="T31" fmla="*/ 0 h 102"/>
              <a:gd name="T32" fmla="*/ 120 w 120"/>
              <a:gd name="T33" fmla="*/ 102 h 102"/>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20" h="102">
                <a:moveTo>
                  <a:pt x="120" y="1"/>
                </a:moveTo>
                <a:lnTo>
                  <a:pt x="99" y="0"/>
                </a:lnTo>
                <a:lnTo>
                  <a:pt x="85" y="2"/>
                </a:lnTo>
                <a:lnTo>
                  <a:pt x="68" y="5"/>
                </a:lnTo>
                <a:lnTo>
                  <a:pt x="47" y="13"/>
                </a:lnTo>
                <a:lnTo>
                  <a:pt x="29" y="31"/>
                </a:lnTo>
                <a:lnTo>
                  <a:pt x="17" y="49"/>
                </a:lnTo>
                <a:lnTo>
                  <a:pt x="5" y="78"/>
                </a:lnTo>
                <a:lnTo>
                  <a:pt x="1" y="96"/>
                </a:lnTo>
                <a:lnTo>
                  <a:pt x="0" y="102"/>
                </a:lnTo>
              </a:path>
            </a:pathLst>
          </a:custGeom>
          <a:noFill/>
          <a:ln w="5080">
            <a:solidFill>
              <a:srgbClr val="FFFFFF"/>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62944352" name="Freeform 21">
            <a:extLst>
              <a:ext uri="{FF2B5EF4-FFF2-40B4-BE49-F238E27FC236}">
                <a16:creationId xmlns:a16="http://schemas.microsoft.com/office/drawing/2014/main" id="{1AE10F11-9198-41FE-B041-3D1D02EA6073}"/>
              </a:ext>
            </a:extLst>
          </xdr:cNvPr>
          <xdr:cNvSpPr>
            <a:spLocks noChangeAspect="1"/>
          </xdr:cNvSpPr>
        </xdr:nvSpPr>
        <xdr:spPr bwMode="auto">
          <a:xfrm>
            <a:off x="3803" y="2196"/>
            <a:ext cx="19" cy="16"/>
          </a:xfrm>
          <a:custGeom>
            <a:avLst/>
            <a:gdLst>
              <a:gd name="T0" fmla="*/ 0 w 78"/>
              <a:gd name="T1" fmla="*/ 0 h 67"/>
              <a:gd name="T2" fmla="*/ 0 w 78"/>
              <a:gd name="T3" fmla="*/ 0 h 67"/>
              <a:gd name="T4" fmla="*/ 0 w 78"/>
              <a:gd name="T5" fmla="*/ 0 h 67"/>
              <a:gd name="T6" fmla="*/ 0 w 78"/>
              <a:gd name="T7" fmla="*/ 0 h 67"/>
              <a:gd name="T8" fmla="*/ 0 w 78"/>
              <a:gd name="T9" fmla="*/ 0 h 67"/>
              <a:gd name="T10" fmla="*/ 0 w 78"/>
              <a:gd name="T11" fmla="*/ 0 h 67"/>
              <a:gd name="T12" fmla="*/ 0 w 78"/>
              <a:gd name="T13" fmla="*/ 0 h 67"/>
              <a:gd name="T14" fmla="*/ 0 w 78"/>
              <a:gd name="T15" fmla="*/ 0 h 67"/>
              <a:gd name="T16" fmla="*/ 0 60000 65536"/>
              <a:gd name="T17" fmla="*/ 0 60000 65536"/>
              <a:gd name="T18" fmla="*/ 0 60000 65536"/>
              <a:gd name="T19" fmla="*/ 0 60000 65536"/>
              <a:gd name="T20" fmla="*/ 0 60000 65536"/>
              <a:gd name="T21" fmla="*/ 0 60000 65536"/>
              <a:gd name="T22" fmla="*/ 0 60000 65536"/>
              <a:gd name="T23" fmla="*/ 0 60000 65536"/>
              <a:gd name="T24" fmla="*/ 0 w 78"/>
              <a:gd name="T25" fmla="*/ 0 h 67"/>
              <a:gd name="T26" fmla="*/ 78 w 78"/>
              <a:gd name="T27" fmla="*/ 67 h 67"/>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78" h="67">
                <a:moveTo>
                  <a:pt x="78" y="0"/>
                </a:moveTo>
                <a:lnTo>
                  <a:pt x="58" y="1"/>
                </a:lnTo>
                <a:lnTo>
                  <a:pt x="42" y="6"/>
                </a:lnTo>
                <a:lnTo>
                  <a:pt x="26" y="18"/>
                </a:lnTo>
                <a:lnTo>
                  <a:pt x="15" y="32"/>
                </a:lnTo>
                <a:lnTo>
                  <a:pt x="7" y="45"/>
                </a:lnTo>
                <a:lnTo>
                  <a:pt x="3" y="60"/>
                </a:lnTo>
                <a:lnTo>
                  <a:pt x="0" y="67"/>
                </a:lnTo>
              </a:path>
            </a:pathLst>
          </a:custGeom>
          <a:noFill/>
          <a:ln w="5080">
            <a:solidFill>
              <a:srgbClr val="FFFFFF"/>
            </a:solidFill>
            <a:round/>
            <a:headEnd/>
            <a:tailEnd/>
          </a:ln>
          <a:extLst>
            <a:ext uri="{909E8E84-426E-40DD-AFC4-6F175D3DCCD1}">
              <a14:hiddenFill xmlns:a14="http://schemas.microsoft.com/office/drawing/2010/main">
                <a:solidFill>
                  <a:srgbClr val="FFFFFF"/>
                </a:solidFill>
              </a14:hiddenFill>
            </a:ext>
          </a:extLst>
        </xdr:spPr>
      </xdr:sp>
    </xdr:grpSp>
    <xdr:clientData/>
  </xdr:twoCellAnchor>
  <mc:AlternateContent xmlns:mc="http://schemas.openxmlformats.org/markup-compatibility/2006">
    <mc:Choice xmlns:a14="http://schemas.microsoft.com/office/drawing/2010/main" Requires="a14">
      <xdr:twoCellAnchor>
        <xdr:from>
          <xdr:col>1</xdr:col>
          <xdr:colOff>295275</xdr:colOff>
          <xdr:row>0</xdr:row>
          <xdr:rowOff>0</xdr:rowOff>
        </xdr:from>
        <xdr:to>
          <xdr:col>4</xdr:col>
          <xdr:colOff>0</xdr:colOff>
          <xdr:row>0</xdr:row>
          <xdr:rowOff>0</xdr:rowOff>
        </xdr:to>
        <xdr:sp macro="" textlink="">
          <xdr:nvSpPr>
            <xdr:cNvPr id="1443841" name="Object 146433" hidden="1">
              <a:extLst>
                <a:ext uri="{63B3BB69-23CF-44E3-9099-C40C66FF867C}">
                  <a14:compatExt spid="_x0000_s1443841"/>
                </a:ext>
                <a:ext uri="{FF2B5EF4-FFF2-40B4-BE49-F238E27FC236}">
                  <a16:creationId xmlns:a16="http://schemas.microsoft.com/office/drawing/2014/main" id="{C0912C36-708A-4934-9B2C-14437A824665}"/>
                </a:ext>
              </a:extLst>
            </xdr:cNvPr>
            <xdr:cNvSpPr/>
          </xdr:nvSpPr>
          <xdr:spPr bwMode="auto">
            <a:xfrm>
              <a:off x="0" y="0"/>
              <a:ext cx="0" cy="0"/>
            </a:xfrm>
            <a:prstGeom prst="rect">
              <a:avLst/>
            </a:prstGeom>
            <a:noFill/>
            <a:effectLst/>
            <a:extLst>
              <a:ext uri="{909E8E84-426E-40DD-AFC4-6F175D3DCCD1}">
                <a14:hiddenFill>
                  <a:solidFill>
                    <a:srgbClr val="282828"/>
                  </a:solidFill>
                </a14:hiddenFill>
              </a:ext>
              <a:ext uri="{AF507438-7753-43E0-B8FC-AC1667EBCBE1}">
                <a14:hiddenEffects>
                  <a:effectLst>
                    <a:outerShdw dist="35921" dir="2700000" algn="ctr" rotWithShape="0">
                      <a:srgbClr val="A3A3A3"/>
                    </a:outerShdw>
                  </a:effectLst>
                </a14:hiddenEffects>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editAs="oneCell">
    <xdr:from>
      <xdr:col>3</xdr:col>
      <xdr:colOff>282575</xdr:colOff>
      <xdr:row>0</xdr:row>
      <xdr:rowOff>38100</xdr:rowOff>
    </xdr:from>
    <xdr:to>
      <xdr:col>4</xdr:col>
      <xdr:colOff>2524791</xdr:colOff>
      <xdr:row>0</xdr:row>
      <xdr:rowOff>289002</xdr:rowOff>
    </xdr:to>
    <xdr:sp macro="" textlink="">
      <xdr:nvSpPr>
        <xdr:cNvPr id="2" name="Text Box 67">
          <a:extLst>
            <a:ext uri="{FF2B5EF4-FFF2-40B4-BE49-F238E27FC236}">
              <a16:creationId xmlns:a16="http://schemas.microsoft.com/office/drawing/2014/main" id="{8723665C-8C4F-4B30-A968-C0353CD109EC}"/>
            </a:ext>
          </a:extLst>
        </xdr:cNvPr>
        <xdr:cNvSpPr txBox="1">
          <a:spLocks noChangeArrowheads="1"/>
        </xdr:cNvSpPr>
      </xdr:nvSpPr>
      <xdr:spPr bwMode="auto">
        <a:xfrm>
          <a:off x="3116580" y="38100"/>
          <a:ext cx="2933492" cy="257175"/>
        </a:xfrm>
        <a:prstGeom prst="rect">
          <a:avLst/>
        </a:prstGeom>
        <a:solidFill>
          <a:srgbClr val="E5EBED"/>
        </a:solidFill>
        <a:ln w="9525">
          <a:solidFill>
            <a:srgbClr val="000000"/>
          </a:solidFill>
          <a:miter lim="800000"/>
          <a:headEnd/>
          <a:tailEnd/>
        </a:ln>
      </xdr:spPr>
      <xdr:txBody>
        <a:bodyPr vertOverflow="clip" wrap="square" lIns="36000" tIns="36000" rIns="36000" bIns="36000" anchor="t" upright="1"/>
        <a:lstStyle/>
        <a:p>
          <a:pPr algn="ctr" rtl="1">
            <a:defRPr sz="1000"/>
          </a:pPr>
          <a:r>
            <a:rPr lang="en-US" sz="1000" b="1" i="0" strike="noStrike">
              <a:solidFill>
                <a:srgbClr val="FF0000"/>
              </a:solidFill>
              <a:latin typeface="Verdana"/>
            </a:rPr>
            <a:t>PLEASE DO NOT CUT AND PASTE</a:t>
          </a:r>
        </a:p>
      </xdr:txBody>
    </xdr:sp>
    <xdr:clientData fPrintsWithSheet="0"/>
  </xdr:twoCellAnchor>
  <xdr:twoCellAnchor>
    <xdr:from>
      <xdr:col>1</xdr:col>
      <xdr:colOff>28575</xdr:colOff>
      <xdr:row>0</xdr:row>
      <xdr:rowOff>0</xdr:rowOff>
    </xdr:from>
    <xdr:to>
      <xdr:col>4</xdr:col>
      <xdr:colOff>38100</xdr:colOff>
      <xdr:row>0</xdr:row>
      <xdr:rowOff>0</xdr:rowOff>
    </xdr:to>
    <xdr:grpSp>
      <xdr:nvGrpSpPr>
        <xdr:cNvPr id="62945358" name="Group 1">
          <a:extLst>
            <a:ext uri="{FF2B5EF4-FFF2-40B4-BE49-F238E27FC236}">
              <a16:creationId xmlns:a16="http://schemas.microsoft.com/office/drawing/2014/main" id="{4189A167-F157-4EFD-87B2-4DD5C9DFCF18}"/>
            </a:ext>
          </a:extLst>
        </xdr:cNvPr>
        <xdr:cNvGrpSpPr>
          <a:grpSpLocks/>
        </xdr:cNvGrpSpPr>
      </xdr:nvGrpSpPr>
      <xdr:grpSpPr bwMode="auto">
        <a:xfrm>
          <a:off x="209550" y="0"/>
          <a:ext cx="3352800" cy="0"/>
          <a:chOff x="3178" y="1611"/>
          <a:chExt cx="1036" cy="748"/>
        </a:xfrm>
      </xdr:grpSpPr>
      <xdr:sp macro="" textlink="">
        <xdr:nvSpPr>
          <xdr:cNvPr id="62945359" name="Oval 2">
            <a:extLst>
              <a:ext uri="{FF2B5EF4-FFF2-40B4-BE49-F238E27FC236}">
                <a16:creationId xmlns:a16="http://schemas.microsoft.com/office/drawing/2014/main" id="{EAFEF5DB-4067-4EC1-A57F-3EFD773AE8DB}"/>
              </a:ext>
            </a:extLst>
          </xdr:cNvPr>
          <xdr:cNvSpPr>
            <a:spLocks noChangeAspect="1" noChangeArrowheads="1"/>
          </xdr:cNvSpPr>
        </xdr:nvSpPr>
        <xdr:spPr bwMode="auto">
          <a:xfrm>
            <a:off x="3178" y="1617"/>
            <a:ext cx="1036" cy="741"/>
          </a:xfrm>
          <a:prstGeom prst="ellipse">
            <a:avLst/>
          </a:prstGeom>
          <a:solidFill>
            <a:srgbClr val="FF3300"/>
          </a:solidFill>
          <a:ln w="3175">
            <a:solidFill>
              <a:srgbClr val="000000"/>
            </a:solidFill>
            <a:round/>
            <a:headEnd/>
            <a:tailEnd/>
          </a:ln>
        </xdr:spPr>
      </xdr:sp>
      <xdr:sp macro="" textlink="">
        <xdr:nvSpPr>
          <xdr:cNvPr id="62945360" name="Oval 3">
            <a:extLst>
              <a:ext uri="{FF2B5EF4-FFF2-40B4-BE49-F238E27FC236}">
                <a16:creationId xmlns:a16="http://schemas.microsoft.com/office/drawing/2014/main" id="{910611D6-6EED-4109-8CE1-7ACA2F565B88}"/>
              </a:ext>
            </a:extLst>
          </xdr:cNvPr>
          <xdr:cNvSpPr>
            <a:spLocks noChangeAspect="1" noChangeArrowheads="1"/>
          </xdr:cNvSpPr>
        </xdr:nvSpPr>
        <xdr:spPr bwMode="auto">
          <a:xfrm>
            <a:off x="3187" y="1626"/>
            <a:ext cx="1018" cy="722"/>
          </a:xfrm>
          <a:prstGeom prst="ellipse">
            <a:avLst/>
          </a:prstGeom>
          <a:solidFill>
            <a:srgbClr val="0000DD"/>
          </a:solidFill>
          <a:ln w="3175">
            <a:solidFill>
              <a:srgbClr val="000000"/>
            </a:solidFill>
            <a:round/>
            <a:headEnd/>
            <a:tailEnd/>
          </a:ln>
        </xdr:spPr>
      </xdr:sp>
      <xdr:sp macro="" textlink="">
        <xdr:nvSpPr>
          <xdr:cNvPr id="6" name="Oval 4">
            <a:extLst>
              <a:ext uri="{FF2B5EF4-FFF2-40B4-BE49-F238E27FC236}">
                <a16:creationId xmlns:a16="http://schemas.microsoft.com/office/drawing/2014/main" id="{7E108B72-52DC-4417-B94A-424A6B290F6D}"/>
              </a:ext>
            </a:extLst>
          </xdr:cNvPr>
          <xdr:cNvSpPr>
            <a:spLocks noChangeAspect="1" noChangeArrowheads="1"/>
          </xdr:cNvSpPr>
        </xdr:nvSpPr>
        <xdr:spPr bwMode="auto">
          <a:xfrm>
            <a:off x="2166632599559" y="0"/>
            <a:ext cx="856" cy="0"/>
          </a:xfrm>
          <a:prstGeom prst="ellipse">
            <a:avLst/>
          </a:prstGeom>
          <a:solidFill>
            <a:srgbClr val="FFFFFF"/>
          </a:solidFill>
          <a:ln w="3175">
            <a:solidFill>
              <a:srgbClr val="000000"/>
            </a:solidFill>
            <a:round/>
            <a:headEnd/>
            <a:tailEnd/>
          </a:ln>
          <a:effectLst/>
        </xdr:spPr>
        <xdr:txBody>
          <a:bodyPr vertOverflow="clip" wrap="square" lIns="92075" tIns="46038" rIns="92075" bIns="46038" anchor="t" upright="1"/>
          <a:lstStyle/>
          <a:p>
            <a:pPr algn="l" rtl="0">
              <a:defRPr sz="1000"/>
            </a:pPr>
            <a:r>
              <a:rPr lang="en-US" sz="1100" b="0" i="0" u="none" strike="noStrike" baseline="0">
                <a:solidFill>
                  <a:srgbClr val="000000"/>
                </a:solidFill>
                <a:latin typeface="Calibri"/>
                <a:ea typeface="Calibri"/>
                <a:cs typeface="Calibri"/>
              </a:rPr>
              <a:t> </a:t>
            </a:r>
          </a:p>
          <a:p>
            <a:pPr algn="l" rtl="0">
              <a:defRPr sz="1000"/>
            </a:pPr>
            <a:endParaRPr lang="en-US" sz="1100" b="0" i="0" u="none" strike="noStrike" baseline="0">
              <a:solidFill>
                <a:srgbClr val="000000"/>
              </a:solidFill>
              <a:latin typeface="Calibri"/>
              <a:ea typeface="Calibri"/>
              <a:cs typeface="Calibri"/>
            </a:endParaRPr>
          </a:p>
        </xdr:txBody>
      </xdr:sp>
      <xdr:sp macro="" textlink="">
        <xdr:nvSpPr>
          <xdr:cNvPr id="7" name="Oval 5">
            <a:extLst>
              <a:ext uri="{FF2B5EF4-FFF2-40B4-BE49-F238E27FC236}">
                <a16:creationId xmlns:a16="http://schemas.microsoft.com/office/drawing/2014/main" id="{787047FA-3ACF-41EB-BC8B-D4D7EA05653F}"/>
              </a:ext>
            </a:extLst>
          </xdr:cNvPr>
          <xdr:cNvSpPr>
            <a:spLocks noChangeAspect="1" noChangeArrowheads="1"/>
          </xdr:cNvSpPr>
        </xdr:nvSpPr>
        <xdr:spPr bwMode="auto">
          <a:xfrm>
            <a:off x="4259728732448" y="0"/>
            <a:ext cx="854" cy="0"/>
          </a:xfrm>
          <a:prstGeom prst="ellipse">
            <a:avLst/>
          </a:prstGeom>
          <a:solidFill>
            <a:srgbClr val="72C7FF"/>
          </a:solidFill>
          <a:ln w="3175">
            <a:solidFill>
              <a:srgbClr val="000000"/>
            </a:solidFill>
            <a:round/>
            <a:headEnd/>
            <a:tailEnd/>
          </a:ln>
          <a:effectLst/>
        </xdr:spPr>
        <xdr:txBody>
          <a:bodyPr vertOverflow="clip" wrap="square" lIns="92075" tIns="46038" rIns="92075" bIns="46038" anchor="t" upright="1"/>
          <a:lstStyle/>
          <a:p>
            <a:pPr algn="l" rtl="0">
              <a:defRPr sz="1000"/>
            </a:pPr>
            <a:endParaRPr lang="en-US" sz="1100" b="0" i="0" u="none" strike="noStrike" baseline="0">
              <a:solidFill>
                <a:srgbClr val="000000"/>
              </a:solidFill>
              <a:latin typeface="Calibri"/>
              <a:ea typeface="Calibri"/>
              <a:cs typeface="Calibri"/>
            </a:endParaRPr>
          </a:p>
          <a:p>
            <a:pPr algn="l" rtl="0">
              <a:defRPr sz="1000"/>
            </a:pPr>
            <a:endParaRPr lang="en-US" sz="1100" b="0" i="0" u="none" strike="noStrike" baseline="0">
              <a:solidFill>
                <a:srgbClr val="000000"/>
              </a:solidFill>
              <a:latin typeface="Calibri"/>
              <a:ea typeface="Calibri"/>
              <a:cs typeface="Calibri"/>
            </a:endParaRPr>
          </a:p>
        </xdr:txBody>
      </xdr:sp>
      <xdr:sp macro="" textlink="">
        <xdr:nvSpPr>
          <xdr:cNvPr id="62945363" name="Freeform 8">
            <a:extLst>
              <a:ext uri="{FF2B5EF4-FFF2-40B4-BE49-F238E27FC236}">
                <a16:creationId xmlns:a16="http://schemas.microsoft.com/office/drawing/2014/main" id="{B37A62CA-7A09-4A9E-9C8B-8C77AECB5817}"/>
              </a:ext>
            </a:extLst>
          </xdr:cNvPr>
          <xdr:cNvSpPr>
            <a:spLocks noChangeAspect="1"/>
          </xdr:cNvSpPr>
        </xdr:nvSpPr>
        <xdr:spPr bwMode="auto">
          <a:xfrm>
            <a:off x="3574" y="1712"/>
            <a:ext cx="275" cy="558"/>
          </a:xfrm>
          <a:custGeom>
            <a:avLst/>
            <a:gdLst>
              <a:gd name="T0" fmla="*/ 0 w 1325"/>
              <a:gd name="T1" fmla="*/ 0 h 2688"/>
              <a:gd name="T2" fmla="*/ 0 w 1325"/>
              <a:gd name="T3" fmla="*/ 0 h 2688"/>
              <a:gd name="T4" fmla="*/ 0 w 1325"/>
              <a:gd name="T5" fmla="*/ 0 h 2688"/>
              <a:gd name="T6" fmla="*/ 0 w 1325"/>
              <a:gd name="T7" fmla="*/ 0 h 2688"/>
              <a:gd name="T8" fmla="*/ 0 w 1325"/>
              <a:gd name="T9" fmla="*/ 0 h 2688"/>
              <a:gd name="T10" fmla="*/ 0 w 1325"/>
              <a:gd name="T11" fmla="*/ 0 h 2688"/>
              <a:gd name="T12" fmla="*/ 0 w 1325"/>
              <a:gd name="T13" fmla="*/ 0 h 2688"/>
              <a:gd name="T14" fmla="*/ 0 w 1325"/>
              <a:gd name="T15" fmla="*/ 0 h 2688"/>
              <a:gd name="T16" fmla="*/ 0 w 1325"/>
              <a:gd name="T17" fmla="*/ 0 h 2688"/>
              <a:gd name="T18" fmla="*/ 0 w 1325"/>
              <a:gd name="T19" fmla="*/ 0 h 2688"/>
              <a:gd name="T20" fmla="*/ 0 w 1325"/>
              <a:gd name="T21" fmla="*/ 0 h 2688"/>
              <a:gd name="T22" fmla="*/ 0 w 1325"/>
              <a:gd name="T23" fmla="*/ 0 h 2688"/>
              <a:gd name="T24" fmla="*/ 0 w 1325"/>
              <a:gd name="T25" fmla="*/ 0 h 2688"/>
              <a:gd name="T26" fmla="*/ 0 w 1325"/>
              <a:gd name="T27" fmla="*/ 0 h 2688"/>
              <a:gd name="T28" fmla="*/ 0 w 1325"/>
              <a:gd name="T29" fmla="*/ 0 h 2688"/>
              <a:gd name="T30" fmla="*/ 0 w 1325"/>
              <a:gd name="T31" fmla="*/ 0 h 2688"/>
              <a:gd name="T32" fmla="*/ 0 w 1325"/>
              <a:gd name="T33" fmla="*/ 0 h 2688"/>
              <a:gd name="T34" fmla="*/ 0 w 1325"/>
              <a:gd name="T35" fmla="*/ 0 h 2688"/>
              <a:gd name="T36" fmla="*/ 0 w 1325"/>
              <a:gd name="T37" fmla="*/ 0 h 2688"/>
              <a:gd name="T38" fmla="*/ 0 w 1325"/>
              <a:gd name="T39" fmla="*/ 0 h 2688"/>
              <a:gd name="T40" fmla="*/ 0 w 1325"/>
              <a:gd name="T41" fmla="*/ 0 h 2688"/>
              <a:gd name="T42" fmla="*/ 0 w 1325"/>
              <a:gd name="T43" fmla="*/ 0 h 2688"/>
              <a:gd name="T44" fmla="*/ 0 w 1325"/>
              <a:gd name="T45" fmla="*/ 0 h 2688"/>
              <a:gd name="T46" fmla="*/ 0 w 1325"/>
              <a:gd name="T47" fmla="*/ 0 h 2688"/>
              <a:gd name="T48" fmla="*/ 0 w 1325"/>
              <a:gd name="T49" fmla="*/ 0 h 2688"/>
              <a:gd name="T50" fmla="*/ 0 w 1325"/>
              <a:gd name="T51" fmla="*/ 0 h 2688"/>
              <a:gd name="T52" fmla="*/ 0 w 1325"/>
              <a:gd name="T53" fmla="*/ 0 h 2688"/>
              <a:gd name="T54" fmla="*/ 0 w 1325"/>
              <a:gd name="T55" fmla="*/ 0 h 2688"/>
              <a:gd name="T56" fmla="*/ 0 w 1325"/>
              <a:gd name="T57" fmla="*/ 0 h 2688"/>
              <a:gd name="T58" fmla="*/ 0 w 1325"/>
              <a:gd name="T59" fmla="*/ 0 h 2688"/>
              <a:gd name="T60" fmla="*/ 0 w 1325"/>
              <a:gd name="T61" fmla="*/ 0 h 2688"/>
              <a:gd name="T62" fmla="*/ 0 w 1325"/>
              <a:gd name="T63" fmla="*/ 0 h 2688"/>
              <a:gd name="T64" fmla="*/ 0 w 1325"/>
              <a:gd name="T65" fmla="*/ 0 h 2688"/>
              <a:gd name="T66" fmla="*/ 0 w 1325"/>
              <a:gd name="T67" fmla="*/ 0 h 2688"/>
              <a:gd name="T68" fmla="*/ 0 w 1325"/>
              <a:gd name="T69" fmla="*/ 0 h 2688"/>
              <a:gd name="T70" fmla="*/ 0 w 1325"/>
              <a:gd name="T71" fmla="*/ 0 h 2688"/>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w 1325"/>
              <a:gd name="T109" fmla="*/ 0 h 2688"/>
              <a:gd name="T110" fmla="*/ 1325 w 1325"/>
              <a:gd name="T111" fmla="*/ 2688 h 2688"/>
            </a:gdLst>
            <a:ahLst/>
            <a:cxnLst>
              <a:cxn ang="T72">
                <a:pos x="T0" y="T1"/>
              </a:cxn>
              <a:cxn ang="T73">
                <a:pos x="T2" y="T3"/>
              </a:cxn>
              <a:cxn ang="T74">
                <a:pos x="T4" y="T5"/>
              </a:cxn>
              <a:cxn ang="T75">
                <a:pos x="T6" y="T7"/>
              </a:cxn>
              <a:cxn ang="T76">
                <a:pos x="T8" y="T9"/>
              </a:cxn>
              <a:cxn ang="T77">
                <a:pos x="T10" y="T11"/>
              </a:cxn>
              <a:cxn ang="T78">
                <a:pos x="T12" y="T13"/>
              </a:cxn>
              <a:cxn ang="T79">
                <a:pos x="T14" y="T15"/>
              </a:cxn>
              <a:cxn ang="T80">
                <a:pos x="T16" y="T17"/>
              </a:cxn>
              <a:cxn ang="T81">
                <a:pos x="T18" y="T19"/>
              </a:cxn>
              <a:cxn ang="T82">
                <a:pos x="T20" y="T21"/>
              </a:cxn>
              <a:cxn ang="T83">
                <a:pos x="T22" y="T23"/>
              </a:cxn>
              <a:cxn ang="T84">
                <a:pos x="T24" y="T25"/>
              </a:cxn>
              <a:cxn ang="T85">
                <a:pos x="T26" y="T27"/>
              </a:cxn>
              <a:cxn ang="T86">
                <a:pos x="T28" y="T29"/>
              </a:cxn>
              <a:cxn ang="T87">
                <a:pos x="T30" y="T31"/>
              </a:cxn>
              <a:cxn ang="T88">
                <a:pos x="T32" y="T33"/>
              </a:cxn>
              <a:cxn ang="T89">
                <a:pos x="T34" y="T35"/>
              </a:cxn>
              <a:cxn ang="T90">
                <a:pos x="T36" y="T37"/>
              </a:cxn>
              <a:cxn ang="T91">
                <a:pos x="T38" y="T39"/>
              </a:cxn>
              <a:cxn ang="T92">
                <a:pos x="T40" y="T41"/>
              </a:cxn>
              <a:cxn ang="T93">
                <a:pos x="T42" y="T43"/>
              </a:cxn>
              <a:cxn ang="T94">
                <a:pos x="T44" y="T45"/>
              </a:cxn>
              <a:cxn ang="T95">
                <a:pos x="T46" y="T47"/>
              </a:cxn>
              <a:cxn ang="T96">
                <a:pos x="T48" y="T49"/>
              </a:cxn>
              <a:cxn ang="T97">
                <a:pos x="T50" y="T51"/>
              </a:cxn>
              <a:cxn ang="T98">
                <a:pos x="T52" y="T53"/>
              </a:cxn>
              <a:cxn ang="T99">
                <a:pos x="T54" y="T55"/>
              </a:cxn>
              <a:cxn ang="T100">
                <a:pos x="T56" y="T57"/>
              </a:cxn>
              <a:cxn ang="T101">
                <a:pos x="T58" y="T59"/>
              </a:cxn>
              <a:cxn ang="T102">
                <a:pos x="T60" y="T61"/>
              </a:cxn>
              <a:cxn ang="T103">
                <a:pos x="T62" y="T63"/>
              </a:cxn>
              <a:cxn ang="T104">
                <a:pos x="T64" y="T65"/>
              </a:cxn>
              <a:cxn ang="T105">
                <a:pos x="T66" y="T67"/>
              </a:cxn>
              <a:cxn ang="T106">
                <a:pos x="T68" y="T69"/>
              </a:cxn>
              <a:cxn ang="T107">
                <a:pos x="T70" y="T71"/>
              </a:cxn>
            </a:cxnLst>
            <a:rect l="T108" t="T109" r="T110" b="T111"/>
            <a:pathLst>
              <a:path w="1325" h="2688">
                <a:moveTo>
                  <a:pt x="518" y="8"/>
                </a:moveTo>
                <a:cubicBezTo>
                  <a:pt x="487" y="0"/>
                  <a:pt x="543" y="84"/>
                  <a:pt x="546" y="132"/>
                </a:cubicBezTo>
                <a:cubicBezTo>
                  <a:pt x="549" y="180"/>
                  <a:pt x="544" y="248"/>
                  <a:pt x="536" y="299"/>
                </a:cubicBezTo>
                <a:cubicBezTo>
                  <a:pt x="528" y="350"/>
                  <a:pt x="523" y="376"/>
                  <a:pt x="499" y="437"/>
                </a:cubicBezTo>
                <a:cubicBezTo>
                  <a:pt x="475" y="498"/>
                  <a:pt x="421" y="613"/>
                  <a:pt x="393" y="663"/>
                </a:cubicBezTo>
                <a:cubicBezTo>
                  <a:pt x="365" y="713"/>
                  <a:pt x="348" y="742"/>
                  <a:pt x="333" y="737"/>
                </a:cubicBezTo>
                <a:cubicBezTo>
                  <a:pt x="318" y="732"/>
                  <a:pt x="315" y="673"/>
                  <a:pt x="301" y="631"/>
                </a:cubicBezTo>
                <a:cubicBezTo>
                  <a:pt x="287" y="589"/>
                  <a:pt x="260" y="518"/>
                  <a:pt x="246" y="483"/>
                </a:cubicBezTo>
                <a:cubicBezTo>
                  <a:pt x="232" y="448"/>
                  <a:pt x="230" y="414"/>
                  <a:pt x="218" y="423"/>
                </a:cubicBezTo>
                <a:cubicBezTo>
                  <a:pt x="206" y="432"/>
                  <a:pt x="197" y="479"/>
                  <a:pt x="176" y="534"/>
                </a:cubicBezTo>
                <a:cubicBezTo>
                  <a:pt x="155" y="589"/>
                  <a:pt x="118" y="681"/>
                  <a:pt x="93" y="755"/>
                </a:cubicBezTo>
                <a:cubicBezTo>
                  <a:pt x="68" y="829"/>
                  <a:pt x="38" y="894"/>
                  <a:pt x="24" y="977"/>
                </a:cubicBezTo>
                <a:cubicBezTo>
                  <a:pt x="10" y="1060"/>
                  <a:pt x="0" y="1162"/>
                  <a:pt x="6" y="1254"/>
                </a:cubicBezTo>
                <a:cubicBezTo>
                  <a:pt x="12" y="1346"/>
                  <a:pt x="29" y="1444"/>
                  <a:pt x="61" y="1531"/>
                </a:cubicBezTo>
                <a:cubicBezTo>
                  <a:pt x="93" y="1618"/>
                  <a:pt x="142" y="1692"/>
                  <a:pt x="195" y="1775"/>
                </a:cubicBezTo>
                <a:cubicBezTo>
                  <a:pt x="248" y="1858"/>
                  <a:pt x="323" y="1937"/>
                  <a:pt x="379" y="2029"/>
                </a:cubicBezTo>
                <a:cubicBezTo>
                  <a:pt x="435" y="2121"/>
                  <a:pt x="491" y="2220"/>
                  <a:pt x="532" y="2325"/>
                </a:cubicBezTo>
                <a:cubicBezTo>
                  <a:pt x="573" y="2430"/>
                  <a:pt x="596" y="2626"/>
                  <a:pt x="624" y="2657"/>
                </a:cubicBezTo>
                <a:cubicBezTo>
                  <a:pt x="652" y="2688"/>
                  <a:pt x="665" y="2585"/>
                  <a:pt x="698" y="2509"/>
                </a:cubicBezTo>
                <a:cubicBezTo>
                  <a:pt x="731" y="2433"/>
                  <a:pt x="777" y="2301"/>
                  <a:pt x="823" y="2200"/>
                </a:cubicBezTo>
                <a:cubicBezTo>
                  <a:pt x="869" y="2099"/>
                  <a:pt x="919" y="2001"/>
                  <a:pt x="975" y="1900"/>
                </a:cubicBezTo>
                <a:cubicBezTo>
                  <a:pt x="1031" y="1799"/>
                  <a:pt x="1108" y="1682"/>
                  <a:pt x="1159" y="1595"/>
                </a:cubicBezTo>
                <a:cubicBezTo>
                  <a:pt x="1210" y="1508"/>
                  <a:pt x="1252" y="1462"/>
                  <a:pt x="1279" y="1379"/>
                </a:cubicBezTo>
                <a:cubicBezTo>
                  <a:pt x="1306" y="1296"/>
                  <a:pt x="1317" y="1182"/>
                  <a:pt x="1321" y="1097"/>
                </a:cubicBezTo>
                <a:cubicBezTo>
                  <a:pt x="1325" y="1012"/>
                  <a:pt x="1316" y="942"/>
                  <a:pt x="1303" y="871"/>
                </a:cubicBezTo>
                <a:cubicBezTo>
                  <a:pt x="1290" y="800"/>
                  <a:pt x="1258" y="667"/>
                  <a:pt x="1243" y="672"/>
                </a:cubicBezTo>
                <a:cubicBezTo>
                  <a:pt x="1228" y="677"/>
                  <a:pt x="1228" y="907"/>
                  <a:pt x="1210" y="899"/>
                </a:cubicBezTo>
                <a:cubicBezTo>
                  <a:pt x="1192" y="891"/>
                  <a:pt x="1163" y="711"/>
                  <a:pt x="1132" y="622"/>
                </a:cubicBezTo>
                <a:cubicBezTo>
                  <a:pt x="1101" y="533"/>
                  <a:pt x="1051" y="421"/>
                  <a:pt x="1026" y="368"/>
                </a:cubicBezTo>
                <a:cubicBezTo>
                  <a:pt x="1001" y="315"/>
                  <a:pt x="983" y="299"/>
                  <a:pt x="979" y="303"/>
                </a:cubicBezTo>
                <a:cubicBezTo>
                  <a:pt x="975" y="307"/>
                  <a:pt x="998" y="343"/>
                  <a:pt x="1003" y="391"/>
                </a:cubicBezTo>
                <a:cubicBezTo>
                  <a:pt x="1008" y="439"/>
                  <a:pt x="1010" y="536"/>
                  <a:pt x="1007" y="594"/>
                </a:cubicBezTo>
                <a:cubicBezTo>
                  <a:pt x="1004" y="652"/>
                  <a:pt x="1000" y="761"/>
                  <a:pt x="984" y="742"/>
                </a:cubicBezTo>
                <a:cubicBezTo>
                  <a:pt x="968" y="723"/>
                  <a:pt x="952" y="577"/>
                  <a:pt x="910" y="483"/>
                </a:cubicBezTo>
                <a:cubicBezTo>
                  <a:pt x="868" y="389"/>
                  <a:pt x="793" y="257"/>
                  <a:pt x="730" y="179"/>
                </a:cubicBezTo>
                <a:cubicBezTo>
                  <a:pt x="667" y="101"/>
                  <a:pt x="549" y="16"/>
                  <a:pt x="518" y="8"/>
                </a:cubicBezTo>
                <a:close/>
              </a:path>
            </a:pathLst>
          </a:custGeom>
          <a:solidFill>
            <a:srgbClr val="EC0000"/>
          </a:solidFill>
          <a:ln w="3175">
            <a:solidFill>
              <a:srgbClr val="FFFFFF"/>
            </a:solidFill>
            <a:round/>
            <a:headEnd type="none" w="sm" len="sm"/>
            <a:tailEnd type="none" w="sm" len="sm"/>
          </a:ln>
        </xdr:spPr>
      </xdr:sp>
      <xdr:sp macro="" textlink="">
        <xdr:nvSpPr>
          <xdr:cNvPr id="62945364" name="Freeform 9">
            <a:extLst>
              <a:ext uri="{FF2B5EF4-FFF2-40B4-BE49-F238E27FC236}">
                <a16:creationId xmlns:a16="http://schemas.microsoft.com/office/drawing/2014/main" id="{5C2071CD-F159-44D6-BC47-649E4D693C10}"/>
              </a:ext>
            </a:extLst>
          </xdr:cNvPr>
          <xdr:cNvSpPr>
            <a:spLocks noChangeAspect="1"/>
          </xdr:cNvSpPr>
        </xdr:nvSpPr>
        <xdr:spPr bwMode="auto">
          <a:xfrm>
            <a:off x="3629" y="2073"/>
            <a:ext cx="81" cy="71"/>
          </a:xfrm>
          <a:custGeom>
            <a:avLst/>
            <a:gdLst>
              <a:gd name="T0" fmla="*/ 0 w 235"/>
              <a:gd name="T1" fmla="*/ 0 h 215"/>
              <a:gd name="T2" fmla="*/ 0 w 235"/>
              <a:gd name="T3" fmla="*/ 0 h 215"/>
              <a:gd name="T4" fmla="*/ 0 w 235"/>
              <a:gd name="T5" fmla="*/ 0 h 215"/>
              <a:gd name="T6" fmla="*/ 0 w 235"/>
              <a:gd name="T7" fmla="*/ 0 h 215"/>
              <a:gd name="T8" fmla="*/ 0 w 235"/>
              <a:gd name="T9" fmla="*/ 0 h 215"/>
              <a:gd name="T10" fmla="*/ 0 w 235"/>
              <a:gd name="T11" fmla="*/ 0 h 215"/>
              <a:gd name="T12" fmla="*/ 0 w 235"/>
              <a:gd name="T13" fmla="*/ 0 h 215"/>
              <a:gd name="T14" fmla="*/ 0 w 235"/>
              <a:gd name="T15" fmla="*/ 0 h 215"/>
              <a:gd name="T16" fmla="*/ 0 w 235"/>
              <a:gd name="T17" fmla="*/ 0 h 215"/>
              <a:gd name="T18" fmla="*/ 0 w 235"/>
              <a:gd name="T19" fmla="*/ 0 h 215"/>
              <a:gd name="T20" fmla="*/ 0 w 235"/>
              <a:gd name="T21" fmla="*/ 0 h 215"/>
              <a:gd name="T22" fmla="*/ 0 w 235"/>
              <a:gd name="T23" fmla="*/ 0 h 215"/>
              <a:gd name="T24" fmla="*/ 0 w 235"/>
              <a:gd name="T25" fmla="*/ 0 h 215"/>
              <a:gd name="T26" fmla="*/ 0 w 235"/>
              <a:gd name="T27" fmla="*/ 0 h 215"/>
              <a:gd name="T28" fmla="*/ 0 w 235"/>
              <a:gd name="T29" fmla="*/ 0 h 215"/>
              <a:gd name="T30" fmla="*/ 0 w 235"/>
              <a:gd name="T31" fmla="*/ 0 h 215"/>
              <a:gd name="T32" fmla="*/ 0 w 235"/>
              <a:gd name="T33" fmla="*/ 0 h 215"/>
              <a:gd name="T34" fmla="*/ 0 w 235"/>
              <a:gd name="T35" fmla="*/ 0 h 215"/>
              <a:gd name="T36" fmla="*/ 0 w 235"/>
              <a:gd name="T37" fmla="*/ 0 h 215"/>
              <a:gd name="T38" fmla="*/ 0 w 235"/>
              <a:gd name="T39" fmla="*/ 0 h 215"/>
              <a:gd name="T40" fmla="*/ 0 w 235"/>
              <a:gd name="T41" fmla="*/ 0 h 215"/>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w 235"/>
              <a:gd name="T64" fmla="*/ 0 h 215"/>
              <a:gd name="T65" fmla="*/ 235 w 235"/>
              <a:gd name="T66" fmla="*/ 215 h 215"/>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T63" t="T64" r="T65" b="T66"/>
            <a:pathLst>
              <a:path w="235" h="215">
                <a:moveTo>
                  <a:pt x="126" y="214"/>
                </a:moveTo>
                <a:lnTo>
                  <a:pt x="37" y="214"/>
                </a:lnTo>
                <a:lnTo>
                  <a:pt x="23" y="209"/>
                </a:lnTo>
                <a:lnTo>
                  <a:pt x="14" y="200"/>
                </a:lnTo>
                <a:lnTo>
                  <a:pt x="7" y="195"/>
                </a:lnTo>
                <a:lnTo>
                  <a:pt x="3" y="185"/>
                </a:lnTo>
                <a:lnTo>
                  <a:pt x="0" y="178"/>
                </a:lnTo>
                <a:lnTo>
                  <a:pt x="0" y="166"/>
                </a:lnTo>
                <a:lnTo>
                  <a:pt x="0" y="154"/>
                </a:lnTo>
                <a:lnTo>
                  <a:pt x="1" y="145"/>
                </a:lnTo>
                <a:lnTo>
                  <a:pt x="125" y="2"/>
                </a:lnTo>
                <a:lnTo>
                  <a:pt x="139" y="0"/>
                </a:lnTo>
                <a:lnTo>
                  <a:pt x="203" y="0"/>
                </a:lnTo>
                <a:lnTo>
                  <a:pt x="221" y="6"/>
                </a:lnTo>
                <a:lnTo>
                  <a:pt x="230" y="17"/>
                </a:lnTo>
                <a:lnTo>
                  <a:pt x="234" y="27"/>
                </a:lnTo>
                <a:lnTo>
                  <a:pt x="234" y="214"/>
                </a:lnTo>
                <a:lnTo>
                  <a:pt x="184" y="214"/>
                </a:lnTo>
                <a:lnTo>
                  <a:pt x="184" y="152"/>
                </a:lnTo>
                <a:lnTo>
                  <a:pt x="182" y="151"/>
                </a:lnTo>
                <a:lnTo>
                  <a:pt x="126" y="214"/>
                </a:lnTo>
              </a:path>
            </a:pathLst>
          </a:custGeom>
          <a:solidFill>
            <a:srgbClr val="FFD521"/>
          </a:solidFill>
          <a:ln>
            <a:noFill/>
          </a:ln>
          <a:extLst>
            <a:ext uri="{91240B29-F687-4F45-9708-019B960494DF}">
              <a14:hiddenLine xmlns:a14="http://schemas.microsoft.com/office/drawing/2010/main" w="9525" cap="rnd">
                <a:solidFill>
                  <a:srgbClr val="000000"/>
                </a:solidFill>
                <a:round/>
                <a:headEnd/>
                <a:tailEnd/>
              </a14:hiddenLine>
            </a:ext>
          </a:extLst>
        </xdr:spPr>
      </xdr:sp>
      <xdr:sp macro="" textlink="">
        <xdr:nvSpPr>
          <xdr:cNvPr id="62945365" name="Freeform 10">
            <a:extLst>
              <a:ext uri="{FF2B5EF4-FFF2-40B4-BE49-F238E27FC236}">
                <a16:creationId xmlns:a16="http://schemas.microsoft.com/office/drawing/2014/main" id="{9453CFED-B04A-4454-80DD-64D8C7CDB438}"/>
              </a:ext>
            </a:extLst>
          </xdr:cNvPr>
          <xdr:cNvSpPr>
            <a:spLocks noChangeAspect="1"/>
          </xdr:cNvSpPr>
        </xdr:nvSpPr>
        <xdr:spPr bwMode="auto">
          <a:xfrm>
            <a:off x="3485" y="2033"/>
            <a:ext cx="164" cy="133"/>
          </a:xfrm>
          <a:custGeom>
            <a:avLst/>
            <a:gdLst>
              <a:gd name="T0" fmla="*/ 0 w 473"/>
              <a:gd name="T1" fmla="*/ 0 h 407"/>
              <a:gd name="T2" fmla="*/ 0 w 473"/>
              <a:gd name="T3" fmla="*/ 0 h 407"/>
              <a:gd name="T4" fmla="*/ 0 w 473"/>
              <a:gd name="T5" fmla="*/ 0 h 407"/>
              <a:gd name="T6" fmla="*/ 0 w 473"/>
              <a:gd name="T7" fmla="*/ 0 h 407"/>
              <a:gd name="T8" fmla="*/ 0 w 473"/>
              <a:gd name="T9" fmla="*/ 0 h 407"/>
              <a:gd name="T10" fmla="*/ 0 w 473"/>
              <a:gd name="T11" fmla="*/ 0 h 407"/>
              <a:gd name="T12" fmla="*/ 0 w 473"/>
              <a:gd name="T13" fmla="*/ 0 h 407"/>
              <a:gd name="T14" fmla="*/ 0 w 473"/>
              <a:gd name="T15" fmla="*/ 0 h 407"/>
              <a:gd name="T16" fmla="*/ 0 w 473"/>
              <a:gd name="T17" fmla="*/ 0 h 407"/>
              <a:gd name="T18" fmla="*/ 0 w 473"/>
              <a:gd name="T19" fmla="*/ 0 h 407"/>
              <a:gd name="T20" fmla="*/ 0 w 473"/>
              <a:gd name="T21" fmla="*/ 0 h 407"/>
              <a:gd name="T22" fmla="*/ 0 w 473"/>
              <a:gd name="T23" fmla="*/ 0 h 407"/>
              <a:gd name="T24" fmla="*/ 0 w 473"/>
              <a:gd name="T25" fmla="*/ 0 h 407"/>
              <a:gd name="T26" fmla="*/ 0 w 473"/>
              <a:gd name="T27" fmla="*/ 0 h 407"/>
              <a:gd name="T28" fmla="*/ 0 w 473"/>
              <a:gd name="T29" fmla="*/ 0 h 407"/>
              <a:gd name="T30" fmla="*/ 0 w 473"/>
              <a:gd name="T31" fmla="*/ 0 h 407"/>
              <a:gd name="T32" fmla="*/ 0 w 473"/>
              <a:gd name="T33" fmla="*/ 0 h 407"/>
              <a:gd name="T34" fmla="*/ 0 w 473"/>
              <a:gd name="T35" fmla="*/ 0 h 407"/>
              <a:gd name="T36" fmla="*/ 0 w 473"/>
              <a:gd name="T37" fmla="*/ 0 h 407"/>
              <a:gd name="T38" fmla="*/ 0 w 473"/>
              <a:gd name="T39" fmla="*/ 0 h 407"/>
              <a:gd name="T40" fmla="*/ 0 w 473"/>
              <a:gd name="T41" fmla="*/ 0 h 407"/>
              <a:gd name="T42" fmla="*/ 0 w 473"/>
              <a:gd name="T43" fmla="*/ 0 h 407"/>
              <a:gd name="T44" fmla="*/ 0 w 473"/>
              <a:gd name="T45" fmla="*/ 0 h 407"/>
              <a:gd name="T46" fmla="*/ 0 w 473"/>
              <a:gd name="T47" fmla="*/ 0 h 407"/>
              <a:gd name="T48" fmla="*/ 0 w 473"/>
              <a:gd name="T49" fmla="*/ 0 h 407"/>
              <a:gd name="T50" fmla="*/ 0 w 473"/>
              <a:gd name="T51" fmla="*/ 0 h 407"/>
              <a:gd name="T52" fmla="*/ 0 w 473"/>
              <a:gd name="T53" fmla="*/ 0 h 407"/>
              <a:gd name="T54" fmla="*/ 0 w 473"/>
              <a:gd name="T55" fmla="*/ 0 h 407"/>
              <a:gd name="T56" fmla="*/ 0 w 473"/>
              <a:gd name="T57" fmla="*/ 0 h 407"/>
              <a:gd name="T58" fmla="*/ 0 w 473"/>
              <a:gd name="T59" fmla="*/ 0 h 407"/>
              <a:gd name="T60" fmla="*/ 0 w 473"/>
              <a:gd name="T61" fmla="*/ 0 h 407"/>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w 473"/>
              <a:gd name="T94" fmla="*/ 0 h 407"/>
              <a:gd name="T95" fmla="*/ 473 w 473"/>
              <a:gd name="T96" fmla="*/ 407 h 407"/>
            </a:gdLst>
            <a:ahLst/>
            <a:cxnLst>
              <a:cxn ang="T62">
                <a:pos x="T0" y="T1"/>
              </a:cxn>
              <a:cxn ang="T63">
                <a:pos x="T2" y="T3"/>
              </a:cxn>
              <a:cxn ang="T64">
                <a:pos x="T4" y="T5"/>
              </a:cxn>
              <a:cxn ang="T65">
                <a:pos x="T6" y="T7"/>
              </a:cxn>
              <a:cxn ang="T66">
                <a:pos x="T8" y="T9"/>
              </a:cxn>
              <a:cxn ang="T67">
                <a:pos x="T10" y="T11"/>
              </a:cxn>
              <a:cxn ang="T68">
                <a:pos x="T12" y="T13"/>
              </a:cxn>
              <a:cxn ang="T69">
                <a:pos x="T14" y="T15"/>
              </a:cxn>
              <a:cxn ang="T70">
                <a:pos x="T16" y="T17"/>
              </a:cxn>
              <a:cxn ang="T71">
                <a:pos x="T18" y="T19"/>
              </a:cxn>
              <a:cxn ang="T72">
                <a:pos x="T20" y="T21"/>
              </a:cxn>
              <a:cxn ang="T73">
                <a:pos x="T22" y="T23"/>
              </a:cxn>
              <a:cxn ang="T74">
                <a:pos x="T24" y="T25"/>
              </a:cxn>
              <a:cxn ang="T75">
                <a:pos x="T26" y="T27"/>
              </a:cxn>
              <a:cxn ang="T76">
                <a:pos x="T28" y="T29"/>
              </a:cxn>
              <a:cxn ang="T77">
                <a:pos x="T30" y="T31"/>
              </a:cxn>
              <a:cxn ang="T78">
                <a:pos x="T32" y="T33"/>
              </a:cxn>
              <a:cxn ang="T79">
                <a:pos x="T34" y="T35"/>
              </a:cxn>
              <a:cxn ang="T80">
                <a:pos x="T36" y="T37"/>
              </a:cxn>
              <a:cxn ang="T81">
                <a:pos x="T38" y="T39"/>
              </a:cxn>
              <a:cxn ang="T82">
                <a:pos x="T40" y="T41"/>
              </a:cxn>
              <a:cxn ang="T83">
                <a:pos x="T42" y="T43"/>
              </a:cxn>
              <a:cxn ang="T84">
                <a:pos x="T44" y="T45"/>
              </a:cxn>
              <a:cxn ang="T85">
                <a:pos x="T46" y="T47"/>
              </a:cxn>
              <a:cxn ang="T86">
                <a:pos x="T48" y="T49"/>
              </a:cxn>
              <a:cxn ang="T87">
                <a:pos x="T50" y="T51"/>
              </a:cxn>
              <a:cxn ang="T88">
                <a:pos x="T52" y="T53"/>
              </a:cxn>
              <a:cxn ang="T89">
                <a:pos x="T54" y="T55"/>
              </a:cxn>
              <a:cxn ang="T90">
                <a:pos x="T56" y="T57"/>
              </a:cxn>
              <a:cxn ang="T91">
                <a:pos x="T58" y="T59"/>
              </a:cxn>
              <a:cxn ang="T92">
                <a:pos x="T60" y="T61"/>
              </a:cxn>
            </a:cxnLst>
            <a:rect l="T93" t="T94" r="T95" b="T96"/>
            <a:pathLst>
              <a:path w="473" h="407">
                <a:moveTo>
                  <a:pt x="158" y="53"/>
                </a:moveTo>
                <a:lnTo>
                  <a:pt x="183" y="26"/>
                </a:lnTo>
                <a:lnTo>
                  <a:pt x="199" y="9"/>
                </a:lnTo>
                <a:lnTo>
                  <a:pt x="224" y="0"/>
                </a:lnTo>
                <a:lnTo>
                  <a:pt x="246" y="0"/>
                </a:lnTo>
                <a:lnTo>
                  <a:pt x="262" y="9"/>
                </a:lnTo>
                <a:lnTo>
                  <a:pt x="276" y="20"/>
                </a:lnTo>
                <a:lnTo>
                  <a:pt x="284" y="34"/>
                </a:lnTo>
                <a:lnTo>
                  <a:pt x="284" y="191"/>
                </a:lnTo>
                <a:lnTo>
                  <a:pt x="343" y="123"/>
                </a:lnTo>
                <a:lnTo>
                  <a:pt x="449" y="123"/>
                </a:lnTo>
                <a:lnTo>
                  <a:pt x="462" y="135"/>
                </a:lnTo>
                <a:lnTo>
                  <a:pt x="468" y="147"/>
                </a:lnTo>
                <a:lnTo>
                  <a:pt x="472" y="157"/>
                </a:lnTo>
                <a:lnTo>
                  <a:pt x="469" y="177"/>
                </a:lnTo>
                <a:lnTo>
                  <a:pt x="336" y="336"/>
                </a:lnTo>
                <a:lnTo>
                  <a:pt x="287" y="336"/>
                </a:lnTo>
                <a:lnTo>
                  <a:pt x="287" y="406"/>
                </a:lnTo>
                <a:lnTo>
                  <a:pt x="227" y="406"/>
                </a:lnTo>
                <a:lnTo>
                  <a:pt x="227" y="275"/>
                </a:lnTo>
                <a:lnTo>
                  <a:pt x="173" y="337"/>
                </a:lnTo>
                <a:lnTo>
                  <a:pt x="39" y="337"/>
                </a:lnTo>
                <a:lnTo>
                  <a:pt x="29" y="333"/>
                </a:lnTo>
                <a:lnTo>
                  <a:pt x="17" y="319"/>
                </a:lnTo>
                <a:lnTo>
                  <a:pt x="11" y="312"/>
                </a:lnTo>
                <a:lnTo>
                  <a:pt x="3" y="302"/>
                </a:lnTo>
                <a:lnTo>
                  <a:pt x="0" y="291"/>
                </a:lnTo>
                <a:lnTo>
                  <a:pt x="0" y="278"/>
                </a:lnTo>
                <a:lnTo>
                  <a:pt x="2" y="268"/>
                </a:lnTo>
                <a:lnTo>
                  <a:pt x="6" y="262"/>
                </a:lnTo>
                <a:lnTo>
                  <a:pt x="158" y="53"/>
                </a:lnTo>
              </a:path>
            </a:pathLst>
          </a:custGeom>
          <a:solidFill>
            <a:srgbClr val="FFD521"/>
          </a:solidFill>
          <a:ln>
            <a:noFill/>
          </a:ln>
          <a:extLst>
            <a:ext uri="{91240B29-F687-4F45-9708-019B960494DF}">
              <a14:hiddenLine xmlns:a14="http://schemas.microsoft.com/office/drawing/2010/main" w="9525" cap="rnd">
                <a:solidFill>
                  <a:srgbClr val="000000"/>
                </a:solidFill>
                <a:round/>
                <a:headEnd/>
                <a:tailEnd/>
              </a14:hiddenLine>
            </a:ext>
          </a:extLst>
        </xdr:spPr>
      </xdr:sp>
      <xdr:sp macro="" textlink="">
        <xdr:nvSpPr>
          <xdr:cNvPr id="62945366" name="Oval 11">
            <a:extLst>
              <a:ext uri="{FF2B5EF4-FFF2-40B4-BE49-F238E27FC236}">
                <a16:creationId xmlns:a16="http://schemas.microsoft.com/office/drawing/2014/main" id="{2C982649-05D8-4DE9-B154-3B19795C17AF}"/>
              </a:ext>
            </a:extLst>
          </xdr:cNvPr>
          <xdr:cNvSpPr>
            <a:spLocks noChangeAspect="1" noChangeArrowheads="1"/>
          </xdr:cNvSpPr>
        </xdr:nvSpPr>
        <xdr:spPr bwMode="auto">
          <a:xfrm>
            <a:off x="3522" y="2089"/>
            <a:ext cx="42" cy="37"/>
          </a:xfrm>
          <a:prstGeom prst="ellipse">
            <a:avLst/>
          </a:prstGeom>
          <a:solidFill>
            <a:srgbClr val="72C7FF"/>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62945367" name="Oval 12">
            <a:extLst>
              <a:ext uri="{FF2B5EF4-FFF2-40B4-BE49-F238E27FC236}">
                <a16:creationId xmlns:a16="http://schemas.microsoft.com/office/drawing/2014/main" id="{61CDD30B-EE2E-44ED-B25C-AE421544BE47}"/>
              </a:ext>
            </a:extLst>
          </xdr:cNvPr>
          <xdr:cNvSpPr>
            <a:spLocks noChangeAspect="1" noChangeArrowheads="1"/>
          </xdr:cNvSpPr>
        </xdr:nvSpPr>
        <xdr:spPr bwMode="auto">
          <a:xfrm>
            <a:off x="3651" y="2094"/>
            <a:ext cx="35" cy="31"/>
          </a:xfrm>
          <a:prstGeom prst="ellipse">
            <a:avLst/>
          </a:prstGeom>
          <a:solidFill>
            <a:srgbClr val="EC0000"/>
          </a:solidFill>
          <a:ln>
            <a:noFill/>
          </a:ln>
          <a:extLst>
            <a:ext uri="{91240B29-F687-4F45-9708-019B960494DF}">
              <a14:hiddenLine xmlns:a14="http://schemas.microsoft.com/office/drawing/2010/main" w="3175">
                <a:solidFill>
                  <a:srgbClr val="000000"/>
                </a:solidFill>
                <a:round/>
                <a:headEnd type="none" w="sm" len="sm"/>
                <a:tailEnd type="none" w="sm" len="sm"/>
              </a14:hiddenLine>
            </a:ext>
          </a:extLst>
        </xdr:spPr>
      </xdr:sp>
      <xdr:sp macro="" textlink="">
        <xdr:nvSpPr>
          <xdr:cNvPr id="62945368" name="Freeform 13">
            <a:extLst>
              <a:ext uri="{FF2B5EF4-FFF2-40B4-BE49-F238E27FC236}">
                <a16:creationId xmlns:a16="http://schemas.microsoft.com/office/drawing/2014/main" id="{3907FFC9-8347-4D1D-8777-CAA3AB94C4AD}"/>
              </a:ext>
            </a:extLst>
          </xdr:cNvPr>
          <xdr:cNvSpPr>
            <a:spLocks noChangeAspect="1"/>
          </xdr:cNvSpPr>
        </xdr:nvSpPr>
        <xdr:spPr bwMode="auto">
          <a:xfrm>
            <a:off x="3716" y="2073"/>
            <a:ext cx="49" cy="70"/>
          </a:xfrm>
          <a:custGeom>
            <a:avLst/>
            <a:gdLst>
              <a:gd name="T0" fmla="*/ 0 w 141"/>
              <a:gd name="T1" fmla="*/ 0 h 214"/>
              <a:gd name="T2" fmla="*/ 0 w 141"/>
              <a:gd name="T3" fmla="*/ 0 h 214"/>
              <a:gd name="T4" fmla="*/ 0 w 141"/>
              <a:gd name="T5" fmla="*/ 0 h 214"/>
              <a:gd name="T6" fmla="*/ 0 w 141"/>
              <a:gd name="T7" fmla="*/ 0 h 214"/>
              <a:gd name="T8" fmla="*/ 0 w 141"/>
              <a:gd name="T9" fmla="*/ 0 h 214"/>
              <a:gd name="T10" fmla="*/ 0 w 141"/>
              <a:gd name="T11" fmla="*/ 0 h 214"/>
              <a:gd name="T12" fmla="*/ 0 w 141"/>
              <a:gd name="T13" fmla="*/ 0 h 214"/>
              <a:gd name="T14" fmla="*/ 0 w 141"/>
              <a:gd name="T15" fmla="*/ 0 h 214"/>
              <a:gd name="T16" fmla="*/ 0 w 141"/>
              <a:gd name="T17" fmla="*/ 0 h 214"/>
              <a:gd name="T18" fmla="*/ 0 w 141"/>
              <a:gd name="T19" fmla="*/ 0 h 214"/>
              <a:gd name="T20" fmla="*/ 0 w 141"/>
              <a:gd name="T21" fmla="*/ 0 h 214"/>
              <a:gd name="T22" fmla="*/ 0 w 141"/>
              <a:gd name="T23" fmla="*/ 0 h 214"/>
              <a:gd name="T24" fmla="*/ 0 w 141"/>
              <a:gd name="T25" fmla="*/ 0 h 214"/>
              <a:gd name="T26" fmla="*/ 0 w 141"/>
              <a:gd name="T27" fmla="*/ 0 h 214"/>
              <a:gd name="T28" fmla="*/ 0 w 141"/>
              <a:gd name="T29" fmla="*/ 0 h 214"/>
              <a:gd name="T30" fmla="*/ 0 w 141"/>
              <a:gd name="T31" fmla="*/ 0 h 214"/>
              <a:gd name="T32" fmla="*/ 0 w 141"/>
              <a:gd name="T33" fmla="*/ 0 h 214"/>
              <a:gd name="T34" fmla="*/ 0 w 141"/>
              <a:gd name="T35" fmla="*/ 0 h 214"/>
              <a:gd name="T36" fmla="*/ 0 w 141"/>
              <a:gd name="T37" fmla="*/ 0 h 214"/>
              <a:gd name="T38" fmla="*/ 0 w 141"/>
              <a:gd name="T39" fmla="*/ 0 h 214"/>
              <a:gd name="T40" fmla="*/ 0 w 141"/>
              <a:gd name="T41" fmla="*/ 0 h 214"/>
              <a:gd name="T42" fmla="*/ 0 w 141"/>
              <a:gd name="T43" fmla="*/ 0 h 214"/>
              <a:gd name="T44" fmla="*/ 0 w 141"/>
              <a:gd name="T45" fmla="*/ 0 h 214"/>
              <a:gd name="T46" fmla="*/ 0 w 141"/>
              <a:gd name="T47" fmla="*/ 0 h 214"/>
              <a:gd name="T48" fmla="*/ 0 w 141"/>
              <a:gd name="T49" fmla="*/ 0 h 214"/>
              <a:gd name="T50" fmla="*/ 0 w 141"/>
              <a:gd name="T51" fmla="*/ 0 h 214"/>
              <a:gd name="T52" fmla="*/ 0 w 141"/>
              <a:gd name="T53" fmla="*/ 0 h 214"/>
              <a:gd name="T54" fmla="*/ 0 w 141"/>
              <a:gd name="T55" fmla="*/ 0 h 214"/>
              <a:gd name="T56" fmla="*/ 0 w 141"/>
              <a:gd name="T57" fmla="*/ 0 h 214"/>
              <a:gd name="T58" fmla="*/ 0 w 141"/>
              <a:gd name="T59" fmla="*/ 0 h 214"/>
              <a:gd name="T60" fmla="*/ 0 w 141"/>
              <a:gd name="T61" fmla="*/ 0 h 214"/>
              <a:gd name="T62" fmla="*/ 0 w 141"/>
              <a:gd name="T63" fmla="*/ 0 h 214"/>
              <a:gd name="T64" fmla="*/ 0 w 141"/>
              <a:gd name="T65" fmla="*/ 0 h 214"/>
              <a:gd name="T66" fmla="*/ 0 w 141"/>
              <a:gd name="T67" fmla="*/ 0 h 214"/>
              <a:gd name="T68" fmla="*/ 0 w 141"/>
              <a:gd name="T69" fmla="*/ 0 h 214"/>
              <a:gd name="T70" fmla="*/ 0 w 141"/>
              <a:gd name="T71" fmla="*/ 0 h 214"/>
              <a:gd name="T72" fmla="*/ 0 w 141"/>
              <a:gd name="T73" fmla="*/ 0 h 214"/>
              <a:gd name="T74" fmla="*/ 0 w 141"/>
              <a:gd name="T75" fmla="*/ 0 h 214"/>
              <a:gd name="T76" fmla="*/ 0 w 141"/>
              <a:gd name="T77" fmla="*/ 0 h 214"/>
              <a:gd name="T78" fmla="*/ 0 w 141"/>
              <a:gd name="T79" fmla="*/ 0 h 214"/>
              <a:gd name="T80" fmla="*/ 0 w 141"/>
              <a:gd name="T81" fmla="*/ 0 h 214"/>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w 141"/>
              <a:gd name="T124" fmla="*/ 0 h 214"/>
              <a:gd name="T125" fmla="*/ 141 w 141"/>
              <a:gd name="T126" fmla="*/ 214 h 214"/>
            </a:gdLst>
            <a:ahLst/>
            <a:cxnLst>
              <a:cxn ang="T82">
                <a:pos x="T0" y="T1"/>
              </a:cxn>
              <a:cxn ang="T83">
                <a:pos x="T2" y="T3"/>
              </a:cxn>
              <a:cxn ang="T84">
                <a:pos x="T4" y="T5"/>
              </a:cxn>
              <a:cxn ang="T85">
                <a:pos x="T6" y="T7"/>
              </a:cxn>
              <a:cxn ang="T86">
                <a:pos x="T8" y="T9"/>
              </a:cxn>
              <a:cxn ang="T87">
                <a:pos x="T10" y="T11"/>
              </a:cxn>
              <a:cxn ang="T88">
                <a:pos x="T12" y="T13"/>
              </a:cxn>
              <a:cxn ang="T89">
                <a:pos x="T14" y="T15"/>
              </a:cxn>
              <a:cxn ang="T90">
                <a:pos x="T16" y="T17"/>
              </a:cxn>
              <a:cxn ang="T91">
                <a:pos x="T18" y="T19"/>
              </a:cxn>
              <a:cxn ang="T92">
                <a:pos x="T20" y="T21"/>
              </a:cxn>
              <a:cxn ang="T93">
                <a:pos x="T22" y="T23"/>
              </a:cxn>
              <a:cxn ang="T94">
                <a:pos x="T24" y="T25"/>
              </a:cxn>
              <a:cxn ang="T95">
                <a:pos x="T26" y="T27"/>
              </a:cxn>
              <a:cxn ang="T96">
                <a:pos x="T28" y="T29"/>
              </a:cxn>
              <a:cxn ang="T97">
                <a:pos x="T30" y="T31"/>
              </a:cxn>
              <a:cxn ang="T98">
                <a:pos x="T32" y="T33"/>
              </a:cxn>
              <a:cxn ang="T99">
                <a:pos x="T34" y="T35"/>
              </a:cxn>
              <a:cxn ang="T100">
                <a:pos x="T36" y="T37"/>
              </a:cxn>
              <a:cxn ang="T101">
                <a:pos x="T38" y="T39"/>
              </a:cxn>
              <a:cxn ang="T102">
                <a:pos x="T40" y="T41"/>
              </a:cxn>
              <a:cxn ang="T103">
                <a:pos x="T42" y="T43"/>
              </a:cxn>
              <a:cxn ang="T104">
                <a:pos x="T44" y="T45"/>
              </a:cxn>
              <a:cxn ang="T105">
                <a:pos x="T46" y="T47"/>
              </a:cxn>
              <a:cxn ang="T106">
                <a:pos x="T48" y="T49"/>
              </a:cxn>
              <a:cxn ang="T107">
                <a:pos x="T50" y="T51"/>
              </a:cxn>
              <a:cxn ang="T108">
                <a:pos x="T52" y="T53"/>
              </a:cxn>
              <a:cxn ang="T109">
                <a:pos x="T54" y="T55"/>
              </a:cxn>
              <a:cxn ang="T110">
                <a:pos x="T56" y="T57"/>
              </a:cxn>
              <a:cxn ang="T111">
                <a:pos x="T58" y="T59"/>
              </a:cxn>
              <a:cxn ang="T112">
                <a:pos x="T60" y="T61"/>
              </a:cxn>
              <a:cxn ang="T113">
                <a:pos x="T62" y="T63"/>
              </a:cxn>
              <a:cxn ang="T114">
                <a:pos x="T64" y="T65"/>
              </a:cxn>
              <a:cxn ang="T115">
                <a:pos x="T66" y="T67"/>
              </a:cxn>
              <a:cxn ang="T116">
                <a:pos x="T68" y="T69"/>
              </a:cxn>
              <a:cxn ang="T117">
                <a:pos x="T70" y="T71"/>
              </a:cxn>
              <a:cxn ang="T118">
                <a:pos x="T72" y="T73"/>
              </a:cxn>
              <a:cxn ang="T119">
                <a:pos x="T74" y="T75"/>
              </a:cxn>
              <a:cxn ang="T120">
                <a:pos x="T76" y="T77"/>
              </a:cxn>
              <a:cxn ang="T121">
                <a:pos x="T78" y="T79"/>
              </a:cxn>
              <a:cxn ang="T122">
                <a:pos x="T80" y="T81"/>
              </a:cxn>
            </a:cxnLst>
            <a:rect l="T123" t="T124" r="T125" b="T126"/>
            <a:pathLst>
              <a:path w="141" h="214">
                <a:moveTo>
                  <a:pt x="140" y="0"/>
                </a:moveTo>
                <a:lnTo>
                  <a:pt x="34" y="0"/>
                </a:lnTo>
                <a:lnTo>
                  <a:pt x="23" y="6"/>
                </a:lnTo>
                <a:lnTo>
                  <a:pt x="11" y="17"/>
                </a:lnTo>
                <a:lnTo>
                  <a:pt x="4" y="26"/>
                </a:lnTo>
                <a:lnTo>
                  <a:pt x="1" y="33"/>
                </a:lnTo>
                <a:lnTo>
                  <a:pt x="0" y="34"/>
                </a:lnTo>
                <a:lnTo>
                  <a:pt x="0" y="36"/>
                </a:lnTo>
                <a:lnTo>
                  <a:pt x="0" y="50"/>
                </a:lnTo>
                <a:lnTo>
                  <a:pt x="0" y="74"/>
                </a:lnTo>
                <a:lnTo>
                  <a:pt x="0" y="97"/>
                </a:lnTo>
                <a:lnTo>
                  <a:pt x="0" y="111"/>
                </a:lnTo>
                <a:lnTo>
                  <a:pt x="0" y="125"/>
                </a:lnTo>
                <a:lnTo>
                  <a:pt x="0" y="135"/>
                </a:lnTo>
                <a:lnTo>
                  <a:pt x="0" y="149"/>
                </a:lnTo>
                <a:lnTo>
                  <a:pt x="0" y="154"/>
                </a:lnTo>
                <a:lnTo>
                  <a:pt x="0" y="159"/>
                </a:lnTo>
                <a:lnTo>
                  <a:pt x="0" y="165"/>
                </a:lnTo>
                <a:lnTo>
                  <a:pt x="0" y="189"/>
                </a:lnTo>
                <a:lnTo>
                  <a:pt x="12" y="200"/>
                </a:lnTo>
                <a:lnTo>
                  <a:pt x="27" y="210"/>
                </a:lnTo>
                <a:lnTo>
                  <a:pt x="44" y="213"/>
                </a:lnTo>
                <a:lnTo>
                  <a:pt x="89" y="213"/>
                </a:lnTo>
                <a:lnTo>
                  <a:pt x="104" y="199"/>
                </a:lnTo>
                <a:lnTo>
                  <a:pt x="114" y="185"/>
                </a:lnTo>
                <a:lnTo>
                  <a:pt x="130" y="168"/>
                </a:lnTo>
                <a:lnTo>
                  <a:pt x="137" y="154"/>
                </a:lnTo>
                <a:lnTo>
                  <a:pt x="137" y="151"/>
                </a:lnTo>
                <a:lnTo>
                  <a:pt x="126" y="156"/>
                </a:lnTo>
                <a:lnTo>
                  <a:pt x="103" y="156"/>
                </a:lnTo>
                <a:lnTo>
                  <a:pt x="82" y="152"/>
                </a:lnTo>
                <a:lnTo>
                  <a:pt x="67" y="142"/>
                </a:lnTo>
                <a:lnTo>
                  <a:pt x="60" y="133"/>
                </a:lnTo>
                <a:lnTo>
                  <a:pt x="56" y="132"/>
                </a:lnTo>
                <a:lnTo>
                  <a:pt x="56" y="91"/>
                </a:lnTo>
                <a:lnTo>
                  <a:pt x="67" y="84"/>
                </a:lnTo>
                <a:lnTo>
                  <a:pt x="74" y="75"/>
                </a:lnTo>
                <a:lnTo>
                  <a:pt x="84" y="68"/>
                </a:lnTo>
                <a:lnTo>
                  <a:pt x="88" y="67"/>
                </a:lnTo>
                <a:lnTo>
                  <a:pt x="137" y="67"/>
                </a:lnTo>
                <a:lnTo>
                  <a:pt x="140" y="0"/>
                </a:lnTo>
              </a:path>
            </a:pathLst>
          </a:custGeom>
          <a:solidFill>
            <a:srgbClr val="FFD521"/>
          </a:solidFill>
          <a:ln>
            <a:noFill/>
          </a:ln>
          <a:extLst>
            <a:ext uri="{91240B29-F687-4F45-9708-019B960494DF}">
              <a14:hiddenLine xmlns:a14="http://schemas.microsoft.com/office/drawing/2010/main" w="9525" cap="rnd">
                <a:solidFill>
                  <a:srgbClr val="000000"/>
                </a:solidFill>
                <a:round/>
                <a:headEnd/>
                <a:tailEnd/>
              </a14:hiddenLine>
            </a:ext>
          </a:extLst>
        </xdr:spPr>
      </xdr:sp>
      <xdr:sp macro="" textlink="">
        <xdr:nvSpPr>
          <xdr:cNvPr id="62945369" name="Freeform 14">
            <a:extLst>
              <a:ext uri="{FF2B5EF4-FFF2-40B4-BE49-F238E27FC236}">
                <a16:creationId xmlns:a16="http://schemas.microsoft.com/office/drawing/2014/main" id="{37770CBB-443C-4BBD-9352-4AA9B207E8FF}"/>
              </a:ext>
            </a:extLst>
          </xdr:cNvPr>
          <xdr:cNvSpPr>
            <a:spLocks noChangeAspect="1"/>
          </xdr:cNvSpPr>
        </xdr:nvSpPr>
        <xdr:spPr bwMode="auto">
          <a:xfrm>
            <a:off x="3769" y="2052"/>
            <a:ext cx="73" cy="92"/>
          </a:xfrm>
          <a:custGeom>
            <a:avLst/>
            <a:gdLst>
              <a:gd name="T0" fmla="*/ 0 w 211"/>
              <a:gd name="T1" fmla="*/ 0 h 281"/>
              <a:gd name="T2" fmla="*/ 0 w 211"/>
              <a:gd name="T3" fmla="*/ 0 h 281"/>
              <a:gd name="T4" fmla="*/ 0 w 211"/>
              <a:gd name="T5" fmla="*/ 0 h 281"/>
              <a:gd name="T6" fmla="*/ 0 w 211"/>
              <a:gd name="T7" fmla="*/ 0 h 281"/>
              <a:gd name="T8" fmla="*/ 0 w 211"/>
              <a:gd name="T9" fmla="*/ 0 h 281"/>
              <a:gd name="T10" fmla="*/ 0 w 211"/>
              <a:gd name="T11" fmla="*/ 0 h 281"/>
              <a:gd name="T12" fmla="*/ 0 w 211"/>
              <a:gd name="T13" fmla="*/ 0 h 281"/>
              <a:gd name="T14" fmla="*/ 0 w 211"/>
              <a:gd name="T15" fmla="*/ 0 h 281"/>
              <a:gd name="T16" fmla="*/ 0 w 211"/>
              <a:gd name="T17" fmla="*/ 0 h 281"/>
              <a:gd name="T18" fmla="*/ 0 w 211"/>
              <a:gd name="T19" fmla="*/ 0 h 281"/>
              <a:gd name="T20" fmla="*/ 0 w 211"/>
              <a:gd name="T21" fmla="*/ 0 h 281"/>
              <a:gd name="T22" fmla="*/ 0 w 211"/>
              <a:gd name="T23" fmla="*/ 0 h 281"/>
              <a:gd name="T24" fmla="*/ 0 w 211"/>
              <a:gd name="T25" fmla="*/ 0 h 281"/>
              <a:gd name="T26" fmla="*/ 0 w 211"/>
              <a:gd name="T27" fmla="*/ 0 h 281"/>
              <a:gd name="T28" fmla="*/ 0 w 211"/>
              <a:gd name="T29" fmla="*/ 0 h 281"/>
              <a:gd name="T30" fmla="*/ 0 w 211"/>
              <a:gd name="T31" fmla="*/ 0 h 281"/>
              <a:gd name="T32" fmla="*/ 0 w 211"/>
              <a:gd name="T33" fmla="*/ 0 h 281"/>
              <a:gd name="T34" fmla="*/ 0 w 211"/>
              <a:gd name="T35" fmla="*/ 0 h 281"/>
              <a:gd name="T36" fmla="*/ 0 w 211"/>
              <a:gd name="T37" fmla="*/ 0 h 281"/>
              <a:gd name="T38" fmla="*/ 0 w 211"/>
              <a:gd name="T39" fmla="*/ 0 h 281"/>
              <a:gd name="T40" fmla="*/ 0 w 211"/>
              <a:gd name="T41" fmla="*/ 0 h 281"/>
              <a:gd name="T42" fmla="*/ 0 w 211"/>
              <a:gd name="T43" fmla="*/ 0 h 281"/>
              <a:gd name="T44" fmla="*/ 0 w 211"/>
              <a:gd name="T45" fmla="*/ 0 h 281"/>
              <a:gd name="T46" fmla="*/ 0 w 211"/>
              <a:gd name="T47" fmla="*/ 0 h 281"/>
              <a:gd name="T48" fmla="*/ 0 w 211"/>
              <a:gd name="T49" fmla="*/ 0 h 281"/>
              <a:gd name="T50" fmla="*/ 0 w 211"/>
              <a:gd name="T51" fmla="*/ 0 h 281"/>
              <a:gd name="T52" fmla="*/ 0 w 211"/>
              <a:gd name="T53" fmla="*/ 0 h 281"/>
              <a:gd name="T54" fmla="*/ 0 w 211"/>
              <a:gd name="T55" fmla="*/ 0 h 281"/>
              <a:gd name="T56" fmla="*/ 0 w 211"/>
              <a:gd name="T57" fmla="*/ 0 h 281"/>
              <a:gd name="T58" fmla="*/ 0 w 211"/>
              <a:gd name="T59" fmla="*/ 0 h 281"/>
              <a:gd name="T60" fmla="*/ 0 w 211"/>
              <a:gd name="T61" fmla="*/ 0 h 281"/>
              <a:gd name="T62" fmla="*/ 0 w 211"/>
              <a:gd name="T63" fmla="*/ 0 h 281"/>
              <a:gd name="T64" fmla="*/ 0 w 211"/>
              <a:gd name="T65" fmla="*/ 0 h 281"/>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w 211"/>
              <a:gd name="T100" fmla="*/ 0 h 281"/>
              <a:gd name="T101" fmla="*/ 211 w 211"/>
              <a:gd name="T102" fmla="*/ 281 h 281"/>
            </a:gdLst>
            <a:ahLst/>
            <a:cxnLst>
              <a:cxn ang="T66">
                <a:pos x="T0" y="T1"/>
              </a:cxn>
              <a:cxn ang="T67">
                <a:pos x="T2" y="T3"/>
              </a:cxn>
              <a:cxn ang="T68">
                <a:pos x="T4" y="T5"/>
              </a:cxn>
              <a:cxn ang="T69">
                <a:pos x="T6" y="T7"/>
              </a:cxn>
              <a:cxn ang="T70">
                <a:pos x="T8" y="T9"/>
              </a:cxn>
              <a:cxn ang="T71">
                <a:pos x="T10" y="T11"/>
              </a:cxn>
              <a:cxn ang="T72">
                <a:pos x="T12" y="T13"/>
              </a:cxn>
              <a:cxn ang="T73">
                <a:pos x="T14" y="T15"/>
              </a:cxn>
              <a:cxn ang="T74">
                <a:pos x="T16" y="T17"/>
              </a:cxn>
              <a:cxn ang="T75">
                <a:pos x="T18" y="T19"/>
              </a:cxn>
              <a:cxn ang="T76">
                <a:pos x="T20" y="T21"/>
              </a:cxn>
              <a:cxn ang="T77">
                <a:pos x="T22" y="T23"/>
              </a:cxn>
              <a:cxn ang="T78">
                <a:pos x="T24" y="T25"/>
              </a:cxn>
              <a:cxn ang="T79">
                <a:pos x="T26" y="T27"/>
              </a:cxn>
              <a:cxn ang="T80">
                <a:pos x="T28" y="T29"/>
              </a:cxn>
              <a:cxn ang="T81">
                <a:pos x="T30" y="T31"/>
              </a:cxn>
              <a:cxn ang="T82">
                <a:pos x="T32" y="T33"/>
              </a:cxn>
              <a:cxn ang="T83">
                <a:pos x="T34" y="T35"/>
              </a:cxn>
              <a:cxn ang="T84">
                <a:pos x="T36" y="T37"/>
              </a:cxn>
              <a:cxn ang="T85">
                <a:pos x="T38" y="T39"/>
              </a:cxn>
              <a:cxn ang="T86">
                <a:pos x="T40" y="T41"/>
              </a:cxn>
              <a:cxn ang="T87">
                <a:pos x="T42" y="T43"/>
              </a:cxn>
              <a:cxn ang="T88">
                <a:pos x="T44" y="T45"/>
              </a:cxn>
              <a:cxn ang="T89">
                <a:pos x="T46" y="T47"/>
              </a:cxn>
              <a:cxn ang="T90">
                <a:pos x="T48" y="T49"/>
              </a:cxn>
              <a:cxn ang="T91">
                <a:pos x="T50" y="T51"/>
              </a:cxn>
              <a:cxn ang="T92">
                <a:pos x="T52" y="T53"/>
              </a:cxn>
              <a:cxn ang="T93">
                <a:pos x="T54" y="T55"/>
              </a:cxn>
              <a:cxn ang="T94">
                <a:pos x="T56" y="T57"/>
              </a:cxn>
              <a:cxn ang="T95">
                <a:pos x="T58" y="T59"/>
              </a:cxn>
              <a:cxn ang="T96">
                <a:pos x="T60" y="T61"/>
              </a:cxn>
              <a:cxn ang="T97">
                <a:pos x="T62" y="T63"/>
              </a:cxn>
              <a:cxn ang="T98">
                <a:pos x="T64" y="T65"/>
              </a:cxn>
            </a:cxnLst>
            <a:rect l="T99" t="T100" r="T101" b="T102"/>
            <a:pathLst>
              <a:path w="211" h="281">
                <a:moveTo>
                  <a:pt x="0" y="0"/>
                </a:moveTo>
                <a:lnTo>
                  <a:pt x="0" y="280"/>
                </a:lnTo>
                <a:lnTo>
                  <a:pt x="55" y="280"/>
                </a:lnTo>
                <a:lnTo>
                  <a:pt x="55" y="140"/>
                </a:lnTo>
                <a:lnTo>
                  <a:pt x="58" y="134"/>
                </a:lnTo>
                <a:lnTo>
                  <a:pt x="68" y="130"/>
                </a:lnTo>
                <a:lnTo>
                  <a:pt x="73" y="126"/>
                </a:lnTo>
                <a:lnTo>
                  <a:pt x="81" y="124"/>
                </a:lnTo>
                <a:lnTo>
                  <a:pt x="87" y="120"/>
                </a:lnTo>
                <a:lnTo>
                  <a:pt x="88" y="119"/>
                </a:lnTo>
                <a:lnTo>
                  <a:pt x="132" y="119"/>
                </a:lnTo>
                <a:lnTo>
                  <a:pt x="143" y="124"/>
                </a:lnTo>
                <a:lnTo>
                  <a:pt x="149" y="129"/>
                </a:lnTo>
                <a:lnTo>
                  <a:pt x="151" y="140"/>
                </a:lnTo>
                <a:lnTo>
                  <a:pt x="151" y="278"/>
                </a:lnTo>
                <a:lnTo>
                  <a:pt x="210" y="278"/>
                </a:lnTo>
                <a:lnTo>
                  <a:pt x="210" y="99"/>
                </a:lnTo>
                <a:lnTo>
                  <a:pt x="206" y="92"/>
                </a:lnTo>
                <a:lnTo>
                  <a:pt x="202" y="86"/>
                </a:lnTo>
                <a:lnTo>
                  <a:pt x="195" y="79"/>
                </a:lnTo>
                <a:lnTo>
                  <a:pt x="187" y="75"/>
                </a:lnTo>
                <a:lnTo>
                  <a:pt x="184" y="68"/>
                </a:lnTo>
                <a:lnTo>
                  <a:pt x="182" y="68"/>
                </a:lnTo>
                <a:lnTo>
                  <a:pt x="101" y="68"/>
                </a:lnTo>
                <a:lnTo>
                  <a:pt x="95" y="71"/>
                </a:lnTo>
                <a:lnTo>
                  <a:pt x="88" y="79"/>
                </a:lnTo>
                <a:lnTo>
                  <a:pt x="81" y="88"/>
                </a:lnTo>
                <a:lnTo>
                  <a:pt x="77" y="96"/>
                </a:lnTo>
                <a:lnTo>
                  <a:pt x="72" y="103"/>
                </a:lnTo>
                <a:lnTo>
                  <a:pt x="58" y="112"/>
                </a:lnTo>
                <a:lnTo>
                  <a:pt x="55" y="113"/>
                </a:lnTo>
                <a:lnTo>
                  <a:pt x="55" y="0"/>
                </a:lnTo>
                <a:lnTo>
                  <a:pt x="0" y="0"/>
                </a:lnTo>
              </a:path>
            </a:pathLst>
          </a:custGeom>
          <a:solidFill>
            <a:srgbClr val="FFD521"/>
          </a:solidFill>
          <a:ln>
            <a:noFill/>
          </a:ln>
          <a:extLst>
            <a:ext uri="{91240B29-F687-4F45-9708-019B960494DF}">
              <a14:hiddenLine xmlns:a14="http://schemas.microsoft.com/office/drawing/2010/main" w="9525" cap="rnd">
                <a:solidFill>
                  <a:srgbClr val="000000"/>
                </a:solidFill>
                <a:round/>
                <a:headEnd/>
                <a:tailEnd/>
              </a14:hiddenLine>
            </a:ext>
          </a:extLst>
        </xdr:spPr>
      </xdr:sp>
      <xdr:sp macro="" textlink="">
        <xdr:nvSpPr>
          <xdr:cNvPr id="62945370" name="Freeform 15">
            <a:extLst>
              <a:ext uri="{FF2B5EF4-FFF2-40B4-BE49-F238E27FC236}">
                <a16:creationId xmlns:a16="http://schemas.microsoft.com/office/drawing/2014/main" id="{BA195233-1662-46CC-B832-E61E41E142B6}"/>
              </a:ext>
            </a:extLst>
          </xdr:cNvPr>
          <xdr:cNvSpPr>
            <a:spLocks noChangeAspect="1"/>
          </xdr:cNvSpPr>
        </xdr:nvSpPr>
        <xdr:spPr bwMode="auto">
          <a:xfrm>
            <a:off x="3847" y="2073"/>
            <a:ext cx="60" cy="70"/>
          </a:xfrm>
          <a:custGeom>
            <a:avLst/>
            <a:gdLst>
              <a:gd name="T0" fmla="*/ 0 w 172"/>
              <a:gd name="T1" fmla="*/ 0 h 213"/>
              <a:gd name="T2" fmla="*/ 0 w 172"/>
              <a:gd name="T3" fmla="*/ 0 h 213"/>
              <a:gd name="T4" fmla="*/ 0 w 172"/>
              <a:gd name="T5" fmla="*/ 0 h 213"/>
              <a:gd name="T6" fmla="*/ 0 w 172"/>
              <a:gd name="T7" fmla="*/ 0 h 213"/>
              <a:gd name="T8" fmla="*/ 0 w 172"/>
              <a:gd name="T9" fmla="*/ 0 h 213"/>
              <a:gd name="T10" fmla="*/ 0 w 172"/>
              <a:gd name="T11" fmla="*/ 0 h 213"/>
              <a:gd name="T12" fmla="*/ 0 w 172"/>
              <a:gd name="T13" fmla="*/ 0 h 213"/>
              <a:gd name="T14" fmla="*/ 0 w 172"/>
              <a:gd name="T15" fmla="*/ 0 h 213"/>
              <a:gd name="T16" fmla="*/ 0 w 172"/>
              <a:gd name="T17" fmla="*/ 0 h 213"/>
              <a:gd name="T18" fmla="*/ 0 w 172"/>
              <a:gd name="T19" fmla="*/ 0 h 213"/>
              <a:gd name="T20" fmla="*/ 0 w 172"/>
              <a:gd name="T21" fmla="*/ 0 h 213"/>
              <a:gd name="T22" fmla="*/ 0 w 172"/>
              <a:gd name="T23" fmla="*/ 0 h 213"/>
              <a:gd name="T24" fmla="*/ 0 w 172"/>
              <a:gd name="T25" fmla="*/ 0 h 213"/>
              <a:gd name="T26" fmla="*/ 0 w 172"/>
              <a:gd name="T27" fmla="*/ 0 h 213"/>
              <a:gd name="T28" fmla="*/ 0 w 172"/>
              <a:gd name="T29" fmla="*/ 0 h 213"/>
              <a:gd name="T30" fmla="*/ 0 w 172"/>
              <a:gd name="T31" fmla="*/ 0 h 213"/>
              <a:gd name="T32" fmla="*/ 0 w 172"/>
              <a:gd name="T33" fmla="*/ 0 h 213"/>
              <a:gd name="T34" fmla="*/ 0 w 172"/>
              <a:gd name="T35" fmla="*/ 0 h 213"/>
              <a:gd name="T36" fmla="*/ 0 w 172"/>
              <a:gd name="T37" fmla="*/ 0 h 213"/>
              <a:gd name="T38" fmla="*/ 0 w 172"/>
              <a:gd name="T39" fmla="*/ 0 h 213"/>
              <a:gd name="T40" fmla="*/ 0 w 172"/>
              <a:gd name="T41" fmla="*/ 0 h 213"/>
              <a:gd name="T42" fmla="*/ 0 w 172"/>
              <a:gd name="T43" fmla="*/ 0 h 213"/>
              <a:gd name="T44" fmla="*/ 0 w 172"/>
              <a:gd name="T45" fmla="*/ 0 h 213"/>
              <a:gd name="T46" fmla="*/ 0 w 172"/>
              <a:gd name="T47" fmla="*/ 0 h 213"/>
              <a:gd name="T48" fmla="*/ 0 w 172"/>
              <a:gd name="T49" fmla="*/ 0 h 213"/>
              <a:gd name="T50" fmla="*/ 0 w 172"/>
              <a:gd name="T51" fmla="*/ 0 h 213"/>
              <a:gd name="T52" fmla="*/ 0 w 172"/>
              <a:gd name="T53" fmla="*/ 0 h 213"/>
              <a:gd name="T54" fmla="*/ 0 w 172"/>
              <a:gd name="T55" fmla="*/ 0 h 213"/>
              <a:gd name="T56" fmla="*/ 0 w 172"/>
              <a:gd name="T57" fmla="*/ 0 h 213"/>
              <a:gd name="T58" fmla="*/ 0 w 172"/>
              <a:gd name="T59" fmla="*/ 0 h 213"/>
              <a:gd name="T60" fmla="*/ 0 w 172"/>
              <a:gd name="T61" fmla="*/ 0 h 213"/>
              <a:gd name="T62" fmla="*/ 0 w 172"/>
              <a:gd name="T63" fmla="*/ 0 h 213"/>
              <a:gd name="T64" fmla="*/ 0 w 172"/>
              <a:gd name="T65" fmla="*/ 0 h 213"/>
              <a:gd name="T66" fmla="*/ 0 w 172"/>
              <a:gd name="T67" fmla="*/ 0 h 213"/>
              <a:gd name="T68" fmla="*/ 0 w 172"/>
              <a:gd name="T69" fmla="*/ 0 h 213"/>
              <a:gd name="T70" fmla="*/ 0 w 172"/>
              <a:gd name="T71" fmla="*/ 0 h 213"/>
              <a:gd name="T72" fmla="*/ 0 w 172"/>
              <a:gd name="T73" fmla="*/ 0 h 213"/>
              <a:gd name="T74" fmla="*/ 0 w 172"/>
              <a:gd name="T75" fmla="*/ 0 h 213"/>
              <a:gd name="T76" fmla="*/ 0 w 172"/>
              <a:gd name="T77" fmla="*/ 0 h 213"/>
              <a:gd name="T78" fmla="*/ 0 w 172"/>
              <a:gd name="T79" fmla="*/ 0 h 213"/>
              <a:gd name="T80" fmla="*/ 0 w 172"/>
              <a:gd name="T81" fmla="*/ 0 h 213"/>
              <a:gd name="T82" fmla="*/ 0 w 172"/>
              <a:gd name="T83" fmla="*/ 0 h 213"/>
              <a:gd name="T84" fmla="*/ 0 w 172"/>
              <a:gd name="T85" fmla="*/ 0 h 213"/>
              <a:gd name="T86" fmla="*/ 0 w 172"/>
              <a:gd name="T87" fmla="*/ 0 h 213"/>
              <a:gd name="T88" fmla="*/ 0 w 172"/>
              <a:gd name="T89" fmla="*/ 0 h 213"/>
              <a:gd name="T90" fmla="*/ 0 w 172"/>
              <a:gd name="T91" fmla="*/ 0 h 213"/>
              <a:gd name="T92" fmla="*/ 0 w 172"/>
              <a:gd name="T93" fmla="*/ 0 h 213"/>
              <a:gd name="T94" fmla="*/ 0 w 172"/>
              <a:gd name="T95" fmla="*/ 0 h 213"/>
              <a:gd name="T96" fmla="*/ 0 w 172"/>
              <a:gd name="T97" fmla="*/ 0 h 213"/>
              <a:gd name="T98" fmla="*/ 0 w 172"/>
              <a:gd name="T99" fmla="*/ 0 h 213"/>
              <a:gd name="T100" fmla="*/ 0 w 172"/>
              <a:gd name="T101" fmla="*/ 0 h 213"/>
              <a:gd name="T102" fmla="*/ 0 w 172"/>
              <a:gd name="T103" fmla="*/ 0 h 213"/>
              <a:gd name="T104" fmla="*/ 0 w 172"/>
              <a:gd name="T105" fmla="*/ 0 h 213"/>
              <a:gd name="T106" fmla="*/ 0 w 172"/>
              <a:gd name="T107" fmla="*/ 0 h 213"/>
              <a:gd name="T108" fmla="*/ 0 w 172"/>
              <a:gd name="T109" fmla="*/ 0 h 213"/>
              <a:gd name="T110" fmla="*/ 0 w 172"/>
              <a:gd name="T111" fmla="*/ 0 h 213"/>
              <a:gd name="T112" fmla="*/ 0 w 172"/>
              <a:gd name="T113" fmla="*/ 0 h 213"/>
              <a:gd name="T114" fmla="*/ 0 w 172"/>
              <a:gd name="T115" fmla="*/ 0 h 213"/>
              <a:gd name="T116" fmla="*/ 0 w 172"/>
              <a:gd name="T117" fmla="*/ 0 h 213"/>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w 172"/>
              <a:gd name="T178" fmla="*/ 0 h 213"/>
              <a:gd name="T179" fmla="*/ 172 w 172"/>
              <a:gd name="T180" fmla="*/ 213 h 213"/>
            </a:gdLst>
            <a:ahLst/>
            <a:cxnLst>
              <a:cxn ang="T118">
                <a:pos x="T0" y="T1"/>
              </a:cxn>
              <a:cxn ang="T119">
                <a:pos x="T2" y="T3"/>
              </a:cxn>
              <a:cxn ang="T120">
                <a:pos x="T4" y="T5"/>
              </a:cxn>
              <a:cxn ang="T121">
                <a:pos x="T6" y="T7"/>
              </a:cxn>
              <a:cxn ang="T122">
                <a:pos x="T8" y="T9"/>
              </a:cxn>
              <a:cxn ang="T123">
                <a:pos x="T10" y="T11"/>
              </a:cxn>
              <a:cxn ang="T124">
                <a:pos x="T12" y="T13"/>
              </a:cxn>
              <a:cxn ang="T125">
                <a:pos x="T14" y="T15"/>
              </a:cxn>
              <a:cxn ang="T126">
                <a:pos x="T16" y="T17"/>
              </a:cxn>
              <a:cxn ang="T127">
                <a:pos x="T18" y="T19"/>
              </a:cxn>
              <a:cxn ang="T128">
                <a:pos x="T20" y="T21"/>
              </a:cxn>
              <a:cxn ang="T129">
                <a:pos x="T22" y="T23"/>
              </a:cxn>
              <a:cxn ang="T130">
                <a:pos x="T24" y="T25"/>
              </a:cxn>
              <a:cxn ang="T131">
                <a:pos x="T26" y="T27"/>
              </a:cxn>
              <a:cxn ang="T132">
                <a:pos x="T28" y="T29"/>
              </a:cxn>
              <a:cxn ang="T133">
                <a:pos x="T30" y="T31"/>
              </a:cxn>
              <a:cxn ang="T134">
                <a:pos x="T32" y="T33"/>
              </a:cxn>
              <a:cxn ang="T135">
                <a:pos x="T34" y="T35"/>
              </a:cxn>
              <a:cxn ang="T136">
                <a:pos x="T36" y="T37"/>
              </a:cxn>
              <a:cxn ang="T137">
                <a:pos x="T38" y="T39"/>
              </a:cxn>
              <a:cxn ang="T138">
                <a:pos x="T40" y="T41"/>
              </a:cxn>
              <a:cxn ang="T139">
                <a:pos x="T42" y="T43"/>
              </a:cxn>
              <a:cxn ang="T140">
                <a:pos x="T44" y="T45"/>
              </a:cxn>
              <a:cxn ang="T141">
                <a:pos x="T46" y="T47"/>
              </a:cxn>
              <a:cxn ang="T142">
                <a:pos x="T48" y="T49"/>
              </a:cxn>
              <a:cxn ang="T143">
                <a:pos x="T50" y="T51"/>
              </a:cxn>
              <a:cxn ang="T144">
                <a:pos x="T52" y="T53"/>
              </a:cxn>
              <a:cxn ang="T145">
                <a:pos x="T54" y="T55"/>
              </a:cxn>
              <a:cxn ang="T146">
                <a:pos x="T56" y="T57"/>
              </a:cxn>
              <a:cxn ang="T147">
                <a:pos x="T58" y="T59"/>
              </a:cxn>
              <a:cxn ang="T148">
                <a:pos x="T60" y="T61"/>
              </a:cxn>
              <a:cxn ang="T149">
                <a:pos x="T62" y="T63"/>
              </a:cxn>
              <a:cxn ang="T150">
                <a:pos x="T64" y="T65"/>
              </a:cxn>
              <a:cxn ang="T151">
                <a:pos x="T66" y="T67"/>
              </a:cxn>
              <a:cxn ang="T152">
                <a:pos x="T68" y="T69"/>
              </a:cxn>
              <a:cxn ang="T153">
                <a:pos x="T70" y="T71"/>
              </a:cxn>
              <a:cxn ang="T154">
                <a:pos x="T72" y="T73"/>
              </a:cxn>
              <a:cxn ang="T155">
                <a:pos x="T74" y="T75"/>
              </a:cxn>
              <a:cxn ang="T156">
                <a:pos x="T76" y="T77"/>
              </a:cxn>
              <a:cxn ang="T157">
                <a:pos x="T78" y="T79"/>
              </a:cxn>
              <a:cxn ang="T158">
                <a:pos x="T80" y="T81"/>
              </a:cxn>
              <a:cxn ang="T159">
                <a:pos x="T82" y="T83"/>
              </a:cxn>
              <a:cxn ang="T160">
                <a:pos x="T84" y="T85"/>
              </a:cxn>
              <a:cxn ang="T161">
                <a:pos x="T86" y="T87"/>
              </a:cxn>
              <a:cxn ang="T162">
                <a:pos x="T88" y="T89"/>
              </a:cxn>
              <a:cxn ang="T163">
                <a:pos x="T90" y="T91"/>
              </a:cxn>
              <a:cxn ang="T164">
                <a:pos x="T92" y="T93"/>
              </a:cxn>
              <a:cxn ang="T165">
                <a:pos x="T94" y="T95"/>
              </a:cxn>
              <a:cxn ang="T166">
                <a:pos x="T96" y="T97"/>
              </a:cxn>
              <a:cxn ang="T167">
                <a:pos x="T98" y="T99"/>
              </a:cxn>
              <a:cxn ang="T168">
                <a:pos x="T100" y="T101"/>
              </a:cxn>
              <a:cxn ang="T169">
                <a:pos x="T102" y="T103"/>
              </a:cxn>
              <a:cxn ang="T170">
                <a:pos x="T104" y="T105"/>
              </a:cxn>
              <a:cxn ang="T171">
                <a:pos x="T106" y="T107"/>
              </a:cxn>
              <a:cxn ang="T172">
                <a:pos x="T108" y="T109"/>
              </a:cxn>
              <a:cxn ang="T173">
                <a:pos x="T110" y="T111"/>
              </a:cxn>
              <a:cxn ang="T174">
                <a:pos x="T112" y="T113"/>
              </a:cxn>
              <a:cxn ang="T175">
                <a:pos x="T114" y="T115"/>
              </a:cxn>
              <a:cxn ang="T176">
                <a:pos x="T116" y="T117"/>
              </a:cxn>
            </a:cxnLst>
            <a:rect l="T177" t="T178" r="T179" b="T180"/>
            <a:pathLst>
              <a:path w="172" h="213">
                <a:moveTo>
                  <a:pt x="148" y="140"/>
                </a:moveTo>
                <a:lnTo>
                  <a:pt x="106" y="204"/>
                </a:lnTo>
                <a:lnTo>
                  <a:pt x="100" y="210"/>
                </a:lnTo>
                <a:lnTo>
                  <a:pt x="100" y="212"/>
                </a:lnTo>
                <a:lnTo>
                  <a:pt x="28" y="212"/>
                </a:lnTo>
                <a:lnTo>
                  <a:pt x="22" y="208"/>
                </a:lnTo>
                <a:lnTo>
                  <a:pt x="14" y="201"/>
                </a:lnTo>
                <a:lnTo>
                  <a:pt x="11" y="197"/>
                </a:lnTo>
                <a:lnTo>
                  <a:pt x="6" y="191"/>
                </a:lnTo>
                <a:lnTo>
                  <a:pt x="0" y="186"/>
                </a:lnTo>
                <a:lnTo>
                  <a:pt x="0" y="25"/>
                </a:lnTo>
                <a:lnTo>
                  <a:pt x="9" y="17"/>
                </a:lnTo>
                <a:lnTo>
                  <a:pt x="14" y="10"/>
                </a:lnTo>
                <a:lnTo>
                  <a:pt x="18" y="4"/>
                </a:lnTo>
                <a:lnTo>
                  <a:pt x="24" y="3"/>
                </a:lnTo>
                <a:lnTo>
                  <a:pt x="26" y="0"/>
                </a:lnTo>
                <a:lnTo>
                  <a:pt x="33" y="0"/>
                </a:lnTo>
                <a:lnTo>
                  <a:pt x="133" y="0"/>
                </a:lnTo>
                <a:lnTo>
                  <a:pt x="147" y="6"/>
                </a:lnTo>
                <a:lnTo>
                  <a:pt x="152" y="13"/>
                </a:lnTo>
                <a:lnTo>
                  <a:pt x="162" y="25"/>
                </a:lnTo>
                <a:lnTo>
                  <a:pt x="167" y="30"/>
                </a:lnTo>
                <a:lnTo>
                  <a:pt x="171" y="37"/>
                </a:lnTo>
                <a:lnTo>
                  <a:pt x="171" y="103"/>
                </a:lnTo>
                <a:lnTo>
                  <a:pt x="167" y="109"/>
                </a:lnTo>
                <a:lnTo>
                  <a:pt x="162" y="112"/>
                </a:lnTo>
                <a:lnTo>
                  <a:pt x="156" y="116"/>
                </a:lnTo>
                <a:lnTo>
                  <a:pt x="148" y="117"/>
                </a:lnTo>
                <a:lnTo>
                  <a:pt x="140" y="119"/>
                </a:lnTo>
                <a:lnTo>
                  <a:pt x="84" y="119"/>
                </a:lnTo>
                <a:lnTo>
                  <a:pt x="74" y="113"/>
                </a:lnTo>
                <a:lnTo>
                  <a:pt x="70" y="109"/>
                </a:lnTo>
                <a:lnTo>
                  <a:pt x="69" y="103"/>
                </a:lnTo>
                <a:lnTo>
                  <a:pt x="69" y="100"/>
                </a:lnTo>
                <a:lnTo>
                  <a:pt x="69" y="99"/>
                </a:lnTo>
                <a:lnTo>
                  <a:pt x="121" y="99"/>
                </a:lnTo>
                <a:lnTo>
                  <a:pt x="128" y="90"/>
                </a:lnTo>
                <a:lnTo>
                  <a:pt x="133" y="85"/>
                </a:lnTo>
                <a:lnTo>
                  <a:pt x="133" y="68"/>
                </a:lnTo>
                <a:lnTo>
                  <a:pt x="130" y="62"/>
                </a:lnTo>
                <a:lnTo>
                  <a:pt x="128" y="55"/>
                </a:lnTo>
                <a:lnTo>
                  <a:pt x="122" y="54"/>
                </a:lnTo>
                <a:lnTo>
                  <a:pt x="81" y="54"/>
                </a:lnTo>
                <a:lnTo>
                  <a:pt x="73" y="55"/>
                </a:lnTo>
                <a:lnTo>
                  <a:pt x="69" y="61"/>
                </a:lnTo>
                <a:lnTo>
                  <a:pt x="63" y="64"/>
                </a:lnTo>
                <a:lnTo>
                  <a:pt x="58" y="71"/>
                </a:lnTo>
                <a:lnTo>
                  <a:pt x="55" y="79"/>
                </a:lnTo>
                <a:lnTo>
                  <a:pt x="54" y="90"/>
                </a:lnTo>
                <a:lnTo>
                  <a:pt x="52" y="107"/>
                </a:lnTo>
                <a:lnTo>
                  <a:pt x="54" y="119"/>
                </a:lnTo>
                <a:lnTo>
                  <a:pt x="59" y="134"/>
                </a:lnTo>
                <a:lnTo>
                  <a:pt x="70" y="142"/>
                </a:lnTo>
                <a:lnTo>
                  <a:pt x="78" y="145"/>
                </a:lnTo>
                <a:lnTo>
                  <a:pt x="87" y="145"/>
                </a:lnTo>
                <a:lnTo>
                  <a:pt x="110" y="145"/>
                </a:lnTo>
                <a:lnTo>
                  <a:pt x="125" y="145"/>
                </a:lnTo>
                <a:lnTo>
                  <a:pt x="133" y="147"/>
                </a:lnTo>
                <a:lnTo>
                  <a:pt x="148" y="140"/>
                </a:lnTo>
              </a:path>
            </a:pathLst>
          </a:custGeom>
          <a:solidFill>
            <a:srgbClr val="FFD521"/>
          </a:solidFill>
          <a:ln>
            <a:noFill/>
          </a:ln>
          <a:extLst>
            <a:ext uri="{91240B29-F687-4F45-9708-019B960494DF}">
              <a14:hiddenLine xmlns:a14="http://schemas.microsoft.com/office/drawing/2010/main" w="9525" cap="rnd">
                <a:solidFill>
                  <a:srgbClr val="000000"/>
                </a:solidFill>
                <a:round/>
                <a:headEnd/>
                <a:tailEnd/>
              </a14:hiddenLine>
            </a:ext>
          </a:extLst>
        </xdr:spPr>
      </xdr:sp>
      <xdr:sp macro="" textlink="">
        <xdr:nvSpPr>
          <xdr:cNvPr id="62945371" name="Oval 16">
            <a:extLst>
              <a:ext uri="{FF2B5EF4-FFF2-40B4-BE49-F238E27FC236}">
                <a16:creationId xmlns:a16="http://schemas.microsoft.com/office/drawing/2014/main" id="{679624B5-4102-4ED8-80B3-0B3D908E0D4C}"/>
              </a:ext>
            </a:extLst>
          </xdr:cNvPr>
          <xdr:cNvSpPr>
            <a:spLocks noChangeAspect="1" noChangeArrowheads="1"/>
          </xdr:cNvSpPr>
        </xdr:nvSpPr>
        <xdr:spPr bwMode="auto">
          <a:xfrm>
            <a:off x="3581" y="2092"/>
            <a:ext cx="35" cy="31"/>
          </a:xfrm>
          <a:prstGeom prst="ellipse">
            <a:avLst/>
          </a:prstGeom>
          <a:solidFill>
            <a:srgbClr val="72C7FF"/>
          </a:solidFill>
          <a:ln>
            <a:noFill/>
          </a:ln>
          <a:extLst>
            <a:ext uri="{91240B29-F687-4F45-9708-019B960494DF}">
              <a14:hiddenLine xmlns:a14="http://schemas.microsoft.com/office/drawing/2010/main" w="9525">
                <a:solidFill>
                  <a:srgbClr val="000000"/>
                </a:solidFill>
                <a:round/>
                <a:headEnd/>
                <a:tailEnd/>
              </a14:hiddenLine>
            </a:ext>
          </a:extLst>
        </xdr:spPr>
      </xdr:sp>
      <xdr:sp macro="" textlink="">
        <xdr:nvSpPr>
          <xdr:cNvPr id="62945372" name="Oval 17">
            <a:extLst>
              <a:ext uri="{FF2B5EF4-FFF2-40B4-BE49-F238E27FC236}">
                <a16:creationId xmlns:a16="http://schemas.microsoft.com/office/drawing/2014/main" id="{92AC4F0B-1C78-4886-B490-5D40114215B5}"/>
              </a:ext>
            </a:extLst>
          </xdr:cNvPr>
          <xdr:cNvSpPr>
            <a:spLocks noChangeAspect="1" noChangeArrowheads="1"/>
          </xdr:cNvSpPr>
        </xdr:nvSpPr>
        <xdr:spPr bwMode="auto">
          <a:xfrm>
            <a:off x="3768" y="2158"/>
            <a:ext cx="56" cy="56"/>
          </a:xfrm>
          <a:prstGeom prst="ellipse">
            <a:avLst/>
          </a:prstGeom>
          <a:solidFill>
            <a:srgbClr val="CA0000"/>
          </a:solidFill>
          <a:ln>
            <a:noFill/>
          </a:ln>
          <a:extLst>
            <a:ext uri="{91240B29-F687-4F45-9708-019B960494DF}">
              <a14:hiddenLine xmlns:a14="http://schemas.microsoft.com/office/drawing/2010/main" w="3175">
                <a:solidFill>
                  <a:srgbClr val="000000"/>
                </a:solidFill>
                <a:round/>
                <a:headEnd type="none" w="sm" len="sm"/>
                <a:tailEnd type="none" w="sm" len="sm"/>
              </a14:hiddenLine>
            </a:ext>
          </a:extLst>
        </xdr:spPr>
      </xdr:sp>
      <xdr:sp macro="" textlink="">
        <xdr:nvSpPr>
          <xdr:cNvPr id="62945373" name="Freeform 18">
            <a:extLst>
              <a:ext uri="{FF2B5EF4-FFF2-40B4-BE49-F238E27FC236}">
                <a16:creationId xmlns:a16="http://schemas.microsoft.com/office/drawing/2014/main" id="{90DB8270-AC22-41F5-B3EC-DD9DC85E2AB3}"/>
              </a:ext>
            </a:extLst>
          </xdr:cNvPr>
          <xdr:cNvSpPr>
            <a:spLocks noChangeAspect="1"/>
          </xdr:cNvSpPr>
        </xdr:nvSpPr>
        <xdr:spPr bwMode="auto">
          <a:xfrm>
            <a:off x="3776" y="2168"/>
            <a:ext cx="41" cy="38"/>
          </a:xfrm>
          <a:custGeom>
            <a:avLst/>
            <a:gdLst>
              <a:gd name="T0" fmla="*/ 0 w 170"/>
              <a:gd name="T1" fmla="*/ 0 h 158"/>
              <a:gd name="T2" fmla="*/ 0 w 170"/>
              <a:gd name="T3" fmla="*/ 0 h 158"/>
              <a:gd name="T4" fmla="*/ 0 w 170"/>
              <a:gd name="T5" fmla="*/ 0 h 158"/>
              <a:gd name="T6" fmla="*/ 0 w 170"/>
              <a:gd name="T7" fmla="*/ 0 h 158"/>
              <a:gd name="T8" fmla="*/ 0 w 170"/>
              <a:gd name="T9" fmla="*/ 0 h 158"/>
              <a:gd name="T10" fmla="*/ 0 w 170"/>
              <a:gd name="T11" fmla="*/ 0 h 158"/>
              <a:gd name="T12" fmla="*/ 0 w 170"/>
              <a:gd name="T13" fmla="*/ 0 h 158"/>
              <a:gd name="T14" fmla="*/ 0 w 170"/>
              <a:gd name="T15" fmla="*/ 0 h 158"/>
              <a:gd name="T16" fmla="*/ 0 w 170"/>
              <a:gd name="T17" fmla="*/ 0 h 158"/>
              <a:gd name="T18" fmla="*/ 0 w 170"/>
              <a:gd name="T19" fmla="*/ 0 h 158"/>
              <a:gd name="T20" fmla="*/ 0 w 170"/>
              <a:gd name="T21" fmla="*/ 0 h 158"/>
              <a:gd name="T22" fmla="*/ 0 w 170"/>
              <a:gd name="T23" fmla="*/ 0 h 158"/>
              <a:gd name="T24" fmla="*/ 0 w 170"/>
              <a:gd name="T25" fmla="*/ 0 h 158"/>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170"/>
              <a:gd name="T40" fmla="*/ 0 h 158"/>
              <a:gd name="T41" fmla="*/ 170 w 170"/>
              <a:gd name="T42" fmla="*/ 158 h 158"/>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170" h="158">
                <a:moveTo>
                  <a:pt x="170" y="0"/>
                </a:moveTo>
                <a:lnTo>
                  <a:pt x="137" y="14"/>
                </a:lnTo>
                <a:lnTo>
                  <a:pt x="115" y="19"/>
                </a:lnTo>
                <a:lnTo>
                  <a:pt x="103" y="21"/>
                </a:lnTo>
                <a:lnTo>
                  <a:pt x="93" y="26"/>
                </a:lnTo>
                <a:lnTo>
                  <a:pt x="83" y="36"/>
                </a:lnTo>
                <a:lnTo>
                  <a:pt x="65" y="57"/>
                </a:lnTo>
                <a:lnTo>
                  <a:pt x="53" y="73"/>
                </a:lnTo>
                <a:lnTo>
                  <a:pt x="47" y="81"/>
                </a:lnTo>
                <a:lnTo>
                  <a:pt x="37" y="102"/>
                </a:lnTo>
                <a:lnTo>
                  <a:pt x="25" y="121"/>
                </a:lnTo>
                <a:lnTo>
                  <a:pt x="15" y="134"/>
                </a:lnTo>
                <a:lnTo>
                  <a:pt x="0" y="158"/>
                </a:lnTo>
              </a:path>
            </a:pathLst>
          </a:custGeom>
          <a:noFill/>
          <a:ln w="5080">
            <a:solidFill>
              <a:srgbClr val="FFFFFF"/>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62945374" name="Freeform 19">
            <a:extLst>
              <a:ext uri="{FF2B5EF4-FFF2-40B4-BE49-F238E27FC236}">
                <a16:creationId xmlns:a16="http://schemas.microsoft.com/office/drawing/2014/main" id="{33E4EE0F-4D42-4CB6-81F1-D544384E7970}"/>
              </a:ext>
            </a:extLst>
          </xdr:cNvPr>
          <xdr:cNvSpPr>
            <a:spLocks noChangeAspect="1"/>
          </xdr:cNvSpPr>
        </xdr:nvSpPr>
        <xdr:spPr bwMode="auto">
          <a:xfrm>
            <a:off x="3786" y="2177"/>
            <a:ext cx="36" cy="34"/>
          </a:xfrm>
          <a:custGeom>
            <a:avLst/>
            <a:gdLst>
              <a:gd name="T0" fmla="*/ 0 w 153"/>
              <a:gd name="T1" fmla="*/ 0 h 141"/>
              <a:gd name="T2" fmla="*/ 0 w 153"/>
              <a:gd name="T3" fmla="*/ 0 h 141"/>
              <a:gd name="T4" fmla="*/ 0 w 153"/>
              <a:gd name="T5" fmla="*/ 0 h 141"/>
              <a:gd name="T6" fmla="*/ 0 w 153"/>
              <a:gd name="T7" fmla="*/ 0 h 141"/>
              <a:gd name="T8" fmla="*/ 0 w 153"/>
              <a:gd name="T9" fmla="*/ 0 h 141"/>
              <a:gd name="T10" fmla="*/ 0 w 153"/>
              <a:gd name="T11" fmla="*/ 0 h 141"/>
              <a:gd name="T12" fmla="*/ 0 w 153"/>
              <a:gd name="T13" fmla="*/ 0 h 141"/>
              <a:gd name="T14" fmla="*/ 0 w 153"/>
              <a:gd name="T15" fmla="*/ 0 h 141"/>
              <a:gd name="T16" fmla="*/ 0 w 153"/>
              <a:gd name="T17" fmla="*/ 0 h 141"/>
              <a:gd name="T18" fmla="*/ 0 w 153"/>
              <a:gd name="T19" fmla="*/ 0 h 141"/>
              <a:gd name="T20" fmla="*/ 0 w 153"/>
              <a:gd name="T21" fmla="*/ 0 h 141"/>
              <a:gd name="T22" fmla="*/ 0 w 153"/>
              <a:gd name="T23" fmla="*/ 0 h 141"/>
              <a:gd name="T24" fmla="*/ 0 w 153"/>
              <a:gd name="T25" fmla="*/ 0 h 141"/>
              <a:gd name="T26" fmla="*/ 0 w 153"/>
              <a:gd name="T27" fmla="*/ 0 h 141"/>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w 153"/>
              <a:gd name="T43" fmla="*/ 0 h 141"/>
              <a:gd name="T44" fmla="*/ 153 w 153"/>
              <a:gd name="T45" fmla="*/ 141 h 141"/>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T42" t="T43" r="T44" b="T45"/>
            <a:pathLst>
              <a:path w="153" h="141">
                <a:moveTo>
                  <a:pt x="153" y="0"/>
                </a:moveTo>
                <a:lnTo>
                  <a:pt x="129" y="0"/>
                </a:lnTo>
                <a:lnTo>
                  <a:pt x="110" y="6"/>
                </a:lnTo>
                <a:lnTo>
                  <a:pt x="96" y="17"/>
                </a:lnTo>
                <a:lnTo>
                  <a:pt x="81" y="22"/>
                </a:lnTo>
                <a:lnTo>
                  <a:pt x="69" y="35"/>
                </a:lnTo>
                <a:lnTo>
                  <a:pt x="53" y="49"/>
                </a:lnTo>
                <a:lnTo>
                  <a:pt x="43" y="59"/>
                </a:lnTo>
                <a:lnTo>
                  <a:pt x="34" y="71"/>
                </a:lnTo>
                <a:lnTo>
                  <a:pt x="27" y="84"/>
                </a:lnTo>
                <a:lnTo>
                  <a:pt x="10" y="97"/>
                </a:lnTo>
                <a:lnTo>
                  <a:pt x="2" y="113"/>
                </a:lnTo>
                <a:lnTo>
                  <a:pt x="1" y="125"/>
                </a:lnTo>
                <a:lnTo>
                  <a:pt x="0" y="141"/>
                </a:lnTo>
              </a:path>
            </a:pathLst>
          </a:custGeom>
          <a:noFill/>
          <a:ln w="5080">
            <a:solidFill>
              <a:srgbClr val="FFFFFF"/>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62945375" name="Freeform 20">
            <a:extLst>
              <a:ext uri="{FF2B5EF4-FFF2-40B4-BE49-F238E27FC236}">
                <a16:creationId xmlns:a16="http://schemas.microsoft.com/office/drawing/2014/main" id="{56B83F3A-9090-4668-8661-F46A28832823}"/>
              </a:ext>
            </a:extLst>
          </xdr:cNvPr>
          <xdr:cNvSpPr>
            <a:spLocks noChangeAspect="1"/>
          </xdr:cNvSpPr>
        </xdr:nvSpPr>
        <xdr:spPr bwMode="auto">
          <a:xfrm>
            <a:off x="3795" y="2189"/>
            <a:ext cx="29" cy="24"/>
          </a:xfrm>
          <a:custGeom>
            <a:avLst/>
            <a:gdLst>
              <a:gd name="T0" fmla="*/ 0 w 120"/>
              <a:gd name="T1" fmla="*/ 0 h 102"/>
              <a:gd name="T2" fmla="*/ 0 w 120"/>
              <a:gd name="T3" fmla="*/ 0 h 102"/>
              <a:gd name="T4" fmla="*/ 0 w 120"/>
              <a:gd name="T5" fmla="*/ 0 h 102"/>
              <a:gd name="T6" fmla="*/ 0 w 120"/>
              <a:gd name="T7" fmla="*/ 0 h 102"/>
              <a:gd name="T8" fmla="*/ 0 w 120"/>
              <a:gd name="T9" fmla="*/ 0 h 102"/>
              <a:gd name="T10" fmla="*/ 0 w 120"/>
              <a:gd name="T11" fmla="*/ 0 h 102"/>
              <a:gd name="T12" fmla="*/ 0 w 120"/>
              <a:gd name="T13" fmla="*/ 0 h 102"/>
              <a:gd name="T14" fmla="*/ 0 w 120"/>
              <a:gd name="T15" fmla="*/ 0 h 102"/>
              <a:gd name="T16" fmla="*/ 0 w 120"/>
              <a:gd name="T17" fmla="*/ 0 h 102"/>
              <a:gd name="T18" fmla="*/ 0 w 120"/>
              <a:gd name="T19" fmla="*/ 0 h 102"/>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20"/>
              <a:gd name="T31" fmla="*/ 0 h 102"/>
              <a:gd name="T32" fmla="*/ 120 w 120"/>
              <a:gd name="T33" fmla="*/ 102 h 102"/>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20" h="102">
                <a:moveTo>
                  <a:pt x="120" y="1"/>
                </a:moveTo>
                <a:lnTo>
                  <a:pt x="99" y="0"/>
                </a:lnTo>
                <a:lnTo>
                  <a:pt x="85" y="2"/>
                </a:lnTo>
                <a:lnTo>
                  <a:pt x="68" y="5"/>
                </a:lnTo>
                <a:lnTo>
                  <a:pt x="47" y="13"/>
                </a:lnTo>
                <a:lnTo>
                  <a:pt x="29" y="31"/>
                </a:lnTo>
                <a:lnTo>
                  <a:pt x="17" y="49"/>
                </a:lnTo>
                <a:lnTo>
                  <a:pt x="5" y="78"/>
                </a:lnTo>
                <a:lnTo>
                  <a:pt x="1" y="96"/>
                </a:lnTo>
                <a:lnTo>
                  <a:pt x="0" y="102"/>
                </a:lnTo>
              </a:path>
            </a:pathLst>
          </a:custGeom>
          <a:noFill/>
          <a:ln w="5080">
            <a:solidFill>
              <a:srgbClr val="FFFFFF"/>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62945376" name="Freeform 21">
            <a:extLst>
              <a:ext uri="{FF2B5EF4-FFF2-40B4-BE49-F238E27FC236}">
                <a16:creationId xmlns:a16="http://schemas.microsoft.com/office/drawing/2014/main" id="{269F7E99-0A1A-47D1-8CBD-6D5548969FB8}"/>
              </a:ext>
            </a:extLst>
          </xdr:cNvPr>
          <xdr:cNvSpPr>
            <a:spLocks noChangeAspect="1"/>
          </xdr:cNvSpPr>
        </xdr:nvSpPr>
        <xdr:spPr bwMode="auto">
          <a:xfrm>
            <a:off x="3803" y="2196"/>
            <a:ext cx="19" cy="16"/>
          </a:xfrm>
          <a:custGeom>
            <a:avLst/>
            <a:gdLst>
              <a:gd name="T0" fmla="*/ 0 w 78"/>
              <a:gd name="T1" fmla="*/ 0 h 67"/>
              <a:gd name="T2" fmla="*/ 0 w 78"/>
              <a:gd name="T3" fmla="*/ 0 h 67"/>
              <a:gd name="T4" fmla="*/ 0 w 78"/>
              <a:gd name="T5" fmla="*/ 0 h 67"/>
              <a:gd name="T6" fmla="*/ 0 w 78"/>
              <a:gd name="T7" fmla="*/ 0 h 67"/>
              <a:gd name="T8" fmla="*/ 0 w 78"/>
              <a:gd name="T9" fmla="*/ 0 h 67"/>
              <a:gd name="T10" fmla="*/ 0 w 78"/>
              <a:gd name="T11" fmla="*/ 0 h 67"/>
              <a:gd name="T12" fmla="*/ 0 w 78"/>
              <a:gd name="T13" fmla="*/ 0 h 67"/>
              <a:gd name="T14" fmla="*/ 0 w 78"/>
              <a:gd name="T15" fmla="*/ 0 h 67"/>
              <a:gd name="T16" fmla="*/ 0 60000 65536"/>
              <a:gd name="T17" fmla="*/ 0 60000 65536"/>
              <a:gd name="T18" fmla="*/ 0 60000 65536"/>
              <a:gd name="T19" fmla="*/ 0 60000 65536"/>
              <a:gd name="T20" fmla="*/ 0 60000 65536"/>
              <a:gd name="T21" fmla="*/ 0 60000 65536"/>
              <a:gd name="T22" fmla="*/ 0 60000 65536"/>
              <a:gd name="T23" fmla="*/ 0 60000 65536"/>
              <a:gd name="T24" fmla="*/ 0 w 78"/>
              <a:gd name="T25" fmla="*/ 0 h 67"/>
              <a:gd name="T26" fmla="*/ 78 w 78"/>
              <a:gd name="T27" fmla="*/ 67 h 67"/>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78" h="67">
                <a:moveTo>
                  <a:pt x="78" y="0"/>
                </a:moveTo>
                <a:lnTo>
                  <a:pt x="58" y="1"/>
                </a:lnTo>
                <a:lnTo>
                  <a:pt x="42" y="6"/>
                </a:lnTo>
                <a:lnTo>
                  <a:pt x="26" y="18"/>
                </a:lnTo>
                <a:lnTo>
                  <a:pt x="15" y="32"/>
                </a:lnTo>
                <a:lnTo>
                  <a:pt x="7" y="45"/>
                </a:lnTo>
                <a:lnTo>
                  <a:pt x="3" y="60"/>
                </a:lnTo>
                <a:lnTo>
                  <a:pt x="0" y="67"/>
                </a:lnTo>
              </a:path>
            </a:pathLst>
          </a:custGeom>
          <a:noFill/>
          <a:ln w="5080">
            <a:solidFill>
              <a:srgbClr val="FFFFFF"/>
            </a:solidFill>
            <a:round/>
            <a:headEnd/>
            <a:tailEnd/>
          </a:ln>
          <a:extLst>
            <a:ext uri="{909E8E84-426E-40DD-AFC4-6F175D3DCCD1}">
              <a14:hiddenFill xmlns:a14="http://schemas.microsoft.com/office/drawing/2010/main">
                <a:solidFill>
                  <a:srgbClr val="FFFFFF"/>
                </a:solidFill>
              </a14:hiddenFill>
            </a:ext>
          </a:extLst>
        </xdr:spPr>
      </xdr:sp>
    </xdr:grpSp>
    <xdr:clientData/>
  </xdr:twoCellAnchor>
</xdr:wsDr>
</file>

<file path=xl/drawings/drawing10.xml><?xml version="1.0" encoding="utf-8"?>
<xdr:wsDr xmlns:xdr="http://schemas.openxmlformats.org/drawingml/2006/spreadsheetDrawing" xmlns:a="http://schemas.openxmlformats.org/drawingml/2006/main">
  <xdr:twoCellAnchor>
    <xdr:from>
      <xdr:col>10</xdr:col>
      <xdr:colOff>159808</xdr:colOff>
      <xdr:row>30</xdr:row>
      <xdr:rowOff>0</xdr:rowOff>
    </xdr:from>
    <xdr:to>
      <xdr:col>24</xdr:col>
      <xdr:colOff>16981</xdr:colOff>
      <xdr:row>30</xdr:row>
      <xdr:rowOff>265377</xdr:rowOff>
    </xdr:to>
    <xdr:sp macro="" textlink="">
      <xdr:nvSpPr>
        <xdr:cNvPr id="2" name="Rectangle 1">
          <a:extLst>
            <a:ext uri="{FF2B5EF4-FFF2-40B4-BE49-F238E27FC236}">
              <a16:creationId xmlns:a16="http://schemas.microsoft.com/office/drawing/2014/main" id="{FC3626CD-55EB-4C9A-9DBC-A2400B5F36E1}"/>
            </a:ext>
          </a:extLst>
        </xdr:cNvPr>
        <xdr:cNvSpPr/>
      </xdr:nvSpPr>
      <xdr:spPr bwMode="auto">
        <a:xfrm>
          <a:off x="6595533" y="1722120"/>
          <a:ext cx="5672667" cy="249767"/>
        </a:xfrm>
        <a:prstGeom prst="rect">
          <a:avLst/>
        </a:prstGeom>
        <a:solidFill>
          <a:schemeClr val="accent5">
            <a:lumMod val="20000"/>
            <a:lumOff val="80000"/>
          </a:schemeClr>
        </a:solidFill>
        <a:ln w="9525" cap="flat" cmpd="sng" algn="ctr">
          <a:solidFill>
            <a:srgbClr val="000000"/>
          </a:solidFill>
          <a:prstDash val="solid"/>
          <a:round/>
          <a:headEnd type="none" w="med" len="med"/>
          <a:tailEnd type="none" w="med" len="med"/>
        </a:ln>
        <a:effectLst/>
      </xdr:spPr>
      <xdr:txBody>
        <a:bodyPr vertOverflow="clip" wrap="square" lIns="36000" tIns="36000" rIns="36000" bIns="36000" rtlCol="0" anchor="ctr" upright="1"/>
        <a:lstStyle/>
        <a:p>
          <a:pPr algn="ctr" rtl="0">
            <a:defRPr sz="1000"/>
          </a:pPr>
          <a:r>
            <a:rPr lang="en-US" sz="1100" b="0" i="0" u="none" strike="noStrike" baseline="0">
              <a:solidFill>
                <a:srgbClr val="003366"/>
              </a:solidFill>
              <a:latin typeface="Calibri"/>
              <a:ea typeface="Calibri"/>
              <a:cs typeface="Calibri"/>
            </a:rPr>
            <a:t>Enter the Net Shipped or drained values for each movement in these cells.</a:t>
          </a:r>
        </a:p>
      </xdr:txBody>
    </xdr:sp>
    <xdr:clientData/>
  </xdr:twoCellAnchor>
  <xdr:twoCellAnchor>
    <xdr:from>
      <xdr:col>7</xdr:col>
      <xdr:colOff>304800</xdr:colOff>
      <xdr:row>30</xdr:row>
      <xdr:rowOff>133350</xdr:rowOff>
    </xdr:from>
    <xdr:to>
      <xdr:col>10</xdr:col>
      <xdr:colOff>161925</xdr:colOff>
      <xdr:row>33</xdr:row>
      <xdr:rowOff>200025</xdr:rowOff>
    </xdr:to>
    <xdr:cxnSp macro="">
      <xdr:nvCxnSpPr>
        <xdr:cNvPr id="62862506" name="Straight Arrow Connector 3">
          <a:extLst>
            <a:ext uri="{FF2B5EF4-FFF2-40B4-BE49-F238E27FC236}">
              <a16:creationId xmlns:a16="http://schemas.microsoft.com/office/drawing/2014/main" id="{EAC78659-E143-45D5-8666-E58FD8AD592C}"/>
            </a:ext>
          </a:extLst>
        </xdr:cNvPr>
        <xdr:cNvCxnSpPr>
          <a:cxnSpLocks noChangeShapeType="1"/>
          <a:stCxn id="2" idx="1"/>
        </xdr:cNvCxnSpPr>
      </xdr:nvCxnSpPr>
      <xdr:spPr bwMode="auto">
        <a:xfrm flipH="1">
          <a:off x="8020050" y="8362950"/>
          <a:ext cx="1095375" cy="895350"/>
        </a:xfrm>
        <a:prstGeom prst="straightConnector1">
          <a:avLst/>
        </a:prstGeom>
        <a:noFill/>
        <a:ln w="9525"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11</xdr:col>
      <xdr:colOff>163618</xdr:colOff>
      <xdr:row>138</xdr:row>
      <xdr:rowOff>41487</xdr:rowOff>
    </xdr:from>
    <xdr:to>
      <xdr:col>24</xdr:col>
      <xdr:colOff>2275</xdr:colOff>
      <xdr:row>149</xdr:row>
      <xdr:rowOff>132999</xdr:rowOff>
    </xdr:to>
    <xdr:sp macro="" textlink="">
      <xdr:nvSpPr>
        <xdr:cNvPr id="5" name="Text Box 9">
          <a:extLst>
            <a:ext uri="{FF2B5EF4-FFF2-40B4-BE49-F238E27FC236}">
              <a16:creationId xmlns:a16="http://schemas.microsoft.com/office/drawing/2014/main" id="{22E43ABB-680B-4A07-9ECE-0EEB2894D5C0}"/>
            </a:ext>
          </a:extLst>
        </xdr:cNvPr>
        <xdr:cNvSpPr txBox="1">
          <a:spLocks noChangeArrowheads="1"/>
        </xdr:cNvSpPr>
      </xdr:nvSpPr>
      <xdr:spPr bwMode="auto">
        <a:xfrm>
          <a:off x="7387590" y="22994620"/>
          <a:ext cx="5427978" cy="1700179"/>
        </a:xfrm>
        <a:prstGeom prst="rect">
          <a:avLst/>
        </a:prstGeom>
        <a:solidFill>
          <a:srgbClr val="FFFFCC"/>
        </a:solidFill>
        <a:ln w="9525" algn="ctr">
          <a:solidFill>
            <a:srgbClr val="000000"/>
          </a:solidFill>
          <a:miter lim="800000"/>
          <a:headEnd/>
          <a:tailEnd/>
        </a:ln>
        <a:effectLst/>
      </xdr:spPr>
      <xdr:txBody>
        <a:bodyPr vertOverflow="clip" wrap="square" lIns="91440" tIns="91440" rIns="91440" bIns="91440" anchor="t" upright="1"/>
        <a:lstStyle/>
        <a:p>
          <a:pPr algn="l" rtl="0">
            <a:lnSpc>
              <a:spcPts val="1300"/>
            </a:lnSpc>
            <a:defRPr sz="1000"/>
          </a:pPr>
          <a:r>
            <a:rPr lang="en-US" sz="1100" b="0" i="0" u="none" strike="noStrike" baseline="0">
              <a:solidFill>
                <a:srgbClr val="000000"/>
              </a:solidFill>
              <a:latin typeface="Calibri"/>
              <a:ea typeface="Calibri"/>
              <a:cs typeface="Calibri"/>
            </a:rPr>
            <a:t>To use the calculator panels above, simply enter the data in the </a:t>
          </a:r>
          <a:r>
            <a:rPr lang="en-US" sz="1200" b="1" i="0" u="none" strike="noStrike" baseline="0">
              <a:solidFill>
                <a:srgbClr val="0000FF"/>
              </a:solidFill>
              <a:latin typeface="Verdana"/>
              <a:ea typeface="Verdana"/>
              <a:cs typeface="Calibri"/>
            </a:rPr>
            <a:t>blue</a:t>
          </a:r>
          <a:r>
            <a:rPr lang="en-US" sz="1100" b="0" i="0" u="none" strike="noStrike" baseline="0">
              <a:solidFill>
                <a:srgbClr val="000000"/>
              </a:solidFill>
              <a:latin typeface="Calibri"/>
              <a:ea typeface="Calibri"/>
              <a:cs typeface="Calibri"/>
            </a:rPr>
            <a:t> cells and the calculations will be performed automatically.</a:t>
          </a:r>
        </a:p>
        <a:p>
          <a:pPr algn="l" rtl="0">
            <a:lnSpc>
              <a:spcPts val="1200"/>
            </a:lnSpc>
            <a:defRPr sz="1000"/>
          </a:pPr>
          <a:r>
            <a:rPr lang="en-US" sz="1100" b="0" i="0" u="none" strike="noStrike" baseline="0">
              <a:solidFill>
                <a:srgbClr val="000000"/>
              </a:solidFill>
              <a:latin typeface="Calibri"/>
              <a:ea typeface="Calibri"/>
              <a:cs typeface="Calibri"/>
            </a:rPr>
            <a:t>Use these panels to determine shipping &amp; water drainage throughout the day.  </a:t>
          </a:r>
        </a:p>
        <a:p>
          <a:pPr algn="l" rtl="0">
            <a:lnSpc>
              <a:spcPts val="1200"/>
            </a:lnSpc>
            <a:defRPr sz="1000"/>
          </a:pPr>
          <a:r>
            <a:rPr lang="en-US" sz="1200" b="1" i="0" u="none" strike="noStrike" baseline="0">
              <a:solidFill>
                <a:srgbClr val="FF0000"/>
              </a:solidFill>
              <a:latin typeface="Verdana"/>
              <a:ea typeface="Verdana"/>
            </a:rPr>
            <a:t>Enter results in the 'Product Movements'</a:t>
          </a:r>
          <a:r>
            <a:rPr lang="en-US" sz="1100" b="0" i="0" u="none" strike="noStrike" baseline="0">
              <a:solidFill>
                <a:srgbClr val="000000"/>
              </a:solidFill>
              <a:latin typeface="Calibri"/>
              <a:ea typeface="Calibri"/>
              <a:cs typeface="Calibri"/>
            </a:rPr>
            <a:t> cells for the appropriate tank (and movement).  Multiple results will be totalised automatically. </a:t>
          </a:r>
        </a:p>
        <a:p>
          <a:pPr algn="l" rtl="0">
            <a:lnSpc>
              <a:spcPts val="1200"/>
            </a:lnSpc>
            <a:defRPr sz="1000"/>
          </a:pPr>
          <a:r>
            <a:rPr lang="en-US" sz="1100" b="0" i="0" u="none" strike="noStrike" baseline="0">
              <a:solidFill>
                <a:srgbClr val="000000"/>
              </a:solidFill>
              <a:latin typeface="Calibri"/>
              <a:ea typeface="Calibri"/>
              <a:cs typeface="Calibri"/>
            </a:rPr>
            <a:t>Use the RESET button to copy closing readings to opening readings.</a:t>
          </a:r>
        </a:p>
        <a:p>
          <a:pPr algn="l" rtl="0">
            <a:lnSpc>
              <a:spcPts val="1000"/>
            </a:lnSpc>
            <a:defRPr sz="1000"/>
          </a:pPr>
          <a:r>
            <a:rPr lang="en-US" sz="1100" b="0" i="0" u="none" strike="noStrike" baseline="0">
              <a:solidFill>
                <a:srgbClr val="000000"/>
              </a:solidFill>
              <a:latin typeface="Calibri"/>
              <a:ea typeface="Calibri"/>
              <a:cs typeface="Calibri"/>
            </a:rPr>
            <a:t>	</a:t>
          </a:r>
        </a:p>
      </xdr:txBody>
    </xdr:sp>
    <xdr:clientData/>
  </xdr:twoCellAnchor>
  <mc:AlternateContent xmlns:mc="http://schemas.openxmlformats.org/markup-compatibility/2006">
    <mc:Choice xmlns:a14="http://schemas.microsoft.com/office/drawing/2010/main" Requires="a14">
      <xdr:twoCellAnchor>
        <xdr:from>
          <xdr:col>10</xdr:col>
          <xdr:colOff>152400</xdr:colOff>
          <xdr:row>37</xdr:row>
          <xdr:rowOff>171450</xdr:rowOff>
        </xdr:from>
        <xdr:to>
          <xdr:col>11</xdr:col>
          <xdr:colOff>581025</xdr:colOff>
          <xdr:row>39</xdr:row>
          <xdr:rowOff>28575</xdr:rowOff>
        </xdr:to>
        <xdr:sp macro="" textlink="">
          <xdr:nvSpPr>
            <xdr:cNvPr id="458412" name="Button 27308" hidden="1">
              <a:extLst>
                <a:ext uri="{63B3BB69-23CF-44E3-9099-C40C66FF867C}">
                  <a14:compatExt spid="_x0000_s458412"/>
                </a:ext>
                <a:ext uri="{FF2B5EF4-FFF2-40B4-BE49-F238E27FC236}">
                  <a16:creationId xmlns:a16="http://schemas.microsoft.com/office/drawing/2014/main" id="{571C51E2-4D7F-4BCE-B0ED-F507FD3A8FDC}"/>
                </a:ext>
              </a:extLst>
            </xdr:cNvPr>
            <xdr:cNvSpPr/>
          </xdr:nvSpPr>
          <xdr:spPr bwMode="auto">
            <a:xfrm>
              <a:off x="0" y="0"/>
              <a:ext cx="0" cy="0"/>
            </a:xfrm>
            <a:prstGeom prst="rect">
              <a:avLst/>
            </a:prstGeom>
            <a:noFill/>
            <a:ln w="9525">
              <a:miter lim="800000"/>
              <a:headEnd/>
              <a:tailEnd/>
            </a:ln>
          </xdr:spPr>
          <xdr:txBody>
            <a:bodyPr vertOverflow="clip" wrap="square" lIns="36000" tIns="36000" rIns="36000" bIns="36000" anchor="ctr" upright="1"/>
            <a:lstStyle/>
            <a:p>
              <a:pPr algn="ctr" rtl="0">
                <a:defRPr sz="1000"/>
              </a:pPr>
              <a:r>
                <a:rPr lang="en-US" sz="1000" b="1" i="0" u="none" strike="noStrike" baseline="0">
                  <a:solidFill>
                    <a:srgbClr val="6699CC"/>
                  </a:solidFill>
                  <a:latin typeface="Arial"/>
                  <a:cs typeface="Arial"/>
                </a:rPr>
                <a:t>TANK RESET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209550</xdr:colOff>
          <xdr:row>45</xdr:row>
          <xdr:rowOff>123825</xdr:rowOff>
        </xdr:from>
        <xdr:to>
          <xdr:col>11</xdr:col>
          <xdr:colOff>647700</xdr:colOff>
          <xdr:row>46</xdr:row>
          <xdr:rowOff>161925</xdr:rowOff>
        </xdr:to>
        <xdr:sp macro="" textlink="">
          <xdr:nvSpPr>
            <xdr:cNvPr id="458420" name="Button 27316" hidden="1">
              <a:extLst>
                <a:ext uri="{63B3BB69-23CF-44E3-9099-C40C66FF867C}">
                  <a14:compatExt spid="_x0000_s458420"/>
                </a:ext>
                <a:ext uri="{FF2B5EF4-FFF2-40B4-BE49-F238E27FC236}">
                  <a16:creationId xmlns:a16="http://schemas.microsoft.com/office/drawing/2014/main" id="{365CF323-F264-4F18-A994-D3ED8769AD5C}"/>
                </a:ext>
              </a:extLst>
            </xdr:cNvPr>
            <xdr:cNvSpPr/>
          </xdr:nvSpPr>
          <xdr:spPr bwMode="auto">
            <a:xfrm>
              <a:off x="0" y="0"/>
              <a:ext cx="0" cy="0"/>
            </a:xfrm>
            <a:prstGeom prst="rect">
              <a:avLst/>
            </a:prstGeom>
            <a:noFill/>
            <a:ln w="9525">
              <a:miter lim="800000"/>
              <a:headEnd/>
              <a:tailEnd/>
            </a:ln>
          </xdr:spPr>
          <xdr:txBody>
            <a:bodyPr vertOverflow="clip" wrap="square" lIns="36000" tIns="36000" rIns="36000" bIns="36000" anchor="ctr" upright="1"/>
            <a:lstStyle/>
            <a:p>
              <a:pPr algn="ctr" rtl="0">
                <a:defRPr sz="1000"/>
              </a:pPr>
              <a:r>
                <a:rPr lang="en-US" sz="1000" b="1" i="0" u="none" strike="noStrike" baseline="0">
                  <a:solidFill>
                    <a:srgbClr val="6699CC"/>
                  </a:solidFill>
                  <a:latin typeface="Arial"/>
                  <a:cs typeface="Arial"/>
                </a:rPr>
                <a:t>TANK RESET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304800</xdr:colOff>
          <xdr:row>54</xdr:row>
          <xdr:rowOff>19050</xdr:rowOff>
        </xdr:from>
        <xdr:to>
          <xdr:col>11</xdr:col>
          <xdr:colOff>695325</xdr:colOff>
          <xdr:row>55</xdr:row>
          <xdr:rowOff>104775</xdr:rowOff>
        </xdr:to>
        <xdr:sp macro="" textlink="">
          <xdr:nvSpPr>
            <xdr:cNvPr id="458447" name="Button 27343" hidden="1">
              <a:extLst>
                <a:ext uri="{63B3BB69-23CF-44E3-9099-C40C66FF867C}">
                  <a14:compatExt spid="_x0000_s458447"/>
                </a:ext>
                <a:ext uri="{FF2B5EF4-FFF2-40B4-BE49-F238E27FC236}">
                  <a16:creationId xmlns:a16="http://schemas.microsoft.com/office/drawing/2014/main" id="{391BE29C-5A7B-48B3-9B7F-190FC890AB12}"/>
                </a:ext>
              </a:extLst>
            </xdr:cNvPr>
            <xdr:cNvSpPr/>
          </xdr:nvSpPr>
          <xdr:spPr bwMode="auto">
            <a:xfrm>
              <a:off x="0" y="0"/>
              <a:ext cx="0" cy="0"/>
            </a:xfrm>
            <a:prstGeom prst="rect">
              <a:avLst/>
            </a:prstGeom>
            <a:noFill/>
            <a:ln w="9525">
              <a:miter lim="800000"/>
              <a:headEnd/>
              <a:tailEnd/>
            </a:ln>
          </xdr:spPr>
          <xdr:txBody>
            <a:bodyPr vertOverflow="clip" wrap="square" lIns="36000" tIns="36000" rIns="36000" bIns="36000" anchor="ctr" upright="1"/>
            <a:lstStyle/>
            <a:p>
              <a:pPr algn="ctr" rtl="0">
                <a:defRPr sz="1000"/>
              </a:pPr>
              <a:r>
                <a:rPr lang="en-US" sz="1000" b="1" i="0" u="none" strike="noStrike" baseline="0">
                  <a:solidFill>
                    <a:srgbClr val="6699CC"/>
                  </a:solidFill>
                  <a:latin typeface="Arial"/>
                  <a:cs typeface="Arial"/>
                </a:rPr>
                <a:t>TANK RESET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352425</xdr:colOff>
          <xdr:row>61</xdr:row>
          <xdr:rowOff>114300</xdr:rowOff>
        </xdr:from>
        <xdr:to>
          <xdr:col>11</xdr:col>
          <xdr:colOff>790575</xdr:colOff>
          <xdr:row>62</xdr:row>
          <xdr:rowOff>190500</xdr:rowOff>
        </xdr:to>
        <xdr:sp macro="" textlink="">
          <xdr:nvSpPr>
            <xdr:cNvPr id="458607" name="Button 27503" hidden="1">
              <a:extLst>
                <a:ext uri="{63B3BB69-23CF-44E3-9099-C40C66FF867C}">
                  <a14:compatExt spid="_x0000_s458607"/>
                </a:ext>
                <a:ext uri="{FF2B5EF4-FFF2-40B4-BE49-F238E27FC236}">
                  <a16:creationId xmlns:a16="http://schemas.microsoft.com/office/drawing/2014/main" id="{610F5BF2-4C03-4B53-988E-313542E0B5C7}"/>
                </a:ext>
              </a:extLst>
            </xdr:cNvPr>
            <xdr:cNvSpPr/>
          </xdr:nvSpPr>
          <xdr:spPr bwMode="auto">
            <a:xfrm>
              <a:off x="0" y="0"/>
              <a:ext cx="0" cy="0"/>
            </a:xfrm>
            <a:prstGeom prst="rect">
              <a:avLst/>
            </a:prstGeom>
            <a:noFill/>
            <a:ln w="9525">
              <a:miter lim="800000"/>
              <a:headEnd/>
              <a:tailEnd/>
            </a:ln>
          </xdr:spPr>
          <xdr:txBody>
            <a:bodyPr vertOverflow="clip" wrap="square" lIns="36000" tIns="36000" rIns="36000" bIns="36000" anchor="ctr" upright="1"/>
            <a:lstStyle/>
            <a:p>
              <a:pPr algn="ctr" rtl="0">
                <a:defRPr sz="1000"/>
              </a:pPr>
              <a:r>
                <a:rPr lang="en-US" sz="1000" b="1" i="0" u="none" strike="noStrike" baseline="0">
                  <a:solidFill>
                    <a:srgbClr val="6699CC"/>
                  </a:solidFill>
                  <a:latin typeface="Arial"/>
                  <a:cs typeface="Arial"/>
                </a:rPr>
                <a:t>TANK RESET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361950</xdr:colOff>
          <xdr:row>70</xdr:row>
          <xdr:rowOff>0</xdr:rowOff>
        </xdr:from>
        <xdr:to>
          <xdr:col>11</xdr:col>
          <xdr:colOff>981075</xdr:colOff>
          <xdr:row>71</xdr:row>
          <xdr:rowOff>85725</xdr:rowOff>
        </xdr:to>
        <xdr:sp macro="" textlink="">
          <xdr:nvSpPr>
            <xdr:cNvPr id="458644" name="Button 27540" hidden="1">
              <a:extLst>
                <a:ext uri="{63B3BB69-23CF-44E3-9099-C40C66FF867C}">
                  <a14:compatExt spid="_x0000_s458644"/>
                </a:ext>
                <a:ext uri="{FF2B5EF4-FFF2-40B4-BE49-F238E27FC236}">
                  <a16:creationId xmlns:a16="http://schemas.microsoft.com/office/drawing/2014/main" id="{E9566FAC-CEFC-4B94-9C68-9BA2B47F932C}"/>
                </a:ext>
              </a:extLst>
            </xdr:cNvPr>
            <xdr:cNvSpPr/>
          </xdr:nvSpPr>
          <xdr:spPr bwMode="auto">
            <a:xfrm>
              <a:off x="0" y="0"/>
              <a:ext cx="0" cy="0"/>
            </a:xfrm>
            <a:prstGeom prst="rect">
              <a:avLst/>
            </a:prstGeom>
            <a:noFill/>
            <a:ln w="9525">
              <a:miter lim="800000"/>
              <a:headEnd/>
              <a:tailEnd/>
            </a:ln>
          </xdr:spPr>
          <xdr:txBody>
            <a:bodyPr vertOverflow="clip" wrap="square" lIns="36000" tIns="36000" rIns="36000" bIns="36000" anchor="ctr" upright="1"/>
            <a:lstStyle/>
            <a:p>
              <a:pPr algn="ctr" rtl="0">
                <a:defRPr sz="1000"/>
              </a:pPr>
              <a:r>
                <a:rPr lang="en-US" sz="1000" b="1" i="0" u="none" strike="noStrike" baseline="0">
                  <a:solidFill>
                    <a:srgbClr val="6699CC"/>
                  </a:solidFill>
                  <a:latin typeface="Arial"/>
                  <a:cs typeface="Arial"/>
                </a:rPr>
                <a:t>TANK RESET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238125</xdr:colOff>
          <xdr:row>93</xdr:row>
          <xdr:rowOff>114300</xdr:rowOff>
        </xdr:from>
        <xdr:to>
          <xdr:col>11</xdr:col>
          <xdr:colOff>819150</xdr:colOff>
          <xdr:row>94</xdr:row>
          <xdr:rowOff>190500</xdr:rowOff>
        </xdr:to>
        <xdr:sp macro="" textlink="">
          <xdr:nvSpPr>
            <xdr:cNvPr id="458645" name="Button 27541" hidden="1">
              <a:extLst>
                <a:ext uri="{63B3BB69-23CF-44E3-9099-C40C66FF867C}">
                  <a14:compatExt spid="_x0000_s458645"/>
                </a:ext>
                <a:ext uri="{FF2B5EF4-FFF2-40B4-BE49-F238E27FC236}">
                  <a16:creationId xmlns:a16="http://schemas.microsoft.com/office/drawing/2014/main" id="{E9E80044-063B-41BF-9280-CC21B5C6E4BD}"/>
                </a:ext>
              </a:extLst>
            </xdr:cNvPr>
            <xdr:cNvSpPr/>
          </xdr:nvSpPr>
          <xdr:spPr bwMode="auto">
            <a:xfrm>
              <a:off x="0" y="0"/>
              <a:ext cx="0" cy="0"/>
            </a:xfrm>
            <a:prstGeom prst="rect">
              <a:avLst/>
            </a:prstGeom>
            <a:noFill/>
            <a:ln w="9525">
              <a:miter lim="800000"/>
              <a:headEnd/>
              <a:tailEnd/>
            </a:ln>
          </xdr:spPr>
          <xdr:txBody>
            <a:bodyPr vertOverflow="clip" wrap="square" lIns="36000" tIns="36000" rIns="36000" bIns="36000" anchor="ctr" upright="1"/>
            <a:lstStyle/>
            <a:p>
              <a:pPr algn="ctr" rtl="0">
                <a:defRPr sz="1000"/>
              </a:pPr>
              <a:r>
                <a:rPr lang="en-US" sz="1000" b="1" i="0" u="none" strike="noStrike" baseline="0">
                  <a:solidFill>
                    <a:srgbClr val="6699CC"/>
                  </a:solidFill>
                  <a:latin typeface="Arial"/>
                  <a:cs typeface="Arial"/>
                </a:rPr>
                <a:t>TANK RESET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219075</xdr:colOff>
          <xdr:row>78</xdr:row>
          <xdr:rowOff>19050</xdr:rowOff>
        </xdr:from>
        <xdr:to>
          <xdr:col>11</xdr:col>
          <xdr:colOff>714375</xdr:colOff>
          <xdr:row>79</xdr:row>
          <xdr:rowOff>57150</xdr:rowOff>
        </xdr:to>
        <xdr:sp macro="" textlink="">
          <xdr:nvSpPr>
            <xdr:cNvPr id="458646" name="Button 27542" hidden="1">
              <a:extLst>
                <a:ext uri="{63B3BB69-23CF-44E3-9099-C40C66FF867C}">
                  <a14:compatExt spid="_x0000_s458646"/>
                </a:ext>
                <a:ext uri="{FF2B5EF4-FFF2-40B4-BE49-F238E27FC236}">
                  <a16:creationId xmlns:a16="http://schemas.microsoft.com/office/drawing/2014/main" id="{7220EFDD-5A14-4FF4-BF75-0C2E6AB8145F}"/>
                </a:ext>
              </a:extLst>
            </xdr:cNvPr>
            <xdr:cNvSpPr/>
          </xdr:nvSpPr>
          <xdr:spPr bwMode="auto">
            <a:xfrm>
              <a:off x="0" y="0"/>
              <a:ext cx="0" cy="0"/>
            </a:xfrm>
            <a:prstGeom prst="rect">
              <a:avLst/>
            </a:prstGeom>
            <a:noFill/>
            <a:ln w="9525">
              <a:miter lim="800000"/>
              <a:headEnd/>
              <a:tailEnd/>
            </a:ln>
          </xdr:spPr>
          <xdr:txBody>
            <a:bodyPr vertOverflow="clip" wrap="square" lIns="36000" tIns="36000" rIns="36000" bIns="36000" anchor="ctr" upright="1"/>
            <a:lstStyle/>
            <a:p>
              <a:pPr algn="ctr" rtl="0">
                <a:defRPr sz="1000"/>
              </a:pPr>
              <a:r>
                <a:rPr lang="en-US" sz="1000" b="1" i="0" u="none" strike="noStrike" baseline="0">
                  <a:solidFill>
                    <a:srgbClr val="6699CC"/>
                  </a:solidFill>
                  <a:latin typeface="Arial"/>
                  <a:cs typeface="Arial"/>
                </a:rPr>
                <a:t>TANK RESET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171450</xdr:colOff>
          <xdr:row>85</xdr:row>
          <xdr:rowOff>66675</xdr:rowOff>
        </xdr:from>
        <xdr:to>
          <xdr:col>11</xdr:col>
          <xdr:colOff>771525</xdr:colOff>
          <xdr:row>86</xdr:row>
          <xdr:rowOff>114300</xdr:rowOff>
        </xdr:to>
        <xdr:sp macro="" textlink="">
          <xdr:nvSpPr>
            <xdr:cNvPr id="458647" name="Button 27543" hidden="1">
              <a:extLst>
                <a:ext uri="{63B3BB69-23CF-44E3-9099-C40C66FF867C}">
                  <a14:compatExt spid="_x0000_s458647"/>
                </a:ext>
                <a:ext uri="{FF2B5EF4-FFF2-40B4-BE49-F238E27FC236}">
                  <a16:creationId xmlns:a16="http://schemas.microsoft.com/office/drawing/2014/main" id="{8618EDDF-031C-4B88-8471-FB53AFF6400D}"/>
                </a:ext>
              </a:extLst>
            </xdr:cNvPr>
            <xdr:cNvSpPr/>
          </xdr:nvSpPr>
          <xdr:spPr bwMode="auto">
            <a:xfrm>
              <a:off x="0" y="0"/>
              <a:ext cx="0" cy="0"/>
            </a:xfrm>
            <a:prstGeom prst="rect">
              <a:avLst/>
            </a:prstGeom>
            <a:noFill/>
            <a:ln w="9525">
              <a:miter lim="800000"/>
              <a:headEnd/>
              <a:tailEnd/>
            </a:ln>
          </xdr:spPr>
          <xdr:txBody>
            <a:bodyPr vertOverflow="clip" wrap="square" lIns="36000" tIns="36000" rIns="36000" bIns="36000" anchor="ctr" upright="1"/>
            <a:lstStyle/>
            <a:p>
              <a:pPr algn="ctr" rtl="0">
                <a:defRPr sz="1000"/>
              </a:pPr>
              <a:r>
                <a:rPr lang="en-US" sz="1000" b="1" i="0" u="none" strike="noStrike" baseline="0">
                  <a:solidFill>
                    <a:srgbClr val="6699CC"/>
                  </a:solidFill>
                  <a:latin typeface="Arial"/>
                  <a:cs typeface="Arial"/>
                </a:rPr>
                <a:t>TANK RESET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0</xdr:colOff>
          <xdr:row>20</xdr:row>
          <xdr:rowOff>0</xdr:rowOff>
        </xdr:from>
        <xdr:to>
          <xdr:col>5</xdr:col>
          <xdr:colOff>0</xdr:colOff>
          <xdr:row>21</xdr:row>
          <xdr:rowOff>0</xdr:rowOff>
        </xdr:to>
        <xdr:sp macro="" textlink="">
          <xdr:nvSpPr>
            <xdr:cNvPr id="495748" name="Button 28804" hidden="1">
              <a:extLst>
                <a:ext uri="{63B3BB69-23CF-44E3-9099-C40C66FF867C}">
                  <a14:compatExt spid="_x0000_s495748"/>
                </a:ext>
                <a:ext uri="{FF2B5EF4-FFF2-40B4-BE49-F238E27FC236}">
                  <a16:creationId xmlns:a16="http://schemas.microsoft.com/office/drawing/2014/main" id="{C8834ABB-4708-4BFD-BB5D-DA58FC92A1A1}"/>
                </a:ext>
              </a:extLst>
            </xdr:cNvPr>
            <xdr:cNvSpPr/>
          </xdr:nvSpPr>
          <xdr:spPr bwMode="auto">
            <a:xfrm>
              <a:off x="0" y="0"/>
              <a:ext cx="0" cy="0"/>
            </a:xfrm>
            <a:prstGeom prst="rect">
              <a:avLst/>
            </a:prstGeom>
            <a:noFill/>
            <a:ln w="9525">
              <a:miter lim="800000"/>
              <a:headEnd/>
              <a:tailEnd/>
            </a:ln>
          </xdr:spPr>
          <xdr:txBody>
            <a:bodyPr vertOverflow="clip" wrap="square" lIns="36000" tIns="36000" rIns="36000" bIns="36000" anchor="ctr" upright="1"/>
            <a:lstStyle/>
            <a:p>
              <a:pPr algn="ctr" rtl="0">
                <a:defRPr sz="1000"/>
              </a:pPr>
              <a:r>
                <a:rPr lang="en-US" sz="1000" b="1" i="0" u="none" strike="noStrike" baseline="0">
                  <a:solidFill>
                    <a:srgbClr val="6699CC"/>
                  </a:solidFill>
                  <a:latin typeface="Arial"/>
                  <a:cs typeface="Arial"/>
                </a:rPr>
                <a:t>TANK RESET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0</xdr:colOff>
          <xdr:row>60</xdr:row>
          <xdr:rowOff>0</xdr:rowOff>
        </xdr:from>
        <xdr:to>
          <xdr:col>13</xdr:col>
          <xdr:colOff>0</xdr:colOff>
          <xdr:row>61</xdr:row>
          <xdr:rowOff>0</xdr:rowOff>
        </xdr:to>
        <xdr:sp macro="" textlink="">
          <xdr:nvSpPr>
            <xdr:cNvPr id="495979" name="Button 29035" hidden="1">
              <a:extLst>
                <a:ext uri="{63B3BB69-23CF-44E3-9099-C40C66FF867C}">
                  <a14:compatExt spid="_x0000_s495979"/>
                </a:ext>
                <a:ext uri="{FF2B5EF4-FFF2-40B4-BE49-F238E27FC236}">
                  <a16:creationId xmlns:a16="http://schemas.microsoft.com/office/drawing/2014/main" id="{E23C00EA-BF40-4109-84A0-16BCAE3B4BCF}"/>
                </a:ext>
              </a:extLst>
            </xdr:cNvPr>
            <xdr:cNvSpPr/>
          </xdr:nvSpPr>
          <xdr:spPr bwMode="auto">
            <a:xfrm>
              <a:off x="0" y="0"/>
              <a:ext cx="0" cy="0"/>
            </a:xfrm>
            <a:prstGeom prst="rect">
              <a:avLst/>
            </a:prstGeom>
            <a:noFill/>
            <a:ln w="9525">
              <a:miter lim="800000"/>
              <a:headEnd/>
              <a:tailEnd/>
            </a:ln>
          </xdr:spPr>
          <xdr:txBody>
            <a:bodyPr vertOverflow="clip" wrap="square" lIns="36000" tIns="36000" rIns="36000" bIns="36000" anchor="ctr" upright="1"/>
            <a:lstStyle/>
            <a:p>
              <a:pPr algn="ctr" rtl="0">
                <a:defRPr sz="1000"/>
              </a:pPr>
              <a:r>
                <a:rPr lang="en-US" sz="1000" b="1" i="0" u="none" strike="noStrike" baseline="0">
                  <a:solidFill>
                    <a:srgbClr val="6699CC"/>
                  </a:solidFill>
                  <a:latin typeface="Arial"/>
                  <a:cs typeface="Arial"/>
                </a:rPr>
                <a:t>TANK RESET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266700</xdr:colOff>
          <xdr:row>117</xdr:row>
          <xdr:rowOff>190500</xdr:rowOff>
        </xdr:from>
        <xdr:to>
          <xdr:col>11</xdr:col>
          <xdr:colOff>809625</xdr:colOff>
          <xdr:row>119</xdr:row>
          <xdr:rowOff>76200</xdr:rowOff>
        </xdr:to>
        <xdr:sp macro="" textlink="">
          <xdr:nvSpPr>
            <xdr:cNvPr id="495980" name="Button 29036" hidden="1">
              <a:extLst>
                <a:ext uri="{63B3BB69-23CF-44E3-9099-C40C66FF867C}">
                  <a14:compatExt spid="_x0000_s495980"/>
                </a:ext>
                <a:ext uri="{FF2B5EF4-FFF2-40B4-BE49-F238E27FC236}">
                  <a16:creationId xmlns:a16="http://schemas.microsoft.com/office/drawing/2014/main" id="{194F923E-8221-459B-97B6-B11D94565111}"/>
                </a:ext>
              </a:extLst>
            </xdr:cNvPr>
            <xdr:cNvSpPr/>
          </xdr:nvSpPr>
          <xdr:spPr bwMode="auto">
            <a:xfrm>
              <a:off x="0" y="0"/>
              <a:ext cx="0" cy="0"/>
            </a:xfrm>
            <a:prstGeom prst="rect">
              <a:avLst/>
            </a:prstGeom>
            <a:noFill/>
            <a:ln w="9525">
              <a:miter lim="800000"/>
              <a:headEnd/>
              <a:tailEnd/>
            </a:ln>
          </xdr:spPr>
          <xdr:txBody>
            <a:bodyPr vertOverflow="clip" wrap="square" lIns="36000" tIns="36000" rIns="36000" bIns="36000" anchor="ctr" upright="1"/>
            <a:lstStyle/>
            <a:p>
              <a:pPr algn="ctr" rtl="0">
                <a:defRPr sz="1000"/>
              </a:pPr>
              <a:r>
                <a:rPr lang="en-US" sz="1000" b="1" i="0" u="none" strike="noStrike" baseline="0">
                  <a:solidFill>
                    <a:srgbClr val="6699CC"/>
                  </a:solidFill>
                  <a:latin typeface="Arial"/>
                  <a:cs typeface="Arial"/>
                </a:rPr>
                <a:t>TANK RESET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285750</xdr:colOff>
          <xdr:row>125</xdr:row>
          <xdr:rowOff>142875</xdr:rowOff>
        </xdr:from>
        <xdr:to>
          <xdr:col>12</xdr:col>
          <xdr:colOff>28575</xdr:colOff>
          <xdr:row>127</xdr:row>
          <xdr:rowOff>28575</xdr:rowOff>
        </xdr:to>
        <xdr:sp macro="" textlink="">
          <xdr:nvSpPr>
            <xdr:cNvPr id="495981" name="Button 29037" hidden="1">
              <a:extLst>
                <a:ext uri="{63B3BB69-23CF-44E3-9099-C40C66FF867C}">
                  <a14:compatExt spid="_x0000_s495981"/>
                </a:ext>
                <a:ext uri="{FF2B5EF4-FFF2-40B4-BE49-F238E27FC236}">
                  <a16:creationId xmlns:a16="http://schemas.microsoft.com/office/drawing/2014/main" id="{4930B945-F32E-4C48-AA40-1486E174A05F}"/>
                </a:ext>
              </a:extLst>
            </xdr:cNvPr>
            <xdr:cNvSpPr/>
          </xdr:nvSpPr>
          <xdr:spPr bwMode="auto">
            <a:xfrm>
              <a:off x="0" y="0"/>
              <a:ext cx="0" cy="0"/>
            </a:xfrm>
            <a:prstGeom prst="rect">
              <a:avLst/>
            </a:prstGeom>
            <a:noFill/>
            <a:ln w="9525">
              <a:miter lim="800000"/>
              <a:headEnd/>
              <a:tailEnd/>
            </a:ln>
          </xdr:spPr>
          <xdr:txBody>
            <a:bodyPr vertOverflow="clip" wrap="square" lIns="36000" tIns="36000" rIns="36000" bIns="36000" anchor="ctr" upright="1"/>
            <a:lstStyle/>
            <a:p>
              <a:pPr algn="ctr" rtl="0">
                <a:defRPr sz="1000"/>
              </a:pPr>
              <a:r>
                <a:rPr lang="en-US" sz="1000" b="1" i="0" u="none" strike="noStrike" baseline="0">
                  <a:solidFill>
                    <a:srgbClr val="6699CC"/>
                  </a:solidFill>
                  <a:latin typeface="Arial"/>
                  <a:cs typeface="Arial"/>
                </a:rPr>
                <a:t>TANK RESET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1885950</xdr:colOff>
          <xdr:row>52</xdr:row>
          <xdr:rowOff>66675</xdr:rowOff>
        </xdr:from>
        <xdr:to>
          <xdr:col>2</xdr:col>
          <xdr:colOff>2571750</xdr:colOff>
          <xdr:row>52</xdr:row>
          <xdr:rowOff>66675</xdr:rowOff>
        </xdr:to>
        <xdr:sp macro="" textlink="">
          <xdr:nvSpPr>
            <xdr:cNvPr id="495982" name="Button 29038" hidden="1">
              <a:extLst>
                <a:ext uri="{63B3BB69-23CF-44E3-9099-C40C66FF867C}">
                  <a14:compatExt spid="_x0000_s495982"/>
                </a:ext>
                <a:ext uri="{FF2B5EF4-FFF2-40B4-BE49-F238E27FC236}">
                  <a16:creationId xmlns:a16="http://schemas.microsoft.com/office/drawing/2014/main" id="{DC750A1A-4E31-4ED5-A915-82D03FD9BE29}"/>
                </a:ext>
              </a:extLst>
            </xdr:cNvPr>
            <xdr:cNvSpPr/>
          </xdr:nvSpPr>
          <xdr:spPr bwMode="auto">
            <a:xfrm>
              <a:off x="0" y="0"/>
              <a:ext cx="0" cy="0"/>
            </a:xfrm>
            <a:prstGeom prst="rect">
              <a:avLst/>
            </a:prstGeom>
            <a:noFill/>
            <a:ln w="9525">
              <a:miter lim="800000"/>
              <a:headEnd/>
              <a:tailEnd/>
            </a:ln>
          </xdr:spPr>
          <xdr:txBody>
            <a:bodyPr vertOverflow="clip" wrap="square" lIns="36000" tIns="36000" rIns="36000" bIns="36000" anchor="ctr" upright="1"/>
            <a:lstStyle/>
            <a:p>
              <a:pPr algn="ctr" rtl="0">
                <a:defRPr sz="1000"/>
              </a:pPr>
              <a:r>
                <a:rPr lang="en-US" sz="1000" b="1" i="0" u="none" strike="noStrike" baseline="0">
                  <a:solidFill>
                    <a:srgbClr val="6699CC"/>
                  </a:solidFill>
                  <a:latin typeface="Arial"/>
                  <a:cs typeface="Arial"/>
                </a:rPr>
                <a:t>TANK RESET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285750</xdr:colOff>
          <xdr:row>109</xdr:row>
          <xdr:rowOff>123825</xdr:rowOff>
        </xdr:from>
        <xdr:to>
          <xdr:col>11</xdr:col>
          <xdr:colOff>828675</xdr:colOff>
          <xdr:row>111</xdr:row>
          <xdr:rowOff>9525</xdr:rowOff>
        </xdr:to>
        <xdr:sp macro="" textlink="">
          <xdr:nvSpPr>
            <xdr:cNvPr id="56387601" name="Button 5744657" hidden="1">
              <a:extLst>
                <a:ext uri="{63B3BB69-23CF-44E3-9099-C40C66FF867C}">
                  <a14:compatExt spid="_x0000_s56387601"/>
                </a:ext>
                <a:ext uri="{FF2B5EF4-FFF2-40B4-BE49-F238E27FC236}">
                  <a16:creationId xmlns:a16="http://schemas.microsoft.com/office/drawing/2014/main" id="{6A363A1E-8015-4377-9123-B837718F0634}"/>
                </a:ext>
              </a:extLst>
            </xdr:cNvPr>
            <xdr:cNvSpPr/>
          </xdr:nvSpPr>
          <xdr:spPr bwMode="auto">
            <a:xfrm>
              <a:off x="0" y="0"/>
              <a:ext cx="0" cy="0"/>
            </a:xfrm>
            <a:prstGeom prst="rect">
              <a:avLst/>
            </a:prstGeom>
            <a:noFill/>
            <a:ln w="9525">
              <a:miter lim="800000"/>
              <a:headEnd/>
              <a:tailEnd/>
            </a:ln>
          </xdr:spPr>
          <xdr:txBody>
            <a:bodyPr vertOverflow="clip" wrap="square" lIns="36000" tIns="36000" rIns="36000" bIns="36000" anchor="ctr" upright="1"/>
            <a:lstStyle/>
            <a:p>
              <a:pPr algn="ctr" rtl="0">
                <a:defRPr sz="1000"/>
              </a:pPr>
              <a:r>
                <a:rPr lang="en-US" sz="1000" b="1" i="0" u="none" strike="noStrike" baseline="0">
                  <a:solidFill>
                    <a:srgbClr val="6699CC"/>
                  </a:solidFill>
                  <a:latin typeface="Arial"/>
                  <a:cs typeface="Arial"/>
                </a:rPr>
                <a:t>TANK RESET</a:t>
              </a:r>
            </a:p>
          </xdr:txBody>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xdr:twoCellAnchor>
    <xdr:from>
      <xdr:col>5</xdr:col>
      <xdr:colOff>178435</xdr:colOff>
      <xdr:row>0</xdr:row>
      <xdr:rowOff>57150</xdr:rowOff>
    </xdr:from>
    <xdr:to>
      <xdr:col>5</xdr:col>
      <xdr:colOff>2820918</xdr:colOff>
      <xdr:row>0</xdr:row>
      <xdr:rowOff>452077</xdr:rowOff>
    </xdr:to>
    <xdr:sp macro="" textlink="">
      <xdr:nvSpPr>
        <xdr:cNvPr id="5123" name="Rectangle 3">
          <a:extLst>
            <a:ext uri="{FF2B5EF4-FFF2-40B4-BE49-F238E27FC236}">
              <a16:creationId xmlns:a16="http://schemas.microsoft.com/office/drawing/2014/main" id="{DB1FBBBC-0832-4A3D-93A9-1BB3E5170FDF}"/>
            </a:ext>
          </a:extLst>
        </xdr:cNvPr>
        <xdr:cNvSpPr>
          <a:spLocks noChangeArrowheads="1"/>
        </xdr:cNvSpPr>
      </xdr:nvSpPr>
      <xdr:spPr bwMode="auto">
        <a:xfrm>
          <a:off x="8010525" y="57150"/>
          <a:ext cx="2590800" cy="409575"/>
        </a:xfrm>
        <a:prstGeom prst="rect">
          <a:avLst/>
        </a:prstGeom>
        <a:solidFill>
          <a:srgbClr val="CCECFF"/>
        </a:solidFill>
        <a:ln w="9525" algn="ctr">
          <a:solidFill>
            <a:srgbClr val="000000"/>
          </a:solidFill>
          <a:miter lim="800000"/>
          <a:headEnd/>
          <a:tailEnd/>
        </a:ln>
        <a:effectLst/>
      </xdr:spPr>
      <xdr:txBody>
        <a:bodyPr vertOverflow="clip" wrap="square" lIns="36000" tIns="36000" rIns="36000" bIns="36000" anchor="t" upright="1"/>
        <a:lstStyle/>
        <a:p>
          <a:pPr algn="ctr" rtl="1">
            <a:defRPr sz="1000"/>
          </a:pPr>
          <a:r>
            <a:rPr lang="en-US" sz="1000" b="1" i="0" strike="noStrike">
              <a:solidFill>
                <a:srgbClr val="000000"/>
              </a:solidFill>
              <a:latin typeface="Arial"/>
              <a:cs typeface="Arial"/>
            </a:rPr>
            <a:t>ALWAYS CLICK THE SORT BUTTON AFTER ADDING A WELL.</a:t>
          </a:r>
        </a:p>
      </xdr:txBody>
    </xdr:sp>
    <xdr:clientData/>
  </xdr:twoCellAnchor>
  <mc:AlternateContent xmlns:mc="http://schemas.openxmlformats.org/markup-compatibility/2006">
    <mc:Choice xmlns:a14="http://schemas.microsoft.com/office/drawing/2010/main" Requires="a14">
      <xdr:twoCellAnchor>
        <xdr:from>
          <xdr:col>3</xdr:col>
          <xdr:colOff>1238250</xdr:colOff>
          <xdr:row>0</xdr:row>
          <xdr:rowOff>104775</xdr:rowOff>
        </xdr:from>
        <xdr:to>
          <xdr:col>5</xdr:col>
          <xdr:colOff>0</xdr:colOff>
          <xdr:row>0</xdr:row>
          <xdr:rowOff>409575</xdr:rowOff>
        </xdr:to>
        <xdr:sp macro="" textlink="">
          <xdr:nvSpPr>
            <xdr:cNvPr id="5122" name="Button 2" hidden="1">
              <a:extLst>
                <a:ext uri="{63B3BB69-23CF-44E3-9099-C40C66FF867C}">
                  <a14:compatExt spid="_x0000_s5122"/>
                </a:ext>
                <a:ext uri="{FF2B5EF4-FFF2-40B4-BE49-F238E27FC236}">
                  <a16:creationId xmlns:a16="http://schemas.microsoft.com/office/drawing/2014/main" id="{FFAB96DB-A3FD-45C7-B43F-444A81DF00AF}"/>
                </a:ext>
              </a:extLst>
            </xdr:cNvPr>
            <xdr:cNvSpPr/>
          </xdr:nvSpPr>
          <xdr:spPr bwMode="auto">
            <a:xfrm>
              <a:off x="0" y="0"/>
              <a:ext cx="0" cy="0"/>
            </a:xfrm>
            <a:prstGeom prst="rect">
              <a:avLst/>
            </a:prstGeom>
            <a:noFill/>
            <a:ln w="9525">
              <a:miter lim="800000"/>
              <a:headEnd/>
              <a:tailEnd/>
            </a:ln>
          </xdr:spPr>
          <xdr:txBody>
            <a:bodyPr vertOverflow="clip" wrap="square" lIns="36000" tIns="36000" rIns="36000" bIns="36000" anchor="ctr" upright="1"/>
            <a:lstStyle/>
            <a:p>
              <a:pPr algn="ctr" rtl="0">
                <a:defRPr sz="1000"/>
              </a:pPr>
              <a:r>
                <a:rPr lang="en-US" sz="1100" b="1" i="0" u="none" strike="noStrike" baseline="0">
                  <a:solidFill>
                    <a:srgbClr val="FF0000"/>
                  </a:solidFill>
                  <a:latin typeface="Arial"/>
                  <a:cs typeface="Arial"/>
                </a:rPr>
                <a:t>SORT</a:t>
              </a:r>
            </a:p>
          </xdr:txBody>
        </xdr:sp>
        <xdr:clientData fPrintsWithSheet="0"/>
      </xdr:twoCellAnchor>
    </mc:Choice>
    <mc:Fallback/>
  </mc:AlternateContent>
</xdr:wsDr>
</file>

<file path=xl/drawings/drawing12.xml><?xml version="1.0" encoding="utf-8"?>
<xdr:wsDr xmlns:xdr="http://schemas.openxmlformats.org/drawingml/2006/spreadsheetDrawing" xmlns:a="http://schemas.openxmlformats.org/drawingml/2006/main">
  <xdr:twoCellAnchor editAs="oneCell">
    <xdr:from>
      <xdr:col>1</xdr:col>
      <xdr:colOff>142875</xdr:colOff>
      <xdr:row>1</xdr:row>
      <xdr:rowOff>180975</xdr:rowOff>
    </xdr:from>
    <xdr:to>
      <xdr:col>2</xdr:col>
      <xdr:colOff>295275</xdr:colOff>
      <xdr:row>4</xdr:row>
      <xdr:rowOff>161925</xdr:rowOff>
    </xdr:to>
    <xdr:pic>
      <xdr:nvPicPr>
        <xdr:cNvPr id="62864495" name="Picture 131" descr="Khalda logo">
          <a:extLst>
            <a:ext uri="{FF2B5EF4-FFF2-40B4-BE49-F238E27FC236}">
              <a16:creationId xmlns:a16="http://schemas.microsoft.com/office/drawing/2014/main" id="{5F8580C9-084E-42DF-8F49-7C874729B0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2475" y="352425"/>
          <a:ext cx="1114425"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171450</xdr:colOff>
      <xdr:row>31</xdr:row>
      <xdr:rowOff>38100</xdr:rowOff>
    </xdr:from>
    <xdr:to>
      <xdr:col>2</xdr:col>
      <xdr:colOff>323850</xdr:colOff>
      <xdr:row>33</xdr:row>
      <xdr:rowOff>180975</xdr:rowOff>
    </xdr:to>
    <xdr:pic>
      <xdr:nvPicPr>
        <xdr:cNvPr id="62864496" name="Picture 131" descr="Khalda logo">
          <a:extLst>
            <a:ext uri="{FF2B5EF4-FFF2-40B4-BE49-F238E27FC236}">
              <a16:creationId xmlns:a16="http://schemas.microsoft.com/office/drawing/2014/main" id="{919D7761-A5F2-4138-972C-74436D4B94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1050" y="7734300"/>
          <a:ext cx="1114425"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17</xdr:col>
      <xdr:colOff>9525</xdr:colOff>
      <xdr:row>7</xdr:row>
      <xdr:rowOff>167005</xdr:rowOff>
    </xdr:from>
    <xdr:to>
      <xdr:col>18</xdr:col>
      <xdr:colOff>9525</xdr:colOff>
      <xdr:row>10</xdr:row>
      <xdr:rowOff>38159</xdr:rowOff>
    </xdr:to>
    <xdr:sp macro="" textlink="">
      <xdr:nvSpPr>
        <xdr:cNvPr id="40965" name="Text Box 5">
          <a:extLst>
            <a:ext uri="{FF2B5EF4-FFF2-40B4-BE49-F238E27FC236}">
              <a16:creationId xmlns:a16="http://schemas.microsoft.com/office/drawing/2014/main" id="{38C51424-89E2-4CE2-942A-285A88E3C8D9}"/>
            </a:ext>
          </a:extLst>
        </xdr:cNvPr>
        <xdr:cNvSpPr txBox="1">
          <a:spLocks noChangeArrowheads="1"/>
        </xdr:cNvSpPr>
      </xdr:nvSpPr>
      <xdr:spPr bwMode="auto">
        <a:xfrm>
          <a:off x="3914775" y="1666875"/>
          <a:ext cx="1514475" cy="428625"/>
        </a:xfrm>
        <a:prstGeom prst="rect">
          <a:avLst/>
        </a:prstGeom>
        <a:solidFill>
          <a:srgbClr val="CCECFF"/>
        </a:solidFill>
        <a:ln w="9525" algn="ctr">
          <a:solidFill>
            <a:srgbClr val="000000"/>
          </a:solidFill>
          <a:miter lim="800000"/>
          <a:headEnd/>
          <a:tailEnd/>
        </a:ln>
        <a:effectLst/>
      </xdr:spPr>
      <xdr:txBody>
        <a:bodyPr vertOverflow="clip" wrap="square" lIns="36000" tIns="36000" rIns="36000" bIns="36000" anchor="t" upright="1"/>
        <a:lstStyle/>
        <a:p>
          <a:pPr algn="ctr" rtl="1">
            <a:defRPr sz="1000"/>
          </a:pPr>
          <a:r>
            <a:rPr lang="en-US" sz="1000" b="0" i="0" strike="noStrike">
              <a:solidFill>
                <a:srgbClr val="0000FF"/>
              </a:solidFill>
              <a:latin typeface="Arial"/>
              <a:cs typeface="Arial"/>
            </a:rPr>
            <a:t>Blue</a:t>
          </a:r>
          <a:r>
            <a:rPr lang="en-US" sz="1000" b="1" i="0" strike="noStrike">
              <a:solidFill>
                <a:srgbClr val="000000"/>
              </a:solidFill>
              <a:latin typeface="Arial"/>
              <a:cs typeface="Arial"/>
            </a:rPr>
            <a:t> text may be edited by the users</a:t>
          </a:r>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276225</xdr:colOff>
      <xdr:row>1</xdr:row>
      <xdr:rowOff>22225</xdr:rowOff>
    </xdr:from>
    <xdr:to>
      <xdr:col>1</xdr:col>
      <xdr:colOff>581025</xdr:colOff>
      <xdr:row>1</xdr:row>
      <xdr:rowOff>151033</xdr:rowOff>
    </xdr:to>
    <xdr:sp macro="" textlink="">
      <xdr:nvSpPr>
        <xdr:cNvPr id="2" name="Text Box 1">
          <a:extLst>
            <a:ext uri="{FF2B5EF4-FFF2-40B4-BE49-F238E27FC236}">
              <a16:creationId xmlns:a16="http://schemas.microsoft.com/office/drawing/2014/main" id="{2AFF72D6-DB42-4CE9-8952-FD18EE88F502}"/>
            </a:ext>
          </a:extLst>
        </xdr:cNvPr>
        <xdr:cNvSpPr txBox="1">
          <a:spLocks noChangeArrowheads="1"/>
        </xdr:cNvSpPr>
      </xdr:nvSpPr>
      <xdr:spPr bwMode="auto">
        <a:xfrm>
          <a:off x="489585" y="409575"/>
          <a:ext cx="304800" cy="123825"/>
        </a:xfrm>
        <a:prstGeom prst="rect">
          <a:avLst/>
        </a:prstGeom>
        <a:noFill/>
        <a:ln w="9525" algn="ctr">
          <a:noFill/>
          <a:miter lim="800000"/>
          <a:headEnd/>
          <a:tailEnd/>
        </a:ln>
        <a:effectLst/>
      </xdr:spPr>
      <xdr:txBody>
        <a:bodyPr vertOverflow="clip" wrap="square" lIns="27432" tIns="18288" rIns="27432" bIns="0" anchor="t" upright="1"/>
        <a:lstStyle/>
        <a:p>
          <a:pPr algn="ctr" rtl="0">
            <a:defRPr sz="1000"/>
          </a:pPr>
          <a:r>
            <a:rPr lang="en-US" sz="1100" b="0" i="0" u="none" strike="noStrike" baseline="0">
              <a:solidFill>
                <a:srgbClr val="FFFFFF"/>
              </a:solidFill>
              <a:latin typeface="Calibri"/>
              <a:ea typeface="Calibri"/>
              <a:cs typeface="Calibri"/>
            </a:rPr>
            <a:t>API</a:t>
          </a:r>
        </a:p>
      </xdr:txBody>
    </xdr:sp>
    <xdr:clientData/>
  </xdr:twoCellAnchor>
  <xdr:twoCellAnchor editAs="oneCell">
    <xdr:from>
      <xdr:col>0</xdr:col>
      <xdr:colOff>647700</xdr:colOff>
      <xdr:row>1</xdr:row>
      <xdr:rowOff>152400</xdr:rowOff>
    </xdr:from>
    <xdr:to>
      <xdr:col>1</xdr:col>
      <xdr:colOff>381000</xdr:colOff>
      <xdr:row>2</xdr:row>
      <xdr:rowOff>0</xdr:rowOff>
    </xdr:to>
    <xdr:sp macro="" textlink="">
      <xdr:nvSpPr>
        <xdr:cNvPr id="3" name="Text Box 2">
          <a:extLst>
            <a:ext uri="{FF2B5EF4-FFF2-40B4-BE49-F238E27FC236}">
              <a16:creationId xmlns:a16="http://schemas.microsoft.com/office/drawing/2014/main" id="{E1396570-6233-413F-BE80-9DB14FCA5754}"/>
            </a:ext>
          </a:extLst>
        </xdr:cNvPr>
        <xdr:cNvSpPr txBox="1">
          <a:spLocks noChangeArrowheads="1"/>
        </xdr:cNvSpPr>
      </xdr:nvSpPr>
      <xdr:spPr bwMode="auto">
        <a:xfrm>
          <a:off x="213360" y="533400"/>
          <a:ext cx="381000" cy="121920"/>
        </a:xfrm>
        <a:prstGeom prst="rect">
          <a:avLst/>
        </a:prstGeom>
        <a:noFill/>
        <a:ln w="9525" algn="ctr">
          <a:noFill/>
          <a:miter lim="800000"/>
          <a:headEnd/>
          <a:tailEnd/>
        </a:ln>
        <a:effectLst/>
      </xdr:spPr>
      <xdr:txBody>
        <a:bodyPr vertOverflow="clip" wrap="square" lIns="27432" tIns="18288" rIns="27432" bIns="0" anchor="t" upright="1"/>
        <a:lstStyle/>
        <a:p>
          <a:pPr algn="ctr" rtl="0">
            <a:defRPr sz="1000"/>
          </a:pPr>
          <a:r>
            <a:rPr lang="en-US" sz="1100" b="0" i="0" u="none" strike="noStrike" baseline="0">
              <a:solidFill>
                <a:srgbClr val="FFFFFF"/>
              </a:solidFill>
              <a:latin typeface="Calibri"/>
              <a:ea typeface="Calibri"/>
              <a:cs typeface="Calibri"/>
            </a:rPr>
            <a:t>TEMP</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Kprod1\E\Documents%20and%20Settings\karamaeng\Local%20Settings\Temporary%20Internet%20Files\Content.Outlook\0FQX3USJ\Documents%20and%20Settings\karamaeng\Local%20Settings\Temporary%20Interne"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Rsv_sheren_said\prod%20reports%20(feb-12-09)%20on%20shereen_elsaied%20(pc_770)\Users\monia.khoury\Downloads\SUMPETCO%20REPORT%2027-SEP-0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g_fs\AG_FS\Departments\lab\AG%20lab%20daily%20report%20archive\8-28-2016_A-G%20Chem%20Lab%20daily%20NEW%20report.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g_fs\AG_FS\Departments\lab\AG%20lab%20daily%20report%20archive\8-31-2016_A-G%20Chem%20Lab%20daily%20NEW%20report.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
      <sheetName val="WELL TESTS"/>
      <sheetName val="WELL DATA"/>
      <sheetName val="WATER FLOOD WELLS"/>
      <sheetName val="INJECTION DATA"/>
      <sheetName val="PROCESS"/>
      <sheetName val="SHIPPING+STORAGE"/>
      <sheetName val="MANIFOLDS"/>
      <sheetName val="DFL SHOTS"/>
      <sheetName val="SRP DATA"/>
      <sheetName val="LAB DATA-CHEM"/>
      <sheetName val="EQUIP"/>
      <sheetName val="DATA INPUT"/>
      <sheetName val="WELL LIST"/>
    </sheetNames>
    <sheetDataSet>
      <sheetData sheetId="0" refreshError="1"/>
      <sheetData sheetId="1" refreshError="1"/>
      <sheetData sheetId="2">
        <row r="256">
          <cell r="D256" t="str">
            <v>INJ</v>
          </cell>
        </row>
        <row r="257">
          <cell r="D257" t="str">
            <v>ESP</v>
          </cell>
        </row>
        <row r="258">
          <cell r="D258" t="str">
            <v>S/BY</v>
          </cell>
        </row>
        <row r="259">
          <cell r="D259" t="str">
            <v>SI</v>
          </cell>
        </row>
        <row r="260">
          <cell r="D260" t="str">
            <v>SI DHP</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
      <sheetName val="WELL TESTS"/>
      <sheetName val="WELL DATA"/>
      <sheetName val="WELL DATA SRP"/>
      <sheetName val="WATER FLOOD WELLS"/>
      <sheetName val="INJECTION DATA"/>
      <sheetName val="PROCESS"/>
      <sheetName val="SHIPPING+STORAGE"/>
      <sheetName val="MANIFOLDS"/>
      <sheetName val="DFL SHOTS"/>
      <sheetName val="LAB DATA-CHEM"/>
      <sheetName val="EQUIP"/>
      <sheetName val="DATA INPUT"/>
      <sheetName val="WELL LIST"/>
      <sheetName val="ADM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4">
          <cell r="I24" t="str">
            <v>ESTIMATED</v>
          </cell>
        </row>
        <row r="25">
          <cell r="I25" t="str">
            <v>ULTRA SONIC</v>
          </cell>
        </row>
        <row r="26">
          <cell r="I26" t="str">
            <v>FIXED FLOW METER</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nroutine GAS 1"/>
      <sheetName val="unroutine GAS 2"/>
      <sheetName val="Fuel gas"/>
      <sheetName val=" Residue"/>
      <sheetName val="GAS ANALYSIS"/>
      <sheetName val="Crude oil new"/>
      <sheetName val="DAILY REPORT"/>
      <sheetName val="water maker 2"/>
      <sheetName val="Sheet6"/>
      <sheetName val="source name"/>
      <sheetName val="start_sheet"/>
      <sheetName val="Sheet1"/>
      <sheetName val="water_well"/>
      <sheetName val="ACID_SAMPLES"/>
      <sheetName val="ACID_SAMPLES_DATABASE"/>
      <sheetName val="coupon"/>
      <sheetName val="gas_analysis_database"/>
      <sheetName val="well database"/>
      <sheetName val="PROCESS_DATABASE"/>
      <sheetName val="SKIMMER_DATABASE"/>
      <sheetName val="water_well_database"/>
      <sheetName val="coupon_database"/>
      <sheetName val="All_gas_analysis"/>
      <sheetName val="Counter"/>
      <sheetName val="Sheet8"/>
    </sheetNames>
    <sheetDataSet>
      <sheetData sheetId="0"/>
      <sheetData sheetId="1"/>
      <sheetData sheetId="2"/>
      <sheetData sheetId="3"/>
      <sheetData sheetId="4"/>
      <sheetData sheetId="5"/>
      <sheetData sheetId="6"/>
      <sheetData sheetId="7"/>
      <sheetData sheetId="8"/>
      <sheetData sheetId="9">
        <row r="4">
          <cell r="C4" t="str">
            <v>AG-3</v>
          </cell>
          <cell r="P4" t="str">
            <v>AG TANK # 201</v>
          </cell>
        </row>
        <row r="5">
          <cell r="C5" t="str">
            <v>AG-13</v>
          </cell>
          <cell r="P5" t="str">
            <v>AG TANK # 202</v>
          </cell>
        </row>
        <row r="6">
          <cell r="C6" t="str">
            <v>AG-15</v>
          </cell>
          <cell r="P6" t="str">
            <v>OUTLET SEP. ( 101 )</v>
          </cell>
        </row>
        <row r="7">
          <cell r="C7" t="str">
            <v>AG-24</v>
          </cell>
          <cell r="P7" t="str">
            <v>OUTLET SEP. ( 102 )</v>
          </cell>
        </row>
        <row r="8">
          <cell r="C8" t="str">
            <v>AG-25ST1</v>
          </cell>
          <cell r="P8" t="str">
            <v/>
          </cell>
        </row>
        <row r="9">
          <cell r="C9" t="str">
            <v>AG-27</v>
          </cell>
          <cell r="P9" t="str">
            <v/>
          </cell>
        </row>
        <row r="10">
          <cell r="C10" t="str">
            <v>AG-28</v>
          </cell>
          <cell r="P10" t="str">
            <v/>
          </cell>
        </row>
        <row r="11">
          <cell r="C11" t="str">
            <v>AG-29A</v>
          </cell>
          <cell r="P11" t="str">
            <v/>
          </cell>
        </row>
        <row r="12">
          <cell r="C12" t="str">
            <v>AG-31</v>
          </cell>
          <cell r="P12" t="str">
            <v/>
          </cell>
        </row>
        <row r="13">
          <cell r="C13" t="str">
            <v>AG-42</v>
          </cell>
          <cell r="P13" t="str">
            <v/>
          </cell>
        </row>
        <row r="14">
          <cell r="C14" t="str">
            <v>AG-44</v>
          </cell>
          <cell r="P14" t="str">
            <v/>
          </cell>
        </row>
        <row r="15">
          <cell r="C15" t="str">
            <v>AG-52</v>
          </cell>
          <cell r="P15" t="str">
            <v/>
          </cell>
        </row>
        <row r="16">
          <cell r="C16" t="str">
            <v>AG-53</v>
          </cell>
          <cell r="P16" t="str">
            <v/>
          </cell>
        </row>
        <row r="17">
          <cell r="C17" t="str">
            <v>AG-62</v>
          </cell>
          <cell r="P17" t="str">
            <v/>
          </cell>
        </row>
        <row r="18">
          <cell r="C18" t="str">
            <v>AG-64</v>
          </cell>
          <cell r="P18" t="str">
            <v/>
          </cell>
        </row>
        <row r="19">
          <cell r="C19" t="str">
            <v>AG-65</v>
          </cell>
          <cell r="P19" t="str">
            <v/>
          </cell>
        </row>
        <row r="20">
          <cell r="C20" t="str">
            <v>AG-68</v>
          </cell>
          <cell r="P20" t="str">
            <v/>
          </cell>
        </row>
        <row r="21">
          <cell r="C21" t="str">
            <v>AG-83</v>
          </cell>
          <cell r="P21" t="str">
            <v/>
          </cell>
        </row>
        <row r="22">
          <cell r="C22" t="str">
            <v>AG-121X</v>
          </cell>
          <cell r="P22" t="str">
            <v/>
          </cell>
        </row>
        <row r="23">
          <cell r="C23" t="str">
            <v>AG-130X</v>
          </cell>
          <cell r="P23" t="str">
            <v/>
          </cell>
        </row>
        <row r="24">
          <cell r="C24" t="str">
            <v>AG-131X</v>
          </cell>
          <cell r="P24" t="str">
            <v/>
          </cell>
        </row>
        <row r="25">
          <cell r="C25" t="str">
            <v>AG-132</v>
          </cell>
          <cell r="P25" t="str">
            <v/>
          </cell>
        </row>
        <row r="26">
          <cell r="C26" t="str">
            <v>EBED-A1X</v>
          </cell>
        </row>
        <row r="27">
          <cell r="C27" t="str">
            <v>Shadow - 1x</v>
          </cell>
        </row>
        <row r="28">
          <cell r="C28" t="str">
            <v>Shadow 2x</v>
          </cell>
        </row>
        <row r="29">
          <cell r="C29" t="str">
            <v>Shadow - 3</v>
          </cell>
        </row>
        <row r="30">
          <cell r="C30" t="str">
            <v>Shadow- E1x</v>
          </cell>
        </row>
        <row r="31">
          <cell r="C31" t="str">
            <v>SHADOW- 4 H</v>
          </cell>
        </row>
        <row r="32">
          <cell r="C32" t="str">
            <v>AG-2A</v>
          </cell>
        </row>
        <row r="33">
          <cell r="C33" t="str">
            <v>AG-57st2</v>
          </cell>
        </row>
        <row r="34">
          <cell r="C34" t="str">
            <v>AG-69</v>
          </cell>
        </row>
        <row r="35">
          <cell r="C35" t="str">
            <v>AG-81</v>
          </cell>
        </row>
        <row r="36">
          <cell r="C36" t="str">
            <v>AG-88X</v>
          </cell>
        </row>
        <row r="37">
          <cell r="C37" t="str">
            <v>AG-90</v>
          </cell>
        </row>
        <row r="38">
          <cell r="C38" t="str">
            <v>AG-91</v>
          </cell>
        </row>
        <row r="39">
          <cell r="C39" t="str">
            <v>AG-96</v>
          </cell>
        </row>
        <row r="40">
          <cell r="C40" t="str">
            <v>AG-97</v>
          </cell>
        </row>
        <row r="41">
          <cell r="C41" t="str">
            <v xml:space="preserve"> AG-101</v>
          </cell>
        </row>
        <row r="42">
          <cell r="C42" t="str">
            <v xml:space="preserve"> AG-102</v>
          </cell>
        </row>
        <row r="43">
          <cell r="C43" t="str">
            <v>AG-103</v>
          </cell>
        </row>
        <row r="44">
          <cell r="C44" t="str">
            <v xml:space="preserve"> AG-108</v>
          </cell>
        </row>
        <row r="45">
          <cell r="C45" t="str">
            <v xml:space="preserve"> AG-106</v>
          </cell>
        </row>
        <row r="46">
          <cell r="C46" t="str">
            <v xml:space="preserve"> AG-107</v>
          </cell>
        </row>
        <row r="47">
          <cell r="C47" t="str">
            <v xml:space="preserve"> AG-110</v>
          </cell>
        </row>
        <row r="48">
          <cell r="C48" t="str">
            <v xml:space="preserve"> AG-116</v>
          </cell>
        </row>
        <row r="49">
          <cell r="C49" t="str">
            <v xml:space="preserve"> AG-115H</v>
          </cell>
        </row>
        <row r="50">
          <cell r="C50" t="str">
            <v>AG-118</v>
          </cell>
        </row>
        <row r="51">
          <cell r="C51" t="str">
            <v>AG-120</v>
          </cell>
        </row>
        <row r="52">
          <cell r="C52" t="str">
            <v>AG-123A</v>
          </cell>
        </row>
        <row r="53">
          <cell r="C53" t="str">
            <v>AG-125</v>
          </cell>
        </row>
        <row r="54">
          <cell r="C54" t="str">
            <v>MEGHAR- 8</v>
          </cell>
        </row>
        <row r="55">
          <cell r="C55" t="str">
            <v>MEGHAR-10</v>
          </cell>
        </row>
        <row r="56">
          <cell r="C56" t="str">
            <v>PACIFIC-2X</v>
          </cell>
        </row>
        <row r="57">
          <cell r="C57" t="str">
            <v>REVIERA-1X ST</v>
          </cell>
        </row>
        <row r="58">
          <cell r="C58" t="str">
            <v>REVIERA-2</v>
          </cell>
        </row>
        <row r="59">
          <cell r="C59" t="str">
            <v>OLYMPIC-1X</v>
          </cell>
        </row>
        <row r="61">
          <cell r="C61" t="str">
            <v>SPYGLASS#2</v>
          </cell>
        </row>
        <row r="62">
          <cell r="C62" t="str">
            <v>SWAG-2</v>
          </cell>
        </row>
        <row r="63">
          <cell r="C63" t="str">
            <v>SWAG-3</v>
          </cell>
        </row>
        <row r="64">
          <cell r="C64" t="str">
            <v>SWAG-5</v>
          </cell>
        </row>
        <row r="65">
          <cell r="C65" t="str">
            <v>NAG-1</v>
          </cell>
        </row>
        <row r="66">
          <cell r="C66" t="str">
            <v>WD-33-15-4</v>
          </cell>
        </row>
        <row r="67">
          <cell r="C67" t="str">
            <v>WD-33-15-5</v>
          </cell>
        </row>
        <row r="68">
          <cell r="C68" t="str">
            <v>WD-33-2</v>
          </cell>
        </row>
        <row r="69">
          <cell r="C69" t="str">
            <v>WD-33-5x</v>
          </cell>
        </row>
        <row r="70">
          <cell r="C70" t="str">
            <v>WD-33-6x</v>
          </cell>
        </row>
        <row r="71">
          <cell r="C71" t="str">
            <v>WD-33-8x</v>
          </cell>
        </row>
        <row r="72">
          <cell r="C72" t="str">
            <v>WD-33-10</v>
          </cell>
        </row>
        <row r="73">
          <cell r="C73" t="str">
            <v>WD-33-11</v>
          </cell>
        </row>
        <row r="74">
          <cell r="C74" t="str">
            <v>WD-33-19</v>
          </cell>
        </row>
        <row r="75">
          <cell r="C75" t="str">
            <v>WD-33-20</v>
          </cell>
        </row>
        <row r="76">
          <cell r="C76" t="str">
            <v>WD-33-21</v>
          </cell>
        </row>
        <row r="82">
          <cell r="C82" t="str">
            <v>MRZK-1</v>
          </cell>
        </row>
        <row r="83">
          <cell r="C83" t="str">
            <v>MRZK-7</v>
          </cell>
        </row>
        <row r="84">
          <cell r="C84" t="str">
            <v>MRZK-14B</v>
          </cell>
        </row>
        <row r="85">
          <cell r="C85" t="str">
            <v>MRZK-28</v>
          </cell>
        </row>
        <row r="86">
          <cell r="C86" t="str">
            <v>MRZK-29</v>
          </cell>
        </row>
        <row r="87">
          <cell r="C87" t="str">
            <v>MRZK-44</v>
          </cell>
        </row>
        <row r="88">
          <cell r="C88" t="str">
            <v>MRZK-52</v>
          </cell>
        </row>
        <row r="89">
          <cell r="C89" t="str">
            <v>MRZK-75</v>
          </cell>
        </row>
        <row r="90">
          <cell r="C90" t="str">
            <v>MRZK-76</v>
          </cell>
        </row>
        <row r="91">
          <cell r="C91" t="str">
            <v>MRZK-78X</v>
          </cell>
        </row>
        <row r="92">
          <cell r="C92" t="str">
            <v>MRZK-97</v>
          </cell>
        </row>
        <row r="93">
          <cell r="C93" t="str">
            <v>MRZK-103</v>
          </cell>
        </row>
        <row r="94">
          <cell r="C94" t="str">
            <v>MRZK-104</v>
          </cell>
        </row>
        <row r="95">
          <cell r="C95" t="str">
            <v>MRZK-105</v>
          </cell>
        </row>
        <row r="96">
          <cell r="C96" t="str">
            <v>MRZK-106</v>
          </cell>
        </row>
        <row r="97">
          <cell r="C97" t="str">
            <v>MRZK-107</v>
          </cell>
        </row>
        <row r="98">
          <cell r="C98" t="str">
            <v>MRZK-131</v>
          </cell>
        </row>
        <row r="99">
          <cell r="C99" t="str">
            <v>MRZK-133</v>
          </cell>
        </row>
        <row r="100">
          <cell r="C100" t="str">
            <v>MRZK-135B</v>
          </cell>
        </row>
        <row r="101">
          <cell r="C101" t="str">
            <v>MRZK-136</v>
          </cell>
        </row>
        <row r="102">
          <cell r="C102" t="str">
            <v>MRZK-144</v>
          </cell>
        </row>
        <row r="103">
          <cell r="C103" t="str">
            <v>MRZK-146</v>
          </cell>
        </row>
        <row r="104">
          <cell r="C104" t="str">
            <v>MRZK-154</v>
          </cell>
        </row>
        <row r="105">
          <cell r="C105" t="str">
            <v>MRZK-164</v>
          </cell>
        </row>
        <row r="106">
          <cell r="C106" t="str">
            <v>WRZK-12</v>
          </cell>
        </row>
        <row r="107">
          <cell r="C107" t="str">
            <v>WRZK-27</v>
          </cell>
        </row>
        <row r="108">
          <cell r="C108" t="str">
            <v>WRZK-32</v>
          </cell>
        </row>
        <row r="109">
          <cell r="C109" t="str">
            <v>WRZK-38</v>
          </cell>
        </row>
        <row r="110">
          <cell r="C110" t="str">
            <v>WRZK-39ST1</v>
          </cell>
        </row>
        <row r="111">
          <cell r="C111" t="str">
            <v>WRZK-40</v>
          </cell>
        </row>
        <row r="112">
          <cell r="C112" t="str">
            <v>WRZK-41</v>
          </cell>
        </row>
        <row r="113">
          <cell r="C113" t="str">
            <v>WRZK-42</v>
          </cell>
        </row>
        <row r="114">
          <cell r="C114" t="str">
            <v>WRZK-43</v>
          </cell>
        </row>
        <row r="115">
          <cell r="C115" t="str">
            <v>WRZK-46</v>
          </cell>
        </row>
        <row r="116">
          <cell r="C116" t="str">
            <v>WRZK-47</v>
          </cell>
        </row>
        <row r="117">
          <cell r="C117" t="str">
            <v>WRZK-48A</v>
          </cell>
        </row>
        <row r="118">
          <cell r="C118" t="str">
            <v>WRZK-49</v>
          </cell>
        </row>
        <row r="119">
          <cell r="C119" t="str">
            <v>WRZK-50</v>
          </cell>
        </row>
        <row r="120">
          <cell r="C120" t="str">
            <v>WRZK-55st1</v>
          </cell>
        </row>
        <row r="121">
          <cell r="C121" t="str">
            <v>WRZK-56A</v>
          </cell>
        </row>
        <row r="122">
          <cell r="C122" t="str">
            <v>WRZK-58A</v>
          </cell>
        </row>
        <row r="123">
          <cell r="C123" t="str">
            <v>WRZK-59</v>
          </cell>
        </row>
        <row r="124">
          <cell r="C124" t="str">
            <v>WRZK-60</v>
          </cell>
        </row>
        <row r="125">
          <cell r="C125" t="str">
            <v>WRZK-62</v>
          </cell>
        </row>
        <row r="126">
          <cell r="C126" t="str">
            <v>WRZK-63</v>
          </cell>
        </row>
        <row r="127">
          <cell r="C127" t="str">
            <v>WRZK-65</v>
          </cell>
        </row>
        <row r="128">
          <cell r="C128" t="str">
            <v>WRZK-66</v>
          </cell>
        </row>
        <row r="129">
          <cell r="C129" t="str">
            <v>WRZK-67</v>
          </cell>
        </row>
        <row r="130">
          <cell r="C130" t="str">
            <v>WRZK-68</v>
          </cell>
        </row>
        <row r="131">
          <cell r="C131" t="str">
            <v>WRZK-69</v>
          </cell>
        </row>
        <row r="132">
          <cell r="C132" t="str">
            <v>WRZK-71</v>
          </cell>
        </row>
        <row r="133">
          <cell r="C133" t="str">
            <v>WRZK-80</v>
          </cell>
        </row>
        <row r="134">
          <cell r="C134" t="str">
            <v>WRZK-81</v>
          </cell>
        </row>
        <row r="135">
          <cell r="C135" t="str">
            <v>WRZK-82</v>
          </cell>
        </row>
        <row r="136">
          <cell r="C136" t="str">
            <v>WRZK-83</v>
          </cell>
        </row>
        <row r="137">
          <cell r="C137" t="str">
            <v>WRZK-94</v>
          </cell>
        </row>
        <row r="138">
          <cell r="C138" t="str">
            <v>WRZK-95</v>
          </cell>
        </row>
        <row r="139">
          <cell r="C139" t="str">
            <v>WRZK-115</v>
          </cell>
        </row>
        <row r="140">
          <cell r="C140" t="str">
            <v>WRZK-116</v>
          </cell>
        </row>
        <row r="141">
          <cell r="C141" t="str">
            <v>WRZK-117</v>
          </cell>
        </row>
        <row r="142">
          <cell r="C142" t="str">
            <v>WRZK-118</v>
          </cell>
        </row>
        <row r="143">
          <cell r="C143" t="str">
            <v>WRZK-119</v>
          </cell>
        </row>
        <row r="144">
          <cell r="C144" t="str">
            <v>WRZK-125</v>
          </cell>
        </row>
        <row r="145">
          <cell r="C145" t="str">
            <v>WRZK-139</v>
          </cell>
        </row>
        <row r="146">
          <cell r="C146" t="str">
            <v>WRZK-140</v>
          </cell>
        </row>
        <row r="147">
          <cell r="C147" t="str">
            <v>WRZK-169</v>
          </cell>
        </row>
        <row r="148">
          <cell r="C148" t="str">
            <v>ERZK-18</v>
          </cell>
        </row>
        <row r="149">
          <cell r="C149" t="str">
            <v>ERZK-21</v>
          </cell>
        </row>
        <row r="150">
          <cell r="C150" t="str">
            <v>ERZK-100</v>
          </cell>
        </row>
        <row r="151">
          <cell r="C151" t="str">
            <v>ERZK-110</v>
          </cell>
        </row>
        <row r="152">
          <cell r="C152" t="str">
            <v>ERZK-111</v>
          </cell>
        </row>
        <row r="153">
          <cell r="C153" t="str">
            <v>ERZK-113</v>
          </cell>
        </row>
        <row r="154">
          <cell r="C154" t="str">
            <v>ERZK-127</v>
          </cell>
        </row>
        <row r="155">
          <cell r="C155" t="str">
            <v>ERZK-129</v>
          </cell>
        </row>
        <row r="156">
          <cell r="C156" t="str">
            <v>ERZK-130</v>
          </cell>
        </row>
        <row r="157">
          <cell r="C157" t="str">
            <v>ERZK-163</v>
          </cell>
        </row>
        <row r="158">
          <cell r="C158" t="str">
            <v>NRZK-1</v>
          </cell>
        </row>
        <row r="159">
          <cell r="C159" t="str">
            <v>NRZK-2</v>
          </cell>
        </row>
        <row r="160">
          <cell r="C160" t="str">
            <v>NRZK-3</v>
          </cell>
        </row>
        <row r="161">
          <cell r="C161" t="str">
            <v>NRZK-4</v>
          </cell>
        </row>
        <row r="162">
          <cell r="C162" t="str">
            <v>NRZK-9</v>
          </cell>
        </row>
        <row r="163">
          <cell r="C163" t="str">
            <v>NRZK-10</v>
          </cell>
        </row>
        <row r="164">
          <cell r="C164" t="str">
            <v>NRZK-11</v>
          </cell>
        </row>
        <row r="165">
          <cell r="C165" t="str">
            <v>NRZK-12</v>
          </cell>
        </row>
        <row r="166">
          <cell r="C166" t="str">
            <v>NRZK-14</v>
          </cell>
        </row>
        <row r="167">
          <cell r="C167" t="str">
            <v>NRZK-15</v>
          </cell>
        </row>
        <row r="168">
          <cell r="C168" t="str">
            <v>NRZK-16</v>
          </cell>
        </row>
        <row r="169">
          <cell r="C169" t="str">
            <v>NRZK-17</v>
          </cell>
        </row>
        <row r="170">
          <cell r="C170" t="str">
            <v>NRZK-18</v>
          </cell>
        </row>
        <row r="171">
          <cell r="C171" t="str">
            <v>NRZK-19</v>
          </cell>
        </row>
        <row r="172">
          <cell r="C172" t="str">
            <v>NRZK-20</v>
          </cell>
        </row>
        <row r="173">
          <cell r="C173" t="str">
            <v>NRZK-22</v>
          </cell>
        </row>
        <row r="174">
          <cell r="C174" t="str">
            <v>NRZK-23</v>
          </cell>
        </row>
        <row r="175">
          <cell r="C175" t="str">
            <v>NRZK-25</v>
          </cell>
        </row>
        <row r="176">
          <cell r="C176" t="str">
            <v>NRZK-27</v>
          </cell>
        </row>
        <row r="177">
          <cell r="C177" t="str">
            <v>NRQ-9X</v>
          </cell>
        </row>
        <row r="178">
          <cell r="C178" t="str">
            <v>NRQ-2551</v>
          </cell>
        </row>
        <row r="179">
          <cell r="C179" t="str">
            <v>NRQ-2552</v>
          </cell>
        </row>
        <row r="180">
          <cell r="C180" t="str">
            <v>NRQ-2553</v>
          </cell>
        </row>
        <row r="181">
          <cell r="C181" t="str">
            <v>NRQ-2554</v>
          </cell>
        </row>
        <row r="182">
          <cell r="C182" t="str">
            <v>NRQ-2555</v>
          </cell>
        </row>
        <row r="183">
          <cell r="C183" t="str">
            <v>NRQ-255-6H</v>
          </cell>
        </row>
        <row r="184">
          <cell r="C184" t="str">
            <v>NRQ-255-8</v>
          </cell>
        </row>
        <row r="185">
          <cell r="C185" t="str">
            <v>NRQ-255-11</v>
          </cell>
        </row>
        <row r="192">
          <cell r="C192" t="str">
            <v xml:space="preserve">SWAG-4
</v>
          </cell>
        </row>
        <row r="193">
          <cell r="C193" t="str">
            <v>AG-48ST2</v>
          </cell>
        </row>
        <row r="194">
          <cell r="C194" t="str">
            <v>AG-54</v>
          </cell>
        </row>
        <row r="195">
          <cell r="C195" t="str">
            <v>AG-80</v>
          </cell>
        </row>
        <row r="196">
          <cell r="C196" t="str">
            <v>AG-67A</v>
          </cell>
        </row>
        <row r="197">
          <cell r="C197" t="str">
            <v>AG-86</v>
          </cell>
        </row>
        <row r="198">
          <cell r="C198" t="str">
            <v xml:space="preserve"> AG-99</v>
          </cell>
        </row>
        <row r="199">
          <cell r="C199" t="str">
            <v>REVIERA-SW1X</v>
          </cell>
        </row>
        <row r="200">
          <cell r="C200" t="str">
            <v>SWAG-2</v>
          </cell>
        </row>
        <row r="201">
          <cell r="C201" t="str">
            <v>WD-33-NE5</v>
          </cell>
        </row>
        <row r="202">
          <cell r="C202" t="str">
            <v>AG-14</v>
          </cell>
        </row>
        <row r="203">
          <cell r="C203" t="str">
            <v>SWAG-8</v>
          </cell>
        </row>
        <row r="204">
          <cell r="C204" t="str">
            <v>WD-33-1</v>
          </cell>
        </row>
        <row r="205">
          <cell r="C205" t="str">
            <v>AG-10</v>
          </cell>
        </row>
        <row r="206">
          <cell r="C206" t="str">
            <v>RIDGEWOOD-1X</v>
          </cell>
        </row>
        <row r="207">
          <cell r="C207" t="str">
            <v>MRZK-2</v>
          </cell>
        </row>
        <row r="208">
          <cell r="C208" t="str">
            <v>MRZK-13</v>
          </cell>
        </row>
        <row r="209">
          <cell r="C209" t="str">
            <v>MRZK-74</v>
          </cell>
        </row>
        <row r="210">
          <cell r="C210" t="str">
            <v>MRZK-102H</v>
          </cell>
        </row>
        <row r="211">
          <cell r="C211" t="str">
            <v>MRZK-134</v>
          </cell>
        </row>
        <row r="212">
          <cell r="C212" t="str">
            <v>WRZK-87</v>
          </cell>
        </row>
        <row r="213">
          <cell r="C213" t="str">
            <v>ERZK-15</v>
          </cell>
        </row>
        <row r="214">
          <cell r="C214" t="str">
            <v>NRZK-7</v>
          </cell>
        </row>
        <row r="215">
          <cell r="C215" t="str">
            <v>NRQ-3151</v>
          </cell>
        </row>
        <row r="216">
          <cell r="C216" t="str">
            <v>AG-98</v>
          </cell>
        </row>
        <row r="217">
          <cell r="C217" t="str">
            <v>AG-79</v>
          </cell>
        </row>
        <row r="218">
          <cell r="C218" t="str">
            <v>MRZK-45</v>
          </cell>
        </row>
        <row r="219">
          <cell r="C219" t="str">
            <v>HAWK-1X</v>
          </cell>
        </row>
        <row r="220">
          <cell r="C220" t="str">
            <v>AG-58</v>
          </cell>
        </row>
        <row r="221">
          <cell r="C221" t="str">
            <v>SWAG-1</v>
          </cell>
        </row>
        <row r="222">
          <cell r="C222" t="str">
            <v>WRZK-91</v>
          </cell>
        </row>
        <row r="223">
          <cell r="C223" t="str">
            <v>NEAG-1C</v>
          </cell>
        </row>
        <row r="224">
          <cell r="C224" t="str">
            <v>NEAG-3b</v>
          </cell>
        </row>
        <row r="225">
          <cell r="C225" t="str">
            <v>AG-8</v>
          </cell>
        </row>
        <row r="226">
          <cell r="C226" t="str">
            <v>AG-59</v>
          </cell>
        </row>
        <row r="227">
          <cell r="C227" t="str">
            <v>NRZK-5</v>
          </cell>
        </row>
        <row r="228">
          <cell r="C228" t="str">
            <v>AG-63</v>
          </cell>
        </row>
        <row r="229">
          <cell r="C229" t="str">
            <v>WD-33-15-1</v>
          </cell>
        </row>
        <row r="230">
          <cell r="C230" t="str">
            <v>AG-6</v>
          </cell>
        </row>
        <row r="231">
          <cell r="C231" t="str">
            <v>AG-21</v>
          </cell>
        </row>
        <row r="232">
          <cell r="C232" t="str">
            <v>AG-34A</v>
          </cell>
        </row>
        <row r="233">
          <cell r="C233" t="str">
            <v>AG-46</v>
          </cell>
        </row>
        <row r="234">
          <cell r="C234" t="str">
            <v>AG-56</v>
          </cell>
        </row>
        <row r="235">
          <cell r="C235" t="str">
            <v>AG-51</v>
          </cell>
        </row>
        <row r="236">
          <cell r="C236" t="str">
            <v xml:space="preserve"> AG-117 ST1
</v>
          </cell>
        </row>
        <row r="237">
          <cell r="C237" t="str">
            <v>WRZK-4</v>
          </cell>
        </row>
        <row r="238">
          <cell r="C238" t="str">
            <v>WRZK-88</v>
          </cell>
        </row>
        <row r="239">
          <cell r="C239" t="str">
            <v>ERZK-19</v>
          </cell>
        </row>
        <row r="240">
          <cell r="C240" t="str">
            <v>ERZK-77</v>
          </cell>
        </row>
        <row r="242">
          <cell r="C242" t="str">
            <v>AG-11</v>
          </cell>
        </row>
        <row r="243">
          <cell r="C243" t="str">
            <v>AG-12</v>
          </cell>
        </row>
        <row r="244">
          <cell r="C244" t="str">
            <v>AG-16</v>
          </cell>
        </row>
        <row r="245">
          <cell r="C245" t="str">
            <v>AG-35</v>
          </cell>
        </row>
        <row r="246">
          <cell r="C246" t="str">
            <v>AG-41</v>
          </cell>
        </row>
        <row r="247">
          <cell r="C247" t="str">
            <v>AG-82ST</v>
          </cell>
        </row>
        <row r="248">
          <cell r="C248" t="str">
            <v>AG-85</v>
          </cell>
        </row>
        <row r="249">
          <cell r="C249" t="str">
            <v>AG-87</v>
          </cell>
        </row>
        <row r="250">
          <cell r="C250" t="str">
            <v>AG-89</v>
          </cell>
        </row>
        <row r="251">
          <cell r="C251" t="str">
            <v>HAWK-2X</v>
          </cell>
        </row>
        <row r="252">
          <cell r="C252" t="str">
            <v>HAWK-3</v>
          </cell>
        </row>
        <row r="253">
          <cell r="C253" t="str">
            <v>SWAG-6</v>
          </cell>
        </row>
        <row r="254">
          <cell r="C254" t="str">
            <v>SWAG-7</v>
          </cell>
        </row>
        <row r="255">
          <cell r="C255" t="str">
            <v>SWAG-10H</v>
          </cell>
        </row>
        <row r="256">
          <cell r="C256" t="str">
            <v>MEGHAR#1X</v>
          </cell>
        </row>
        <row r="257">
          <cell r="C257" t="str">
            <v>MEGHAR- 2</v>
          </cell>
        </row>
        <row r="258">
          <cell r="C258" t="str">
            <v>MEGHAR # 3</v>
          </cell>
        </row>
        <row r="259">
          <cell r="C259" t="str">
            <v>MEGHAR- 6</v>
          </cell>
        </row>
        <row r="260">
          <cell r="C260" t="str">
            <v>MEGHAR-7</v>
          </cell>
        </row>
        <row r="261">
          <cell r="C261" t="str">
            <v>MEGHAR-9</v>
          </cell>
        </row>
        <row r="262">
          <cell r="C262" t="str">
            <v>MEGHAR-11</v>
          </cell>
        </row>
        <row r="263">
          <cell r="C263" t="str">
            <v>PACIFIC- 2</v>
          </cell>
        </row>
        <row r="264">
          <cell r="C264" t="str">
            <v>AG-104</v>
          </cell>
        </row>
        <row r="265">
          <cell r="C265" t="str">
            <v>MEGHAR#5</v>
          </cell>
        </row>
        <row r="266">
          <cell r="C266" t="str">
            <v>MEGHAR-E1X</v>
          </cell>
        </row>
        <row r="267">
          <cell r="C267" t="str">
            <v>FIRESTONE-1X</v>
          </cell>
        </row>
        <row r="268">
          <cell r="C268" t="str">
            <v>SPYGLASS#2</v>
          </cell>
        </row>
        <row r="269">
          <cell r="C269" t="str">
            <v>SWAG # 2</v>
          </cell>
        </row>
        <row r="270">
          <cell r="C270" t="str">
            <v>SWAG # 5</v>
          </cell>
        </row>
        <row r="271">
          <cell r="C271" t="str">
            <v>AG-124</v>
          </cell>
        </row>
        <row r="272">
          <cell r="C272" t="str">
            <v>AG-130</v>
          </cell>
        </row>
        <row r="273">
          <cell r="C273" t="str">
            <v>AG-121</v>
          </cell>
        </row>
        <row r="274">
          <cell r="C274" t="str">
            <v>AG-29</v>
          </cell>
        </row>
        <row r="275">
          <cell r="C275" t="str">
            <v>WD 33-1 OUT SEP</v>
          </cell>
        </row>
        <row r="276">
          <cell r="C276" t="str">
            <v>WD33-1-21</v>
          </cell>
        </row>
        <row r="277">
          <cell r="C277" t="str">
            <v>WD33-1-20</v>
          </cell>
        </row>
        <row r="278">
          <cell r="C278" t="str">
            <v>WD33-1-11</v>
          </cell>
        </row>
        <row r="279">
          <cell r="C279" t="str">
            <v>WD33-1-10</v>
          </cell>
        </row>
        <row r="280">
          <cell r="C280" t="str">
            <v>Shadow -E 1x</v>
          </cell>
        </row>
        <row r="281">
          <cell r="C281" t="str">
            <v>WD-33-1-19</v>
          </cell>
        </row>
        <row r="282">
          <cell r="C282" t="str">
            <v>WD33-1-2</v>
          </cell>
        </row>
        <row r="283">
          <cell r="C283" t="str">
            <v>WD-33-1-21</v>
          </cell>
        </row>
        <row r="284">
          <cell r="C284" t="str">
            <v xml:space="preserve">WD33-15- 5 </v>
          </cell>
        </row>
        <row r="285">
          <cell r="C285" t="str">
            <v>WD33-15 # 4</v>
          </cell>
        </row>
        <row r="286">
          <cell r="C286" t="str">
            <v>OLYMPIC-1X</v>
          </cell>
        </row>
        <row r="287">
          <cell r="C287" t="str">
            <v>MAG-1 WSW</v>
          </cell>
        </row>
        <row r="288">
          <cell r="C288" t="str">
            <v>WD-33-15 # 5 X</v>
          </cell>
        </row>
        <row r="289">
          <cell r="C289" t="str">
            <v>WRZK#61</v>
          </cell>
        </row>
        <row r="290">
          <cell r="C290" t="str">
            <v>A/G -100</v>
          </cell>
        </row>
        <row r="291">
          <cell r="C291" t="str">
            <v xml:space="preserve">PUMP LINE 33-15 </v>
          </cell>
        </row>
        <row r="292">
          <cell r="C292" t="str">
            <v>PACIFIC# 2</v>
          </cell>
        </row>
        <row r="293">
          <cell r="C293" t="str">
            <v>A/G WELL # 88</v>
          </cell>
        </row>
        <row r="294">
          <cell r="C294" t="str">
            <v>OLYMPIC # 1 X</v>
          </cell>
        </row>
        <row r="295">
          <cell r="C295" t="str">
            <v>SWAG # 10</v>
          </cell>
        </row>
        <row r="296">
          <cell r="C296" t="str">
            <v>AG-100</v>
          </cell>
        </row>
        <row r="297">
          <cell r="C297" t="str">
            <v>PACIFIC- 1X</v>
          </cell>
        </row>
        <row r="298">
          <cell r="C298" t="str">
            <v>REVIERA-1X</v>
          </cell>
        </row>
        <row r="299">
          <cell r="C299" t="str">
            <v>REVIERA-2X</v>
          </cell>
        </row>
        <row r="300">
          <cell r="C300" t="str">
            <v>NAG -1X</v>
          </cell>
        </row>
        <row r="301">
          <cell r="C301" t="str">
            <v>NAG -1X</v>
          </cell>
        </row>
        <row r="302">
          <cell r="C302" t="str">
            <v>EBED -1X</v>
          </cell>
        </row>
        <row r="303">
          <cell r="C303" t="str">
            <v>EBED -1X</v>
          </cell>
        </row>
        <row r="304">
          <cell r="C304" t="str">
            <v>AG- 52</v>
          </cell>
        </row>
        <row r="305">
          <cell r="C305" t="str">
            <v>AG-25</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nroutine GAS 1"/>
      <sheetName val="unroutine GAS 2"/>
      <sheetName val="Fuel gas"/>
      <sheetName val=" Residue"/>
      <sheetName val="GAS ANALYSIS"/>
      <sheetName val="Crude oil new"/>
      <sheetName val="DAILY REPORT"/>
      <sheetName val="water maker 2"/>
      <sheetName val="Sheet6"/>
      <sheetName val="source name"/>
      <sheetName val="start_sheet"/>
      <sheetName val="Sheet1"/>
      <sheetName val="water_well"/>
      <sheetName val="ACID_SAMPLES"/>
      <sheetName val="ACID_SAMPLES_DATABASE"/>
      <sheetName val="coupon"/>
      <sheetName val="gas_analysis_database"/>
      <sheetName val="well database"/>
      <sheetName val="PROCESS_DATABASE"/>
      <sheetName val="SKIMMER_DATABASE"/>
      <sheetName val="water_well_database"/>
      <sheetName val="coupon_database"/>
      <sheetName val="All_gas_analysis"/>
      <sheetName val="Counter"/>
      <sheetName val="Sheet8"/>
    </sheetNames>
    <sheetDataSet>
      <sheetData sheetId="0"/>
      <sheetData sheetId="1"/>
      <sheetData sheetId="2"/>
      <sheetData sheetId="3"/>
      <sheetData sheetId="4"/>
      <sheetData sheetId="5"/>
      <sheetData sheetId="6"/>
      <sheetData sheetId="7"/>
      <sheetData sheetId="8"/>
      <sheetData sheetId="9">
        <row r="4">
          <cell r="G4" t="str">
            <v/>
          </cell>
        </row>
        <row r="5">
          <cell r="G5" t="str">
            <v/>
          </cell>
        </row>
        <row r="6">
          <cell r="G6" t="str">
            <v/>
          </cell>
        </row>
        <row r="7">
          <cell r="G7" t="str">
            <v/>
          </cell>
        </row>
        <row r="8">
          <cell r="G8" t="str">
            <v/>
          </cell>
        </row>
        <row r="9">
          <cell r="G9" t="str">
            <v/>
          </cell>
        </row>
        <row r="10">
          <cell r="G10" t="str">
            <v/>
          </cell>
        </row>
        <row r="11">
          <cell r="G11" t="str">
            <v/>
          </cell>
        </row>
        <row r="12">
          <cell r="G12" t="str">
            <v/>
          </cell>
        </row>
        <row r="13">
          <cell r="G13" t="str">
            <v/>
          </cell>
        </row>
        <row r="14">
          <cell r="G14" t="str">
            <v/>
          </cell>
        </row>
        <row r="15">
          <cell r="G15" t="str">
            <v/>
          </cell>
        </row>
        <row r="16">
          <cell r="G16" t="str">
            <v/>
          </cell>
        </row>
        <row r="17">
          <cell r="G17" t="str">
            <v/>
          </cell>
        </row>
        <row r="18">
          <cell r="G18" t="str">
            <v/>
          </cell>
        </row>
        <row r="19">
          <cell r="G19" t="str">
            <v/>
          </cell>
        </row>
        <row r="20">
          <cell r="G20" t="str">
            <v/>
          </cell>
        </row>
        <row r="21">
          <cell r="G21" t="str">
            <v/>
          </cell>
        </row>
        <row r="22">
          <cell r="G22" t="str">
            <v/>
          </cell>
        </row>
        <row r="23">
          <cell r="G23" t="str">
            <v/>
          </cell>
        </row>
        <row r="24">
          <cell r="G24" t="str">
            <v/>
          </cell>
        </row>
        <row r="25">
          <cell r="G25" t="str">
            <v/>
          </cell>
        </row>
        <row r="26">
          <cell r="G26" t="str">
            <v/>
          </cell>
        </row>
        <row r="27">
          <cell r="G27" t="str">
            <v/>
          </cell>
        </row>
        <row r="28">
          <cell r="G28" t="str">
            <v/>
          </cell>
        </row>
        <row r="29">
          <cell r="G29" t="str">
            <v/>
          </cell>
        </row>
        <row r="30">
          <cell r="G30" t="str">
            <v/>
          </cell>
        </row>
        <row r="31">
          <cell r="G31" t="str">
            <v/>
          </cell>
        </row>
        <row r="32">
          <cell r="G32" t="str">
            <v/>
          </cell>
        </row>
        <row r="33">
          <cell r="G33" t="str">
            <v/>
          </cell>
        </row>
        <row r="34">
          <cell r="G34" t="str">
            <v/>
          </cell>
        </row>
        <row r="35">
          <cell r="G35" t="str">
            <v/>
          </cell>
        </row>
        <row r="36">
          <cell r="G36" t="str">
            <v/>
          </cell>
        </row>
        <row r="37">
          <cell r="G37" t="str">
            <v/>
          </cell>
        </row>
        <row r="38">
          <cell r="G38" t="str">
            <v/>
          </cell>
        </row>
        <row r="39">
          <cell r="G39" t="str">
            <v/>
          </cell>
        </row>
        <row r="40">
          <cell r="G40" t="str">
            <v/>
          </cell>
        </row>
        <row r="41">
          <cell r="G41" t="str">
            <v/>
          </cell>
        </row>
        <row r="42">
          <cell r="G42" t="str">
            <v/>
          </cell>
        </row>
        <row r="43">
          <cell r="G43" t="str">
            <v/>
          </cell>
        </row>
        <row r="44">
          <cell r="G44" t="str">
            <v/>
          </cell>
        </row>
        <row r="45">
          <cell r="G45" t="str">
            <v/>
          </cell>
        </row>
        <row r="46">
          <cell r="G46" t="str">
            <v/>
          </cell>
        </row>
        <row r="47">
          <cell r="G47" t="str">
            <v/>
          </cell>
        </row>
        <row r="48">
          <cell r="G48" t="str">
            <v/>
          </cell>
        </row>
        <row r="49">
          <cell r="G49" t="str">
            <v/>
          </cell>
        </row>
        <row r="50">
          <cell r="G50" t="str">
            <v/>
          </cell>
        </row>
        <row r="51">
          <cell r="G51" t="str">
            <v/>
          </cell>
        </row>
        <row r="52">
          <cell r="G52" t="str">
            <v/>
          </cell>
        </row>
        <row r="53">
          <cell r="G53" t="str">
            <v/>
          </cell>
        </row>
        <row r="54">
          <cell r="G54" t="str">
            <v/>
          </cell>
        </row>
        <row r="55">
          <cell r="G55" t="str">
            <v/>
          </cell>
        </row>
        <row r="56">
          <cell r="G56" t="str">
            <v/>
          </cell>
        </row>
        <row r="57">
          <cell r="G57" t="str">
            <v/>
          </cell>
        </row>
        <row r="58">
          <cell r="G58" t="str">
            <v/>
          </cell>
        </row>
        <row r="59">
          <cell r="G59" t="str">
            <v/>
          </cell>
        </row>
        <row r="60">
          <cell r="G60" t="str">
            <v/>
          </cell>
        </row>
        <row r="61">
          <cell r="G61" t="str">
            <v/>
          </cell>
        </row>
        <row r="62">
          <cell r="G62" t="str">
            <v/>
          </cell>
        </row>
        <row r="63">
          <cell r="G63" t="str">
            <v/>
          </cell>
        </row>
        <row r="64">
          <cell r="G64" t="str">
            <v/>
          </cell>
        </row>
        <row r="65">
          <cell r="G65" t="str">
            <v/>
          </cell>
        </row>
        <row r="66">
          <cell r="G66" t="str">
            <v/>
          </cell>
        </row>
        <row r="67">
          <cell r="G67" t="str">
            <v/>
          </cell>
        </row>
        <row r="68">
          <cell r="G68" t="str">
            <v/>
          </cell>
        </row>
        <row r="69">
          <cell r="G69" t="str">
            <v/>
          </cell>
        </row>
        <row r="70">
          <cell r="G70" t="str">
            <v/>
          </cell>
        </row>
        <row r="71">
          <cell r="G71" t="str">
            <v/>
          </cell>
        </row>
        <row r="72">
          <cell r="G72" t="str">
            <v/>
          </cell>
        </row>
        <row r="73">
          <cell r="G73" t="str">
            <v/>
          </cell>
        </row>
        <row r="74">
          <cell r="G74" t="str">
            <v/>
          </cell>
        </row>
        <row r="75">
          <cell r="G75" t="str">
            <v/>
          </cell>
        </row>
        <row r="76">
          <cell r="G76" t="str">
            <v/>
          </cell>
        </row>
        <row r="77">
          <cell r="G77" t="str">
            <v/>
          </cell>
        </row>
        <row r="78">
          <cell r="G78" t="str">
            <v/>
          </cell>
        </row>
        <row r="79">
          <cell r="G79" t="str">
            <v/>
          </cell>
        </row>
        <row r="80">
          <cell r="G80" t="str">
            <v/>
          </cell>
        </row>
        <row r="81">
          <cell r="G81" t="str">
            <v/>
          </cell>
        </row>
        <row r="82">
          <cell r="G82" t="str">
            <v/>
          </cell>
        </row>
        <row r="83">
          <cell r="G83" t="str">
            <v/>
          </cell>
        </row>
        <row r="84">
          <cell r="G84" t="str">
            <v/>
          </cell>
        </row>
        <row r="85">
          <cell r="G85" t="str">
            <v/>
          </cell>
        </row>
        <row r="86">
          <cell r="G86" t="str">
            <v/>
          </cell>
        </row>
        <row r="87">
          <cell r="G87" t="str">
            <v/>
          </cell>
        </row>
        <row r="88">
          <cell r="G88" t="str">
            <v/>
          </cell>
        </row>
        <row r="89">
          <cell r="G89" t="str">
            <v/>
          </cell>
        </row>
        <row r="90">
          <cell r="G90" t="str">
            <v/>
          </cell>
        </row>
        <row r="91">
          <cell r="G91" t="str">
            <v/>
          </cell>
        </row>
        <row r="92">
          <cell r="G92" t="str">
            <v/>
          </cell>
        </row>
        <row r="93">
          <cell r="G93" t="str">
            <v/>
          </cell>
        </row>
        <row r="94">
          <cell r="G94" t="str">
            <v/>
          </cell>
        </row>
        <row r="95">
          <cell r="G95" t="str">
            <v/>
          </cell>
        </row>
        <row r="96">
          <cell r="G96" t="str">
            <v/>
          </cell>
        </row>
        <row r="97">
          <cell r="G97" t="str">
            <v/>
          </cell>
        </row>
        <row r="98">
          <cell r="G98" t="str">
            <v/>
          </cell>
        </row>
        <row r="99">
          <cell r="G99" t="str">
            <v/>
          </cell>
        </row>
        <row r="100">
          <cell r="G100" t="str">
            <v/>
          </cell>
        </row>
        <row r="101">
          <cell r="G101" t="str">
            <v/>
          </cell>
        </row>
        <row r="102">
          <cell r="G102" t="str">
            <v/>
          </cell>
        </row>
        <row r="103">
          <cell r="G103" t="str">
            <v/>
          </cell>
        </row>
        <row r="104">
          <cell r="G104" t="str">
            <v/>
          </cell>
        </row>
        <row r="105">
          <cell r="G105" t="str">
            <v/>
          </cell>
        </row>
        <row r="106">
          <cell r="G106" t="str">
            <v/>
          </cell>
        </row>
        <row r="107">
          <cell r="G107" t="str">
            <v/>
          </cell>
        </row>
        <row r="108">
          <cell r="G108" t="str">
            <v/>
          </cell>
        </row>
        <row r="109">
          <cell r="G109" t="str">
            <v/>
          </cell>
        </row>
        <row r="110">
          <cell r="G110" t="str">
            <v/>
          </cell>
        </row>
        <row r="111">
          <cell r="G111" t="str">
            <v/>
          </cell>
        </row>
        <row r="112">
          <cell r="G112" t="str">
            <v/>
          </cell>
        </row>
        <row r="113">
          <cell r="G113" t="str">
            <v/>
          </cell>
        </row>
        <row r="114">
          <cell r="G114" t="str">
            <v/>
          </cell>
        </row>
        <row r="115">
          <cell r="G115" t="str">
            <v/>
          </cell>
        </row>
        <row r="116">
          <cell r="G116" t="str">
            <v/>
          </cell>
        </row>
        <row r="117">
          <cell r="G117" t="str">
            <v/>
          </cell>
        </row>
        <row r="118">
          <cell r="G118" t="str">
            <v/>
          </cell>
        </row>
        <row r="119">
          <cell r="G119" t="str">
            <v/>
          </cell>
        </row>
        <row r="120">
          <cell r="G120" t="str">
            <v/>
          </cell>
        </row>
        <row r="121">
          <cell r="G121" t="str">
            <v/>
          </cell>
        </row>
        <row r="122">
          <cell r="G122" t="str">
            <v/>
          </cell>
        </row>
        <row r="123">
          <cell r="G123" t="str">
            <v/>
          </cell>
        </row>
        <row r="124">
          <cell r="G124" t="str">
            <v/>
          </cell>
        </row>
        <row r="125">
          <cell r="G125" t="str">
            <v/>
          </cell>
        </row>
        <row r="126">
          <cell r="G126" t="str">
            <v/>
          </cell>
        </row>
        <row r="127">
          <cell r="G127" t="str">
            <v/>
          </cell>
        </row>
        <row r="128">
          <cell r="G128" t="str">
            <v/>
          </cell>
        </row>
        <row r="129">
          <cell r="G129" t="str">
            <v/>
          </cell>
        </row>
        <row r="130">
          <cell r="G130" t="str">
            <v/>
          </cell>
        </row>
        <row r="131">
          <cell r="G131" t="str">
            <v/>
          </cell>
        </row>
        <row r="132">
          <cell r="G132" t="str">
            <v/>
          </cell>
        </row>
        <row r="133">
          <cell r="G133" t="str">
            <v/>
          </cell>
        </row>
        <row r="134">
          <cell r="G134" t="str">
            <v/>
          </cell>
        </row>
        <row r="135">
          <cell r="G135" t="str">
            <v/>
          </cell>
        </row>
        <row r="136">
          <cell r="G136" t="str">
            <v/>
          </cell>
        </row>
        <row r="137">
          <cell r="G137" t="str">
            <v/>
          </cell>
        </row>
        <row r="138">
          <cell r="G138" t="str">
            <v/>
          </cell>
        </row>
        <row r="139">
          <cell r="G139" t="str">
            <v/>
          </cell>
        </row>
        <row r="140">
          <cell r="G140" t="str">
            <v/>
          </cell>
        </row>
        <row r="141">
          <cell r="G141" t="str">
            <v/>
          </cell>
        </row>
        <row r="142">
          <cell r="G142" t="str">
            <v/>
          </cell>
        </row>
        <row r="143">
          <cell r="G143" t="str">
            <v/>
          </cell>
        </row>
        <row r="144">
          <cell r="G144" t="str">
            <v/>
          </cell>
        </row>
        <row r="145">
          <cell r="G145" t="str">
            <v/>
          </cell>
        </row>
        <row r="146">
          <cell r="G146" t="str">
            <v/>
          </cell>
        </row>
        <row r="147">
          <cell r="G147" t="str">
            <v/>
          </cell>
        </row>
        <row r="148">
          <cell r="G148" t="str">
            <v/>
          </cell>
        </row>
        <row r="149">
          <cell r="G149" t="str">
            <v/>
          </cell>
        </row>
        <row r="150">
          <cell r="G150" t="str">
            <v/>
          </cell>
        </row>
        <row r="151">
          <cell r="G151" t="str">
            <v/>
          </cell>
        </row>
        <row r="152">
          <cell r="G152" t="str">
            <v/>
          </cell>
        </row>
        <row r="153">
          <cell r="G153" t="str">
            <v/>
          </cell>
        </row>
        <row r="154">
          <cell r="G154" t="str">
            <v/>
          </cell>
        </row>
        <row r="155">
          <cell r="G155" t="str">
            <v/>
          </cell>
        </row>
        <row r="156">
          <cell r="G156" t="str">
            <v/>
          </cell>
        </row>
        <row r="157">
          <cell r="G157" t="str">
            <v/>
          </cell>
        </row>
        <row r="158">
          <cell r="G158" t="str">
            <v/>
          </cell>
        </row>
        <row r="159">
          <cell r="G159" t="str">
            <v/>
          </cell>
        </row>
        <row r="160">
          <cell r="G160" t="str">
            <v/>
          </cell>
        </row>
        <row r="161">
          <cell r="G161" t="str">
            <v/>
          </cell>
        </row>
        <row r="162">
          <cell r="G162" t="str">
            <v/>
          </cell>
        </row>
        <row r="163">
          <cell r="G163" t="str">
            <v/>
          </cell>
        </row>
        <row r="164">
          <cell r="G164" t="str">
            <v/>
          </cell>
        </row>
        <row r="165">
          <cell r="G165" t="str">
            <v/>
          </cell>
        </row>
        <row r="166">
          <cell r="G166" t="str">
            <v/>
          </cell>
        </row>
        <row r="167">
          <cell r="G167" t="str">
            <v/>
          </cell>
        </row>
        <row r="168">
          <cell r="G168" t="str">
            <v/>
          </cell>
        </row>
        <row r="169">
          <cell r="G169" t="str">
            <v/>
          </cell>
        </row>
        <row r="170">
          <cell r="G170" t="str">
            <v/>
          </cell>
        </row>
        <row r="171">
          <cell r="G171" t="str">
            <v/>
          </cell>
        </row>
        <row r="172">
          <cell r="G172" t="str">
            <v/>
          </cell>
        </row>
        <row r="173">
          <cell r="G173" t="str">
            <v/>
          </cell>
        </row>
        <row r="174">
          <cell r="G174" t="str">
            <v/>
          </cell>
        </row>
        <row r="175">
          <cell r="G175" t="str">
            <v/>
          </cell>
        </row>
        <row r="176">
          <cell r="G176" t="str">
            <v/>
          </cell>
        </row>
        <row r="177">
          <cell r="G177" t="str">
            <v/>
          </cell>
        </row>
        <row r="178">
          <cell r="G178" t="str">
            <v/>
          </cell>
        </row>
        <row r="179">
          <cell r="G179" t="str">
            <v/>
          </cell>
        </row>
        <row r="180">
          <cell r="G180" t="str">
            <v/>
          </cell>
        </row>
        <row r="181">
          <cell r="G181" t="str">
            <v/>
          </cell>
        </row>
        <row r="182">
          <cell r="G182" t="str">
            <v/>
          </cell>
        </row>
        <row r="183">
          <cell r="G183" t="str">
            <v/>
          </cell>
        </row>
        <row r="184">
          <cell r="G184" t="str">
            <v/>
          </cell>
        </row>
        <row r="185">
          <cell r="G185" t="str">
            <v/>
          </cell>
        </row>
        <row r="186">
          <cell r="G186" t="str">
            <v/>
          </cell>
        </row>
        <row r="187">
          <cell r="G187" t="str">
            <v/>
          </cell>
        </row>
        <row r="188">
          <cell r="G188" t="str">
            <v/>
          </cell>
        </row>
        <row r="189">
          <cell r="G189" t="str">
            <v/>
          </cell>
        </row>
        <row r="190">
          <cell r="G190" t="str">
            <v/>
          </cell>
        </row>
        <row r="191">
          <cell r="G191" t="str">
            <v/>
          </cell>
        </row>
        <row r="192">
          <cell r="G192" t="str">
            <v/>
          </cell>
        </row>
        <row r="193">
          <cell r="G193" t="str">
            <v/>
          </cell>
        </row>
        <row r="194">
          <cell r="G194" t="str">
            <v/>
          </cell>
        </row>
        <row r="195">
          <cell r="G195" t="str">
            <v/>
          </cell>
        </row>
        <row r="196">
          <cell r="G196" t="str">
            <v/>
          </cell>
        </row>
        <row r="197">
          <cell r="G197" t="str">
            <v/>
          </cell>
        </row>
        <row r="198">
          <cell r="G198" t="str">
            <v/>
          </cell>
        </row>
        <row r="199">
          <cell r="G199" t="str">
            <v/>
          </cell>
        </row>
        <row r="200">
          <cell r="G200" t="str">
            <v/>
          </cell>
        </row>
        <row r="201">
          <cell r="G201" t="str">
            <v/>
          </cell>
        </row>
        <row r="202">
          <cell r="G202" t="str">
            <v/>
          </cell>
        </row>
        <row r="203">
          <cell r="G203" t="str">
            <v/>
          </cell>
        </row>
        <row r="204">
          <cell r="G204" t="str">
            <v/>
          </cell>
        </row>
        <row r="205">
          <cell r="G205" t="str">
            <v/>
          </cell>
        </row>
        <row r="206">
          <cell r="G206" t="str">
            <v/>
          </cell>
        </row>
        <row r="207">
          <cell r="G207" t="str">
            <v/>
          </cell>
        </row>
        <row r="208">
          <cell r="G208" t="str">
            <v/>
          </cell>
        </row>
        <row r="209">
          <cell r="G209" t="str">
            <v/>
          </cell>
        </row>
        <row r="210">
          <cell r="G210" t="str">
            <v/>
          </cell>
        </row>
        <row r="211">
          <cell r="G211" t="str">
            <v/>
          </cell>
        </row>
        <row r="212">
          <cell r="G212" t="str">
            <v/>
          </cell>
        </row>
        <row r="213">
          <cell r="G213" t="str">
            <v/>
          </cell>
        </row>
        <row r="214">
          <cell r="G214" t="str">
            <v/>
          </cell>
        </row>
        <row r="215">
          <cell r="G215" t="str">
            <v/>
          </cell>
        </row>
        <row r="216">
          <cell r="G216" t="str">
            <v/>
          </cell>
        </row>
        <row r="217">
          <cell r="G217" t="str">
            <v/>
          </cell>
        </row>
        <row r="218">
          <cell r="G218" t="str">
            <v/>
          </cell>
        </row>
        <row r="219">
          <cell r="G219" t="str">
            <v/>
          </cell>
        </row>
        <row r="220">
          <cell r="G220" t="str">
            <v/>
          </cell>
        </row>
        <row r="221">
          <cell r="G221" t="str">
            <v/>
          </cell>
        </row>
        <row r="222">
          <cell r="G222" t="str">
            <v/>
          </cell>
        </row>
        <row r="223">
          <cell r="G223" t="str">
            <v/>
          </cell>
        </row>
        <row r="224">
          <cell r="G224" t="str">
            <v/>
          </cell>
        </row>
        <row r="225">
          <cell r="G225" t="str">
            <v/>
          </cell>
        </row>
        <row r="226">
          <cell r="G226" t="str">
            <v/>
          </cell>
        </row>
        <row r="227">
          <cell r="G227" t="str">
            <v/>
          </cell>
        </row>
        <row r="228">
          <cell r="G228" t="str">
            <v/>
          </cell>
        </row>
        <row r="229">
          <cell r="G229" t="str">
            <v/>
          </cell>
        </row>
        <row r="230">
          <cell r="G230" t="str">
            <v/>
          </cell>
        </row>
        <row r="231">
          <cell r="G231" t="str">
            <v/>
          </cell>
        </row>
        <row r="232">
          <cell r="G232" t="str">
            <v/>
          </cell>
        </row>
        <row r="233">
          <cell r="G233" t="str">
            <v/>
          </cell>
        </row>
        <row r="234">
          <cell r="G234" t="str">
            <v/>
          </cell>
        </row>
        <row r="235">
          <cell r="G235" t="str">
            <v/>
          </cell>
        </row>
        <row r="236">
          <cell r="G236" t="str">
            <v/>
          </cell>
        </row>
        <row r="237">
          <cell r="G237" t="str">
            <v/>
          </cell>
        </row>
        <row r="238">
          <cell r="G238" t="str">
            <v/>
          </cell>
        </row>
        <row r="239">
          <cell r="G239" t="str">
            <v/>
          </cell>
        </row>
        <row r="240">
          <cell r="G240" t="str">
            <v/>
          </cell>
        </row>
        <row r="241">
          <cell r="G241" t="str">
            <v/>
          </cell>
        </row>
        <row r="242">
          <cell r="G242" t="str">
            <v/>
          </cell>
        </row>
        <row r="243">
          <cell r="G243" t="str">
            <v/>
          </cell>
        </row>
        <row r="244">
          <cell r="G244" t="str">
            <v/>
          </cell>
        </row>
        <row r="245">
          <cell r="G245" t="str">
            <v/>
          </cell>
        </row>
        <row r="246">
          <cell r="G246" t="str">
            <v/>
          </cell>
        </row>
        <row r="247">
          <cell r="G247" t="str">
            <v/>
          </cell>
        </row>
        <row r="248">
          <cell r="G248" t="str">
            <v/>
          </cell>
        </row>
        <row r="249">
          <cell r="G249" t="str">
            <v/>
          </cell>
        </row>
        <row r="250">
          <cell r="G250" t="str">
            <v/>
          </cell>
        </row>
        <row r="251">
          <cell r="G251" t="str">
            <v/>
          </cell>
        </row>
        <row r="252">
          <cell r="G252" t="str">
            <v/>
          </cell>
        </row>
        <row r="253">
          <cell r="G253" t="str">
            <v/>
          </cell>
        </row>
        <row r="254">
          <cell r="G254" t="str">
            <v/>
          </cell>
        </row>
        <row r="255">
          <cell r="G255" t="str">
            <v/>
          </cell>
        </row>
        <row r="256">
          <cell r="G256" t="str">
            <v/>
          </cell>
        </row>
        <row r="257">
          <cell r="G257" t="str">
            <v/>
          </cell>
        </row>
        <row r="258">
          <cell r="G258" t="str">
            <v/>
          </cell>
        </row>
        <row r="259">
          <cell r="G259" t="str">
            <v/>
          </cell>
        </row>
        <row r="260">
          <cell r="G260" t="str">
            <v/>
          </cell>
        </row>
        <row r="261">
          <cell r="G261" t="str">
            <v/>
          </cell>
        </row>
        <row r="262">
          <cell r="G262" t="str">
            <v/>
          </cell>
        </row>
        <row r="263">
          <cell r="G263" t="str">
            <v/>
          </cell>
        </row>
        <row r="264">
          <cell r="G264" t="str">
            <v/>
          </cell>
        </row>
        <row r="265">
          <cell r="G265" t="str">
            <v/>
          </cell>
        </row>
        <row r="266">
          <cell r="G266" t="str">
            <v/>
          </cell>
        </row>
        <row r="267">
          <cell r="G267" t="str">
            <v/>
          </cell>
        </row>
        <row r="268">
          <cell r="G268" t="str">
            <v/>
          </cell>
        </row>
        <row r="269">
          <cell r="G269" t="str">
            <v/>
          </cell>
        </row>
        <row r="270">
          <cell r="G270" t="str">
            <v/>
          </cell>
        </row>
        <row r="271">
          <cell r="G271" t="str">
            <v/>
          </cell>
        </row>
        <row r="272">
          <cell r="G272" t="str">
            <v/>
          </cell>
        </row>
        <row r="273">
          <cell r="G273" t="str">
            <v/>
          </cell>
        </row>
        <row r="274">
          <cell r="G274" t="str">
            <v/>
          </cell>
        </row>
        <row r="275">
          <cell r="G275" t="str">
            <v/>
          </cell>
        </row>
        <row r="276">
          <cell r="G276" t="str">
            <v/>
          </cell>
        </row>
        <row r="277">
          <cell r="G277" t="str">
            <v/>
          </cell>
        </row>
        <row r="278">
          <cell r="G278" t="str">
            <v/>
          </cell>
        </row>
        <row r="279">
          <cell r="G279" t="str">
            <v/>
          </cell>
        </row>
        <row r="280">
          <cell r="G280" t="str">
            <v/>
          </cell>
        </row>
        <row r="281">
          <cell r="G281" t="str">
            <v/>
          </cell>
        </row>
        <row r="282">
          <cell r="G282" t="str">
            <v/>
          </cell>
        </row>
        <row r="283">
          <cell r="G283" t="str">
            <v/>
          </cell>
        </row>
        <row r="284">
          <cell r="G284" t="str">
            <v/>
          </cell>
        </row>
        <row r="285">
          <cell r="G285" t="str">
            <v/>
          </cell>
        </row>
        <row r="286">
          <cell r="G286" t="str">
            <v/>
          </cell>
        </row>
        <row r="287">
          <cell r="G287" t="str">
            <v/>
          </cell>
        </row>
        <row r="288">
          <cell r="G288" t="str">
            <v/>
          </cell>
        </row>
        <row r="289">
          <cell r="G289" t="str">
            <v/>
          </cell>
        </row>
        <row r="290">
          <cell r="G290" t="str">
            <v/>
          </cell>
        </row>
        <row r="291">
          <cell r="G291" t="str">
            <v/>
          </cell>
        </row>
        <row r="292">
          <cell r="G292" t="str">
            <v/>
          </cell>
        </row>
        <row r="293">
          <cell r="G293" t="str">
            <v/>
          </cell>
        </row>
        <row r="294">
          <cell r="G294" t="str">
            <v/>
          </cell>
        </row>
        <row r="295">
          <cell r="G295" t="str">
            <v/>
          </cell>
        </row>
        <row r="296">
          <cell r="G296" t="str">
            <v/>
          </cell>
        </row>
        <row r="297">
          <cell r="G297" t="str">
            <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99"/>
        </a:solidFill>
        <a:ln w="9525" cap="flat" cmpd="sng" algn="ctr">
          <a:solidFill>
            <a:srgbClr val="000000"/>
          </a:solidFill>
          <a:prstDash val="solid"/>
          <a:round/>
          <a:headEnd type="none" w="med" len="med"/>
          <a:tailEnd type="none" w="med" len="med"/>
        </a:ln>
        <a:effectLst/>
      </a:spPr>
      <a:bodyPr vertOverflow="clip" wrap="square" lIns="36000" tIns="36000" rIns="36000" bIns="36000" upright="1"/>
      <a:lstStyle/>
    </a:spDef>
    <a:lnDef>
      <a:spPr bwMode="auto">
        <a:xfrm>
          <a:off x="0" y="0"/>
          <a:ext cx="1" cy="1"/>
        </a:xfrm>
        <a:custGeom>
          <a:avLst/>
          <a:gdLst/>
          <a:ahLst/>
          <a:cxnLst/>
          <a:rect l="0" t="0" r="0" b="0"/>
          <a:pathLst/>
        </a:custGeom>
        <a:solidFill>
          <a:srgbClr val="FFFF99"/>
        </a:solidFill>
        <a:ln w="9525" cap="flat" cmpd="sng" algn="ctr">
          <a:solidFill>
            <a:srgbClr val="000000"/>
          </a:solidFill>
          <a:prstDash val="solid"/>
          <a:round/>
          <a:headEnd type="none" w="med" len="med"/>
          <a:tailEnd type="none" w="med" len="med"/>
        </a:ln>
        <a:effectLst/>
      </a:spPr>
      <a:bodyPr vertOverflow="clip" wrap="square" lIns="36000" tIns="36000" rIns="36000" bIns="3600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4.xml"/><Relationship Id="rId3" Type="http://schemas.openxmlformats.org/officeDocument/2006/relationships/drawing" Target="../drawings/drawing1.xml"/><Relationship Id="rId7" Type="http://schemas.openxmlformats.org/officeDocument/2006/relationships/ctrlProp" Target="../ctrlProps/ctrlProp3.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ctrlProp" Target="../ctrlProps/ctrlProp2.xml"/><Relationship Id="rId11" Type="http://schemas.openxmlformats.org/officeDocument/2006/relationships/comments" Target="../comments1.xml"/><Relationship Id="rId5" Type="http://schemas.openxmlformats.org/officeDocument/2006/relationships/ctrlProp" Target="../ctrlProps/ctrlProp1.xml"/><Relationship Id="rId10" Type="http://schemas.openxmlformats.org/officeDocument/2006/relationships/ctrlProp" Target="../ctrlProps/ctrlProp6.xml"/><Relationship Id="rId4" Type="http://schemas.openxmlformats.org/officeDocument/2006/relationships/vmlDrawing" Target="../drawings/vmlDrawing1.vml"/><Relationship Id="rId9" Type="http://schemas.openxmlformats.org/officeDocument/2006/relationships/ctrlProp" Target="../ctrlProps/ctrlProp5.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 Id="rId5" Type="http://schemas.openxmlformats.org/officeDocument/2006/relationships/comments" Target="../comments4.xml"/><Relationship Id="rId4"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4.bin"/><Relationship Id="rId1" Type="http://schemas.openxmlformats.org/officeDocument/2006/relationships/printerSettings" Target="../printerSettings/printerSettings23.bin"/></Relationships>
</file>

<file path=xl/worksheets/_rels/sheet13.xml.rels><?xml version="1.0" encoding="UTF-8" standalone="yes"?>
<Relationships xmlns="http://schemas.openxmlformats.org/package/2006/relationships"><Relationship Id="rId8" Type="http://schemas.openxmlformats.org/officeDocument/2006/relationships/ctrlProp" Target="../ctrlProps/ctrlProp10.xml"/><Relationship Id="rId13" Type="http://schemas.openxmlformats.org/officeDocument/2006/relationships/ctrlProp" Target="../ctrlProps/ctrlProp15.xml"/><Relationship Id="rId18" Type="http://schemas.openxmlformats.org/officeDocument/2006/relationships/ctrlProp" Target="../ctrlProps/ctrlProp20.xml"/><Relationship Id="rId3" Type="http://schemas.openxmlformats.org/officeDocument/2006/relationships/drawing" Target="../drawings/drawing10.xml"/><Relationship Id="rId7" Type="http://schemas.openxmlformats.org/officeDocument/2006/relationships/ctrlProp" Target="../ctrlProps/ctrlProp9.xml"/><Relationship Id="rId12" Type="http://schemas.openxmlformats.org/officeDocument/2006/relationships/ctrlProp" Target="../ctrlProps/ctrlProp14.xml"/><Relationship Id="rId17" Type="http://schemas.openxmlformats.org/officeDocument/2006/relationships/ctrlProp" Target="../ctrlProps/ctrlProp19.xml"/><Relationship Id="rId2" Type="http://schemas.openxmlformats.org/officeDocument/2006/relationships/printerSettings" Target="../printerSettings/printerSettings26.bin"/><Relationship Id="rId16" Type="http://schemas.openxmlformats.org/officeDocument/2006/relationships/ctrlProp" Target="../ctrlProps/ctrlProp18.xml"/><Relationship Id="rId1" Type="http://schemas.openxmlformats.org/officeDocument/2006/relationships/printerSettings" Target="../printerSettings/printerSettings25.bin"/><Relationship Id="rId6" Type="http://schemas.openxmlformats.org/officeDocument/2006/relationships/ctrlProp" Target="../ctrlProps/ctrlProp8.xml"/><Relationship Id="rId11" Type="http://schemas.openxmlformats.org/officeDocument/2006/relationships/ctrlProp" Target="../ctrlProps/ctrlProp13.xml"/><Relationship Id="rId5" Type="http://schemas.openxmlformats.org/officeDocument/2006/relationships/ctrlProp" Target="../ctrlProps/ctrlProp7.xml"/><Relationship Id="rId15" Type="http://schemas.openxmlformats.org/officeDocument/2006/relationships/ctrlProp" Target="../ctrlProps/ctrlProp17.xml"/><Relationship Id="rId10" Type="http://schemas.openxmlformats.org/officeDocument/2006/relationships/ctrlProp" Target="../ctrlProps/ctrlProp12.xml"/><Relationship Id="rId19" Type="http://schemas.openxmlformats.org/officeDocument/2006/relationships/comments" Target="../comments5.xml"/><Relationship Id="rId4" Type="http://schemas.openxmlformats.org/officeDocument/2006/relationships/vmlDrawing" Target="../drawings/vmlDrawing7.vml"/><Relationship Id="rId9" Type="http://schemas.openxmlformats.org/officeDocument/2006/relationships/ctrlProp" Target="../ctrlProps/ctrlProp11.xml"/><Relationship Id="rId14" Type="http://schemas.openxmlformats.org/officeDocument/2006/relationships/ctrlProp" Target="../ctrlProps/ctrlProp16.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 Id="rId5" Type="http://schemas.openxmlformats.org/officeDocument/2006/relationships/ctrlProp" Target="../ctrlProps/ctrlProp21.xml"/><Relationship Id="rId4"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34.bin"/><Relationship Id="rId1" Type="http://schemas.openxmlformats.org/officeDocument/2006/relationships/printerSettings" Target="../printerSettings/printerSettings33.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36.bin"/><Relationship Id="rId1" Type="http://schemas.openxmlformats.org/officeDocument/2006/relationships/printerSettings" Target="../printerSettings/printerSettings3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tabColor indexed="18"/>
    <pageSetUpPr autoPageBreaks="0" fitToPage="1"/>
  </sheetPr>
  <dimension ref="A1:IL384"/>
  <sheetViews>
    <sheetView tabSelected="1" zoomScaleNormal="100" workbookViewId="0">
      <selection activeCell="F8" sqref="F8"/>
    </sheetView>
  </sheetViews>
  <sheetFormatPr defaultRowHeight="12.75" customHeight="1"/>
  <cols>
    <col min="1" max="1" width="6.5703125" customWidth="1"/>
    <col min="2" max="2" width="22.85546875" customWidth="1"/>
    <col min="3" max="3" width="11.7109375" customWidth="1"/>
    <col min="4" max="4" width="17" bestFit="1" customWidth="1"/>
    <col min="5" max="5" width="12.28515625" customWidth="1"/>
    <col min="6" max="6" width="13.85546875" customWidth="1"/>
    <col min="7" max="7" width="17.140625" customWidth="1"/>
    <col min="8" max="8" width="19.28515625" customWidth="1"/>
    <col min="9" max="9" width="25.28515625" customWidth="1"/>
    <col min="10" max="10" width="24.42578125" customWidth="1"/>
    <col min="11" max="11" width="19.140625" customWidth="1"/>
    <col min="12" max="12" width="14.7109375" customWidth="1"/>
    <col min="13" max="13" width="13" bestFit="1" customWidth="1"/>
    <col min="14" max="14" width="15.140625" customWidth="1"/>
    <col min="15" max="15" width="14.85546875" customWidth="1"/>
    <col min="17" max="17" width="9.5703125" customWidth="1"/>
    <col min="18" max="46" width="9.28515625" customWidth="1"/>
    <col min="47" max="47" width="22" bestFit="1" customWidth="1"/>
    <col min="48" max="48" width="12.85546875" customWidth="1"/>
    <col min="49" max="49" width="32.7109375" customWidth="1"/>
    <col min="50" max="50" width="11.42578125" style="98" bestFit="1" customWidth="1"/>
    <col min="51" max="51" width="35.85546875" customWidth="1"/>
    <col min="52" max="52" width="19.5703125" style="98" bestFit="1" customWidth="1"/>
    <col min="53" max="53" width="14.140625" customWidth="1"/>
    <col min="54" max="54" width="15.28515625" bestFit="1" customWidth="1"/>
    <col min="55" max="55" width="21.140625" customWidth="1"/>
    <col min="56" max="56" width="21.140625" bestFit="1" customWidth="1"/>
    <col min="57" max="57" width="9.85546875" customWidth="1"/>
    <col min="61" max="61" width="25.85546875" customWidth="1"/>
    <col min="62" max="62" width="21.7109375" customWidth="1"/>
    <col min="63" max="63" width="23.7109375" customWidth="1"/>
    <col min="64" max="64" width="11.7109375" customWidth="1"/>
    <col min="65" max="65" width="23.7109375" bestFit="1" customWidth="1"/>
    <col min="66" max="66" width="14" customWidth="1"/>
    <col min="67" max="67" width="13.5703125" customWidth="1"/>
    <col min="68" max="68" width="10.28515625" customWidth="1"/>
  </cols>
  <sheetData>
    <row r="1" spans="1:90" s="18" customFormat="1" ht="32.1" customHeight="1">
      <c r="A1" s="60" t="s">
        <v>2250</v>
      </c>
      <c r="B1" s="60"/>
      <c r="C1" s="60"/>
      <c r="D1" s="60"/>
      <c r="E1" s="60"/>
      <c r="F1" s="60"/>
      <c r="G1" s="60"/>
      <c r="H1" s="60"/>
      <c r="I1" s="61"/>
      <c r="J1" s="54"/>
      <c r="K1" s="61"/>
      <c r="L1" s="61"/>
      <c r="M1" s="61"/>
      <c r="N1" s="61"/>
      <c r="O1" s="61"/>
      <c r="P1" s="54"/>
      <c r="Q1" s="54"/>
      <c r="R1" s="54"/>
      <c r="S1" s="54"/>
      <c r="T1" s="60"/>
      <c r="U1" s="60"/>
      <c r="V1" s="60"/>
      <c r="W1" s="60"/>
      <c r="X1" s="60"/>
      <c r="Y1" s="60"/>
      <c r="Z1" s="60"/>
      <c r="AA1" s="60"/>
      <c r="AB1" s="60"/>
      <c r="AC1" s="60"/>
      <c r="AD1" s="60"/>
      <c r="AE1" s="60"/>
      <c r="AU1" s="99" t="s">
        <v>111</v>
      </c>
      <c r="AV1" s="100" t="s">
        <v>16</v>
      </c>
      <c r="AW1" s="100" t="s">
        <v>107</v>
      </c>
      <c r="AX1" s="100" t="s">
        <v>8</v>
      </c>
      <c r="AY1" s="100" t="s">
        <v>108</v>
      </c>
      <c r="AZ1" s="100" t="s">
        <v>110</v>
      </c>
      <c r="BA1" s="100" t="s">
        <v>109</v>
      </c>
      <c r="BB1" s="100" t="s">
        <v>1348</v>
      </c>
      <c r="BC1" s="528" t="s">
        <v>29</v>
      </c>
      <c r="BD1" s="528"/>
      <c r="BE1" s="528"/>
      <c r="BF1" s="528"/>
      <c r="BG1" s="528"/>
      <c r="BH1" s="528"/>
      <c r="BI1" s="528"/>
      <c r="BJ1" s="528"/>
      <c r="BK1" s="528"/>
      <c r="BL1" s="528"/>
      <c r="BM1" s="528"/>
      <c r="BN1" s="528"/>
    </row>
    <row r="2" spans="1:90" s="18" customFormat="1" ht="30.75" customHeight="1">
      <c r="A2" s="60"/>
      <c r="B2" s="60"/>
      <c r="C2" s="60"/>
      <c r="D2" s="60"/>
      <c r="E2" s="60"/>
      <c r="F2" s="60"/>
      <c r="G2" s="60"/>
      <c r="H2" s="60"/>
      <c r="I2" s="61"/>
      <c r="J2" s="54"/>
      <c r="K2" s="61"/>
      <c r="L2" s="61"/>
      <c r="M2" s="61"/>
      <c r="N2" s="61"/>
      <c r="O2" s="61"/>
      <c r="P2" s="54"/>
      <c r="Q2" s="54"/>
      <c r="R2" s="54"/>
      <c r="S2" s="54"/>
      <c r="T2" s="60"/>
      <c r="U2" s="60"/>
      <c r="V2" s="60"/>
      <c r="W2" s="60"/>
      <c r="X2" s="60"/>
      <c r="Y2" s="60"/>
      <c r="Z2" s="60"/>
      <c r="AA2" s="60"/>
      <c r="AB2" s="60"/>
      <c r="AC2" s="60"/>
      <c r="AD2" s="60"/>
      <c r="AE2" s="60"/>
      <c r="AU2" s="298" t="s">
        <v>275</v>
      </c>
      <c r="AV2" s="905">
        <f t="shared" ref="AV2:AV8" si="0">REPORTDATE-1</f>
        <v>46298</v>
      </c>
      <c r="AW2" s="299" t="s">
        <v>1346</v>
      </c>
      <c r="AX2" s="395" t="s">
        <v>62</v>
      </c>
      <c r="AY2" s="391" t="s">
        <v>1347</v>
      </c>
      <c r="AZ2" s="395" t="s">
        <v>63</v>
      </c>
      <c r="BA2" s="889">
        <f>N8-'DATA INPUT'!E7</f>
        <v>10855.889448863738</v>
      </c>
      <c r="BB2" s="993"/>
      <c r="BC2" s="528" t="s">
        <v>1512</v>
      </c>
      <c r="BD2" s="528"/>
      <c r="BE2" s="528"/>
      <c r="BF2" s="528"/>
      <c r="BG2" s="528"/>
      <c r="BH2" s="528"/>
      <c r="BI2" s="528"/>
      <c r="BJ2" s="528"/>
      <c r="BK2" s="528"/>
      <c r="BL2" s="528"/>
      <c r="BM2" s="528"/>
      <c r="BN2" s="528"/>
    </row>
    <row r="3" spans="1:90" s="18" customFormat="1" ht="30" customHeight="1">
      <c r="A3" s="60"/>
      <c r="B3" s="1180" t="str">
        <f>"VERSION "&amp;VERSION</f>
        <v>VERSION 1.6</v>
      </c>
      <c r="C3" s="1181"/>
      <c r="D3" s="1187" t="s">
        <v>245</v>
      </c>
      <c r="E3" s="1188"/>
      <c r="F3" s="1188"/>
      <c r="G3" s="1188"/>
      <c r="H3" s="1188"/>
      <c r="I3" s="1188"/>
      <c r="J3" s="1188"/>
      <c r="K3" s="1196">
        <f>+REPDATE</f>
        <v>46299</v>
      </c>
      <c r="L3" s="1196"/>
      <c r="N3" s="52"/>
      <c r="O3" s="7"/>
      <c r="P3" s="54"/>
      <c r="Q3" s="54"/>
      <c r="R3" s="54"/>
      <c r="S3" s="54"/>
      <c r="V3" s="9"/>
      <c r="W3" s="9"/>
      <c r="X3" s="9"/>
      <c r="Y3" s="9"/>
      <c r="Z3" s="9"/>
      <c r="AA3" s="9"/>
      <c r="AB3" s="9"/>
      <c r="AC3" s="9"/>
      <c r="AE3" s="52"/>
      <c r="AF3" s="9"/>
      <c r="AU3" s="298" t="s">
        <v>275</v>
      </c>
      <c r="AV3" s="905">
        <f t="shared" si="0"/>
        <v>46298</v>
      </c>
      <c r="AW3" s="299" t="s">
        <v>1346</v>
      </c>
      <c r="AX3" s="395" t="s">
        <v>62</v>
      </c>
      <c r="AY3" s="391" t="s">
        <v>1349</v>
      </c>
      <c r="AZ3" s="395" t="s">
        <v>63</v>
      </c>
      <c r="BA3" s="993">
        <f>N9</f>
        <v>665.39671223229539</v>
      </c>
      <c r="BB3" s="993"/>
      <c r="BC3" s="528" t="s">
        <v>1423</v>
      </c>
      <c r="BD3" s="528"/>
      <c r="BE3" s="528"/>
      <c r="BF3" s="528"/>
      <c r="BG3" s="528"/>
      <c r="BH3" s="528"/>
      <c r="BI3" s="528"/>
      <c r="BJ3" s="528"/>
      <c r="BK3" s="528"/>
      <c r="BL3" s="528"/>
      <c r="BM3" s="528"/>
      <c r="BN3" s="528"/>
      <c r="BX3" s="19"/>
      <c r="BY3" s="19"/>
      <c r="BZ3" s="19"/>
      <c r="CA3" s="19"/>
      <c r="CB3" s="19"/>
      <c r="CC3" s="19"/>
      <c r="CD3" s="1193" t="s">
        <v>956</v>
      </c>
      <c r="CE3" s="1194"/>
      <c r="CF3" s="1194"/>
      <c r="CG3" s="1194"/>
      <c r="CH3" s="1194"/>
      <c r="CI3" s="1194"/>
      <c r="CJ3" s="1194"/>
      <c r="CK3" s="1194"/>
      <c r="CL3" s="1195"/>
    </row>
    <row r="4" spans="1:90" s="7" customFormat="1" ht="23.25" customHeight="1">
      <c r="A4" s="60"/>
      <c r="C4" s="62"/>
      <c r="D4" s="1197" t="s">
        <v>2254</v>
      </c>
      <c r="E4" s="1197"/>
      <c r="F4" s="1197"/>
      <c r="G4" s="1197"/>
      <c r="H4" s="1197"/>
      <c r="I4" s="1197"/>
      <c r="J4" s="1197"/>
      <c r="K4" s="1197"/>
      <c r="L4" s="1197"/>
      <c r="O4" s="61"/>
      <c r="T4" s="61"/>
      <c r="U4" s="61"/>
      <c r="V4" s="63"/>
      <c r="W4" s="63"/>
      <c r="X4" s="62"/>
      <c r="Y4" s="62"/>
      <c r="Z4" s="62"/>
      <c r="AA4" s="62"/>
      <c r="AB4" s="62"/>
      <c r="AC4" s="62"/>
      <c r="AD4" s="62"/>
      <c r="AE4" s="62"/>
      <c r="AU4" s="298" t="s">
        <v>275</v>
      </c>
      <c r="AV4" s="905">
        <f t="shared" si="0"/>
        <v>46298</v>
      </c>
      <c r="AW4" s="299" t="s">
        <v>1346</v>
      </c>
      <c r="AX4" s="395" t="s">
        <v>62</v>
      </c>
      <c r="AY4" s="391" t="s">
        <v>1355</v>
      </c>
      <c r="AZ4" s="395" t="s">
        <v>63</v>
      </c>
      <c r="BA4" s="993">
        <f>N38</f>
        <v>123.04942834176923</v>
      </c>
      <c r="BB4" s="993"/>
      <c r="BC4" s="528" t="s">
        <v>1424</v>
      </c>
      <c r="BD4" s="994"/>
      <c r="BE4" s="994"/>
      <c r="BF4" s="994"/>
      <c r="BG4" s="994"/>
      <c r="BH4" s="994"/>
      <c r="BI4" s="994"/>
      <c r="BJ4" s="994"/>
      <c r="BK4" s="994"/>
      <c r="BL4" s="994"/>
      <c r="BM4" s="994"/>
      <c r="BN4" s="994"/>
    </row>
    <row r="5" spans="1:90" s="7" customFormat="1" ht="23.25" customHeight="1">
      <c r="A5" s="64"/>
      <c r="B5" s="1184" t="s">
        <v>1254</v>
      </c>
      <c r="C5" s="1184"/>
      <c r="D5" s="1184"/>
      <c r="E5" s="4" t="s">
        <v>51</v>
      </c>
      <c r="F5" s="756"/>
      <c r="G5" s="756"/>
      <c r="H5" s="995">
        <f>(N8+N10-H27)/(L8+L10-E27)</f>
        <v>1.000402496707097</v>
      </c>
      <c r="I5" s="756"/>
      <c r="J5" s="1198"/>
      <c r="K5" s="1198"/>
      <c r="L5" s="767" t="s">
        <v>1719</v>
      </c>
      <c r="M5" s="788" t="s">
        <v>1562</v>
      </c>
      <c r="N5" s="790" t="s">
        <v>1736</v>
      </c>
      <c r="O5" s="787" t="s">
        <v>1562</v>
      </c>
      <c r="P5" s="55"/>
      <c r="R5" s="9"/>
      <c r="S5" s="9"/>
      <c r="T5" s="9"/>
      <c r="U5" s="128"/>
      <c r="V5" s="128"/>
      <c r="W5" s="9"/>
      <c r="X5" s="9"/>
      <c r="Y5" s="9"/>
      <c r="Z5" s="9"/>
      <c r="AA5" s="9"/>
      <c r="AB5" s="9"/>
      <c r="AC5" s="9"/>
      <c r="AD5" s="9"/>
      <c r="AE5" s="9"/>
      <c r="AF5" s="128"/>
      <c r="AG5" s="128"/>
      <c r="AH5" s="128"/>
      <c r="AI5" s="128"/>
      <c r="AJ5" s="128"/>
      <c r="AK5" s="128"/>
      <c r="AL5" s="9"/>
      <c r="AU5" s="298" t="s">
        <v>275</v>
      </c>
      <c r="AV5" s="905">
        <f t="shared" si="0"/>
        <v>46298</v>
      </c>
      <c r="AW5" s="299" t="s">
        <v>1346</v>
      </c>
      <c r="AX5" s="395" t="s">
        <v>62</v>
      </c>
      <c r="AY5" s="391" t="s">
        <v>1354</v>
      </c>
      <c r="AZ5" s="395" t="s">
        <v>1356</v>
      </c>
      <c r="BA5" s="993"/>
      <c r="BB5" s="996">
        <f>'DATA INPUT'!E5</f>
        <v>665.12900000000002</v>
      </c>
      <c r="BC5" s="528" t="s">
        <v>1425</v>
      </c>
      <c r="BD5" s="994"/>
      <c r="BE5" s="994"/>
      <c r="BF5" s="994"/>
      <c r="BG5" s="994"/>
      <c r="BH5" s="994"/>
      <c r="BI5" s="994"/>
      <c r="BJ5" s="994"/>
      <c r="BK5" s="994"/>
      <c r="BL5" s="994"/>
      <c r="BM5" s="994"/>
      <c r="BN5" s="994"/>
    </row>
    <row r="6" spans="1:90" s="34" customFormat="1" ht="45.75" customHeight="1">
      <c r="A6" s="18"/>
      <c r="B6" s="573" t="s">
        <v>52</v>
      </c>
      <c r="C6" s="56" t="s">
        <v>79</v>
      </c>
      <c r="D6" s="56" t="s">
        <v>1407</v>
      </c>
      <c r="E6" s="56" t="s">
        <v>183</v>
      </c>
      <c r="F6" s="56" t="s">
        <v>184</v>
      </c>
      <c r="G6" s="661" t="s">
        <v>1528</v>
      </c>
      <c r="H6" s="712" t="s">
        <v>1733</v>
      </c>
      <c r="I6" s="7"/>
      <c r="J6" s="1191" t="s">
        <v>2326</v>
      </c>
      <c r="K6" s="1192"/>
      <c r="L6" s="997">
        <f>L13+L20</f>
        <v>24206.344747093532</v>
      </c>
      <c r="M6" s="998">
        <f>L6-'DATA INPUT'!F30</f>
        <v>26.344747093531623</v>
      </c>
      <c r="N6" s="999">
        <f>N13+N20</f>
        <v>24215.010372858364</v>
      </c>
      <c r="O6" s="998">
        <f>'DATA INPUT'!E141-'DATA INPUT'!F141</f>
        <v>9.140557927559712</v>
      </c>
      <c r="P6" s="65"/>
      <c r="U6" s="9"/>
      <c r="V6" s="9"/>
      <c r="W6" s="9"/>
      <c r="X6" s="9"/>
      <c r="Y6" s="9"/>
      <c r="Z6" s="9"/>
      <c r="AA6" s="9"/>
      <c r="AB6" s="9"/>
      <c r="AC6" s="9"/>
      <c r="AD6" s="9"/>
      <c r="AE6" s="9"/>
      <c r="AU6" s="298" t="s">
        <v>275</v>
      </c>
      <c r="AV6" s="905">
        <f t="shared" si="0"/>
        <v>46298</v>
      </c>
      <c r="AW6" s="299" t="s">
        <v>1346</v>
      </c>
      <c r="AX6" s="395" t="s">
        <v>62</v>
      </c>
      <c r="AY6" s="391" t="s">
        <v>1402</v>
      </c>
      <c r="AZ6" s="395" t="s">
        <v>63</v>
      </c>
      <c r="BA6" s="889">
        <f>N6</f>
        <v>24215.010372858364</v>
      </c>
      <c r="BB6" s="993"/>
      <c r="BC6" s="528" t="s">
        <v>1426</v>
      </c>
      <c r="BD6" s="1000"/>
      <c r="BE6" s="1000"/>
      <c r="BF6" s="1000"/>
      <c r="BG6" s="994"/>
      <c r="BH6" s="994"/>
      <c r="BI6" s="1000"/>
      <c r="BJ6" s="1000"/>
      <c r="BK6" s="1000"/>
      <c r="BL6" s="1000"/>
      <c r="BM6" s="1000"/>
      <c r="BN6" s="1000"/>
    </row>
    <row r="7" spans="1:90" s="7" customFormat="1" ht="24.75" customHeight="1">
      <c r="A7" s="60"/>
      <c r="B7" s="1001" t="s">
        <v>1327</v>
      </c>
      <c r="C7" s="1002">
        <f>IFERROR(IF(TDYPROD=0,0,COUNTIF(FIELD,"AG")),"")</f>
        <v>20</v>
      </c>
      <c r="D7" s="1003">
        <f>IFERROR(SUMIF(FIELD,"AG",EST_GASPROD)*GAS_PROFAC,"")+IFERROR(SUMIF(FIELD,"AG",GASLIFT)*GAS_PROFAC,"")</f>
        <v>12.175814018350014</v>
      </c>
      <c r="E7" s="1003">
        <f>IFERROR(SUMIF(FIELD,"AG",EST_PROD)*OIL_PROFAC,"")</f>
        <v>1128.5927674252048</v>
      </c>
      <c r="F7" s="1003">
        <v>1153.8559854433518</v>
      </c>
      <c r="G7" s="1004">
        <f t="shared" ref="G7:G13" si="1">IF(E7="","",E7-F7)</f>
        <v>-25.263218018146972</v>
      </c>
      <c r="H7" s="862">
        <f t="shared" ref="H7:H22" si="2">AGActual_Ratio*E7</f>
        <v>1129.0470222977469</v>
      </c>
      <c r="I7" s="242"/>
      <c r="J7" s="662"/>
      <c r="K7" s="662"/>
      <c r="L7" s="1005"/>
      <c r="M7" s="690"/>
      <c r="N7" s="771">
        <f>(BB21-AZ25-AZ30)/(AW21-AX25-AX30)</f>
        <v>1.0004024967070979</v>
      </c>
      <c r="O7" s="789"/>
      <c r="P7" s="55"/>
      <c r="U7" s="9"/>
      <c r="V7" s="9"/>
      <c r="W7" s="9"/>
      <c r="X7" s="9"/>
      <c r="Y7" s="9"/>
      <c r="Z7" s="9"/>
      <c r="AA7" s="9"/>
      <c r="AB7" s="9"/>
      <c r="AC7" s="9"/>
      <c r="AD7" s="9"/>
      <c r="AE7" s="9"/>
      <c r="AF7" s="9"/>
      <c r="AG7" s="9"/>
      <c r="AU7" s="298" t="s">
        <v>275</v>
      </c>
      <c r="AV7" s="905">
        <f t="shared" si="0"/>
        <v>46298</v>
      </c>
      <c r="AW7" s="299" t="s">
        <v>1346</v>
      </c>
      <c r="AX7" s="395" t="s">
        <v>62</v>
      </c>
      <c r="AY7" s="391" t="s">
        <v>1422</v>
      </c>
      <c r="AZ7" s="395" t="s">
        <v>63</v>
      </c>
      <c r="BA7" s="889">
        <f>N8+N10</f>
        <v>11110.992085524047</v>
      </c>
      <c r="BB7" s="993"/>
      <c r="BC7" s="528" t="s">
        <v>1427</v>
      </c>
      <c r="BD7" s="994"/>
      <c r="BE7" s="994"/>
      <c r="BF7" s="994"/>
      <c r="BG7" s="994"/>
      <c r="BH7" s="994"/>
      <c r="BI7" s="994"/>
      <c r="BJ7" s="994"/>
      <c r="BK7" s="994"/>
      <c r="BL7" s="994"/>
      <c r="BM7" s="994"/>
      <c r="BN7" s="994"/>
    </row>
    <row r="8" spans="1:90" s="7" customFormat="1" ht="29.25" customHeight="1">
      <c r="A8" s="60"/>
      <c r="B8" s="1001" t="s">
        <v>2258</v>
      </c>
      <c r="C8" s="1002">
        <f>IFERROR(IF(TDYPROD=0,0,COUNTIF(FIELD,"BOLTNAIL")),"")+IFERROR(IF(TDYPROD=0,0,COUNTIF(FIELD,"BOLT")),"")</f>
        <v>1</v>
      </c>
      <c r="D8" s="1003">
        <f>IFERROR(SUMIF(FIELD,"BOLTNAIL",EST_GASPROD)*GAS_PROFAC,"")+IFERROR(SUMIF(FIELD,"BOLTNAIL",GASLIFT)*GAS_PROFAC,"")</f>
        <v>0</v>
      </c>
      <c r="E8" s="1003">
        <f>IFERROR(SUMIF(FIELD,"BOLTNAIL",EST_PROD),"")+L37</f>
        <v>47</v>
      </c>
      <c r="F8" s="1003">
        <v>43</v>
      </c>
      <c r="G8" s="1004">
        <f>IF(E8="","",E8-F8)</f>
        <v>4</v>
      </c>
      <c r="H8" s="862">
        <f t="shared" si="2"/>
        <v>47.018917345233561</v>
      </c>
      <c r="I8" s="242"/>
      <c r="J8" s="1189" t="s">
        <v>1401</v>
      </c>
      <c r="K8" s="1190"/>
      <c r="L8" s="1006">
        <f>H39-L9-'DATA INPUT'!E21-'DATA INPUT'!E24</f>
        <v>10851.521747093531</v>
      </c>
      <c r="M8" s="1006">
        <f>L8-'DATA INPUT'!F29</f>
        <v>-200.4782529064687</v>
      </c>
      <c r="N8" s="1007">
        <f>L8*Actual_Ratio</f>
        <v>10855.889448863738</v>
      </c>
      <c r="O8" s="1008">
        <f>'DATA INPUT'!E143-'DATA INPUT'!F143</f>
        <v>-210.76498824586815</v>
      </c>
      <c r="P8" s="55"/>
      <c r="U8" s="9"/>
      <c r="V8" s="9"/>
      <c r="W8" s="9"/>
      <c r="X8" s="9"/>
      <c r="Y8" s="9"/>
      <c r="Z8" s="9"/>
      <c r="AA8" s="9"/>
      <c r="AB8" s="9"/>
      <c r="AC8" s="9"/>
      <c r="AD8" s="9"/>
      <c r="AE8" s="9"/>
      <c r="AF8" s="9"/>
      <c r="AG8" s="9"/>
      <c r="AU8" s="298" t="s">
        <v>275</v>
      </c>
      <c r="AV8" s="905">
        <f t="shared" si="0"/>
        <v>46298</v>
      </c>
      <c r="AW8" s="299" t="s">
        <v>1346</v>
      </c>
      <c r="AX8" s="395" t="s">
        <v>62</v>
      </c>
      <c r="AY8" s="391" t="s">
        <v>1516</v>
      </c>
      <c r="AZ8" s="395" t="s">
        <v>63</v>
      </c>
      <c r="BA8" s="889">
        <f>SUM('WATER FLOOD WELLS'!H3:H44)</f>
        <v>31095</v>
      </c>
      <c r="BB8" s="993"/>
      <c r="BC8" s="528"/>
      <c r="BD8" s="994"/>
      <c r="BE8" s="994"/>
      <c r="BF8" s="994"/>
      <c r="BG8" s="994"/>
      <c r="BH8" s="994"/>
      <c r="BI8" s="994"/>
      <c r="BJ8" s="994"/>
      <c r="BK8" s="994"/>
      <c r="BL8" s="994"/>
      <c r="BM8" s="994"/>
      <c r="BN8" s="994"/>
    </row>
    <row r="9" spans="1:90" s="7" customFormat="1" ht="33" customHeight="1">
      <c r="A9" s="60"/>
      <c r="B9" s="1009" t="s">
        <v>1334</v>
      </c>
      <c r="C9" s="1002">
        <f>IFERROR(IF(TDYPROD=0,0,COUNTIF(FIELD,"SAG")),"")</f>
        <v>8</v>
      </c>
      <c r="D9" s="1003">
        <f>IFERROR(SUMIF(FIELD,"SAG",EST_GASPROD)*GAS_PROFAC,"")+IFERROR(SUMIF(FIELD,"SAG",GASLIFT)*GAS_PROFAC,"")</f>
        <v>8.3706364408597835</v>
      </c>
      <c r="E9" s="1003">
        <f>IFERROR(SUMIF(FIELD,"SAG",EST_PROD)*OIL_PROFAC,"")</f>
        <v>1239.9556350988255</v>
      </c>
      <c r="F9" s="1003">
        <v>1257.4747629294675</v>
      </c>
      <c r="G9" s="1004">
        <f t="shared" si="1"/>
        <v>-17.519127830641992</v>
      </c>
      <c r="H9" s="862">
        <f t="shared" si="2"/>
        <v>1240.4547131588993</v>
      </c>
      <c r="I9" s="242"/>
      <c r="J9" s="1189" t="s">
        <v>1361</v>
      </c>
      <c r="K9" s="1190"/>
      <c r="L9" s="1010">
        <f>'DATA INPUT'!E5</f>
        <v>665.12900000000002</v>
      </c>
      <c r="M9" s="1010">
        <f>REPORT!L9-'DATA INPUT'!F5</f>
        <v>5.3980000000000246</v>
      </c>
      <c r="N9" s="1011">
        <f>L9*Actual_Ratio</f>
        <v>665.39671223229539</v>
      </c>
      <c r="O9" s="1012">
        <f>'DATA INPUT'!E144-'DATA INPUT'!F144</f>
        <v>4.8141880934851997</v>
      </c>
      <c r="P9" s="55"/>
      <c r="U9" s="9"/>
      <c r="V9" s="9"/>
      <c r="W9" s="9"/>
      <c r="X9" s="9"/>
      <c r="Y9" s="9"/>
      <c r="Z9" s="9"/>
      <c r="AB9" s="9"/>
      <c r="AC9" s="9"/>
      <c r="AD9" s="9"/>
      <c r="AE9" s="9"/>
      <c r="AF9" s="9"/>
      <c r="AG9" s="9"/>
      <c r="AU9" s="298" t="s">
        <v>275</v>
      </c>
      <c r="AV9" s="905">
        <f>REPORTDATE-1</f>
        <v>46298</v>
      </c>
      <c r="AW9" s="299" t="s">
        <v>1548</v>
      </c>
      <c r="AX9" s="395" t="s">
        <v>62</v>
      </c>
      <c r="AY9" s="391" t="s">
        <v>1549</v>
      </c>
      <c r="AZ9" s="395" t="s">
        <v>63</v>
      </c>
      <c r="BA9" s="889">
        <f>N10</f>
        <v>255.10263666030997</v>
      </c>
      <c r="BB9" s="993"/>
      <c r="BC9" s="528" t="s">
        <v>1517</v>
      </c>
      <c r="BD9" s="994"/>
      <c r="BE9" s="994"/>
      <c r="BF9" s="994"/>
      <c r="BG9" s="994"/>
      <c r="BH9" s="994"/>
      <c r="BI9" s="994"/>
      <c r="BJ9" s="994"/>
      <c r="BK9" s="994"/>
      <c r="BL9" s="994"/>
      <c r="BM9" s="994"/>
      <c r="BN9" s="994"/>
    </row>
    <row r="10" spans="1:90" s="7" customFormat="1" ht="32.25" customHeight="1">
      <c r="A10" s="60"/>
      <c r="B10" s="1009" t="s">
        <v>1330</v>
      </c>
      <c r="C10" s="1002">
        <f>IFERROR(IF(TDYPROD=0,0,COUNTIF(FIELD,"SWAG")),"")</f>
        <v>3</v>
      </c>
      <c r="D10" s="1003">
        <f>IFERROR(SUMIF(FIELD,"SWAG",EST_GASPROD)*GAS_PROFAC,"")+IFERROR(SUMIF(FIELD,"SWAG",GASLIFT)*GAS_PROFAC,"")</f>
        <v>3.845636145211103</v>
      </c>
      <c r="E10" s="1003">
        <f>IFERROR(SUMIF(FIELD,"SWAG",EST_PROD)*OIL_PROFAC,"")</f>
        <v>77.447750108106817</v>
      </c>
      <c r="F10" s="1003">
        <v>79.190059107440959</v>
      </c>
      <c r="G10" s="1004">
        <f t="shared" si="1"/>
        <v>-1.7423089993341421</v>
      </c>
      <c r="H10" s="862">
        <f t="shared" si="2"/>
        <v>77.478922572497396</v>
      </c>
      <c r="I10" s="242"/>
      <c r="J10" s="1189" t="s">
        <v>1547</v>
      </c>
      <c r="K10" s="1190"/>
      <c r="L10" s="1010">
        <f>'DATA INPUT'!E26</f>
        <v>255</v>
      </c>
      <c r="M10" s="1010">
        <f>L10-'DATA INPUT'!F26</f>
        <v>2</v>
      </c>
      <c r="N10" s="1011">
        <f>L10*Actual_Ratio</f>
        <v>255.10263666030997</v>
      </c>
      <c r="O10" s="1012">
        <f>'DATA INPUT'!E145-'DATA INPUT'!F145</f>
        <v>1.7760859796249804</v>
      </c>
      <c r="P10" s="55"/>
      <c r="U10" s="9"/>
      <c r="V10" s="9"/>
      <c r="W10" s="9"/>
      <c r="X10" s="9"/>
      <c r="Y10" s="9"/>
      <c r="Z10" s="9"/>
      <c r="AB10" s="9"/>
      <c r="AC10" s="9"/>
      <c r="AD10" s="9"/>
      <c r="AE10" s="9"/>
      <c r="AF10" s="9"/>
      <c r="AG10" s="9"/>
      <c r="AU10" s="298" t="s">
        <v>275</v>
      </c>
      <c r="AV10" s="905">
        <f>REPORTDATE-1</f>
        <v>46298</v>
      </c>
      <c r="AW10" s="299" t="s">
        <v>1513</v>
      </c>
      <c r="AX10" s="395" t="s">
        <v>62</v>
      </c>
      <c r="AY10" s="391" t="s">
        <v>1514</v>
      </c>
      <c r="AZ10" s="395" t="s">
        <v>63</v>
      </c>
      <c r="BA10" s="889">
        <f>N11</f>
        <v>5915.3799630290696</v>
      </c>
      <c r="BB10" s="993"/>
      <c r="BC10" s="528" t="s">
        <v>1515</v>
      </c>
      <c r="BD10" s="994"/>
      <c r="BE10" s="994"/>
      <c r="BF10" s="994"/>
      <c r="BG10" s="994"/>
      <c r="BH10" s="994"/>
      <c r="BI10" s="994"/>
      <c r="BJ10" s="994"/>
      <c r="BK10" s="994"/>
      <c r="BL10" s="994"/>
      <c r="BM10" s="994"/>
    </row>
    <row r="11" spans="1:90" s="7" customFormat="1" ht="38.25" customHeight="1">
      <c r="A11" s="60"/>
      <c r="B11" s="1009" t="s">
        <v>2255</v>
      </c>
      <c r="C11" s="1002">
        <f>IFERROR(IF(TDYPROD=0,0,COUNTIF(FIELD,"OAKHILL-W")),"")+IFERROR(IF(TDYPROD=0,0,COUNTIF(FIELD,"OAKHILL-SW")),"")</f>
        <v>2</v>
      </c>
      <c r="D11" s="1003">
        <f>IFERROR(SUMIF(FIELD,"OAKHILL-W",EST_GASPROD)*GAS_PROFAC,"")+IFERROR(SUMIF(FIELD,"OAKHILL-W",GASLIFT)*GAS_PROFAC,"")</f>
        <v>0</v>
      </c>
      <c r="E11" s="1003">
        <f>IFERROR(SUMIF(FIELD,"OAKHILL-W",EST_PROD)*OIL_PROFAC,"")+IFERROR(SUMIF(FIELD,"OAKHILL-SW",EST_PROD)*OIL_PROFAC,"")</f>
        <v>526.5743531334432</v>
      </c>
      <c r="F11" s="1003">
        <v>538.42047174892673</v>
      </c>
      <c r="G11" s="1004">
        <f>IF(E11="","",E11-F11)</f>
        <v>-11.846118615483533</v>
      </c>
      <c r="H11" s="862">
        <f>AGActual_Ratio*E11</f>
        <v>526.78629757662111</v>
      </c>
      <c r="I11" s="242"/>
      <c r="J11" s="1189" t="s">
        <v>1502</v>
      </c>
      <c r="K11" s="1190"/>
      <c r="L11" s="1013">
        <f>'DATA INPUT'!E22</f>
        <v>5913</v>
      </c>
      <c r="M11" s="1013">
        <f>L11-'DATA INPUT'!F22</f>
        <v>184</v>
      </c>
      <c r="N11" s="1014">
        <f>L11*Actual_Ratio</f>
        <v>5915.3799630290696</v>
      </c>
      <c r="O11" s="1012">
        <f>'DATA INPUT'!E146-'DATA INPUT'!F146</f>
        <v>178.98546164707659</v>
      </c>
      <c r="P11" s="55"/>
      <c r="U11" s="9"/>
      <c r="V11" s="9"/>
      <c r="W11" s="9"/>
      <c r="X11" s="9"/>
      <c r="Y11" s="9"/>
      <c r="Z11" s="9"/>
      <c r="AB11" s="9"/>
      <c r="AC11" s="9"/>
      <c r="AD11" s="9"/>
      <c r="AE11" s="9"/>
      <c r="AF11" s="9"/>
      <c r="AG11" s="9"/>
      <c r="AU11" s="298" t="s">
        <v>275</v>
      </c>
      <c r="AV11" s="905">
        <f>REPORTDATE-1</f>
        <v>46298</v>
      </c>
      <c r="AW11" s="299" t="s">
        <v>1418</v>
      </c>
      <c r="AX11" s="395" t="s">
        <v>1419</v>
      </c>
      <c r="AY11" s="391" t="s">
        <v>1420</v>
      </c>
      <c r="AZ11" s="395" t="s">
        <v>63</v>
      </c>
      <c r="BA11" s="889">
        <f>'DATA INPUT'!E7</f>
        <v>0</v>
      </c>
      <c r="BB11" s="993"/>
      <c r="BC11" s="528"/>
      <c r="BD11" s="994"/>
      <c r="BE11" s="994"/>
      <c r="BF11" s="994"/>
      <c r="BG11" s="994"/>
      <c r="BH11" s="994"/>
      <c r="BI11" s="994"/>
      <c r="BJ11" s="994"/>
      <c r="BK11" s="994"/>
      <c r="BL11" s="994"/>
      <c r="BM11" s="994"/>
    </row>
    <row r="12" spans="1:90" s="7" customFormat="1" ht="37.5" customHeight="1">
      <c r="A12" s="60"/>
      <c r="B12" s="1015" t="s">
        <v>2608</v>
      </c>
      <c r="C12" s="1002">
        <f>IFERROR(IF(TDYPROD=0,0,COUNTIF(FIELD,"MAPLE")),"")+IFERROR(IF(TDYPROD=0,0,COUNTIF(FIELD,"NEAG")),"")+IFERROR(IF(TDYPROD=0,0,COUNTIF(FIELD,"NAG")),"")</f>
        <v>5</v>
      </c>
      <c r="D12" s="1003">
        <f>IFERROR(SUMIF(FIELD,"MAPLE",EST_GASPROD)*GAS_PROFAC,"")+IFERROR(SUMIF(FIELD,"MAPLE",GASLIFT)*GAS_PROFAC,"")+IFERROR(SUMIF(FIELD,"NEAG",EST_GASPROD)*GAS_PROFAC,"")+IFERROR(SUMIF(FIELD,"NEAG",GASLIFT)*GAS_PROFAC,"")+IFERROR(SUMIF(FIELD,"NAG",EST_GASPROD)*GAS_PROFAC,"")+IFERROR(SUMIF(FIELD,"NAG",GASLIFT)*GAS_PROFAC,"")</f>
        <v>8.4731960550961674</v>
      </c>
      <c r="E12" s="1003">
        <f>IFERROR(SUMIF(FIELD,"MAPLE",EST_PROD)*OIL_PROFAC,"")+IFERROR(SUMIF(FIELD,"NEAG",EST_PROD)*OIL_PROFAC,"")+IFERROR(SUMIF(FIELD,"NAG",EST_PROD)*OIL_PROFAC,"")</f>
        <v>1583.2851066588546</v>
      </c>
      <c r="F12" s="1003">
        <v>1618.9035963631113</v>
      </c>
      <c r="G12" s="1004">
        <f t="shared" si="1"/>
        <v>-35.618489704256717</v>
      </c>
      <c r="H12" s="862">
        <f>AGActual_Ratio*E12</f>
        <v>1583.9223737006805</v>
      </c>
      <c r="I12" s="242"/>
      <c r="J12" s="1189" t="s">
        <v>1531</v>
      </c>
      <c r="K12" s="1190"/>
      <c r="L12" s="1016">
        <f>SUM(L8:L11)</f>
        <v>17684.650747093532</v>
      </c>
      <c r="M12" s="1016">
        <f>SUM(M8:M11)</f>
        <v>-9.0802529064686723</v>
      </c>
      <c r="N12" s="1016">
        <f>SUM(N8:N11)</f>
        <v>17691.768760785413</v>
      </c>
      <c r="O12" s="1017">
        <f>SUM(O8:O11)</f>
        <v>-25.189252525681383</v>
      </c>
      <c r="P12" s="55"/>
      <c r="Q12" s="95"/>
      <c r="U12" s="9"/>
      <c r="V12" s="9"/>
      <c r="W12" s="9"/>
      <c r="X12" s="9"/>
      <c r="Y12" s="9"/>
      <c r="Z12" s="9"/>
      <c r="AB12" s="9"/>
      <c r="AC12" s="9"/>
      <c r="AD12" s="9"/>
      <c r="AE12" s="9"/>
      <c r="AF12" s="9"/>
      <c r="AG12" s="9"/>
      <c r="AU12" s="298"/>
      <c r="AV12" s="905"/>
      <c r="AW12" s="299"/>
      <c r="AX12" s="395"/>
      <c r="AY12" s="391"/>
      <c r="AZ12" s="395"/>
      <c r="BA12" s="889"/>
      <c r="BB12" s="993"/>
      <c r="BC12" s="528" t="s">
        <v>1428</v>
      </c>
      <c r="BD12" s="994"/>
      <c r="BE12" s="994"/>
      <c r="BF12" s="994"/>
      <c r="BG12" s="994"/>
      <c r="BH12" s="994"/>
      <c r="BI12" s="994"/>
      <c r="BJ12" s="994"/>
      <c r="BK12" s="994"/>
      <c r="BL12" s="994"/>
      <c r="BM12" s="994"/>
    </row>
    <row r="13" spans="1:90" s="7" customFormat="1" ht="38.25" customHeight="1">
      <c r="A13" s="60"/>
      <c r="B13" s="1015" t="s">
        <v>2314</v>
      </c>
      <c r="C13" s="1002">
        <f>IFERROR(IF(TDYPROD=0,0,COUNTIF(FIELD,"MEGHAR")),"")+IFERROR(IF(TDYPROD=0,0,COUNTIF(FIELD,"RIVIERA")),"")</f>
        <v>3</v>
      </c>
      <c r="D13" s="1003">
        <f>IFERROR(SUMIF(FIELD,"MEGHAR",EST_GASPROD)*GAS_PROFAC,"")+IFERROR(SUMIF(FIELD,"MEGHAR",GASLIFT)*GAS_PROFAC,"")+IFERROR(SUMIF(FIELD,"RIVIERA",EST_GASPROD)*GAS_PROFAC,"")+IFERROR(SUMIF(FIELD,"RIVIERA",GASLIFT)*GAS_PROFAC,"")</f>
        <v>0.96018632923207603</v>
      </c>
      <c r="E13" s="1003">
        <f>IFERROR(SUMIF(FIELD,"MEGHAR",EST_PROD)*OIL_PROFAC,"")+IFERROR(SUMIF(FIELD,"RIVIERA",EST_PROD)*OIL_PROFAC,"")</f>
        <v>34.812276988774677</v>
      </c>
      <c r="F13" s="1003">
        <v>25.709513762336247</v>
      </c>
      <c r="G13" s="1004">
        <f t="shared" si="1"/>
        <v>9.1027632264384302</v>
      </c>
      <c r="H13" s="862">
        <f t="shared" si="2"/>
        <v>34.826288815629205</v>
      </c>
      <c r="I13" s="242"/>
      <c r="J13" s="1209" t="s">
        <v>2081</v>
      </c>
      <c r="K13" s="1210"/>
      <c r="L13" s="1018">
        <f>L12-'DATA INPUT'!E6</f>
        <v>17630.344747093532</v>
      </c>
      <c r="M13" s="1018">
        <f>M11+M10+M8+((L9-'DATA INPUT'!E6)-('DATA INPUT'!F5-'DATA INPUT'!F6))</f>
        <v>-10.66125290646869</v>
      </c>
      <c r="N13" s="1018">
        <f>L13*Actual_Ratio</f>
        <v>17637.440902799237</v>
      </c>
      <c r="O13" s="1019">
        <f>'DATA INPUT'!E148-'DATA INPUT'!F148</f>
        <v>-26.724057608145813</v>
      </c>
      <c r="U13" s="9"/>
      <c r="V13" s="9"/>
      <c r="W13" s="9"/>
      <c r="X13" s="9"/>
      <c r="Y13" s="9"/>
      <c r="Z13" s="9"/>
      <c r="AB13" s="9"/>
      <c r="AC13" s="9"/>
      <c r="AD13" s="9"/>
      <c r="AE13" s="9"/>
      <c r="AF13" s="9"/>
      <c r="AG13" s="9"/>
      <c r="AU13" s="871"/>
      <c r="AV13" s="1020"/>
      <c r="AW13" s="872"/>
      <c r="AX13" s="376"/>
      <c r="AY13" s="873"/>
      <c r="AZ13" s="376"/>
      <c r="BA13" s="1021"/>
      <c r="BB13" s="72"/>
      <c r="BC13" s="18"/>
    </row>
    <row r="14" spans="1:90" s="7" customFormat="1" ht="29.25" customHeight="1">
      <c r="A14" s="60"/>
      <c r="B14" s="1009" t="s">
        <v>2313</v>
      </c>
      <c r="C14" s="1002">
        <f>IFERROR(IF(TDYPROD=0,0,COUNTIF(FIELD,"Mahroussa-D")),"")</f>
        <v>1</v>
      </c>
      <c r="D14" s="1003">
        <f>IFERROR(SUMIF(FIELD,"Mahroussa-D",EST_GASPROD)*GAS_PROFAC,"")+IFERROR(SUMIF(FIELD,"Mahroussa-D",GASLIFT)*GAS_PROFAC,"")</f>
        <v>0</v>
      </c>
      <c r="E14" s="1003">
        <f>IFERROR(SUMIF(FIELD,"Mahroussa-D",EST_PROD)*OIL_PROFAC,"")</f>
        <v>47.414141659689669</v>
      </c>
      <c r="F14" s="1003">
        <v>48.480797380405491</v>
      </c>
      <c r="G14" s="1004">
        <f t="shared" ref="G14:G19" si="3">IF(E14="","",E14-F14)</f>
        <v>-1.066655720715822</v>
      </c>
      <c r="H14" s="862">
        <f>AGActual_Ratio*E14</f>
        <v>47.433225695577526</v>
      </c>
      <c r="I14" s="242"/>
      <c r="J14" s="1189" t="s">
        <v>1436</v>
      </c>
      <c r="K14" s="1190"/>
      <c r="L14" s="1010">
        <f>+'DATA INPUT'!E9</f>
        <v>5540</v>
      </c>
      <c r="M14" s="1010">
        <f>'DATA INPUT'!E9-'DATA INPUT'!F9</f>
        <v>40</v>
      </c>
      <c r="N14" s="1011">
        <f>BB22</f>
        <v>5541.0731773592488</v>
      </c>
      <c r="O14" s="1022">
        <f>'DATA INPUT'!E150-'DATA INPUT'!F150</f>
        <v>39.724060002728947</v>
      </c>
      <c r="U14" s="9"/>
      <c r="V14" s="9"/>
      <c r="W14" s="9"/>
      <c r="X14" s="9"/>
      <c r="Y14" s="9"/>
      <c r="Z14" s="9"/>
      <c r="AB14" s="9"/>
      <c r="AC14" s="9"/>
      <c r="AD14" s="9"/>
      <c r="AE14" s="9"/>
      <c r="AF14" s="9"/>
      <c r="AG14" s="9"/>
      <c r="AV14" s="18"/>
      <c r="AW14" s="18"/>
      <c r="AX14" s="18"/>
      <c r="AY14" s="18"/>
      <c r="AZ14" s="18"/>
      <c r="BA14" s="18"/>
      <c r="BB14" s="18"/>
      <c r="BC14" s="18"/>
    </row>
    <row r="15" spans="1:90" s="7" customFormat="1" ht="27.75" customHeight="1">
      <c r="A15" s="60"/>
      <c r="B15" s="1009" t="s">
        <v>2419</v>
      </c>
      <c r="C15" s="1002">
        <f>IFERROR(IF(TDYPROD=0,0,COUNTIF(FIELD,"WD09-A")),"")+IFERROR(IF(TDYPROD=0,0,COUNTIF(FIELD,"WD09-B")),"")+IFERROR(IF(TDYPROD=0,0,COUNTIF(FIELD,"WD09-E")),"")</f>
        <v>10</v>
      </c>
      <c r="D15" s="1003">
        <f>IFERROR(SUMIF(FIELD,"WD09-A",EST_GASPROD)*GAS_PROFAC,"")+IFERROR(SUMIF(FIELD,"WD09-A",GASLIFT)*GAS_PROFAC,"")+IFERROR(SUMIF(FIELD,"WD09-B",EST_GASPROD)*GAS_PROFAC,"")+IFERROR(SUMIF(FIELD,"WD09-B",GASLIFT)*GAS_PROFAC,"")+IFERROR(SUMIF(FIELD,"WD09-E",GASLIFT)*GAS_PROFAC,"")</f>
        <v>12.301137408101495</v>
      </c>
      <c r="E15" s="1003">
        <f>IFERROR(SUMIF(FIELD,"WD09-A",EST_PROD)*OIL_PROFAC,"")+IFERROR(SUMIF(FIELD,"WD09-b",EST_PROD)*OIL_PROFAC,"")+IFERROR(SUMIF(FIELD,"WD09-D",EST_PROD)*OIL_PROFAC,"")+IFERROR(SUMIF(FIELD,"WD09-E",EST_PROD)*OIL_PROFAC,"")</f>
        <v>4133.2909893739643</v>
      </c>
      <c r="F15" s="1003">
        <v>4204.4342644962981</v>
      </c>
      <c r="G15" s="1004">
        <f t="shared" si="3"/>
        <v>-71.143275122333762</v>
      </c>
      <c r="H15" s="862">
        <f>AGActual_Ratio*E15</f>
        <v>4134.9546253866611</v>
      </c>
      <c r="I15" s="242"/>
      <c r="J15" s="1189" t="s">
        <v>2226</v>
      </c>
      <c r="K15" s="1190"/>
      <c r="L15" s="1010">
        <f>+'DATA INPUT'!E17</f>
        <v>105</v>
      </c>
      <c r="M15" s="1010">
        <f>+'DATA INPUT'!E17-'DATA INPUT'!F17</f>
        <v>0</v>
      </c>
      <c r="N15" s="1011">
        <f>BB23</f>
        <v>105.04219492590056</v>
      </c>
      <c r="O15" s="1022">
        <f>'DATA INPUT'!E152-'DATA INPUT'!F152</f>
        <v>-9.6821092190111813E-2</v>
      </c>
      <c r="U15" s="9"/>
      <c r="V15" s="9"/>
      <c r="W15" s="9"/>
      <c r="X15" s="9"/>
      <c r="Y15" s="9"/>
      <c r="Z15" s="9"/>
      <c r="AB15" s="9"/>
      <c r="AC15" s="9"/>
      <c r="AD15" s="9"/>
      <c r="AE15" s="9"/>
      <c r="AF15" s="9"/>
      <c r="AG15" s="9"/>
      <c r="AV15" s="18"/>
      <c r="AW15" s="18"/>
      <c r="AX15" s="18"/>
      <c r="AY15" s="18"/>
      <c r="AZ15" s="18"/>
      <c r="BA15" s="18"/>
      <c r="BB15" s="18"/>
      <c r="BC15" s="18"/>
    </row>
    <row r="16" spans="1:90" s="7" customFormat="1" ht="34.5" customHeight="1">
      <c r="A16" s="60"/>
      <c r="B16" s="1009" t="s">
        <v>2624</v>
      </c>
      <c r="C16" s="1002">
        <f>IFERROR(IF(TDYPROD=0,0,COUNTIF(FIELD,"WD30 A")),"")</f>
        <v>1</v>
      </c>
      <c r="D16" s="1003">
        <f>IFERROR(SUMIF(FIELD,"WD30 A",EST_GASPROD)*GAS_PROFAC,"")+IFERROR(SUMIF(FIELD,"WD30 A",GASLIFT)*GAS_PROFAC,"")</f>
        <v>0.86228925635182996</v>
      </c>
      <c r="E16" s="1003">
        <f>IFERROR(SUMIF(FIELD,"WD30 a",EST_PROD)*OIL_PROFAC,"")</f>
        <v>42.475168570138663</v>
      </c>
      <c r="F16" s="1003">
        <v>43.430714319946588</v>
      </c>
      <c r="G16" s="1004">
        <f t="shared" si="3"/>
        <v>-0.95554574980792495</v>
      </c>
      <c r="H16" s="862">
        <f>AGActual_Ratio*E16</f>
        <v>42.492264685621535</v>
      </c>
      <c r="I16" s="242"/>
      <c r="J16" s="1189" t="s">
        <v>1437</v>
      </c>
      <c r="K16" s="1190"/>
      <c r="L16" s="1010">
        <f>'DATA INPUT'!E11</f>
        <v>490</v>
      </c>
      <c r="M16" s="1010">
        <f>'DATA INPUT'!E11-'DATA INPUT'!F11</f>
        <v>-1</v>
      </c>
      <c r="N16" s="1011">
        <f>BB26</f>
        <v>490.27728094163228</v>
      </c>
      <c r="O16" s="1022">
        <f>'DATA INPUT'!E151-'DATA INPUT'!F151</f>
        <v>-1.3582208553536361</v>
      </c>
      <c r="U16" s="9"/>
      <c r="V16" s="9"/>
      <c r="W16" s="9"/>
      <c r="X16" s="9"/>
      <c r="Y16" s="9"/>
      <c r="Z16" s="9"/>
      <c r="AB16" s="9"/>
      <c r="AC16" s="9"/>
      <c r="AD16" s="9"/>
      <c r="AE16" s="9"/>
      <c r="AF16" s="9"/>
      <c r="AG16" s="9"/>
      <c r="AV16" s="18"/>
      <c r="AW16" s="18"/>
      <c r="AX16" s="18"/>
      <c r="AY16" s="18"/>
      <c r="AZ16" s="18"/>
      <c r="BA16" s="18"/>
      <c r="BB16" s="18"/>
      <c r="BC16" s="18"/>
      <c r="BI16" s="99" t="s">
        <v>111</v>
      </c>
      <c r="BJ16" s="100" t="s">
        <v>16</v>
      </c>
      <c r="BK16" s="100" t="s">
        <v>107</v>
      </c>
      <c r="BL16" s="100" t="s">
        <v>8</v>
      </c>
      <c r="BM16" s="100" t="s">
        <v>108</v>
      </c>
      <c r="BN16" s="100" t="s">
        <v>110</v>
      </c>
      <c r="BO16" s="100" t="s">
        <v>109</v>
      </c>
      <c r="BP16" s="100" t="s">
        <v>1348</v>
      </c>
    </row>
    <row r="17" spans="1:68" s="7" customFormat="1" ht="32.25" customHeight="1">
      <c r="A17" s="60"/>
      <c r="B17" s="1009" t="s">
        <v>1329</v>
      </c>
      <c r="C17" s="1002">
        <f>IFERROR(IF(TDYPROD=0,0,COUNTIF(FIELD,"HAWK")),"")</f>
        <v>3</v>
      </c>
      <c r="D17" s="1003">
        <f>IFERROR(SUMIF(FIELD,"HAWK",EST_GASPROD)*GAS_PROFAC,"")+IFERROR(SUMIF(FIELD,"HAWK",GASLIFT)*GAS_PROFAC,"")</f>
        <v>0.28157531613030334</v>
      </c>
      <c r="E17" s="1003">
        <f>IFERROR(SUMIF(FIELD,"HAWK",EST_PROD)*OIL_PROFAC,"")</f>
        <v>1061.1408627208873</v>
      </c>
      <c r="F17" s="1003">
        <v>1085.0128960865961</v>
      </c>
      <c r="G17" s="1004">
        <f t="shared" si="3"/>
        <v>-23.87203336570883</v>
      </c>
      <c r="H17" s="862">
        <f t="shared" si="2"/>
        <v>1061.5679684238985</v>
      </c>
      <c r="I17" s="242"/>
      <c r="J17" s="1189" t="s">
        <v>2399</v>
      </c>
      <c r="K17" s="1190"/>
      <c r="L17" s="1010">
        <f>+'DATA INPUT'!E15</f>
        <v>123</v>
      </c>
      <c r="M17" s="1010">
        <f>'DATA INPUT'!E15-'DATA INPUT'!F15</f>
        <v>-1</v>
      </c>
      <c r="N17" s="1011">
        <f>+BB29</f>
        <v>123.04942834176923</v>
      </c>
      <c r="O17" s="1022">
        <f>'DATA INPUT'!E155-'DATA INPUT'!F155</f>
        <v>-1.1147429557854593</v>
      </c>
      <c r="AU17" s="829"/>
      <c r="AV17" s="829" t="s">
        <v>1721</v>
      </c>
      <c r="AW17" s="829" t="s">
        <v>1722</v>
      </c>
      <c r="AX17" s="829" t="s">
        <v>1723</v>
      </c>
      <c r="AY17" s="829" t="s">
        <v>1724</v>
      </c>
      <c r="AZ17" s="18"/>
      <c r="BA17" s="18"/>
      <c r="BB17" s="18"/>
      <c r="BC17" s="18"/>
      <c r="BD17" s="136"/>
      <c r="BE17" s="136"/>
      <c r="BF17" s="54"/>
      <c r="BG17" s="136"/>
      <c r="BI17" s="298" t="s">
        <v>275</v>
      </c>
      <c r="BJ17" s="905">
        <f t="shared" ref="BJ17:BJ80" si="4">REPORTDATE-1</f>
        <v>46298</v>
      </c>
      <c r="BK17" s="299" t="s">
        <v>1346</v>
      </c>
      <c r="BL17" s="395" t="s">
        <v>62</v>
      </c>
      <c r="BM17" s="391" t="s">
        <v>1347</v>
      </c>
      <c r="BN17" s="395" t="s">
        <v>63</v>
      </c>
      <c r="BO17" s="889">
        <f>N8-'DATA INPUT'!E7</f>
        <v>10855.889448863738</v>
      </c>
      <c r="BP17" s="993"/>
    </row>
    <row r="18" spans="1:68" s="7" customFormat="1" ht="37.5" customHeight="1">
      <c r="A18" s="60"/>
      <c r="B18" s="939" t="s">
        <v>2256</v>
      </c>
      <c r="C18" s="1002">
        <f>IFERROR(IF(TDYPROD=0,0,COUNTIF(FIELD,"SPYGLASS-W")),"")+IFERROR(IF(TDYPROD=0,0,COUNTIF(FIELD,"SPYGLASS")),"")</f>
        <v>2</v>
      </c>
      <c r="D18" s="1003">
        <f>IFERROR(SUMIF(FIELD,"SPYGLASS-W",EST_GASPROD)*GAS_PROFAC,"")+IFERROR(SUMIF(FIELD,"SPYGLASS-W",GASLIFT)*GAS_PROFAC,"")+IFERROR(SUMIF(FIELD,"SPYGLASS",EST_GASPROD)*GAS_PROFAC,"")+IFERROR(SUMIF(FIELD,"SPYGLASS",GASLIFT)*GAS_PROFAC,"")</f>
        <v>0.53728152194474854</v>
      </c>
      <c r="E18" s="1003">
        <f>IFERROR(SUMIF(FIELD,"SPYGLASS-W",EST_PROD)*OIL_PROFAC,"")+IFERROR(SUMIF(FIELD,"SPYGLASS",EST_PROD)*OIL_PROFAC,"")</f>
        <v>108.23634804208365</v>
      </c>
      <c r="F18" s="1003">
        <v>113.97884434635735</v>
      </c>
      <c r="G18" s="1004">
        <f t="shared" si="3"/>
        <v>-5.7424963042737005</v>
      </c>
      <c r="H18" s="862">
        <f t="shared" si="2"/>
        <v>108.27991281575879</v>
      </c>
      <c r="I18" s="242"/>
      <c r="J18" s="1189" t="s">
        <v>2232</v>
      </c>
      <c r="K18" s="1190"/>
      <c r="L18" s="1010">
        <f>'DATA INPUT'!E13</f>
        <v>195</v>
      </c>
      <c r="M18" s="1010">
        <f>'DATA INPUT'!E13-'DATA INPUT'!F13</f>
        <v>-1</v>
      </c>
      <c r="N18" s="1011">
        <f>BB27</f>
        <v>195.07796014880674</v>
      </c>
      <c r="O18" s="1022">
        <f>'DATA INPUT'!E153-'DATA INPUT'!F153</f>
        <v>-1.176240569987641</v>
      </c>
      <c r="AU18" s="829" t="s">
        <v>1725</v>
      </c>
      <c r="AV18" s="889">
        <f>G46</f>
        <v>56615.980889675084</v>
      </c>
      <c r="AW18" s="889">
        <f>G50</f>
        <v>24177.712066372995</v>
      </c>
      <c r="AX18" s="889">
        <f>G47</f>
        <v>23447.499</v>
      </c>
      <c r="AY18" s="889">
        <f>G49</f>
        <v>57346.193956048075</v>
      </c>
      <c r="AZ18" s="18"/>
      <c r="BA18" s="18" t="b">
        <f>AV18+AW18=AX18+AY18</f>
        <v>1</v>
      </c>
      <c r="BC18" s="18"/>
      <c r="BD18" s="136"/>
      <c r="BE18" s="136"/>
      <c r="BF18" s="54"/>
      <c r="BG18" s="136"/>
      <c r="BI18" s="298" t="s">
        <v>275</v>
      </c>
      <c r="BJ18" s="905">
        <f t="shared" si="4"/>
        <v>46298</v>
      </c>
      <c r="BK18" s="299"/>
      <c r="BL18" s="395"/>
      <c r="BM18" s="391" t="s">
        <v>1349</v>
      </c>
      <c r="BN18" s="395" t="s">
        <v>63</v>
      </c>
      <c r="BO18" s="889">
        <f>N9</f>
        <v>665.39671223229539</v>
      </c>
      <c r="BP18" s="993"/>
    </row>
    <row r="19" spans="1:68" s="7" customFormat="1" ht="33.75" customHeight="1">
      <c r="A19" s="60"/>
      <c r="B19" s="939" t="s">
        <v>2656</v>
      </c>
      <c r="C19" s="1002">
        <f>IFERROR(IF(TDYPROD=0,0,COUNTIF(FIELD,"SHADOW")),"")+IFERROR(IF(TDYPROD=0,0,COUNTIF(FIELD,"shadow-W")),"")+IFERROR(IF(TDYPROD=0,0,COUNTIF(FIELD,"shadow-nW")),"")</f>
        <v>7</v>
      </c>
      <c r="D19" s="1003">
        <f>IFERROR(SUMIF(FIELD,"SHADOW",EST_GASPROD)*GAS_PROFAC,"")+IFERROR(SUMIF(FIELD,"SHADOW",GASLIFT)*GAS_PROFAC,"")+IFERROR(SUMIF(FIELD,"SHADOW-W",EST_GASPROD)*GAS_PROFAC,"")+IFERROR(SUMIF(FIELD,"SHADOW-W",GASLIFT)*GAS_PROFAC,"")+IFERROR(SUMIF(FIELD,"SHADOW-nW",GASLIFT)*GAS_PROFAC,"")</f>
        <v>7.9437289362748427</v>
      </c>
      <c r="E19" s="1003">
        <f>IFERROR(SUMIF(FIELD,"SHADOW",EST_PROD)*OIL_PROFAC,"")+IFERROR(SUMIF(FIELD,"shadow-W",EST_PROD)*OIL_PROFAC,"")+IFERROR(SUMIF(FIELD,"shadow-nW",EST_PROD)*OIL_PROFAC,"")</f>
        <v>577.40087620045904</v>
      </c>
      <c r="F19" s="1003">
        <v>591.11477277371512</v>
      </c>
      <c r="G19" s="1004">
        <f t="shared" si="3"/>
        <v>-13.713896573256079</v>
      </c>
      <c r="H19" s="862">
        <f t="shared" si="2"/>
        <v>577.63327815180469</v>
      </c>
      <c r="I19" s="242"/>
      <c r="J19" s="1199" t="s">
        <v>2243</v>
      </c>
      <c r="K19" s="1200"/>
      <c r="L19" s="1013">
        <f>MOVEMENT!F43</f>
        <v>123</v>
      </c>
      <c r="M19" s="1013">
        <f>'DATA INPUT'!E19-'DATA INPUT'!F19</f>
        <v>0</v>
      </c>
      <c r="N19" s="1014">
        <f>BB28</f>
        <v>123.04942834176923</v>
      </c>
      <c r="O19" s="1012">
        <f>'DATA INPUT'!E154-'DATA INPUT'!F154</f>
        <v>-0.11341899370840736</v>
      </c>
      <c r="AU19" s="829"/>
      <c r="AV19" s="96"/>
      <c r="AW19" s="96"/>
      <c r="AX19" s="96"/>
      <c r="AY19" s="96"/>
      <c r="AZ19" s="18">
        <f>+L40/L39</f>
        <v>1.0004018564371482</v>
      </c>
      <c r="BA19" s="18" t="b">
        <f>AV19+AW19=AX19+AY19</f>
        <v>1</v>
      </c>
      <c r="BB19" s="18"/>
      <c r="BC19" s="18"/>
      <c r="BD19" s="136"/>
      <c r="BE19" s="136"/>
      <c r="BF19" s="54"/>
      <c r="BG19" s="136"/>
      <c r="BI19" s="298" t="s">
        <v>275</v>
      </c>
      <c r="BJ19" s="905">
        <f t="shared" si="4"/>
        <v>46298</v>
      </c>
      <c r="BK19" s="299"/>
      <c r="BL19" s="395"/>
      <c r="BM19" s="391" t="s">
        <v>2245</v>
      </c>
      <c r="BN19" s="395" t="s">
        <v>63</v>
      </c>
      <c r="BO19" s="889">
        <f>N34</f>
        <v>123.04942834176923</v>
      </c>
      <c r="BP19" s="993"/>
    </row>
    <row r="20" spans="1:68" s="7" customFormat="1" ht="33.75" customHeight="1">
      <c r="A20" s="60"/>
      <c r="B20" s="1009" t="s">
        <v>1589</v>
      </c>
      <c r="C20" s="1002">
        <f>IFERROR(IF(TDYPROD=0,0,COUNTIF(FIELD,"OLYMPIC")),"")</f>
        <v>1</v>
      </c>
      <c r="D20" s="1003">
        <f>IFERROR(SUMIF(FIELD,"OLYMPIC",EST_GASPROD)*GAS_PROFAC,"")+IFERROR(SUMIF(FIELD,"OLYMPIC",GASLIFT)*GAS_PROFAC,"")</f>
        <v>0</v>
      </c>
      <c r="E20" s="1003">
        <f>IFERROR(SUMIF(FIELD,"OLYMPIC",EST_PROD)*OIL_PROFAC,"")</f>
        <v>179.68882094893755</v>
      </c>
      <c r="F20" s="1003">
        <v>183.73120370869577</v>
      </c>
      <c r="G20" s="1004">
        <f t="shared" ref="G20:G26" si="5">IF(E20="","",E20-F20)</f>
        <v>-4.042382759758226</v>
      </c>
      <c r="H20" s="862">
        <f t="shared" si="2"/>
        <v>179.76114510767164</v>
      </c>
      <c r="I20" s="242"/>
      <c r="J20" s="1189" t="s">
        <v>1532</v>
      </c>
      <c r="K20" s="1190"/>
      <c r="L20" s="1023">
        <f>SUM(L14:L19)</f>
        <v>6576</v>
      </c>
      <c r="M20" s="1023">
        <f>SUM(M14:M19)</f>
        <v>37</v>
      </c>
      <c r="N20" s="1023">
        <f>SUM(N14:N19)</f>
        <v>6577.5694700591266</v>
      </c>
      <c r="O20" s="1024">
        <f>SUM(O14:O19)</f>
        <v>35.864615535703692</v>
      </c>
      <c r="AU20" s="829"/>
      <c r="AV20" s="829"/>
      <c r="AW20" s="829" t="s">
        <v>1726</v>
      </c>
      <c r="AX20" s="829" t="s">
        <v>1723</v>
      </c>
      <c r="AY20" s="829" t="s">
        <v>1724</v>
      </c>
      <c r="AZ20" s="829" t="s">
        <v>1732</v>
      </c>
      <c r="BA20" s="18"/>
      <c r="BB20" s="772" t="s">
        <v>1731</v>
      </c>
      <c r="BC20" s="18"/>
      <c r="BD20" s="136"/>
      <c r="BE20" s="136"/>
      <c r="BF20" s="54"/>
      <c r="BG20" s="136"/>
      <c r="BI20" s="298" t="s">
        <v>275</v>
      </c>
      <c r="BJ20" s="905">
        <f t="shared" si="4"/>
        <v>46298</v>
      </c>
      <c r="BK20" s="299"/>
      <c r="BL20" s="395"/>
      <c r="BM20" s="391" t="s">
        <v>2227</v>
      </c>
      <c r="BN20" s="395" t="s">
        <v>63</v>
      </c>
      <c r="BO20" s="889">
        <f>N32</f>
        <v>105.04219492590056</v>
      </c>
      <c r="BP20" s="993"/>
    </row>
    <row r="21" spans="1:68" s="7" customFormat="1" ht="38.25" customHeight="1">
      <c r="A21" s="60"/>
      <c r="B21" s="1009" t="s">
        <v>1717</v>
      </c>
      <c r="C21" s="1002">
        <f>IFERROR(IF(TDYPROD=0,0,COUNTIF(FIELD,"PACIFIC")),"")</f>
        <v>0</v>
      </c>
      <c r="D21" s="1003">
        <f>IFERROR(SUMIF(FIELD,"PACIFIC",EST_GASPROD)*GAS_PROFAC,"")+IFERROR(SUMIF(FIELD,"PACIFIC",GASLIFT)*GAS_PROFAC,"")</f>
        <v>0</v>
      </c>
      <c r="E21" s="1003">
        <f>IFERROR(SUMIF(FIELD,"PACIFIC",EST_PROD)*OIL_PROFAC,"")</f>
        <v>0</v>
      </c>
      <c r="F21" s="1003">
        <v>0</v>
      </c>
      <c r="G21" s="1004">
        <f t="shared" si="5"/>
        <v>0</v>
      </c>
      <c r="H21" s="862">
        <f t="shared" si="2"/>
        <v>0</v>
      </c>
      <c r="I21" s="242"/>
      <c r="J21" s="795" t="s">
        <v>1527</v>
      </c>
      <c r="K21" s="795"/>
      <c r="L21" s="795"/>
      <c r="M21" s="795"/>
      <c r="AU21" s="829" t="s">
        <v>1327</v>
      </c>
      <c r="AV21" s="889">
        <f>G35</f>
        <v>20791.186311475918</v>
      </c>
      <c r="AW21" s="889">
        <f>G39</f>
        <v>17755.650747093532</v>
      </c>
      <c r="AX21" s="889">
        <f>TOTPUMPED</f>
        <v>17774</v>
      </c>
      <c r="AY21" s="889">
        <f>G38</f>
        <v>20772.837058569447</v>
      </c>
      <c r="AZ21" s="889">
        <f>$AZ$19*AX21</f>
        <v>17781.142596313872</v>
      </c>
      <c r="BA21" s="18" t="b">
        <f>AV21+AW21=AX21+AY21</f>
        <v>1</v>
      </c>
      <c r="BB21" s="773">
        <f>AZ21+AY21-AV21</f>
        <v>17762.7933434074</v>
      </c>
      <c r="BC21" s="18"/>
      <c r="BD21" s="136"/>
      <c r="BE21" s="136"/>
      <c r="BF21" s="54"/>
      <c r="BG21" s="136"/>
      <c r="BI21" s="298" t="s">
        <v>275</v>
      </c>
      <c r="BJ21" s="905">
        <f t="shared" si="4"/>
        <v>46298</v>
      </c>
      <c r="BK21" s="299"/>
      <c r="BL21" s="395"/>
      <c r="BM21" s="391" t="s">
        <v>2235</v>
      </c>
      <c r="BN21" s="395" t="s">
        <v>63</v>
      </c>
      <c r="BO21" s="889">
        <f>N33</f>
        <v>194.07796014880674</v>
      </c>
      <c r="BP21" s="993"/>
    </row>
    <row r="22" spans="1:68" s="7" customFormat="1" ht="36" customHeight="1">
      <c r="A22" s="60"/>
      <c r="B22" s="1009" t="s">
        <v>1601</v>
      </c>
      <c r="C22" s="1002">
        <f>IFERROR(IF(TDYPROD=0,0,COUNTIF(FIELD,"RIDGEWOOD")),"")</f>
        <v>1</v>
      </c>
      <c r="D22" s="1025">
        <f>IFERROR(SUMIF(FIELD,"RIDGEWOOD",EST_GASPROD)*GAS_PROFAC,"")+IFERROR(SUMIF(FIELD,"RIDGEWOOD",GASLIFT)*GAS_PROFAC,"")</f>
        <v>1.0480851921683352</v>
      </c>
      <c r="E22" s="1003">
        <f>IFERROR(SUMIF(FIELD,"RIDGEWOOD",EST_PROD)*OIL_PROFAC,"")</f>
        <v>64.206650164163094</v>
      </c>
      <c r="F22" s="1003">
        <v>65.651079785965763</v>
      </c>
      <c r="G22" s="1004">
        <f t="shared" si="5"/>
        <v>-1.4444296218026693</v>
      </c>
      <c r="H22" s="862">
        <f t="shared" si="2"/>
        <v>64.232493129427894</v>
      </c>
      <c r="I22" s="1026"/>
      <c r="J22" s="1027" t="s">
        <v>1570</v>
      </c>
      <c r="K22" s="794" t="s">
        <v>1571</v>
      </c>
      <c r="L22" s="1151" t="s">
        <v>1522</v>
      </c>
      <c r="M22" s="1152"/>
      <c r="N22" s="1154" t="s">
        <v>1528</v>
      </c>
      <c r="O22" s="1155"/>
      <c r="AU22" s="829" t="s">
        <v>1727</v>
      </c>
      <c r="AV22" s="889">
        <f>'DATA INPUT'!F8</f>
        <v>31660</v>
      </c>
      <c r="AW22" s="889">
        <f>L14</f>
        <v>5540</v>
      </c>
      <c r="AX22" s="889">
        <f>L28</f>
        <v>5159</v>
      </c>
      <c r="AY22" s="889">
        <f>'DATA INPUT'!E8</f>
        <v>32040</v>
      </c>
      <c r="AZ22" s="889">
        <f>$AZ$19*AX22</f>
        <v>5161.0731773592479</v>
      </c>
      <c r="BA22" s="18" t="b">
        <f>AV22+AW22=AX22+AY22</f>
        <v>0</v>
      </c>
      <c r="BB22" s="773">
        <f>AZ22+AY22-AV22</f>
        <v>5541.0731773592488</v>
      </c>
      <c r="BC22" s="18"/>
      <c r="BD22" s="136"/>
      <c r="BE22" s="136"/>
      <c r="BF22" s="54"/>
      <c r="BG22" s="136"/>
      <c r="BI22" s="298" t="s">
        <v>275</v>
      </c>
      <c r="BJ22" s="905">
        <f t="shared" si="4"/>
        <v>46298</v>
      </c>
      <c r="BK22" s="299"/>
      <c r="BL22" s="395"/>
      <c r="BM22" s="391" t="s">
        <v>1757</v>
      </c>
      <c r="BN22" s="395" t="s">
        <v>63</v>
      </c>
      <c r="BO22" s="889">
        <f>N31</f>
        <v>690.27728094163228</v>
      </c>
      <c r="BP22" s="993"/>
    </row>
    <row r="23" spans="1:68" s="7" customFormat="1" ht="35.25" customHeight="1">
      <c r="A23" s="60"/>
      <c r="B23" s="1009" t="s">
        <v>1471</v>
      </c>
      <c r="C23" s="1002">
        <f>IFERROR(IF(TDYPROD=0,0,COUNTIF(FIELD,"WD33")),"")+IFERROR(IF(TDYPROD=0,0,COUNTIF(FIELD,"WD33 v")),"")</f>
        <v>5</v>
      </c>
      <c r="D23" s="1003">
        <v>0</v>
      </c>
      <c r="E23" s="1003">
        <f>IFERROR(SUMIF(FIELD,"WD33",EST_PROD)*OIL_PROFAC3,"")+IFERROR(SUMIF(FIELD,"WD33 v",EST_PROD)*OIL_PROFAC3,"")</f>
        <v>254.99999999999997</v>
      </c>
      <c r="F23" s="1003">
        <v>252.99999999999997</v>
      </c>
      <c r="G23" s="1004">
        <f t="shared" si="5"/>
        <v>2</v>
      </c>
      <c r="H23" s="862">
        <f>AGActual_Ratio*E23</f>
        <v>255.10263666030971</v>
      </c>
      <c r="J23" s="752" t="s">
        <v>1689</v>
      </c>
      <c r="K23" s="753">
        <f>'WATER FLOOD WELLS'!D65</f>
        <v>55989</v>
      </c>
      <c r="L23" s="1146">
        <f>'WATER FLOOD WELLS'!C65</f>
        <v>64650</v>
      </c>
      <c r="M23" s="1147"/>
      <c r="N23" s="1146">
        <f>'WATER FLOOD WELLS'!E65</f>
        <v>-8661</v>
      </c>
      <c r="O23" s="1150"/>
      <c r="AU23" s="829" t="s">
        <v>2227</v>
      </c>
      <c r="AV23" s="889"/>
      <c r="AW23" s="889">
        <f>+'DATA INPUT'!E17</f>
        <v>105</v>
      </c>
      <c r="AX23" s="889">
        <f>+'DATA INPUT'!E18</f>
        <v>105</v>
      </c>
      <c r="AY23" s="889"/>
      <c r="AZ23" s="889">
        <f>$AZ$19*AX23</f>
        <v>105.04219492590056</v>
      </c>
      <c r="BA23" s="18" t="b">
        <f>AV23+AW23=AX23+AY23</f>
        <v>1</v>
      </c>
      <c r="BB23" s="774">
        <f>AW23+(AZ23-AX23)</f>
        <v>105.04219492590056</v>
      </c>
      <c r="BC23" s="18"/>
      <c r="BD23" s="136"/>
      <c r="BE23" s="136"/>
      <c r="BF23" s="54"/>
      <c r="BG23" s="136"/>
      <c r="BI23" s="298" t="s">
        <v>275</v>
      </c>
      <c r="BJ23" s="905">
        <f t="shared" si="4"/>
        <v>46298</v>
      </c>
      <c r="BK23" s="299"/>
      <c r="BL23" s="395"/>
      <c r="BM23" s="391" t="s">
        <v>2287</v>
      </c>
      <c r="BN23" s="395" t="s">
        <v>63</v>
      </c>
      <c r="BO23" s="889">
        <f>'OAPCO FAX'!E13</f>
        <v>0</v>
      </c>
      <c r="BP23" s="993"/>
    </row>
    <row r="24" spans="1:68" s="7" customFormat="1" ht="27.75" customHeight="1">
      <c r="A24" s="60"/>
      <c r="B24" s="1009" t="s">
        <v>1333</v>
      </c>
      <c r="C24" s="1002">
        <f>IFERROR(IF(TDYPROD=0,0,COUNTIF(FIELD,"WD33-15")),"")+IFERROR(IF(TDYPROD=0,0,COUNTIF(FIELD,"WD-33K")),"")+IFERROR(IF(TDYPROD=0,0,COUNTIF(FIELD,"WD33 H")),"")+IFERROR(IF(TDYPROD=0,0,COUNTIF(FIELD,"WD33-C")),"")+IFERROR(IF(TDYPROD=0,0,COUNTIF(FIELD,"WD33 j")),"")</f>
        <v>10</v>
      </c>
      <c r="D24" s="1003">
        <v>0</v>
      </c>
      <c r="E24" s="1003">
        <f>IFERROR(SUMIF(FIELD,"WD33-15",EST_PROD)*OIL_PROFAC2,"")+IFERROR(SUMIF(FIELD,"WD33-c",EST_PROD)*OIL_PROFAC2,"")+IFERROR(SUMIF(FIELD,"WD33 H",EST_PROD)*OIL_PROFAC2,"")+IFERROR(SUMIF(FIELD,"WD-33k",EST_PROD)*OIL_PROFAC2,"")+IFERROR(SUMIF(FIELD,"WD33 j",EST_PROD)*OIL_PROFAC2,"")</f>
        <v>5913</v>
      </c>
      <c r="F24" s="1003">
        <v>5728.9999999999991</v>
      </c>
      <c r="G24" s="1004">
        <f t="shared" si="5"/>
        <v>184.00000000000091</v>
      </c>
      <c r="H24" s="862">
        <f>AGActual_Ratio*E24</f>
        <v>5915.379963029065</v>
      </c>
      <c r="J24" s="752" t="s">
        <v>1529</v>
      </c>
      <c r="K24" s="753">
        <f>'WATER FLOOD WELLS'!D79</f>
        <v>27650</v>
      </c>
      <c r="L24" s="1146">
        <f>'WATER FLOOD WELLS'!C79</f>
        <v>34850</v>
      </c>
      <c r="M24" s="1147"/>
      <c r="N24" s="1146">
        <f>'WATER FLOOD WELLS'!E79</f>
        <v>-7163</v>
      </c>
      <c r="O24" s="1150"/>
      <c r="AU24" s="829" t="s">
        <v>2287</v>
      </c>
      <c r="AV24" s="889"/>
      <c r="AW24" s="889"/>
      <c r="AX24" s="889">
        <f>+'DATA INPUT'!E7</f>
        <v>0</v>
      </c>
      <c r="AY24" s="889"/>
      <c r="AZ24" s="889">
        <f>$AZ$19*AX24</f>
        <v>0</v>
      </c>
      <c r="BA24" s="18" t="b">
        <f>AV25+AW25=AX25+AY25</f>
        <v>1</v>
      </c>
      <c r="BB24" s="773">
        <f>AY25+AZ25-AV25</f>
        <v>5915.4047089198948</v>
      </c>
      <c r="BC24" s="18"/>
      <c r="BD24" s="136"/>
      <c r="BE24" s="136"/>
      <c r="BF24" s="54"/>
      <c r="BG24" s="136"/>
      <c r="BI24" s="298" t="s">
        <v>275</v>
      </c>
      <c r="BJ24" s="905">
        <f t="shared" si="4"/>
        <v>46298</v>
      </c>
      <c r="BK24" s="299"/>
      <c r="BL24" s="395"/>
      <c r="BM24" s="391" t="s">
        <v>1549</v>
      </c>
      <c r="BN24" s="395" t="s">
        <v>63</v>
      </c>
      <c r="BO24" s="889">
        <f>N10</f>
        <v>255.10263666030997</v>
      </c>
      <c r="BP24" s="993"/>
    </row>
    <row r="25" spans="1:68" s="7" customFormat="1" ht="34.5" customHeight="1">
      <c r="A25" s="60"/>
      <c r="B25" s="1028" t="s">
        <v>1417</v>
      </c>
      <c r="C25" s="1002">
        <f>IFERROR(SUM(C6:C24),0)</f>
        <v>83</v>
      </c>
      <c r="D25" s="1029">
        <f>IFERROR(SUM(D6:D24),0)</f>
        <v>56.799566619720693</v>
      </c>
      <c r="E25" s="1003">
        <f>IFERROR(SUM(E6:E24),0)</f>
        <v>17019.521747093535</v>
      </c>
      <c r="F25" s="1003">
        <v>17034.388962252615</v>
      </c>
      <c r="G25" s="1004">
        <f t="shared" si="5"/>
        <v>-14.867215159079933</v>
      </c>
      <c r="H25" s="1030">
        <f>SUM(H7:H24)</f>
        <v>17026.372048553105</v>
      </c>
      <c r="J25" s="754" t="s">
        <v>1569</v>
      </c>
      <c r="K25" s="786">
        <f>SUM(K23:K24)</f>
        <v>83639</v>
      </c>
      <c r="L25" s="1167">
        <f>SUM(L23:M24)</f>
        <v>99500</v>
      </c>
      <c r="M25" s="1168"/>
      <c r="N25" s="1167">
        <f>SUM(N23:N24)</f>
        <v>-15824</v>
      </c>
      <c r="O25" s="1204"/>
      <c r="AU25" s="829" t="s">
        <v>1728</v>
      </c>
      <c r="AV25" s="889">
        <f>D56</f>
        <v>1342</v>
      </c>
      <c r="AW25" s="889">
        <f>D57</f>
        <v>5913</v>
      </c>
      <c r="AX25" s="889">
        <f>D58</f>
        <v>5984</v>
      </c>
      <c r="AY25" s="889">
        <f>D59</f>
        <v>1271</v>
      </c>
      <c r="AZ25" s="889">
        <f>$AZ$19*AX25</f>
        <v>5986.4047089198948</v>
      </c>
      <c r="BA25" s="18" t="b">
        <f>AV26+AW26=AX26+AY26</f>
        <v>0</v>
      </c>
      <c r="BB25" s="774">
        <f>AW28+(AZ28-AX28)</f>
        <v>123.04942834176923</v>
      </c>
      <c r="BC25" s="18"/>
      <c r="BD25" s="136"/>
      <c r="BE25" s="136"/>
      <c r="BF25" s="54"/>
      <c r="BG25" s="136"/>
      <c r="BI25" s="298" t="s">
        <v>275</v>
      </c>
      <c r="BJ25" s="905">
        <f t="shared" si="4"/>
        <v>46298</v>
      </c>
      <c r="BK25" s="299"/>
      <c r="BL25" s="395"/>
      <c r="BM25" s="391" t="s">
        <v>1514</v>
      </c>
      <c r="BN25" s="395" t="s">
        <v>63</v>
      </c>
      <c r="BO25" s="889"/>
      <c r="BP25" s="993"/>
    </row>
    <row r="26" spans="1:68" s="7" customFormat="1" ht="39.75" customHeight="1">
      <c r="A26" s="60"/>
      <c r="B26" s="1009" t="s">
        <v>1737</v>
      </c>
      <c r="C26" s="1031"/>
      <c r="D26" s="1032"/>
      <c r="E26" s="1033">
        <v>0</v>
      </c>
      <c r="F26" s="1033">
        <v>0</v>
      </c>
      <c r="G26" s="1004">
        <f t="shared" si="5"/>
        <v>0</v>
      </c>
      <c r="H26" s="863">
        <f>E26</f>
        <v>0</v>
      </c>
      <c r="J26" s="1203" t="s">
        <v>1739</v>
      </c>
      <c r="K26" s="1203"/>
      <c r="L26" s="917"/>
      <c r="M26" s="917"/>
      <c r="N26" s="1153" t="s">
        <v>1722</v>
      </c>
      <c r="O26" s="1153"/>
      <c r="AU26" s="829" t="s">
        <v>1355</v>
      </c>
      <c r="AV26" s="889"/>
      <c r="AW26" s="889"/>
      <c r="AX26" s="889">
        <f>+L38</f>
        <v>123</v>
      </c>
      <c r="AY26" s="889"/>
      <c r="AZ26" s="889"/>
      <c r="BA26" s="18" t="b">
        <f>AV27+AW27=AX27+AY27</f>
        <v>0</v>
      </c>
      <c r="BB26" s="774">
        <f>AW27+(AZ27-AX27)</f>
        <v>490.27728094163228</v>
      </c>
      <c r="BC26" s="18"/>
      <c r="BD26" s="136"/>
      <c r="BE26" s="136"/>
      <c r="BF26" s="54"/>
      <c r="BG26" s="136"/>
      <c r="BI26" s="298" t="s">
        <v>275</v>
      </c>
      <c r="BJ26" s="905">
        <f t="shared" si="4"/>
        <v>46298</v>
      </c>
      <c r="BK26" s="299"/>
      <c r="BL26" s="395"/>
      <c r="BM26" s="391" t="s">
        <v>2212</v>
      </c>
      <c r="BN26" s="395" t="s">
        <v>1356</v>
      </c>
      <c r="BO26" s="889"/>
      <c r="BP26" s="889">
        <f>'WELL DATA'!H83</f>
        <v>1.44</v>
      </c>
    </row>
    <row r="27" spans="1:68" s="7" customFormat="1" ht="38.25" customHeight="1">
      <c r="A27" s="60"/>
      <c r="B27" s="864" t="s">
        <v>1693</v>
      </c>
      <c r="C27" s="689"/>
      <c r="D27" s="689"/>
      <c r="E27" s="1034">
        <f>IFERROR(SUM(E25:E26),0)</f>
        <v>17019.521747093535</v>
      </c>
      <c r="F27" s="1034">
        <v>17034.388962252615</v>
      </c>
      <c r="G27" s="1035">
        <f>E27-F27</f>
        <v>-14.867215159079933</v>
      </c>
      <c r="H27" s="1036">
        <f>N8+N10+N11</f>
        <v>17026.372048553116</v>
      </c>
      <c r="J27" s="1165" t="s">
        <v>1369</v>
      </c>
      <c r="K27" s="1166"/>
      <c r="L27" s="1037">
        <f>H36</f>
        <v>17774</v>
      </c>
      <c r="M27" s="420" t="s">
        <v>1256</v>
      </c>
      <c r="N27" s="1148">
        <f>$AZ$19*L27</f>
        <v>17781.142596313872</v>
      </c>
      <c r="O27" s="1149"/>
      <c r="AU27" s="829" t="s">
        <v>1729</v>
      </c>
      <c r="AV27" s="889">
        <v>0</v>
      </c>
      <c r="AW27" s="889">
        <f>L16</f>
        <v>490</v>
      </c>
      <c r="AX27" s="889">
        <f>L31</f>
        <v>690</v>
      </c>
      <c r="AY27" s="889">
        <v>0</v>
      </c>
      <c r="AZ27" s="889">
        <f t="shared" ref="AZ27:AZ32" si="6">$AZ$19*AX27</f>
        <v>690.27728094163228</v>
      </c>
      <c r="BA27" s="18" t="b">
        <f>AV29+AW29=AX29+AY29</f>
        <v>0</v>
      </c>
      <c r="BB27" s="774">
        <f>AW29+(AZ29-AX29)</f>
        <v>195.07796014880674</v>
      </c>
      <c r="BC27" s="18"/>
      <c r="BD27" s="136"/>
      <c r="BE27" s="136"/>
      <c r="BF27" s="54"/>
      <c r="BG27" s="136"/>
      <c r="BI27" s="298" t="s">
        <v>275</v>
      </c>
      <c r="BJ27" s="905">
        <f t="shared" si="4"/>
        <v>46298</v>
      </c>
      <c r="BK27" s="299"/>
      <c r="BL27" s="395"/>
      <c r="BM27" s="391" t="s">
        <v>1758</v>
      </c>
      <c r="BN27" s="395" t="s">
        <v>1356</v>
      </c>
      <c r="BO27" s="889"/>
      <c r="BP27" s="889">
        <f>'WELL DATA'!H60</f>
        <v>0</v>
      </c>
    </row>
    <row r="28" spans="1:68" s="7" customFormat="1" ht="30.75" customHeight="1">
      <c r="A28" s="60"/>
      <c r="J28" s="1108" t="s">
        <v>1368</v>
      </c>
      <c r="K28" s="1109"/>
      <c r="L28" s="1038">
        <f>'DATA INPUT'!E10</f>
        <v>5159</v>
      </c>
      <c r="M28" s="364" t="s">
        <v>1256</v>
      </c>
      <c r="N28" s="1138">
        <f>AZ22</f>
        <v>5161.0731773592479</v>
      </c>
      <c r="O28" s="1139"/>
      <c r="AU28" s="829" t="s">
        <v>2400</v>
      </c>
      <c r="AV28" s="889"/>
      <c r="AW28" s="889">
        <f>+'DATA INPUT'!E15</f>
        <v>123</v>
      </c>
      <c r="AX28" s="889">
        <f>+'DATA INPUT'!E16</f>
        <v>123</v>
      </c>
      <c r="AY28" s="889"/>
      <c r="AZ28" s="889">
        <f>$AZ$19*AX28</f>
        <v>123.04942834176923</v>
      </c>
      <c r="BA28" s="18" t="b">
        <f>AV31+AW31=AX31+AY31</f>
        <v>1</v>
      </c>
      <c r="BB28" s="774">
        <f>AW31+(AZ31-AX31)</f>
        <v>123.04942834176923</v>
      </c>
      <c r="BC28" s="18"/>
      <c r="BD28" s="136"/>
      <c r="BE28" s="136"/>
      <c r="BF28" s="54"/>
      <c r="BG28" s="136"/>
      <c r="BI28" s="298" t="s">
        <v>275</v>
      </c>
      <c r="BJ28" s="905">
        <f t="shared" si="4"/>
        <v>46298</v>
      </c>
      <c r="BK28" s="299"/>
      <c r="BL28" s="395"/>
      <c r="BM28" s="391" t="s">
        <v>2390</v>
      </c>
      <c r="BN28" s="395" t="s">
        <v>1356</v>
      </c>
      <c r="BO28" s="889"/>
      <c r="BP28" s="889">
        <f>'WELL DATA'!H64</f>
        <v>0</v>
      </c>
    </row>
    <row r="29" spans="1:68" s="7" customFormat="1" ht="28.5" customHeight="1">
      <c r="A29" s="60"/>
      <c r="J29" s="1108" t="s">
        <v>1495</v>
      </c>
      <c r="K29" s="1109"/>
      <c r="L29" s="1038">
        <f>'DATA INPUT'!E21</f>
        <v>5984</v>
      </c>
      <c r="M29" s="364" t="s">
        <v>1256</v>
      </c>
      <c r="N29" s="1138">
        <f>AZ25</f>
        <v>5986.4047089198948</v>
      </c>
      <c r="O29" s="1139"/>
      <c r="AU29" s="829" t="s">
        <v>2235</v>
      </c>
      <c r="AV29" s="889"/>
      <c r="AW29" s="889">
        <f>+'DATA INPUT'!E13</f>
        <v>195</v>
      </c>
      <c r="AX29" s="889">
        <f>+'DATA INPUT'!E14</f>
        <v>194</v>
      </c>
      <c r="AY29" s="889"/>
      <c r="AZ29" s="889">
        <f t="shared" si="6"/>
        <v>194.07796014880674</v>
      </c>
      <c r="BA29" s="18"/>
      <c r="BB29" s="774">
        <f>AW28+(AZ28-AX28)</f>
        <v>123.04942834176923</v>
      </c>
      <c r="BC29" s="18"/>
      <c r="BD29" s="136"/>
      <c r="BE29" s="136"/>
      <c r="BF29" s="54"/>
      <c r="BG29" s="136"/>
      <c r="BI29" s="298" t="s">
        <v>275</v>
      </c>
      <c r="BJ29" s="905">
        <f t="shared" si="4"/>
        <v>46298</v>
      </c>
      <c r="BK29" s="299"/>
      <c r="BL29" s="395"/>
      <c r="BM29" s="391" t="s">
        <v>2214</v>
      </c>
      <c r="BN29" s="395" t="s">
        <v>1356</v>
      </c>
      <c r="BO29" s="889"/>
      <c r="BP29" s="889">
        <f>'WELL DATA'!H80</f>
        <v>0</v>
      </c>
    </row>
    <row r="30" spans="1:68" s="7" customFormat="1" ht="28.5" customHeight="1">
      <c r="A30" s="60"/>
      <c r="J30" s="1201" t="s">
        <v>2424</v>
      </c>
      <c r="K30" s="1202"/>
      <c r="L30" s="1038">
        <f>'DATA INPUT'!E24</f>
        <v>255</v>
      </c>
      <c r="M30" s="364" t="s">
        <v>1256</v>
      </c>
      <c r="N30" s="1138">
        <f>AZ30</f>
        <v>255.10247339147278</v>
      </c>
      <c r="O30" s="1139"/>
      <c r="AU30" s="829" t="s">
        <v>2420</v>
      </c>
      <c r="AV30" s="889">
        <f>'DATA INPUT'!F25</f>
        <v>159</v>
      </c>
      <c r="AW30" s="889">
        <f>'DATA INPUT'!E26</f>
        <v>255</v>
      </c>
      <c r="AX30" s="889">
        <f>'DATA INPUT'!E24</f>
        <v>255</v>
      </c>
      <c r="AY30" s="889">
        <f>'DATA INPUT'!E25</f>
        <v>159</v>
      </c>
      <c r="AZ30" s="889">
        <f t="shared" si="6"/>
        <v>255.10247339147278</v>
      </c>
      <c r="BA30" s="18"/>
      <c r="BB30" s="773">
        <f>AY30+AZ30-AV30</f>
        <v>255.10247339147281</v>
      </c>
      <c r="BC30" s="18"/>
      <c r="BD30" s="136"/>
      <c r="BE30" s="136"/>
      <c r="BF30" s="54"/>
      <c r="BG30" s="136"/>
      <c r="BI30" s="298" t="s">
        <v>275</v>
      </c>
      <c r="BJ30" s="905">
        <f t="shared" si="4"/>
        <v>46298</v>
      </c>
      <c r="BK30" s="299"/>
      <c r="BL30" s="395"/>
      <c r="BM30" s="391" t="s">
        <v>2078</v>
      </c>
      <c r="BN30" s="395" t="s">
        <v>1356</v>
      </c>
      <c r="BO30" s="889"/>
      <c r="BP30" s="889">
        <f>'WELL DATA'!H66</f>
        <v>0</v>
      </c>
    </row>
    <row r="31" spans="1:68" s="7" customFormat="1" ht="35.25" customHeight="1">
      <c r="A31" s="60"/>
      <c r="J31" s="1108" t="s">
        <v>1399</v>
      </c>
      <c r="K31" s="1109"/>
      <c r="L31" s="1038">
        <f>'DATA INPUT'!NRQSHIPPED</f>
        <v>690</v>
      </c>
      <c r="M31" s="364" t="s">
        <v>1256</v>
      </c>
      <c r="N31" s="1138">
        <f>AZ27</f>
        <v>690.27728094163228</v>
      </c>
      <c r="O31" s="1139"/>
      <c r="AU31" s="829" t="s">
        <v>2245</v>
      </c>
      <c r="AV31" s="889">
        <f>MOVEMENT!F42</f>
        <v>0</v>
      </c>
      <c r="AW31" s="889">
        <f>MOVEMENT!F43</f>
        <v>123</v>
      </c>
      <c r="AX31" s="889">
        <f>MOVEMENT!F44</f>
        <v>123</v>
      </c>
      <c r="AY31" s="889">
        <f>MOVEMENT!F45</f>
        <v>0</v>
      </c>
      <c r="AZ31" s="889">
        <f t="shared" si="6"/>
        <v>123.04942834176923</v>
      </c>
      <c r="BA31" s="18"/>
      <c r="BB31" s="18"/>
      <c r="BC31" s="18"/>
      <c r="BD31" s="136"/>
      <c r="BE31" s="136"/>
      <c r="BF31" s="54"/>
      <c r="BG31" s="136"/>
      <c r="BI31" s="298" t="s">
        <v>275</v>
      </c>
      <c r="BJ31" s="905">
        <f t="shared" si="4"/>
        <v>46298</v>
      </c>
      <c r="BK31" s="299"/>
      <c r="BL31" s="395"/>
      <c r="BM31" s="391" t="s">
        <v>2150</v>
      </c>
      <c r="BN31" s="395" t="s">
        <v>1356</v>
      </c>
      <c r="BO31" s="889"/>
      <c r="BP31" s="889">
        <f>'WELL DATA'!H70</f>
        <v>0</v>
      </c>
    </row>
    <row r="32" spans="1:68" s="7" customFormat="1" ht="36" customHeight="1">
      <c r="A32" s="60"/>
      <c r="B32" s="801" t="s">
        <v>1255</v>
      </c>
      <c r="C32" s="802"/>
      <c r="H32" s="699"/>
      <c r="J32" s="1108" t="s">
        <v>2225</v>
      </c>
      <c r="K32" s="1109"/>
      <c r="L32" s="1038">
        <f>+'DATA INPUT'!E18</f>
        <v>105</v>
      </c>
      <c r="M32" s="364" t="s">
        <v>1256</v>
      </c>
      <c r="N32" s="1138">
        <f>+AZ23</f>
        <v>105.04219492590056</v>
      </c>
      <c r="O32" s="1139"/>
      <c r="AU32" s="829" t="s">
        <v>2348</v>
      </c>
      <c r="AV32" s="889"/>
      <c r="AW32" s="889"/>
      <c r="AX32" s="889">
        <f>+'DATA INPUT'!E31</f>
        <v>0</v>
      </c>
      <c r="AY32" s="889"/>
      <c r="AZ32" s="889">
        <f t="shared" si="6"/>
        <v>0</v>
      </c>
      <c r="BA32" s="18"/>
      <c r="BB32" s="18"/>
      <c r="BC32" s="18"/>
      <c r="BD32" s="136"/>
      <c r="BE32" s="136"/>
      <c r="BF32" s="54"/>
      <c r="BG32" s="136"/>
      <c r="BI32" s="298" t="s">
        <v>275</v>
      </c>
      <c r="BJ32" s="905">
        <f t="shared" si="4"/>
        <v>46298</v>
      </c>
      <c r="BK32" s="299"/>
      <c r="BL32" s="395"/>
      <c r="BM32" s="391" t="s">
        <v>2281</v>
      </c>
      <c r="BN32" s="395" t="s">
        <v>1356</v>
      </c>
      <c r="BO32" s="889"/>
      <c r="BP32" s="889">
        <f>+'WELL DATA'!H77</f>
        <v>1.24</v>
      </c>
    </row>
    <row r="33" spans="1:246" s="7" customFormat="1" ht="40.5" customHeight="1">
      <c r="A33" s="60"/>
      <c r="B33" s="1182" t="s">
        <v>28</v>
      </c>
      <c r="C33" s="1183"/>
      <c r="D33" s="803" t="s">
        <v>246</v>
      </c>
      <c r="E33" s="803" t="s">
        <v>247</v>
      </c>
      <c r="F33" s="804" t="s">
        <v>1258</v>
      </c>
      <c r="G33" s="1185" t="s">
        <v>44</v>
      </c>
      <c r="H33" s="1185" t="s">
        <v>2288</v>
      </c>
      <c r="J33" s="1108" t="s">
        <v>2234</v>
      </c>
      <c r="K33" s="1109"/>
      <c r="L33" s="1038">
        <f>'DATA INPUT'!E14</f>
        <v>194</v>
      </c>
      <c r="M33" s="364" t="s">
        <v>1256</v>
      </c>
      <c r="N33" s="1138">
        <f>+AZ29</f>
        <v>194.07796014880674</v>
      </c>
      <c r="O33" s="1139"/>
      <c r="AU33" s="829" t="s">
        <v>2349</v>
      </c>
      <c r="AV33" s="889"/>
      <c r="AW33" s="889"/>
      <c r="AX33" s="889">
        <f>+L37</f>
        <v>47</v>
      </c>
      <c r="AY33" s="889"/>
      <c r="AZ33" s="889">
        <f>+AX33*$AZ$19</f>
        <v>47.018887252545966</v>
      </c>
      <c r="BA33" s="18"/>
      <c r="BB33" s="18"/>
      <c r="BC33" s="18"/>
      <c r="BD33" s="136"/>
      <c r="BE33" s="136"/>
      <c r="BF33" s="54"/>
      <c r="BG33" s="136"/>
      <c r="BI33" s="298" t="s">
        <v>275</v>
      </c>
      <c r="BJ33" s="905">
        <f t="shared" si="4"/>
        <v>46298</v>
      </c>
      <c r="BK33" s="299"/>
      <c r="BL33" s="395"/>
      <c r="BM33" s="391" t="s">
        <v>2152</v>
      </c>
      <c r="BN33" s="395" t="s">
        <v>1356</v>
      </c>
      <c r="BO33" s="889"/>
      <c r="BP33" s="889">
        <f>'WELL DATA'!H117</f>
        <v>1.0493881785517694</v>
      </c>
    </row>
    <row r="34" spans="1:246" s="7" customFormat="1" ht="35.25" customHeight="1">
      <c r="A34" s="60"/>
      <c r="B34" s="1114" t="s">
        <v>56</v>
      </c>
      <c r="C34" s="1115"/>
      <c r="D34" s="805" t="str">
        <f>IFERROR(IF(D38-D35&gt;0,"Production",IF(D38-D35&lt;0,"Shipping",IF(D38-D35=0,"Closed"))),"")</f>
        <v>Shipping</v>
      </c>
      <c r="E34" s="805" t="str">
        <f>IFERROR(IF(E38-E35&gt;0,"Production",IF(E38-E35&lt;0,"Shipping",IF(E38-E35=0,"Closed"))),"")</f>
        <v>Production</v>
      </c>
      <c r="F34" s="805" t="str">
        <f>IFERROR(IF(F38-F35&gt;0,"Production",IF(F38-F35&lt;0,"Shipping",IF(F38-F35=0,"Closed"))),"")</f>
        <v>Closed</v>
      </c>
      <c r="G34" s="1186"/>
      <c r="H34" s="1186"/>
      <c r="J34" s="1108" t="s">
        <v>2247</v>
      </c>
      <c r="K34" s="1109"/>
      <c r="L34" s="1038">
        <f>'DATA INPUT'!E20</f>
        <v>123</v>
      </c>
      <c r="M34" s="364" t="s">
        <v>1256</v>
      </c>
      <c r="N34" s="1138">
        <f>+AZ31</f>
        <v>123.04942834176923</v>
      </c>
      <c r="O34" s="1139"/>
      <c r="AU34" s="889"/>
      <c r="AV34" s="889"/>
      <c r="AW34" s="889">
        <f>AW21+AW22+AW23+AW27+AW29+AW31</f>
        <v>24208.650747093532</v>
      </c>
      <c r="AX34" s="889">
        <f>AX21+AX22+AX23+AX26+AX27+AX29+AX31+AX33</f>
        <v>24215</v>
      </c>
      <c r="AY34" s="889">
        <v>0</v>
      </c>
      <c r="AZ34" s="889">
        <f>AZ19*L32</f>
        <v>105.04219492590056</v>
      </c>
      <c r="BA34" s="18"/>
      <c r="BB34" s="18"/>
      <c r="BC34" s="18"/>
      <c r="BD34" s="136"/>
      <c r="BE34" s="136"/>
      <c r="BF34" s="54"/>
      <c r="BG34" s="136"/>
      <c r="BI34" s="298" t="s">
        <v>275</v>
      </c>
      <c r="BJ34" s="905">
        <f t="shared" si="4"/>
        <v>46298</v>
      </c>
      <c r="BK34" s="299"/>
      <c r="BL34" s="395"/>
      <c r="BM34" s="391" t="s">
        <v>2151</v>
      </c>
      <c r="BN34" s="395" t="s">
        <v>1356</v>
      </c>
      <c r="BO34" s="889"/>
      <c r="BP34" s="889">
        <f>'WELL DATA'!H148</f>
        <v>1.4670938727566138</v>
      </c>
    </row>
    <row r="35" spans="1:246" s="7" customFormat="1" ht="33" customHeight="1">
      <c r="A35" s="60"/>
      <c r="B35" s="1114" t="s">
        <v>54</v>
      </c>
      <c r="C35" s="1115"/>
      <c r="D35" s="1039">
        <f>IFERROR(TANKS!E3,"")</f>
        <v>19313.400192569999</v>
      </c>
      <c r="E35" s="1039">
        <f>IFERROR(TANKS!E5,"")</f>
        <v>1477.7861189059199</v>
      </c>
      <c r="F35" s="1039">
        <f>IFERROR(TANKS!E7,"")</f>
        <v>0</v>
      </c>
      <c r="G35" s="1039">
        <f>SUM(OPENINGSTK)</f>
        <v>20791.186311475918</v>
      </c>
      <c r="H35" s="1039">
        <f>SUM(OPENINGSTK)</f>
        <v>20791.186311475918</v>
      </c>
      <c r="J35" s="1108" t="s">
        <v>2287</v>
      </c>
      <c r="K35" s="1109"/>
      <c r="L35" s="1038">
        <f>+'DATA INPUT'!E7</f>
        <v>0</v>
      </c>
      <c r="M35" s="364" t="s">
        <v>1256</v>
      </c>
      <c r="N35" s="1138">
        <f>+AZ24</f>
        <v>0</v>
      </c>
      <c r="O35" s="1139"/>
      <c r="AV35" s="18"/>
      <c r="AW35" s="18"/>
      <c r="AX35" s="18"/>
      <c r="AY35" s="18"/>
      <c r="AZ35" s="18"/>
      <c r="BA35" s="18"/>
      <c r="BB35" s="18"/>
      <c r="BC35" s="18"/>
      <c r="BD35" s="136"/>
      <c r="BE35" s="136"/>
      <c r="BF35" s="54"/>
      <c r="BG35" s="136"/>
      <c r="BI35" s="298" t="s">
        <v>275</v>
      </c>
      <c r="BJ35" s="905">
        <f t="shared" si="4"/>
        <v>46298</v>
      </c>
      <c r="BK35" s="299"/>
      <c r="BL35" s="395"/>
      <c r="BM35" s="391" t="s">
        <v>1759</v>
      </c>
      <c r="BN35" s="395" t="s">
        <v>1356</v>
      </c>
      <c r="BO35" s="889"/>
      <c r="BP35" s="889">
        <f>'WELL DATA'!H9</f>
        <v>0.95949583965830709</v>
      </c>
    </row>
    <row r="36" spans="1:246" s="7" customFormat="1" ht="38.25" customHeight="1">
      <c r="A36" s="60"/>
      <c r="B36" s="1114" t="s">
        <v>105</v>
      </c>
      <c r="C36" s="1115"/>
      <c r="D36" s="1039">
        <f>IFERROR(TANKS!M3,"")</f>
        <v>17774</v>
      </c>
      <c r="E36" s="1039">
        <f>IFERROR(TANKS!M5,"")</f>
        <v>0</v>
      </c>
      <c r="F36" s="1039">
        <f>IFERROR(TANKS!M7,"")</f>
        <v>0</v>
      </c>
      <c r="G36" s="1039">
        <f>SUM(SHIPPED)</f>
        <v>17774</v>
      </c>
      <c r="H36" s="1039">
        <f>SUM(SHIPPED)-'DATA INPUT'!E7-'DATA INPUT'!E31</f>
        <v>17774</v>
      </c>
      <c r="J36" s="1108" t="s">
        <v>2346</v>
      </c>
      <c r="K36" s="1109"/>
      <c r="L36" s="1038">
        <f>'DATA INPUT'!E31</f>
        <v>0</v>
      </c>
      <c r="M36" s="364" t="s">
        <v>1256</v>
      </c>
      <c r="N36" s="1138">
        <f>AZ32</f>
        <v>0</v>
      </c>
      <c r="O36" s="1139"/>
      <c r="AV36" s="18"/>
      <c r="AW36" s="18"/>
      <c r="AX36" s="18"/>
      <c r="AY36" s="18"/>
      <c r="AZ36" s="18"/>
      <c r="BA36" s="18"/>
      <c r="BB36" s="18"/>
      <c r="BC36" s="18"/>
      <c r="BD36" s="136"/>
      <c r="BE36" s="136"/>
      <c r="BF36" s="54"/>
      <c r="BG36" s="136"/>
      <c r="BI36" s="298" t="s">
        <v>275</v>
      </c>
      <c r="BJ36" s="905">
        <f t="shared" si="4"/>
        <v>46298</v>
      </c>
      <c r="BK36" s="299"/>
      <c r="BL36" s="395"/>
      <c r="BM36" s="391" t="s">
        <v>2178</v>
      </c>
      <c r="BN36" s="395" t="s">
        <v>1356</v>
      </c>
      <c r="BO36" s="889"/>
      <c r="BP36" s="889">
        <f>'WELL DATA'!H11</f>
        <v>0</v>
      </c>
    </row>
    <row r="37" spans="1:246" s="7" customFormat="1" ht="32.25" customHeight="1">
      <c r="A37" s="60"/>
      <c r="B37" s="1114" t="s">
        <v>103</v>
      </c>
      <c r="C37" s="1115"/>
      <c r="D37" s="1039">
        <f>IFERROR(TANKS!N3,"")</f>
        <v>24</v>
      </c>
      <c r="E37" s="1039">
        <f>IFERROR(TANKS!N5,"")</f>
        <v>0</v>
      </c>
      <c r="F37" s="1039">
        <f>IFERROR(TANKS!N7,"")</f>
        <v>0</v>
      </c>
      <c r="G37" s="1039">
        <f>SUM(WATERDRAIN)</f>
        <v>24</v>
      </c>
      <c r="H37" s="1039">
        <f>SUM(WATERDRAIN)</f>
        <v>24</v>
      </c>
      <c r="J37" s="1108" t="s">
        <v>2347</v>
      </c>
      <c r="K37" s="1109"/>
      <c r="L37" s="1038">
        <f>+'DATA INPUT'!E32</f>
        <v>47</v>
      </c>
      <c r="M37" s="364" t="s">
        <v>1256</v>
      </c>
      <c r="N37" s="1138">
        <f>+AZ33</f>
        <v>47.018887252545966</v>
      </c>
      <c r="O37" s="1139"/>
      <c r="AV37" s="18"/>
      <c r="AW37" s="18"/>
      <c r="AX37" s="18"/>
      <c r="AY37" s="18"/>
      <c r="AZ37" s="18"/>
      <c r="BA37" s="18"/>
      <c r="BB37" s="18"/>
      <c r="BC37" s="18"/>
      <c r="BD37" s="136"/>
      <c r="BE37" s="136"/>
      <c r="BF37" s="54"/>
      <c r="BG37" s="136"/>
      <c r="BI37" s="298" t="s">
        <v>275</v>
      </c>
      <c r="BJ37" s="905">
        <f t="shared" si="4"/>
        <v>46298</v>
      </c>
      <c r="BK37" s="299"/>
      <c r="BL37" s="395"/>
      <c r="BM37" s="391" t="s">
        <v>1760</v>
      </c>
      <c r="BN37" s="395" t="s">
        <v>1356</v>
      </c>
      <c r="BO37" s="889"/>
      <c r="BP37" s="889">
        <f>'WELL DATA'!H71</f>
        <v>0</v>
      </c>
    </row>
    <row r="38" spans="1:246" s="7" customFormat="1" ht="24.75" customHeight="1">
      <c r="A38" s="60"/>
      <c r="B38" s="1114" t="s">
        <v>55</v>
      </c>
      <c r="C38" s="1115"/>
      <c r="D38" s="1040">
        <f>IFERROR(TANKS!E4,"")</f>
        <v>1515.3427767720002</v>
      </c>
      <c r="E38" s="1040">
        <f>IFERROR(TANKS!E6,"")</f>
        <v>19257.494281797448</v>
      </c>
      <c r="F38" s="1040">
        <f>IFERROR(TANKS!E8,"")</f>
        <v>0</v>
      </c>
      <c r="G38" s="1040">
        <f>SUM(CLOSINGSTK)</f>
        <v>20772.837058569447</v>
      </c>
      <c r="H38" s="1040">
        <f>SUM(CLOSINGSTK)</f>
        <v>20772.837058569447</v>
      </c>
      <c r="J38" s="1108" t="s">
        <v>2402</v>
      </c>
      <c r="K38" s="1109"/>
      <c r="L38" s="1038">
        <f>+'DATA INPUT'!E16</f>
        <v>123</v>
      </c>
      <c r="M38" s="364" t="s">
        <v>1256</v>
      </c>
      <c r="N38" s="1205">
        <f>+AZ28</f>
        <v>123.04942834176923</v>
      </c>
      <c r="O38" s="1206"/>
      <c r="AV38" s="18"/>
      <c r="AW38" s="18"/>
      <c r="AX38" s="18"/>
      <c r="AY38" s="18"/>
      <c r="AZ38" s="18"/>
      <c r="BA38" s="18"/>
      <c r="BB38" s="18"/>
      <c r="BC38" s="18"/>
      <c r="BD38" s="136"/>
      <c r="BE38" s="136"/>
      <c r="BF38" s="54"/>
      <c r="BG38" s="136"/>
      <c r="BI38" s="298" t="s">
        <v>275</v>
      </c>
      <c r="BJ38" s="905">
        <f t="shared" si="4"/>
        <v>46298</v>
      </c>
      <c r="BK38" s="299"/>
      <c r="BL38" s="395"/>
      <c r="BM38" s="391" t="s">
        <v>2203</v>
      </c>
      <c r="BN38" s="395" t="s">
        <v>1356</v>
      </c>
      <c r="BO38" s="889"/>
      <c r="BP38" s="889">
        <f>'WELL DATA'!H61</f>
        <v>0</v>
      </c>
    </row>
    <row r="39" spans="1:246" s="7" customFormat="1" ht="26.25" customHeight="1">
      <c r="A39" s="60"/>
      <c r="B39" s="1099" t="s">
        <v>203</v>
      </c>
      <c r="C39" s="1100"/>
      <c r="D39" s="1100"/>
      <c r="E39" s="1100"/>
      <c r="F39" s="1101"/>
      <c r="G39" s="942">
        <f>IFERROR(IF((G38+G36-G35)&lt;0,G37*-1,(G38+G36-G35)),0)</f>
        <v>17755.650747093532</v>
      </c>
      <c r="H39" s="943">
        <f>IFERROR(IF((H38+H36-H35)&lt;0,H37*-1,(H38+H36-H35)),0)</f>
        <v>17755.650747093532</v>
      </c>
      <c r="J39" s="1108" t="s">
        <v>1371</v>
      </c>
      <c r="K39" s="1109"/>
      <c r="L39" s="934">
        <f>SUM(L27,L28,L31,L32,L33,L34,L35,L36,L38)</f>
        <v>24168</v>
      </c>
      <c r="M39" s="364" t="s">
        <v>1256</v>
      </c>
      <c r="N39" s="1156" t="s">
        <v>1561</v>
      </c>
      <c r="O39" s="1157"/>
      <c r="AV39" s="18"/>
      <c r="AW39" s="18"/>
      <c r="AX39" s="18"/>
      <c r="AY39" s="18"/>
      <c r="AZ39" s="18"/>
      <c r="BA39" s="18"/>
      <c r="BB39" s="18"/>
      <c r="BC39" s="18"/>
      <c r="BD39" s="136"/>
      <c r="BE39" s="136"/>
      <c r="BF39" s="54"/>
      <c r="BG39" s="136"/>
      <c r="BI39" s="298" t="s">
        <v>275</v>
      </c>
      <c r="BJ39" s="905">
        <f t="shared" si="4"/>
        <v>46298</v>
      </c>
      <c r="BK39" s="299"/>
      <c r="BL39" s="395"/>
      <c r="BM39" s="391" t="s">
        <v>1761</v>
      </c>
      <c r="BN39" s="395" t="s">
        <v>1356</v>
      </c>
      <c r="BO39" s="889"/>
      <c r="BP39" s="889">
        <f>'WELL DATA'!H15</f>
        <v>0</v>
      </c>
    </row>
    <row r="40" spans="1:246" s="7" customFormat="1" ht="19.5" customHeight="1">
      <c r="A40" s="60"/>
      <c r="B40" s="1140" t="s">
        <v>242</v>
      </c>
      <c r="C40" s="1141"/>
      <c r="D40" s="807">
        <f>'DATA INPUT'!E37</f>
        <v>97</v>
      </c>
      <c r="E40" s="807">
        <f>'DATA INPUT'!E45</f>
        <v>97</v>
      </c>
      <c r="F40" s="807">
        <f>'DATA INPUT'!E53</f>
        <v>0</v>
      </c>
      <c r="G40" s="1144"/>
      <c r="H40" s="1145"/>
      <c r="J40" s="1108" t="s">
        <v>1370</v>
      </c>
      <c r="K40" s="1109"/>
      <c r="L40" s="934">
        <f>G50</f>
        <v>24177.712066372995</v>
      </c>
      <c r="M40" s="364" t="s">
        <v>1256</v>
      </c>
      <c r="N40" s="1158"/>
      <c r="O40" s="1159"/>
      <c r="AV40" s="18"/>
      <c r="AW40" s="18"/>
      <c r="AX40" s="18"/>
      <c r="AY40" s="18"/>
      <c r="AZ40" s="18"/>
      <c r="BA40" s="97"/>
      <c r="BC40" s="18"/>
      <c r="BD40" s="136"/>
      <c r="BE40" s="136"/>
      <c r="BF40" s="54"/>
      <c r="BG40" s="136"/>
      <c r="BI40" s="298" t="s">
        <v>275</v>
      </c>
      <c r="BJ40" s="905">
        <f t="shared" si="4"/>
        <v>46298</v>
      </c>
      <c r="BK40" s="299"/>
      <c r="BL40" s="395"/>
      <c r="BM40" s="391" t="s">
        <v>1762</v>
      </c>
      <c r="BN40" s="395" t="s">
        <v>1356</v>
      </c>
      <c r="BO40" s="889"/>
      <c r="BP40" s="889">
        <f>'WELL DATA'!H16</f>
        <v>0</v>
      </c>
    </row>
    <row r="41" spans="1:246" s="37" customFormat="1" ht="15.75" customHeight="1">
      <c r="B41" s="1124" t="s">
        <v>243</v>
      </c>
      <c r="C41" s="1125"/>
      <c r="D41" s="808">
        <f>'DATA INPUT'!E39</f>
        <v>35.299999999999997</v>
      </c>
      <c r="E41" s="808">
        <f>'DATA INPUT'!E47</f>
        <v>36.6</v>
      </c>
      <c r="F41" s="808">
        <f>'DATA INPUT'!E55</f>
        <v>0</v>
      </c>
      <c r="G41" s="1136"/>
      <c r="H41" s="1137"/>
      <c r="I41" s="7"/>
      <c r="J41" s="1108" t="s">
        <v>1735</v>
      </c>
      <c r="K41" s="1109"/>
      <c r="L41" s="1038">
        <f>L40-L39</f>
        <v>9.712066372994741</v>
      </c>
      <c r="M41" s="364" t="s">
        <v>1256</v>
      </c>
      <c r="N41" s="1178">
        <f>'DATA INPUT'!P5</f>
        <v>10.581410122940724</v>
      </c>
      <c r="O41" s="1179"/>
      <c r="P41" s="7"/>
      <c r="W41" s="34"/>
      <c r="X41" s="34"/>
      <c r="Y41" s="34"/>
      <c r="Z41" s="34"/>
      <c r="AA41" s="34"/>
      <c r="AB41" s="34"/>
      <c r="AC41" s="34"/>
      <c r="AD41" s="34"/>
      <c r="AE41" s="34"/>
      <c r="AF41" s="34"/>
      <c r="AG41" s="34"/>
      <c r="AH41" s="66"/>
      <c r="AI41" s="66"/>
      <c r="AJ41" s="66"/>
      <c r="AK41" s="66"/>
      <c r="AL41" s="66"/>
      <c r="AM41" s="66"/>
      <c r="AN41" s="66"/>
      <c r="AO41" s="66"/>
      <c r="AP41" s="66"/>
      <c r="AQ41" s="66"/>
      <c r="AR41" s="66"/>
      <c r="AS41" s="66"/>
      <c r="AT41" s="66"/>
      <c r="AU41" s="7"/>
      <c r="AV41" s="18"/>
      <c r="AW41" s="18"/>
      <c r="AX41" s="18"/>
      <c r="AY41" s="18"/>
      <c r="AZ41" s="18"/>
      <c r="BA41" s="96"/>
      <c r="BB41" s="18"/>
      <c r="BC41"/>
      <c r="BD41"/>
      <c r="BE41"/>
      <c r="BF41"/>
      <c r="BG41" s="66"/>
      <c r="BH41" s="66"/>
      <c r="BI41" s="298" t="s">
        <v>275</v>
      </c>
      <c r="BJ41" s="905">
        <f t="shared" si="4"/>
        <v>46298</v>
      </c>
      <c r="BK41" s="299"/>
      <c r="BL41" s="395"/>
      <c r="BM41" s="391" t="s">
        <v>2217</v>
      </c>
      <c r="BN41" s="395" t="s">
        <v>1356</v>
      </c>
      <c r="BO41" s="889"/>
      <c r="BP41" s="889">
        <f>'WELL DATA'!H97</f>
        <v>0</v>
      </c>
      <c r="BQ41" s="66"/>
      <c r="BR41" s="66"/>
      <c r="BS41" s="66"/>
      <c r="BT41" s="66"/>
      <c r="BU41" s="66"/>
      <c r="BV41" s="66"/>
      <c r="BW41" s="66"/>
      <c r="BX41" s="66"/>
      <c r="BY41" s="66"/>
      <c r="BZ41" s="66"/>
      <c r="CA41" s="66"/>
      <c r="CB41" s="66"/>
      <c r="CC41" s="66"/>
      <c r="CD41" s="66"/>
      <c r="CE41" s="66"/>
      <c r="CF41" s="66"/>
      <c r="CG41" s="66"/>
      <c r="CH41" s="66"/>
      <c r="CI41" s="66"/>
      <c r="CJ41" s="66"/>
      <c r="CK41" s="66"/>
      <c r="CL41" s="66"/>
      <c r="CM41" s="66"/>
      <c r="CN41" s="66"/>
      <c r="CO41" s="66"/>
      <c r="CP41" s="66"/>
      <c r="CQ41" s="66"/>
      <c r="CR41" s="66"/>
      <c r="CS41" s="66"/>
      <c r="CT41" s="66"/>
      <c r="CU41" s="66"/>
      <c r="CV41" s="66"/>
      <c r="CW41" s="66"/>
      <c r="CX41" s="66"/>
      <c r="CY41" s="66"/>
      <c r="CZ41" s="66"/>
      <c r="DA41" s="66"/>
      <c r="DB41" s="66"/>
      <c r="DC41" s="66"/>
      <c r="DD41" s="66"/>
      <c r="DE41" s="66"/>
      <c r="DF41" s="66"/>
      <c r="DG41" s="66"/>
      <c r="DH41" s="66"/>
      <c r="DI41" s="66"/>
      <c r="DJ41" s="66"/>
      <c r="DK41" s="66"/>
      <c r="DL41" s="66"/>
      <c r="DM41" s="66"/>
      <c r="DN41" s="66"/>
      <c r="DO41" s="66"/>
      <c r="DP41" s="66"/>
      <c r="DQ41" s="66"/>
      <c r="DR41" s="66"/>
      <c r="DS41" s="66"/>
      <c r="DT41" s="66"/>
      <c r="DU41" s="66"/>
      <c r="DV41" s="66"/>
      <c r="DW41" s="66"/>
      <c r="DX41" s="66"/>
      <c r="DY41" s="66"/>
      <c r="DZ41" s="66"/>
      <c r="EA41" s="66"/>
      <c r="EB41" s="66"/>
      <c r="EC41" s="66"/>
      <c r="ED41" s="66"/>
      <c r="EE41" s="66"/>
      <c r="EF41" s="66"/>
      <c r="EG41" s="66"/>
      <c r="EH41" s="66"/>
      <c r="EI41" s="66"/>
      <c r="EJ41" s="66"/>
      <c r="EK41" s="66"/>
      <c r="EL41" s="66"/>
      <c r="EM41" s="66"/>
      <c r="EN41" s="66"/>
      <c r="EO41" s="66"/>
      <c r="EP41" s="66"/>
      <c r="EQ41" s="66"/>
      <c r="ER41" s="66"/>
      <c r="ES41" s="66"/>
      <c r="ET41" s="66"/>
      <c r="EU41" s="66"/>
      <c r="EV41" s="66"/>
      <c r="EW41" s="66"/>
      <c r="EX41" s="66"/>
      <c r="EY41" s="66"/>
      <c r="EZ41" s="66"/>
      <c r="FA41" s="66"/>
      <c r="FB41" s="66"/>
      <c r="FC41" s="66"/>
      <c r="FD41" s="66"/>
      <c r="FE41" s="66"/>
      <c r="FF41" s="66"/>
      <c r="FG41" s="66"/>
      <c r="FH41" s="66"/>
      <c r="FI41" s="66"/>
      <c r="FJ41" s="66"/>
      <c r="FK41" s="66"/>
      <c r="FL41" s="66"/>
      <c r="FM41" s="66"/>
      <c r="FN41" s="66"/>
      <c r="FO41" s="66"/>
      <c r="FP41" s="66"/>
      <c r="FQ41" s="66"/>
      <c r="FR41" s="66"/>
      <c r="FS41" s="66"/>
      <c r="FT41" s="66"/>
      <c r="FU41" s="66"/>
      <c r="FV41" s="66"/>
      <c r="FW41" s="66"/>
      <c r="FX41" s="66"/>
      <c r="FY41" s="66"/>
      <c r="FZ41" s="66"/>
      <c r="GA41" s="66"/>
      <c r="GB41" s="66"/>
      <c r="GC41" s="66"/>
      <c r="GD41" s="66"/>
      <c r="GE41" s="66"/>
      <c r="GF41" s="66"/>
      <c r="GG41" s="66"/>
      <c r="GH41" s="66"/>
      <c r="GI41" s="66"/>
      <c r="GJ41" s="66"/>
      <c r="GK41" s="66"/>
      <c r="GL41" s="66"/>
      <c r="GM41" s="66"/>
      <c r="GN41" s="66"/>
      <c r="GO41" s="66"/>
      <c r="GP41" s="66"/>
      <c r="GQ41" s="66"/>
      <c r="GR41" s="66"/>
      <c r="GS41" s="66"/>
      <c r="GT41" s="66"/>
      <c r="GU41" s="66"/>
      <c r="GV41" s="66"/>
      <c r="GW41" s="66"/>
      <c r="GX41" s="66"/>
      <c r="GY41" s="66"/>
      <c r="GZ41" s="66"/>
      <c r="HA41" s="66"/>
      <c r="HB41" s="66"/>
      <c r="HC41" s="66"/>
      <c r="HD41" s="66"/>
      <c r="HE41" s="66"/>
      <c r="HF41" s="66"/>
      <c r="HG41" s="66"/>
      <c r="HH41" s="66"/>
      <c r="HI41" s="66"/>
      <c r="HJ41" s="66"/>
      <c r="HK41" s="66"/>
      <c r="HL41" s="66"/>
      <c r="HM41" s="66"/>
      <c r="HN41" s="66"/>
      <c r="HO41" s="66"/>
      <c r="HP41" s="66"/>
      <c r="HQ41" s="66"/>
      <c r="HR41" s="66"/>
      <c r="HS41" s="66"/>
      <c r="HT41" s="66"/>
      <c r="HU41" s="66"/>
      <c r="HV41" s="66"/>
      <c r="HW41" s="66"/>
      <c r="HX41" s="66"/>
      <c r="HY41" s="66"/>
      <c r="HZ41" s="66"/>
      <c r="IA41" s="66"/>
      <c r="IB41" s="66"/>
      <c r="IC41" s="66"/>
      <c r="ID41" s="66"/>
      <c r="IE41" s="66"/>
      <c r="IF41" s="66"/>
      <c r="IG41" s="66"/>
      <c r="IH41" s="66"/>
      <c r="II41" s="66"/>
      <c r="IJ41" s="66"/>
      <c r="IK41" s="66"/>
      <c r="IL41" s="66"/>
    </row>
    <row r="42" spans="1:246" s="37" customFormat="1" ht="16.5" customHeight="1">
      <c r="B42" s="1124" t="s">
        <v>244</v>
      </c>
      <c r="C42" s="1125"/>
      <c r="D42" s="809">
        <f>'DATA INPUT'!E40</f>
        <v>0.05</v>
      </c>
      <c r="E42" s="809">
        <f>'DATA INPUT'!E48</f>
        <v>0</v>
      </c>
      <c r="F42" s="809">
        <f>'DATA INPUT'!E56</f>
        <v>0</v>
      </c>
      <c r="G42" s="1136"/>
      <c r="H42" s="1137"/>
      <c r="I42" s="7"/>
      <c r="J42" s="1108" t="s">
        <v>1397</v>
      </c>
      <c r="K42" s="1109"/>
      <c r="L42" s="1041">
        <f>'DATA INPUT'!E28-'DATA INPUT'!E27</f>
        <v>-45</v>
      </c>
      <c r="M42" s="365" t="s">
        <v>1256</v>
      </c>
      <c r="N42" s="1207">
        <f>'DATA INPUT'!P6</f>
        <v>-268</v>
      </c>
      <c r="O42" s="1208"/>
      <c r="P42" s="34"/>
      <c r="W42" s="34"/>
      <c r="X42" s="34"/>
      <c r="Y42" s="34"/>
      <c r="Z42" s="34"/>
      <c r="AA42" s="34"/>
      <c r="AB42" s="34"/>
      <c r="AC42" s="34"/>
      <c r="AD42" s="34"/>
      <c r="AE42" s="34"/>
      <c r="AF42" s="34"/>
      <c r="AG42" s="34"/>
      <c r="AH42" s="66"/>
      <c r="AI42" s="66"/>
      <c r="AJ42" s="66"/>
      <c r="AK42" s="66"/>
      <c r="AL42" s="66"/>
      <c r="AM42" s="66"/>
      <c r="AN42" s="66"/>
      <c r="AO42" s="66"/>
      <c r="AP42" s="66"/>
      <c r="AQ42" s="66"/>
      <c r="AR42" s="66"/>
      <c r="AS42" s="66"/>
      <c r="AT42" s="66"/>
      <c r="AU42" s="7"/>
      <c r="AV42" s="18"/>
      <c r="AW42" s="18"/>
      <c r="AX42" s="18"/>
      <c r="AY42" s="18"/>
      <c r="AZ42" s="18"/>
      <c r="BA42" s="96"/>
      <c r="BB42" s="18"/>
      <c r="BC42"/>
      <c r="BD42"/>
      <c r="BE42"/>
      <c r="BF42"/>
      <c r="BG42" s="66"/>
      <c r="BH42" s="66"/>
      <c r="BI42" s="298" t="s">
        <v>275</v>
      </c>
      <c r="BJ42" s="905">
        <f t="shared" si="4"/>
        <v>46298</v>
      </c>
      <c r="BK42" s="299"/>
      <c r="BL42" s="395"/>
      <c r="BM42" s="391" t="s">
        <v>1763</v>
      </c>
      <c r="BN42" s="395" t="s">
        <v>1356</v>
      </c>
      <c r="BO42" s="889"/>
      <c r="BP42" s="889">
        <f>'WELL DATA'!H19</f>
        <v>0</v>
      </c>
      <c r="BQ42" s="66"/>
      <c r="BR42" s="66"/>
      <c r="BS42" s="66"/>
      <c r="BT42" s="66"/>
      <c r="BU42" s="66"/>
      <c r="BV42" s="66"/>
      <c r="BW42" s="66"/>
      <c r="BX42" s="66"/>
      <c r="BY42" s="66"/>
      <c r="BZ42" s="66"/>
      <c r="CA42" s="66"/>
      <c r="CB42" s="66"/>
      <c r="CC42" s="66"/>
      <c r="CD42" s="66"/>
      <c r="CE42" s="66"/>
      <c r="CF42" s="66"/>
      <c r="CG42" s="66"/>
      <c r="CH42" s="66"/>
      <c r="CI42" s="66"/>
      <c r="CJ42" s="66"/>
      <c r="CK42" s="66"/>
      <c r="CL42" s="66"/>
      <c r="CM42" s="66"/>
      <c r="CN42" s="66"/>
      <c r="CO42" s="66"/>
      <c r="CP42" s="66"/>
      <c r="CQ42" s="66"/>
      <c r="CR42" s="66"/>
      <c r="CS42" s="66"/>
      <c r="CT42" s="66"/>
      <c r="CU42" s="66"/>
      <c r="CV42" s="66"/>
      <c r="CW42" s="66"/>
      <c r="CX42" s="66"/>
      <c r="CY42" s="66"/>
      <c r="CZ42" s="66"/>
      <c r="DA42" s="66"/>
      <c r="DB42" s="66"/>
      <c r="DC42" s="66"/>
      <c r="DD42" s="66"/>
      <c r="DE42" s="66"/>
      <c r="DF42" s="66"/>
      <c r="DG42" s="66"/>
      <c r="DH42" s="66"/>
      <c r="DI42" s="66"/>
      <c r="DJ42" s="66"/>
      <c r="DK42" s="66"/>
      <c r="DL42" s="66"/>
      <c r="DM42" s="66"/>
      <c r="DN42" s="66"/>
      <c r="DO42" s="66"/>
      <c r="DP42" s="66"/>
      <c r="DQ42" s="66"/>
      <c r="DR42" s="66"/>
      <c r="DS42" s="66"/>
      <c r="DT42" s="66"/>
      <c r="DU42" s="66"/>
      <c r="DV42" s="66"/>
      <c r="DW42" s="66"/>
      <c r="DX42" s="66"/>
      <c r="DY42" s="66"/>
      <c r="DZ42" s="66"/>
      <c r="EA42" s="66"/>
      <c r="EB42" s="66"/>
      <c r="EC42" s="66"/>
      <c r="ED42" s="66"/>
      <c r="EE42" s="66"/>
      <c r="EF42" s="66"/>
      <c r="EG42" s="66"/>
      <c r="EH42" s="66"/>
      <c r="EI42" s="66"/>
      <c r="EJ42" s="66"/>
      <c r="EK42" s="66"/>
      <c r="EL42" s="66"/>
      <c r="EM42" s="66"/>
      <c r="EN42" s="66"/>
      <c r="EO42" s="66"/>
      <c r="EP42" s="66"/>
      <c r="EQ42" s="66"/>
      <c r="ER42" s="66"/>
      <c r="ES42" s="66"/>
      <c r="ET42" s="66"/>
      <c r="EU42" s="66"/>
      <c r="EV42" s="66"/>
      <c r="EW42" s="66"/>
      <c r="EX42" s="66"/>
      <c r="EY42" s="66"/>
      <c r="EZ42" s="66"/>
      <c r="FA42" s="66"/>
      <c r="FB42" s="66"/>
      <c r="FC42" s="66"/>
      <c r="FD42" s="66"/>
      <c r="FE42" s="66"/>
      <c r="FF42" s="66"/>
      <c r="FG42" s="66"/>
      <c r="FH42" s="66"/>
      <c r="FI42" s="66"/>
      <c r="FJ42" s="66"/>
      <c r="FK42" s="66"/>
      <c r="FL42" s="66"/>
      <c r="FM42" s="66"/>
      <c r="FN42" s="66"/>
      <c r="FO42" s="66"/>
      <c r="FP42" s="66"/>
      <c r="FQ42" s="66"/>
      <c r="FR42" s="66"/>
      <c r="FS42" s="66"/>
      <c r="FT42" s="66"/>
      <c r="FU42" s="66"/>
      <c r="FV42" s="66"/>
      <c r="FW42" s="66"/>
      <c r="FX42" s="66"/>
      <c r="FY42" s="66"/>
      <c r="FZ42" s="66"/>
      <c r="GA42" s="66"/>
      <c r="GB42" s="66"/>
      <c r="GC42" s="66"/>
      <c r="GD42" s="66"/>
      <c r="GE42" s="66"/>
      <c r="GF42" s="66"/>
      <c r="GG42" s="66"/>
      <c r="GH42" s="66"/>
      <c r="GI42" s="66"/>
      <c r="GJ42" s="66"/>
      <c r="GK42" s="66"/>
      <c r="GL42" s="66"/>
      <c r="GM42" s="66"/>
      <c r="GN42" s="66"/>
      <c r="GO42" s="66"/>
      <c r="GP42" s="66"/>
      <c r="GQ42" s="66"/>
      <c r="GR42" s="66"/>
      <c r="GS42" s="66"/>
      <c r="GT42" s="66"/>
      <c r="GU42" s="66"/>
      <c r="GV42" s="66"/>
      <c r="GW42" s="66"/>
      <c r="GX42" s="66"/>
      <c r="GY42" s="66"/>
      <c r="GZ42" s="66"/>
      <c r="HA42" s="66"/>
      <c r="HB42" s="66"/>
      <c r="HC42" s="66"/>
      <c r="HD42" s="66"/>
      <c r="HE42" s="66"/>
      <c r="HF42" s="66"/>
      <c r="HG42" s="66"/>
      <c r="HH42" s="66"/>
      <c r="HI42" s="66"/>
      <c r="HJ42" s="66"/>
      <c r="HK42" s="66"/>
      <c r="HL42" s="66"/>
      <c r="HM42" s="66"/>
      <c r="HN42" s="66"/>
      <c r="HO42" s="66"/>
      <c r="HP42" s="66"/>
      <c r="HQ42" s="66"/>
      <c r="HR42" s="66"/>
      <c r="HS42" s="66"/>
      <c r="HT42" s="66"/>
      <c r="HU42" s="66"/>
      <c r="HV42" s="66"/>
      <c r="HW42" s="66"/>
      <c r="HX42" s="66"/>
      <c r="HY42" s="66"/>
      <c r="HZ42" s="66"/>
      <c r="IA42" s="66"/>
      <c r="IB42" s="66"/>
      <c r="IC42" s="66"/>
      <c r="ID42" s="66"/>
      <c r="IE42" s="66"/>
      <c r="IF42" s="66"/>
      <c r="IG42" s="66"/>
      <c r="IH42" s="66"/>
      <c r="II42" s="66"/>
      <c r="IJ42" s="66"/>
      <c r="IK42" s="66"/>
      <c r="IL42" s="66"/>
    </row>
    <row r="43" spans="1:246" s="37" customFormat="1" ht="23.25" customHeight="1">
      <c r="B43" s="1126" t="s">
        <v>265</v>
      </c>
      <c r="C43" s="1127"/>
      <c r="D43" s="810">
        <f>'DATA INPUT'!E41</f>
        <v>15.2</v>
      </c>
      <c r="E43" s="810">
        <f>'DATA INPUT'!E49</f>
        <v>0</v>
      </c>
      <c r="F43" s="810">
        <f>'DATA INPUT'!E57</f>
        <v>0</v>
      </c>
      <c r="G43" s="1132"/>
      <c r="H43" s="1133"/>
      <c r="J43" s="1108" t="s">
        <v>1734</v>
      </c>
      <c r="K43" s="1109"/>
      <c r="L43" s="1042">
        <f>'DATA INPUT'!E3</f>
        <v>58.97</v>
      </c>
      <c r="M43" s="570" t="s">
        <v>1359</v>
      </c>
      <c r="N43" s="1173">
        <f>'DATA INPUT'!E3-'DATA INPUT'!F3</f>
        <v>0.25999999999999801</v>
      </c>
      <c r="O43" s="1174"/>
      <c r="P43" s="34"/>
      <c r="W43" s="34"/>
      <c r="X43" s="34"/>
      <c r="Y43" s="34"/>
      <c r="Z43" s="34"/>
      <c r="AA43" s="34"/>
      <c r="AB43" s="34"/>
      <c r="AC43" s="34"/>
      <c r="AD43" s="34"/>
      <c r="AE43" s="34"/>
      <c r="AF43" s="34"/>
      <c r="AG43" s="34"/>
      <c r="AH43" s="66"/>
      <c r="AI43" s="66"/>
      <c r="AJ43" s="66"/>
      <c r="AK43" s="66"/>
      <c r="AL43" s="66"/>
      <c r="AM43" s="66"/>
      <c r="AN43" s="66"/>
      <c r="AO43" s="66"/>
      <c r="AP43" s="66"/>
      <c r="AQ43" s="66"/>
      <c r="AR43" s="66"/>
      <c r="AS43" s="66"/>
      <c r="AT43" s="66"/>
      <c r="AU43" s="7"/>
      <c r="AV43" s="18"/>
      <c r="AW43" s="18"/>
      <c r="AX43" s="18"/>
      <c r="AY43" s="18"/>
      <c r="AZ43" s="18"/>
      <c r="BA43" s="96"/>
      <c r="BB43" s="18"/>
      <c r="BC43"/>
      <c r="BD43"/>
      <c r="BE43"/>
      <c r="BF43"/>
      <c r="BG43" s="66"/>
      <c r="BH43" s="66"/>
      <c r="BI43" s="298" t="s">
        <v>275</v>
      </c>
      <c r="BJ43" s="905">
        <f t="shared" si="4"/>
        <v>46298</v>
      </c>
      <c r="BK43" s="299"/>
      <c r="BL43" s="395"/>
      <c r="BM43" s="391" t="s">
        <v>1764</v>
      </c>
      <c r="BN43" s="395" t="s">
        <v>1356</v>
      </c>
      <c r="BO43" s="889"/>
      <c r="BP43" s="889">
        <f>'WELL DATA'!H20</f>
        <v>1.1200000000000001</v>
      </c>
      <c r="BQ43" s="66"/>
      <c r="BR43" s="66"/>
      <c r="BS43" s="66"/>
      <c r="BT43" s="66"/>
      <c r="BU43" s="66"/>
      <c r="BV43" s="66"/>
      <c r="BW43" s="66"/>
      <c r="BX43" s="66"/>
      <c r="BY43" s="66"/>
      <c r="BZ43" s="66"/>
      <c r="CA43" s="66"/>
      <c r="CB43" s="66"/>
      <c r="CC43" s="66"/>
      <c r="CD43" s="66"/>
      <c r="CE43" s="66"/>
      <c r="CF43" s="66"/>
      <c r="CG43" s="66"/>
      <c r="CH43" s="66"/>
      <c r="CI43" s="66"/>
      <c r="CJ43" s="66"/>
      <c r="CK43" s="66"/>
      <c r="CL43" s="66"/>
      <c r="CM43" s="66"/>
      <c r="CN43" s="66"/>
      <c r="CO43" s="66"/>
      <c r="CP43" s="66"/>
      <c r="CQ43" s="66"/>
      <c r="CR43" s="66"/>
      <c r="CS43" s="66"/>
      <c r="CT43" s="66"/>
      <c r="CU43" s="66"/>
      <c r="CV43" s="66"/>
      <c r="CW43" s="66"/>
      <c r="CX43" s="66"/>
      <c r="CY43" s="66"/>
      <c r="CZ43" s="66"/>
      <c r="DA43" s="66"/>
      <c r="DB43" s="66"/>
      <c r="DC43" s="66"/>
      <c r="DD43" s="66"/>
      <c r="DE43" s="66"/>
      <c r="DF43" s="66"/>
      <c r="DG43" s="66"/>
      <c r="DH43" s="66"/>
      <c r="DI43" s="66"/>
      <c r="DJ43" s="66"/>
      <c r="DK43" s="66"/>
      <c r="DL43" s="66"/>
      <c r="DM43" s="66"/>
      <c r="DN43" s="66"/>
      <c r="DO43" s="66"/>
      <c r="DP43" s="66"/>
      <c r="DQ43" s="66"/>
      <c r="DR43" s="66"/>
      <c r="DS43" s="66"/>
      <c r="DT43" s="66"/>
      <c r="DU43" s="66"/>
      <c r="DV43" s="66"/>
      <c r="DW43" s="66"/>
      <c r="DX43" s="66"/>
      <c r="DY43" s="66"/>
      <c r="DZ43" s="66"/>
      <c r="EA43" s="66"/>
      <c r="EB43" s="66"/>
      <c r="EC43" s="66"/>
      <c r="ED43" s="66"/>
      <c r="EE43" s="66"/>
      <c r="EF43" s="66"/>
      <c r="EG43" s="66"/>
      <c r="EH43" s="66"/>
      <c r="EI43" s="66"/>
      <c r="EJ43" s="66"/>
      <c r="EK43" s="66"/>
      <c r="EL43" s="66"/>
      <c r="EM43" s="66"/>
      <c r="EN43" s="66"/>
      <c r="EO43" s="66"/>
      <c r="EP43" s="66"/>
      <c r="EQ43" s="66"/>
      <c r="ER43" s="66"/>
      <c r="ES43" s="66"/>
      <c r="ET43" s="66"/>
      <c r="EU43" s="66"/>
      <c r="EV43" s="66"/>
      <c r="EW43" s="66"/>
      <c r="EX43" s="66"/>
      <c r="EY43" s="66"/>
      <c r="EZ43" s="66"/>
      <c r="FA43" s="66"/>
      <c r="FB43" s="66"/>
      <c r="FC43" s="66"/>
      <c r="FD43" s="66"/>
      <c r="FE43" s="66"/>
      <c r="FF43" s="66"/>
      <c r="FG43" s="66"/>
      <c r="FH43" s="66"/>
      <c r="FI43" s="66"/>
      <c r="FJ43" s="66"/>
      <c r="FK43" s="66"/>
      <c r="FL43" s="66"/>
      <c r="FM43" s="66"/>
      <c r="FN43" s="66"/>
      <c r="FO43" s="66"/>
      <c r="FP43" s="66"/>
      <c r="FQ43" s="66"/>
      <c r="FR43" s="66"/>
      <c r="FS43" s="66"/>
      <c r="FT43" s="66"/>
      <c r="FU43" s="66"/>
      <c r="FV43" s="66"/>
      <c r="FW43" s="66"/>
      <c r="FX43" s="66"/>
      <c r="FY43" s="66"/>
      <c r="FZ43" s="66"/>
      <c r="GA43" s="66"/>
      <c r="GB43" s="66"/>
      <c r="GC43" s="66"/>
      <c r="GD43" s="66"/>
      <c r="GE43" s="66"/>
      <c r="GF43" s="66"/>
      <c r="GG43" s="66"/>
      <c r="GH43" s="66"/>
      <c r="GI43" s="66"/>
      <c r="GJ43" s="66"/>
      <c r="GK43" s="66"/>
      <c r="GL43" s="66"/>
      <c r="GM43" s="66"/>
      <c r="GN43" s="66"/>
      <c r="GO43" s="66"/>
      <c r="GP43" s="66"/>
      <c r="GQ43" s="66"/>
      <c r="GR43" s="66"/>
      <c r="GS43" s="66"/>
      <c r="GT43" s="66"/>
      <c r="GU43" s="66"/>
      <c r="GV43" s="66"/>
      <c r="GW43" s="66"/>
      <c r="GX43" s="66"/>
      <c r="GY43" s="66"/>
      <c r="GZ43" s="66"/>
      <c r="HA43" s="66"/>
      <c r="HB43" s="66"/>
      <c r="HC43" s="66"/>
      <c r="HD43" s="66"/>
      <c r="HE43" s="66"/>
      <c r="HF43" s="66"/>
      <c r="HG43" s="66"/>
      <c r="HH43" s="66"/>
      <c r="HI43" s="66"/>
      <c r="HJ43" s="66"/>
      <c r="HK43" s="66"/>
      <c r="HL43" s="66"/>
      <c r="HM43" s="66"/>
      <c r="HN43" s="66"/>
      <c r="HO43" s="66"/>
      <c r="HP43" s="66"/>
      <c r="HQ43" s="66"/>
      <c r="HR43" s="66"/>
      <c r="HS43" s="66"/>
      <c r="HT43" s="66"/>
      <c r="HU43" s="66"/>
      <c r="HV43" s="66"/>
      <c r="HW43" s="66"/>
      <c r="HX43" s="66"/>
      <c r="HY43" s="66"/>
      <c r="HZ43" s="66"/>
      <c r="IA43" s="66"/>
      <c r="IB43" s="66"/>
      <c r="IC43" s="66"/>
      <c r="ID43" s="66"/>
      <c r="IE43" s="66"/>
      <c r="IF43" s="66"/>
      <c r="IG43" s="66"/>
      <c r="IH43" s="66"/>
      <c r="II43" s="66"/>
      <c r="IJ43" s="66"/>
      <c r="IK43" s="66"/>
      <c r="IL43" s="66"/>
    </row>
    <row r="44" spans="1:246" s="37" customFormat="1" ht="18" customHeight="1">
      <c r="B44" s="1182" t="s">
        <v>28</v>
      </c>
      <c r="C44" s="1183"/>
      <c r="D44" s="803" t="s">
        <v>1558</v>
      </c>
      <c r="E44" s="803" t="s">
        <v>1559</v>
      </c>
      <c r="F44" s="804" t="s">
        <v>1364</v>
      </c>
      <c r="G44" s="1128" t="s">
        <v>44</v>
      </c>
      <c r="H44" s="1129"/>
      <c r="J44" s="1108" t="s">
        <v>1354</v>
      </c>
      <c r="K44" s="1109"/>
      <c r="L44" s="1043">
        <f>'DATA INPUT'!E4</f>
        <v>0.46</v>
      </c>
      <c r="M44" s="571" t="s">
        <v>1359</v>
      </c>
      <c r="N44" s="1169">
        <f>L44-'DATA INPUT'!F4</f>
        <v>1.0000000000000009E-2</v>
      </c>
      <c r="O44" s="1170"/>
      <c r="P44" s="34"/>
      <c r="W44" s="34"/>
      <c r="X44" s="34"/>
      <c r="Y44" s="34"/>
      <c r="Z44" s="34"/>
      <c r="AA44" s="34"/>
      <c r="AB44" s="34"/>
      <c r="AC44" s="34"/>
      <c r="AD44" s="34"/>
      <c r="AE44" s="34"/>
      <c r="AF44" s="34"/>
      <c r="AG44" s="34"/>
      <c r="AH44" s="66"/>
      <c r="AI44" s="66"/>
      <c r="AJ44" s="66"/>
      <c r="AK44" s="66"/>
      <c r="AL44" s="66"/>
      <c r="AM44" s="66"/>
      <c r="AN44" s="66"/>
      <c r="AO44" s="66"/>
      <c r="AP44" s="66"/>
      <c r="AQ44" s="66"/>
      <c r="AR44" s="66"/>
      <c r="AS44" s="66"/>
      <c r="AT44" s="66"/>
      <c r="AU44" s="7"/>
      <c r="AV44" s="7"/>
      <c r="AW44" s="7"/>
      <c r="AX44" s="7"/>
      <c r="AY44" s="97"/>
      <c r="AZ44" s="7"/>
      <c r="BA44" s="96"/>
      <c r="BB44" s="18"/>
      <c r="BC44"/>
      <c r="BD44"/>
      <c r="BE44"/>
      <c r="BF44"/>
      <c r="BG44" s="66"/>
      <c r="BH44" s="66"/>
      <c r="BI44" s="298" t="s">
        <v>275</v>
      </c>
      <c r="BJ44" s="905">
        <f t="shared" si="4"/>
        <v>46298</v>
      </c>
      <c r="BK44" s="299"/>
      <c r="BL44" s="395"/>
      <c r="BM44" s="391" t="s">
        <v>1765</v>
      </c>
      <c r="BN44" s="395" t="s">
        <v>1356</v>
      </c>
      <c r="BO44" s="889"/>
      <c r="BP44" s="889">
        <f>'WELL DATA'!H23</f>
        <v>0.85</v>
      </c>
      <c r="BQ44" s="66"/>
      <c r="BR44" s="66"/>
      <c r="BS44" s="66"/>
      <c r="BT44" s="66"/>
      <c r="BU44" s="66"/>
      <c r="BV44" s="66"/>
      <c r="BW44" s="66"/>
      <c r="BX44" s="66"/>
      <c r="BY44" s="66"/>
      <c r="BZ44" s="66"/>
      <c r="CA44" s="66"/>
      <c r="CB44" s="66"/>
      <c r="CC44" s="66"/>
      <c r="CD44" s="66"/>
      <c r="CE44" s="66"/>
      <c r="CF44" s="66"/>
      <c r="CG44" s="66"/>
      <c r="CH44" s="66"/>
      <c r="CI44" s="66"/>
      <c r="CJ44" s="66"/>
      <c r="CK44" s="66"/>
      <c r="CL44" s="66"/>
      <c r="CM44" s="66"/>
      <c r="CN44" s="66"/>
      <c r="CO44" s="66"/>
      <c r="CP44" s="66"/>
      <c r="CQ44" s="66"/>
      <c r="CR44" s="66"/>
      <c r="CS44" s="66"/>
      <c r="CT44" s="66"/>
      <c r="CU44" s="66"/>
      <c r="CV44" s="66"/>
      <c r="CW44" s="66"/>
      <c r="CX44" s="66"/>
      <c r="CY44" s="66"/>
      <c r="CZ44" s="66"/>
      <c r="DA44" s="66"/>
      <c r="DB44" s="66"/>
      <c r="DC44" s="66"/>
      <c r="DD44" s="66"/>
      <c r="DE44" s="66"/>
      <c r="DF44" s="66"/>
      <c r="DG44" s="66"/>
      <c r="DH44" s="66"/>
      <c r="DI44" s="66"/>
      <c r="DJ44" s="66"/>
      <c r="DK44" s="66"/>
      <c r="DL44" s="66"/>
      <c r="DM44" s="66"/>
      <c r="DN44" s="66"/>
      <c r="DO44" s="66"/>
      <c r="DP44" s="66"/>
      <c r="DQ44" s="66"/>
      <c r="DR44" s="66"/>
      <c r="DS44" s="66"/>
      <c r="DT44" s="66"/>
      <c r="DU44" s="66"/>
      <c r="DV44" s="66"/>
      <c r="DW44" s="66"/>
      <c r="DX44" s="66"/>
      <c r="DY44" s="66"/>
      <c r="DZ44" s="66"/>
      <c r="EA44" s="66"/>
      <c r="EB44" s="66"/>
      <c r="EC44" s="66"/>
      <c r="ED44" s="66"/>
      <c r="EE44" s="66"/>
      <c r="EF44" s="66"/>
      <c r="EG44" s="66"/>
      <c r="EH44" s="66"/>
      <c r="EI44" s="66"/>
      <c r="EJ44" s="66"/>
      <c r="EK44" s="66"/>
      <c r="EL44" s="66"/>
      <c r="EM44" s="66"/>
      <c r="EN44" s="66"/>
      <c r="EO44" s="66"/>
      <c r="EP44" s="66"/>
      <c r="EQ44" s="66"/>
      <c r="ER44" s="66"/>
      <c r="ES44" s="66"/>
      <c r="ET44" s="66"/>
      <c r="EU44" s="66"/>
      <c r="EV44" s="66"/>
      <c r="EW44" s="66"/>
      <c r="EX44" s="66"/>
      <c r="EY44" s="66"/>
      <c r="EZ44" s="66"/>
      <c r="FA44" s="66"/>
      <c r="FB44" s="66"/>
      <c r="FC44" s="66"/>
      <c r="FD44" s="66"/>
      <c r="FE44" s="66"/>
      <c r="FF44" s="66"/>
      <c r="FG44" s="66"/>
      <c r="FH44" s="66"/>
      <c r="FI44" s="66"/>
      <c r="FJ44" s="66"/>
      <c r="FK44" s="66"/>
      <c r="FL44" s="66"/>
      <c r="FM44" s="66"/>
      <c r="FN44" s="66"/>
      <c r="FO44" s="66"/>
      <c r="FP44" s="66"/>
      <c r="FQ44" s="66"/>
      <c r="FR44" s="66"/>
      <c r="FS44" s="66"/>
      <c r="FT44" s="66"/>
      <c r="FU44" s="66"/>
      <c r="FV44" s="66"/>
      <c r="FW44" s="66"/>
      <c r="FX44" s="66"/>
      <c r="FY44" s="66"/>
      <c r="FZ44" s="66"/>
      <c r="GA44" s="66"/>
      <c r="GB44" s="66"/>
      <c r="GC44" s="66"/>
      <c r="GD44" s="66"/>
      <c r="GE44" s="66"/>
      <c r="GF44" s="66"/>
      <c r="GG44" s="66"/>
      <c r="GH44" s="66"/>
      <c r="GI44" s="66"/>
      <c r="GJ44" s="66"/>
      <c r="GK44" s="66"/>
      <c r="GL44" s="66"/>
      <c r="GM44" s="66"/>
      <c r="GN44" s="66"/>
      <c r="GO44" s="66"/>
      <c r="GP44" s="66"/>
      <c r="GQ44" s="66"/>
      <c r="GR44" s="66"/>
      <c r="GS44" s="66"/>
      <c r="GT44" s="66"/>
      <c r="GU44" s="66"/>
      <c r="GV44" s="66"/>
      <c r="GW44" s="66"/>
      <c r="GX44" s="66"/>
      <c r="GY44" s="66"/>
      <c r="GZ44" s="66"/>
      <c r="HA44" s="66"/>
      <c r="HB44" s="66"/>
      <c r="HC44" s="66"/>
      <c r="HD44" s="66"/>
      <c r="HE44" s="66"/>
      <c r="HF44" s="66"/>
      <c r="HG44" s="66"/>
      <c r="HH44" s="66"/>
      <c r="HI44" s="66"/>
      <c r="HJ44" s="66"/>
      <c r="HK44" s="66"/>
      <c r="HL44" s="66"/>
      <c r="HM44" s="66"/>
      <c r="HN44" s="66"/>
      <c r="HO44" s="66"/>
      <c r="HP44" s="66"/>
      <c r="HQ44" s="66"/>
      <c r="HR44" s="66"/>
      <c r="HS44" s="66"/>
      <c r="HT44" s="66"/>
      <c r="HU44" s="66"/>
      <c r="HV44" s="66"/>
      <c r="HW44" s="66"/>
      <c r="HX44" s="66"/>
      <c r="HY44" s="66"/>
      <c r="HZ44" s="66"/>
      <c r="IA44" s="66"/>
      <c r="IB44" s="66"/>
      <c r="IC44" s="66"/>
      <c r="ID44" s="66"/>
      <c r="IE44" s="66"/>
      <c r="IF44" s="66"/>
      <c r="IG44" s="66"/>
      <c r="IH44" s="66"/>
      <c r="II44" s="66"/>
      <c r="IJ44" s="66"/>
      <c r="IK44" s="66"/>
      <c r="IL44" s="66"/>
    </row>
    <row r="45" spans="1:246" s="37" customFormat="1" ht="18" customHeight="1">
      <c r="B45" s="1114" t="s">
        <v>56</v>
      </c>
      <c r="C45" s="1115"/>
      <c r="D45" s="805" t="str">
        <f>IFERROR(IF(D49-D46&gt;0,"Production",IF(D49-D46&lt;0,"Shipping",IF(D49-D46=0,"Closed"))),"")</f>
        <v>Production</v>
      </c>
      <c r="E45" s="805" t="str">
        <f>IFERROR(IF(E49-E46&gt;0,"Production",IF(E49-E46&lt;0,"Shipping",IF(E49-E46=0,"Closed"))),"")</f>
        <v>Shipping</v>
      </c>
      <c r="F45" s="805" t="str">
        <f>IFERROR(IF(F49-F46&gt;0,"Production",IF(F49-F46&lt;0,"Shipping",IF(F49-F46=0,"Closed"))),"")</f>
        <v>Production</v>
      </c>
      <c r="G45" s="1130"/>
      <c r="H45" s="1131"/>
      <c r="J45" s="1142" t="s">
        <v>172</v>
      </c>
      <c r="K45" s="1143"/>
      <c r="L45" s="918"/>
      <c r="M45" s="791"/>
      <c r="N45" s="791" t="s">
        <v>1256</v>
      </c>
      <c r="O45" s="916"/>
      <c r="P45" s="34"/>
      <c r="W45" s="34"/>
      <c r="X45" s="34"/>
      <c r="Y45" s="34"/>
      <c r="Z45" s="34"/>
      <c r="AA45" s="34"/>
      <c r="AB45" s="34"/>
      <c r="AC45" s="34"/>
      <c r="AD45" s="34"/>
      <c r="AE45" s="34"/>
      <c r="AF45" s="34"/>
      <c r="AG45" s="34"/>
      <c r="AH45" s="66"/>
      <c r="AI45" s="66"/>
      <c r="AJ45" s="66"/>
      <c r="AK45" s="66"/>
      <c r="AL45" s="66"/>
      <c r="AM45" s="66"/>
      <c r="AN45" s="66"/>
      <c r="AO45" s="66"/>
      <c r="AP45" s="66"/>
      <c r="AQ45" s="66"/>
      <c r="AR45" s="66"/>
      <c r="AS45" s="66"/>
      <c r="AT45" s="66"/>
      <c r="AU45" s="7"/>
      <c r="AV45" s="18"/>
      <c r="AW45" s="18"/>
      <c r="AX45" s="18"/>
      <c r="AY45" s="96"/>
      <c r="AZ45" s="18"/>
      <c r="BA45" s="98"/>
      <c r="BB45"/>
      <c r="BC45"/>
      <c r="BD45"/>
      <c r="BE45"/>
      <c r="BF45"/>
      <c r="BG45" s="66"/>
      <c r="BH45" s="66"/>
      <c r="BI45" s="298" t="s">
        <v>275</v>
      </c>
      <c r="BJ45" s="905">
        <f t="shared" si="4"/>
        <v>46298</v>
      </c>
      <c r="BK45" s="299"/>
      <c r="BL45" s="395"/>
      <c r="BM45" s="391" t="s">
        <v>1766</v>
      </c>
      <c r="BN45" s="395" t="s">
        <v>1356</v>
      </c>
      <c r="BO45" s="889"/>
      <c r="BP45" s="889">
        <f>'WELL DATA'!H29</f>
        <v>0</v>
      </c>
      <c r="BQ45" s="66"/>
      <c r="BR45" s="66"/>
      <c r="BS45" s="66"/>
      <c r="BT45" s="66"/>
      <c r="BU45" s="66"/>
      <c r="BV45" s="66"/>
      <c r="BW45" s="66"/>
      <c r="BX45" s="66"/>
      <c r="BY45" s="66"/>
      <c r="BZ45" s="66"/>
      <c r="CA45" s="66"/>
      <c r="CB45" s="66"/>
      <c r="CC45" s="66"/>
      <c r="CD45" s="66"/>
      <c r="CE45" s="66"/>
      <c r="CF45" s="66"/>
      <c r="CG45" s="66"/>
      <c r="CH45" s="66"/>
      <c r="CI45" s="66"/>
      <c r="CJ45" s="66"/>
      <c r="CK45" s="66"/>
      <c r="CL45" s="66"/>
      <c r="CM45" s="66"/>
      <c r="CN45" s="66"/>
      <c r="CO45" s="66"/>
      <c r="CP45" s="66"/>
      <c r="CQ45" s="66"/>
      <c r="CR45" s="66"/>
      <c r="CS45" s="66"/>
      <c r="CT45" s="66"/>
      <c r="CU45" s="66"/>
      <c r="CV45" s="66"/>
      <c r="CW45" s="66"/>
      <c r="CX45" s="66"/>
      <c r="CY45" s="66"/>
      <c r="CZ45" s="66"/>
      <c r="DA45" s="66"/>
      <c r="DB45" s="66"/>
      <c r="DC45" s="66"/>
      <c r="DD45" s="66"/>
      <c r="DE45" s="66"/>
      <c r="DF45" s="66"/>
      <c r="DG45" s="66"/>
      <c r="DH45" s="66"/>
      <c r="DI45" s="66"/>
      <c r="DJ45" s="66"/>
      <c r="DK45" s="66"/>
      <c r="DL45" s="66"/>
      <c r="DM45" s="66"/>
      <c r="DN45" s="66"/>
      <c r="DO45" s="66"/>
      <c r="DP45" s="66"/>
      <c r="DQ45" s="66"/>
      <c r="DR45" s="66"/>
      <c r="DS45" s="66"/>
      <c r="DT45" s="66"/>
      <c r="DU45" s="66"/>
      <c r="DV45" s="66"/>
      <c r="DW45" s="66"/>
      <c r="DX45" s="66"/>
      <c r="DY45" s="66"/>
      <c r="DZ45" s="66"/>
      <c r="EA45" s="66"/>
      <c r="EB45" s="66"/>
      <c r="EC45" s="66"/>
      <c r="ED45" s="66"/>
      <c r="EE45" s="66"/>
      <c r="EF45" s="66"/>
      <c r="EG45" s="66"/>
      <c r="EH45" s="66"/>
      <c r="EI45" s="66"/>
      <c r="EJ45" s="66"/>
      <c r="EK45" s="66"/>
      <c r="EL45" s="66"/>
      <c r="EM45" s="66"/>
      <c r="EN45" s="66"/>
      <c r="EO45" s="66"/>
      <c r="EP45" s="66"/>
      <c r="EQ45" s="66"/>
      <c r="ER45" s="66"/>
      <c r="ES45" s="66"/>
      <c r="ET45" s="66"/>
      <c r="EU45" s="66"/>
      <c r="EV45" s="66"/>
      <c r="EW45" s="66"/>
      <c r="EX45" s="66"/>
      <c r="EY45" s="66"/>
      <c r="EZ45" s="66"/>
      <c r="FA45" s="66"/>
      <c r="FB45" s="66"/>
      <c r="FC45" s="66"/>
      <c r="FD45" s="66"/>
      <c r="FE45" s="66"/>
      <c r="FF45" s="66"/>
      <c r="FG45" s="66"/>
      <c r="FH45" s="66"/>
      <c r="FI45" s="66"/>
      <c r="FJ45" s="66"/>
      <c r="FK45" s="66"/>
      <c r="FL45" s="66"/>
      <c r="FM45" s="66"/>
      <c r="FN45" s="66"/>
      <c r="FO45" s="66"/>
      <c r="FP45" s="66"/>
      <c r="FQ45" s="66"/>
      <c r="FR45" s="66"/>
      <c r="FS45" s="66"/>
      <c r="FT45" s="66"/>
      <c r="FU45" s="66"/>
      <c r="FV45" s="66"/>
      <c r="FW45" s="66"/>
      <c r="FX45" s="66"/>
      <c r="FY45" s="66"/>
      <c r="FZ45" s="66"/>
      <c r="GA45" s="66"/>
      <c r="GB45" s="66"/>
      <c r="GC45" s="66"/>
      <c r="GD45" s="66"/>
      <c r="GE45" s="66"/>
      <c r="GF45" s="66"/>
      <c r="GG45" s="66"/>
      <c r="GH45" s="66"/>
      <c r="GI45" s="66"/>
      <c r="GJ45" s="66"/>
      <c r="GK45" s="66"/>
      <c r="GL45" s="66"/>
      <c r="GM45" s="66"/>
      <c r="GN45" s="66"/>
      <c r="GO45" s="66"/>
      <c r="GP45" s="66"/>
      <c r="GQ45" s="66"/>
      <c r="GR45" s="66"/>
      <c r="GS45" s="66"/>
      <c r="GT45" s="66"/>
      <c r="GU45" s="66"/>
      <c r="GV45" s="66"/>
      <c r="GW45" s="66"/>
      <c r="GX45" s="66"/>
      <c r="GY45" s="66"/>
      <c r="GZ45" s="66"/>
      <c r="HA45" s="66"/>
      <c r="HB45" s="66"/>
      <c r="HC45" s="66"/>
      <c r="HD45" s="66"/>
      <c r="HE45" s="66"/>
      <c r="HF45" s="66"/>
      <c r="HG45" s="66"/>
      <c r="HH45" s="66"/>
      <c r="HI45" s="66"/>
      <c r="HJ45" s="66"/>
      <c r="HK45" s="66"/>
      <c r="HL45" s="66"/>
      <c r="HM45" s="66"/>
      <c r="HN45" s="66"/>
      <c r="HO45" s="66"/>
      <c r="HP45" s="66"/>
      <c r="HQ45" s="66"/>
      <c r="HR45" s="66"/>
      <c r="HS45" s="66"/>
      <c r="HT45" s="66"/>
      <c r="HU45" s="66"/>
      <c r="HV45" s="66"/>
      <c r="HW45" s="66"/>
      <c r="HX45" s="66"/>
      <c r="HY45" s="66"/>
      <c r="HZ45" s="66"/>
      <c r="IA45" s="66"/>
      <c r="IB45" s="66"/>
      <c r="IC45" s="66"/>
      <c r="ID45" s="66"/>
      <c r="IE45" s="66"/>
      <c r="IF45" s="66"/>
      <c r="IG45" s="66"/>
      <c r="IH45" s="66"/>
      <c r="II45" s="66"/>
      <c r="IJ45" s="66"/>
      <c r="IK45" s="66"/>
      <c r="IL45" s="66"/>
    </row>
    <row r="46" spans="1:246" s="37" customFormat="1" ht="18" customHeight="1">
      <c r="B46" s="1122" t="s">
        <v>54</v>
      </c>
      <c r="C46" s="1123"/>
      <c r="D46" s="1039">
        <f>IFERROR(TANKS!E27,"")</f>
        <v>7900.924687609584</v>
      </c>
      <c r="E46" s="1039">
        <f>IFERROR(TANKS!E29,"")</f>
        <v>47047.276115365501</v>
      </c>
      <c r="F46" s="1039">
        <f>IFERROR(TANKS!E31,"")</f>
        <v>1667.7800866999999</v>
      </c>
      <c r="G46" s="1120">
        <f>SUM(D46:F46)</f>
        <v>56615.980889675084</v>
      </c>
      <c r="H46" s="1121"/>
      <c r="J46" s="1112" t="str">
        <f>IF(N46=0,"",VLOOKUP(REPORT!N46,ADMIN!B3:M68,4,FALSE))</f>
        <v>Reservoir</v>
      </c>
      <c r="K46" s="1113"/>
      <c r="L46" s="919"/>
      <c r="M46" s="792"/>
      <c r="N46" s="1044">
        <f>IF(L6=0,0,MAX(ADMIN!B3:B68))</f>
        <v>9.69</v>
      </c>
      <c r="O46" s="1045"/>
      <c r="P46" s="34"/>
      <c r="W46" s="34"/>
      <c r="X46" s="34"/>
      <c r="Y46" s="34"/>
      <c r="Z46" s="34"/>
      <c r="AA46" s="34"/>
      <c r="AB46" s="34"/>
      <c r="AC46" s="34"/>
      <c r="AD46" s="34"/>
      <c r="AE46" s="34"/>
      <c r="AF46" s="34"/>
      <c r="AG46" s="34"/>
      <c r="AH46" s="66"/>
      <c r="AI46" s="66"/>
      <c r="AJ46" s="66"/>
      <c r="AK46" s="66"/>
      <c r="AL46" s="66"/>
      <c r="AM46" s="66"/>
      <c r="AN46" s="66"/>
      <c r="AO46" s="66"/>
      <c r="AP46" s="66"/>
      <c r="AQ46" s="66"/>
      <c r="AR46" s="66"/>
      <c r="AS46" s="66"/>
      <c r="AT46" s="66"/>
      <c r="AU46" s="7"/>
      <c r="AV46" s="18"/>
      <c r="AW46" s="18"/>
      <c r="AX46" s="18"/>
      <c r="AY46" s="96"/>
      <c r="AZ46" s="18"/>
      <c r="BA46" s="98"/>
      <c r="BB46"/>
      <c r="BC46"/>
      <c r="BD46"/>
      <c r="BE46"/>
      <c r="BF46"/>
      <c r="BG46" s="66"/>
      <c r="BH46" s="66"/>
      <c r="BI46" s="298" t="s">
        <v>275</v>
      </c>
      <c r="BJ46" s="905">
        <f t="shared" si="4"/>
        <v>46298</v>
      </c>
      <c r="BK46" s="299"/>
      <c r="BL46" s="395"/>
      <c r="BM46" s="391" t="s">
        <v>2609</v>
      </c>
      <c r="BN46" s="395" t="s">
        <v>1356</v>
      </c>
      <c r="BO46" s="889"/>
      <c r="BP46" s="889">
        <f>+'WELL DATA'!H92</f>
        <v>0</v>
      </c>
      <c r="BQ46" s="66"/>
      <c r="BR46" s="66"/>
      <c r="BS46" s="66"/>
      <c r="BT46" s="66"/>
      <c r="BU46" s="66"/>
      <c r="BV46" s="66"/>
      <c r="BW46" s="66"/>
      <c r="BX46" s="66"/>
      <c r="BY46" s="66"/>
      <c r="BZ46" s="66"/>
      <c r="CA46" s="66"/>
      <c r="CB46" s="66"/>
      <c r="CC46" s="66"/>
      <c r="CD46" s="66"/>
      <c r="CE46" s="66"/>
      <c r="CF46" s="66"/>
      <c r="CG46" s="66"/>
      <c r="CH46" s="66"/>
      <c r="CI46" s="66"/>
      <c r="CJ46" s="66"/>
      <c r="CK46" s="66"/>
      <c r="CL46" s="66"/>
      <c r="CM46" s="66"/>
      <c r="CN46" s="66"/>
      <c r="CO46" s="66"/>
      <c r="CP46" s="66"/>
      <c r="CQ46" s="66"/>
      <c r="CR46" s="66"/>
      <c r="CS46" s="66"/>
      <c r="CT46" s="66"/>
      <c r="CU46" s="66"/>
      <c r="CV46" s="66"/>
      <c r="CW46" s="66"/>
      <c r="CX46" s="66"/>
      <c r="CY46" s="66"/>
      <c r="CZ46" s="66"/>
      <c r="DA46" s="66"/>
      <c r="DB46" s="66"/>
      <c r="DC46" s="66"/>
      <c r="DD46" s="66"/>
      <c r="DE46" s="66"/>
      <c r="DF46" s="66"/>
      <c r="DG46" s="66"/>
      <c r="DH46" s="66"/>
      <c r="DI46" s="66"/>
      <c r="DJ46" s="66"/>
      <c r="DK46" s="66"/>
      <c r="DL46" s="66"/>
      <c r="DM46" s="66"/>
      <c r="DN46" s="66"/>
      <c r="DO46" s="66"/>
      <c r="DP46" s="66"/>
      <c r="DQ46" s="66"/>
      <c r="DR46" s="66"/>
      <c r="DS46" s="66"/>
      <c r="DT46" s="66"/>
      <c r="DU46" s="66"/>
      <c r="DV46" s="66"/>
      <c r="DW46" s="66"/>
      <c r="DX46" s="66"/>
      <c r="DY46" s="66"/>
      <c r="DZ46" s="66"/>
      <c r="EA46" s="66"/>
      <c r="EB46" s="66"/>
      <c r="EC46" s="66"/>
      <c r="ED46" s="66"/>
      <c r="EE46" s="66"/>
      <c r="EF46" s="66"/>
      <c r="EG46" s="66"/>
      <c r="EH46" s="66"/>
      <c r="EI46" s="66"/>
      <c r="EJ46" s="66"/>
      <c r="EK46" s="66"/>
      <c r="EL46" s="66"/>
      <c r="EM46" s="66"/>
      <c r="EN46" s="66"/>
      <c r="EO46" s="66"/>
      <c r="EP46" s="66"/>
      <c r="EQ46" s="66"/>
      <c r="ER46" s="66"/>
      <c r="ES46" s="66"/>
      <c r="ET46" s="66"/>
      <c r="EU46" s="66"/>
      <c r="EV46" s="66"/>
      <c r="EW46" s="66"/>
      <c r="EX46" s="66"/>
      <c r="EY46" s="66"/>
      <c r="EZ46" s="66"/>
      <c r="FA46" s="66"/>
      <c r="FB46" s="66"/>
      <c r="FC46" s="66"/>
      <c r="FD46" s="66"/>
      <c r="FE46" s="66"/>
      <c r="FF46" s="66"/>
      <c r="FG46" s="66"/>
      <c r="FH46" s="66"/>
      <c r="FI46" s="66"/>
      <c r="FJ46" s="66"/>
      <c r="FK46" s="66"/>
      <c r="FL46" s="66"/>
      <c r="FM46" s="66"/>
      <c r="FN46" s="66"/>
      <c r="FO46" s="66"/>
      <c r="FP46" s="66"/>
      <c r="FQ46" s="66"/>
      <c r="FR46" s="66"/>
      <c r="FS46" s="66"/>
      <c r="FT46" s="66"/>
      <c r="FU46" s="66"/>
      <c r="FV46" s="66"/>
      <c r="FW46" s="66"/>
      <c r="FX46" s="66"/>
      <c r="FY46" s="66"/>
      <c r="FZ46" s="66"/>
      <c r="GA46" s="66"/>
      <c r="GB46" s="66"/>
      <c r="GC46" s="66"/>
      <c r="GD46" s="66"/>
      <c r="GE46" s="66"/>
      <c r="GF46" s="66"/>
      <c r="GG46" s="66"/>
      <c r="GH46" s="66"/>
      <c r="GI46" s="66"/>
      <c r="GJ46" s="66"/>
      <c r="GK46" s="66"/>
      <c r="GL46" s="66"/>
      <c r="GM46" s="66"/>
      <c r="GN46" s="66"/>
      <c r="GO46" s="66"/>
      <c r="GP46" s="66"/>
      <c r="GQ46" s="66"/>
      <c r="GR46" s="66"/>
      <c r="GS46" s="66"/>
      <c r="GT46" s="66"/>
      <c r="GU46" s="66"/>
      <c r="GV46" s="66"/>
      <c r="GW46" s="66"/>
      <c r="GX46" s="66"/>
      <c r="GY46" s="66"/>
      <c r="GZ46" s="66"/>
      <c r="HA46" s="66"/>
      <c r="HB46" s="66"/>
      <c r="HC46" s="66"/>
      <c r="HD46" s="66"/>
      <c r="HE46" s="66"/>
      <c r="HF46" s="66"/>
      <c r="HG46" s="66"/>
      <c r="HH46" s="66"/>
      <c r="HI46" s="66"/>
      <c r="HJ46" s="66"/>
      <c r="HK46" s="66"/>
      <c r="HL46" s="66"/>
      <c r="HM46" s="66"/>
      <c r="HN46" s="66"/>
      <c r="HO46" s="66"/>
      <c r="HP46" s="66"/>
      <c r="HQ46" s="66"/>
      <c r="HR46" s="66"/>
      <c r="HS46" s="66"/>
      <c r="HT46" s="66"/>
      <c r="HU46" s="66"/>
      <c r="HV46" s="66"/>
      <c r="HW46" s="66"/>
      <c r="HX46" s="66"/>
      <c r="HY46" s="66"/>
      <c r="HZ46" s="66"/>
      <c r="IA46" s="66"/>
      <c r="IB46" s="66"/>
      <c r="IC46" s="66"/>
      <c r="ID46" s="66"/>
      <c r="IE46" s="66"/>
      <c r="IF46" s="66"/>
      <c r="IG46" s="66"/>
      <c r="IH46" s="66"/>
      <c r="II46" s="66"/>
      <c r="IJ46" s="66"/>
      <c r="IK46" s="66"/>
      <c r="IL46" s="66"/>
    </row>
    <row r="47" spans="1:246" s="37" customFormat="1" ht="18" customHeight="1">
      <c r="B47" s="1114" t="s">
        <v>105</v>
      </c>
      <c r="C47" s="1115"/>
      <c r="D47" s="1039">
        <f>IFERROR(TANKS!M27,"")</f>
        <v>0</v>
      </c>
      <c r="E47" s="1039">
        <f>IFERROR(TANKS!M29,"")</f>
        <v>23447.499</v>
      </c>
      <c r="F47" s="1039">
        <f>IFERROR(TANKS!M31,"")</f>
        <v>0</v>
      </c>
      <c r="G47" s="1134">
        <f>SUM(D47:F47)</f>
        <v>23447.499</v>
      </c>
      <c r="H47" s="1135"/>
      <c r="J47" s="1073" t="s">
        <v>2605</v>
      </c>
      <c r="K47" s="1074"/>
      <c r="L47" s="1046">
        <f xml:space="preserve"> (N31+N32+N33+N34+N38)-(N15+N16+N17+N18+N19)</f>
        <v>199</v>
      </c>
      <c r="M47" s="792"/>
      <c r="N47" s="1044">
        <f>IF(L6=0,0,LARGE(ADMIN!B3:B68,2))</f>
        <v>0</v>
      </c>
      <c r="O47" s="1045"/>
      <c r="P47" s="34"/>
      <c r="W47" s="34"/>
      <c r="X47" s="34"/>
      <c r="Y47" s="34"/>
      <c r="Z47" s="34"/>
      <c r="AA47" s="34"/>
      <c r="AB47" s="34"/>
      <c r="AC47" s="34"/>
      <c r="AD47" s="34"/>
      <c r="AE47" s="34"/>
      <c r="AF47" s="34"/>
      <c r="AG47" s="34"/>
      <c r="AH47" s="66"/>
      <c r="AI47" s="66"/>
      <c r="AJ47" s="66"/>
      <c r="AK47" s="66"/>
      <c r="AL47" s="66"/>
      <c r="AM47" s="66"/>
      <c r="AN47" s="66"/>
      <c r="AO47" s="66"/>
      <c r="AP47" s="66"/>
      <c r="AQ47" s="66"/>
      <c r="AR47" s="66"/>
      <c r="AS47" s="66"/>
      <c r="AT47" s="66"/>
      <c r="AU47" s="7"/>
      <c r="AV47" s="18"/>
      <c r="AW47" s="18"/>
      <c r="AX47" s="18"/>
      <c r="AY47" s="96"/>
      <c r="AZ47" s="18"/>
      <c r="BA47" s="98"/>
      <c r="BB47"/>
      <c r="BC47"/>
      <c r="BD47"/>
      <c r="BE47"/>
      <c r="BF47"/>
      <c r="BG47" s="66"/>
      <c r="BH47" s="66"/>
      <c r="BI47" s="298" t="s">
        <v>275</v>
      </c>
      <c r="BJ47" s="905">
        <f t="shared" si="4"/>
        <v>46298</v>
      </c>
      <c r="BK47" s="299"/>
      <c r="BL47" s="395"/>
      <c r="BM47" s="391" t="s">
        <v>2611</v>
      </c>
      <c r="BN47" s="395" t="s">
        <v>1356</v>
      </c>
      <c r="BO47" s="889"/>
      <c r="BP47" s="889">
        <f>+'WELL DATA'!H113</f>
        <v>2</v>
      </c>
      <c r="BQ47" s="66"/>
      <c r="BR47" s="66"/>
      <c r="BS47" s="66"/>
      <c r="BT47" s="66"/>
      <c r="BU47" s="66"/>
      <c r="BV47" s="66"/>
      <c r="BW47" s="66"/>
      <c r="BX47" s="66"/>
      <c r="BY47" s="66"/>
      <c r="BZ47" s="66"/>
      <c r="CA47" s="66"/>
      <c r="CB47" s="66"/>
      <c r="CC47" s="66"/>
      <c r="CD47" s="66"/>
      <c r="CE47" s="66"/>
      <c r="CF47" s="66"/>
      <c r="CG47" s="66"/>
      <c r="CH47" s="66"/>
      <c r="CI47" s="66"/>
      <c r="CJ47" s="66"/>
      <c r="CK47" s="66"/>
      <c r="CL47" s="66"/>
      <c r="CM47" s="66"/>
      <c r="CN47" s="66"/>
      <c r="CO47" s="66"/>
      <c r="CP47" s="66"/>
      <c r="CQ47" s="66"/>
      <c r="CR47" s="66"/>
      <c r="CS47" s="66"/>
      <c r="CT47" s="66"/>
      <c r="CU47" s="66"/>
      <c r="CV47" s="66"/>
      <c r="CW47" s="66"/>
      <c r="CX47" s="66"/>
      <c r="CY47" s="66"/>
      <c r="CZ47" s="66"/>
      <c r="DA47" s="66"/>
      <c r="DB47" s="66"/>
      <c r="DC47" s="66"/>
      <c r="DD47" s="66"/>
      <c r="DE47" s="66"/>
      <c r="DF47" s="66"/>
      <c r="DG47" s="66"/>
      <c r="DH47" s="66"/>
      <c r="DI47" s="66"/>
      <c r="DJ47" s="66"/>
      <c r="DK47" s="66"/>
      <c r="DL47" s="66"/>
      <c r="DM47" s="66"/>
      <c r="DN47" s="66"/>
      <c r="DO47" s="66"/>
      <c r="DP47" s="66"/>
      <c r="DQ47" s="66"/>
      <c r="DR47" s="66"/>
      <c r="DS47" s="66"/>
      <c r="DT47" s="66"/>
      <c r="DU47" s="66"/>
      <c r="DV47" s="66"/>
      <c r="DW47" s="66"/>
      <c r="DX47" s="66"/>
      <c r="DY47" s="66"/>
      <c r="DZ47" s="66"/>
      <c r="EA47" s="66"/>
      <c r="EB47" s="66"/>
      <c r="EC47" s="66"/>
      <c r="ED47" s="66"/>
      <c r="EE47" s="66"/>
      <c r="EF47" s="66"/>
      <c r="EG47" s="66"/>
      <c r="EH47" s="66"/>
      <c r="EI47" s="66"/>
      <c r="EJ47" s="66"/>
      <c r="EK47" s="66"/>
      <c r="EL47" s="66"/>
      <c r="EM47" s="66"/>
      <c r="EN47" s="66"/>
      <c r="EO47" s="66"/>
      <c r="EP47" s="66"/>
      <c r="EQ47" s="66"/>
      <c r="ER47" s="66"/>
      <c r="ES47" s="66"/>
      <c r="ET47" s="66"/>
      <c r="EU47" s="66"/>
      <c r="EV47" s="66"/>
      <c r="EW47" s="66"/>
      <c r="EX47" s="66"/>
      <c r="EY47" s="66"/>
      <c r="EZ47" s="66"/>
      <c r="FA47" s="66"/>
      <c r="FB47" s="66"/>
      <c r="FC47" s="66"/>
      <c r="FD47" s="66"/>
      <c r="FE47" s="66"/>
      <c r="FF47" s="66"/>
      <c r="FG47" s="66"/>
      <c r="FH47" s="66"/>
      <c r="FI47" s="66"/>
      <c r="FJ47" s="66"/>
      <c r="FK47" s="66"/>
      <c r="FL47" s="66"/>
      <c r="FM47" s="66"/>
      <c r="FN47" s="66"/>
      <c r="FO47" s="66"/>
      <c r="FP47" s="66"/>
      <c r="FQ47" s="66"/>
      <c r="FR47" s="66"/>
      <c r="FS47" s="66"/>
      <c r="FT47" s="66"/>
      <c r="FU47" s="66"/>
      <c r="FV47" s="66"/>
      <c r="FW47" s="66"/>
      <c r="FX47" s="66"/>
      <c r="FY47" s="66"/>
      <c r="FZ47" s="66"/>
      <c r="GA47" s="66"/>
      <c r="GB47" s="66"/>
      <c r="GC47" s="66"/>
      <c r="GD47" s="66"/>
      <c r="GE47" s="66"/>
      <c r="GF47" s="66"/>
      <c r="GG47" s="66"/>
      <c r="GH47" s="66"/>
      <c r="GI47" s="66"/>
      <c r="GJ47" s="66"/>
      <c r="GK47" s="66"/>
      <c r="GL47" s="66"/>
      <c r="GM47" s="66"/>
      <c r="GN47" s="66"/>
      <c r="GO47" s="66"/>
      <c r="GP47" s="66"/>
      <c r="GQ47" s="66"/>
      <c r="GR47" s="66"/>
      <c r="GS47" s="66"/>
      <c r="GT47" s="66"/>
      <c r="GU47" s="66"/>
      <c r="GV47" s="66"/>
      <c r="GW47" s="66"/>
      <c r="GX47" s="66"/>
      <c r="GY47" s="66"/>
      <c r="GZ47" s="66"/>
      <c r="HA47" s="66"/>
      <c r="HB47" s="66"/>
      <c r="HC47" s="66"/>
      <c r="HD47" s="66"/>
      <c r="HE47" s="66"/>
      <c r="HF47" s="66"/>
      <c r="HG47" s="66"/>
      <c r="HH47" s="66"/>
      <c r="HI47" s="66"/>
      <c r="HJ47" s="66"/>
      <c r="HK47" s="66"/>
      <c r="HL47" s="66"/>
      <c r="HM47" s="66"/>
      <c r="HN47" s="66"/>
      <c r="HO47" s="66"/>
      <c r="HP47" s="66"/>
      <c r="HQ47" s="66"/>
      <c r="HR47" s="66"/>
      <c r="HS47" s="66"/>
      <c r="HT47" s="66"/>
      <c r="HU47" s="66"/>
      <c r="HV47" s="66"/>
      <c r="HW47" s="66"/>
      <c r="HX47" s="66"/>
      <c r="HY47" s="66"/>
      <c r="HZ47" s="66"/>
      <c r="IA47" s="66"/>
      <c r="IB47" s="66"/>
      <c r="IC47" s="66"/>
      <c r="ID47" s="66"/>
      <c r="IE47" s="66"/>
      <c r="IF47" s="66"/>
      <c r="IG47" s="66"/>
      <c r="IH47" s="66"/>
      <c r="II47" s="66"/>
      <c r="IJ47" s="66"/>
      <c r="IK47" s="66"/>
      <c r="IL47" s="66"/>
    </row>
    <row r="48" spans="1:246" s="37" customFormat="1" ht="20.25" customHeight="1">
      <c r="B48" s="1114" t="s">
        <v>103</v>
      </c>
      <c r="C48" s="1115"/>
      <c r="D48" s="1039">
        <f>IFERROR(TANKS!N27,"")</f>
        <v>0</v>
      </c>
      <c r="E48" s="1039">
        <f>IFERROR(TANKS!N29,"")</f>
        <v>86</v>
      </c>
      <c r="F48" s="1039">
        <f>IFERROR(TANKS!N31,"")</f>
        <v>0</v>
      </c>
      <c r="G48" s="1120">
        <f>SUM(D48:F48)</f>
        <v>86</v>
      </c>
      <c r="H48" s="1121"/>
      <c r="J48" s="933" t="str">
        <f>IF(N48=0,"",VLOOKUP(REPORT!N48,ADMIN!B3:M68,4,FALSE))</f>
        <v/>
      </c>
      <c r="K48" s="925"/>
      <c r="L48" s="919"/>
      <c r="M48" s="792"/>
      <c r="N48" s="1044">
        <f>IF(L6=0,0,LARGE(ADMIN!B3:B68,3))</f>
        <v>0</v>
      </c>
      <c r="O48" s="1045"/>
      <c r="P48" s="34"/>
      <c r="W48" s="34"/>
      <c r="X48" s="34"/>
      <c r="Y48" s="34"/>
      <c r="Z48" s="34"/>
      <c r="AA48" s="34"/>
      <c r="AB48" s="34"/>
      <c r="AC48" s="34"/>
      <c r="AD48" s="34"/>
      <c r="AE48" s="34"/>
      <c r="AF48" s="34"/>
      <c r="AG48" s="34"/>
      <c r="AH48" s="66"/>
      <c r="AI48" s="66"/>
      <c r="AJ48" s="66"/>
      <c r="AK48" s="66"/>
      <c r="AL48" s="66"/>
      <c r="AM48" s="66"/>
      <c r="AN48" s="66"/>
      <c r="AO48" s="66"/>
      <c r="AP48" s="66"/>
      <c r="AQ48" s="66"/>
      <c r="AR48" s="66"/>
      <c r="AS48" s="66"/>
      <c r="AT48" s="66"/>
      <c r="AU48" s="7"/>
      <c r="AV48" s="18"/>
      <c r="AW48" s="18"/>
      <c r="AX48" s="18"/>
      <c r="AY48" s="96"/>
      <c r="AZ48" s="18"/>
      <c r="BA48" s="98"/>
      <c r="BB48"/>
      <c r="BC48"/>
      <c r="BD48"/>
      <c r="BE48"/>
      <c r="BF48"/>
      <c r="BG48" s="66"/>
      <c r="BH48" s="66"/>
      <c r="BI48" s="298" t="s">
        <v>275</v>
      </c>
      <c r="BJ48" s="905">
        <f t="shared" si="4"/>
        <v>46298</v>
      </c>
      <c r="BK48" s="299"/>
      <c r="BL48" s="395"/>
      <c r="BM48" s="391" t="s">
        <v>1767</v>
      </c>
      <c r="BN48" s="395" t="s">
        <v>1356</v>
      </c>
      <c r="BO48" s="889"/>
      <c r="BP48" s="889">
        <f>'WELL DATA'!H32</f>
        <v>1.1181780404305033</v>
      </c>
      <c r="BQ48" s="66"/>
      <c r="BR48" s="66"/>
      <c r="BS48" s="66"/>
      <c r="BT48" s="66"/>
      <c r="BU48" s="66"/>
      <c r="BV48" s="66"/>
      <c r="BW48" s="66"/>
      <c r="BX48" s="66"/>
      <c r="BY48" s="66"/>
      <c r="BZ48" s="66"/>
      <c r="CA48" s="66"/>
      <c r="CB48" s="66"/>
      <c r="CC48" s="66"/>
      <c r="CD48" s="66"/>
      <c r="CE48" s="66"/>
      <c r="CF48" s="66"/>
      <c r="CG48" s="66"/>
      <c r="CH48" s="66"/>
      <c r="CI48" s="66"/>
      <c r="CJ48" s="66"/>
      <c r="CK48" s="66"/>
      <c r="CL48" s="66"/>
      <c r="CM48" s="66"/>
      <c r="CN48" s="66"/>
      <c r="CO48" s="66"/>
      <c r="CP48" s="66"/>
      <c r="CQ48" s="66"/>
      <c r="CR48" s="66"/>
      <c r="CS48" s="66"/>
      <c r="CT48" s="66"/>
      <c r="CU48" s="66"/>
      <c r="CV48" s="66"/>
      <c r="CW48" s="66"/>
      <c r="CX48" s="66"/>
      <c r="CY48" s="66"/>
      <c r="CZ48" s="66"/>
      <c r="DA48" s="66"/>
      <c r="DB48" s="66"/>
      <c r="DC48" s="66"/>
      <c r="DD48" s="66"/>
      <c r="DE48" s="66"/>
      <c r="DF48" s="66"/>
      <c r="DG48" s="66"/>
      <c r="DH48" s="66"/>
      <c r="DI48" s="66"/>
      <c r="DJ48" s="66"/>
      <c r="DK48" s="66"/>
      <c r="DL48" s="66"/>
      <c r="DM48" s="66"/>
      <c r="DN48" s="66"/>
      <c r="DO48" s="66"/>
      <c r="DP48" s="66"/>
      <c r="DQ48" s="66"/>
      <c r="DR48" s="66"/>
      <c r="DS48" s="66"/>
      <c r="DT48" s="66"/>
      <c r="DU48" s="66"/>
      <c r="DV48" s="66"/>
      <c r="DW48" s="66"/>
      <c r="DX48" s="66"/>
      <c r="DY48" s="66"/>
      <c r="DZ48" s="66"/>
      <c r="EA48" s="66"/>
      <c r="EB48" s="66"/>
      <c r="EC48" s="66"/>
      <c r="ED48" s="66"/>
      <c r="EE48" s="66"/>
      <c r="EF48" s="66"/>
      <c r="EG48" s="66"/>
      <c r="EH48" s="66"/>
      <c r="EI48" s="66"/>
      <c r="EJ48" s="66"/>
      <c r="EK48" s="66"/>
      <c r="EL48" s="66"/>
      <c r="EM48" s="66"/>
      <c r="EN48" s="66"/>
      <c r="EO48" s="66"/>
      <c r="EP48" s="66"/>
      <c r="EQ48" s="66"/>
      <c r="ER48" s="66"/>
      <c r="ES48" s="66"/>
      <c r="ET48" s="66"/>
      <c r="EU48" s="66"/>
      <c r="EV48" s="66"/>
      <c r="EW48" s="66"/>
      <c r="EX48" s="66"/>
      <c r="EY48" s="66"/>
      <c r="EZ48" s="66"/>
      <c r="FA48" s="66"/>
      <c r="FB48" s="66"/>
      <c r="FC48" s="66"/>
      <c r="FD48" s="66"/>
      <c r="FE48" s="66"/>
      <c r="FF48" s="66"/>
      <c r="FG48" s="66"/>
      <c r="FH48" s="66"/>
      <c r="FI48" s="66"/>
      <c r="FJ48" s="66"/>
      <c r="FK48" s="66"/>
      <c r="FL48" s="66"/>
      <c r="FM48" s="66"/>
      <c r="FN48" s="66"/>
      <c r="FO48" s="66"/>
      <c r="FP48" s="66"/>
      <c r="FQ48" s="66"/>
      <c r="FR48" s="66"/>
      <c r="FS48" s="66"/>
      <c r="FT48" s="66"/>
      <c r="FU48" s="66"/>
      <c r="FV48" s="66"/>
      <c r="FW48" s="66"/>
      <c r="FX48" s="66"/>
      <c r="FY48" s="66"/>
      <c r="FZ48" s="66"/>
      <c r="GA48" s="66"/>
      <c r="GB48" s="66"/>
      <c r="GC48" s="66"/>
      <c r="GD48" s="66"/>
      <c r="GE48" s="66"/>
      <c r="GF48" s="66"/>
      <c r="GG48" s="66"/>
      <c r="GH48" s="66"/>
      <c r="GI48" s="66"/>
      <c r="GJ48" s="66"/>
      <c r="GK48" s="66"/>
      <c r="GL48" s="66"/>
      <c r="GM48" s="66"/>
      <c r="GN48" s="66"/>
      <c r="GO48" s="66"/>
      <c r="GP48" s="66"/>
      <c r="GQ48" s="66"/>
      <c r="GR48" s="66"/>
      <c r="GS48" s="66"/>
      <c r="GT48" s="66"/>
      <c r="GU48" s="66"/>
      <c r="GV48" s="66"/>
      <c r="GW48" s="66"/>
      <c r="GX48" s="66"/>
      <c r="GY48" s="66"/>
      <c r="GZ48" s="66"/>
      <c r="HA48" s="66"/>
      <c r="HB48" s="66"/>
      <c r="HC48" s="66"/>
      <c r="HD48" s="66"/>
      <c r="HE48" s="66"/>
      <c r="HF48" s="66"/>
      <c r="HG48" s="66"/>
      <c r="HH48" s="66"/>
      <c r="HI48" s="66"/>
      <c r="HJ48" s="66"/>
      <c r="HK48" s="66"/>
      <c r="HL48" s="66"/>
      <c r="HM48" s="66"/>
      <c r="HN48" s="66"/>
      <c r="HO48" s="66"/>
      <c r="HP48" s="66"/>
      <c r="HQ48" s="66"/>
      <c r="HR48" s="66"/>
      <c r="HS48" s="66"/>
      <c r="HT48" s="66"/>
      <c r="HU48" s="66"/>
      <c r="HV48" s="66"/>
      <c r="HW48" s="66"/>
      <c r="HX48" s="66"/>
      <c r="HY48" s="66"/>
      <c r="HZ48" s="66"/>
      <c r="IA48" s="66"/>
      <c r="IB48" s="66"/>
      <c r="IC48" s="66"/>
      <c r="ID48" s="66"/>
      <c r="IE48" s="66"/>
      <c r="IF48" s="66"/>
      <c r="IG48" s="66"/>
      <c r="IH48" s="66"/>
      <c r="II48" s="66"/>
      <c r="IJ48" s="66"/>
      <c r="IK48" s="66"/>
      <c r="IL48" s="66"/>
    </row>
    <row r="49" spans="1:246" s="37" customFormat="1" ht="18" customHeight="1">
      <c r="B49" s="1116" t="s">
        <v>55</v>
      </c>
      <c r="C49" s="1117"/>
      <c r="D49" s="1040">
        <f>IFERROR(TANKS!E28,"")</f>
        <v>28323.552417925352</v>
      </c>
      <c r="E49" s="1040">
        <f>IFERROR(TANKS!E30,"")</f>
        <v>27354.861451422723</v>
      </c>
      <c r="F49" s="1040">
        <f>IFERROR(TANKS!E32,"")</f>
        <v>1667.7800867000001</v>
      </c>
      <c r="G49" s="1118">
        <f>SUM(D49:F49)</f>
        <v>57346.193956048075</v>
      </c>
      <c r="H49" s="1119"/>
      <c r="J49" s="1073" t="s">
        <v>1566</v>
      </c>
      <c r="K49" s="1074"/>
      <c r="L49" s="1079">
        <f>'DATA INPUT'!N22</f>
        <v>92535672</v>
      </c>
      <c r="M49" s="1080"/>
      <c r="N49" s="697" t="s">
        <v>1256</v>
      </c>
      <c r="O49" s="891"/>
      <c r="P49" s="34"/>
      <c r="W49" s="34"/>
      <c r="X49" s="34"/>
      <c r="Y49" s="34"/>
      <c r="Z49" s="34"/>
      <c r="AA49" s="34"/>
      <c r="AB49" s="34"/>
      <c r="AC49" s="34"/>
      <c r="AD49" s="34"/>
      <c r="AE49" s="34"/>
      <c r="AF49" s="34"/>
      <c r="AG49" s="34"/>
      <c r="AH49" s="66"/>
      <c r="AI49" s="66"/>
      <c r="AJ49" s="66"/>
      <c r="AK49" s="66"/>
      <c r="AL49" s="66"/>
      <c r="AM49" s="66"/>
      <c r="AN49" s="66"/>
      <c r="AO49" s="66"/>
      <c r="AP49" s="66"/>
      <c r="AQ49" s="66"/>
      <c r="AR49" s="66"/>
      <c r="AS49" s="66"/>
      <c r="AT49" s="66"/>
      <c r="AU49" s="66"/>
      <c r="AV49"/>
      <c r="AW49"/>
      <c r="AX49"/>
      <c r="AY49" s="98"/>
      <c r="AZ49"/>
      <c r="BA49" s="98"/>
      <c r="BB49"/>
      <c r="BC49"/>
      <c r="BD49"/>
      <c r="BE49"/>
      <c r="BF49"/>
      <c r="BG49" s="66"/>
      <c r="BH49" s="66"/>
      <c r="BI49" s="298" t="s">
        <v>275</v>
      </c>
      <c r="BJ49" s="905">
        <f t="shared" si="4"/>
        <v>46298</v>
      </c>
      <c r="BK49" s="299"/>
      <c r="BL49" s="395"/>
      <c r="BM49" s="391" t="s">
        <v>1768</v>
      </c>
      <c r="BN49" s="395" t="s">
        <v>1356</v>
      </c>
      <c r="BO49" s="889"/>
      <c r="BP49" s="889">
        <f>'WELL DATA'!H37</f>
        <v>0.91404902564862456</v>
      </c>
      <c r="BQ49" s="66"/>
      <c r="BR49" s="66"/>
      <c r="BS49" s="66"/>
      <c r="BT49" s="66"/>
      <c r="BU49" s="66"/>
      <c r="BV49" s="66"/>
      <c r="BW49" s="66"/>
      <c r="BX49" s="66"/>
      <c r="BY49" s="66"/>
      <c r="BZ49" s="66"/>
      <c r="CA49" s="66"/>
      <c r="CB49" s="66"/>
      <c r="CC49" s="66"/>
      <c r="CD49" s="66"/>
      <c r="CE49" s="66"/>
      <c r="CF49" s="66"/>
      <c r="CG49" s="66"/>
      <c r="CH49" s="66"/>
      <c r="CI49" s="66"/>
      <c r="CJ49" s="66"/>
      <c r="CK49" s="66"/>
      <c r="CL49" s="66"/>
      <c r="CM49" s="66"/>
      <c r="CN49" s="66"/>
      <c r="CO49" s="66"/>
      <c r="CP49" s="66"/>
      <c r="CQ49" s="66"/>
      <c r="CR49" s="66"/>
      <c r="CS49" s="66"/>
      <c r="CT49" s="66"/>
      <c r="CU49" s="66"/>
      <c r="CV49" s="66"/>
      <c r="CW49" s="66"/>
      <c r="CX49" s="66"/>
      <c r="CY49" s="66"/>
      <c r="CZ49" s="66"/>
      <c r="DA49" s="66"/>
      <c r="DB49" s="66"/>
      <c r="DC49" s="66"/>
      <c r="DD49" s="66"/>
      <c r="DE49" s="66"/>
      <c r="DF49" s="66"/>
      <c r="DG49" s="66"/>
      <c r="DH49" s="66"/>
      <c r="DI49" s="66"/>
      <c r="DJ49" s="66"/>
      <c r="DK49" s="66"/>
      <c r="DL49" s="66"/>
      <c r="DM49" s="66"/>
      <c r="DN49" s="66"/>
      <c r="DO49" s="66"/>
      <c r="DP49" s="66"/>
      <c r="DQ49" s="66"/>
      <c r="DR49" s="66"/>
      <c r="DS49" s="66"/>
      <c r="DT49" s="66"/>
      <c r="DU49" s="66"/>
      <c r="DV49" s="66"/>
      <c r="DW49" s="66"/>
      <c r="DX49" s="66"/>
      <c r="DY49" s="66"/>
      <c r="DZ49" s="66"/>
      <c r="EA49" s="66"/>
      <c r="EB49" s="66"/>
      <c r="EC49" s="66"/>
      <c r="ED49" s="66"/>
      <c r="EE49" s="66"/>
      <c r="EF49" s="66"/>
      <c r="EG49" s="66"/>
      <c r="EH49" s="66"/>
      <c r="EI49" s="66"/>
      <c r="EJ49" s="66"/>
      <c r="EK49" s="66"/>
      <c r="EL49" s="66"/>
      <c r="EM49" s="66"/>
      <c r="EN49" s="66"/>
      <c r="EO49" s="66"/>
      <c r="EP49" s="66"/>
      <c r="EQ49" s="66"/>
      <c r="ER49" s="66"/>
      <c r="ES49" s="66"/>
      <c r="ET49" s="66"/>
      <c r="EU49" s="66"/>
      <c r="EV49" s="66"/>
      <c r="EW49" s="66"/>
      <c r="EX49" s="66"/>
      <c r="EY49" s="66"/>
      <c r="EZ49" s="66"/>
      <c r="FA49" s="66"/>
      <c r="FB49" s="66"/>
      <c r="FC49" s="66"/>
      <c r="FD49" s="66"/>
      <c r="FE49" s="66"/>
      <c r="FF49" s="66"/>
      <c r="FG49" s="66"/>
      <c r="FH49" s="66"/>
      <c r="FI49" s="66"/>
      <c r="FJ49" s="66"/>
      <c r="FK49" s="66"/>
      <c r="FL49" s="66"/>
      <c r="FM49" s="66"/>
      <c r="FN49" s="66"/>
      <c r="FO49" s="66"/>
      <c r="FP49" s="66"/>
      <c r="FQ49" s="66"/>
      <c r="FR49" s="66"/>
      <c r="FS49" s="66"/>
      <c r="FT49" s="66"/>
      <c r="FU49" s="66"/>
      <c r="FV49" s="66"/>
      <c r="FW49" s="66"/>
      <c r="FX49" s="66"/>
      <c r="FY49" s="66"/>
      <c r="FZ49" s="66"/>
      <c r="GA49" s="66"/>
      <c r="GB49" s="66"/>
      <c r="GC49" s="66"/>
      <c r="GD49" s="66"/>
      <c r="GE49" s="66"/>
      <c r="GF49" s="66"/>
      <c r="GG49" s="66"/>
      <c r="GH49" s="66"/>
      <c r="GI49" s="66"/>
      <c r="GJ49" s="66"/>
      <c r="GK49" s="66"/>
      <c r="GL49" s="66"/>
      <c r="GM49" s="66"/>
      <c r="GN49" s="66"/>
      <c r="GO49" s="66"/>
      <c r="GP49" s="66"/>
      <c r="GQ49" s="66"/>
      <c r="GR49" s="66"/>
      <c r="GS49" s="66"/>
      <c r="GT49" s="66"/>
      <c r="GU49" s="66"/>
      <c r="GV49" s="66"/>
      <c r="GW49" s="66"/>
      <c r="GX49" s="66"/>
      <c r="GY49" s="66"/>
      <c r="GZ49" s="66"/>
      <c r="HA49" s="66"/>
      <c r="HB49" s="66"/>
      <c r="HC49" s="66"/>
      <c r="HD49" s="66"/>
      <c r="HE49" s="66"/>
      <c r="HF49" s="66"/>
      <c r="HG49" s="66"/>
      <c r="HH49" s="66"/>
      <c r="HI49" s="66"/>
      <c r="HJ49" s="66"/>
      <c r="HK49" s="66"/>
      <c r="HL49" s="66"/>
      <c r="HM49" s="66"/>
      <c r="HN49" s="66"/>
      <c r="HO49" s="66"/>
      <c r="HP49" s="66"/>
      <c r="HQ49" s="66"/>
      <c r="HR49" s="66"/>
      <c r="HS49" s="66"/>
      <c r="HT49" s="66"/>
      <c r="HU49" s="66"/>
      <c r="HV49" s="66"/>
      <c r="HW49" s="66"/>
      <c r="HX49" s="66"/>
      <c r="HY49" s="66"/>
      <c r="HZ49" s="66"/>
      <c r="IA49" s="66"/>
      <c r="IB49" s="66"/>
      <c r="IC49" s="66"/>
      <c r="ID49" s="66"/>
      <c r="IE49" s="66"/>
      <c r="IF49" s="66"/>
      <c r="IG49" s="66"/>
      <c r="IH49" s="66"/>
      <c r="II49" s="66"/>
      <c r="IJ49" s="66"/>
      <c r="IK49" s="66"/>
      <c r="IL49" s="66"/>
    </row>
    <row r="50" spans="1:246" s="37" customFormat="1" ht="18" customHeight="1">
      <c r="B50" s="1099" t="s">
        <v>203</v>
      </c>
      <c r="C50" s="1100"/>
      <c r="D50" s="1100"/>
      <c r="E50" s="1100"/>
      <c r="F50" s="1101"/>
      <c r="G50" s="1102">
        <f>IFERROR(IF((G49+G47-G46)&lt;0,G48*-1,(G49+G47-G46)),0)</f>
        <v>24177.712066372995</v>
      </c>
      <c r="H50" s="1103"/>
      <c r="J50" s="1073" t="s">
        <v>1567</v>
      </c>
      <c r="K50" s="1074"/>
      <c r="L50" s="1079">
        <f>'DATA INPUT'!N23</f>
        <v>92559031</v>
      </c>
      <c r="M50" s="1080"/>
      <c r="N50" s="698" t="s">
        <v>1256</v>
      </c>
      <c r="O50" s="891"/>
      <c r="P50" s="34"/>
      <c r="W50" s="34"/>
      <c r="X50" s="34"/>
      <c r="Y50" s="34"/>
      <c r="Z50" s="34"/>
      <c r="AA50" s="34"/>
      <c r="AB50" s="34"/>
      <c r="AC50" s="34"/>
      <c r="AD50" s="34"/>
      <c r="AE50" s="34"/>
      <c r="AF50" s="34"/>
      <c r="AG50" s="34"/>
      <c r="AH50" s="66"/>
      <c r="AI50" s="66"/>
      <c r="AJ50" s="66"/>
      <c r="AK50" s="66"/>
      <c r="AL50" s="66"/>
      <c r="AM50" s="66"/>
      <c r="AN50" s="66"/>
      <c r="AO50" s="66"/>
      <c r="AP50" s="66"/>
      <c r="AQ50" s="66"/>
      <c r="AR50" s="66"/>
      <c r="AS50" s="66"/>
      <c r="AT50" s="66"/>
      <c r="AU50" s="66"/>
      <c r="AV50"/>
      <c r="AW50"/>
      <c r="AX50"/>
      <c r="AY50" s="98"/>
      <c r="AZ50"/>
      <c r="BA50" s="98"/>
      <c r="BB50"/>
      <c r="BC50"/>
      <c r="BD50"/>
      <c r="BE50"/>
      <c r="BF50"/>
      <c r="BG50" s="66"/>
      <c r="BH50" s="66"/>
      <c r="BI50" s="298" t="s">
        <v>275</v>
      </c>
      <c r="BJ50" s="905">
        <f t="shared" si="4"/>
        <v>46298</v>
      </c>
      <c r="BK50" s="299"/>
      <c r="BL50" s="395"/>
      <c r="BM50" s="391" t="s">
        <v>1769</v>
      </c>
      <c r="BN50" s="395" t="s">
        <v>1356</v>
      </c>
      <c r="BO50" s="889"/>
      <c r="BP50" s="889">
        <f>'WELL DATA'!H43</f>
        <v>0</v>
      </c>
      <c r="BQ50" s="66"/>
      <c r="BR50" s="66"/>
      <c r="BS50" s="66"/>
      <c r="BT50" s="66"/>
      <c r="BU50" s="66"/>
      <c r="BV50" s="66"/>
      <c r="BW50" s="66"/>
      <c r="BX50" s="66"/>
      <c r="BY50" s="66"/>
      <c r="BZ50" s="66"/>
      <c r="CA50" s="66"/>
      <c r="CB50" s="66"/>
      <c r="CC50" s="66"/>
      <c r="CD50" s="66"/>
      <c r="CE50" s="66"/>
      <c r="CF50" s="66"/>
      <c r="CG50" s="66"/>
      <c r="CH50" s="66"/>
      <c r="CI50" s="66"/>
      <c r="CJ50" s="66"/>
      <c r="CK50" s="66"/>
      <c r="CL50" s="66"/>
      <c r="CM50" s="66"/>
      <c r="CN50" s="66"/>
      <c r="CO50" s="66"/>
      <c r="CP50" s="66"/>
      <c r="CQ50" s="66"/>
      <c r="CR50" s="66"/>
      <c r="CS50" s="66"/>
      <c r="CT50" s="66"/>
      <c r="CU50" s="66"/>
      <c r="CV50" s="66"/>
      <c r="CW50" s="66"/>
      <c r="CX50" s="66"/>
      <c r="CY50" s="66"/>
      <c r="CZ50" s="66"/>
      <c r="DA50" s="66"/>
      <c r="DB50" s="66"/>
      <c r="DC50" s="66"/>
      <c r="DD50" s="66"/>
      <c r="DE50" s="66"/>
      <c r="DF50" s="66"/>
      <c r="DG50" s="66"/>
      <c r="DH50" s="66"/>
      <c r="DI50" s="66"/>
      <c r="DJ50" s="66"/>
      <c r="DK50" s="66"/>
      <c r="DL50" s="66"/>
      <c r="DM50" s="66"/>
      <c r="DN50" s="66"/>
      <c r="DO50" s="66"/>
      <c r="DP50" s="66"/>
      <c r="DQ50" s="66"/>
      <c r="DR50" s="66"/>
      <c r="DS50" s="66"/>
      <c r="DT50" s="66"/>
      <c r="DU50" s="66"/>
      <c r="DV50" s="66"/>
      <c r="DW50" s="66"/>
      <c r="DX50" s="66"/>
      <c r="DY50" s="66"/>
      <c r="DZ50" s="66"/>
      <c r="EA50" s="66"/>
      <c r="EB50" s="66"/>
      <c r="EC50" s="66"/>
      <c r="ED50" s="66"/>
      <c r="EE50" s="66"/>
      <c r="EF50" s="66"/>
      <c r="EG50" s="66"/>
      <c r="EH50" s="66"/>
      <c r="EI50" s="66"/>
      <c r="EJ50" s="66"/>
      <c r="EK50" s="66"/>
      <c r="EL50" s="66"/>
      <c r="EM50" s="66"/>
      <c r="EN50" s="66"/>
      <c r="EO50" s="66"/>
      <c r="EP50" s="66"/>
      <c r="EQ50" s="66"/>
      <c r="ER50" s="66"/>
      <c r="ES50" s="66"/>
      <c r="ET50" s="66"/>
      <c r="EU50" s="66"/>
      <c r="EV50" s="66"/>
      <c r="EW50" s="66"/>
      <c r="EX50" s="66"/>
      <c r="EY50" s="66"/>
      <c r="EZ50" s="66"/>
      <c r="FA50" s="66"/>
      <c r="FB50" s="66"/>
      <c r="FC50" s="66"/>
      <c r="FD50" s="66"/>
      <c r="FE50" s="66"/>
      <c r="FF50" s="66"/>
      <c r="FG50" s="66"/>
      <c r="FH50" s="66"/>
      <c r="FI50" s="66"/>
      <c r="FJ50" s="66"/>
      <c r="FK50" s="66"/>
      <c r="FL50" s="66"/>
      <c r="FM50" s="66"/>
      <c r="FN50" s="66"/>
      <c r="FO50" s="66"/>
      <c r="FP50" s="66"/>
      <c r="FQ50" s="66"/>
      <c r="FR50" s="66"/>
      <c r="FS50" s="66"/>
      <c r="FT50" s="66"/>
      <c r="FU50" s="66"/>
      <c r="FV50" s="66"/>
      <c r="FW50" s="66"/>
      <c r="FX50" s="66"/>
      <c r="FY50" s="66"/>
      <c r="FZ50" s="66"/>
      <c r="GA50" s="66"/>
      <c r="GB50" s="66"/>
      <c r="GC50" s="66"/>
      <c r="GD50" s="66"/>
      <c r="GE50" s="66"/>
      <c r="GF50" s="66"/>
      <c r="GG50" s="66"/>
      <c r="GH50" s="66"/>
      <c r="GI50" s="66"/>
      <c r="GJ50" s="66"/>
      <c r="GK50" s="66"/>
      <c r="GL50" s="66"/>
      <c r="GM50" s="66"/>
      <c r="GN50" s="66"/>
      <c r="GO50" s="66"/>
      <c r="GP50" s="66"/>
      <c r="GQ50" s="66"/>
      <c r="GR50" s="66"/>
      <c r="GS50" s="66"/>
      <c r="GT50" s="66"/>
      <c r="GU50" s="66"/>
      <c r="GV50" s="66"/>
      <c r="GW50" s="66"/>
      <c r="GX50" s="66"/>
      <c r="GY50" s="66"/>
      <c r="GZ50" s="66"/>
      <c r="HA50" s="66"/>
      <c r="HB50" s="66"/>
      <c r="HC50" s="66"/>
      <c r="HD50" s="66"/>
      <c r="HE50" s="66"/>
      <c r="HF50" s="66"/>
      <c r="HG50" s="66"/>
      <c r="HH50" s="66"/>
      <c r="HI50" s="66"/>
      <c r="HJ50" s="66"/>
      <c r="HK50" s="66"/>
      <c r="HL50" s="66"/>
      <c r="HM50" s="66"/>
      <c r="HN50" s="66"/>
      <c r="HO50" s="66"/>
      <c r="HP50" s="66"/>
      <c r="HQ50" s="66"/>
      <c r="HR50" s="66"/>
      <c r="HS50" s="66"/>
      <c r="HT50" s="66"/>
      <c r="HU50" s="66"/>
      <c r="HV50" s="66"/>
      <c r="HW50" s="66"/>
      <c r="HX50" s="66"/>
      <c r="HY50" s="66"/>
      <c r="HZ50" s="66"/>
      <c r="IA50" s="66"/>
      <c r="IB50" s="66"/>
      <c r="IC50" s="66"/>
      <c r="ID50" s="66"/>
      <c r="IE50" s="66"/>
      <c r="IF50" s="66"/>
      <c r="IG50" s="66"/>
      <c r="IH50" s="66"/>
      <c r="II50" s="66"/>
      <c r="IJ50" s="66"/>
      <c r="IK50" s="66"/>
      <c r="IL50" s="66"/>
    </row>
    <row r="51" spans="1:246" s="37" customFormat="1" ht="18" customHeight="1">
      <c r="B51" s="1097" t="s">
        <v>242</v>
      </c>
      <c r="C51" s="1098"/>
      <c r="D51" s="806">
        <f>'DATA INPUT'!E109</f>
        <v>88</v>
      </c>
      <c r="E51" s="806">
        <f>'DATA INPUT'!E117</f>
        <v>86</v>
      </c>
      <c r="F51" s="806">
        <f>'DATA INPUT'!E125</f>
        <v>69</v>
      </c>
      <c r="G51" s="1110"/>
      <c r="H51" s="1111"/>
      <c r="J51" s="1073" t="s">
        <v>1710</v>
      </c>
      <c r="K51" s="1074"/>
      <c r="L51" s="1079">
        <f>'DATA INPUT'!N26</f>
        <v>23359</v>
      </c>
      <c r="M51" s="1080"/>
      <c r="N51" s="698" t="s">
        <v>1256</v>
      </c>
      <c r="O51" s="891"/>
      <c r="P51" s="34"/>
      <c r="W51" s="34"/>
      <c r="X51" s="34"/>
      <c r="AD51" s="34"/>
      <c r="AE51" s="34"/>
      <c r="AF51" s="34"/>
      <c r="AG51" s="34"/>
      <c r="AH51" s="66"/>
      <c r="AI51" s="66"/>
      <c r="AJ51" s="66"/>
      <c r="AK51" s="66"/>
      <c r="AL51" s="66"/>
      <c r="AM51" s="66"/>
      <c r="AN51" s="66"/>
      <c r="AO51" s="66"/>
      <c r="AP51" s="66"/>
      <c r="AQ51" s="66"/>
      <c r="AR51" s="66"/>
      <c r="AS51" s="66"/>
      <c r="AT51" s="66"/>
      <c r="AU51" s="66"/>
      <c r="AV51"/>
      <c r="AW51"/>
      <c r="AX51"/>
      <c r="AY51" s="98"/>
      <c r="AZ51"/>
      <c r="BA51" s="98"/>
      <c r="BB51"/>
      <c r="BC51"/>
      <c r="BD51"/>
      <c r="BE51"/>
      <c r="BF51"/>
      <c r="BG51" s="66"/>
      <c r="BH51" s="66"/>
      <c r="BI51" s="298" t="s">
        <v>275</v>
      </c>
      <c r="BJ51" s="905">
        <f t="shared" si="4"/>
        <v>46298</v>
      </c>
      <c r="BK51" s="299"/>
      <c r="BL51" s="395"/>
      <c r="BM51" s="391" t="s">
        <v>2077</v>
      </c>
      <c r="BN51" s="395" t="s">
        <v>1356</v>
      </c>
      <c r="BO51" s="889"/>
      <c r="BP51" s="889">
        <f>'WELL DATA'!H46</f>
        <v>0</v>
      </c>
      <c r="BQ51" s="66"/>
      <c r="BR51" s="66"/>
      <c r="BS51" s="66"/>
      <c r="BT51" s="66"/>
      <c r="BU51" s="66"/>
      <c r="BV51" s="66"/>
      <c r="BW51" s="66"/>
      <c r="BX51" s="66"/>
      <c r="BY51" s="66"/>
      <c r="BZ51" s="66"/>
      <c r="CA51" s="66"/>
      <c r="CB51" s="66"/>
      <c r="CC51" s="66"/>
      <c r="CD51" s="66"/>
      <c r="CE51" s="66"/>
      <c r="CF51" s="66"/>
      <c r="CG51" s="66"/>
      <c r="CH51" s="66"/>
      <c r="CI51" s="66"/>
      <c r="CJ51" s="66"/>
      <c r="CK51" s="66"/>
      <c r="CL51" s="66"/>
      <c r="CM51" s="66"/>
      <c r="CN51" s="66"/>
      <c r="CO51" s="66"/>
      <c r="CP51" s="66"/>
      <c r="CQ51" s="66"/>
      <c r="CR51" s="66"/>
      <c r="CS51" s="66"/>
      <c r="CT51" s="66"/>
      <c r="CU51" s="66"/>
      <c r="CV51" s="66"/>
      <c r="CW51" s="66"/>
      <c r="CX51" s="66"/>
      <c r="CY51" s="66"/>
      <c r="CZ51" s="66"/>
      <c r="DA51" s="66"/>
      <c r="DB51" s="66"/>
      <c r="DC51" s="66"/>
      <c r="DD51" s="66"/>
      <c r="DE51" s="66"/>
      <c r="DF51" s="66"/>
      <c r="DG51" s="66"/>
      <c r="DH51" s="66"/>
      <c r="DI51" s="66"/>
      <c r="DJ51" s="66"/>
      <c r="DK51" s="66"/>
      <c r="DL51" s="66"/>
      <c r="DM51" s="66"/>
      <c r="DN51" s="66"/>
      <c r="DO51" s="66"/>
      <c r="DP51" s="66"/>
      <c r="DQ51" s="66"/>
      <c r="DR51" s="66"/>
      <c r="DS51" s="66"/>
      <c r="DT51" s="66"/>
      <c r="DU51" s="66"/>
      <c r="DV51" s="66"/>
      <c r="DW51" s="66"/>
      <c r="DX51" s="66"/>
      <c r="DY51" s="66"/>
      <c r="DZ51" s="66"/>
      <c r="EA51" s="66"/>
      <c r="EB51" s="66"/>
      <c r="EC51" s="66"/>
      <c r="ED51" s="66"/>
      <c r="EE51" s="66"/>
      <c r="EF51" s="66"/>
      <c r="EG51" s="66"/>
      <c r="EH51" s="66"/>
      <c r="EI51" s="66"/>
      <c r="EJ51" s="66"/>
      <c r="EK51" s="66"/>
      <c r="EL51" s="66"/>
      <c r="EM51" s="66"/>
      <c r="EN51" s="66"/>
      <c r="EO51" s="66"/>
      <c r="EP51" s="66"/>
      <c r="EQ51" s="66"/>
      <c r="ER51" s="66"/>
      <c r="ES51" s="66"/>
      <c r="ET51" s="66"/>
      <c r="EU51" s="66"/>
      <c r="EV51" s="66"/>
      <c r="EW51" s="66"/>
      <c r="EX51" s="66"/>
      <c r="EY51" s="66"/>
      <c r="EZ51" s="66"/>
      <c r="FA51" s="66"/>
      <c r="FB51" s="66"/>
      <c r="FC51" s="66"/>
      <c r="FD51" s="66"/>
      <c r="FE51" s="66"/>
      <c r="FF51" s="66"/>
      <c r="FG51" s="66"/>
      <c r="FH51" s="66"/>
      <c r="FI51" s="66"/>
      <c r="FJ51" s="66"/>
      <c r="FK51" s="66"/>
      <c r="FL51" s="66"/>
      <c r="FM51" s="66"/>
      <c r="FN51" s="66"/>
      <c r="FO51" s="66"/>
      <c r="FP51" s="66"/>
      <c r="FQ51" s="66"/>
      <c r="FR51" s="66"/>
      <c r="FS51" s="66"/>
      <c r="FT51" s="66"/>
      <c r="FU51" s="66"/>
      <c r="FV51" s="66"/>
      <c r="FW51" s="66"/>
      <c r="FX51" s="66"/>
      <c r="FY51" s="66"/>
      <c r="FZ51" s="66"/>
      <c r="GA51" s="66"/>
      <c r="GB51" s="66"/>
      <c r="GC51" s="66"/>
      <c r="GD51" s="66"/>
      <c r="GE51" s="66"/>
      <c r="GF51" s="66"/>
      <c r="GG51" s="66"/>
      <c r="GH51" s="66"/>
      <c r="GI51" s="66"/>
      <c r="GJ51" s="66"/>
      <c r="GK51" s="66"/>
      <c r="GL51" s="66"/>
      <c r="GM51" s="66"/>
      <c r="GN51" s="66"/>
      <c r="GO51" s="66"/>
      <c r="GP51" s="66"/>
      <c r="GQ51" s="66"/>
      <c r="GR51" s="66"/>
      <c r="GS51" s="66"/>
      <c r="GT51" s="66"/>
      <c r="GU51" s="66"/>
      <c r="GV51" s="66"/>
      <c r="GW51" s="66"/>
      <c r="GX51" s="66"/>
      <c r="GY51" s="66"/>
      <c r="GZ51" s="66"/>
      <c r="HA51" s="66"/>
      <c r="HB51" s="66"/>
      <c r="HC51" s="66"/>
      <c r="HD51" s="66"/>
      <c r="HE51" s="66"/>
      <c r="HF51" s="66"/>
      <c r="HG51" s="66"/>
      <c r="HH51" s="66"/>
      <c r="HI51" s="66"/>
      <c r="HJ51" s="66"/>
      <c r="HK51" s="66"/>
      <c r="HL51" s="66"/>
      <c r="HM51" s="66"/>
      <c r="HN51" s="66"/>
      <c r="HO51" s="66"/>
      <c r="HP51" s="66"/>
      <c r="HQ51" s="66"/>
      <c r="HR51" s="66"/>
      <c r="HS51" s="66"/>
      <c r="HT51" s="66"/>
      <c r="HU51" s="66"/>
      <c r="HV51" s="66"/>
      <c r="HW51" s="66"/>
      <c r="HX51" s="66"/>
      <c r="HY51" s="66"/>
      <c r="HZ51" s="66"/>
      <c r="IA51" s="66"/>
      <c r="IB51" s="66"/>
      <c r="IC51" s="66"/>
      <c r="ID51" s="66"/>
      <c r="IE51" s="66"/>
      <c r="IF51" s="66"/>
      <c r="IG51" s="66"/>
      <c r="IH51" s="66"/>
      <c r="II51" s="66"/>
      <c r="IJ51" s="66"/>
      <c r="IK51" s="66"/>
      <c r="IL51" s="66"/>
    </row>
    <row r="52" spans="1:246" s="37" customFormat="1" ht="18" customHeight="1">
      <c r="B52" s="1075" t="s">
        <v>243</v>
      </c>
      <c r="C52" s="1076"/>
      <c r="D52" s="691">
        <f>'DATA INPUT'!E111</f>
        <v>35</v>
      </c>
      <c r="E52" s="692">
        <f>'DATA INPUT'!E119</f>
        <v>35.6</v>
      </c>
      <c r="F52" s="688">
        <f>'DATA INPUT'!E127</f>
        <v>37</v>
      </c>
      <c r="G52" s="1071"/>
      <c r="H52" s="1072"/>
      <c r="J52" s="1073" t="s">
        <v>1568</v>
      </c>
      <c r="K52" s="1074"/>
      <c r="L52" s="1171">
        <f>'DATA INPUT'!N27</f>
        <v>0.1</v>
      </c>
      <c r="M52" s="1172"/>
      <c r="N52" s="698" t="s">
        <v>49</v>
      </c>
      <c r="O52" s="891"/>
      <c r="P52" s="34"/>
      <c r="W52" s="34"/>
      <c r="X52" s="34"/>
      <c r="AD52" s="34"/>
      <c r="AE52" s="34"/>
      <c r="AF52" s="34"/>
      <c r="AG52" s="34"/>
      <c r="AH52" s="66"/>
      <c r="AI52" s="66"/>
      <c r="AJ52" s="66"/>
      <c r="AK52" s="66"/>
      <c r="AL52" s="66"/>
      <c r="AM52" s="66"/>
      <c r="AN52" s="66"/>
      <c r="AO52" s="66"/>
      <c r="AP52" s="66"/>
      <c r="AQ52" s="66"/>
      <c r="AR52" s="66"/>
      <c r="AS52" s="66"/>
      <c r="AT52" s="66"/>
      <c r="AU52" s="66"/>
      <c r="AV52"/>
      <c r="AW52"/>
      <c r="AX52"/>
      <c r="AY52" s="98"/>
      <c r="AZ52"/>
      <c r="BA52" s="98"/>
      <c r="BB52"/>
      <c r="BC52"/>
      <c r="BD52"/>
      <c r="BE52"/>
      <c r="BF52"/>
      <c r="BG52" s="66"/>
      <c r="BH52" s="66"/>
      <c r="BI52" s="298" t="s">
        <v>275</v>
      </c>
      <c r="BJ52" s="905">
        <f t="shared" si="4"/>
        <v>46298</v>
      </c>
      <c r="BK52" s="299"/>
      <c r="BL52" s="395"/>
      <c r="BM52" s="391" t="s">
        <v>1770</v>
      </c>
      <c r="BN52" s="395" t="s">
        <v>1356</v>
      </c>
      <c r="BO52" s="889"/>
      <c r="BP52" s="889">
        <f>'WELL DATA'!H49</f>
        <v>1.43071600536235</v>
      </c>
      <c r="BQ52" s="66"/>
      <c r="BR52" s="66"/>
      <c r="BS52" s="66"/>
      <c r="BT52" s="66"/>
      <c r="BU52" s="66"/>
      <c r="BV52" s="66"/>
      <c r="BW52" s="66"/>
      <c r="BX52" s="66"/>
      <c r="BY52" s="66"/>
      <c r="BZ52" s="66"/>
      <c r="CA52" s="66"/>
      <c r="CB52" s="66"/>
      <c r="CC52" s="66"/>
      <c r="CD52" s="66"/>
      <c r="CE52" s="66"/>
      <c r="CF52" s="66"/>
      <c r="CG52" s="66"/>
      <c r="CH52" s="66"/>
      <c r="CI52" s="66"/>
      <c r="CJ52" s="66"/>
      <c r="CK52" s="66"/>
      <c r="CL52" s="66"/>
      <c r="CM52" s="66"/>
      <c r="CN52" s="66"/>
      <c r="CO52" s="66"/>
      <c r="CP52" s="66"/>
      <c r="CQ52" s="66"/>
      <c r="CR52" s="66"/>
      <c r="CS52" s="66"/>
      <c r="CT52" s="66"/>
      <c r="CU52" s="66"/>
      <c r="CV52" s="66"/>
      <c r="CW52" s="66"/>
      <c r="CX52" s="66"/>
      <c r="CY52" s="66"/>
      <c r="CZ52" s="66"/>
      <c r="DA52" s="66"/>
      <c r="DB52" s="66"/>
      <c r="DC52" s="66"/>
      <c r="DD52" s="66"/>
      <c r="DE52" s="66"/>
      <c r="DF52" s="66"/>
      <c r="DG52" s="66"/>
      <c r="DH52" s="66"/>
      <c r="DI52" s="66"/>
      <c r="DJ52" s="66"/>
      <c r="DK52" s="66"/>
      <c r="DL52" s="66"/>
      <c r="DM52" s="66"/>
      <c r="DN52" s="66"/>
      <c r="DO52" s="66"/>
      <c r="DP52" s="66"/>
      <c r="DQ52" s="66"/>
      <c r="DR52" s="66"/>
      <c r="DS52" s="66"/>
      <c r="DT52" s="66"/>
      <c r="DU52" s="66"/>
      <c r="DV52" s="66"/>
      <c r="DW52" s="66"/>
      <c r="DX52" s="66"/>
      <c r="DY52" s="66"/>
      <c r="DZ52" s="66"/>
      <c r="EA52" s="66"/>
      <c r="EB52" s="66"/>
      <c r="EC52" s="66"/>
      <c r="ED52" s="66"/>
      <c r="EE52" s="66"/>
      <c r="EF52" s="66"/>
      <c r="EG52" s="66"/>
      <c r="EH52" s="66"/>
      <c r="EI52" s="66"/>
      <c r="EJ52" s="66"/>
      <c r="EK52" s="66"/>
      <c r="EL52" s="66"/>
      <c r="EM52" s="66"/>
      <c r="EN52" s="66"/>
      <c r="EO52" s="66"/>
      <c r="EP52" s="66"/>
      <c r="EQ52" s="66"/>
      <c r="ER52" s="66"/>
      <c r="ES52" s="66"/>
      <c r="ET52" s="66"/>
      <c r="EU52" s="66"/>
      <c r="EV52" s="66"/>
      <c r="EW52" s="66"/>
      <c r="EX52" s="66"/>
      <c r="EY52" s="66"/>
      <c r="EZ52" s="66"/>
      <c r="FA52" s="66"/>
      <c r="FB52" s="66"/>
      <c r="FC52" s="66"/>
      <c r="FD52" s="66"/>
      <c r="FE52" s="66"/>
      <c r="FF52" s="66"/>
      <c r="FG52" s="66"/>
      <c r="FH52" s="66"/>
      <c r="FI52" s="66"/>
      <c r="FJ52" s="66"/>
      <c r="FK52" s="66"/>
      <c r="FL52" s="66"/>
      <c r="FM52" s="66"/>
      <c r="FN52" s="66"/>
      <c r="FO52" s="66"/>
      <c r="FP52" s="66"/>
      <c r="FQ52" s="66"/>
      <c r="FR52" s="66"/>
      <c r="FS52" s="66"/>
      <c r="FT52" s="66"/>
      <c r="FU52" s="66"/>
      <c r="FV52" s="66"/>
      <c r="FW52" s="66"/>
      <c r="FX52" s="66"/>
      <c r="FY52" s="66"/>
      <c r="FZ52" s="66"/>
      <c r="GA52" s="66"/>
      <c r="GB52" s="66"/>
      <c r="GC52" s="66"/>
      <c r="GD52" s="66"/>
      <c r="GE52" s="66"/>
      <c r="GF52" s="66"/>
      <c r="GG52" s="66"/>
      <c r="GH52" s="66"/>
      <c r="GI52" s="66"/>
      <c r="GJ52" s="66"/>
      <c r="GK52" s="66"/>
      <c r="GL52" s="66"/>
      <c r="GM52" s="66"/>
      <c r="GN52" s="66"/>
      <c r="GO52" s="66"/>
      <c r="GP52" s="66"/>
      <c r="GQ52" s="66"/>
      <c r="GR52" s="66"/>
      <c r="GS52" s="66"/>
      <c r="GT52" s="66"/>
      <c r="GU52" s="66"/>
      <c r="GV52" s="66"/>
      <c r="GW52" s="66"/>
      <c r="GX52" s="66"/>
      <c r="GY52" s="66"/>
      <c r="GZ52" s="66"/>
      <c r="HA52" s="66"/>
      <c r="HB52" s="66"/>
      <c r="HC52" s="66"/>
      <c r="HD52" s="66"/>
      <c r="HE52" s="66"/>
      <c r="HF52" s="66"/>
      <c r="HG52" s="66"/>
      <c r="HH52" s="66"/>
      <c r="HI52" s="66"/>
      <c r="HJ52" s="66"/>
      <c r="HK52" s="66"/>
      <c r="HL52" s="66"/>
      <c r="HM52" s="66"/>
      <c r="HN52" s="66"/>
      <c r="HO52" s="66"/>
      <c r="HP52" s="66"/>
      <c r="HQ52" s="66"/>
      <c r="HR52" s="66"/>
      <c r="HS52" s="66"/>
      <c r="HT52" s="66"/>
      <c r="HU52" s="66"/>
      <c r="HV52" s="66"/>
      <c r="HW52" s="66"/>
      <c r="HX52" s="66"/>
      <c r="HY52" s="66"/>
      <c r="HZ52" s="66"/>
      <c r="IA52" s="66"/>
      <c r="IB52" s="66"/>
      <c r="IC52" s="66"/>
      <c r="ID52" s="66"/>
      <c r="IE52" s="66"/>
      <c r="IF52" s="66"/>
      <c r="IG52" s="66"/>
      <c r="IH52" s="66"/>
      <c r="II52" s="66"/>
      <c r="IJ52" s="66"/>
      <c r="IK52" s="66"/>
      <c r="IL52" s="66"/>
    </row>
    <row r="53" spans="1:246" s="37" customFormat="1" ht="18" customHeight="1">
      <c r="B53" s="1075" t="s">
        <v>244</v>
      </c>
      <c r="C53" s="1076"/>
      <c r="D53" s="693">
        <f>'DATA INPUT'!E112</f>
        <v>0</v>
      </c>
      <c r="E53" s="694">
        <f>'DATA INPUT'!E120</f>
        <v>0</v>
      </c>
      <c r="F53" s="694">
        <f>'DATA INPUT'!E128</f>
        <v>0</v>
      </c>
      <c r="G53" s="1071"/>
      <c r="H53" s="1072"/>
      <c r="J53" s="1073" t="s">
        <v>1712</v>
      </c>
      <c r="K53" s="1074"/>
      <c r="L53" s="1079">
        <f>'DATA INPUT'!N28</f>
        <v>23335.641</v>
      </c>
      <c r="M53" s="1080"/>
      <c r="N53" s="761" t="s">
        <v>1256</v>
      </c>
      <c r="O53" s="891"/>
      <c r="P53" s="34"/>
      <c r="W53" s="34"/>
      <c r="X53" s="34"/>
      <c r="AD53" s="34"/>
      <c r="AE53" s="34"/>
      <c r="AF53" s="34"/>
      <c r="AG53" s="34"/>
      <c r="AH53" s="66"/>
      <c r="AI53" s="66"/>
      <c r="AJ53" s="66"/>
      <c r="AK53" s="66"/>
      <c r="AL53" s="66"/>
      <c r="AM53" s="66"/>
      <c r="AN53" s="66"/>
      <c r="AO53" s="66"/>
      <c r="AP53" s="66"/>
      <c r="AQ53" s="66"/>
      <c r="AR53" s="66"/>
      <c r="AS53" s="66"/>
      <c r="AT53" s="66"/>
      <c r="AU53" s="66"/>
      <c r="AV53"/>
      <c r="AW53"/>
      <c r="AX53"/>
      <c r="AY53" s="98"/>
      <c r="AZ53"/>
      <c r="BA53" s="98"/>
      <c r="BB53"/>
      <c r="BC53"/>
      <c r="BD53"/>
      <c r="BE53"/>
      <c r="BF53"/>
      <c r="BG53" s="66"/>
      <c r="BH53" s="66"/>
      <c r="BI53" s="298" t="s">
        <v>275</v>
      </c>
      <c r="BJ53" s="905">
        <f t="shared" si="4"/>
        <v>46298</v>
      </c>
      <c r="BK53" s="299"/>
      <c r="BL53" s="395"/>
      <c r="BM53" s="391" t="s">
        <v>2194</v>
      </c>
      <c r="BN53" s="395" t="s">
        <v>1356</v>
      </c>
      <c r="BO53" s="889"/>
      <c r="BP53" s="889">
        <f>'WELL DATA'!H50</f>
        <v>0</v>
      </c>
      <c r="BQ53" s="66"/>
      <c r="BR53" s="66"/>
      <c r="BS53" s="66"/>
      <c r="BT53" s="66"/>
      <c r="BU53" s="66"/>
      <c r="BV53" s="66"/>
      <c r="BW53" s="66"/>
      <c r="BX53" s="66"/>
      <c r="BY53" s="66"/>
      <c r="BZ53" s="66"/>
      <c r="CA53" s="66"/>
      <c r="CB53" s="66"/>
      <c r="CC53" s="66"/>
      <c r="CD53" s="66"/>
      <c r="CE53" s="66"/>
      <c r="CF53" s="66"/>
      <c r="CG53" s="66"/>
      <c r="CH53" s="66"/>
      <c r="CI53" s="66"/>
      <c r="CJ53" s="66"/>
      <c r="CK53" s="66"/>
      <c r="CL53" s="66"/>
      <c r="CM53" s="66"/>
      <c r="CN53" s="66"/>
      <c r="CO53" s="66"/>
      <c r="CP53" s="66"/>
      <c r="CQ53" s="66"/>
      <c r="CR53" s="66"/>
      <c r="CS53" s="66"/>
      <c r="CT53" s="66"/>
      <c r="CU53" s="66"/>
      <c r="CV53" s="66"/>
      <c r="CW53" s="66"/>
      <c r="CX53" s="66"/>
      <c r="CY53" s="66"/>
      <c r="CZ53" s="66"/>
      <c r="DA53" s="66"/>
      <c r="DB53" s="66"/>
      <c r="DC53" s="66"/>
      <c r="DD53" s="66"/>
      <c r="DE53" s="66"/>
      <c r="DF53" s="66"/>
      <c r="DG53" s="66"/>
      <c r="DH53" s="66"/>
      <c r="DI53" s="66"/>
      <c r="DJ53" s="66"/>
      <c r="DK53" s="66"/>
      <c r="DL53" s="66"/>
      <c r="DM53" s="66"/>
      <c r="DN53" s="66"/>
      <c r="DO53" s="66"/>
      <c r="DP53" s="66"/>
      <c r="DQ53" s="66"/>
      <c r="DR53" s="66"/>
      <c r="DS53" s="66"/>
      <c r="DT53" s="66"/>
      <c r="DU53" s="66"/>
      <c r="DV53" s="66"/>
      <c r="DW53" s="66"/>
      <c r="DX53" s="66"/>
      <c r="DY53" s="66"/>
      <c r="DZ53" s="66"/>
      <c r="EA53" s="66"/>
      <c r="EB53" s="66"/>
      <c r="EC53" s="66"/>
      <c r="ED53" s="66"/>
      <c r="EE53" s="66"/>
      <c r="EF53" s="66"/>
      <c r="EG53" s="66"/>
      <c r="EH53" s="66"/>
      <c r="EI53" s="66"/>
      <c r="EJ53" s="66"/>
      <c r="EK53" s="66"/>
      <c r="EL53" s="66"/>
      <c r="EM53" s="66"/>
      <c r="EN53" s="66"/>
      <c r="EO53" s="66"/>
      <c r="EP53" s="66"/>
      <c r="EQ53" s="66"/>
      <c r="ER53" s="66"/>
      <c r="ES53" s="66"/>
      <c r="ET53" s="66"/>
      <c r="EU53" s="66"/>
      <c r="EV53" s="66"/>
      <c r="EW53" s="66"/>
      <c r="EX53" s="66"/>
      <c r="EY53" s="66"/>
      <c r="EZ53" s="66"/>
      <c r="FA53" s="66"/>
      <c r="FB53" s="66"/>
      <c r="FC53" s="66"/>
      <c r="FD53" s="66"/>
      <c r="FE53" s="66"/>
      <c r="FF53" s="66"/>
      <c r="FG53" s="66"/>
      <c r="FH53" s="66"/>
      <c r="FI53" s="66"/>
      <c r="FJ53" s="66"/>
      <c r="FK53" s="66"/>
      <c r="FL53" s="66"/>
      <c r="FM53" s="66"/>
      <c r="FN53" s="66"/>
      <c r="FO53" s="66"/>
      <c r="FP53" s="66"/>
      <c r="FQ53" s="66"/>
      <c r="FR53" s="66"/>
      <c r="FS53" s="66"/>
      <c r="FT53" s="66"/>
      <c r="FU53" s="66"/>
      <c r="FV53" s="66"/>
      <c r="FW53" s="66"/>
      <c r="FX53" s="66"/>
      <c r="FY53" s="66"/>
      <c r="FZ53" s="66"/>
      <c r="GA53" s="66"/>
      <c r="GB53" s="66"/>
      <c r="GC53" s="66"/>
      <c r="GD53" s="66"/>
      <c r="GE53" s="66"/>
      <c r="GF53" s="66"/>
      <c r="GG53" s="66"/>
      <c r="GH53" s="66"/>
      <c r="GI53" s="66"/>
      <c r="GJ53" s="66"/>
      <c r="GK53" s="66"/>
      <c r="GL53" s="66"/>
      <c r="GM53" s="66"/>
      <c r="GN53" s="66"/>
      <c r="GO53" s="66"/>
      <c r="GP53" s="66"/>
      <c r="GQ53" s="66"/>
      <c r="GR53" s="66"/>
      <c r="GS53" s="66"/>
      <c r="GT53" s="66"/>
      <c r="GU53" s="66"/>
      <c r="GV53" s="66"/>
      <c r="GW53" s="66"/>
      <c r="GX53" s="66"/>
      <c r="GY53" s="66"/>
      <c r="GZ53" s="66"/>
      <c r="HA53" s="66"/>
      <c r="HB53" s="66"/>
      <c r="HC53" s="66"/>
      <c r="HD53" s="66"/>
      <c r="HE53" s="66"/>
      <c r="HF53" s="66"/>
      <c r="HG53" s="66"/>
      <c r="HH53" s="66"/>
      <c r="HI53" s="66"/>
      <c r="HJ53" s="66"/>
      <c r="HK53" s="66"/>
      <c r="HL53" s="66"/>
      <c r="HM53" s="66"/>
      <c r="HN53" s="66"/>
      <c r="HO53" s="66"/>
      <c r="HP53" s="66"/>
      <c r="HQ53" s="66"/>
      <c r="HR53" s="66"/>
      <c r="HS53" s="66"/>
      <c r="HT53" s="66"/>
      <c r="HU53" s="66"/>
      <c r="HV53" s="66"/>
      <c r="HW53" s="66"/>
      <c r="HX53" s="66"/>
      <c r="HY53" s="66"/>
      <c r="HZ53" s="66"/>
      <c r="IA53" s="66"/>
      <c r="IB53" s="66"/>
      <c r="IC53" s="66"/>
      <c r="ID53" s="66"/>
      <c r="IE53" s="66"/>
      <c r="IF53" s="66"/>
      <c r="IG53" s="66"/>
      <c r="IH53" s="66"/>
      <c r="II53" s="66"/>
      <c r="IJ53" s="66"/>
      <c r="IK53" s="66"/>
      <c r="IL53" s="66"/>
    </row>
    <row r="54" spans="1:246" s="37" customFormat="1" ht="18" customHeight="1">
      <c r="B54" s="1077" t="s">
        <v>265</v>
      </c>
      <c r="C54" s="1078"/>
      <c r="D54" s="695">
        <f>'DATA INPUT'!E113</f>
        <v>0</v>
      </c>
      <c r="E54" s="696">
        <f>'DATA INPUT'!E121</f>
        <v>0</v>
      </c>
      <c r="F54" s="696">
        <f>'DATA INPUT'!E129</f>
        <v>0</v>
      </c>
      <c r="G54" s="1084"/>
      <c r="H54" s="1085"/>
      <c r="J54" s="1073" t="s">
        <v>1711</v>
      </c>
      <c r="K54" s="1074"/>
      <c r="L54" s="1079">
        <f>'DATA INPUT'!N29</f>
        <v>23.359000000000002</v>
      </c>
      <c r="M54" s="1080"/>
      <c r="N54" s="698" t="s">
        <v>1256</v>
      </c>
      <c r="O54" s="891"/>
      <c r="P54" s="34"/>
      <c r="W54" s="34"/>
      <c r="X54" s="34"/>
      <c r="AD54" s="34"/>
      <c r="AE54" s="34"/>
      <c r="AF54" s="34"/>
      <c r="AG54" s="34"/>
      <c r="AH54" s="66"/>
      <c r="AI54" s="66"/>
      <c r="AJ54" s="66"/>
      <c r="AK54" s="66"/>
      <c r="AL54" s="66"/>
      <c r="AM54" s="66"/>
      <c r="AN54" s="66"/>
      <c r="AO54" s="66"/>
      <c r="AP54" s="66"/>
      <c r="AQ54" s="66"/>
      <c r="AR54" s="66"/>
      <c r="AS54" s="66"/>
      <c r="AT54" s="66"/>
      <c r="AU54" s="66"/>
      <c r="AV54"/>
      <c r="AW54"/>
      <c r="AX54"/>
      <c r="AY54" s="98"/>
      <c r="AZ54"/>
      <c r="BA54" s="98"/>
      <c r="BB54"/>
      <c r="BC54"/>
      <c r="BD54"/>
      <c r="BE54"/>
      <c r="BF54"/>
      <c r="BG54" s="66"/>
      <c r="BH54" s="66"/>
      <c r="BI54" s="298" t="s">
        <v>275</v>
      </c>
      <c r="BJ54" s="905">
        <f t="shared" si="4"/>
        <v>46298</v>
      </c>
      <c r="BK54" s="299"/>
      <c r="BL54" s="395"/>
      <c r="BM54" s="391" t="s">
        <v>2197</v>
      </c>
      <c r="BN54" s="395" t="s">
        <v>1356</v>
      </c>
      <c r="BO54" s="889"/>
      <c r="BP54" s="889">
        <f>'WELL DATA'!H73</f>
        <v>0.97</v>
      </c>
      <c r="BQ54" s="66"/>
      <c r="BR54" s="66"/>
      <c r="BS54" s="66"/>
      <c r="BT54" s="66"/>
      <c r="BU54" s="66"/>
      <c r="BV54" s="66"/>
      <c r="BW54" s="66"/>
      <c r="BX54" s="66"/>
      <c r="BY54" s="66"/>
      <c r="BZ54" s="66"/>
      <c r="CA54" s="66"/>
      <c r="CB54" s="66"/>
      <c r="CC54" s="66"/>
      <c r="CD54" s="66"/>
      <c r="CE54" s="66"/>
      <c r="CF54" s="66"/>
      <c r="CG54" s="66"/>
      <c r="CH54" s="66"/>
      <c r="CI54" s="66"/>
      <c r="CJ54" s="66"/>
      <c r="CK54" s="66"/>
      <c r="CL54" s="66"/>
      <c r="CM54" s="66"/>
      <c r="CN54" s="66"/>
      <c r="CO54" s="66"/>
      <c r="CP54" s="66"/>
      <c r="CQ54" s="66"/>
      <c r="CR54" s="66"/>
      <c r="CS54" s="66"/>
      <c r="CT54" s="66"/>
      <c r="CU54" s="66"/>
      <c r="CV54" s="66"/>
      <c r="CW54" s="66"/>
      <c r="CX54" s="66"/>
      <c r="CY54" s="66"/>
      <c r="CZ54" s="66"/>
      <c r="DA54" s="66"/>
      <c r="DB54" s="66"/>
      <c r="DC54" s="66"/>
      <c r="DD54" s="66"/>
      <c r="DE54" s="66"/>
      <c r="DF54" s="66"/>
      <c r="DG54" s="66"/>
      <c r="DH54" s="66"/>
      <c r="DI54" s="66"/>
      <c r="DJ54" s="66"/>
      <c r="DK54" s="66"/>
      <c r="DL54" s="66"/>
      <c r="DM54" s="66"/>
      <c r="DN54" s="66"/>
      <c r="DO54" s="66"/>
      <c r="DP54" s="66"/>
      <c r="DQ54" s="66"/>
      <c r="DR54" s="66"/>
      <c r="DS54" s="66"/>
      <c r="DT54" s="66"/>
      <c r="DU54" s="66"/>
      <c r="DV54" s="66"/>
      <c r="DW54" s="66"/>
      <c r="DX54" s="66"/>
      <c r="DY54" s="66"/>
      <c r="DZ54" s="66"/>
      <c r="EA54" s="66"/>
      <c r="EB54" s="66"/>
      <c r="EC54" s="66"/>
      <c r="ED54" s="66"/>
      <c r="EE54" s="66"/>
      <c r="EF54" s="66"/>
      <c r="EG54" s="66"/>
      <c r="EH54" s="66"/>
      <c r="EI54" s="66"/>
      <c r="EJ54" s="66"/>
      <c r="EK54" s="66"/>
      <c r="EL54" s="66"/>
      <c r="EM54" s="66"/>
      <c r="EN54" s="66"/>
      <c r="EO54" s="66"/>
      <c r="EP54" s="66"/>
      <c r="EQ54" s="66"/>
      <c r="ER54" s="66"/>
      <c r="ES54" s="66"/>
      <c r="ET54" s="66"/>
      <c r="EU54" s="66"/>
      <c r="EV54" s="66"/>
      <c r="EW54" s="66"/>
      <c r="EX54" s="66"/>
      <c r="EY54" s="66"/>
      <c r="EZ54" s="66"/>
      <c r="FA54" s="66"/>
      <c r="FB54" s="66"/>
      <c r="FC54" s="66"/>
      <c r="FD54" s="66"/>
      <c r="FE54" s="66"/>
      <c r="FF54" s="66"/>
      <c r="FG54" s="66"/>
      <c r="FH54" s="66"/>
      <c r="FI54" s="66"/>
      <c r="FJ54" s="66"/>
      <c r="FK54" s="66"/>
      <c r="FL54" s="66"/>
      <c r="FM54" s="66"/>
      <c r="FN54" s="66"/>
      <c r="FO54" s="66"/>
      <c r="FP54" s="66"/>
      <c r="FQ54" s="66"/>
      <c r="FR54" s="66"/>
      <c r="FS54" s="66"/>
      <c r="FT54" s="66"/>
      <c r="FU54" s="66"/>
      <c r="FV54" s="66"/>
      <c r="FW54" s="66"/>
      <c r="FX54" s="66"/>
      <c r="FY54" s="66"/>
      <c r="FZ54" s="66"/>
      <c r="GA54" s="66"/>
      <c r="GB54" s="66"/>
      <c r="GC54" s="66"/>
      <c r="GD54" s="66"/>
      <c r="GE54" s="66"/>
      <c r="GF54" s="66"/>
      <c r="GG54" s="66"/>
      <c r="GH54" s="66"/>
      <c r="GI54" s="66"/>
      <c r="GJ54" s="66"/>
      <c r="GK54" s="66"/>
      <c r="GL54" s="66"/>
      <c r="GM54" s="66"/>
      <c r="GN54" s="66"/>
      <c r="GO54" s="66"/>
      <c r="GP54" s="66"/>
      <c r="GQ54" s="66"/>
      <c r="GR54" s="66"/>
      <c r="GS54" s="66"/>
      <c r="GT54" s="66"/>
      <c r="GU54" s="66"/>
      <c r="GV54" s="66"/>
      <c r="GW54" s="66"/>
      <c r="GX54" s="66"/>
      <c r="GY54" s="66"/>
      <c r="GZ54" s="66"/>
      <c r="HA54" s="66"/>
      <c r="HB54" s="66"/>
      <c r="HC54" s="66"/>
      <c r="HD54" s="66"/>
      <c r="HE54" s="66"/>
      <c r="HF54" s="66"/>
      <c r="HG54" s="66"/>
      <c r="HH54" s="66"/>
      <c r="HI54" s="66"/>
      <c r="HJ54" s="66"/>
      <c r="HK54" s="66"/>
      <c r="HL54" s="66"/>
      <c r="HM54" s="66"/>
      <c r="HN54" s="66"/>
      <c r="HO54" s="66"/>
      <c r="HP54" s="66"/>
      <c r="HQ54" s="66"/>
      <c r="HR54" s="66"/>
      <c r="HS54" s="66"/>
      <c r="HT54" s="66"/>
      <c r="HU54" s="66"/>
      <c r="HV54" s="66"/>
      <c r="HW54" s="66"/>
      <c r="HX54" s="66"/>
      <c r="HY54" s="66"/>
      <c r="HZ54" s="66"/>
      <c r="IA54" s="66"/>
      <c r="IB54" s="66"/>
      <c r="IC54" s="66"/>
      <c r="ID54" s="66"/>
      <c r="IE54" s="66"/>
      <c r="IF54" s="66"/>
      <c r="IG54" s="66"/>
      <c r="IH54" s="66"/>
      <c r="II54" s="66"/>
      <c r="IJ54" s="66"/>
      <c r="IK54" s="66"/>
      <c r="IL54" s="66"/>
    </row>
    <row r="55" spans="1:246" s="37" customFormat="1" ht="20.100000000000001" customHeight="1">
      <c r="B55" s="1106" t="s">
        <v>28</v>
      </c>
      <c r="C55" s="1107"/>
      <c r="D55" s="890" t="s">
        <v>1333</v>
      </c>
      <c r="E55" s="890" t="s">
        <v>2300</v>
      </c>
      <c r="F55" s="1081" t="s">
        <v>1560</v>
      </c>
      <c r="G55" s="1082"/>
      <c r="H55" s="1083"/>
      <c r="J55" s="1073" t="s">
        <v>1408</v>
      </c>
      <c r="K55" s="1074"/>
      <c r="L55" s="912"/>
      <c r="M55" s="912"/>
      <c r="N55" s="913"/>
      <c r="O55" s="891"/>
      <c r="P55" s="34"/>
      <c r="W55" s="34"/>
      <c r="X55" s="34"/>
      <c r="AD55" s="34"/>
      <c r="AE55" s="34"/>
      <c r="AF55" s="34"/>
      <c r="AG55" s="34"/>
      <c r="AH55" s="66"/>
      <c r="AI55" s="66"/>
      <c r="AJ55" s="66"/>
      <c r="AK55" s="66"/>
      <c r="AL55" s="66"/>
      <c r="AM55" s="66"/>
      <c r="AN55" s="66"/>
      <c r="AO55" s="66"/>
      <c r="AP55" s="66"/>
      <c r="AQ55" s="66"/>
      <c r="AR55" s="66"/>
      <c r="AS55" s="66"/>
      <c r="AT55" s="66"/>
      <c r="AU55" s="66"/>
      <c r="AV55"/>
      <c r="AW55"/>
      <c r="AX55"/>
      <c r="AY55" s="98"/>
      <c r="AZ55"/>
      <c r="BA55" s="98"/>
      <c r="BB55"/>
      <c r="BC55"/>
      <c r="BD55"/>
      <c r="BE55"/>
      <c r="BF55"/>
      <c r="BG55" s="66"/>
      <c r="BH55" s="66"/>
      <c r="BI55" s="298" t="s">
        <v>275</v>
      </c>
      <c r="BJ55" s="905">
        <f t="shared" si="4"/>
        <v>46298</v>
      </c>
      <c r="BK55" s="299"/>
      <c r="BL55" s="395"/>
      <c r="BM55" s="391" t="s">
        <v>1771</v>
      </c>
      <c r="BN55" s="395" t="s">
        <v>1356</v>
      </c>
      <c r="BO55" s="889"/>
      <c r="BP55" s="889">
        <f>'WELL DATA'!H112</f>
        <v>1.4</v>
      </c>
      <c r="BQ55" s="66"/>
      <c r="BR55" s="66"/>
      <c r="BS55" s="66"/>
      <c r="BT55" s="66"/>
      <c r="BU55" s="66"/>
      <c r="BV55" s="66"/>
      <c r="BW55" s="66"/>
      <c r="BX55" s="66"/>
      <c r="BY55" s="66"/>
      <c r="BZ55" s="66"/>
      <c r="CA55" s="66"/>
      <c r="CB55" s="66"/>
      <c r="CC55" s="66"/>
      <c r="CD55" s="66"/>
      <c r="CE55" s="66"/>
      <c r="CF55" s="66"/>
      <c r="CG55" s="66"/>
      <c r="CH55" s="66"/>
      <c r="CI55" s="66"/>
      <c r="CJ55" s="66"/>
      <c r="CK55" s="66"/>
      <c r="CL55" s="66"/>
      <c r="CM55" s="66"/>
      <c r="CN55" s="66"/>
      <c r="CO55" s="66"/>
      <c r="CP55" s="66"/>
      <c r="CQ55" s="66"/>
      <c r="CR55" s="66"/>
      <c r="CS55" s="66"/>
      <c r="CT55" s="66"/>
      <c r="CU55" s="66"/>
      <c r="CV55" s="66"/>
      <c r="CW55" s="66"/>
      <c r="CX55" s="66"/>
      <c r="CY55" s="66"/>
      <c r="CZ55" s="66"/>
      <c r="DA55" s="66"/>
      <c r="DB55" s="66"/>
      <c r="DC55" s="66"/>
      <c r="DD55" s="66"/>
      <c r="DE55" s="66"/>
      <c r="DF55" s="66"/>
      <c r="DG55" s="66"/>
      <c r="DH55" s="66"/>
      <c r="DI55" s="66"/>
      <c r="DJ55" s="66"/>
      <c r="DK55" s="66"/>
      <c r="DL55" s="66"/>
      <c r="DM55" s="66"/>
      <c r="DN55" s="66"/>
      <c r="DO55" s="66"/>
      <c r="DP55" s="66"/>
      <c r="DQ55" s="66"/>
      <c r="DR55" s="66"/>
      <c r="DS55" s="66"/>
      <c r="DT55" s="66"/>
      <c r="DU55" s="66"/>
      <c r="DV55" s="66"/>
      <c r="DW55" s="66"/>
      <c r="DX55" s="66"/>
      <c r="DY55" s="66"/>
      <c r="DZ55" s="66"/>
      <c r="EA55" s="66"/>
      <c r="EB55" s="66"/>
      <c r="EC55" s="66"/>
      <c r="ED55" s="66"/>
      <c r="EE55" s="66"/>
      <c r="EF55" s="66"/>
      <c r="EG55" s="66"/>
      <c r="EH55" s="66"/>
      <c r="EI55" s="66"/>
      <c r="EJ55" s="66"/>
      <c r="EK55" s="66"/>
      <c r="EL55" s="66"/>
      <c r="EM55" s="66"/>
      <c r="EN55" s="66"/>
      <c r="EO55" s="66"/>
      <c r="EP55" s="66"/>
      <c r="EQ55" s="66"/>
      <c r="ER55" s="66"/>
      <c r="ES55" s="66"/>
      <c r="ET55" s="66"/>
      <c r="EU55" s="66"/>
      <c r="EV55" s="66"/>
      <c r="EW55" s="66"/>
      <c r="EX55" s="66"/>
      <c r="EY55" s="66"/>
      <c r="EZ55" s="66"/>
      <c r="FA55" s="66"/>
      <c r="FB55" s="66"/>
      <c r="FC55" s="66"/>
      <c r="FD55" s="66"/>
      <c r="FE55" s="66"/>
      <c r="FF55" s="66"/>
      <c r="FG55" s="66"/>
      <c r="FH55" s="66"/>
      <c r="FI55" s="66"/>
      <c r="FJ55" s="66"/>
      <c r="FK55" s="66"/>
      <c r="FL55" s="66"/>
      <c r="FM55" s="66"/>
      <c r="FN55" s="66"/>
      <c r="FO55" s="66"/>
      <c r="FP55" s="66"/>
      <c r="FQ55" s="66"/>
      <c r="FR55" s="66"/>
      <c r="FS55" s="66"/>
      <c r="FT55" s="66"/>
      <c r="FU55" s="66"/>
      <c r="FV55" s="66"/>
      <c r="FW55" s="66"/>
      <c r="FX55" s="66"/>
      <c r="FY55" s="66"/>
      <c r="FZ55" s="66"/>
      <c r="GA55" s="66"/>
      <c r="GB55" s="66"/>
      <c r="GC55" s="66"/>
      <c r="GD55" s="66"/>
      <c r="GE55" s="66"/>
      <c r="GF55" s="66"/>
      <c r="GG55" s="66"/>
      <c r="GH55" s="66"/>
      <c r="GI55" s="66"/>
      <c r="GJ55" s="66"/>
      <c r="GK55" s="66"/>
      <c r="GL55" s="66"/>
      <c r="GM55" s="66"/>
      <c r="GN55" s="66"/>
      <c r="GO55" s="66"/>
      <c r="GP55" s="66"/>
      <c r="GQ55" s="66"/>
      <c r="GR55" s="66"/>
      <c r="GS55" s="66"/>
      <c r="GT55" s="66"/>
      <c r="GU55" s="66"/>
      <c r="GV55" s="66"/>
      <c r="GW55" s="66"/>
      <c r="GX55" s="66"/>
      <c r="GY55" s="66"/>
      <c r="GZ55" s="66"/>
      <c r="HA55" s="66"/>
      <c r="HB55" s="66"/>
      <c r="HC55" s="66"/>
      <c r="HD55" s="66"/>
      <c r="HE55" s="66"/>
      <c r="HF55" s="66"/>
      <c r="HG55" s="66"/>
      <c r="HH55" s="66"/>
      <c r="HI55" s="66"/>
      <c r="HJ55" s="66"/>
      <c r="HK55" s="66"/>
      <c r="HL55" s="66"/>
      <c r="HM55" s="66"/>
      <c r="HN55" s="66"/>
      <c r="HO55" s="66"/>
      <c r="HP55" s="66"/>
      <c r="HQ55" s="66"/>
      <c r="HR55" s="66"/>
      <c r="HS55" s="66"/>
      <c r="HT55" s="66"/>
      <c r="HU55" s="66"/>
      <c r="HV55" s="66"/>
      <c r="HW55" s="66"/>
      <c r="HX55" s="66"/>
      <c r="HY55" s="66"/>
      <c r="HZ55" s="66"/>
      <c r="IA55" s="66"/>
      <c r="IB55" s="66"/>
      <c r="IC55" s="66"/>
      <c r="ID55" s="66"/>
      <c r="IE55" s="66"/>
      <c r="IF55" s="66"/>
      <c r="IG55" s="66"/>
      <c r="IH55" s="66"/>
      <c r="II55" s="66"/>
      <c r="IJ55" s="66"/>
      <c r="IK55" s="66"/>
      <c r="IL55" s="66"/>
    </row>
    <row r="56" spans="1:246" s="7" customFormat="1" ht="20.100000000000001" customHeight="1">
      <c r="A56" s="60"/>
      <c r="B56" s="1091" t="s">
        <v>2018</v>
      </c>
      <c r="C56" s="1092"/>
      <c r="D56" s="855">
        <f>'DATA INPUT'!F23</f>
        <v>1342</v>
      </c>
      <c r="E56" s="855">
        <f>'DATA INPUT'!F25</f>
        <v>159</v>
      </c>
      <c r="F56" s="1088">
        <f>145000-G49</f>
        <v>87653.806043951918</v>
      </c>
      <c r="G56" s="1089"/>
      <c r="H56" s="1090"/>
      <c r="I56" s="37"/>
      <c r="J56" s="931" t="s">
        <v>53</v>
      </c>
      <c r="K56" s="932"/>
      <c r="L56" s="1079">
        <f>IFERROR(G38,"")</f>
        <v>20772.837058569447</v>
      </c>
      <c r="M56" s="1080"/>
      <c r="N56" s="364" t="s">
        <v>1256</v>
      </c>
      <c r="O56" s="891"/>
      <c r="P56" s="34"/>
      <c r="U56" s="67"/>
      <c r="V56" s="67"/>
      <c r="W56" s="67"/>
      <c r="X56" s="67"/>
      <c r="AD56" s="67"/>
      <c r="AE56" s="67"/>
      <c r="AF56" s="67"/>
      <c r="AU56" s="66"/>
      <c r="AV56"/>
      <c r="AW56"/>
      <c r="AX56"/>
      <c r="AY56" s="98"/>
      <c r="AZ56"/>
      <c r="BA56" s="98"/>
      <c r="BB56"/>
      <c r="BC56"/>
      <c r="BD56"/>
      <c r="BE56"/>
      <c r="BF56"/>
      <c r="BI56" s="298" t="s">
        <v>275</v>
      </c>
      <c r="BJ56" s="905">
        <f t="shared" si="4"/>
        <v>46298</v>
      </c>
      <c r="BK56" s="299"/>
      <c r="BL56" s="395"/>
      <c r="BM56" s="391" t="s">
        <v>2635</v>
      </c>
      <c r="BN56" s="395" t="s">
        <v>1356</v>
      </c>
      <c r="BO56" s="889"/>
      <c r="BP56" s="889">
        <f>+'WELL DATA'!H91</f>
        <v>1.1200000000000001</v>
      </c>
    </row>
    <row r="57" spans="1:246" s="7" customFormat="1" ht="20.100000000000001" customHeight="1">
      <c r="A57" s="60"/>
      <c r="B57" s="1104" t="s">
        <v>1504</v>
      </c>
      <c r="C57" s="1105"/>
      <c r="D57" s="855">
        <f>'DATA INPUT'!E22</f>
        <v>5913</v>
      </c>
      <c r="E57" s="855">
        <f>'DATA INPUT'!E26</f>
        <v>255</v>
      </c>
      <c r="F57" s="37"/>
      <c r="G57" s="37"/>
      <c r="H57" s="891"/>
      <c r="I57" s="37"/>
      <c r="J57" s="923" t="s">
        <v>166</v>
      </c>
      <c r="K57" s="924"/>
      <c r="L57" s="1079">
        <f>G35</f>
        <v>20791.186311475918</v>
      </c>
      <c r="M57" s="1080"/>
      <c r="N57" s="365" t="s">
        <v>1256</v>
      </c>
      <c r="O57" s="891"/>
      <c r="P57" s="37"/>
      <c r="T57" s="67"/>
      <c r="AC57" s="67"/>
      <c r="AD57" s="67"/>
      <c r="AE57" s="67"/>
      <c r="AT57" s="66"/>
      <c r="AU57" s="66"/>
      <c r="AV57"/>
      <c r="AW57"/>
      <c r="AX57"/>
      <c r="AY57" s="98"/>
      <c r="AZ57"/>
      <c r="BA57" s="98"/>
      <c r="BB57"/>
      <c r="BC57"/>
      <c r="BD57"/>
      <c r="BE57"/>
      <c r="BI57" s="298" t="s">
        <v>275</v>
      </c>
      <c r="BJ57" s="905">
        <f t="shared" si="4"/>
        <v>46298</v>
      </c>
      <c r="BK57" s="299"/>
      <c r="BL57" s="395"/>
      <c r="BM57" s="391" t="s">
        <v>2637</v>
      </c>
      <c r="BN57" s="395" t="s">
        <v>1356</v>
      </c>
      <c r="BO57" s="889"/>
      <c r="BP57" s="889">
        <f>+'WELL DATA'!H89</f>
        <v>0</v>
      </c>
    </row>
    <row r="58" spans="1:246" s="7" customFormat="1" ht="20.100000000000001" customHeight="1">
      <c r="A58" s="60"/>
      <c r="B58" s="1104" t="s">
        <v>105</v>
      </c>
      <c r="C58" s="1105"/>
      <c r="D58" s="855">
        <f>'DATA INPUT'!E21</f>
        <v>5984</v>
      </c>
      <c r="E58" s="855">
        <f>'DATA INPUT'!E24</f>
        <v>255</v>
      </c>
      <c r="F58" s="37"/>
      <c r="G58" s="37"/>
      <c r="H58" s="891"/>
      <c r="I58" s="37"/>
      <c r="J58" s="811" t="s">
        <v>1744</v>
      </c>
      <c r="K58" s="812" t="s">
        <v>2133</v>
      </c>
      <c r="L58" s="812" t="s">
        <v>1744</v>
      </c>
      <c r="M58" s="812" t="s">
        <v>2133</v>
      </c>
      <c r="N58" s="920"/>
      <c r="O58" s="891"/>
      <c r="P58" s="37"/>
      <c r="T58" s="67"/>
      <c r="AC58" s="67"/>
      <c r="AD58" s="67"/>
      <c r="AE58" s="67"/>
      <c r="AT58" s="66"/>
      <c r="AU58" s="66"/>
      <c r="AV58"/>
      <c r="AW58"/>
      <c r="AX58"/>
      <c r="AY58" s="98"/>
      <c r="AZ58"/>
      <c r="BA58" s="98"/>
      <c r="BB58"/>
      <c r="BC58"/>
      <c r="BD58"/>
      <c r="BE58"/>
      <c r="BI58" s="298" t="s">
        <v>275</v>
      </c>
      <c r="BJ58" s="905">
        <f t="shared" si="4"/>
        <v>46298</v>
      </c>
      <c r="BK58" s="299"/>
      <c r="BL58" s="395"/>
      <c r="BM58" s="391" t="s">
        <v>2253</v>
      </c>
      <c r="BN58" s="395" t="s">
        <v>1356</v>
      </c>
      <c r="BO58" s="889"/>
      <c r="BP58" s="889">
        <f>+'WELL DATA'!H152</f>
        <v>0</v>
      </c>
    </row>
    <row r="59" spans="1:246" s="7" customFormat="1" ht="20.100000000000001" customHeight="1">
      <c r="A59" s="60"/>
      <c r="B59" s="1095" t="s">
        <v>55</v>
      </c>
      <c r="C59" s="1096"/>
      <c r="D59" s="856">
        <f>'DATA INPUT'!E23</f>
        <v>1271</v>
      </c>
      <c r="E59" s="856">
        <f>'DATA INPUT'!E25</f>
        <v>159</v>
      </c>
      <c r="F59" s="892"/>
      <c r="G59" s="892"/>
      <c r="H59" s="893"/>
      <c r="I59" s="37"/>
      <c r="J59" s="813" t="s">
        <v>286</v>
      </c>
      <c r="K59" s="814">
        <f>COUNTIF(WSTATUS,"NF")</f>
        <v>11</v>
      </c>
      <c r="L59" s="815" t="s">
        <v>1745</v>
      </c>
      <c r="M59" s="814">
        <f>COUNTIF(WSTATUS,"G/L")</f>
        <v>38</v>
      </c>
      <c r="N59" s="911"/>
      <c r="O59" s="891"/>
      <c r="P59" s="37"/>
      <c r="T59" s="67"/>
      <c r="AC59" s="67"/>
      <c r="AD59" s="67"/>
      <c r="AE59" s="67"/>
      <c r="AT59" s="66"/>
      <c r="AU59" s="66"/>
      <c r="AV59"/>
      <c r="AW59"/>
      <c r="AX59"/>
      <c r="AY59" s="98"/>
      <c r="AZ59"/>
      <c r="BA59" s="98"/>
      <c r="BB59"/>
      <c r="BC59"/>
      <c r="BD59"/>
      <c r="BE59"/>
      <c r="BI59" s="298" t="s">
        <v>275</v>
      </c>
      <c r="BJ59" s="905">
        <f t="shared" si="4"/>
        <v>46298</v>
      </c>
      <c r="BK59" s="299"/>
      <c r="BL59" s="395"/>
      <c r="BM59" s="391" t="s">
        <v>2352</v>
      </c>
      <c r="BN59" s="395" t="s">
        <v>1356</v>
      </c>
      <c r="BO59" s="889"/>
      <c r="BP59" s="889">
        <f>+'WELL DATA'!H140</f>
        <v>0</v>
      </c>
    </row>
    <row r="60" spans="1:246" s="7" customFormat="1" ht="20.100000000000001" customHeight="1">
      <c r="A60" s="60"/>
      <c r="B60" s="926"/>
      <c r="C60" s="926"/>
      <c r="D60" s="927"/>
      <c r="E60" s="37"/>
      <c r="F60" s="37"/>
      <c r="G60" s="37"/>
      <c r="H60" s="37"/>
      <c r="I60" s="37"/>
      <c r="J60" s="813" t="s">
        <v>3</v>
      </c>
      <c r="K60" s="814">
        <f>COUNTIF(WSTATUS,"ESP")</f>
        <v>17</v>
      </c>
      <c r="L60" s="815" t="s">
        <v>1746</v>
      </c>
      <c r="M60" s="814">
        <f>COUNTIF(INJSTATUS,"INJ")</f>
        <v>25</v>
      </c>
      <c r="N60" s="911"/>
      <c r="O60" s="891"/>
      <c r="P60" s="37"/>
      <c r="T60" s="67"/>
      <c r="AC60" s="67"/>
      <c r="AD60" s="67"/>
      <c r="AE60" s="67"/>
      <c r="AT60" s="66"/>
      <c r="AU60" s="66"/>
      <c r="AV60"/>
      <c r="AW60"/>
      <c r="AX60"/>
      <c r="AY60" s="98"/>
      <c r="AZ60"/>
      <c r="BA60" s="98"/>
      <c r="BB60"/>
      <c r="BC60"/>
      <c r="BD60"/>
      <c r="BE60"/>
      <c r="BI60" s="298" t="s">
        <v>275</v>
      </c>
      <c r="BJ60" s="905">
        <f t="shared" si="4"/>
        <v>46298</v>
      </c>
      <c r="BK60" s="299"/>
      <c r="BL60" s="395"/>
      <c r="BM60" s="391" t="s">
        <v>2355</v>
      </c>
      <c r="BN60" s="395" t="s">
        <v>1356</v>
      </c>
      <c r="BO60" s="889"/>
      <c r="BP60" s="889">
        <f>+'WELL DATA'!H139</f>
        <v>0</v>
      </c>
    </row>
    <row r="61" spans="1:246" s="7" customFormat="1" ht="20.100000000000001" customHeight="1">
      <c r="A61" s="60"/>
      <c r="B61" s="926"/>
      <c r="C61" s="926"/>
      <c r="D61" s="927"/>
      <c r="E61" s="37"/>
      <c r="F61" s="37"/>
      <c r="G61" s="37"/>
      <c r="H61" s="37"/>
      <c r="I61" s="37"/>
      <c r="J61" s="813" t="s">
        <v>2</v>
      </c>
      <c r="K61" s="814">
        <f>COUNTIF(WSTATUS,"SRP")</f>
        <v>16</v>
      </c>
      <c r="L61" s="815" t="s">
        <v>1494</v>
      </c>
      <c r="M61" s="814">
        <f>COUNTIF(WSSTATUS,"WSW")</f>
        <v>9</v>
      </c>
      <c r="N61" s="911"/>
      <c r="O61" s="891"/>
      <c r="P61" s="37"/>
      <c r="Q61" s="37"/>
      <c r="T61" s="67"/>
      <c r="AC61" s="67"/>
      <c r="AD61" s="67"/>
      <c r="AE61" s="67"/>
      <c r="AT61" s="66"/>
      <c r="AU61" s="66"/>
      <c r="AV61"/>
      <c r="AW61"/>
      <c r="AX61"/>
      <c r="AY61" s="98"/>
      <c r="AZ61"/>
      <c r="BA61"/>
      <c r="BB61"/>
      <c r="BC61"/>
      <c r="BD61"/>
      <c r="BE61"/>
      <c r="BI61" s="298" t="s">
        <v>275</v>
      </c>
      <c r="BJ61" s="905">
        <f t="shared" si="4"/>
        <v>46298</v>
      </c>
      <c r="BK61" s="299"/>
      <c r="BL61" s="395"/>
      <c r="BM61" s="391" t="s">
        <v>2204</v>
      </c>
      <c r="BN61" s="395" t="s">
        <v>1356</v>
      </c>
      <c r="BO61" s="889"/>
      <c r="BP61" s="889">
        <f>'WELL DATA'!H82</f>
        <v>0</v>
      </c>
    </row>
    <row r="62" spans="1:246" ht="20.100000000000001" customHeight="1">
      <c r="B62" s="47"/>
      <c r="C62" s="47"/>
      <c r="D62" s="47"/>
      <c r="E62" s="47"/>
      <c r="F62" s="47"/>
      <c r="G62" s="47"/>
      <c r="H62" s="47"/>
      <c r="I62" s="47"/>
      <c r="J62" s="928" t="s">
        <v>1747</v>
      </c>
      <c r="K62" s="929"/>
      <c r="L62" s="930"/>
      <c r="M62" s="914">
        <f>C26</f>
        <v>0</v>
      </c>
      <c r="N62" s="915"/>
      <c r="O62" s="893"/>
      <c r="P62" s="37"/>
      <c r="AU62" s="66"/>
      <c r="AX62"/>
      <c r="AY62" s="98"/>
      <c r="AZ62"/>
      <c r="BI62" s="298" t="s">
        <v>275</v>
      </c>
      <c r="BJ62" s="905">
        <f t="shared" si="4"/>
        <v>46298</v>
      </c>
      <c r="BK62" s="299"/>
      <c r="BL62" s="395"/>
      <c r="BM62" s="391" t="s">
        <v>2607</v>
      </c>
      <c r="BN62" s="395" t="s">
        <v>1356</v>
      </c>
      <c r="BO62" s="889"/>
      <c r="BP62" s="889">
        <f>+'WELL DATA'!H62</f>
        <v>0.81409522229724463</v>
      </c>
    </row>
    <row r="63" spans="1:246" ht="20.100000000000001" customHeight="1" thickBot="1">
      <c r="B63" s="47" t="s">
        <v>1506</v>
      </c>
      <c r="C63" s="37"/>
      <c r="D63" s="37"/>
      <c r="E63" s="37"/>
      <c r="F63" s="37"/>
      <c r="G63" s="37"/>
      <c r="H63" s="37"/>
      <c r="I63" s="37"/>
      <c r="J63" s="37"/>
      <c r="K63" s="37"/>
      <c r="L63" s="37"/>
      <c r="M63" s="37"/>
      <c r="N63" s="37"/>
      <c r="O63" s="37"/>
      <c r="P63" s="37"/>
      <c r="AU63" s="66"/>
      <c r="AX63"/>
      <c r="AY63" s="98"/>
      <c r="AZ63"/>
      <c r="BI63" s="298" t="s">
        <v>275</v>
      </c>
      <c r="BJ63" s="905">
        <f t="shared" si="4"/>
        <v>46298</v>
      </c>
      <c r="BK63" s="299"/>
      <c r="BL63" s="395"/>
      <c r="BM63" s="391" t="s">
        <v>2173</v>
      </c>
      <c r="BN63" s="395" t="s">
        <v>1356</v>
      </c>
      <c r="BO63" s="889"/>
      <c r="BP63" s="889">
        <f>'WELL DATA'!H102</f>
        <v>0</v>
      </c>
    </row>
    <row r="64" spans="1:246" ht="20.100000000000001" customHeight="1">
      <c r="B64" s="1093" t="s">
        <v>5</v>
      </c>
      <c r="C64" s="1094"/>
      <c r="D64" s="978" t="s">
        <v>2331</v>
      </c>
      <c r="E64" s="1086" t="s">
        <v>40</v>
      </c>
      <c r="F64" s="1087"/>
      <c r="G64" s="1087"/>
      <c r="H64" s="1087"/>
      <c r="I64" s="1087"/>
      <c r="J64" s="1087"/>
      <c r="K64" s="1087"/>
      <c r="L64" s="1087"/>
      <c r="M64" s="1087"/>
      <c r="N64" s="1086"/>
      <c r="O64" s="977" t="s">
        <v>2332</v>
      </c>
      <c r="P64" s="37"/>
      <c r="AU64" s="66"/>
      <c r="AX64"/>
      <c r="AY64" s="98"/>
      <c r="AZ64"/>
      <c r="BI64" s="298" t="s">
        <v>275</v>
      </c>
      <c r="BJ64" s="905">
        <f t="shared" si="4"/>
        <v>46298</v>
      </c>
      <c r="BK64" s="299"/>
      <c r="BL64" s="395"/>
      <c r="BM64" s="391" t="s">
        <v>2174</v>
      </c>
      <c r="BN64" s="395" t="s">
        <v>1356</v>
      </c>
      <c r="BO64" s="889"/>
      <c r="BP64" s="889">
        <f>'WELL DATA'!H108</f>
        <v>0</v>
      </c>
    </row>
    <row r="65" spans="2:68" ht="65.25" customHeight="1">
      <c r="B65" s="1163" t="s">
        <v>2774</v>
      </c>
      <c r="C65" s="1164"/>
      <c r="D65" s="1069">
        <v>12</v>
      </c>
      <c r="E65" s="1160" t="s">
        <v>2777</v>
      </c>
      <c r="F65" s="1161"/>
      <c r="G65" s="1161"/>
      <c r="H65" s="1161"/>
      <c r="I65" s="1161"/>
      <c r="J65" s="1161"/>
      <c r="K65" s="1161"/>
      <c r="L65" s="1161"/>
      <c r="M65" s="1161"/>
      <c r="N65" s="1162"/>
      <c r="O65" s="1070">
        <v>15</v>
      </c>
      <c r="BI65" s="298" t="s">
        <v>275</v>
      </c>
      <c r="BJ65" s="905">
        <f t="shared" si="4"/>
        <v>46298</v>
      </c>
      <c r="BK65" s="299"/>
      <c r="BL65" s="395"/>
      <c r="BM65" s="391" t="s">
        <v>2079</v>
      </c>
      <c r="BN65" s="395" t="s">
        <v>1356</v>
      </c>
      <c r="BO65" s="889"/>
      <c r="BP65" s="889">
        <f>'WELL DATA'!H134</f>
        <v>0.85</v>
      </c>
    </row>
    <row r="66" spans="2:68" ht="48.75" customHeight="1">
      <c r="B66" s="1163" t="s">
        <v>2775</v>
      </c>
      <c r="C66" s="1164"/>
      <c r="D66" s="1069">
        <v>24</v>
      </c>
      <c r="E66" s="1160" t="s">
        <v>2778</v>
      </c>
      <c r="F66" s="1161"/>
      <c r="G66" s="1161"/>
      <c r="H66" s="1161"/>
      <c r="I66" s="1161"/>
      <c r="J66" s="1161"/>
      <c r="K66" s="1161"/>
      <c r="L66" s="1161"/>
      <c r="M66" s="1161"/>
      <c r="N66" s="1162"/>
      <c r="O66" s="1070">
        <v>0</v>
      </c>
      <c r="BI66" s="298" t="s">
        <v>275</v>
      </c>
      <c r="BJ66" s="905">
        <f t="shared" si="4"/>
        <v>46298</v>
      </c>
      <c r="BK66" s="299"/>
      <c r="BL66" s="395"/>
      <c r="BM66" s="391" t="s">
        <v>2276</v>
      </c>
      <c r="BN66" s="395" t="s">
        <v>63</v>
      </c>
      <c r="BO66" s="889">
        <f>N18</f>
        <v>195.07796014880674</v>
      </c>
      <c r="BP66" s="889"/>
    </row>
    <row r="67" spans="2:68" ht="33.75" customHeight="1">
      <c r="B67" s="1163" t="s">
        <v>2757</v>
      </c>
      <c r="C67" s="1164"/>
      <c r="D67" s="1069">
        <v>0</v>
      </c>
      <c r="E67" s="1175" t="s">
        <v>2779</v>
      </c>
      <c r="F67" s="1176"/>
      <c r="G67" s="1176"/>
      <c r="H67" s="1176"/>
      <c r="I67" s="1176"/>
      <c r="J67" s="1176"/>
      <c r="K67" s="1176"/>
      <c r="L67" s="1176"/>
      <c r="M67" s="1176"/>
      <c r="N67" s="1177"/>
      <c r="O67" s="1070">
        <v>-90</v>
      </c>
      <c r="BI67" s="298" t="s">
        <v>275</v>
      </c>
      <c r="BJ67" s="905">
        <f t="shared" si="4"/>
        <v>46298</v>
      </c>
      <c r="BK67" s="299"/>
      <c r="BL67" s="395"/>
      <c r="BM67" s="391" t="s">
        <v>2273</v>
      </c>
      <c r="BN67" s="395" t="s">
        <v>63</v>
      </c>
      <c r="BO67" s="889">
        <f>N19</f>
        <v>123.04942834176923</v>
      </c>
      <c r="BP67" s="889"/>
    </row>
    <row r="68" spans="2:68" ht="44.25" customHeight="1">
      <c r="B68" s="1163" t="s">
        <v>2776</v>
      </c>
      <c r="C68" s="1164"/>
      <c r="D68" s="1069">
        <v>0</v>
      </c>
      <c r="E68" s="1175" t="s">
        <v>2780</v>
      </c>
      <c r="F68" s="1176"/>
      <c r="G68" s="1176"/>
      <c r="H68" s="1176"/>
      <c r="I68" s="1176"/>
      <c r="J68" s="1176"/>
      <c r="K68" s="1176"/>
      <c r="L68" s="1176"/>
      <c r="M68" s="1176"/>
      <c r="N68" s="1177"/>
      <c r="O68" s="1070">
        <v>43</v>
      </c>
      <c r="BI68" s="298" t="s">
        <v>275</v>
      </c>
      <c r="BJ68" s="905">
        <f t="shared" si="4"/>
        <v>46298</v>
      </c>
      <c r="BK68" s="299"/>
      <c r="BL68" s="395"/>
      <c r="BM68" s="391" t="s">
        <v>2274</v>
      </c>
      <c r="BN68" s="395" t="s">
        <v>63</v>
      </c>
      <c r="BO68" s="889">
        <f>N15</f>
        <v>105.04219492590056</v>
      </c>
      <c r="BP68" s="889"/>
    </row>
    <row r="69" spans="2:68" ht="27" customHeight="1">
      <c r="B69" s="1163" t="s">
        <v>2787</v>
      </c>
      <c r="C69" s="1164"/>
      <c r="D69" s="1069">
        <v>3</v>
      </c>
      <c r="E69" s="1175" t="s">
        <v>2781</v>
      </c>
      <c r="F69" s="1176"/>
      <c r="G69" s="1176"/>
      <c r="H69" s="1176"/>
      <c r="I69" s="1176"/>
      <c r="J69" s="1176"/>
      <c r="K69" s="1176"/>
      <c r="L69" s="1176"/>
      <c r="M69" s="1176"/>
      <c r="N69" s="1177"/>
      <c r="O69" s="1070">
        <v>-21</v>
      </c>
      <c r="BI69" s="298" t="s">
        <v>275</v>
      </c>
      <c r="BJ69" s="905">
        <f t="shared" si="4"/>
        <v>46298</v>
      </c>
      <c r="BK69" s="299"/>
      <c r="BL69" s="395"/>
      <c r="BM69" s="940" t="s">
        <v>2275</v>
      </c>
      <c r="BN69" s="395" t="s">
        <v>63</v>
      </c>
      <c r="BO69" s="889">
        <f>N16</f>
        <v>490.27728094163228</v>
      </c>
      <c r="BP69" s="889"/>
    </row>
    <row r="70" spans="2:68" ht="20.100000000000001" hidden="1" customHeight="1">
      <c r="B70" s="1163"/>
      <c r="C70" s="1164"/>
      <c r="D70" s="1069"/>
      <c r="E70" s="1175"/>
      <c r="F70" s="1176"/>
      <c r="G70" s="1176"/>
      <c r="H70" s="1176"/>
      <c r="I70" s="1176"/>
      <c r="J70" s="1176"/>
      <c r="K70" s="1176"/>
      <c r="L70" s="1176"/>
      <c r="M70" s="1176"/>
      <c r="N70" s="1177"/>
      <c r="O70" s="1070"/>
      <c r="BI70" s="298" t="s">
        <v>275</v>
      </c>
      <c r="BJ70" s="905">
        <f t="shared" si="4"/>
        <v>46298</v>
      </c>
      <c r="BK70" s="299"/>
      <c r="BL70" s="395"/>
      <c r="BM70" s="391" t="s">
        <v>2109</v>
      </c>
      <c r="BN70" s="395" t="s">
        <v>1356</v>
      </c>
      <c r="BO70" s="889"/>
      <c r="BP70" s="889">
        <f>'WELL DATA'!H127</f>
        <v>0</v>
      </c>
    </row>
    <row r="71" spans="2:68" ht="20.100000000000001" hidden="1" customHeight="1">
      <c r="B71" s="1163"/>
      <c r="C71" s="1164"/>
      <c r="D71" s="1069"/>
      <c r="E71" s="1175"/>
      <c r="F71" s="1176"/>
      <c r="G71" s="1176"/>
      <c r="H71" s="1176"/>
      <c r="I71" s="1176"/>
      <c r="J71" s="1176"/>
      <c r="K71" s="1176"/>
      <c r="L71" s="1176"/>
      <c r="M71" s="1176"/>
      <c r="N71" s="1177"/>
      <c r="O71" s="1070"/>
      <c r="BI71" s="298" t="s">
        <v>275</v>
      </c>
      <c r="BJ71" s="905">
        <f t="shared" si="4"/>
        <v>46298</v>
      </c>
      <c r="BK71" s="299"/>
      <c r="BL71" s="395"/>
      <c r="BM71" s="391" t="s">
        <v>2193</v>
      </c>
      <c r="BN71" s="395" t="s">
        <v>1356</v>
      </c>
      <c r="BO71" s="889"/>
      <c r="BP71" s="889">
        <f>'WELL DATA'!H142</f>
        <v>0</v>
      </c>
    </row>
    <row r="72" spans="2:68" ht="20.100000000000001" hidden="1" customHeight="1">
      <c r="B72" s="1163"/>
      <c r="C72" s="1164"/>
      <c r="D72" s="1069"/>
      <c r="E72" s="1175"/>
      <c r="F72" s="1176"/>
      <c r="G72" s="1176"/>
      <c r="H72" s="1176"/>
      <c r="I72" s="1176"/>
      <c r="J72" s="1176"/>
      <c r="K72" s="1176"/>
      <c r="L72" s="1176"/>
      <c r="M72" s="1176"/>
      <c r="N72" s="1177"/>
      <c r="O72" s="1070"/>
      <c r="BI72" s="298" t="s">
        <v>275</v>
      </c>
      <c r="BJ72" s="905">
        <f t="shared" si="4"/>
        <v>46298</v>
      </c>
      <c r="BK72" s="299"/>
      <c r="BL72" s="395"/>
      <c r="BM72" s="391" t="s">
        <v>2110</v>
      </c>
      <c r="BN72" s="395" t="s">
        <v>1356</v>
      </c>
      <c r="BO72" s="889"/>
      <c r="BP72" s="889" t="e">
        <f>'WELL DATA'!#REF!</f>
        <v>#REF!</v>
      </c>
    </row>
    <row r="73" spans="2:68" ht="20.100000000000001" hidden="1" customHeight="1">
      <c r="B73" s="1163"/>
      <c r="C73" s="1164"/>
      <c r="D73" s="1069"/>
      <c r="E73" s="1175"/>
      <c r="F73" s="1176"/>
      <c r="G73" s="1176"/>
      <c r="H73" s="1176"/>
      <c r="I73" s="1176"/>
      <c r="J73" s="1176"/>
      <c r="K73" s="1176"/>
      <c r="L73" s="1176"/>
      <c r="M73" s="1176"/>
      <c r="N73" s="1177"/>
      <c r="O73" s="1070"/>
      <c r="BI73" s="298" t="s">
        <v>275</v>
      </c>
      <c r="BJ73" s="905">
        <f t="shared" si="4"/>
        <v>46298</v>
      </c>
      <c r="BK73" s="299"/>
      <c r="BL73" s="395"/>
      <c r="BM73" s="391" t="s">
        <v>2351</v>
      </c>
      <c r="BN73" s="395" t="s">
        <v>1356</v>
      </c>
      <c r="BO73" s="889"/>
      <c r="BP73" s="889">
        <f>+'WELL DATA'!H86</f>
        <v>0</v>
      </c>
    </row>
    <row r="74" spans="2:68" ht="150" customHeight="1">
      <c r="B74" s="1163" t="s">
        <v>2333</v>
      </c>
      <c r="C74" s="1164"/>
      <c r="D74" s="1069">
        <v>0</v>
      </c>
      <c r="E74" s="1175" t="s">
        <v>2786</v>
      </c>
      <c r="F74" s="1176"/>
      <c r="G74" s="1176"/>
      <c r="H74" s="1176"/>
      <c r="I74" s="1176"/>
      <c r="J74" s="1176"/>
      <c r="K74" s="1176"/>
      <c r="L74" s="1176"/>
      <c r="M74" s="1176"/>
      <c r="N74" s="1177"/>
      <c r="O74" s="1047">
        <f>M6-(O65+O66+O67+O68+O69+O70+O71+O72+O73+O75+O76+O77+O78+O79+O80+O81+O82+O83)</f>
        <v>-147.4782529064687</v>
      </c>
      <c r="P74" s="218"/>
      <c r="BI74" s="298" t="s">
        <v>275</v>
      </c>
      <c r="BJ74" s="905">
        <f t="shared" si="4"/>
        <v>46298</v>
      </c>
      <c r="BK74" s="299"/>
      <c r="BL74" s="395"/>
      <c r="BM74" s="391" t="s">
        <v>2209</v>
      </c>
      <c r="BN74" s="395" t="s">
        <v>1356</v>
      </c>
      <c r="BO74" s="889"/>
      <c r="BP74" s="889">
        <f>+'WELL DATA'!H149</f>
        <v>1.07</v>
      </c>
    </row>
    <row r="75" spans="2:68" ht="54.75" customHeight="1">
      <c r="B75" s="1163" t="s">
        <v>2767</v>
      </c>
      <c r="C75" s="1164"/>
      <c r="D75" s="1069">
        <v>0</v>
      </c>
      <c r="E75" s="1175" t="s">
        <v>2772</v>
      </c>
      <c r="F75" s="1176"/>
      <c r="G75" s="1176"/>
      <c r="H75" s="1176"/>
      <c r="I75" s="1176"/>
      <c r="J75" s="1176"/>
      <c r="K75" s="1176"/>
      <c r="L75" s="1176"/>
      <c r="M75" s="1176"/>
      <c r="N75" s="1177"/>
      <c r="O75" s="1047">
        <f>'DATA INPUT'!E179</f>
        <v>3.8230000000003201</v>
      </c>
      <c r="BI75" s="298" t="s">
        <v>275</v>
      </c>
      <c r="BJ75" s="905">
        <f t="shared" si="4"/>
        <v>46298</v>
      </c>
      <c r="BK75" s="299"/>
      <c r="BL75" s="395"/>
      <c r="BM75" s="391" t="s">
        <v>2210</v>
      </c>
      <c r="BN75" s="395" t="s">
        <v>1356</v>
      </c>
      <c r="BO75" s="889"/>
      <c r="BP75" s="889">
        <f>+'WELL DATA'!H109</f>
        <v>0.83104457459946146</v>
      </c>
    </row>
    <row r="76" spans="2:68" ht="33.75" customHeight="1">
      <c r="B76" s="1163" t="s">
        <v>2420</v>
      </c>
      <c r="C76" s="1164"/>
      <c r="D76" s="1069">
        <v>0</v>
      </c>
      <c r="E76" s="1175" t="s">
        <v>2768</v>
      </c>
      <c r="F76" s="1176"/>
      <c r="G76" s="1176"/>
      <c r="H76" s="1176"/>
      <c r="I76" s="1176"/>
      <c r="J76" s="1176"/>
      <c r="K76" s="1176"/>
      <c r="L76" s="1176"/>
      <c r="M76" s="1176"/>
      <c r="N76" s="1177"/>
      <c r="O76" s="1047">
        <f>M10</f>
        <v>2</v>
      </c>
      <c r="BI76" s="298" t="s">
        <v>275</v>
      </c>
      <c r="BJ76" s="905">
        <f t="shared" si="4"/>
        <v>46298</v>
      </c>
      <c r="BK76" s="299"/>
      <c r="BL76" s="395"/>
      <c r="BM76" s="391" t="s">
        <v>2229</v>
      </c>
      <c r="BN76" s="395" t="s">
        <v>1356</v>
      </c>
      <c r="BO76" s="889"/>
      <c r="BP76" s="889">
        <f>+'WELL DATA'!H110</f>
        <v>0</v>
      </c>
    </row>
    <row r="77" spans="2:68" ht="52.5" customHeight="1">
      <c r="B77" s="1163" t="s">
        <v>1946</v>
      </c>
      <c r="C77" s="1164"/>
      <c r="D77" s="1069">
        <v>0</v>
      </c>
      <c r="E77" s="1175" t="s">
        <v>2773</v>
      </c>
      <c r="F77" s="1176"/>
      <c r="G77" s="1176"/>
      <c r="H77" s="1176"/>
      <c r="I77" s="1176"/>
      <c r="J77" s="1176"/>
      <c r="K77" s="1176"/>
      <c r="L77" s="1176"/>
      <c r="M77" s="1176"/>
      <c r="N77" s="1177"/>
      <c r="O77" s="1047">
        <f>M11</f>
        <v>184</v>
      </c>
      <c r="BI77" s="298" t="s">
        <v>275</v>
      </c>
      <c r="BJ77" s="905">
        <f t="shared" si="4"/>
        <v>46298</v>
      </c>
      <c r="BK77" s="299"/>
      <c r="BL77" s="395"/>
      <c r="BM77" s="391" t="s">
        <v>2263</v>
      </c>
      <c r="BN77" s="395" t="s">
        <v>1356</v>
      </c>
      <c r="BO77" s="889"/>
      <c r="BP77" s="889">
        <f>+'WELL DATA'!H135</f>
        <v>0</v>
      </c>
    </row>
    <row r="78" spans="2:68" ht="24.95" customHeight="1">
      <c r="B78" s="1163" t="s">
        <v>1727</v>
      </c>
      <c r="C78" s="1164"/>
      <c r="D78" s="1069">
        <v>0</v>
      </c>
      <c r="E78" s="1175" t="s">
        <v>2769</v>
      </c>
      <c r="F78" s="1176"/>
      <c r="G78" s="1176"/>
      <c r="H78" s="1176"/>
      <c r="I78" s="1176"/>
      <c r="J78" s="1176"/>
      <c r="K78" s="1176"/>
      <c r="L78" s="1176"/>
      <c r="M78" s="1176"/>
      <c r="N78" s="1177"/>
      <c r="O78" s="1047">
        <f t="shared" ref="O78:O83" si="7">M14</f>
        <v>40</v>
      </c>
      <c r="BI78" s="298" t="s">
        <v>275</v>
      </c>
      <c r="BJ78" s="905">
        <f t="shared" si="4"/>
        <v>46298</v>
      </c>
      <c r="BK78" s="299"/>
      <c r="BL78" s="395"/>
      <c r="BM78" s="391" t="s">
        <v>2282</v>
      </c>
      <c r="BN78" s="395" t="s">
        <v>1356</v>
      </c>
      <c r="BO78" s="889"/>
      <c r="BP78" s="889">
        <f>+'WELL DATA'!H132</f>
        <v>0.88784001585719252</v>
      </c>
    </row>
    <row r="79" spans="2:68" ht="24.95" customHeight="1">
      <c r="B79" s="1163" t="s">
        <v>2227</v>
      </c>
      <c r="C79" s="1164"/>
      <c r="D79" s="1069">
        <v>0</v>
      </c>
      <c r="E79" s="1175" t="s">
        <v>2769</v>
      </c>
      <c r="F79" s="1176"/>
      <c r="G79" s="1176"/>
      <c r="H79" s="1176"/>
      <c r="I79" s="1176"/>
      <c r="J79" s="1176"/>
      <c r="K79" s="1176"/>
      <c r="L79" s="1176"/>
      <c r="M79" s="1176"/>
      <c r="N79" s="1177"/>
      <c r="O79" s="1047">
        <f t="shared" si="7"/>
        <v>0</v>
      </c>
      <c r="BI79" s="298" t="s">
        <v>275</v>
      </c>
      <c r="BJ79" s="905">
        <f t="shared" si="4"/>
        <v>46298</v>
      </c>
      <c r="BK79" s="299"/>
      <c r="BL79" s="395"/>
      <c r="BM79" s="391" t="s">
        <v>2151</v>
      </c>
      <c r="BN79" s="395" t="s">
        <v>1356</v>
      </c>
      <c r="BO79" s="889"/>
      <c r="BP79" s="889">
        <f>+'WELL DATA'!H148</f>
        <v>1.4670938727566138</v>
      </c>
    </row>
    <row r="80" spans="2:68" ht="24.95" customHeight="1">
      <c r="B80" s="1163" t="s">
        <v>1729</v>
      </c>
      <c r="C80" s="1164"/>
      <c r="D80" s="1069">
        <v>0</v>
      </c>
      <c r="E80" s="1175" t="s">
        <v>2769</v>
      </c>
      <c r="F80" s="1176"/>
      <c r="G80" s="1176"/>
      <c r="H80" s="1176"/>
      <c r="I80" s="1176"/>
      <c r="J80" s="1176"/>
      <c r="K80" s="1176"/>
      <c r="L80" s="1176"/>
      <c r="M80" s="1176"/>
      <c r="N80" s="1177"/>
      <c r="O80" s="1047">
        <f t="shared" si="7"/>
        <v>-1</v>
      </c>
      <c r="BI80" s="298" t="s">
        <v>275</v>
      </c>
      <c r="BJ80" s="905">
        <f t="shared" si="4"/>
        <v>46298</v>
      </c>
      <c r="BK80" s="299"/>
      <c r="BL80" s="395"/>
      <c r="BM80" s="391" t="s">
        <v>1333</v>
      </c>
      <c r="BN80" s="395" t="s">
        <v>1356</v>
      </c>
      <c r="BO80" s="889"/>
      <c r="BP80" s="889">
        <v>7.1999999999999995E-2</v>
      </c>
    </row>
    <row r="81" spans="2:68" ht="24.95" customHeight="1">
      <c r="B81" s="1163" t="s">
        <v>2400</v>
      </c>
      <c r="C81" s="1164"/>
      <c r="D81" s="1069">
        <v>0</v>
      </c>
      <c r="E81" s="1175" t="s">
        <v>2769</v>
      </c>
      <c r="F81" s="1176"/>
      <c r="G81" s="1176"/>
      <c r="H81" s="1176"/>
      <c r="I81" s="1176"/>
      <c r="J81" s="1176"/>
      <c r="K81" s="1176"/>
      <c r="L81" s="1176"/>
      <c r="M81" s="1176"/>
      <c r="N81" s="1177"/>
      <c r="O81" s="1047">
        <f t="shared" si="7"/>
        <v>-1</v>
      </c>
      <c r="BI81" s="298" t="s">
        <v>275</v>
      </c>
      <c r="BJ81" s="905">
        <f t="shared" ref="BJ81:BJ92" si="8">REPORTDATE-1</f>
        <v>46298</v>
      </c>
      <c r="BK81" s="299"/>
      <c r="BL81" s="395"/>
      <c r="BM81" s="391" t="s">
        <v>2300</v>
      </c>
      <c r="BN81" s="395" t="s">
        <v>1356</v>
      </c>
      <c r="BO81" s="889"/>
      <c r="BP81" s="889">
        <v>2.29E-2</v>
      </c>
    </row>
    <row r="82" spans="2:68" ht="24.95" customHeight="1">
      <c r="B82" s="1163" t="s">
        <v>2770</v>
      </c>
      <c r="C82" s="1164"/>
      <c r="D82" s="1069">
        <v>0</v>
      </c>
      <c r="E82" s="1175" t="s">
        <v>2769</v>
      </c>
      <c r="F82" s="1176"/>
      <c r="G82" s="1176"/>
      <c r="H82" s="1176"/>
      <c r="I82" s="1176"/>
      <c r="J82" s="1176"/>
      <c r="K82" s="1176"/>
      <c r="L82" s="1176"/>
      <c r="M82" s="1176"/>
      <c r="N82" s="1177"/>
      <c r="O82" s="1047">
        <f t="shared" si="7"/>
        <v>-1</v>
      </c>
      <c r="BI82" s="298" t="s">
        <v>275</v>
      </c>
      <c r="BJ82" s="905">
        <f t="shared" si="8"/>
        <v>46298</v>
      </c>
      <c r="BK82" s="299"/>
      <c r="BL82" s="395"/>
      <c r="BM82" s="391" t="s">
        <v>2283</v>
      </c>
      <c r="BN82" s="395" t="s">
        <v>1356</v>
      </c>
      <c r="BO82" s="889"/>
      <c r="BP82" s="889">
        <v>1.494</v>
      </c>
    </row>
    <row r="83" spans="2:68" ht="24.95" customHeight="1">
      <c r="B83" s="1163" t="s">
        <v>2771</v>
      </c>
      <c r="C83" s="1164"/>
      <c r="D83" s="1069">
        <v>0</v>
      </c>
      <c r="E83" s="1175" t="s">
        <v>2769</v>
      </c>
      <c r="F83" s="1176"/>
      <c r="G83" s="1176"/>
      <c r="H83" s="1176"/>
      <c r="I83" s="1176"/>
      <c r="J83" s="1176"/>
      <c r="K83" s="1176"/>
      <c r="L83" s="1176"/>
      <c r="M83" s="1176"/>
      <c r="N83" s="1177"/>
      <c r="O83" s="1047">
        <f t="shared" si="7"/>
        <v>0</v>
      </c>
      <c r="BI83" s="298" t="s">
        <v>275</v>
      </c>
      <c r="BJ83" s="905">
        <f t="shared" si="8"/>
        <v>46298</v>
      </c>
      <c r="BK83" s="299"/>
      <c r="BL83" s="395"/>
      <c r="BM83" s="391" t="s">
        <v>2284</v>
      </c>
      <c r="BN83" s="395" t="s">
        <v>1356</v>
      </c>
      <c r="BO83" s="889"/>
      <c r="BP83" s="889">
        <v>1.25</v>
      </c>
    </row>
    <row r="84" spans="2:68" ht="24.95" customHeight="1" thickBot="1">
      <c r="B84" s="1237" t="s">
        <v>2353</v>
      </c>
      <c r="C84" s="1238"/>
      <c r="D84" s="1048"/>
      <c r="E84" s="1175"/>
      <c r="F84" s="1176"/>
      <c r="G84" s="1176"/>
      <c r="H84" s="1176"/>
      <c r="I84" s="1176"/>
      <c r="J84" s="1176"/>
      <c r="K84" s="1176"/>
      <c r="L84" s="1176"/>
      <c r="M84" s="1176"/>
      <c r="N84" s="1177"/>
      <c r="O84" s="1047">
        <f>M6</f>
        <v>26.344747093531623</v>
      </c>
      <c r="BI84" s="298" t="s">
        <v>275</v>
      </c>
      <c r="BJ84" s="905">
        <f t="shared" si="8"/>
        <v>46298</v>
      </c>
      <c r="BK84" s="299"/>
      <c r="BL84" s="395"/>
      <c r="BM84" s="391" t="s">
        <v>2285</v>
      </c>
      <c r="BN84" s="395" t="s">
        <v>1356</v>
      </c>
      <c r="BO84" s="889"/>
      <c r="BP84" s="889">
        <v>1.9450000000000001</v>
      </c>
    </row>
    <row r="85" spans="2:68" ht="20.100000000000001" customHeight="1">
      <c r="B85" s="47"/>
      <c r="BI85" s="298" t="s">
        <v>275</v>
      </c>
      <c r="BJ85" s="905">
        <f t="shared" si="8"/>
        <v>46298</v>
      </c>
      <c r="BK85" s="299"/>
      <c r="BL85" s="395"/>
      <c r="BM85" s="391" t="s">
        <v>2301</v>
      </c>
      <c r="BN85" s="395" t="s">
        <v>1356</v>
      </c>
      <c r="BO85" s="889"/>
      <c r="BP85" s="889">
        <v>0.9</v>
      </c>
    </row>
    <row r="86" spans="2:68" ht="20.100000000000001" customHeight="1">
      <c r="B86" s="47" t="s">
        <v>2406</v>
      </c>
      <c r="C86" s="47"/>
      <c r="D86" s="47"/>
      <c r="J86" s="759"/>
      <c r="K86" s="759"/>
      <c r="L86" s="759"/>
      <c r="M86" s="759"/>
      <c r="N86" s="759"/>
      <c r="O86" s="759"/>
      <c r="BI86" s="298" t="s">
        <v>275</v>
      </c>
      <c r="BJ86" s="905">
        <f t="shared" si="8"/>
        <v>46298</v>
      </c>
      <c r="BK86" s="299"/>
      <c r="BL86" s="395"/>
      <c r="BM86" s="391" t="s">
        <v>2327</v>
      </c>
      <c r="BN86" s="395" t="s">
        <v>1356</v>
      </c>
      <c r="BO86" s="889"/>
      <c r="BP86" s="889">
        <v>1.5</v>
      </c>
    </row>
    <row r="87" spans="2:68" ht="20.100000000000001" customHeight="1">
      <c r="B87" s="1239"/>
      <c r="C87" s="1240"/>
      <c r="D87" s="1151"/>
      <c r="E87" s="1241"/>
      <c r="F87" s="1241"/>
      <c r="G87" s="1241"/>
      <c r="H87" s="1241"/>
      <c r="I87" s="1241"/>
      <c r="J87" s="1241"/>
      <c r="K87" s="1241"/>
      <c r="L87" s="1241"/>
      <c r="M87" s="1241"/>
      <c r="N87" s="1241"/>
      <c r="O87" s="1242"/>
      <c r="P87" s="944"/>
      <c r="BI87" s="298" t="s">
        <v>275</v>
      </c>
      <c r="BJ87" s="905">
        <f t="shared" si="8"/>
        <v>46298</v>
      </c>
      <c r="BK87" s="299"/>
      <c r="BL87" s="395"/>
      <c r="BM87" s="391" t="s">
        <v>2328</v>
      </c>
      <c r="BN87" s="395" t="s">
        <v>1356</v>
      </c>
      <c r="BO87" s="889"/>
      <c r="BP87" s="889">
        <v>1.6</v>
      </c>
    </row>
    <row r="88" spans="2:68" ht="30.75" customHeight="1">
      <c r="B88" s="1211" t="s">
        <v>2753</v>
      </c>
      <c r="C88" s="1214"/>
      <c r="D88" s="1211" t="s">
        <v>2785</v>
      </c>
      <c r="E88" s="1212"/>
      <c r="F88" s="1212"/>
      <c r="G88" s="1212"/>
      <c r="H88" s="1212"/>
      <c r="I88" s="1212"/>
      <c r="J88" s="1212"/>
      <c r="K88" s="1212"/>
      <c r="L88" s="1212"/>
      <c r="M88" s="1212"/>
      <c r="N88" s="1212"/>
      <c r="O88" s="1213"/>
      <c r="P88" s="944"/>
      <c r="BI88" s="298" t="s">
        <v>275</v>
      </c>
      <c r="BJ88" s="905">
        <f t="shared" si="8"/>
        <v>46298</v>
      </c>
      <c r="BK88" s="299"/>
      <c r="BL88" s="395"/>
      <c r="BM88" s="391" t="s">
        <v>2413</v>
      </c>
      <c r="BN88" s="395" t="s">
        <v>63</v>
      </c>
      <c r="BO88" s="889">
        <f>+N17</f>
        <v>123.04942834176923</v>
      </c>
      <c r="BP88" s="889"/>
    </row>
    <row r="89" spans="2:68" ht="129" customHeight="1">
      <c r="B89" s="1211" t="s">
        <v>2754</v>
      </c>
      <c r="C89" s="1214"/>
      <c r="D89" s="1211" t="s">
        <v>2788</v>
      </c>
      <c r="E89" s="1212"/>
      <c r="F89" s="1212"/>
      <c r="G89" s="1212"/>
      <c r="H89" s="1212"/>
      <c r="I89" s="1212"/>
      <c r="J89" s="1212"/>
      <c r="K89" s="1212"/>
      <c r="L89" s="1212"/>
      <c r="M89" s="1212"/>
      <c r="N89" s="1212"/>
      <c r="O89" s="1213"/>
      <c r="P89" s="944"/>
      <c r="BI89" s="298" t="s">
        <v>275</v>
      </c>
      <c r="BJ89" s="905">
        <f t="shared" si="8"/>
        <v>46298</v>
      </c>
      <c r="BK89" s="299"/>
      <c r="BL89" s="395"/>
      <c r="BM89" s="391" t="s">
        <v>2414</v>
      </c>
      <c r="BN89" s="395" t="s">
        <v>63</v>
      </c>
      <c r="BO89" s="889">
        <f>+AZ28</f>
        <v>123.04942834176923</v>
      </c>
      <c r="BP89" s="889"/>
    </row>
    <row r="90" spans="2:68" ht="49.5" customHeight="1">
      <c r="B90" s="1211" t="s">
        <v>2755</v>
      </c>
      <c r="C90" s="1214"/>
      <c r="D90" s="1211" t="s">
        <v>2758</v>
      </c>
      <c r="E90" s="1212"/>
      <c r="F90" s="1212"/>
      <c r="G90" s="1212"/>
      <c r="H90" s="1212"/>
      <c r="I90" s="1212"/>
      <c r="J90" s="1212"/>
      <c r="K90" s="1212"/>
      <c r="L90" s="1212"/>
      <c r="M90" s="1212"/>
      <c r="N90" s="1212"/>
      <c r="O90" s="1213"/>
      <c r="P90" s="944"/>
      <c r="BI90" s="298" t="s">
        <v>275</v>
      </c>
      <c r="BJ90" s="905">
        <f t="shared" si="8"/>
        <v>46298</v>
      </c>
      <c r="BK90" s="299"/>
      <c r="BL90" s="395"/>
      <c r="BM90" s="391" t="s">
        <v>2628</v>
      </c>
      <c r="BN90" s="395" t="s">
        <v>1356</v>
      </c>
      <c r="BO90" s="889"/>
      <c r="BP90" s="889">
        <f>+'WELL DATA'!H72</f>
        <v>0.75865217285822095</v>
      </c>
    </row>
    <row r="91" spans="2:68" ht="41.25" customHeight="1">
      <c r="B91" s="1211" t="s">
        <v>2756</v>
      </c>
      <c r="C91" s="1214"/>
      <c r="D91" s="1211" t="s">
        <v>2789</v>
      </c>
      <c r="E91" s="1212"/>
      <c r="F91" s="1212"/>
      <c r="G91" s="1212"/>
      <c r="H91" s="1212"/>
      <c r="I91" s="1212"/>
      <c r="J91" s="1212"/>
      <c r="K91" s="1212"/>
      <c r="L91" s="1212"/>
      <c r="M91" s="1212"/>
      <c r="N91" s="1212"/>
      <c r="O91" s="1213"/>
      <c r="P91" s="944"/>
      <c r="BI91" s="298" t="s">
        <v>275</v>
      </c>
      <c r="BJ91" s="905">
        <f t="shared" si="8"/>
        <v>46298</v>
      </c>
      <c r="BK91" s="299"/>
      <c r="BL91" s="395"/>
      <c r="BM91" s="391" t="s">
        <v>2629</v>
      </c>
      <c r="BN91" s="395" t="s">
        <v>1356</v>
      </c>
      <c r="BO91" s="889"/>
      <c r="BP91" s="889">
        <f>+'WELL DATA'!H85</f>
        <v>1.39</v>
      </c>
    </row>
    <row r="92" spans="2:68" ht="24.75" customHeight="1">
      <c r="B92" s="1211" t="s">
        <v>2757</v>
      </c>
      <c r="C92" s="1214"/>
      <c r="D92" s="1211" t="s">
        <v>2759</v>
      </c>
      <c r="E92" s="1212"/>
      <c r="F92" s="1212"/>
      <c r="G92" s="1212"/>
      <c r="H92" s="1212"/>
      <c r="I92" s="1212"/>
      <c r="J92" s="1212"/>
      <c r="K92" s="1212"/>
      <c r="L92" s="1212"/>
      <c r="M92" s="1212"/>
      <c r="N92" s="1212"/>
      <c r="O92" s="1213"/>
      <c r="P92" s="944"/>
      <c r="BI92" s="298" t="s">
        <v>275</v>
      </c>
      <c r="BJ92" s="905">
        <f t="shared" si="8"/>
        <v>46298</v>
      </c>
      <c r="BK92" s="299"/>
      <c r="BL92" s="395"/>
      <c r="BM92" s="391" t="s">
        <v>2631</v>
      </c>
      <c r="BN92" s="395" t="s">
        <v>1356</v>
      </c>
      <c r="BO92" s="889"/>
      <c r="BP92" s="889">
        <f>+'WELL DATA'!H81</f>
        <v>0</v>
      </c>
    </row>
    <row r="93" spans="2:68" ht="43.5" customHeight="1">
      <c r="B93" s="1211" t="s">
        <v>2760</v>
      </c>
      <c r="C93" s="1214"/>
      <c r="D93" s="1211" t="s">
        <v>2761</v>
      </c>
      <c r="E93" s="1212"/>
      <c r="F93" s="1212"/>
      <c r="G93" s="1212"/>
      <c r="H93" s="1212"/>
      <c r="I93" s="1212"/>
      <c r="J93" s="1212"/>
      <c r="K93" s="1212"/>
      <c r="L93" s="1212"/>
      <c r="M93" s="1212"/>
      <c r="N93" s="1212"/>
      <c r="O93" s="1213"/>
      <c r="P93" s="944"/>
      <c r="BI93" s="298"/>
      <c r="BJ93" s="905"/>
      <c r="BK93" s="299"/>
      <c r="BL93" s="395"/>
      <c r="BM93" s="391"/>
      <c r="BN93" s="395"/>
      <c r="BO93" s="889"/>
      <c r="BP93" s="889"/>
    </row>
    <row r="94" spans="2:68" ht="24.95" customHeight="1">
      <c r="B94" s="1211" t="s">
        <v>2678</v>
      </c>
      <c r="C94" s="1214"/>
      <c r="D94" s="1211" t="s">
        <v>2762</v>
      </c>
      <c r="E94" s="1212"/>
      <c r="F94" s="1212"/>
      <c r="G94" s="1212"/>
      <c r="H94" s="1212"/>
      <c r="I94" s="1212"/>
      <c r="J94" s="1212"/>
      <c r="K94" s="1212"/>
      <c r="L94" s="1212"/>
      <c r="M94" s="1212"/>
      <c r="N94" s="1212"/>
      <c r="O94" s="1213"/>
      <c r="P94" s="944"/>
      <c r="BI94" s="298"/>
      <c r="BJ94" s="905"/>
      <c r="BK94" s="299"/>
      <c r="BL94" s="395"/>
      <c r="BM94" s="391"/>
      <c r="BN94" s="395"/>
      <c r="BO94" s="889"/>
      <c r="BP94" s="889"/>
    </row>
    <row r="95" spans="2:68" ht="24.95" customHeight="1">
      <c r="B95" s="1211" t="s">
        <v>2396</v>
      </c>
      <c r="C95" s="1214"/>
      <c r="D95" s="1211" t="s">
        <v>2763</v>
      </c>
      <c r="E95" s="1212"/>
      <c r="F95" s="1212"/>
      <c r="G95" s="1212"/>
      <c r="H95" s="1212"/>
      <c r="I95" s="1212"/>
      <c r="J95" s="1212"/>
      <c r="K95" s="1212"/>
      <c r="L95" s="1212"/>
      <c r="M95" s="1212"/>
      <c r="N95" s="1212"/>
      <c r="O95" s="1213"/>
      <c r="P95" s="944"/>
      <c r="BI95" s="298"/>
      <c r="BJ95" s="905"/>
      <c r="BK95" s="299"/>
      <c r="BL95" s="395"/>
      <c r="BM95" s="391"/>
      <c r="BN95" s="395"/>
      <c r="BO95" s="889"/>
      <c r="BP95" s="889"/>
    </row>
    <row r="96" spans="2:68" ht="24.95" customHeight="1">
      <c r="B96" s="1211" t="s">
        <v>2330</v>
      </c>
      <c r="C96" s="1214"/>
      <c r="D96" s="1211" t="s">
        <v>2764</v>
      </c>
      <c r="E96" s="1212"/>
      <c r="F96" s="1212"/>
      <c r="G96" s="1212"/>
      <c r="H96" s="1212"/>
      <c r="I96" s="1212"/>
      <c r="J96" s="1212"/>
      <c r="K96" s="1212"/>
      <c r="L96" s="1212"/>
      <c r="M96" s="1212"/>
      <c r="N96" s="1212"/>
      <c r="O96" s="1213"/>
      <c r="P96" s="944"/>
      <c r="BI96" s="298"/>
      <c r="BJ96" s="905"/>
      <c r="BK96" s="299"/>
      <c r="BL96" s="395"/>
      <c r="BM96" s="391"/>
      <c r="BN96" s="395"/>
      <c r="BO96" s="889"/>
      <c r="BP96" s="889"/>
    </row>
    <row r="97" spans="2:68" ht="24.95" customHeight="1">
      <c r="B97" s="1211" t="s">
        <v>2765</v>
      </c>
      <c r="C97" s="1214"/>
      <c r="D97" s="1211" t="s">
        <v>2766</v>
      </c>
      <c r="E97" s="1212"/>
      <c r="F97" s="1212"/>
      <c r="G97" s="1212"/>
      <c r="H97" s="1212"/>
      <c r="I97" s="1212"/>
      <c r="J97" s="1212"/>
      <c r="K97" s="1212"/>
      <c r="L97" s="1212"/>
      <c r="M97" s="1212"/>
      <c r="N97" s="1212"/>
      <c r="O97" s="1213"/>
      <c r="P97" s="944"/>
      <c r="BI97" s="298"/>
      <c r="BJ97" s="905"/>
      <c r="BK97" s="299"/>
      <c r="BL97" s="395"/>
      <c r="BM97" s="391"/>
      <c r="BN97" s="395"/>
      <c r="BO97" s="889"/>
      <c r="BP97" s="889"/>
    </row>
    <row r="98" spans="2:68" ht="24.95" customHeight="1">
      <c r="B98" s="1211" t="s">
        <v>1631</v>
      </c>
      <c r="C98" s="1214"/>
      <c r="D98" s="1211" t="s">
        <v>2783</v>
      </c>
      <c r="E98" s="1212"/>
      <c r="F98" s="1212"/>
      <c r="G98" s="1212"/>
      <c r="H98" s="1212"/>
      <c r="I98" s="1212"/>
      <c r="J98" s="1212"/>
      <c r="K98" s="1212"/>
      <c r="L98" s="1212"/>
      <c r="M98" s="1212"/>
      <c r="N98" s="1212"/>
      <c r="O98" s="1213"/>
      <c r="P98" s="944"/>
      <c r="BI98" s="298"/>
      <c r="BJ98" s="905"/>
      <c r="BK98" s="299"/>
      <c r="BL98" s="395"/>
      <c r="BM98" s="391"/>
      <c r="BN98" s="395"/>
      <c r="BO98" s="889"/>
      <c r="BP98" s="889"/>
    </row>
    <row r="99" spans="2:68" ht="24.95" customHeight="1">
      <c r="B99" s="1211" t="s">
        <v>2782</v>
      </c>
      <c r="C99" s="1214"/>
      <c r="D99" s="1211" t="s">
        <v>2784</v>
      </c>
      <c r="E99" s="1212"/>
      <c r="F99" s="1212"/>
      <c r="G99" s="1212"/>
      <c r="H99" s="1212"/>
      <c r="I99" s="1212"/>
      <c r="J99" s="1212"/>
      <c r="K99" s="1212"/>
      <c r="L99" s="1212"/>
      <c r="M99" s="1212"/>
      <c r="N99" s="1212"/>
      <c r="O99" s="1213"/>
      <c r="P99" s="944"/>
      <c r="BI99" s="298"/>
      <c r="BJ99" s="905"/>
      <c r="BK99" s="299"/>
      <c r="BL99" s="395"/>
      <c r="BM99" s="391"/>
      <c r="BN99" s="395"/>
      <c r="BO99" s="889"/>
      <c r="BP99" s="889"/>
    </row>
    <row r="100" spans="2:68" ht="149.25" customHeight="1">
      <c r="B100" s="1211" t="s">
        <v>2266</v>
      </c>
      <c r="C100" s="1214"/>
      <c r="D100" s="1211" t="s">
        <v>2749</v>
      </c>
      <c r="E100" s="1212"/>
      <c r="F100" s="1212"/>
      <c r="G100" s="1212"/>
      <c r="H100" s="1212"/>
      <c r="I100" s="1212"/>
      <c r="J100" s="1212"/>
      <c r="K100" s="1212"/>
      <c r="L100" s="1212"/>
      <c r="M100" s="1212"/>
      <c r="N100" s="1212"/>
      <c r="O100" s="1213"/>
      <c r="P100" s="944"/>
      <c r="BI100" s="298"/>
      <c r="BJ100" s="905"/>
      <c r="BK100" s="299"/>
      <c r="BL100" s="395"/>
      <c r="BM100" s="391"/>
      <c r="BN100" s="395"/>
      <c r="BO100" s="889"/>
      <c r="BP100" s="889"/>
    </row>
    <row r="101" spans="2:68" ht="69" customHeight="1">
      <c r="B101" s="1211" t="s">
        <v>2726</v>
      </c>
      <c r="C101" s="1214"/>
      <c r="D101" s="1211" t="s">
        <v>2791</v>
      </c>
      <c r="E101" s="1212"/>
      <c r="F101" s="1212"/>
      <c r="G101" s="1212"/>
      <c r="H101" s="1212"/>
      <c r="I101" s="1212"/>
      <c r="J101" s="1212"/>
      <c r="K101" s="1212"/>
      <c r="L101" s="1212"/>
      <c r="M101" s="1212"/>
      <c r="N101" s="1212"/>
      <c r="O101" s="1213"/>
      <c r="P101" s="944"/>
      <c r="BI101" s="298"/>
      <c r="BJ101" s="905"/>
      <c r="BK101" s="299"/>
      <c r="BL101" s="395"/>
      <c r="BM101" s="391"/>
      <c r="BN101" s="395"/>
      <c r="BO101" s="889"/>
      <c r="BP101" s="889"/>
    </row>
    <row r="102" spans="2:68" ht="66.75" customHeight="1">
      <c r="B102" s="1211" t="s">
        <v>2612</v>
      </c>
      <c r="C102" s="1214"/>
      <c r="D102" s="1211" t="s">
        <v>2790</v>
      </c>
      <c r="E102" s="1212"/>
      <c r="F102" s="1212"/>
      <c r="G102" s="1212"/>
      <c r="H102" s="1212"/>
      <c r="I102" s="1212"/>
      <c r="J102" s="1212"/>
      <c r="K102" s="1212"/>
      <c r="L102" s="1212"/>
      <c r="M102" s="1212"/>
      <c r="N102" s="1212"/>
      <c r="O102" s="1213"/>
      <c r="P102" s="944"/>
    </row>
    <row r="103" spans="2:68" ht="115.5" customHeight="1">
      <c r="B103" s="1211" t="s">
        <v>2241</v>
      </c>
      <c r="C103" s="1214"/>
      <c r="D103" s="1211" t="s">
        <v>2750</v>
      </c>
      <c r="E103" s="1212"/>
      <c r="F103" s="1212"/>
      <c r="G103" s="1212"/>
      <c r="H103" s="1212"/>
      <c r="I103" s="1212"/>
      <c r="J103" s="1212"/>
      <c r="K103" s="1212"/>
      <c r="L103" s="1212"/>
      <c r="M103" s="1212"/>
      <c r="N103" s="1212"/>
      <c r="O103" s="1213"/>
      <c r="P103" s="944"/>
    </row>
    <row r="104" spans="2:68" ht="63.75" customHeight="1">
      <c r="B104" s="1211" t="s">
        <v>2748</v>
      </c>
      <c r="C104" s="1214"/>
      <c r="D104" s="1211" t="s">
        <v>2747</v>
      </c>
      <c r="E104" s="1212"/>
      <c r="F104" s="1212"/>
      <c r="G104" s="1212"/>
      <c r="H104" s="1212"/>
      <c r="I104" s="1212"/>
      <c r="J104" s="1212"/>
      <c r="K104" s="1212"/>
      <c r="L104" s="1212"/>
      <c r="M104" s="1212"/>
      <c r="N104" s="1212"/>
      <c r="O104" s="1213"/>
      <c r="P104" s="944"/>
    </row>
    <row r="105" spans="2:68" ht="70.5" customHeight="1">
      <c r="B105" s="1211" t="s">
        <v>2016</v>
      </c>
      <c r="C105" s="1214"/>
      <c r="D105" s="1211" t="s">
        <v>2751</v>
      </c>
      <c r="E105" s="1212"/>
      <c r="F105" s="1212"/>
      <c r="G105" s="1212"/>
      <c r="H105" s="1212"/>
      <c r="I105" s="1212"/>
      <c r="J105" s="1212"/>
      <c r="K105" s="1212"/>
      <c r="L105" s="1212"/>
      <c r="M105" s="1212"/>
      <c r="N105" s="1212"/>
      <c r="O105" s="1213"/>
      <c r="P105" s="944"/>
    </row>
    <row r="106" spans="2:68" ht="88.5" customHeight="1">
      <c r="B106" s="1211" t="s">
        <v>2242</v>
      </c>
      <c r="C106" s="1214"/>
      <c r="D106" s="1211" t="s">
        <v>2752</v>
      </c>
      <c r="E106" s="1212"/>
      <c r="F106" s="1212"/>
      <c r="G106" s="1212"/>
      <c r="H106" s="1212"/>
      <c r="I106" s="1212"/>
      <c r="J106" s="1212"/>
      <c r="K106" s="1212"/>
      <c r="L106" s="1212"/>
      <c r="M106" s="1212"/>
      <c r="N106" s="1212"/>
      <c r="O106" s="1213"/>
      <c r="P106" s="944"/>
    </row>
    <row r="107" spans="2:68" ht="55.5" customHeight="1">
      <c r="B107" s="1211" t="s">
        <v>1283</v>
      </c>
      <c r="C107" s="1214" t="s">
        <v>1283</v>
      </c>
      <c r="D107" s="1211" t="s">
        <v>2792</v>
      </c>
      <c r="E107" s="1212"/>
      <c r="F107" s="1212"/>
      <c r="G107" s="1212"/>
      <c r="H107" s="1212"/>
      <c r="I107" s="1212"/>
      <c r="J107" s="1212" t="s">
        <v>2792</v>
      </c>
      <c r="K107" s="1212"/>
      <c r="L107" s="1212"/>
      <c r="M107" s="1212"/>
      <c r="N107" s="1212"/>
      <c r="O107" s="1213"/>
      <c r="P107" s="944"/>
    </row>
    <row r="108" spans="2:68" ht="87" customHeight="1">
      <c r="B108" s="1211" t="s">
        <v>1554</v>
      </c>
      <c r="C108" s="1214" t="s">
        <v>1554</v>
      </c>
      <c r="D108" s="1211" t="s">
        <v>2793</v>
      </c>
      <c r="E108" s="1212"/>
      <c r="F108" s="1212"/>
      <c r="G108" s="1212"/>
      <c r="H108" s="1212"/>
      <c r="I108" s="1212"/>
      <c r="J108" s="1212" t="s">
        <v>2793</v>
      </c>
      <c r="K108" s="1212"/>
      <c r="L108" s="1212"/>
      <c r="M108" s="1212"/>
      <c r="N108" s="1212"/>
      <c r="O108" s="1213"/>
      <c r="P108" s="944"/>
    </row>
    <row r="109" spans="2:68" ht="87.75" hidden="1" customHeight="1">
      <c r="B109" s="1211"/>
      <c r="C109" s="1214"/>
      <c r="D109" s="1211"/>
      <c r="E109" s="1212"/>
      <c r="F109" s="1212"/>
      <c r="G109" s="1212"/>
      <c r="H109" s="1212"/>
      <c r="I109" s="1212"/>
      <c r="J109" s="1212"/>
      <c r="K109" s="1212"/>
      <c r="L109" s="1212"/>
      <c r="M109" s="1212"/>
      <c r="N109" s="1212"/>
      <c r="O109" s="1213"/>
      <c r="P109" s="944"/>
    </row>
    <row r="110" spans="2:68" ht="49.5" hidden="1" customHeight="1">
      <c r="B110" s="1211"/>
      <c r="C110" s="1214"/>
      <c r="D110" s="1211"/>
      <c r="E110" s="1212"/>
      <c r="F110" s="1212"/>
      <c r="G110" s="1212"/>
      <c r="H110" s="1212"/>
      <c r="I110" s="1212"/>
      <c r="J110" s="1212"/>
      <c r="K110" s="1212"/>
      <c r="L110" s="1212"/>
      <c r="M110" s="1212"/>
      <c r="N110" s="1212"/>
      <c r="O110" s="1213"/>
      <c r="P110" s="944"/>
    </row>
    <row r="111" spans="2:68" ht="78" hidden="1" customHeight="1">
      <c r="B111" s="1211"/>
      <c r="C111" s="1214"/>
      <c r="D111" s="1211"/>
      <c r="E111" s="1212"/>
      <c r="F111" s="1212"/>
      <c r="G111" s="1212"/>
      <c r="H111" s="1212"/>
      <c r="I111" s="1212"/>
      <c r="J111" s="1212"/>
      <c r="K111" s="1212"/>
      <c r="L111" s="1212"/>
      <c r="M111" s="1212"/>
      <c r="N111" s="1212"/>
      <c r="O111" s="1213"/>
      <c r="P111" s="944"/>
    </row>
    <row r="112" spans="2:68" ht="78.75" hidden="1" customHeight="1">
      <c r="B112" s="1211"/>
      <c r="C112" s="1214"/>
      <c r="D112" s="1211"/>
      <c r="E112" s="1212"/>
      <c r="F112" s="1212"/>
      <c r="G112" s="1212"/>
      <c r="H112" s="1212"/>
      <c r="I112" s="1212"/>
      <c r="J112" s="1212"/>
      <c r="K112" s="1212"/>
      <c r="L112" s="1212"/>
      <c r="M112" s="1212"/>
      <c r="N112" s="1212"/>
      <c r="O112" s="1213"/>
      <c r="P112" s="944"/>
    </row>
    <row r="113" spans="1:17" ht="54" hidden="1" customHeight="1">
      <c r="B113" s="1211"/>
      <c r="C113" s="1214"/>
      <c r="D113" s="1211"/>
      <c r="E113" s="1212"/>
      <c r="F113" s="1212"/>
      <c r="G113" s="1212"/>
      <c r="H113" s="1212"/>
      <c r="I113" s="1212"/>
      <c r="J113" s="1212"/>
      <c r="K113" s="1212"/>
      <c r="L113" s="1212"/>
      <c r="M113" s="1212"/>
      <c r="N113" s="1212"/>
      <c r="O113" s="1213"/>
      <c r="P113" s="944"/>
    </row>
    <row r="114" spans="1:17" ht="66" hidden="1" customHeight="1">
      <c r="B114" s="1211"/>
      <c r="C114" s="1214"/>
      <c r="D114" s="1211"/>
      <c r="E114" s="1212"/>
      <c r="F114" s="1212"/>
      <c r="G114" s="1212"/>
      <c r="H114" s="1212"/>
      <c r="I114" s="1212"/>
      <c r="J114" s="1212"/>
      <c r="K114" s="1212"/>
      <c r="L114" s="1212"/>
      <c r="M114" s="1212"/>
      <c r="N114" s="1212"/>
      <c r="O114" s="1213"/>
      <c r="P114" s="944"/>
    </row>
    <row r="115" spans="1:17" ht="30.75" customHeight="1">
      <c r="A115" s="1049" t="s">
        <v>1537</v>
      </c>
      <c r="B115" s="1050" t="s">
        <v>2324</v>
      </c>
      <c r="C115" s="1050"/>
      <c r="D115" s="1050"/>
      <c r="E115" s="1049"/>
      <c r="F115" s="1049"/>
      <c r="G115" s="1049"/>
      <c r="H115" s="1049"/>
      <c r="I115" s="1049"/>
      <c r="J115" s="1049"/>
      <c r="K115" s="1050" t="s">
        <v>2325</v>
      </c>
      <c r="L115" s="1051"/>
      <c r="M115" s="1051"/>
      <c r="N115" s="1049"/>
      <c r="P115" s="1049"/>
      <c r="Q115" s="1049"/>
    </row>
    <row r="116" spans="1:17" ht="25.5" customHeight="1">
      <c r="A116" s="1049"/>
      <c r="B116" s="992" t="s">
        <v>2794</v>
      </c>
      <c r="C116" s="992"/>
      <c r="D116" s="992"/>
      <c r="E116" s="1049"/>
      <c r="F116" s="1049"/>
      <c r="G116" s="1049"/>
      <c r="H116" s="1049"/>
      <c r="I116" s="1049"/>
      <c r="J116" s="1049"/>
      <c r="K116" s="1220" t="s">
        <v>2671</v>
      </c>
      <c r="L116" s="1221"/>
      <c r="M116" s="1221"/>
      <c r="N116" s="1049"/>
      <c r="O116" s="1049"/>
      <c r="P116" s="1049"/>
      <c r="Q116" s="1049"/>
    </row>
    <row r="117" spans="1:17" ht="19.5">
      <c r="A117" s="1049"/>
      <c r="B117" s="1049"/>
      <c r="C117" s="1049"/>
      <c r="D117" s="1049"/>
      <c r="E117" s="1049"/>
      <c r="F117" s="1049"/>
      <c r="G117" s="1049"/>
      <c r="H117" s="1049"/>
      <c r="I117" s="1049"/>
      <c r="P117" s="1049"/>
      <c r="Q117" s="1049"/>
    </row>
    <row r="118" spans="1:17" ht="12.75" customHeight="1">
      <c r="A118" s="1049"/>
      <c r="B118" s="1049"/>
      <c r="C118" s="1049"/>
      <c r="D118" s="1049"/>
      <c r="E118" s="1049"/>
      <c r="F118" s="1049"/>
      <c r="G118" s="1049"/>
      <c r="H118" s="1049"/>
      <c r="I118" s="1049"/>
      <c r="J118" s="1049"/>
      <c r="K118" s="1049"/>
      <c r="L118" s="1049"/>
      <c r="M118" s="1049"/>
      <c r="N118" s="1049"/>
      <c r="O118" s="1049"/>
      <c r="P118" s="1049"/>
      <c r="Q118" s="1049"/>
    </row>
    <row r="119" spans="1:17" ht="12.75" customHeight="1">
      <c r="A119" s="1049"/>
      <c r="B119" s="1049"/>
      <c r="C119" s="1049"/>
      <c r="D119" s="1049"/>
      <c r="E119" s="1049"/>
      <c r="F119" s="1049"/>
      <c r="G119" s="1049"/>
      <c r="H119" s="1049"/>
      <c r="I119" s="1049"/>
      <c r="J119" s="1049"/>
      <c r="K119" s="1049"/>
      <c r="L119" s="1049"/>
      <c r="M119" s="1049"/>
      <c r="N119" s="1049"/>
      <c r="O119" s="1049"/>
      <c r="P119" s="1049"/>
      <c r="Q119" s="1049"/>
    </row>
    <row r="120" spans="1:17" ht="18" customHeight="1">
      <c r="A120" s="1049"/>
      <c r="B120" s="1049"/>
      <c r="C120" s="1049"/>
      <c r="D120" s="1049"/>
      <c r="E120" s="1049"/>
      <c r="F120" s="1049"/>
      <c r="G120" s="1049"/>
      <c r="H120" s="1049"/>
      <c r="I120" s="1049"/>
      <c r="J120" s="1049"/>
      <c r="K120" s="1049"/>
      <c r="L120" s="1049"/>
      <c r="M120" s="1049"/>
      <c r="N120" s="1049"/>
      <c r="O120" s="1049"/>
      <c r="P120" s="1049"/>
      <c r="Q120" s="1049"/>
    </row>
    <row r="121" spans="1:17" ht="12.75" customHeight="1">
      <c r="A121" s="1049"/>
      <c r="B121" s="1049"/>
      <c r="C121" s="1049"/>
      <c r="D121" s="1049"/>
      <c r="E121" s="1049"/>
      <c r="F121" s="1049"/>
      <c r="G121" s="1049"/>
      <c r="H121" s="1049"/>
      <c r="I121" s="1049"/>
      <c r="J121" s="1049"/>
      <c r="K121" s="1049"/>
      <c r="L121" s="1049"/>
      <c r="M121" s="1049"/>
      <c r="N121" s="1049"/>
      <c r="O121" s="1049"/>
      <c r="P121" s="1049"/>
      <c r="Q121" s="1049"/>
    </row>
    <row r="122" spans="1:17" ht="12.75" customHeight="1">
      <c r="A122" s="1049"/>
      <c r="B122" s="1049"/>
      <c r="C122" s="1049"/>
      <c r="D122" s="1049"/>
      <c r="E122" s="1049"/>
      <c r="F122" s="1049"/>
      <c r="G122" s="1049"/>
      <c r="H122" s="1049"/>
      <c r="I122" s="1049"/>
      <c r="J122" s="1049"/>
      <c r="K122" s="1049"/>
      <c r="L122" s="1049"/>
      <c r="M122" s="1049"/>
      <c r="N122" s="1049"/>
      <c r="O122" s="1049"/>
      <c r="P122" s="1049"/>
      <c r="Q122" s="1049"/>
    </row>
    <row r="123" spans="1:17" ht="12.75" customHeight="1">
      <c r="A123" s="1049"/>
      <c r="B123" s="1049"/>
      <c r="C123" s="1049"/>
      <c r="D123" s="1049"/>
      <c r="E123" s="1049"/>
      <c r="F123" s="1049"/>
      <c r="G123" s="1049"/>
      <c r="H123" s="1049"/>
      <c r="I123" s="1049"/>
      <c r="J123" s="1049"/>
      <c r="K123" s="1049"/>
      <c r="L123" s="1049"/>
      <c r="M123" s="1049"/>
      <c r="N123" s="1049"/>
      <c r="O123" s="1049"/>
      <c r="P123" s="1049"/>
      <c r="Q123" s="1049"/>
    </row>
    <row r="124" spans="1:17" ht="12.75" customHeight="1">
      <c r="A124" s="1049"/>
      <c r="B124" s="1049"/>
      <c r="C124" s="1049"/>
      <c r="D124" s="1049"/>
      <c r="E124" s="1049"/>
      <c r="F124" s="1049"/>
      <c r="G124" s="1049"/>
      <c r="H124" s="1049"/>
      <c r="I124" s="1049"/>
      <c r="J124" s="1049"/>
      <c r="K124" s="1049"/>
      <c r="L124" s="1049"/>
      <c r="M124" s="1049"/>
      <c r="N124" s="1049"/>
      <c r="O124" s="1049"/>
      <c r="P124" s="1049"/>
      <c r="Q124" s="1049"/>
    </row>
    <row r="125" spans="1:17" ht="12.75" customHeight="1">
      <c r="A125" s="1049"/>
      <c r="B125" s="1049"/>
      <c r="C125" s="1049"/>
      <c r="D125" s="1049"/>
      <c r="E125" s="1049"/>
      <c r="F125" s="1049"/>
      <c r="G125" s="1049"/>
      <c r="H125" s="1049"/>
      <c r="I125" s="1049"/>
      <c r="J125" s="1049"/>
      <c r="K125" s="1049"/>
      <c r="L125" s="1049"/>
      <c r="M125" s="1049"/>
      <c r="N125" s="1049"/>
      <c r="O125" s="1049"/>
      <c r="P125" s="1049"/>
      <c r="Q125" s="1049"/>
    </row>
    <row r="126" spans="1:17" ht="12.75" customHeight="1">
      <c r="B126" s="1049"/>
      <c r="C126" s="1049"/>
      <c r="J126" s="1049"/>
      <c r="K126" s="1049"/>
      <c r="L126" s="1049"/>
      <c r="M126" s="1049"/>
      <c r="N126" s="1049"/>
      <c r="O126" s="1049"/>
    </row>
    <row r="127" spans="1:17" ht="12.75" customHeight="1">
      <c r="J127" s="1049"/>
      <c r="K127" s="1049"/>
      <c r="L127" s="1049"/>
      <c r="M127" s="1049"/>
      <c r="N127" s="1049"/>
      <c r="O127" s="1049"/>
    </row>
    <row r="132" ht="33.75" customHeight="1"/>
    <row r="159" spans="50:52" ht="12.75" customHeight="1">
      <c r="AX159"/>
      <c r="AZ159"/>
    </row>
    <row r="160" spans="50:52" ht="12.75" customHeight="1">
      <c r="AX160"/>
      <c r="AZ160"/>
    </row>
    <row r="161" spans="50:52" ht="12.75" customHeight="1">
      <c r="AX161"/>
      <c r="AZ161"/>
    </row>
    <row r="162" spans="50:52" ht="12.75" customHeight="1">
      <c r="AX162"/>
      <c r="AZ162"/>
    </row>
    <row r="163" spans="50:52" ht="12.75" customHeight="1">
      <c r="AX163"/>
      <c r="AZ163"/>
    </row>
    <row r="164" spans="50:52" ht="12.75" customHeight="1">
      <c r="AX164"/>
      <c r="AZ164"/>
    </row>
    <row r="190" ht="20.2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spans="2:5" ht="13.5" customHeight="1"/>
    <row r="210" spans="2:5" ht="13.5" customHeight="1"/>
    <row r="211" spans="2:5" ht="13.5" customHeight="1"/>
    <row r="212" spans="2:5" ht="13.5" customHeight="1">
      <c r="B212" s="1234" t="s">
        <v>28</v>
      </c>
      <c r="C212" s="1235"/>
      <c r="D212" s="1236"/>
      <c r="E212" s="130" t="s">
        <v>145</v>
      </c>
    </row>
    <row r="213" spans="2:5" ht="13.5" customHeight="1">
      <c r="B213" s="220" t="s">
        <v>71</v>
      </c>
      <c r="C213" s="1215" t="s">
        <v>79</v>
      </c>
      <c r="D213" s="1216"/>
      <c r="E213" s="222" t="e">
        <f>C28-SUM(E214:E215)</f>
        <v>#REF!</v>
      </c>
    </row>
    <row r="214" spans="2:5" ht="13.5" customHeight="1">
      <c r="B214" s="223" t="s">
        <v>233</v>
      </c>
      <c r="C214" s="1215" t="s">
        <v>79</v>
      </c>
      <c r="D214" s="1216"/>
      <c r="E214" s="222" t="e">
        <f>#REF!+C12</f>
        <v>#REF!</v>
      </c>
    </row>
    <row r="215" spans="2:5" ht="13.5" customHeight="1">
      <c r="B215" s="220" t="s">
        <v>147</v>
      </c>
      <c r="C215" s="1215" t="s">
        <v>79</v>
      </c>
      <c r="D215" s="1216"/>
      <c r="E215" s="222" t="e">
        <f>#REF!</f>
        <v>#REF!</v>
      </c>
    </row>
    <row r="216" spans="2:5" ht="13.5" customHeight="1">
      <c r="B216" s="220" t="s">
        <v>71</v>
      </c>
      <c r="C216" s="1215" t="s">
        <v>146</v>
      </c>
      <c r="D216" s="1216"/>
      <c r="E216" s="222" t="e">
        <f>E28-SUM(E217:E218)</f>
        <v>#REF!</v>
      </c>
    </row>
    <row r="217" spans="2:5" ht="13.5" customHeight="1">
      <c r="B217" s="223" t="s">
        <v>233</v>
      </c>
      <c r="C217" s="1215" t="s">
        <v>146</v>
      </c>
      <c r="D217" s="1216"/>
      <c r="E217" s="222" t="e">
        <f>#REF!+E12</f>
        <v>#REF!</v>
      </c>
    </row>
    <row r="218" spans="2:5" ht="13.5" customHeight="1">
      <c r="B218" s="220" t="s">
        <v>147</v>
      </c>
      <c r="C218" s="1215" t="s">
        <v>146</v>
      </c>
      <c r="D218" s="1216"/>
      <c r="E218" s="222" t="e">
        <f>#REF!</f>
        <v>#REF!</v>
      </c>
    </row>
    <row r="219" spans="2:5" ht="13.5" customHeight="1">
      <c r="B219" s="220" t="s">
        <v>188</v>
      </c>
      <c r="C219" s="1215" t="s">
        <v>165</v>
      </c>
      <c r="D219" s="1216"/>
      <c r="E219" s="222" t="e">
        <f>#REF!</f>
        <v>#REF!</v>
      </c>
    </row>
    <row r="220" spans="2:5" ht="13.5" customHeight="1">
      <c r="B220" s="220" t="s">
        <v>188</v>
      </c>
      <c r="C220" s="1215" t="s">
        <v>148</v>
      </c>
      <c r="D220" s="1216"/>
      <c r="E220" s="222">
        <f>G35</f>
        <v>20791.186311475918</v>
      </c>
    </row>
    <row r="221" spans="2:5" ht="13.5" customHeight="1">
      <c r="B221" s="220" t="s">
        <v>188</v>
      </c>
      <c r="C221" s="1215" t="s">
        <v>149</v>
      </c>
      <c r="D221" s="1216"/>
      <c r="E221" s="222" t="e">
        <f>E263</f>
        <v>#REF!</v>
      </c>
    </row>
    <row r="222" spans="2:5" ht="13.5" customHeight="1">
      <c r="B222" s="220" t="s">
        <v>188</v>
      </c>
      <c r="C222" s="1215" t="s">
        <v>150</v>
      </c>
      <c r="D222" s="1216"/>
      <c r="E222" s="222">
        <f>G37</f>
        <v>24</v>
      </c>
    </row>
    <row r="223" spans="2:5" ht="13.5" customHeight="1">
      <c r="B223" s="220" t="s">
        <v>188</v>
      </c>
      <c r="C223" s="1215" t="s">
        <v>151</v>
      </c>
      <c r="D223" s="1216"/>
      <c r="E223" s="222">
        <f>G38</f>
        <v>20772.837058569447</v>
      </c>
    </row>
    <row r="224" spans="2:5" ht="13.5" customHeight="1">
      <c r="B224" s="220" t="s">
        <v>189</v>
      </c>
      <c r="C224" s="1215" t="s">
        <v>152</v>
      </c>
      <c r="D224" s="1216"/>
      <c r="E224" s="222" t="e">
        <f>#REF!*#REF!</f>
        <v>#REF!</v>
      </c>
    </row>
    <row r="225" spans="2:5" ht="13.5" customHeight="1">
      <c r="B225" s="220" t="s">
        <v>71</v>
      </c>
      <c r="C225" s="1215" t="s">
        <v>153</v>
      </c>
      <c r="D225" s="1216"/>
      <c r="E225" s="222" t="e">
        <f>#REF!</f>
        <v>#REF!</v>
      </c>
    </row>
    <row r="226" spans="2:5" ht="13.5" customHeight="1">
      <c r="B226" s="220" t="s">
        <v>198</v>
      </c>
      <c r="C226" s="1215" t="s">
        <v>199</v>
      </c>
      <c r="D226" s="1216"/>
      <c r="E226" s="222" t="e">
        <f>'DATA INPUT'!#REF!</f>
        <v>#REF!</v>
      </c>
    </row>
    <row r="227" spans="2:5" ht="13.5" customHeight="1">
      <c r="B227" s="220" t="s">
        <v>156</v>
      </c>
      <c r="C227" s="1215" t="e">
        <f>'WATER FLOOD WELLS'!#REF!</f>
        <v>#REF!</v>
      </c>
      <c r="D227" s="1216"/>
      <c r="E227" s="222" t="e">
        <f>'WATER FLOOD WELLS'!#REF!</f>
        <v>#REF!</v>
      </c>
    </row>
    <row r="228" spans="2:5" ht="13.5" customHeight="1">
      <c r="B228" s="220" t="s">
        <v>156</v>
      </c>
      <c r="C228" s="1215" t="e">
        <f>'WATER FLOOD WELLS'!#REF!</f>
        <v>#REF!</v>
      </c>
      <c r="D228" s="1216"/>
      <c r="E228" s="222" t="e">
        <f>'WATER FLOOD WELLS'!#REF!</f>
        <v>#REF!</v>
      </c>
    </row>
    <row r="229" spans="2:5" ht="13.5" customHeight="1">
      <c r="B229" s="220" t="s">
        <v>156</v>
      </c>
      <c r="C229" s="1215" t="e">
        <f>'WATER FLOOD WELLS'!#REF!</f>
        <v>#REF!</v>
      </c>
      <c r="D229" s="1216"/>
      <c r="E229" s="222" t="e">
        <f>'WATER FLOOD WELLS'!#REF!</f>
        <v>#REF!</v>
      </c>
    </row>
    <row r="230" spans="2:5" ht="13.5" customHeight="1">
      <c r="B230" s="220" t="s">
        <v>156</v>
      </c>
      <c r="C230" s="1215" t="e">
        <f>'WATER FLOOD WELLS'!#REF!</f>
        <v>#REF!</v>
      </c>
      <c r="D230" s="1216"/>
      <c r="E230" s="222" t="e">
        <f>'WATER FLOOD WELLS'!#REF!</f>
        <v>#REF!</v>
      </c>
    </row>
    <row r="231" spans="2:5" ht="13.5" customHeight="1">
      <c r="B231" s="220" t="s">
        <v>156</v>
      </c>
      <c r="C231" s="1215" t="e">
        <f>'WATER FLOOD WELLS'!#REF!</f>
        <v>#REF!</v>
      </c>
      <c r="D231" s="1216"/>
      <c r="E231" s="222" t="e">
        <f>'WATER FLOOD WELLS'!#REF!</f>
        <v>#REF!</v>
      </c>
    </row>
    <row r="232" spans="2:5" ht="13.5" customHeight="1">
      <c r="B232" s="220" t="s">
        <v>156</v>
      </c>
      <c r="C232" s="1215" t="e">
        <f>'WATER FLOOD WELLS'!#REF!</f>
        <v>#REF!</v>
      </c>
      <c r="D232" s="1216"/>
      <c r="E232" s="222" t="e">
        <f>'WATER FLOOD WELLS'!#REF!</f>
        <v>#REF!</v>
      </c>
    </row>
    <row r="233" spans="2:5" ht="13.5" customHeight="1">
      <c r="B233" s="220" t="s">
        <v>156</v>
      </c>
      <c r="C233" s="1215" t="e">
        <f>'WATER FLOOD WELLS'!#REF!</f>
        <v>#REF!</v>
      </c>
      <c r="D233" s="1216"/>
      <c r="E233" s="222" t="e">
        <f>'WATER FLOOD WELLS'!#REF!</f>
        <v>#REF!</v>
      </c>
    </row>
    <row r="234" spans="2:5" ht="13.5" customHeight="1">
      <c r="B234" s="220" t="s">
        <v>156</v>
      </c>
      <c r="C234" s="241"/>
      <c r="D234" s="221" t="s">
        <v>70</v>
      </c>
      <c r="E234" s="222" t="e">
        <f>'WATER FLOOD WELLS'!#REF!</f>
        <v>#REF!</v>
      </c>
    </row>
    <row r="235" spans="2:5" ht="13.5" customHeight="1">
      <c r="B235" s="220" t="s">
        <v>156</v>
      </c>
      <c r="C235" s="1215" t="e">
        <f>'WATER FLOOD WELLS'!#REF!</f>
        <v>#REF!</v>
      </c>
      <c r="D235" s="1216"/>
      <c r="E235" s="222" t="e">
        <f>'WATER FLOOD WELLS'!#REF!</f>
        <v>#REF!</v>
      </c>
    </row>
    <row r="236" spans="2:5" ht="13.5" customHeight="1">
      <c r="B236" s="220" t="s">
        <v>156</v>
      </c>
      <c r="C236" s="1215" t="e">
        <f>'WATER FLOOD WELLS'!#REF!</f>
        <v>#REF!</v>
      </c>
      <c r="D236" s="1216"/>
      <c r="E236" s="222" t="e">
        <f>'WATER FLOOD WELLS'!#REF!</f>
        <v>#REF!</v>
      </c>
    </row>
    <row r="237" spans="2:5" ht="13.5" customHeight="1">
      <c r="B237" s="220" t="s">
        <v>156</v>
      </c>
      <c r="C237" s="1215" t="e">
        <f>'WATER FLOOD WELLS'!#REF!</f>
        <v>#REF!</v>
      </c>
      <c r="D237" s="1216"/>
      <c r="E237" s="222" t="e">
        <f>'WATER FLOOD WELLS'!#REF!</f>
        <v>#REF!</v>
      </c>
    </row>
    <row r="238" spans="2:5" ht="13.5" customHeight="1">
      <c r="B238" s="220" t="s">
        <v>155</v>
      </c>
      <c r="C238" s="1215" t="e">
        <f>'WATER FLOOD WELLS'!#REF!</f>
        <v>#REF!</v>
      </c>
      <c r="D238" s="1216"/>
      <c r="E238" s="222" t="e">
        <f>'WATER FLOOD WELLS'!#REF!</f>
        <v>#REF!</v>
      </c>
    </row>
    <row r="239" spans="2:5" ht="13.5" customHeight="1">
      <c r="B239" s="220" t="s">
        <v>155</v>
      </c>
      <c r="C239" s="1215" t="e">
        <f>'WATER FLOOD WELLS'!#REF!</f>
        <v>#REF!</v>
      </c>
      <c r="D239" s="1216"/>
      <c r="E239" s="222" t="e">
        <f>'WATER FLOOD WELLS'!#REF!</f>
        <v>#REF!</v>
      </c>
    </row>
    <row r="240" spans="2:5" ht="13.5" customHeight="1">
      <c r="B240" s="220" t="s">
        <v>155</v>
      </c>
      <c r="C240" s="1215" t="e">
        <f>'WATER FLOOD WELLS'!#REF!</f>
        <v>#REF!</v>
      </c>
      <c r="D240" s="1216"/>
      <c r="E240" s="222" t="e">
        <f>'WATER FLOOD WELLS'!#REF!</f>
        <v>#REF!</v>
      </c>
    </row>
    <row r="241" spans="2:5" ht="13.5" customHeight="1">
      <c r="B241" s="220" t="s">
        <v>155</v>
      </c>
      <c r="C241" s="1215" t="e">
        <f>'WATER FLOOD WELLS'!#REF!</f>
        <v>#REF!</v>
      </c>
      <c r="D241" s="1216"/>
      <c r="E241" s="222" t="e">
        <f>'WATER FLOOD WELLS'!#REF!</f>
        <v>#REF!</v>
      </c>
    </row>
    <row r="242" spans="2:5" ht="13.5" customHeight="1">
      <c r="B242" s="220" t="s">
        <v>155</v>
      </c>
      <c r="C242" s="1215" t="e">
        <f>'WATER FLOOD WELLS'!#REF!</f>
        <v>#REF!</v>
      </c>
      <c r="D242" s="1216"/>
      <c r="E242" s="222" t="e">
        <f>'WATER FLOOD WELLS'!#REF!</f>
        <v>#REF!</v>
      </c>
    </row>
    <row r="243" spans="2:5" ht="13.5" customHeight="1">
      <c r="B243" s="220" t="s">
        <v>155</v>
      </c>
      <c r="C243" s="1215" t="e">
        <f>'WATER FLOOD WELLS'!#REF!</f>
        <v>#REF!</v>
      </c>
      <c r="D243" s="1216"/>
      <c r="E243" s="222" t="e">
        <f>'WATER FLOOD WELLS'!#REF!</f>
        <v>#REF!</v>
      </c>
    </row>
    <row r="244" spans="2:5" ht="13.5" customHeight="1">
      <c r="B244" s="220" t="s">
        <v>155</v>
      </c>
      <c r="C244" s="1215" t="e">
        <f>'WATER FLOOD WELLS'!#REF!</f>
        <v>#REF!</v>
      </c>
      <c r="D244" s="1216"/>
      <c r="E244" s="222" t="e">
        <f>'WATER FLOOD WELLS'!#REF!</f>
        <v>#REF!</v>
      </c>
    </row>
    <row r="245" spans="2:5" ht="13.5" customHeight="1">
      <c r="B245" s="220" t="s">
        <v>155</v>
      </c>
      <c r="C245" s="241"/>
      <c r="D245" s="221" t="s">
        <v>70</v>
      </c>
      <c r="E245" s="222" t="e">
        <f>'WATER FLOOD WELLS'!#REF!</f>
        <v>#REF!</v>
      </c>
    </row>
    <row r="246" spans="2:5" ht="13.5" customHeight="1">
      <c r="B246" s="220" t="s">
        <v>155</v>
      </c>
      <c r="C246" s="1215" t="e">
        <f>'WATER FLOOD WELLS'!#REF!</f>
        <v>#REF!</v>
      </c>
      <c r="D246" s="1216"/>
      <c r="E246" s="222" t="e">
        <f>'WATER FLOOD WELLS'!#REF!</f>
        <v>#REF!</v>
      </c>
    </row>
    <row r="247" spans="2:5" ht="13.5" customHeight="1">
      <c r="B247" s="220" t="s">
        <v>155</v>
      </c>
      <c r="C247" s="1215" t="e">
        <f>'WATER FLOOD WELLS'!#REF!</f>
        <v>#REF!</v>
      </c>
      <c r="D247" s="1216"/>
      <c r="E247" s="222" t="e">
        <f>'WATER FLOOD WELLS'!#REF!</f>
        <v>#REF!</v>
      </c>
    </row>
    <row r="248" spans="2:5" ht="13.5" customHeight="1">
      <c r="B248" s="220" t="s">
        <v>155</v>
      </c>
      <c r="C248" s="1215" t="e">
        <f>'WATER FLOOD WELLS'!#REF!</f>
        <v>#REF!</v>
      </c>
      <c r="D248" s="1216"/>
      <c r="E248" s="222" t="e">
        <f>'WATER FLOOD WELLS'!#REF!</f>
        <v>#REF!</v>
      </c>
    </row>
    <row r="249" spans="2:5" ht="13.5" customHeight="1">
      <c r="B249" s="220" t="s">
        <v>187</v>
      </c>
      <c r="C249" s="1215"/>
      <c r="D249" s="1216" t="s">
        <v>73</v>
      </c>
      <c r="E249" s="222" t="e">
        <f>'WATER FLOOD WELLS'!#REF!</f>
        <v>#REF!</v>
      </c>
    </row>
    <row r="250" spans="2:5" ht="13.5" customHeight="1">
      <c r="B250" s="220" t="s">
        <v>187</v>
      </c>
      <c r="C250" s="1215"/>
      <c r="D250" s="1216" t="s">
        <v>72</v>
      </c>
      <c r="E250" s="222" t="e">
        <f>+'WATER FLOOD WELLS'!#REF!</f>
        <v>#REF!</v>
      </c>
    </row>
    <row r="251" spans="2:5" ht="13.5" customHeight="1">
      <c r="B251" s="220" t="s">
        <v>187</v>
      </c>
      <c r="C251" s="1215"/>
      <c r="D251" s="1216" t="s">
        <v>74</v>
      </c>
      <c r="E251" s="222" t="e">
        <f>'WATER FLOOD WELLS'!#REF!</f>
        <v>#REF!</v>
      </c>
    </row>
    <row r="252" spans="2:5" ht="13.5" customHeight="1">
      <c r="B252" s="220" t="s">
        <v>187</v>
      </c>
      <c r="C252" s="1215"/>
      <c r="D252" s="1216" t="s">
        <v>69</v>
      </c>
      <c r="E252" s="222" t="e">
        <f>'WATER FLOOD WELLS'!#REF!</f>
        <v>#REF!</v>
      </c>
    </row>
    <row r="253" spans="2:5" ht="13.5" customHeight="1">
      <c r="B253" s="220" t="s">
        <v>154</v>
      </c>
      <c r="C253" s="1215" t="s">
        <v>185</v>
      </c>
      <c r="D253" s="1216"/>
      <c r="E253" s="222" t="e">
        <f>#REF!</f>
        <v>#REF!</v>
      </c>
    </row>
    <row r="254" spans="2:5" ht="13.5" customHeight="1">
      <c r="B254" s="220" t="s">
        <v>193</v>
      </c>
      <c r="C254" s="1215" t="s">
        <v>186</v>
      </c>
      <c r="D254" s="1216"/>
      <c r="E254" s="222" t="e">
        <f>+'DATA INPUT'!#REF!+'DATA INPUT'!#REF!+'DATA INPUT'!#REF!</f>
        <v>#REF!</v>
      </c>
    </row>
    <row r="255" spans="2:5" ht="13.5" customHeight="1">
      <c r="B255" s="220" t="s">
        <v>236</v>
      </c>
      <c r="C255" s="1218" t="s">
        <v>237</v>
      </c>
      <c r="D255" s="1219"/>
      <c r="E255" s="222" t="e">
        <f>+SUM(#REF!)</f>
        <v>#REF!</v>
      </c>
    </row>
    <row r="256" spans="2:5" ht="13.5" customHeight="1">
      <c r="B256" s="220"/>
      <c r="C256" s="1217" t="s">
        <v>190</v>
      </c>
      <c r="D256" s="1216"/>
      <c r="E256" s="222">
        <f>M46</f>
        <v>0</v>
      </c>
    </row>
    <row r="257" spans="2:9" ht="13.5" customHeight="1">
      <c r="B257" s="220"/>
      <c r="C257" s="1217" t="s">
        <v>191</v>
      </c>
      <c r="D257" s="1216"/>
      <c r="E257" s="222">
        <f>M47</f>
        <v>0</v>
      </c>
    </row>
    <row r="258" spans="2:9" ht="13.5" customHeight="1">
      <c r="B258" s="220"/>
      <c r="C258" s="1217" t="s">
        <v>192</v>
      </c>
      <c r="D258" s="1216"/>
      <c r="E258" s="222">
        <f>M48</f>
        <v>0</v>
      </c>
    </row>
    <row r="259" spans="2:9" ht="13.5" customHeight="1">
      <c r="B259" s="220" t="s">
        <v>173</v>
      </c>
      <c r="C259" s="224"/>
      <c r="D259" s="225"/>
      <c r="E259" s="226" t="str">
        <f>J46</f>
        <v>Reservoir</v>
      </c>
    </row>
    <row r="260" spans="2:9" ht="13.5" customHeight="1">
      <c r="B260" s="220" t="s">
        <v>174</v>
      </c>
      <c r="C260" s="224"/>
      <c r="D260" s="225"/>
      <c r="E260" s="226" t="str">
        <f>J47</f>
        <v>Internal RPF losses</v>
      </c>
      <c r="I260" s="219"/>
    </row>
    <row r="261" spans="2:9" ht="13.5" customHeight="1">
      <c r="B261" s="220" t="s">
        <v>175</v>
      </c>
      <c r="C261" s="224"/>
      <c r="D261" s="225"/>
      <c r="E261" s="226" t="str">
        <f>J48</f>
        <v/>
      </c>
    </row>
    <row r="262" spans="2:9" ht="13.5" customHeight="1">
      <c r="B262" s="220" t="s">
        <v>200</v>
      </c>
      <c r="C262" s="224"/>
      <c r="D262" s="221" t="s">
        <v>151</v>
      </c>
      <c r="E262" s="222" t="e">
        <f>'DATA INPUT'!#REF!</f>
        <v>#REF!</v>
      </c>
      <c r="I262" s="218"/>
    </row>
    <row r="263" spans="2:9" ht="13.5" customHeight="1">
      <c r="B263" s="220"/>
      <c r="C263" s="224"/>
      <c r="D263" s="221" t="s">
        <v>201</v>
      </c>
      <c r="E263" s="222" t="e">
        <f>IF('DATA INPUT'!#REF!-'DATA INPUT'!#REF!+'DATA INPUT'!#REF!*REPORT!#REF!&lt;0,'DATA INPUT'!#REF!,'DATA INPUT'!#REF!*REPORT!#REF!)</f>
        <v>#REF!</v>
      </c>
      <c r="F263" s="217"/>
      <c r="G263" s="217"/>
      <c r="H263" s="217"/>
    </row>
    <row r="264" spans="2:9" ht="13.5" customHeight="1">
      <c r="B264" s="220"/>
      <c r="C264" s="224"/>
      <c r="D264" s="221" t="s">
        <v>202</v>
      </c>
      <c r="E264" s="222" t="e">
        <f>'DATA INPUT'!#REF!</f>
        <v>#REF!</v>
      </c>
    </row>
    <row r="265" spans="2:9" ht="13.5" customHeight="1">
      <c r="B265" s="220"/>
      <c r="C265" s="224"/>
      <c r="D265" s="221" t="s">
        <v>203</v>
      </c>
      <c r="E265" s="222" t="e">
        <f>'DATA INPUT'!#REF!-'DATA INPUT'!#REF!+E263</f>
        <v>#REF!</v>
      </c>
    </row>
    <row r="266" spans="2:9" ht="13.5" customHeight="1">
      <c r="B266" s="227" t="s">
        <v>204</v>
      </c>
      <c r="C266" s="228"/>
      <c r="D266" s="229" t="s">
        <v>151</v>
      </c>
      <c r="E266" s="230" t="e">
        <f>'DATA INPUT'!#REF!</f>
        <v>#REF!</v>
      </c>
    </row>
    <row r="267" spans="2:9" ht="13.5" customHeight="1">
      <c r="B267" s="227"/>
      <c r="C267" s="228"/>
      <c r="D267" s="229" t="s">
        <v>201</v>
      </c>
      <c r="E267" s="230" t="e">
        <f>'DATA INPUT'!#REF!-E266+E269</f>
        <v>#REF!</v>
      </c>
    </row>
    <row r="268" spans="2:9" ht="13.5" customHeight="1">
      <c r="B268" s="227"/>
      <c r="C268" s="228"/>
      <c r="D268" s="229" t="s">
        <v>202</v>
      </c>
      <c r="E268" s="230" t="e">
        <f>'DATA INPUT'!#REF!</f>
        <v>#REF!</v>
      </c>
    </row>
    <row r="269" spans="2:9" ht="13.5" customHeight="1">
      <c r="B269" s="227"/>
      <c r="C269" s="228"/>
      <c r="D269" s="229" t="s">
        <v>203</v>
      </c>
      <c r="E269" s="230" t="e">
        <f>'DATA INPUT'!#REF!*WATER_CORRECTION</f>
        <v>#REF!</v>
      </c>
    </row>
    <row r="270" spans="2:9" ht="13.5" customHeight="1">
      <c r="B270" s="227" t="s">
        <v>205</v>
      </c>
      <c r="C270" s="228"/>
      <c r="D270" s="229" t="s">
        <v>151</v>
      </c>
      <c r="E270" s="230" t="e">
        <f>'DATA INPUT'!#REF!</f>
        <v>#REF!</v>
      </c>
    </row>
    <row r="271" spans="2:9" ht="13.5" customHeight="1">
      <c r="B271" s="227"/>
      <c r="C271" s="228"/>
      <c r="D271" s="229" t="s">
        <v>201</v>
      </c>
      <c r="E271" s="230" t="e">
        <f>'DATA INPUT'!#REF!-E270+E273</f>
        <v>#REF!</v>
      </c>
    </row>
    <row r="272" spans="2:9" ht="13.5" customHeight="1">
      <c r="B272" s="227"/>
      <c r="C272" s="228"/>
      <c r="D272" s="229" t="s">
        <v>202</v>
      </c>
      <c r="E272" s="230" t="e">
        <f>'DATA INPUT'!#REF!</f>
        <v>#REF!</v>
      </c>
    </row>
    <row r="273" spans="2:5" ht="13.5" customHeight="1">
      <c r="B273" s="227"/>
      <c r="C273" s="228"/>
      <c r="D273" s="229" t="s">
        <v>203</v>
      </c>
      <c r="E273" s="230" t="e">
        <f>'DATA INPUT'!#REF!*WATER_CORRECTION</f>
        <v>#REF!</v>
      </c>
    </row>
    <row r="274" spans="2:5" ht="13.5" customHeight="1">
      <c r="B274" s="227" t="s">
        <v>206</v>
      </c>
      <c r="C274" s="228"/>
      <c r="D274" s="229" t="s">
        <v>151</v>
      </c>
      <c r="E274" s="230" t="e">
        <f>'DATA INPUT'!#REF!</f>
        <v>#REF!</v>
      </c>
    </row>
    <row r="275" spans="2:5" ht="13.5" customHeight="1">
      <c r="B275" s="227"/>
      <c r="C275" s="228"/>
      <c r="D275" s="229" t="s">
        <v>201</v>
      </c>
      <c r="E275" s="230" t="e">
        <f>'DATA INPUT'!#REF!-E274+E277</f>
        <v>#REF!</v>
      </c>
    </row>
    <row r="276" spans="2:5" ht="13.5" customHeight="1">
      <c r="B276" s="227"/>
      <c r="C276" s="228"/>
      <c r="D276" s="229" t="s">
        <v>202</v>
      </c>
      <c r="E276" s="230" t="e">
        <f>'DATA INPUT'!#REF!</f>
        <v>#REF!</v>
      </c>
    </row>
    <row r="277" spans="2:5" ht="13.5" customHeight="1">
      <c r="B277" s="227"/>
      <c r="C277" s="228"/>
      <c r="D277" s="229" t="s">
        <v>203</v>
      </c>
      <c r="E277" s="230" t="e">
        <f>'DATA INPUT'!#REF!*WATER_CORRECTION</f>
        <v>#REF!</v>
      </c>
    </row>
    <row r="278" spans="2:5" ht="13.5" customHeight="1">
      <c r="B278" s="227" t="s">
        <v>207</v>
      </c>
      <c r="C278" s="228"/>
      <c r="D278" s="229" t="s">
        <v>151</v>
      </c>
      <c r="E278" s="230" t="e">
        <f>'DATA INPUT'!#REF!</f>
        <v>#REF!</v>
      </c>
    </row>
    <row r="279" spans="2:5" ht="13.5" customHeight="1">
      <c r="B279" s="227"/>
      <c r="C279" s="228"/>
      <c r="D279" s="229" t="s">
        <v>201</v>
      </c>
      <c r="E279" s="230" t="e">
        <f>'DATA INPUT'!#REF!-E278+E281</f>
        <v>#REF!</v>
      </c>
    </row>
    <row r="280" spans="2:5" ht="13.5" customHeight="1">
      <c r="B280" s="227"/>
      <c r="C280" s="228"/>
      <c r="D280" s="229" t="s">
        <v>202</v>
      </c>
      <c r="E280" s="230" t="e">
        <f>'DATA INPUT'!#REF!</f>
        <v>#REF!</v>
      </c>
    </row>
    <row r="281" spans="2:5" ht="13.5" customHeight="1">
      <c r="B281" s="227"/>
      <c r="C281" s="228"/>
      <c r="D281" s="229" t="s">
        <v>203</v>
      </c>
      <c r="E281" s="230" t="e">
        <f>'DATA INPUT'!#REF!*WATER_CORRECTION</f>
        <v>#REF!</v>
      </c>
    </row>
    <row r="282" spans="2:5" ht="13.5" customHeight="1">
      <c r="B282" s="227" t="s">
        <v>208</v>
      </c>
      <c r="C282" s="228"/>
      <c r="D282" s="229" t="s">
        <v>151</v>
      </c>
      <c r="E282" s="230" t="e">
        <f>'DATA INPUT'!#REF!</f>
        <v>#REF!</v>
      </c>
    </row>
    <row r="283" spans="2:5" ht="13.5" customHeight="1">
      <c r="B283" s="227"/>
      <c r="C283" s="228"/>
      <c r="D283" s="229" t="s">
        <v>201</v>
      </c>
      <c r="E283" s="230" t="e">
        <f>'DATA INPUT'!#REF!-E282+E285</f>
        <v>#REF!</v>
      </c>
    </row>
    <row r="284" spans="2:5" ht="13.5" customHeight="1">
      <c r="B284" s="227"/>
      <c r="C284" s="228"/>
      <c r="D284" s="229" t="s">
        <v>202</v>
      </c>
      <c r="E284" s="230" t="e">
        <f>'DATA INPUT'!#REF!</f>
        <v>#REF!</v>
      </c>
    </row>
    <row r="285" spans="2:5" ht="13.5" customHeight="1">
      <c r="B285" s="227"/>
      <c r="C285" s="228"/>
      <c r="D285" s="229" t="s">
        <v>203</v>
      </c>
      <c r="E285" s="230" t="e">
        <f>'DATA INPUT'!#REF!*WATER_CORRECTION</f>
        <v>#REF!</v>
      </c>
    </row>
    <row r="286" spans="2:5" ht="13.5" customHeight="1">
      <c r="B286" s="227" t="s">
        <v>209</v>
      </c>
      <c r="C286" s="228"/>
      <c r="D286" s="229" t="s">
        <v>151</v>
      </c>
      <c r="E286" s="230" t="e">
        <f>'DATA INPUT'!#REF!</f>
        <v>#REF!</v>
      </c>
    </row>
    <row r="287" spans="2:5" ht="13.5" customHeight="1">
      <c r="B287" s="227"/>
      <c r="C287" s="228"/>
      <c r="D287" s="229" t="s">
        <v>201</v>
      </c>
      <c r="E287" s="230" t="e">
        <f>'DATA INPUT'!#REF!-E286+E289</f>
        <v>#REF!</v>
      </c>
    </row>
    <row r="288" spans="2:5" ht="13.5" customHeight="1">
      <c r="B288" s="227"/>
      <c r="C288" s="228"/>
      <c r="D288" s="229" t="s">
        <v>202</v>
      </c>
      <c r="E288" s="230" t="e">
        <f>'DATA INPUT'!#REF!</f>
        <v>#REF!</v>
      </c>
    </row>
    <row r="289" spans="2:5" ht="13.5" customHeight="1">
      <c r="B289" s="227"/>
      <c r="C289" s="228"/>
      <c r="D289" s="229" t="s">
        <v>203</v>
      </c>
      <c r="E289" s="230" t="e">
        <f>'DATA INPUT'!#REF!*WATER_CORRECTION</f>
        <v>#REF!</v>
      </c>
    </row>
    <row r="290" spans="2:5" ht="13.5" customHeight="1">
      <c r="B290" s="227" t="s">
        <v>210</v>
      </c>
      <c r="C290" s="228"/>
      <c r="D290" s="229" t="s">
        <v>151</v>
      </c>
      <c r="E290" s="230" t="e">
        <f>'DATA INPUT'!#REF!</f>
        <v>#REF!</v>
      </c>
    </row>
    <row r="291" spans="2:5" ht="13.5" customHeight="1">
      <c r="B291" s="227"/>
      <c r="C291" s="228"/>
      <c r="D291" s="229" t="s">
        <v>201</v>
      </c>
      <c r="E291" s="230" t="e">
        <f>'DATA INPUT'!#REF!-E290+E293</f>
        <v>#REF!</v>
      </c>
    </row>
    <row r="292" spans="2:5" ht="13.5" customHeight="1">
      <c r="B292" s="227"/>
      <c r="C292" s="228"/>
      <c r="D292" s="229" t="s">
        <v>202</v>
      </c>
      <c r="E292" s="230" t="e">
        <f>'DATA INPUT'!#REF!</f>
        <v>#REF!</v>
      </c>
    </row>
    <row r="293" spans="2:5" ht="13.5" customHeight="1">
      <c r="B293" s="227"/>
      <c r="C293" s="228"/>
      <c r="D293" s="229" t="s">
        <v>203</v>
      </c>
      <c r="E293" s="230" t="e">
        <f>'DATA INPUT'!#REF!*WATER_CORRECTION</f>
        <v>#REF!</v>
      </c>
    </row>
    <row r="294" spans="2:5" ht="13.5" customHeight="1">
      <c r="B294" s="227" t="s">
        <v>211</v>
      </c>
      <c r="C294" s="228"/>
      <c r="D294" s="229" t="s">
        <v>151</v>
      </c>
      <c r="E294" s="230" t="e">
        <f>'DATA INPUT'!#REF!</f>
        <v>#REF!</v>
      </c>
    </row>
    <row r="295" spans="2:5" ht="13.5" customHeight="1">
      <c r="B295" s="227"/>
      <c r="C295" s="228"/>
      <c r="D295" s="229" t="s">
        <v>201</v>
      </c>
      <c r="E295" s="230" t="e">
        <f>'DATA INPUT'!#REF!-E294+E297</f>
        <v>#REF!</v>
      </c>
    </row>
    <row r="296" spans="2:5" ht="13.5" customHeight="1">
      <c r="B296" s="227"/>
      <c r="C296" s="228"/>
      <c r="D296" s="229" t="s">
        <v>202</v>
      </c>
      <c r="E296" s="230" t="e">
        <f>'DATA INPUT'!#REF!</f>
        <v>#REF!</v>
      </c>
    </row>
    <row r="297" spans="2:5" ht="13.5" customHeight="1">
      <c r="B297" s="227"/>
      <c r="C297" s="228"/>
      <c r="D297" s="229" t="s">
        <v>203</v>
      </c>
      <c r="E297" s="230" t="e">
        <f>'DATA INPUT'!#REF!*WATER_CORRECTION</f>
        <v>#REF!</v>
      </c>
    </row>
    <row r="298" spans="2:5" ht="13.5" customHeight="1">
      <c r="B298" s="227" t="s">
        <v>212</v>
      </c>
      <c r="C298" s="228"/>
      <c r="D298" s="229" t="s">
        <v>151</v>
      </c>
      <c r="E298" s="230" t="e">
        <f>'DATA INPUT'!#REF!</f>
        <v>#REF!</v>
      </c>
    </row>
    <row r="299" spans="2:5" ht="13.5" customHeight="1">
      <c r="B299" s="227"/>
      <c r="C299" s="228"/>
      <c r="D299" s="229" t="s">
        <v>201</v>
      </c>
      <c r="E299" s="230" t="e">
        <f>'DATA INPUT'!#REF!-E298+E301</f>
        <v>#REF!</v>
      </c>
    </row>
    <row r="300" spans="2:5" ht="13.5" customHeight="1">
      <c r="B300" s="227"/>
      <c r="C300" s="228"/>
      <c r="D300" s="229" t="s">
        <v>202</v>
      </c>
      <c r="E300" s="230" t="e">
        <f>'DATA INPUT'!#REF!</f>
        <v>#REF!</v>
      </c>
    </row>
    <row r="301" spans="2:5" ht="13.5" customHeight="1">
      <c r="B301" s="227"/>
      <c r="C301" s="228"/>
      <c r="D301" s="229" t="s">
        <v>203</v>
      </c>
      <c r="E301" s="230" t="e">
        <f>'DATA INPUT'!#REF!*WATER_CORRECTION</f>
        <v>#REF!</v>
      </c>
    </row>
    <row r="302" spans="2:5" ht="13.5" customHeight="1">
      <c r="B302" s="227" t="s">
        <v>213</v>
      </c>
      <c r="C302" s="228"/>
      <c r="D302" s="229" t="s">
        <v>151</v>
      </c>
      <c r="E302" s="230" t="e">
        <f>'DATA INPUT'!#REF!</f>
        <v>#REF!</v>
      </c>
    </row>
    <row r="303" spans="2:5" ht="13.5" customHeight="1">
      <c r="B303" s="227"/>
      <c r="C303" s="228"/>
      <c r="D303" s="229" t="s">
        <v>201</v>
      </c>
      <c r="E303" s="230" t="e">
        <f>'DATA INPUT'!#REF!-E302+E305</f>
        <v>#REF!</v>
      </c>
    </row>
    <row r="304" spans="2:5" ht="13.5" customHeight="1">
      <c r="B304" s="227"/>
      <c r="C304" s="228"/>
      <c r="D304" s="229" t="s">
        <v>202</v>
      </c>
      <c r="E304" s="230" t="e">
        <f>'DATA INPUT'!#REF!</f>
        <v>#REF!</v>
      </c>
    </row>
    <row r="305" spans="2:5" ht="13.5" customHeight="1">
      <c r="B305" s="227"/>
      <c r="C305" s="228"/>
      <c r="D305" s="229" t="s">
        <v>203</v>
      </c>
      <c r="E305" s="230" t="e">
        <f>'DATA INPUT'!#REF!*WATER_CORRECTION</f>
        <v>#REF!</v>
      </c>
    </row>
    <row r="306" spans="2:5" ht="13.5" customHeight="1">
      <c r="B306" s="227" t="s">
        <v>214</v>
      </c>
      <c r="C306" s="228"/>
      <c r="D306" s="229" t="s">
        <v>151</v>
      </c>
      <c r="E306" s="230" t="e">
        <f>'DATA INPUT'!#REF!</f>
        <v>#REF!</v>
      </c>
    </row>
    <row r="307" spans="2:5" ht="13.5" customHeight="1">
      <c r="B307" s="227"/>
      <c r="C307" s="228"/>
      <c r="D307" s="229" t="s">
        <v>201</v>
      </c>
      <c r="E307" s="230" t="e">
        <f>'DATA INPUT'!#REF!-E306+E309</f>
        <v>#REF!</v>
      </c>
    </row>
    <row r="308" spans="2:5" ht="13.5" customHeight="1">
      <c r="B308" s="227"/>
      <c r="C308" s="228"/>
      <c r="D308" s="229" t="s">
        <v>202</v>
      </c>
      <c r="E308" s="230" t="e">
        <f>'DATA INPUT'!#REF!</f>
        <v>#REF!</v>
      </c>
    </row>
    <row r="309" spans="2:5" ht="13.5" customHeight="1">
      <c r="B309" s="227"/>
      <c r="C309" s="228"/>
      <c r="D309" s="229" t="s">
        <v>203</v>
      </c>
      <c r="E309" s="230" t="e">
        <f>'DATA INPUT'!#REF!*WATER_CORRECTION</f>
        <v>#REF!</v>
      </c>
    </row>
    <row r="310" spans="2:5" ht="13.5" customHeight="1">
      <c r="B310" s="227" t="s">
        <v>215</v>
      </c>
      <c r="C310" s="228"/>
      <c r="D310" s="229" t="s">
        <v>151</v>
      </c>
      <c r="E310" s="230" t="e">
        <f>'DATA INPUT'!#REF!</f>
        <v>#REF!</v>
      </c>
    </row>
    <row r="311" spans="2:5" ht="13.5" customHeight="1">
      <c r="B311" s="227"/>
      <c r="C311" s="228"/>
      <c r="D311" s="229" t="s">
        <v>201</v>
      </c>
      <c r="E311" s="230" t="e">
        <f>'DATA INPUT'!#REF!-E310+E313</f>
        <v>#REF!</v>
      </c>
    </row>
    <row r="312" spans="2:5" ht="13.5" customHeight="1">
      <c r="B312" s="227"/>
      <c r="C312" s="228"/>
      <c r="D312" s="229" t="s">
        <v>202</v>
      </c>
      <c r="E312" s="230" t="e">
        <f>'DATA INPUT'!#REF!</f>
        <v>#REF!</v>
      </c>
    </row>
    <row r="313" spans="2:5" ht="13.5" customHeight="1">
      <c r="B313" s="227"/>
      <c r="C313" s="228"/>
      <c r="D313" s="229" t="s">
        <v>203</v>
      </c>
      <c r="E313" s="230" t="e">
        <f>'DATA INPUT'!#REF!*WATER_CORRECTION</f>
        <v>#REF!</v>
      </c>
    </row>
    <row r="314" spans="2:5" ht="13.5" customHeight="1">
      <c r="B314" s="227" t="s">
        <v>216</v>
      </c>
      <c r="C314" s="228"/>
      <c r="D314" s="229" t="s">
        <v>151</v>
      </c>
      <c r="E314" s="230" t="e">
        <f>'DATA INPUT'!#REF!</f>
        <v>#REF!</v>
      </c>
    </row>
    <row r="315" spans="2:5" ht="13.5" customHeight="1">
      <c r="B315" s="227"/>
      <c r="C315" s="228"/>
      <c r="D315" s="229" t="s">
        <v>201</v>
      </c>
      <c r="E315" s="230" t="e">
        <f>'DATA INPUT'!#REF!-E314+E317</f>
        <v>#REF!</v>
      </c>
    </row>
    <row r="316" spans="2:5" ht="13.5" customHeight="1">
      <c r="B316" s="227"/>
      <c r="C316" s="228"/>
      <c r="D316" s="229" t="s">
        <v>202</v>
      </c>
      <c r="E316" s="230" t="e">
        <f>'DATA INPUT'!#REF!</f>
        <v>#REF!</v>
      </c>
    </row>
    <row r="317" spans="2:5" ht="12.75" customHeight="1">
      <c r="B317" s="227"/>
      <c r="C317" s="228"/>
      <c r="D317" s="229" t="s">
        <v>203</v>
      </c>
      <c r="E317" s="230" t="e">
        <f>'DATA INPUT'!#REF!*WATER_CORRECTION</f>
        <v>#REF!</v>
      </c>
    </row>
    <row r="318" spans="2:5" ht="12.75" customHeight="1">
      <c r="B318" s="227" t="s">
        <v>231</v>
      </c>
      <c r="C318" s="228"/>
      <c r="D318" s="229" t="s">
        <v>151</v>
      </c>
      <c r="E318" s="230" t="e">
        <f>'DATA INPUT'!#REF!</f>
        <v>#REF!</v>
      </c>
    </row>
    <row r="319" spans="2:5" ht="12.75" customHeight="1">
      <c r="B319" s="227"/>
      <c r="C319" s="228"/>
      <c r="D319" s="229" t="s">
        <v>201</v>
      </c>
      <c r="E319" s="230" t="e">
        <f>'DATA INPUT'!#REF!-E318+E321</f>
        <v>#REF!</v>
      </c>
    </row>
    <row r="320" spans="2:5" ht="12.75" customHeight="1">
      <c r="B320" s="227"/>
      <c r="C320" s="228"/>
      <c r="D320" s="229" t="s">
        <v>202</v>
      </c>
      <c r="E320" s="230" t="e">
        <f>'DATA INPUT'!#REF!</f>
        <v>#REF!</v>
      </c>
    </row>
    <row r="321" spans="2:5" ht="12.75" customHeight="1">
      <c r="B321" s="227"/>
      <c r="C321" s="228"/>
      <c r="D321" s="229" t="s">
        <v>203</v>
      </c>
      <c r="E321" s="230" t="e">
        <f>'DATA INPUT'!#REF!*WATER_CORRECTION</f>
        <v>#REF!</v>
      </c>
    </row>
    <row r="322" spans="2:5" ht="12.75" customHeight="1">
      <c r="B322" s="227" t="s">
        <v>217</v>
      </c>
      <c r="C322" s="228"/>
      <c r="D322" s="229" t="s">
        <v>151</v>
      </c>
      <c r="E322" s="230" t="e">
        <f>'DATA INPUT'!#REF!</f>
        <v>#REF!</v>
      </c>
    </row>
    <row r="323" spans="2:5" ht="12.75" customHeight="1">
      <c r="B323" s="227"/>
      <c r="C323" s="228"/>
      <c r="D323" s="229" t="s">
        <v>201</v>
      </c>
      <c r="E323" s="230" t="e">
        <f>'DATA INPUT'!#REF!-E322+E325</f>
        <v>#REF!</v>
      </c>
    </row>
    <row r="324" spans="2:5" ht="12.75" customHeight="1">
      <c r="B324" s="227"/>
      <c r="C324" s="228"/>
      <c r="D324" s="229" t="s">
        <v>202</v>
      </c>
      <c r="E324" s="230" t="e">
        <f>'DATA INPUT'!#REF!</f>
        <v>#REF!</v>
      </c>
    </row>
    <row r="325" spans="2:5" ht="12.75" customHeight="1">
      <c r="B325" s="227"/>
      <c r="C325" s="228"/>
      <c r="D325" s="229" t="s">
        <v>203</v>
      </c>
      <c r="E325" s="230" t="e">
        <f>'DATA INPUT'!#REF!*WATER_CORRECTION</f>
        <v>#REF!</v>
      </c>
    </row>
    <row r="326" spans="2:5" ht="12.75" customHeight="1">
      <c r="B326" s="227" t="s">
        <v>218</v>
      </c>
      <c r="C326" s="228"/>
      <c r="D326" s="229" t="s">
        <v>151</v>
      </c>
      <c r="E326" s="230" t="e">
        <f>'DATA INPUT'!#REF!</f>
        <v>#REF!</v>
      </c>
    </row>
    <row r="327" spans="2:5" ht="12.75" customHeight="1">
      <c r="B327" s="227"/>
      <c r="C327" s="228"/>
      <c r="D327" s="229" t="s">
        <v>201</v>
      </c>
      <c r="E327" s="230" t="e">
        <f>'DATA INPUT'!#REF!-E326+E329</f>
        <v>#REF!</v>
      </c>
    </row>
    <row r="328" spans="2:5" ht="12.75" customHeight="1">
      <c r="B328" s="227"/>
      <c r="C328" s="228"/>
      <c r="D328" s="229" t="s">
        <v>202</v>
      </c>
      <c r="E328" s="230" t="e">
        <f>'DATA INPUT'!#REF!</f>
        <v>#REF!</v>
      </c>
    </row>
    <row r="329" spans="2:5" ht="12.75" customHeight="1">
      <c r="B329" s="227"/>
      <c r="C329" s="228"/>
      <c r="D329" s="229" t="s">
        <v>203</v>
      </c>
      <c r="E329" s="230" t="e">
        <f>'DATA INPUT'!#REF!*WATER_CORRECTION</f>
        <v>#REF!</v>
      </c>
    </row>
    <row r="330" spans="2:5" ht="12.75" customHeight="1">
      <c r="B330" s="227" t="s">
        <v>219</v>
      </c>
      <c r="C330" s="228"/>
      <c r="D330" s="229" t="s">
        <v>151</v>
      </c>
      <c r="E330" s="230" t="e">
        <f>'DATA INPUT'!#REF!</f>
        <v>#REF!</v>
      </c>
    </row>
    <row r="331" spans="2:5" ht="12.75" customHeight="1">
      <c r="B331" s="227"/>
      <c r="C331" s="228"/>
      <c r="D331" s="229" t="s">
        <v>201</v>
      </c>
      <c r="E331" s="230" t="e">
        <f>'DATA INPUT'!#REF!-E330+E333</f>
        <v>#REF!</v>
      </c>
    </row>
    <row r="332" spans="2:5" ht="12.75" customHeight="1">
      <c r="B332" s="227"/>
      <c r="C332" s="228"/>
      <c r="D332" s="229" t="s">
        <v>202</v>
      </c>
      <c r="E332" s="230" t="e">
        <f>'DATA INPUT'!#REF!</f>
        <v>#REF!</v>
      </c>
    </row>
    <row r="333" spans="2:5" ht="12.75" customHeight="1">
      <c r="B333" s="227"/>
      <c r="C333" s="228"/>
      <c r="D333" s="229" t="s">
        <v>203</v>
      </c>
      <c r="E333" s="230" t="e">
        <f>'DATA INPUT'!#REF!*WATER_CORRECTION</f>
        <v>#REF!</v>
      </c>
    </row>
    <row r="334" spans="2:5" ht="12.75" customHeight="1">
      <c r="B334" s="227" t="s">
        <v>220</v>
      </c>
      <c r="C334" s="228"/>
      <c r="D334" s="229" t="s">
        <v>151</v>
      </c>
      <c r="E334" s="230" t="e">
        <f>'DATA INPUT'!#REF!</f>
        <v>#REF!</v>
      </c>
    </row>
    <row r="335" spans="2:5" ht="12.75" customHeight="1">
      <c r="B335" s="227"/>
      <c r="C335" s="228"/>
      <c r="D335" s="229" t="s">
        <v>201</v>
      </c>
      <c r="E335" s="230" t="e">
        <f>'DATA INPUT'!#REF!-E334+E337</f>
        <v>#REF!</v>
      </c>
    </row>
    <row r="336" spans="2:5" ht="12.75" customHeight="1">
      <c r="B336" s="227"/>
      <c r="C336" s="228"/>
      <c r="D336" s="229" t="s">
        <v>202</v>
      </c>
      <c r="E336" s="230" t="e">
        <f>'DATA INPUT'!#REF!</f>
        <v>#REF!</v>
      </c>
    </row>
    <row r="337" spans="2:52" ht="12.75" customHeight="1">
      <c r="B337" s="227"/>
      <c r="C337" s="228"/>
      <c r="D337" s="229" t="s">
        <v>203</v>
      </c>
      <c r="E337" s="230" t="e">
        <f>'DATA INPUT'!#REF!*WATER_CORRECTION</f>
        <v>#REF!</v>
      </c>
    </row>
    <row r="338" spans="2:52" ht="12.75" customHeight="1">
      <c r="B338" s="227" t="s">
        <v>221</v>
      </c>
      <c r="C338" s="228"/>
      <c r="D338" s="229" t="s">
        <v>151</v>
      </c>
      <c r="E338" s="230" t="e">
        <f>'DATA INPUT'!#REF!</f>
        <v>#REF!</v>
      </c>
    </row>
    <row r="339" spans="2:52" ht="12.75" customHeight="1">
      <c r="B339" s="227"/>
      <c r="C339" s="228"/>
      <c r="D339" s="229" t="s">
        <v>201</v>
      </c>
      <c r="E339" s="230" t="e">
        <f>'DATA INPUT'!#REF!-E338+E341</f>
        <v>#REF!</v>
      </c>
    </row>
    <row r="340" spans="2:52" ht="12.75" customHeight="1">
      <c r="B340" s="227"/>
      <c r="C340" s="228"/>
      <c r="D340" s="229" t="s">
        <v>202</v>
      </c>
      <c r="E340" s="230" t="e">
        <f>'DATA INPUT'!#REF!</f>
        <v>#REF!</v>
      </c>
    </row>
    <row r="342" spans="2:52" ht="12.75" customHeight="1">
      <c r="B342" s="227" t="s">
        <v>222</v>
      </c>
      <c r="C342" s="228"/>
      <c r="D342" s="229" t="s">
        <v>151</v>
      </c>
      <c r="E342" s="230" t="e">
        <f>'DATA INPUT'!#REF!</f>
        <v>#REF!</v>
      </c>
    </row>
    <row r="343" spans="2:52" ht="12.75" customHeight="1">
      <c r="B343" s="227"/>
      <c r="C343" s="228"/>
      <c r="D343" s="229" t="s">
        <v>201</v>
      </c>
      <c r="E343" s="230" t="e">
        <f>'DATA INPUT'!#REF!-E342+E345</f>
        <v>#REF!</v>
      </c>
    </row>
    <row r="344" spans="2:52" ht="12.75" customHeight="1">
      <c r="B344" s="227"/>
      <c r="C344" s="228"/>
      <c r="D344" s="229" t="s">
        <v>202</v>
      </c>
      <c r="E344" s="230" t="e">
        <f>'DATA INPUT'!#REF!</f>
        <v>#REF!</v>
      </c>
      <c r="AW344" s="98"/>
      <c r="AX344"/>
      <c r="AY344" s="98"/>
      <c r="AZ344"/>
    </row>
    <row r="345" spans="2:52" ht="12.75" customHeight="1">
      <c r="B345" s="231"/>
      <c r="C345" s="232"/>
      <c r="D345" s="233" t="s">
        <v>203</v>
      </c>
      <c r="E345" s="234" t="e">
        <f>'DATA INPUT'!#REF!*WATER_CORRECTION</f>
        <v>#REF!</v>
      </c>
      <c r="AW345" s="98"/>
      <c r="AX345"/>
      <c r="AY345" s="98"/>
      <c r="AZ345"/>
    </row>
    <row r="346" spans="2:52" ht="12.75" customHeight="1">
      <c r="B346" s="235"/>
      <c r="C346" s="236" t="s">
        <v>234</v>
      </c>
      <c r="D346" s="237"/>
      <c r="E346" s="238" t="e">
        <f>CLEARPF</f>
        <v>#REF!</v>
      </c>
      <c r="J346" s="501"/>
      <c r="AW346" s="98"/>
      <c r="AX346"/>
      <c r="AY346" s="98"/>
      <c r="AZ346"/>
    </row>
    <row r="347" spans="2:52" ht="12.75" customHeight="1">
      <c r="B347" s="239" t="s">
        <v>238</v>
      </c>
      <c r="C347" s="1231" t="s">
        <v>239</v>
      </c>
      <c r="D347" s="1231"/>
      <c r="E347" s="240">
        <f>+'DATA INPUT'!E50</f>
        <v>0</v>
      </c>
      <c r="J347" s="503"/>
      <c r="AW347" s="98"/>
      <c r="AX347"/>
      <c r="AY347" s="98"/>
      <c r="AZ347"/>
    </row>
    <row r="348" spans="2:52" ht="12.75" customHeight="1">
      <c r="J348" s="503"/>
      <c r="AW348" s="98"/>
      <c r="AX348"/>
      <c r="AY348" s="98"/>
      <c r="AZ348"/>
    </row>
    <row r="349" spans="2:52" ht="12.75" customHeight="1">
      <c r="I349" s="500" t="s">
        <v>116</v>
      </c>
      <c r="AW349" s="98"/>
      <c r="AX349"/>
      <c r="AY349" s="98"/>
      <c r="AZ349"/>
    </row>
    <row r="350" spans="2:52" ht="12.75" customHeight="1">
      <c r="B350" s="197" t="s">
        <v>194</v>
      </c>
      <c r="C350" s="1232" t="str">
        <f ca="1">VLOOKUP(DAY(INT(NOW()+1)),REPORTDAY,2)&amp;"-"&amp;VLOOKUP(MONTH(INT(NOW()+1)),RPTMONTH,2)&amp;"-"&amp;RIGHT(YEAR(INT(NOW()+1)),2)</f>
        <v>26-OCT-26</v>
      </c>
      <c r="D350" s="1233"/>
      <c r="E350" s="198"/>
      <c r="F350" s="500" t="s">
        <v>116</v>
      </c>
      <c r="G350" s="501"/>
      <c r="H350" s="775"/>
      <c r="I350" s="502"/>
      <c r="AW350" s="98"/>
      <c r="AX350"/>
      <c r="AY350" s="98"/>
      <c r="AZ350"/>
    </row>
    <row r="351" spans="2:52" ht="12.75" customHeight="1">
      <c r="B351" s="199" t="s">
        <v>195</v>
      </c>
      <c r="C351" s="1232">
        <v>46299</v>
      </c>
      <c r="D351" s="1233"/>
      <c r="E351" s="198"/>
      <c r="F351" s="502"/>
      <c r="G351" s="503"/>
      <c r="H351" s="776"/>
      <c r="I351" s="502"/>
      <c r="J351" s="203" t="s">
        <v>117</v>
      </c>
      <c r="AW351" s="98"/>
      <c r="AX351"/>
      <c r="AY351" s="98"/>
      <c r="AZ351"/>
    </row>
    <row r="352" spans="2:52" ht="12.75" customHeight="1">
      <c r="B352" s="200" t="s">
        <v>196</v>
      </c>
      <c r="C352" s="1228" t="s">
        <v>1358</v>
      </c>
      <c r="D352" s="1229"/>
      <c r="E352" s="1230"/>
      <c r="F352" s="504"/>
      <c r="G352" s="505"/>
      <c r="H352" s="776"/>
      <c r="I352" s="201">
        <v>1</v>
      </c>
      <c r="J352" s="203" t="s">
        <v>118</v>
      </c>
      <c r="AW352" s="98"/>
      <c r="AX352"/>
      <c r="AY352" s="98"/>
      <c r="AZ352"/>
    </row>
    <row r="353" spans="2:52" ht="12.75" customHeight="1">
      <c r="B353" s="199" t="s">
        <v>128</v>
      </c>
      <c r="C353" s="1225" t="s">
        <v>129</v>
      </c>
      <c r="D353" s="1226"/>
      <c r="E353" s="1227"/>
      <c r="F353" s="201">
        <v>1</v>
      </c>
      <c r="G353" s="202" t="s">
        <v>132</v>
      </c>
      <c r="H353" s="202"/>
      <c r="I353" s="201">
        <v>2</v>
      </c>
      <c r="J353" s="203" t="s">
        <v>119</v>
      </c>
      <c r="AW353" s="98"/>
      <c r="AX353"/>
      <c r="AY353" s="98"/>
      <c r="AZ353"/>
    </row>
    <row r="354" spans="2:52" ht="12.75" customHeight="1">
      <c r="B354" s="204" t="s">
        <v>197</v>
      </c>
      <c r="C354" s="1222" t="str">
        <f>ReportName&amp;" "&amp;VLOOKUP(DAY(REPDATE),REPORTDAY,2)&amp;"-"&amp;VLOOKUP(MONTH(REPDATE),RPTMONTH,2)&amp;"-"&amp;RIGHT(YEAR(REPDATE),2)&amp;",xls"</f>
        <v>AG OIL REPORT 05-OCT-26,xls</v>
      </c>
      <c r="D354" s="1223"/>
      <c r="E354" s="1224"/>
      <c r="F354" s="201">
        <v>2</v>
      </c>
      <c r="G354" s="202" t="s">
        <v>133</v>
      </c>
      <c r="H354" s="202"/>
      <c r="I354" s="201">
        <v>3</v>
      </c>
      <c r="J354" s="203" t="s">
        <v>121</v>
      </c>
      <c r="AW354" s="98"/>
      <c r="AX354"/>
      <c r="AY354" s="98"/>
      <c r="AZ354"/>
    </row>
    <row r="355" spans="2:52" ht="12.75" customHeight="1">
      <c r="F355" s="201">
        <v>3</v>
      </c>
      <c r="G355" s="202" t="s">
        <v>134</v>
      </c>
      <c r="H355" s="202"/>
      <c r="I355" s="201">
        <v>4</v>
      </c>
      <c r="J355" s="203" t="s">
        <v>120</v>
      </c>
      <c r="AW355" s="98"/>
      <c r="AX355"/>
      <c r="AY355" s="98"/>
      <c r="AZ355"/>
    </row>
    <row r="356" spans="2:52" ht="12.75" customHeight="1">
      <c r="F356" s="201">
        <v>4</v>
      </c>
      <c r="G356" s="202" t="s">
        <v>135</v>
      </c>
      <c r="H356" s="202"/>
      <c r="I356" s="201">
        <v>5</v>
      </c>
      <c r="J356" s="203" t="s">
        <v>123</v>
      </c>
      <c r="AW356" s="98"/>
      <c r="AX356"/>
      <c r="AY356" s="98"/>
      <c r="AZ356"/>
    </row>
    <row r="357" spans="2:52" ht="12.75" customHeight="1">
      <c r="F357" s="201">
        <v>5</v>
      </c>
      <c r="G357" s="202" t="s">
        <v>136</v>
      </c>
      <c r="H357" s="202"/>
      <c r="I357" s="201">
        <v>6</v>
      </c>
      <c r="J357" s="203" t="s">
        <v>122</v>
      </c>
      <c r="AW357" s="98"/>
      <c r="AX357"/>
      <c r="AY357" s="98"/>
      <c r="AZ357"/>
    </row>
    <row r="358" spans="2:52" ht="12.75" customHeight="1">
      <c r="F358" s="201">
        <v>6</v>
      </c>
      <c r="G358" s="202" t="s">
        <v>137</v>
      </c>
      <c r="H358" s="202"/>
      <c r="I358" s="201">
        <v>7</v>
      </c>
      <c r="J358" s="203" t="s">
        <v>124</v>
      </c>
      <c r="AW358" s="98"/>
      <c r="AX358"/>
      <c r="AY358" s="98"/>
      <c r="AZ358"/>
    </row>
    <row r="359" spans="2:52" ht="12.75" customHeight="1">
      <c r="F359" s="201">
        <v>7</v>
      </c>
      <c r="G359" s="202" t="s">
        <v>138</v>
      </c>
      <c r="H359" s="202"/>
      <c r="I359" s="201">
        <v>8</v>
      </c>
      <c r="J359" s="203" t="s">
        <v>125</v>
      </c>
      <c r="AW359" s="98"/>
      <c r="AX359"/>
      <c r="AY359" s="98"/>
      <c r="AZ359"/>
    </row>
    <row r="360" spans="2:52" ht="12.75" customHeight="1">
      <c r="F360" s="201">
        <v>8</v>
      </c>
      <c r="G360" s="202" t="s">
        <v>139</v>
      </c>
      <c r="H360" s="202"/>
      <c r="I360" s="201">
        <v>9</v>
      </c>
      <c r="J360" s="203" t="s">
        <v>126</v>
      </c>
      <c r="AW360" s="98"/>
      <c r="AX360"/>
      <c r="AY360" s="98"/>
      <c r="AZ360"/>
    </row>
    <row r="361" spans="2:52" ht="12.75" customHeight="1">
      <c r="F361" s="201">
        <v>9</v>
      </c>
      <c r="G361" s="202" t="s">
        <v>65</v>
      </c>
      <c r="H361" s="202"/>
      <c r="I361" s="201">
        <v>10</v>
      </c>
      <c r="J361" s="203" t="s">
        <v>127</v>
      </c>
      <c r="AW361" s="98"/>
      <c r="AX361"/>
      <c r="AY361" s="98"/>
      <c r="AZ361"/>
    </row>
    <row r="362" spans="2:52" ht="12.75" customHeight="1">
      <c r="F362" s="201">
        <v>10</v>
      </c>
      <c r="G362" s="202" t="s">
        <v>140</v>
      </c>
      <c r="H362" s="202"/>
      <c r="I362" s="201">
        <v>11</v>
      </c>
      <c r="J362" s="203" t="s">
        <v>97</v>
      </c>
      <c r="AW362" s="98"/>
      <c r="AX362"/>
      <c r="AY362" s="98"/>
      <c r="AZ362"/>
    </row>
    <row r="363" spans="2:52" ht="12.75" customHeight="1">
      <c r="F363" s="201">
        <v>11</v>
      </c>
      <c r="G363" s="202" t="s">
        <v>141</v>
      </c>
      <c r="H363" s="202"/>
      <c r="I363" s="201">
        <v>12</v>
      </c>
      <c r="J363" s="203" t="s">
        <v>92</v>
      </c>
      <c r="AW363" s="98"/>
      <c r="AX363"/>
      <c r="AY363" s="98"/>
      <c r="AZ363"/>
    </row>
    <row r="364" spans="2:52" ht="12.75" customHeight="1">
      <c r="B364" s="54"/>
      <c r="C364" s="54"/>
      <c r="D364" s="54"/>
      <c r="E364" s="54"/>
      <c r="F364" s="201">
        <v>12</v>
      </c>
      <c r="G364" s="205" t="s">
        <v>142</v>
      </c>
      <c r="H364" s="205"/>
      <c r="I364" s="201">
        <v>13</v>
      </c>
      <c r="J364" s="203" t="s">
        <v>91</v>
      </c>
      <c r="AW364" s="98"/>
      <c r="AX364"/>
      <c r="AY364" s="98"/>
      <c r="AZ364"/>
    </row>
    <row r="365" spans="2:52" ht="12.75" customHeight="1">
      <c r="B365" s="54"/>
      <c r="C365" s="54"/>
      <c r="D365" s="54"/>
      <c r="E365" s="54"/>
      <c r="F365" s="206"/>
      <c r="G365" s="206"/>
      <c r="H365" s="206"/>
      <c r="I365" s="201">
        <v>14</v>
      </c>
      <c r="J365" s="203" t="s">
        <v>89</v>
      </c>
      <c r="AW365" s="98"/>
      <c r="AX365"/>
      <c r="AY365" s="98"/>
      <c r="AZ365"/>
    </row>
    <row r="366" spans="2:52" ht="12.75" customHeight="1">
      <c r="B366" s="54"/>
      <c r="C366" s="54"/>
      <c r="D366" s="54"/>
      <c r="E366" s="54"/>
      <c r="F366" s="206"/>
      <c r="G366" s="206"/>
      <c r="H366" s="206"/>
      <c r="I366" s="201">
        <v>15</v>
      </c>
      <c r="J366" s="203" t="s">
        <v>93</v>
      </c>
      <c r="AW366" s="98"/>
      <c r="AX366"/>
      <c r="AY366" s="98"/>
      <c r="AZ366"/>
    </row>
    <row r="367" spans="2:52" ht="12.75" customHeight="1">
      <c r="B367" s="206"/>
      <c r="C367" s="206"/>
      <c r="D367" s="206"/>
      <c r="E367" s="206"/>
      <c r="F367" s="206"/>
      <c r="G367" s="206"/>
      <c r="H367" s="206"/>
      <c r="I367" s="201">
        <v>16</v>
      </c>
      <c r="J367" s="203" t="s">
        <v>80</v>
      </c>
      <c r="AW367" s="98"/>
      <c r="AX367"/>
      <c r="AY367" s="98"/>
      <c r="AZ367"/>
    </row>
    <row r="368" spans="2:52" ht="12.75" customHeight="1">
      <c r="B368" s="206"/>
      <c r="C368" s="206"/>
      <c r="D368" s="206"/>
      <c r="E368" s="206"/>
      <c r="F368" s="1052"/>
      <c r="G368" s="1052"/>
      <c r="H368" s="1052"/>
      <c r="I368" s="201">
        <v>17</v>
      </c>
      <c r="J368" s="203" t="s">
        <v>83</v>
      </c>
      <c r="AW368" s="98"/>
      <c r="AX368"/>
      <c r="AY368" s="98"/>
      <c r="AZ368"/>
    </row>
    <row r="369" spans="2:52" ht="12.75" customHeight="1">
      <c r="B369" s="1053"/>
      <c r="C369" s="1054"/>
      <c r="D369" s="196"/>
      <c r="E369" s="196"/>
      <c r="F369" s="196"/>
      <c r="G369" s="1055"/>
      <c r="H369" s="1055"/>
      <c r="I369" s="201">
        <v>18</v>
      </c>
      <c r="J369" s="203" t="s">
        <v>96</v>
      </c>
      <c r="AW369" s="98"/>
      <c r="AX369"/>
      <c r="AY369" s="98"/>
      <c r="AZ369"/>
    </row>
    <row r="370" spans="2:52" ht="12.75" customHeight="1">
      <c r="B370" s="1053"/>
      <c r="C370" s="206"/>
      <c r="D370" s="207"/>
      <c r="E370" s="207"/>
      <c r="F370" s="207"/>
      <c r="G370" s="1055"/>
      <c r="H370" s="1055"/>
      <c r="I370" s="201">
        <v>19</v>
      </c>
      <c r="J370" s="203" t="s">
        <v>95</v>
      </c>
      <c r="AW370" s="98"/>
      <c r="AX370"/>
      <c r="AY370" s="98"/>
      <c r="AZ370"/>
    </row>
    <row r="371" spans="2:52" ht="12.75" customHeight="1">
      <c r="B371" s="54"/>
      <c r="C371" s="54"/>
      <c r="D371" s="54"/>
      <c r="E371" s="54"/>
      <c r="F371" s="196"/>
      <c r="G371" s="1056"/>
      <c r="H371" s="1056"/>
      <c r="I371" s="201">
        <v>20</v>
      </c>
      <c r="J371" s="203" t="s">
        <v>99</v>
      </c>
      <c r="AW371" s="98"/>
      <c r="AX371"/>
      <c r="AY371" s="98"/>
      <c r="AZ371"/>
    </row>
    <row r="372" spans="2:52" ht="12.75" customHeight="1">
      <c r="B372" s="54"/>
      <c r="C372" s="54"/>
      <c r="D372" s="54"/>
      <c r="E372" s="54"/>
      <c r="F372" s="1057"/>
      <c r="G372" s="1055"/>
      <c r="H372" s="1055"/>
      <c r="I372" s="201">
        <v>21</v>
      </c>
      <c r="J372" s="203" t="s">
        <v>98</v>
      </c>
      <c r="AW372" s="98"/>
      <c r="AX372"/>
      <c r="AY372" s="98"/>
      <c r="AZ372"/>
    </row>
    <row r="373" spans="2:52" ht="12.75" customHeight="1">
      <c r="B373" s="54"/>
      <c r="C373" s="54"/>
      <c r="D373" s="54"/>
      <c r="E373" s="54"/>
      <c r="F373" s="1057"/>
      <c r="G373" s="1055"/>
      <c r="H373" s="1055"/>
      <c r="I373" s="201">
        <v>22</v>
      </c>
      <c r="J373" s="203" t="s">
        <v>94</v>
      </c>
      <c r="AW373" s="98"/>
      <c r="AX373"/>
      <c r="AY373" s="98"/>
      <c r="AZ373"/>
    </row>
    <row r="374" spans="2:52" ht="12.75" customHeight="1">
      <c r="B374" s="54"/>
      <c r="C374" s="54"/>
      <c r="D374" s="54"/>
      <c r="E374" s="54"/>
      <c r="F374" s="1057"/>
      <c r="G374" s="1055"/>
      <c r="H374" s="1055"/>
      <c r="I374" s="201">
        <v>23</v>
      </c>
      <c r="J374" s="203" t="s">
        <v>88</v>
      </c>
      <c r="AW374" s="98"/>
      <c r="AX374"/>
      <c r="AY374" s="98"/>
      <c r="AZ374"/>
    </row>
    <row r="375" spans="2:52" ht="12.75" customHeight="1">
      <c r="B375" s="206"/>
      <c r="C375" s="206"/>
      <c r="D375" s="206"/>
      <c r="E375" s="206"/>
      <c r="F375" s="1052"/>
      <c r="G375" s="1055"/>
      <c r="H375" s="1055"/>
      <c r="I375" s="201">
        <v>24</v>
      </c>
      <c r="J375" s="203" t="s">
        <v>84</v>
      </c>
      <c r="AW375" s="98"/>
      <c r="AX375"/>
      <c r="AY375" s="98"/>
      <c r="AZ375"/>
    </row>
    <row r="376" spans="2:52" ht="12.75" customHeight="1">
      <c r="B376" s="206"/>
      <c r="C376" s="206"/>
      <c r="D376" s="206"/>
      <c r="E376" s="206"/>
      <c r="F376" s="1055"/>
      <c r="G376" s="1055"/>
      <c r="H376" s="1055"/>
      <c r="I376" s="201">
        <v>25</v>
      </c>
      <c r="J376" s="203" t="s">
        <v>85</v>
      </c>
      <c r="AW376" s="98"/>
      <c r="AX376"/>
      <c r="AY376" s="98"/>
      <c r="AZ376"/>
    </row>
    <row r="377" spans="2:52" ht="12.75" customHeight="1">
      <c r="B377" s="206"/>
      <c r="C377" s="206"/>
      <c r="D377" s="206"/>
      <c r="E377" s="206"/>
      <c r="F377" s="1055"/>
      <c r="G377" s="1055"/>
      <c r="H377" s="1055"/>
      <c r="I377" s="201">
        <v>26</v>
      </c>
      <c r="J377" s="203" t="s">
        <v>86</v>
      </c>
      <c r="AW377" s="98"/>
      <c r="AX377"/>
      <c r="AY377" s="98"/>
      <c r="AZ377"/>
    </row>
    <row r="378" spans="2:52" ht="12.75" customHeight="1">
      <c r="B378" s="206"/>
      <c r="C378" s="206"/>
      <c r="D378" s="206"/>
      <c r="E378" s="206"/>
      <c r="F378" s="1055"/>
      <c r="G378" s="1055"/>
      <c r="H378" s="1055"/>
      <c r="I378" s="201">
        <v>27</v>
      </c>
      <c r="J378" s="203" t="s">
        <v>87</v>
      </c>
    </row>
    <row r="379" spans="2:52" ht="12.75" customHeight="1">
      <c r="B379" s="1056"/>
      <c r="C379" s="1055"/>
      <c r="D379" s="1055"/>
      <c r="E379" s="1055"/>
      <c r="F379" s="1055"/>
      <c r="G379" s="1055"/>
      <c r="H379" s="1055"/>
      <c r="I379" s="201">
        <v>28</v>
      </c>
      <c r="J379" s="203" t="s">
        <v>90</v>
      </c>
    </row>
    <row r="380" spans="2:52" ht="12.75" customHeight="1">
      <c r="B380" s="1056"/>
      <c r="C380" s="1055"/>
      <c r="D380" s="1055"/>
      <c r="E380" s="1055"/>
      <c r="F380" s="1055"/>
      <c r="G380" s="1055"/>
      <c r="H380" s="1055"/>
      <c r="I380" s="201">
        <v>29</v>
      </c>
      <c r="J380" s="203" t="s">
        <v>81</v>
      </c>
    </row>
    <row r="381" spans="2:52" ht="12.75" customHeight="1">
      <c r="B381" s="1056"/>
      <c r="C381" s="1055"/>
      <c r="D381" s="1055"/>
      <c r="E381" s="1055"/>
      <c r="F381" s="1055"/>
      <c r="G381" s="1055"/>
      <c r="H381" s="1055"/>
      <c r="I381" s="208">
        <v>30</v>
      </c>
      <c r="J381" s="203" t="s">
        <v>82</v>
      </c>
    </row>
    <row r="382" spans="2:52" ht="12.75" customHeight="1">
      <c r="B382" s="1056"/>
      <c r="C382" s="1055"/>
      <c r="D382" s="1055"/>
      <c r="E382" s="1055"/>
      <c r="F382" s="1055"/>
      <c r="G382" s="1055"/>
      <c r="H382" s="1055"/>
      <c r="I382" s="208">
        <v>31</v>
      </c>
    </row>
    <row r="383" spans="2:52" ht="12.75" customHeight="1">
      <c r="B383" s="1056"/>
      <c r="C383" s="1055"/>
      <c r="D383" s="1055"/>
      <c r="E383" s="1055"/>
      <c r="F383" s="1055"/>
      <c r="G383" s="1055"/>
      <c r="H383" s="1055"/>
      <c r="I383" s="1058"/>
    </row>
    <row r="384" spans="2:52" ht="12.75" customHeight="1">
      <c r="B384" s="1056"/>
      <c r="C384" s="1058"/>
      <c r="D384" s="1058"/>
      <c r="E384" s="1058"/>
      <c r="F384" s="1058"/>
      <c r="G384" s="1058"/>
      <c r="H384" s="1058"/>
    </row>
  </sheetData>
  <sheetProtection password="ECEC" sheet="1" objects="1" scenarios="1" formatRows="0"/>
  <dataConsolidate/>
  <customSheetViews>
    <customSheetView guid="{9FD33A57-86F0-4BF5-A6C0-5833A5B59516}" fitToPage="1" hiddenRows="1">
      <selection activeCell="I12" sqref="I12"/>
      <pageMargins left="0.95" right="0.95" top="0" bottom="0" header="1.05" footer="1.05"/>
      <printOptions horizontalCentered="1" verticalCentered="1"/>
      <pageSetup orientation="portrait" r:id="rId1"/>
      <headerFooter alignWithMargins="0"/>
    </customSheetView>
  </customSheetViews>
  <mergeCells count="279">
    <mergeCell ref="D113:O113"/>
    <mergeCell ref="B100:C100"/>
    <mergeCell ref="B97:C97"/>
    <mergeCell ref="D97:O97"/>
    <mergeCell ref="B98:C98"/>
    <mergeCell ref="B84:C84"/>
    <mergeCell ref="B87:C87"/>
    <mergeCell ref="E84:N84"/>
    <mergeCell ref="D87:O87"/>
    <mergeCell ref="B113:C113"/>
    <mergeCell ref="D88:O88"/>
    <mergeCell ref="D92:O92"/>
    <mergeCell ref="D91:O91"/>
    <mergeCell ref="D89:O89"/>
    <mergeCell ref="D90:O90"/>
    <mergeCell ref="B88:C88"/>
    <mergeCell ref="B89:C89"/>
    <mergeCell ref="B91:C91"/>
    <mergeCell ref="B92:C92"/>
    <mergeCell ref="B90:C90"/>
    <mergeCell ref="C217:D217"/>
    <mergeCell ref="C213:D213"/>
    <mergeCell ref="C219:D219"/>
    <mergeCell ref="C218:D218"/>
    <mergeCell ref="C215:D215"/>
    <mergeCell ref="B212:D212"/>
    <mergeCell ref="C216:D216"/>
    <mergeCell ref="C214:D214"/>
    <mergeCell ref="B81:C81"/>
    <mergeCell ref="B82:C82"/>
    <mergeCell ref="B83:C83"/>
    <mergeCell ref="C228:D228"/>
    <mergeCell ref="C229:D229"/>
    <mergeCell ref="C231:D231"/>
    <mergeCell ref="B105:C105"/>
    <mergeCell ref="B111:C111"/>
    <mergeCell ref="D112:O112"/>
    <mergeCell ref="D111:O111"/>
    <mergeCell ref="C223:D223"/>
    <mergeCell ref="C241:D241"/>
    <mergeCell ref="C239:D239"/>
    <mergeCell ref="C230:D230"/>
    <mergeCell ref="C235:D235"/>
    <mergeCell ref="C232:D232"/>
    <mergeCell ref="C233:D233"/>
    <mergeCell ref="C354:E354"/>
    <mergeCell ref="C353:E353"/>
    <mergeCell ref="C352:E352"/>
    <mergeCell ref="C258:D258"/>
    <mergeCell ref="C347:D347"/>
    <mergeCell ref="C250:D250"/>
    <mergeCell ref="C350:D350"/>
    <mergeCell ref="C351:D351"/>
    <mergeCell ref="C254:D254"/>
    <mergeCell ref="C257:D257"/>
    <mergeCell ref="C243:D243"/>
    <mergeCell ref="C236:D236"/>
    <mergeCell ref="C238:D238"/>
    <mergeCell ref="C244:D244"/>
    <mergeCell ref="C242:D242"/>
    <mergeCell ref="C237:D237"/>
    <mergeCell ref="C240:D240"/>
    <mergeCell ref="E81:N81"/>
    <mergeCell ref="E82:N82"/>
    <mergeCell ref="E83:N83"/>
    <mergeCell ref="C251:D251"/>
    <mergeCell ref="C249:D249"/>
    <mergeCell ref="C253:D253"/>
    <mergeCell ref="C225:D225"/>
    <mergeCell ref="K116:M116"/>
    <mergeCell ref="C247:D247"/>
    <mergeCell ref="C246:D246"/>
    <mergeCell ref="C256:D256"/>
    <mergeCell ref="C255:D255"/>
    <mergeCell ref="C252:D252"/>
    <mergeCell ref="B77:C77"/>
    <mergeCell ref="E77:N77"/>
    <mergeCell ref="B80:C80"/>
    <mergeCell ref="E80:N80"/>
    <mergeCell ref="E79:N79"/>
    <mergeCell ref="E78:N78"/>
    <mergeCell ref="B79:C79"/>
    <mergeCell ref="B78:C78"/>
    <mergeCell ref="C248:D248"/>
    <mergeCell ref="C221:D221"/>
    <mergeCell ref="C222:D222"/>
    <mergeCell ref="C227:D227"/>
    <mergeCell ref="B114:C114"/>
    <mergeCell ref="D114:O114"/>
    <mergeCell ref="C224:D224"/>
    <mergeCell ref="C220:D220"/>
    <mergeCell ref="C226:D226"/>
    <mergeCell ref="D108:O108"/>
    <mergeCell ref="D110:O110"/>
    <mergeCell ref="B112:C112"/>
    <mergeCell ref="B106:C106"/>
    <mergeCell ref="B110:C110"/>
    <mergeCell ref="B109:C109"/>
    <mergeCell ref="B107:C107"/>
    <mergeCell ref="B108:C108"/>
    <mergeCell ref="D109:O109"/>
    <mergeCell ref="D107:O107"/>
    <mergeCell ref="B76:C76"/>
    <mergeCell ref="B75:C75"/>
    <mergeCell ref="E76:N76"/>
    <mergeCell ref="E75:N75"/>
    <mergeCell ref="B104:C104"/>
    <mergeCell ref="B103:C103"/>
    <mergeCell ref="D104:O104"/>
    <mergeCell ref="D99:O99"/>
    <mergeCell ref="D98:O98"/>
    <mergeCell ref="D101:O101"/>
    <mergeCell ref="B101:C101"/>
    <mergeCell ref="B102:C102"/>
    <mergeCell ref="B99:C99"/>
    <mergeCell ref="D94:O94"/>
    <mergeCell ref="D93:O93"/>
    <mergeCell ref="B94:C94"/>
    <mergeCell ref="B96:C96"/>
    <mergeCell ref="B95:C95"/>
    <mergeCell ref="B93:C93"/>
    <mergeCell ref="E73:N73"/>
    <mergeCell ref="E72:N72"/>
    <mergeCell ref="E70:N70"/>
    <mergeCell ref="E71:N71"/>
    <mergeCell ref="B74:C74"/>
    <mergeCell ref="B73:C73"/>
    <mergeCell ref="B71:C71"/>
    <mergeCell ref="B72:C72"/>
    <mergeCell ref="E74:N74"/>
    <mergeCell ref="B70:C70"/>
    <mergeCell ref="D103:O103"/>
    <mergeCell ref="D102:O102"/>
    <mergeCell ref="D100:O100"/>
    <mergeCell ref="D95:O95"/>
    <mergeCell ref="D96:O96"/>
    <mergeCell ref="D106:O106"/>
    <mergeCell ref="D105:O105"/>
    <mergeCell ref="J12:K12"/>
    <mergeCell ref="J8:K8"/>
    <mergeCell ref="N25:O25"/>
    <mergeCell ref="N38:O38"/>
    <mergeCell ref="N42:O42"/>
    <mergeCell ref="N34:O34"/>
    <mergeCell ref="J11:K11"/>
    <mergeCell ref="J13:K13"/>
    <mergeCell ref="L24:M24"/>
    <mergeCell ref="J36:K36"/>
    <mergeCell ref="J15:K15"/>
    <mergeCell ref="J32:K32"/>
    <mergeCell ref="J34:K34"/>
    <mergeCell ref="J19:K19"/>
    <mergeCell ref="J18:K18"/>
    <mergeCell ref="J33:K33"/>
    <mergeCell ref="J30:K30"/>
    <mergeCell ref="J26:K26"/>
    <mergeCell ref="J20:K20"/>
    <mergeCell ref="J16:K16"/>
    <mergeCell ref="CD3:CL3"/>
    <mergeCell ref="K3:L3"/>
    <mergeCell ref="D4:L4"/>
    <mergeCell ref="N37:O37"/>
    <mergeCell ref="J29:K29"/>
    <mergeCell ref="J5:K5"/>
    <mergeCell ref="J14:K14"/>
    <mergeCell ref="J10:K10"/>
    <mergeCell ref="J17:K17"/>
    <mergeCell ref="J35:K35"/>
    <mergeCell ref="B3:C3"/>
    <mergeCell ref="B33:C33"/>
    <mergeCell ref="B44:C44"/>
    <mergeCell ref="B5:D5"/>
    <mergeCell ref="H33:H34"/>
    <mergeCell ref="B42:C42"/>
    <mergeCell ref="D3:J3"/>
    <mergeCell ref="J9:K9"/>
    <mergeCell ref="G33:G34"/>
    <mergeCell ref="J6:K6"/>
    <mergeCell ref="B36:C36"/>
    <mergeCell ref="B67:C67"/>
    <mergeCell ref="E67:N67"/>
    <mergeCell ref="B68:C68"/>
    <mergeCell ref="E69:N69"/>
    <mergeCell ref="B69:C69"/>
    <mergeCell ref="E68:N68"/>
    <mergeCell ref="L53:M53"/>
    <mergeCell ref="L54:M54"/>
    <mergeCell ref="N41:O41"/>
    <mergeCell ref="N43:O43"/>
    <mergeCell ref="J40:K40"/>
    <mergeCell ref="J39:K39"/>
    <mergeCell ref="N35:O35"/>
    <mergeCell ref="N28:O28"/>
    <mergeCell ref="J37:K37"/>
    <mergeCell ref="J31:K31"/>
    <mergeCell ref="N30:O30"/>
    <mergeCell ref="J28:K28"/>
    <mergeCell ref="N31:O31"/>
    <mergeCell ref="N36:O36"/>
    <mergeCell ref="E66:N66"/>
    <mergeCell ref="E65:N65"/>
    <mergeCell ref="B65:C65"/>
    <mergeCell ref="B66:C66"/>
    <mergeCell ref="N24:O24"/>
    <mergeCell ref="J27:K27"/>
    <mergeCell ref="L25:M25"/>
    <mergeCell ref="N44:O44"/>
    <mergeCell ref="L52:M52"/>
    <mergeCell ref="L51:M51"/>
    <mergeCell ref="L23:M23"/>
    <mergeCell ref="N27:O27"/>
    <mergeCell ref="N23:O23"/>
    <mergeCell ref="L22:M22"/>
    <mergeCell ref="N26:O26"/>
    <mergeCell ref="N22:O22"/>
    <mergeCell ref="N39:O40"/>
    <mergeCell ref="N32:O32"/>
    <mergeCell ref="N33:O33"/>
    <mergeCell ref="N29:O29"/>
    <mergeCell ref="B40:C40"/>
    <mergeCell ref="B45:C45"/>
    <mergeCell ref="J45:K45"/>
    <mergeCell ref="J44:K44"/>
    <mergeCell ref="G40:H40"/>
    <mergeCell ref="G41:H41"/>
    <mergeCell ref="B34:C34"/>
    <mergeCell ref="B35:C35"/>
    <mergeCell ref="B37:C37"/>
    <mergeCell ref="B38:C38"/>
    <mergeCell ref="G43:H43"/>
    <mergeCell ref="J38:K38"/>
    <mergeCell ref="B39:F39"/>
    <mergeCell ref="J41:K41"/>
    <mergeCell ref="J49:K49"/>
    <mergeCell ref="G47:H47"/>
    <mergeCell ref="B48:C48"/>
    <mergeCell ref="G48:H48"/>
    <mergeCell ref="G42:H42"/>
    <mergeCell ref="L49:M49"/>
    <mergeCell ref="J50:K50"/>
    <mergeCell ref="G46:H46"/>
    <mergeCell ref="J52:K52"/>
    <mergeCell ref="B46:C46"/>
    <mergeCell ref="B41:C41"/>
    <mergeCell ref="B43:C43"/>
    <mergeCell ref="L50:M50"/>
    <mergeCell ref="J42:K42"/>
    <mergeCell ref="G44:H45"/>
    <mergeCell ref="J43:K43"/>
    <mergeCell ref="G51:H51"/>
    <mergeCell ref="J46:K46"/>
    <mergeCell ref="J51:K51"/>
    <mergeCell ref="B47:C47"/>
    <mergeCell ref="J47:K47"/>
    <mergeCell ref="B49:C49"/>
    <mergeCell ref="G49:H49"/>
    <mergeCell ref="B56:C56"/>
    <mergeCell ref="B64:C64"/>
    <mergeCell ref="B59:C59"/>
    <mergeCell ref="B51:C51"/>
    <mergeCell ref="B50:F50"/>
    <mergeCell ref="G50:H50"/>
    <mergeCell ref="B58:C58"/>
    <mergeCell ref="B55:C55"/>
    <mergeCell ref="B57:C57"/>
    <mergeCell ref="B52:C52"/>
    <mergeCell ref="L57:M57"/>
    <mergeCell ref="F55:H55"/>
    <mergeCell ref="L56:M56"/>
    <mergeCell ref="G54:H54"/>
    <mergeCell ref="E64:N64"/>
    <mergeCell ref="J54:K54"/>
    <mergeCell ref="F56:H56"/>
    <mergeCell ref="G52:H52"/>
    <mergeCell ref="J53:K53"/>
    <mergeCell ref="G53:H53"/>
    <mergeCell ref="B53:C53"/>
    <mergeCell ref="B54:C54"/>
    <mergeCell ref="J55:K55"/>
  </mergeCells>
  <phoneticPr fontId="2" type="noConversion"/>
  <conditionalFormatting sqref="E213:E346">
    <cfRule type="cellIs" dxfId="1958" priority="4" stopIfTrue="1" operator="equal">
      <formula>""</formula>
    </cfRule>
  </conditionalFormatting>
  <conditionalFormatting sqref="M46">
    <cfRule type="expression" dxfId="1957" priority="5" stopIfTrue="1">
      <formula>OR(#REF!="SI",#REF!="T&amp;A")</formula>
    </cfRule>
  </conditionalFormatting>
  <conditionalFormatting sqref="N49">
    <cfRule type="expression" dxfId="1956" priority="3" stopIfTrue="1">
      <formula>OR(#REF!="SI",#REF!="T&amp;A")</formula>
    </cfRule>
  </conditionalFormatting>
  <conditionalFormatting sqref="M47">
    <cfRule type="expression" dxfId="1955" priority="2" stopIfTrue="1">
      <formula>OR(#REF!="SI",#REF!="T&amp;A")</formula>
    </cfRule>
  </conditionalFormatting>
  <conditionalFormatting sqref="M48">
    <cfRule type="expression" dxfId="1954" priority="1" stopIfTrue="1">
      <formula>OR(#REF!="SI",#REF!="T&amp;A")</formula>
    </cfRule>
  </conditionalFormatting>
  <dataValidations xWindow="1086" yWindow="489" count="1">
    <dataValidation type="list" allowBlank="1" showInputMessage="1" showErrorMessage="1" sqref="B116 K116">
      <formula1>FIELD_GM</formula1>
    </dataValidation>
  </dataValidations>
  <printOptions horizontalCentered="1" verticalCentered="1"/>
  <pageMargins left="0" right="0" top="0" bottom="0" header="0" footer="0"/>
  <pageSetup paperSize="9" scale="58" orientation="landscape" horizontalDpi="1200" verticalDpi="1200" r:id="rId2"/>
  <headerFooter alignWithMargins="0"/>
  <rowBreaks count="2" manualBreakCount="2">
    <brk id="62" max="15" man="1"/>
    <brk id="112" max="15" man="1"/>
  </rowBreaks>
  <ignoredErrors>
    <ignoredError sqref="O8 H13 H7:H10" evalError="1"/>
  </ignoredErrors>
  <drawing r:id="rId3"/>
  <legacyDrawing r:id="rId4"/>
  <mc:AlternateContent xmlns:mc="http://schemas.openxmlformats.org/markup-compatibility/2006">
    <mc:Choice Requires="x14">
      <controls>
        <mc:AlternateContent xmlns:mc="http://schemas.openxmlformats.org/markup-compatibility/2006">
          <mc:Choice Requires="x14">
            <control shapeId="13314" r:id="rId5" name="Button 1026">
              <controlPr defaultSize="0" print="0" autoFill="0" autoPict="0" macro="[0]!InitRpt">
                <anchor>
                  <from>
                    <xdr:col>10</xdr:col>
                    <xdr:colOff>1228725</xdr:colOff>
                    <xdr:row>0</xdr:row>
                    <xdr:rowOff>123825</xdr:rowOff>
                  </from>
                  <to>
                    <xdr:col>12</xdr:col>
                    <xdr:colOff>152400</xdr:colOff>
                    <xdr:row>1</xdr:row>
                    <xdr:rowOff>28575</xdr:rowOff>
                  </to>
                </anchor>
              </controlPr>
            </control>
          </mc:Choice>
        </mc:AlternateContent>
        <mc:AlternateContent xmlns:mc="http://schemas.openxmlformats.org/markup-compatibility/2006">
          <mc:Choice Requires="x14">
            <control shapeId="13316" r:id="rId6" name="Button 1028">
              <controlPr defaultSize="0" print="0" autoFill="0" autoPict="0" macro="[0]!PrintRPT">
                <anchor>
                  <from>
                    <xdr:col>10</xdr:col>
                    <xdr:colOff>1247775</xdr:colOff>
                    <xdr:row>1</xdr:row>
                    <xdr:rowOff>114300</xdr:rowOff>
                  </from>
                  <to>
                    <xdr:col>12</xdr:col>
                    <xdr:colOff>171450</xdr:colOff>
                    <xdr:row>2</xdr:row>
                    <xdr:rowOff>38100</xdr:rowOff>
                  </to>
                </anchor>
              </controlPr>
            </control>
          </mc:Choice>
        </mc:AlternateContent>
        <mc:AlternateContent xmlns:mc="http://schemas.openxmlformats.org/markup-compatibility/2006">
          <mc:Choice Requires="x14">
            <control shapeId="13600" r:id="rId7" name="Button 1312">
              <controlPr defaultSize="0" print="0" autoFill="0" autoPict="0" macro="[0]!FileSave_X">
                <anchor moveWithCells="1" sizeWithCells="1">
                  <from>
                    <xdr:col>76</xdr:col>
                    <xdr:colOff>295275</xdr:colOff>
                    <xdr:row>2</xdr:row>
                    <xdr:rowOff>19050</xdr:rowOff>
                  </from>
                  <to>
                    <xdr:col>79</xdr:col>
                    <xdr:colOff>457200</xdr:colOff>
                    <xdr:row>3</xdr:row>
                    <xdr:rowOff>0</xdr:rowOff>
                  </to>
                </anchor>
              </controlPr>
            </control>
          </mc:Choice>
        </mc:AlternateContent>
        <mc:AlternateContent xmlns:mc="http://schemas.openxmlformats.org/markup-compatibility/2006">
          <mc:Choice Requires="x14">
            <control shapeId="33298" r:id="rId8" name="Button 4626">
              <controlPr defaultSize="0" print="0" autoFill="0" autoPict="0" macro="[0]!_xludf.Save">
                <anchor moveWithCells="1" sizeWithCells="1">
                  <from>
                    <xdr:col>17</xdr:col>
                    <xdr:colOff>314325</xdr:colOff>
                    <xdr:row>3</xdr:row>
                    <xdr:rowOff>66675</xdr:rowOff>
                  </from>
                  <to>
                    <xdr:col>20</xdr:col>
                    <xdr:colOff>476250</xdr:colOff>
                    <xdr:row>4</xdr:row>
                    <xdr:rowOff>0</xdr:rowOff>
                  </to>
                </anchor>
              </controlPr>
            </control>
          </mc:Choice>
        </mc:AlternateContent>
        <mc:AlternateContent xmlns:mc="http://schemas.openxmlformats.org/markup-compatibility/2006">
          <mc:Choice Requires="x14">
            <control shapeId="33460" r:id="rId9" name="Button 4788">
              <controlPr defaultSize="0" print="0" autoFill="0" autoPict="0" macro="[0]!Protect">
                <anchor moveWithCells="1" sizeWithCells="1">
                  <from>
                    <xdr:col>19</xdr:col>
                    <xdr:colOff>190500</xdr:colOff>
                    <xdr:row>2</xdr:row>
                    <xdr:rowOff>0</xdr:rowOff>
                  </from>
                  <to>
                    <xdr:col>20</xdr:col>
                    <xdr:colOff>476250</xdr:colOff>
                    <xdr:row>3</xdr:row>
                    <xdr:rowOff>0</xdr:rowOff>
                  </to>
                </anchor>
              </controlPr>
            </control>
          </mc:Choice>
        </mc:AlternateContent>
        <mc:AlternateContent xmlns:mc="http://schemas.openxmlformats.org/markup-compatibility/2006">
          <mc:Choice Requires="x14">
            <control shapeId="475493" r:id="rId10" name="Button 33125">
              <controlPr defaultSize="0" print="0" autoFill="0" autoPict="0" macro="[0]!FileSave_X">
                <anchor moveWithCells="1" sizeWithCells="1">
                  <from>
                    <xdr:col>17</xdr:col>
                    <xdr:colOff>238125</xdr:colOff>
                    <xdr:row>4</xdr:row>
                    <xdr:rowOff>257175</xdr:rowOff>
                  </from>
                  <to>
                    <xdr:col>20</xdr:col>
                    <xdr:colOff>400050</xdr:colOff>
                    <xdr:row>5</xdr:row>
                    <xdr:rowOff>257175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pageSetUpPr autoPageBreaks="0" fitToPage="1"/>
  </sheetPr>
  <dimension ref="A1:BO15"/>
  <sheetViews>
    <sheetView zoomScaleNormal="100" workbookViewId="0">
      <selection activeCell="D119" sqref="D119"/>
    </sheetView>
  </sheetViews>
  <sheetFormatPr defaultRowHeight="12.75" customHeight="1"/>
  <cols>
    <col min="1" max="1" width="2.7109375" customWidth="1"/>
    <col min="2" max="2" width="17.7109375" customWidth="1"/>
    <col min="3" max="3" width="19.7109375" customWidth="1"/>
    <col min="4" max="5" width="12.28515625" customWidth="1"/>
    <col min="6" max="9" width="9.28515625" style="98" customWidth="1"/>
    <col min="10" max="10" width="10" style="98" customWidth="1"/>
    <col min="11" max="12" width="9.28515625" style="98" customWidth="1"/>
    <col min="13" max="14" width="11.42578125" style="98" customWidth="1"/>
    <col min="15" max="15" width="9.28515625" style="98" customWidth="1"/>
    <col min="16" max="16" width="7.7109375" style="98" customWidth="1"/>
    <col min="17" max="20" width="7.42578125" style="98" customWidth="1"/>
    <col min="21" max="21" width="8.7109375" style="98" customWidth="1"/>
    <col min="22" max="23" width="12.140625" style="98" customWidth="1"/>
    <col min="24" max="24" width="19.140625" style="98" customWidth="1"/>
    <col min="25" max="25" width="25.140625" customWidth="1"/>
    <col min="29" max="29" width="9.28515625" customWidth="1"/>
    <col min="41" max="42" width="3.5703125" customWidth="1"/>
    <col min="44" max="44" width="21.42578125" customWidth="1"/>
    <col min="45" max="45" width="13" customWidth="1"/>
    <col min="46" max="46" width="16.5703125" customWidth="1"/>
    <col min="47" max="47" width="15.5703125" customWidth="1"/>
    <col min="51" max="51" width="10.5703125" customWidth="1"/>
    <col min="57" max="57" width="12.140625" customWidth="1"/>
    <col min="58" max="58" width="9.42578125" customWidth="1"/>
    <col min="59" max="60" width="12.140625" customWidth="1"/>
  </cols>
  <sheetData>
    <row r="1" spans="1:67" s="24" customFormat="1" ht="30" customHeight="1">
      <c r="A1" s="23"/>
      <c r="B1" s="1245" t="s">
        <v>43</v>
      </c>
      <c r="C1" s="1245"/>
      <c r="D1" s="58"/>
      <c r="E1" s="58"/>
      <c r="F1" s="160"/>
      <c r="G1" s="161"/>
      <c r="H1" s="161"/>
      <c r="I1" s="161"/>
      <c r="J1" s="161"/>
      <c r="K1" s="161"/>
      <c r="L1" s="161"/>
      <c r="M1" s="161"/>
      <c r="N1" s="161"/>
      <c r="O1" s="161"/>
      <c r="P1" s="161"/>
      <c r="R1" s="162"/>
      <c r="S1" s="162"/>
      <c r="T1" s="162"/>
      <c r="U1" s="162"/>
      <c r="V1" s="162"/>
      <c r="W1" s="162"/>
      <c r="X1" s="162"/>
      <c r="Y1" s="162">
        <f>REPDATE</f>
        <v>46299</v>
      </c>
      <c r="AD1" s="25"/>
      <c r="AE1" s="25"/>
      <c r="AR1" s="31"/>
      <c r="AS1" s="31"/>
      <c r="AT1" s="31"/>
      <c r="AU1" s="90">
        <f>COUNTIF(DATATAG,"KHALDA_WELLTEST1")</f>
        <v>7</v>
      </c>
      <c r="AV1" s="90"/>
      <c r="AW1" s="90" t="str">
        <f>"Ar4"&amp;":"&amp;"Bh"&amp;COUNTIF(DATATAG,"&lt;&gt;0")+3</f>
        <v>Ar4:Bh10</v>
      </c>
      <c r="AX1" s="90"/>
      <c r="BA1" s="90"/>
      <c r="BB1" s="90"/>
      <c r="BC1" s="90"/>
      <c r="BF1" s="83"/>
      <c r="BI1" s="83"/>
      <c r="BJ1" s="83"/>
      <c r="BK1" s="83"/>
      <c r="BL1" s="83"/>
      <c r="BM1" s="83"/>
      <c r="BN1" s="83"/>
      <c r="BO1" s="83"/>
    </row>
    <row r="2" spans="1:67" s="26" customFormat="1" ht="44.25" customHeight="1">
      <c r="B2" s="59" t="s">
        <v>1458</v>
      </c>
      <c r="C2" s="59" t="s">
        <v>5</v>
      </c>
      <c r="D2" s="574" t="s">
        <v>4</v>
      </c>
      <c r="E2" s="824" t="s">
        <v>1755</v>
      </c>
      <c r="F2" s="28" t="s">
        <v>12</v>
      </c>
      <c r="G2" s="28" t="s">
        <v>100</v>
      </c>
      <c r="H2" s="28" t="s">
        <v>2220</v>
      </c>
      <c r="I2" s="28" t="s">
        <v>41</v>
      </c>
      <c r="J2" s="28" t="s">
        <v>1457</v>
      </c>
      <c r="K2" s="28" t="s">
        <v>42</v>
      </c>
      <c r="L2" s="28" t="s">
        <v>101</v>
      </c>
      <c r="M2" s="28" t="s">
        <v>1345</v>
      </c>
      <c r="N2" s="27" t="s">
        <v>1344</v>
      </c>
      <c r="O2" s="28" t="s">
        <v>26</v>
      </c>
      <c r="P2" s="27" t="s">
        <v>27</v>
      </c>
      <c r="Q2" s="28" t="s">
        <v>17</v>
      </c>
      <c r="R2" s="27" t="s">
        <v>1</v>
      </c>
      <c r="S2" s="27" t="s">
        <v>2356</v>
      </c>
      <c r="T2" s="27" t="s">
        <v>2357</v>
      </c>
      <c r="U2" s="27" t="s">
        <v>1459</v>
      </c>
      <c r="V2" s="27" t="s">
        <v>1460</v>
      </c>
      <c r="W2" s="27" t="s">
        <v>2616</v>
      </c>
      <c r="X2" s="1246" t="s">
        <v>29</v>
      </c>
      <c r="Y2" s="1247"/>
      <c r="Z2" s="27" t="s">
        <v>8</v>
      </c>
      <c r="AR2" s="392" t="s">
        <v>64</v>
      </c>
      <c r="AS2" s="393" t="s">
        <v>16</v>
      </c>
      <c r="AT2" s="394" t="s">
        <v>1350</v>
      </c>
      <c r="AU2" s="393" t="s">
        <v>7</v>
      </c>
      <c r="AV2" s="393" t="s">
        <v>32</v>
      </c>
      <c r="AW2" s="393" t="s">
        <v>8</v>
      </c>
      <c r="AX2" s="393" t="s">
        <v>0</v>
      </c>
      <c r="AY2" s="393" t="s">
        <v>1348</v>
      </c>
      <c r="AZ2" s="393" t="s">
        <v>9</v>
      </c>
      <c r="BA2" s="393" t="s">
        <v>1351</v>
      </c>
      <c r="BB2" s="393" t="s">
        <v>2221</v>
      </c>
      <c r="BC2" s="393" t="s">
        <v>65</v>
      </c>
      <c r="BD2" s="393" t="s">
        <v>17</v>
      </c>
      <c r="BE2" s="393" t="s">
        <v>1</v>
      </c>
      <c r="BF2" s="393" t="s">
        <v>1352</v>
      </c>
      <c r="BG2" s="393" t="s">
        <v>2356</v>
      </c>
      <c r="BH2" s="393" t="s">
        <v>2357</v>
      </c>
      <c r="BI2" s="393" t="s">
        <v>1353</v>
      </c>
      <c r="BJ2" s="393" t="s">
        <v>1378</v>
      </c>
      <c r="BK2" s="393" t="s">
        <v>2616</v>
      </c>
    </row>
    <row r="3" spans="1:67" s="30" customFormat="1" ht="19.5" hidden="1" customHeight="1">
      <c r="A3" s="29"/>
      <c r="B3"/>
      <c r="C3" s="216"/>
      <c r="D3" s="216"/>
      <c r="E3" s="575"/>
      <c r="F3" s="155"/>
      <c r="G3" s="48"/>
      <c r="H3" s="48"/>
      <c r="I3" s="48"/>
      <c r="J3" s="48"/>
      <c r="K3" s="156"/>
      <c r="L3" s="157" t="e">
        <f t="shared" ref="L3:L14" si="0">IF(WELLNAME="","",(FLUIDTOTAL*(1-(WC/100))))</f>
        <v>#VALUE!</v>
      </c>
      <c r="M3" s="158"/>
      <c r="N3" s="390"/>
      <c r="O3" s="157" t="e">
        <f t="shared" ref="O3:O14" si="1">IF(WELLNAME="","",IF(GAS=0,0,(GAS*1000000)/OIL))</f>
        <v>#VALUE!</v>
      </c>
      <c r="P3" s="137"/>
      <c r="Q3" s="48"/>
      <c r="R3" s="48"/>
      <c r="S3" s="576"/>
      <c r="T3" s="576"/>
      <c r="U3" s="576"/>
      <c r="V3" s="576"/>
      <c r="W3" s="576"/>
      <c r="X3" s="576"/>
      <c r="Y3" s="148"/>
      <c r="AQ3" s="84"/>
      <c r="AR3" s="108">
        <f>IF(C3="",0,"KHALDA_WELLTEST2")</f>
        <v>0</v>
      </c>
      <c r="AS3" s="109">
        <f t="shared" ref="AS3:AS9" si="2">IF(AR3="","",REPORTDATE-1)</f>
        <v>46298</v>
      </c>
      <c r="AT3" s="108"/>
      <c r="AU3" s="110" t="str">
        <f t="shared" ref="AU3:AU14" si="3">UPPER(IF(AR3="","",$AQ$4&amp;C3))</f>
        <v>9</v>
      </c>
      <c r="AV3" s="111">
        <f t="shared" ref="AV3:AV14" si="4">IF(AR3="","",P3)</f>
        <v>0</v>
      </c>
      <c r="AW3" s="112">
        <f>IF(AR3=0,0,1)</f>
        <v>0</v>
      </c>
      <c r="AX3" s="113">
        <f t="shared" ref="AX3:AX14" si="5">IF(AR3="","",J3)</f>
        <v>0</v>
      </c>
      <c r="AY3" s="113">
        <f t="shared" ref="AY3:AY14" si="6">IF(AR3="","",M3*1000)</f>
        <v>0</v>
      </c>
      <c r="AZ3" s="113">
        <f t="shared" ref="AZ3:AZ14" si="7">IF(AR3="","",F3)</f>
        <v>0</v>
      </c>
      <c r="BA3" s="113">
        <f t="shared" ref="BA3:BA14" si="8">IF(AR3="","",G3)</f>
        <v>0</v>
      </c>
      <c r="BB3" s="113"/>
      <c r="BC3" s="113">
        <f t="shared" ref="BC3:BC14" si="9">IF(AR3="","",I3)</f>
        <v>0</v>
      </c>
      <c r="BD3" s="113">
        <f t="shared" ref="BD3:BD14" si="10">IF(AR3="","",Q3)</f>
        <v>0</v>
      </c>
      <c r="BE3" s="113">
        <f t="shared" ref="BE3:BE14" si="11">IF(AR3="","",R3)</f>
        <v>0</v>
      </c>
      <c r="BF3" s="111">
        <f t="shared" ref="BF3:BF14" si="12">IF(AR3="","",K3)</f>
        <v>0</v>
      </c>
      <c r="BG3" s="113"/>
      <c r="BH3" s="113"/>
      <c r="BI3" s="113" t="str">
        <f>IF(AR3=0,"",200)</f>
        <v/>
      </c>
      <c r="BJ3" s="113">
        <f t="shared" ref="BJ3:BJ14" si="13">N3</f>
        <v>0</v>
      </c>
    </row>
    <row r="4" spans="1:67" s="30" customFormat="1" ht="19.5" customHeight="1">
      <c r="A4" s="29"/>
      <c r="B4" s="216"/>
      <c r="C4" s="216" t="s">
        <v>2612</v>
      </c>
      <c r="D4" s="575" t="s">
        <v>1307</v>
      </c>
      <c r="E4" s="575" t="s">
        <v>2721</v>
      </c>
      <c r="F4" s="899" t="s">
        <v>2722</v>
      </c>
      <c r="G4" s="156">
        <v>860</v>
      </c>
      <c r="H4" s="156">
        <v>188</v>
      </c>
      <c r="I4" s="156">
        <v>792</v>
      </c>
      <c r="J4" s="156">
        <v>170</v>
      </c>
      <c r="K4" s="156">
        <v>22</v>
      </c>
      <c r="L4" s="157">
        <f t="shared" si="0"/>
        <v>132.6</v>
      </c>
      <c r="M4" s="158">
        <v>14.241</v>
      </c>
      <c r="N4" s="158">
        <v>0</v>
      </c>
      <c r="O4" s="157">
        <f t="shared" si="1"/>
        <v>107398.19004524888</v>
      </c>
      <c r="P4" s="137">
        <v>5.5</v>
      </c>
      <c r="Q4" s="137">
        <v>0</v>
      </c>
      <c r="R4" s="137">
        <v>0</v>
      </c>
      <c r="S4" s="137"/>
      <c r="T4" s="576"/>
      <c r="U4" s="576" t="s">
        <v>2734</v>
      </c>
      <c r="V4" s="576"/>
      <c r="W4" s="576"/>
      <c r="X4" s="1243" t="s">
        <v>2737</v>
      </c>
      <c r="Y4" s="1244"/>
      <c r="Z4" s="575"/>
      <c r="AQ4" s="84">
        <v>9</v>
      </c>
      <c r="AR4" s="108" t="str">
        <f>IF(C4="",0,"KHALDA_WELLTEST1")</f>
        <v>KHALDA_WELLTEST1</v>
      </c>
      <c r="AS4" s="109">
        <f>IF(AR4="","",REPORTDATE-1)</f>
        <v>46298</v>
      </c>
      <c r="AT4" s="108" t="str">
        <f>UPPER(IF(AR4="","",$AQ$4&amp;C4))</f>
        <v>9MAHROUSSA-A02</v>
      </c>
      <c r="AU4" s="110" t="str">
        <f t="shared" si="3"/>
        <v>9MAHROUSSA-A02</v>
      </c>
      <c r="AV4" s="111">
        <f t="shared" ref="AV4:AV9" si="14">IF(AR4="","",P4)</f>
        <v>5.5</v>
      </c>
      <c r="AW4" s="112">
        <f t="shared" ref="AW4:AW14" si="15">IF(AR4=0,0,Z4)</f>
        <v>0</v>
      </c>
      <c r="AX4" s="113">
        <f t="shared" si="5"/>
        <v>170</v>
      </c>
      <c r="AY4" s="113">
        <f t="shared" si="6"/>
        <v>14241</v>
      </c>
      <c r="AZ4" s="113" t="str">
        <f t="shared" si="7"/>
        <v>N/A</v>
      </c>
      <c r="BA4" s="113">
        <f t="shared" si="8"/>
        <v>860</v>
      </c>
      <c r="BB4" s="113">
        <f t="shared" ref="BB4:BB9" si="16">IF(AR4="","",H4)</f>
        <v>188</v>
      </c>
      <c r="BC4" s="113">
        <f t="shared" si="9"/>
        <v>792</v>
      </c>
      <c r="BD4" s="113">
        <f t="shared" ref="BD4:BD9" si="17">IF(AR4="","",Q4)</f>
        <v>0</v>
      </c>
      <c r="BE4" s="113">
        <f t="shared" si="11"/>
        <v>0</v>
      </c>
      <c r="BF4" s="111">
        <f t="shared" si="12"/>
        <v>22</v>
      </c>
      <c r="BG4" s="113"/>
      <c r="BH4" s="113"/>
      <c r="BI4" s="113">
        <f>IF(AR4=0,"",200)</f>
        <v>200</v>
      </c>
      <c r="BJ4" s="113">
        <f>N4</f>
        <v>0</v>
      </c>
      <c r="BK4" s="113">
        <f>IF(AR4="","",W4)</f>
        <v>0</v>
      </c>
    </row>
    <row r="5" spans="1:67" s="30" customFormat="1" ht="19.5" customHeight="1">
      <c r="A5" s="29"/>
      <c r="B5" s="216"/>
      <c r="C5" s="216" t="s">
        <v>2241</v>
      </c>
      <c r="D5" s="575" t="s">
        <v>2723</v>
      </c>
      <c r="E5" s="575" t="s">
        <v>2724</v>
      </c>
      <c r="F5" s="899" t="s">
        <v>2725</v>
      </c>
      <c r="G5" s="156">
        <v>220</v>
      </c>
      <c r="H5" s="156">
        <v>80</v>
      </c>
      <c r="I5" s="156">
        <v>210</v>
      </c>
      <c r="J5" s="156">
        <v>43</v>
      </c>
      <c r="K5" s="156">
        <v>20</v>
      </c>
      <c r="L5" s="157">
        <f t="shared" si="0"/>
        <v>34.4</v>
      </c>
      <c r="M5" s="158">
        <v>3.400000000000003E-2</v>
      </c>
      <c r="N5" s="158">
        <v>1.0089999999999999</v>
      </c>
      <c r="O5" s="157">
        <f t="shared" si="1"/>
        <v>988.37209302325675</v>
      </c>
      <c r="P5" s="137">
        <v>6</v>
      </c>
      <c r="Q5" s="137">
        <v>0</v>
      </c>
      <c r="R5" s="137">
        <v>0</v>
      </c>
      <c r="S5" s="137"/>
      <c r="T5" s="576"/>
      <c r="U5" s="576">
        <v>0</v>
      </c>
      <c r="V5" s="576"/>
      <c r="W5" s="576"/>
      <c r="X5" s="1243" t="s">
        <v>2738</v>
      </c>
      <c r="Y5" s="1244"/>
      <c r="Z5" s="575"/>
      <c r="AQ5" s="84"/>
      <c r="AR5" s="108" t="str">
        <f>IF(C5="",0,"KHALDA_WELLTEST1")</f>
        <v>KHALDA_WELLTEST1</v>
      </c>
      <c r="AS5" s="109">
        <f>IF(AR5="","",REPORTDATE-1)</f>
        <v>46298</v>
      </c>
      <c r="AT5" s="108" t="str">
        <f>UPPER(IF(AR5="","",$AQ$4&amp;C5))</f>
        <v>9AG-158</v>
      </c>
      <c r="AU5" s="110" t="str">
        <f t="shared" si="3"/>
        <v>9AG-158</v>
      </c>
      <c r="AV5" s="111">
        <f t="shared" si="14"/>
        <v>6</v>
      </c>
      <c r="AW5" s="112">
        <f t="shared" si="15"/>
        <v>0</v>
      </c>
      <c r="AX5" s="113">
        <f t="shared" si="5"/>
        <v>43</v>
      </c>
      <c r="AY5" s="113">
        <f t="shared" si="6"/>
        <v>34.000000000000028</v>
      </c>
      <c r="AZ5" s="113" t="str">
        <f t="shared" si="7"/>
        <v>No P.ch</v>
      </c>
      <c r="BA5" s="113">
        <f t="shared" si="8"/>
        <v>220</v>
      </c>
      <c r="BB5" s="113">
        <f t="shared" si="16"/>
        <v>80</v>
      </c>
      <c r="BC5" s="113">
        <f t="shared" si="9"/>
        <v>210</v>
      </c>
      <c r="BD5" s="113">
        <f t="shared" si="17"/>
        <v>0</v>
      </c>
      <c r="BE5" s="113">
        <f t="shared" si="11"/>
        <v>0</v>
      </c>
      <c r="BF5" s="111">
        <f t="shared" si="12"/>
        <v>20</v>
      </c>
      <c r="BG5" s="113"/>
      <c r="BH5" s="113"/>
      <c r="BI5" s="113">
        <f>IF(AR5=0,"",200)</f>
        <v>200</v>
      </c>
      <c r="BJ5" s="113">
        <f>N5</f>
        <v>1.0089999999999999</v>
      </c>
      <c r="BK5" s="113">
        <f>IF(AR5="","",W5)</f>
        <v>0</v>
      </c>
    </row>
    <row r="6" spans="1:67" s="30" customFormat="1" ht="19.5" customHeight="1">
      <c r="A6" s="29"/>
      <c r="B6" s="216"/>
      <c r="C6" s="216" t="s">
        <v>2726</v>
      </c>
      <c r="D6" s="575" t="s">
        <v>2727</v>
      </c>
      <c r="E6" s="575" t="s">
        <v>2721</v>
      </c>
      <c r="F6" s="899" t="s">
        <v>2337</v>
      </c>
      <c r="G6" s="156">
        <v>629</v>
      </c>
      <c r="H6" s="156">
        <v>174</v>
      </c>
      <c r="I6" s="156">
        <v>548</v>
      </c>
      <c r="J6" s="156">
        <v>131</v>
      </c>
      <c r="K6" s="156">
        <v>22</v>
      </c>
      <c r="L6" s="157">
        <f t="shared" si="0"/>
        <v>102.18</v>
      </c>
      <c r="M6" s="158">
        <v>11.163</v>
      </c>
      <c r="N6" s="158">
        <v>0</v>
      </c>
      <c r="O6" s="157">
        <f t="shared" si="1"/>
        <v>109248.38520258367</v>
      </c>
      <c r="P6" s="137">
        <v>8.5</v>
      </c>
      <c r="Q6" s="137">
        <v>0</v>
      </c>
      <c r="R6" s="137">
        <v>0</v>
      </c>
      <c r="S6" s="137"/>
      <c r="T6" s="576"/>
      <c r="U6" s="576" t="s">
        <v>2735</v>
      </c>
      <c r="V6" s="576"/>
      <c r="W6" s="576"/>
      <c r="X6" s="1243" t="s">
        <v>2739</v>
      </c>
      <c r="Y6" s="1244"/>
      <c r="Z6" s="575"/>
      <c r="AQ6" s="84"/>
      <c r="AR6" s="108" t="str">
        <f>IF(C6="",0,"KHALDA_WELLTEST1")</f>
        <v>KHALDA_WELLTEST1</v>
      </c>
      <c r="AS6" s="109">
        <f>IF(AR6="","",REPORTDATE-1)</f>
        <v>46298</v>
      </c>
      <c r="AT6" s="108" t="str">
        <f>UPPER(IF(AR6="","",$AQ$4&amp;C6))</f>
        <v>9MAHROUSSA-A01X</v>
      </c>
      <c r="AU6" s="110" t="str">
        <f t="shared" si="3"/>
        <v>9MAHROUSSA-A01X</v>
      </c>
      <c r="AV6" s="111">
        <f t="shared" si="14"/>
        <v>8.5</v>
      </c>
      <c r="AW6" s="112">
        <f t="shared" si="15"/>
        <v>0</v>
      </c>
      <c r="AX6" s="113">
        <f t="shared" si="5"/>
        <v>131</v>
      </c>
      <c r="AY6" s="113">
        <f t="shared" si="6"/>
        <v>11163</v>
      </c>
      <c r="AZ6" s="113" t="str">
        <f t="shared" si="7"/>
        <v>F-Open</v>
      </c>
      <c r="BA6" s="113">
        <f t="shared" si="8"/>
        <v>629</v>
      </c>
      <c r="BB6" s="113">
        <f t="shared" si="16"/>
        <v>174</v>
      </c>
      <c r="BC6" s="113">
        <f t="shared" si="9"/>
        <v>548</v>
      </c>
      <c r="BD6" s="113">
        <f t="shared" si="17"/>
        <v>0</v>
      </c>
      <c r="BE6" s="113">
        <f t="shared" si="11"/>
        <v>0</v>
      </c>
      <c r="BF6" s="111">
        <f t="shared" si="12"/>
        <v>22</v>
      </c>
      <c r="BG6" s="113"/>
      <c r="BH6" s="113"/>
      <c r="BI6" s="113">
        <f>IF(AR6=0,"",200)</f>
        <v>200</v>
      </c>
      <c r="BJ6" s="113">
        <f>N6</f>
        <v>0</v>
      </c>
      <c r="BK6" s="113">
        <f>IF(AR6="","",W6)</f>
        <v>0</v>
      </c>
    </row>
    <row r="7" spans="1:67" s="30" customFormat="1" ht="19.5" customHeight="1">
      <c r="A7" s="29"/>
      <c r="B7" s="216"/>
      <c r="C7" s="216" t="s">
        <v>1456</v>
      </c>
      <c r="D7" s="575" t="s">
        <v>2728</v>
      </c>
      <c r="E7" s="575" t="s">
        <v>2729</v>
      </c>
      <c r="F7" s="899" t="s">
        <v>2730</v>
      </c>
      <c r="G7" s="156" t="s">
        <v>2731</v>
      </c>
      <c r="H7" s="156">
        <v>75</v>
      </c>
      <c r="I7" s="156">
        <v>3</v>
      </c>
      <c r="J7" s="156">
        <v>146</v>
      </c>
      <c r="K7" s="156">
        <v>25.7</v>
      </c>
      <c r="L7" s="157">
        <f t="shared" si="0"/>
        <v>108.47799999999999</v>
      </c>
      <c r="M7" s="158">
        <v>0.38900000000000001</v>
      </c>
      <c r="N7" s="158">
        <v>0</v>
      </c>
      <c r="O7" s="157">
        <f t="shared" si="1"/>
        <v>3585.9805674883387</v>
      </c>
      <c r="P7" s="137">
        <v>24</v>
      </c>
      <c r="Q7" s="137">
        <v>0</v>
      </c>
      <c r="R7" s="137">
        <v>0</v>
      </c>
      <c r="S7" s="137"/>
      <c r="T7" s="137"/>
      <c r="U7" s="576">
        <v>0</v>
      </c>
      <c r="V7" s="576"/>
      <c r="W7" s="576"/>
      <c r="X7" s="1243" t="s">
        <v>2740</v>
      </c>
      <c r="Y7" s="1244"/>
      <c r="Z7" s="575"/>
      <c r="AQ7" s="84"/>
      <c r="AR7" s="108" t="str">
        <f t="shared" ref="AR7:AR14" si="18">IF(C7="",0,"KHALDA_WELLTEST1")</f>
        <v>KHALDA_WELLTEST1</v>
      </c>
      <c r="AS7" s="109">
        <f t="shared" si="2"/>
        <v>46298</v>
      </c>
      <c r="AT7" s="108" t="str">
        <f t="shared" ref="AT7:AT14" si="19">UPPER(IF(AR7="","",$AQ$4&amp;C7))</f>
        <v>9SPYGLASS-02</v>
      </c>
      <c r="AU7" s="110" t="str">
        <f>UPPER(IF(AR7="","",$AQ$4&amp;C7))</f>
        <v>9SPYGLASS-02</v>
      </c>
      <c r="AV7" s="111">
        <f t="shared" si="14"/>
        <v>24</v>
      </c>
      <c r="AW7" s="112">
        <f t="shared" si="15"/>
        <v>0</v>
      </c>
      <c r="AX7" s="113">
        <f>IF(AR7="","",J7)</f>
        <v>146</v>
      </c>
      <c r="AY7" s="113">
        <f>IF(AR7="","",M7*1000)</f>
        <v>389</v>
      </c>
      <c r="AZ7" s="113" t="str">
        <f>IF(AR7="","",F7)</f>
        <v>24/64</v>
      </c>
      <c r="BA7" s="113" t="str">
        <f>IF(AR7="","",G7)</f>
        <v>80-120</v>
      </c>
      <c r="BB7" s="113">
        <f t="shared" si="16"/>
        <v>75</v>
      </c>
      <c r="BC7" s="113">
        <f>IF(AR7="","",I7)</f>
        <v>3</v>
      </c>
      <c r="BD7" s="113">
        <f t="shared" si="17"/>
        <v>0</v>
      </c>
      <c r="BE7" s="113">
        <f>IF(AR7="","",R7)</f>
        <v>0</v>
      </c>
      <c r="BF7" s="111">
        <f>IF(AR7="","",K7)</f>
        <v>25.7</v>
      </c>
      <c r="BG7" s="113"/>
      <c r="BH7" s="113"/>
      <c r="BI7" s="113">
        <f t="shared" ref="BI7:BI13" si="20">IF(AR7=0,"",200)</f>
        <v>200</v>
      </c>
      <c r="BJ7" s="113">
        <f t="shared" si="13"/>
        <v>0</v>
      </c>
      <c r="BK7" s="113">
        <f t="shared" ref="BK7:BK14" si="21">IF(AR7="","",W7)</f>
        <v>0</v>
      </c>
    </row>
    <row r="8" spans="1:67" s="30" customFormat="1" ht="19.5" customHeight="1">
      <c r="A8" s="29"/>
      <c r="B8" s="216"/>
      <c r="C8" s="216" t="s">
        <v>2016</v>
      </c>
      <c r="D8" s="575" t="s">
        <v>1315</v>
      </c>
      <c r="E8" s="575" t="s">
        <v>2724</v>
      </c>
      <c r="F8" s="899" t="s">
        <v>2722</v>
      </c>
      <c r="G8" s="156">
        <v>50</v>
      </c>
      <c r="H8" s="156">
        <v>102</v>
      </c>
      <c r="I8" s="156">
        <v>30</v>
      </c>
      <c r="J8" s="156">
        <v>816</v>
      </c>
      <c r="K8" s="156">
        <v>34.1</v>
      </c>
      <c r="L8" s="157">
        <f t="shared" si="0"/>
        <v>537.74400000000003</v>
      </c>
      <c r="M8" s="158">
        <v>0.89499999999999991</v>
      </c>
      <c r="N8" s="158">
        <v>0.73499999999999999</v>
      </c>
      <c r="O8" s="157">
        <f t="shared" si="1"/>
        <v>1664.3607367074292</v>
      </c>
      <c r="P8" s="137">
        <v>24</v>
      </c>
      <c r="Q8" s="137">
        <v>0</v>
      </c>
      <c r="R8" s="137">
        <v>0</v>
      </c>
      <c r="S8" s="137"/>
      <c r="T8" s="576"/>
      <c r="U8" s="576">
        <v>0</v>
      </c>
      <c r="V8" s="576"/>
      <c r="W8" s="576"/>
      <c r="X8" s="1243" t="s">
        <v>2741</v>
      </c>
      <c r="Y8" s="1244"/>
      <c r="Z8" s="575"/>
      <c r="AQ8" s="84"/>
      <c r="AR8" s="108" t="str">
        <f t="shared" si="18"/>
        <v>KHALDA_WELLTEST1</v>
      </c>
      <c r="AS8" s="109">
        <f t="shared" si="2"/>
        <v>46298</v>
      </c>
      <c r="AT8" s="108" t="str">
        <f t="shared" si="19"/>
        <v>9AG-115H</v>
      </c>
      <c r="AU8" s="110" t="str">
        <f>UPPER(IF(AR8="","",$AQ$4&amp;C8))</f>
        <v>9AG-115H</v>
      </c>
      <c r="AV8" s="111">
        <f t="shared" si="14"/>
        <v>24</v>
      </c>
      <c r="AW8" s="112">
        <f t="shared" si="15"/>
        <v>0</v>
      </c>
      <c r="AX8" s="113">
        <f>IF(AR8="","",J8)</f>
        <v>816</v>
      </c>
      <c r="AY8" s="113">
        <f>IF(AR8="","",M8*1000)</f>
        <v>894.99999999999989</v>
      </c>
      <c r="AZ8" s="113" t="str">
        <f>IF(AR8="","",F8)</f>
        <v>N/A</v>
      </c>
      <c r="BA8" s="113">
        <f>IF(AR8="","",G8)</f>
        <v>50</v>
      </c>
      <c r="BB8" s="113">
        <f t="shared" si="16"/>
        <v>102</v>
      </c>
      <c r="BC8" s="113">
        <f>IF(AR8="","",I8)</f>
        <v>30</v>
      </c>
      <c r="BD8" s="113">
        <f t="shared" si="17"/>
        <v>0</v>
      </c>
      <c r="BE8" s="113">
        <f>IF(AR8="","",R8)</f>
        <v>0</v>
      </c>
      <c r="BF8" s="111">
        <f>IF(AR8="","",K8)</f>
        <v>34.1</v>
      </c>
      <c r="BG8" s="113"/>
      <c r="BH8" s="113"/>
      <c r="BI8" s="113">
        <f t="shared" si="20"/>
        <v>200</v>
      </c>
      <c r="BJ8" s="113">
        <f t="shared" si="13"/>
        <v>0.73499999999999999</v>
      </c>
      <c r="BK8" s="113">
        <f t="shared" si="21"/>
        <v>0</v>
      </c>
    </row>
    <row r="9" spans="1:67" s="30" customFormat="1" ht="19.5" customHeight="1">
      <c r="A9" s="29"/>
      <c r="B9" s="216"/>
      <c r="C9" s="216" t="s">
        <v>2242</v>
      </c>
      <c r="D9" s="575" t="s">
        <v>1305</v>
      </c>
      <c r="E9" s="575" t="s">
        <v>2724</v>
      </c>
      <c r="F9" s="899" t="s">
        <v>1721</v>
      </c>
      <c r="G9" s="156">
        <v>70</v>
      </c>
      <c r="H9" s="156">
        <v>100</v>
      </c>
      <c r="I9" s="156">
        <v>40</v>
      </c>
      <c r="J9" s="156">
        <v>234</v>
      </c>
      <c r="K9" s="156">
        <v>29</v>
      </c>
      <c r="L9" s="157">
        <f t="shared" si="0"/>
        <v>166.14</v>
      </c>
      <c r="M9" s="158">
        <v>0.33499999999999996</v>
      </c>
      <c r="N9" s="158">
        <v>1.2</v>
      </c>
      <c r="O9" s="157">
        <f t="shared" si="1"/>
        <v>2016.3717346815936</v>
      </c>
      <c r="P9" s="137">
        <v>24</v>
      </c>
      <c r="Q9" s="137">
        <v>0</v>
      </c>
      <c r="R9" s="137">
        <v>0</v>
      </c>
      <c r="S9" s="137"/>
      <c r="T9" s="576"/>
      <c r="U9" s="576">
        <v>0</v>
      </c>
      <c r="V9" s="576"/>
      <c r="W9" s="576"/>
      <c r="X9" s="1243" t="s">
        <v>2742</v>
      </c>
      <c r="Y9" s="1244"/>
      <c r="Z9" s="575"/>
      <c r="AQ9" s="84"/>
      <c r="AR9" s="108" t="str">
        <f t="shared" si="18"/>
        <v>KHALDA_WELLTEST1</v>
      </c>
      <c r="AS9" s="109">
        <f t="shared" si="2"/>
        <v>46298</v>
      </c>
      <c r="AT9" s="108" t="str">
        <f t="shared" si="19"/>
        <v>9SHADOW-E08</v>
      </c>
      <c r="AU9" s="110" t="str">
        <f>UPPER(IF(AR9="","",$AQ$4&amp;C9))</f>
        <v>9SHADOW-E08</v>
      </c>
      <c r="AV9" s="111">
        <f t="shared" si="14"/>
        <v>24</v>
      </c>
      <c r="AW9" s="112">
        <f t="shared" si="15"/>
        <v>0</v>
      </c>
      <c r="AX9" s="113">
        <f>IF(AR9="","",J9)</f>
        <v>234</v>
      </c>
      <c r="AY9" s="113">
        <f>IF(AR9="","",M9*1000)</f>
        <v>334.99999999999994</v>
      </c>
      <c r="AZ9" s="113" t="str">
        <f>IF(AR9="","",F9)</f>
        <v>Open</v>
      </c>
      <c r="BA9" s="113">
        <f>IF(AR9="","",G9)</f>
        <v>70</v>
      </c>
      <c r="BB9" s="113">
        <f t="shared" si="16"/>
        <v>100</v>
      </c>
      <c r="BC9" s="113">
        <f>IF(AR9="","",I9)</f>
        <v>40</v>
      </c>
      <c r="BD9" s="113">
        <f t="shared" si="17"/>
        <v>0</v>
      </c>
      <c r="BE9" s="113">
        <f>IF(AR9="","",R9)</f>
        <v>0</v>
      </c>
      <c r="BF9" s="111">
        <f>IF(AR9="","",K9)</f>
        <v>29</v>
      </c>
      <c r="BG9" s="113"/>
      <c r="BH9" s="113"/>
      <c r="BI9" s="113">
        <f t="shared" si="20"/>
        <v>200</v>
      </c>
      <c r="BJ9" s="113">
        <f t="shared" si="13"/>
        <v>1.2</v>
      </c>
      <c r="BK9" s="113">
        <f t="shared" si="21"/>
        <v>0</v>
      </c>
    </row>
    <row r="10" spans="1:67" s="30" customFormat="1" ht="19.5" customHeight="1">
      <c r="A10" s="29"/>
      <c r="B10" s="216"/>
      <c r="C10" s="216" t="s">
        <v>2266</v>
      </c>
      <c r="D10" s="575" t="s">
        <v>1307</v>
      </c>
      <c r="E10" s="575" t="s">
        <v>3</v>
      </c>
      <c r="F10" s="899" t="s">
        <v>2732</v>
      </c>
      <c r="G10" s="156">
        <v>175</v>
      </c>
      <c r="H10" s="156">
        <v>150</v>
      </c>
      <c r="I10" s="156">
        <v>120</v>
      </c>
      <c r="J10" s="156">
        <v>3289</v>
      </c>
      <c r="K10" s="156">
        <v>83</v>
      </c>
      <c r="L10" s="157">
        <f t="shared" si="0"/>
        <v>559.13000000000011</v>
      </c>
      <c r="M10" s="158">
        <v>0</v>
      </c>
      <c r="N10" s="158">
        <v>0</v>
      </c>
      <c r="O10" s="157">
        <f t="shared" si="1"/>
        <v>0</v>
      </c>
      <c r="P10" s="137">
        <v>5</v>
      </c>
      <c r="Q10" s="137">
        <v>0</v>
      </c>
      <c r="R10" s="137" t="s">
        <v>2733</v>
      </c>
      <c r="S10" s="137"/>
      <c r="T10" s="576"/>
      <c r="U10" s="576" t="s">
        <v>2736</v>
      </c>
      <c r="V10" s="576"/>
      <c r="W10" s="576"/>
      <c r="X10" s="1243" t="s">
        <v>2743</v>
      </c>
      <c r="Y10" s="1244"/>
      <c r="Z10" s="575"/>
      <c r="AQ10" s="84"/>
      <c r="AR10" s="108" t="str">
        <f t="shared" si="18"/>
        <v>KHALDA_WELLTEST1</v>
      </c>
      <c r="AS10" s="109">
        <f>IF(AR10="","",REPORTDATE-1)</f>
        <v>46298</v>
      </c>
      <c r="AT10" s="108" t="str">
        <f t="shared" si="19"/>
        <v>9WD33-15-11</v>
      </c>
      <c r="AU10" s="110" t="str">
        <f t="shared" si="3"/>
        <v>9WD33-15-11</v>
      </c>
      <c r="AV10" s="111">
        <f t="shared" si="4"/>
        <v>5</v>
      </c>
      <c r="AW10" s="112">
        <f t="shared" si="15"/>
        <v>0</v>
      </c>
      <c r="AX10" s="113">
        <f t="shared" si="5"/>
        <v>3289</v>
      </c>
      <c r="AY10" s="113">
        <f t="shared" si="6"/>
        <v>0</v>
      </c>
      <c r="AZ10" s="113" t="str">
        <f t="shared" si="7"/>
        <v>F.Open</v>
      </c>
      <c r="BA10" s="113">
        <f t="shared" si="8"/>
        <v>175</v>
      </c>
      <c r="BB10" s="113">
        <f>IF(AR10="","",H10)</f>
        <v>150</v>
      </c>
      <c r="BC10" s="113">
        <f t="shared" si="9"/>
        <v>120</v>
      </c>
      <c r="BD10" s="113">
        <f t="shared" si="10"/>
        <v>0</v>
      </c>
      <c r="BE10" s="113" t="str">
        <f t="shared" si="11"/>
        <v>521-525</v>
      </c>
      <c r="BF10" s="111">
        <f t="shared" si="12"/>
        <v>83</v>
      </c>
      <c r="BG10" s="113"/>
      <c r="BH10" s="113"/>
      <c r="BI10" s="113">
        <f t="shared" si="20"/>
        <v>200</v>
      </c>
      <c r="BJ10" s="113">
        <f t="shared" si="13"/>
        <v>0</v>
      </c>
      <c r="BK10" s="113">
        <f t="shared" si="21"/>
        <v>0</v>
      </c>
    </row>
    <row r="11" spans="1:67" s="30" customFormat="1" ht="19.5" customHeight="1">
      <c r="A11" s="29"/>
      <c r="B11" s="216"/>
      <c r="C11" s="216"/>
      <c r="D11" s="575"/>
      <c r="E11" s="575"/>
      <c r="F11" s="899"/>
      <c r="G11" s="156"/>
      <c r="H11" s="156"/>
      <c r="I11" s="156"/>
      <c r="J11" s="156"/>
      <c r="K11" s="156"/>
      <c r="L11" s="157" t="str">
        <f t="shared" si="0"/>
        <v/>
      </c>
      <c r="M11" s="158"/>
      <c r="N11" s="158"/>
      <c r="O11" s="157" t="str">
        <f t="shared" si="1"/>
        <v/>
      </c>
      <c r="P11" s="137"/>
      <c r="Q11" s="137"/>
      <c r="R11" s="137"/>
      <c r="S11" s="137"/>
      <c r="T11" s="576"/>
      <c r="U11" s="576"/>
      <c r="V11" s="576"/>
      <c r="W11" s="576"/>
      <c r="X11" s="1243"/>
      <c r="Y11" s="1244"/>
      <c r="Z11" s="575"/>
      <c r="AQ11" s="84"/>
      <c r="AR11" s="108">
        <f t="shared" si="18"/>
        <v>0</v>
      </c>
      <c r="AS11" s="109">
        <f>IF(AR11="","",REPORTDATE-1)</f>
        <v>46298</v>
      </c>
      <c r="AT11" s="108" t="str">
        <f t="shared" si="19"/>
        <v>9</v>
      </c>
      <c r="AU11" s="110" t="str">
        <f t="shared" si="3"/>
        <v>9</v>
      </c>
      <c r="AV11" s="111">
        <f t="shared" si="4"/>
        <v>0</v>
      </c>
      <c r="AW11" s="112">
        <f t="shared" si="15"/>
        <v>0</v>
      </c>
      <c r="AX11" s="113">
        <f t="shared" si="5"/>
        <v>0</v>
      </c>
      <c r="AY11" s="113">
        <f t="shared" si="6"/>
        <v>0</v>
      </c>
      <c r="AZ11" s="113">
        <f t="shared" si="7"/>
        <v>0</v>
      </c>
      <c r="BA11" s="113">
        <f t="shared" si="8"/>
        <v>0</v>
      </c>
      <c r="BB11" s="113">
        <f>IF(AR11="","",H11)</f>
        <v>0</v>
      </c>
      <c r="BC11" s="113">
        <f t="shared" si="9"/>
        <v>0</v>
      </c>
      <c r="BD11" s="113">
        <f t="shared" si="10"/>
        <v>0</v>
      </c>
      <c r="BE11" s="113">
        <f t="shared" si="11"/>
        <v>0</v>
      </c>
      <c r="BF11" s="111">
        <f t="shared" si="12"/>
        <v>0</v>
      </c>
      <c r="BG11" s="113"/>
      <c r="BH11" s="113"/>
      <c r="BI11" s="113" t="str">
        <f t="shared" si="20"/>
        <v/>
      </c>
      <c r="BJ11" s="113">
        <f t="shared" si="13"/>
        <v>0</v>
      </c>
      <c r="BK11" s="113">
        <f t="shared" si="21"/>
        <v>0</v>
      </c>
    </row>
    <row r="12" spans="1:67" s="30" customFormat="1" ht="19.5" customHeight="1">
      <c r="A12" s="29"/>
      <c r="B12" s="216"/>
      <c r="C12" s="216"/>
      <c r="D12" s="575"/>
      <c r="E12" s="575"/>
      <c r="F12" s="899"/>
      <c r="G12" s="156"/>
      <c r="H12" s="156"/>
      <c r="I12" s="156"/>
      <c r="J12" s="156"/>
      <c r="K12" s="156"/>
      <c r="L12" s="157" t="str">
        <f t="shared" si="0"/>
        <v/>
      </c>
      <c r="M12" s="158"/>
      <c r="N12" s="158"/>
      <c r="O12" s="157" t="str">
        <f t="shared" si="1"/>
        <v/>
      </c>
      <c r="P12" s="137"/>
      <c r="Q12" s="137"/>
      <c r="R12" s="137"/>
      <c r="S12" s="137"/>
      <c r="T12" s="576"/>
      <c r="U12" s="576"/>
      <c r="V12" s="576"/>
      <c r="W12" s="576"/>
      <c r="X12" s="1248"/>
      <c r="Y12" s="1249"/>
      <c r="Z12" s="575"/>
      <c r="AQ12" s="84"/>
      <c r="AR12" s="108">
        <f t="shared" si="18"/>
        <v>0</v>
      </c>
      <c r="AS12" s="109">
        <f>IF(AR12="","",REPORTDATE-1)</f>
        <v>46298</v>
      </c>
      <c r="AT12" s="108" t="str">
        <f t="shared" si="19"/>
        <v>9</v>
      </c>
      <c r="AU12" s="110" t="str">
        <f t="shared" si="3"/>
        <v>9</v>
      </c>
      <c r="AV12" s="111">
        <f t="shared" si="4"/>
        <v>0</v>
      </c>
      <c r="AW12" s="112">
        <f t="shared" si="15"/>
        <v>0</v>
      </c>
      <c r="AX12" s="113">
        <f t="shared" si="5"/>
        <v>0</v>
      </c>
      <c r="AY12" s="113">
        <f t="shared" si="6"/>
        <v>0</v>
      </c>
      <c r="AZ12" s="113">
        <f t="shared" si="7"/>
        <v>0</v>
      </c>
      <c r="BA12" s="113">
        <f t="shared" si="8"/>
        <v>0</v>
      </c>
      <c r="BB12" s="113">
        <f>IF(AR12="","",H12)</f>
        <v>0</v>
      </c>
      <c r="BC12" s="113">
        <f t="shared" si="9"/>
        <v>0</v>
      </c>
      <c r="BD12" s="113">
        <f t="shared" si="10"/>
        <v>0</v>
      </c>
      <c r="BE12" s="113">
        <f t="shared" si="11"/>
        <v>0</v>
      </c>
      <c r="BF12" s="111">
        <f t="shared" si="12"/>
        <v>0</v>
      </c>
      <c r="BG12" s="113"/>
      <c r="BH12" s="113"/>
      <c r="BI12" s="113" t="str">
        <f t="shared" si="20"/>
        <v/>
      </c>
      <c r="BJ12" s="113">
        <f t="shared" si="13"/>
        <v>0</v>
      </c>
      <c r="BK12" s="113">
        <f t="shared" si="21"/>
        <v>0</v>
      </c>
    </row>
    <row r="13" spans="1:67" s="30" customFormat="1" ht="19.5" customHeight="1">
      <c r="A13" s="29"/>
      <c r="B13" s="216"/>
      <c r="C13" s="216"/>
      <c r="D13" s="575"/>
      <c r="E13" s="575"/>
      <c r="F13" s="899"/>
      <c r="G13" s="156"/>
      <c r="H13" s="156"/>
      <c r="I13" s="156"/>
      <c r="J13" s="156"/>
      <c r="K13" s="156"/>
      <c r="L13" s="157" t="str">
        <f t="shared" si="0"/>
        <v/>
      </c>
      <c r="M13" s="158"/>
      <c r="N13" s="158"/>
      <c r="O13" s="157" t="str">
        <f t="shared" si="1"/>
        <v/>
      </c>
      <c r="P13" s="137"/>
      <c r="Q13" s="137"/>
      <c r="R13" s="137"/>
      <c r="S13" s="137"/>
      <c r="T13" s="576"/>
      <c r="U13" s="576"/>
      <c r="V13" s="576"/>
      <c r="W13" s="576"/>
      <c r="X13" s="1248"/>
      <c r="Y13" s="1249"/>
      <c r="Z13" s="575"/>
      <c r="AQ13" s="84"/>
      <c r="AR13" s="108">
        <f t="shared" si="18"/>
        <v>0</v>
      </c>
      <c r="AS13" s="109">
        <f>IF(AR13="","",REPORTDATE-1)</f>
        <v>46298</v>
      </c>
      <c r="AT13" s="108" t="str">
        <f t="shared" si="19"/>
        <v>9</v>
      </c>
      <c r="AU13" s="110" t="str">
        <f t="shared" si="3"/>
        <v>9</v>
      </c>
      <c r="AV13" s="111">
        <f t="shared" si="4"/>
        <v>0</v>
      </c>
      <c r="AW13" s="112">
        <f t="shared" si="15"/>
        <v>0</v>
      </c>
      <c r="AX13" s="113">
        <f t="shared" si="5"/>
        <v>0</v>
      </c>
      <c r="AY13" s="113">
        <f t="shared" si="6"/>
        <v>0</v>
      </c>
      <c r="AZ13" s="113">
        <f t="shared" si="7"/>
        <v>0</v>
      </c>
      <c r="BA13" s="113">
        <f t="shared" si="8"/>
        <v>0</v>
      </c>
      <c r="BB13" s="113">
        <f>IF(AR13="","",H13)</f>
        <v>0</v>
      </c>
      <c r="BC13" s="113">
        <f t="shared" si="9"/>
        <v>0</v>
      </c>
      <c r="BD13" s="113">
        <f t="shared" si="10"/>
        <v>0</v>
      </c>
      <c r="BE13" s="113">
        <f t="shared" si="11"/>
        <v>0</v>
      </c>
      <c r="BF13" s="111">
        <f t="shared" si="12"/>
        <v>0</v>
      </c>
      <c r="BG13" s="113"/>
      <c r="BH13" s="113"/>
      <c r="BI13" s="113" t="str">
        <f t="shared" si="20"/>
        <v/>
      </c>
      <c r="BJ13" s="113">
        <f t="shared" si="13"/>
        <v>0</v>
      </c>
      <c r="BK13" s="113">
        <f t="shared" si="21"/>
        <v>0</v>
      </c>
    </row>
    <row r="14" spans="1:67" s="30" customFormat="1" ht="19.5" customHeight="1">
      <c r="A14" s="29"/>
      <c r="B14" s="216"/>
      <c r="C14" s="216"/>
      <c r="D14" s="575"/>
      <c r="E14" s="575"/>
      <c r="F14" s="899"/>
      <c r="G14" s="156"/>
      <c r="H14" s="156"/>
      <c r="I14" s="156"/>
      <c r="J14" s="156"/>
      <c r="K14" s="156"/>
      <c r="L14" s="157" t="str">
        <f t="shared" si="0"/>
        <v/>
      </c>
      <c r="M14" s="158"/>
      <c r="N14" s="158"/>
      <c r="O14" s="157" t="str">
        <f t="shared" si="1"/>
        <v/>
      </c>
      <c r="P14" s="137"/>
      <c r="Q14" s="137"/>
      <c r="R14" s="137"/>
      <c r="S14" s="137"/>
      <c r="T14" s="576"/>
      <c r="U14" s="576"/>
      <c r="V14" s="576"/>
      <c r="W14" s="576"/>
      <c r="X14" s="1248"/>
      <c r="Y14" s="1249"/>
      <c r="Z14" s="575"/>
      <c r="AQ14" s="84"/>
      <c r="AR14" s="108">
        <f t="shared" si="18"/>
        <v>0</v>
      </c>
      <c r="AS14" s="109">
        <f>IF(AR14="","",REPORTDATE-1)</f>
        <v>46298</v>
      </c>
      <c r="AT14" s="108" t="str">
        <f t="shared" si="19"/>
        <v>9</v>
      </c>
      <c r="AU14" s="110" t="str">
        <f t="shared" si="3"/>
        <v>9</v>
      </c>
      <c r="AV14" s="111">
        <f t="shared" si="4"/>
        <v>0</v>
      </c>
      <c r="AW14" s="112">
        <f t="shared" si="15"/>
        <v>0</v>
      </c>
      <c r="AX14" s="113">
        <f t="shared" si="5"/>
        <v>0</v>
      </c>
      <c r="AY14" s="113">
        <f t="shared" si="6"/>
        <v>0</v>
      </c>
      <c r="AZ14" s="113">
        <f t="shared" si="7"/>
        <v>0</v>
      </c>
      <c r="BA14" s="113">
        <f t="shared" si="8"/>
        <v>0</v>
      </c>
      <c r="BB14" s="113">
        <f>IF(AR14="","",H14)</f>
        <v>0</v>
      </c>
      <c r="BC14" s="113">
        <f t="shared" si="9"/>
        <v>0</v>
      </c>
      <c r="BD14" s="113">
        <f t="shared" si="10"/>
        <v>0</v>
      </c>
      <c r="BE14" s="113">
        <f t="shared" si="11"/>
        <v>0</v>
      </c>
      <c r="BF14" s="111">
        <f t="shared" si="12"/>
        <v>0</v>
      </c>
      <c r="BG14" s="113"/>
      <c r="BH14" s="113"/>
      <c r="BI14" s="113" t="str">
        <f>IF(AR14=0,"",200)</f>
        <v/>
      </c>
      <c r="BJ14" s="113">
        <f t="shared" si="13"/>
        <v>0</v>
      </c>
      <c r="BK14" s="113">
        <f t="shared" si="21"/>
        <v>0</v>
      </c>
    </row>
    <row r="15" spans="1:67" ht="12.75" customHeight="1">
      <c r="AR15" s="31"/>
      <c r="AS15" s="31"/>
      <c r="AT15" s="31"/>
      <c r="AU15" s="31"/>
      <c r="AV15" s="31"/>
      <c r="AW15" s="31"/>
      <c r="AX15" s="31"/>
      <c r="AY15" s="31"/>
      <c r="AZ15" s="31"/>
      <c r="BA15" s="31"/>
      <c r="BB15" s="31"/>
      <c r="BC15" s="31"/>
      <c r="BD15" s="83"/>
      <c r="BE15" s="83"/>
      <c r="BF15" s="83"/>
      <c r="BG15" s="83"/>
      <c r="BH15" s="83"/>
      <c r="BI15" s="31"/>
    </row>
  </sheetData>
  <sheetProtection password="ECEC" sheet="1" objects="1" scenarios="1"/>
  <customSheetViews>
    <customSheetView guid="{9FD33A57-86F0-4BF5-A6C0-5833A5B59516}" hiddenRows="1">
      <pane xSplit="3" ySplit="2" topLeftCell="D4" activePane="bottomRight" state="frozen"/>
      <selection pane="bottomRight" activeCell="E68" sqref="E68:N68"/>
      <pageMargins left="0" right="0" top="0" bottom="0" header="0" footer="0"/>
      <printOptions horizontalCentered="1"/>
      <pageSetup paperSize="9" scale="60" orientation="landscape" r:id="rId1"/>
      <headerFooter alignWithMargins="0">
        <oddHeader>&amp;C&amp;"Verdana,Bold"&amp;12DAILY PRODUCTION REPORT - AG AREA</oddHeader>
        <oddFooter>&amp;CPage &amp;P</oddFooter>
      </headerFooter>
    </customSheetView>
  </customSheetViews>
  <mergeCells count="13">
    <mergeCell ref="X12:Y12"/>
    <mergeCell ref="X13:Y13"/>
    <mergeCell ref="X11:Y11"/>
    <mergeCell ref="X5:Y5"/>
    <mergeCell ref="B1:C1"/>
    <mergeCell ref="X2:Y2"/>
    <mergeCell ref="X14:Y14"/>
    <mergeCell ref="X9:Y9"/>
    <mergeCell ref="X4:Y4"/>
    <mergeCell ref="X6:Y6"/>
    <mergeCell ref="X7:Y7"/>
    <mergeCell ref="X8:Y8"/>
    <mergeCell ref="X10:Y10"/>
  </mergeCells>
  <phoneticPr fontId="2" type="noConversion"/>
  <dataValidations xWindow="1035" yWindow="355" count="12">
    <dataValidation type="whole" allowBlank="1" showInputMessage="1" showErrorMessage="1" errorTitle="WELL TEST DATA" error="Value must be a whole number.  Text is not permitted." sqref="G6:G13 J4:J5 I6:J13">
      <formula1>0</formula1>
      <formula2>50000</formula2>
    </dataValidation>
    <dataValidation type="decimal" allowBlank="1" showInputMessage="1" showErrorMessage="1" errorTitle="WELL TEST DATA" error="Must be a value between 0 and 24" sqref="P4 P6:P13">
      <formula1>0</formula1>
      <formula2>24</formula2>
    </dataValidation>
    <dataValidation type="decimal" allowBlank="1" showInputMessage="1" showErrorMessage="1" promptTitle="GAS VOLUME" prompt="Decimal &gt;=0" sqref="M5 M9:M13 N4:N13">
      <formula1>0</formula1>
      <formula2>1000000</formula2>
    </dataValidation>
    <dataValidation type="decimal" allowBlank="1" showInputMessage="1" showErrorMessage="1" errorTitle="BS&amp;W" error="Value must be a number between 0 and 100" sqref="K4:K13">
      <formula1>0</formula1>
      <formula2>100</formula2>
    </dataValidation>
    <dataValidation type="list" allowBlank="1" showInputMessage="1" showErrorMessage="1" errorTitle="CHOKE SIZE" error="Please select the choke size from the dropdown list." sqref="F4:F7 F9:F13">
      <formula1>CHOKE</formula1>
    </dataValidation>
    <dataValidation type="list" allowBlank="1" showInputMessage="1" showErrorMessage="1" errorTitle="WELL NAME" error="You have entered a well that is not on the master well list.  Please select the well name from the dropdown." sqref="C9:C14 C4:C7 D7">
      <formula1>WELL_NAME</formula1>
    </dataValidation>
    <dataValidation type="whole" allowBlank="1" showErrorMessage="1" errorTitle="WELL TEST DATA" error="Value must be a whole number.  Text is not permitted." promptTitle="DFL DATA" prompt="Value must be a whole number &gt;=0_x000a_Text is not permitted" sqref="Q5:S5 R6:S8 Q3:X3 R4:S4 R9:W13 U4:V8">
      <formula1>0</formula1>
      <formula2>50000</formula2>
    </dataValidation>
    <dataValidation type="list" allowBlank="1" showInputMessage="1" showErrorMessage="1" errorTitle="ZONE" error="You have entered a zone is not on the master well list.  Please select thezone from the dropdown." sqref="E7 D4:D6 D8:D13">
      <formula1>ZONE</formula1>
    </dataValidation>
    <dataValidation type="list" allowBlank="1" showInputMessage="1" showErrorMessage="1" errorTitle="ZONE" error="You have entered a zone is not on the master well list.  Please select thezone from the dropdown." sqref="E4:E13">
      <formula1>WELL_STATUS</formula1>
    </dataValidation>
    <dataValidation type="list" allowBlank="1" showInputMessage="1" showErrorMessage="1" errorTitle="ZONE" error="You have entered a zone is not on the master well list.  Please select thezone from the dropdown." sqref="Z4:Z13">
      <formula1>TEST_T</formula1>
    </dataValidation>
    <dataValidation type="list" allowBlank="1" showInputMessage="1" showErrorMessage="1" sqref="C8">
      <formula1>WELL_NAME</formula1>
    </dataValidation>
    <dataValidation type="whole" allowBlank="1" showErrorMessage="1" errorTitle="WELL TEST DATA" error="Value must be a whole number.  Text is not permitted." promptTitle="DFL DATA" prompt="Value must be a whole number &gt;=0_x000a_Text is not permitted" sqref="W4:W8">
      <formula1>0</formula1>
      <formula2>300000</formula2>
    </dataValidation>
  </dataValidations>
  <printOptions horizontalCentered="1"/>
  <pageMargins left="0" right="0" top="0" bottom="0" header="0" footer="0"/>
  <pageSetup paperSize="9" scale="51" orientation="landscape" r:id="rId2"/>
  <headerFooter alignWithMargins="0">
    <oddHeader>&amp;C&amp;"Verdana,Bold"&amp;12DAILY PRODUCTION REPORT - AG AREA</oddHeader>
    <oddFooter>&amp;CPage &amp;P</oddFooter>
  </headerFooter>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pageSetUpPr autoPageBreaks="0" fitToPage="1"/>
  </sheetPr>
  <dimension ref="B1:GI328"/>
  <sheetViews>
    <sheetView zoomScaleNormal="100" zoomScaleSheetLayoutView="100" workbookViewId="0">
      <pane xSplit="2" ySplit="4" topLeftCell="C83" activePane="bottomRight" state="frozen"/>
      <selection activeCell="D119" sqref="D119"/>
      <selection pane="topRight" activeCell="D119" sqref="D119"/>
      <selection pane="bottomLeft" activeCell="D119" sqref="D119"/>
      <selection pane="bottomRight" activeCell="D119" sqref="D119"/>
    </sheetView>
  </sheetViews>
  <sheetFormatPr defaultRowHeight="16.5" customHeight="1"/>
  <cols>
    <col min="1" max="1" width="2.7109375" customWidth="1"/>
    <col min="2" max="2" width="20.85546875" customWidth="1"/>
    <col min="3" max="3" width="13.85546875" customWidth="1"/>
    <col min="4" max="4" width="8.7109375" customWidth="1"/>
    <col min="5" max="5" width="10.28515625" style="98" customWidth="1"/>
    <col min="6" max="6" width="9.5703125" customWidth="1"/>
    <col min="7" max="7" width="33.42578125" customWidth="1"/>
    <col min="8" max="8" width="9.5703125" customWidth="1"/>
    <col min="9" max="12" width="8.140625" style="98" customWidth="1"/>
    <col min="13" max="13" width="9" style="98" customWidth="1"/>
    <col min="14" max="14" width="8.140625" style="98" customWidth="1"/>
    <col min="15" max="15" width="10.28515625" style="98" customWidth="1"/>
    <col min="16" max="16" width="10.140625" style="98" customWidth="1"/>
    <col min="17" max="17" width="9.5703125" style="98" customWidth="1"/>
    <col min="18" max="18" width="9.7109375" style="98" customWidth="1"/>
    <col min="19" max="19" width="11.140625" style="98" customWidth="1"/>
    <col min="20" max="21" width="9.7109375" style="98" customWidth="1"/>
    <col min="22" max="23" width="6.5703125" style="98" customWidth="1"/>
    <col min="24" max="24" width="8.42578125" style="98" customWidth="1"/>
    <col min="25" max="25" width="6.5703125" style="98" customWidth="1"/>
    <col min="26" max="26" width="10.5703125" style="98" customWidth="1"/>
    <col min="27" max="27" width="11.85546875" style="98" bestFit="1" customWidth="1"/>
    <col min="28" max="29" width="7.28515625" style="98" hidden="1" customWidth="1"/>
    <col min="30" max="30" width="8.5703125" customWidth="1"/>
    <col min="31" max="31" width="9" customWidth="1"/>
    <col min="32" max="32" width="10.140625" style="54" customWidth="1"/>
    <col min="33" max="33" width="9.42578125" style="529" customWidth="1"/>
    <col min="34" max="34" width="17" customWidth="1"/>
    <col min="35" max="37" width="9.85546875" customWidth="1"/>
    <col min="38" max="38" width="12.5703125" bestFit="1" customWidth="1"/>
    <col min="39" max="39" width="9.85546875" customWidth="1"/>
    <col min="40" max="40" width="49.85546875" customWidth="1"/>
    <col min="41" max="41" width="10.5703125" bestFit="1" customWidth="1"/>
    <col min="88" max="88" width="16.85546875" customWidth="1"/>
    <col min="89" max="89" width="12.42578125" customWidth="1"/>
    <col min="90" max="91" width="10.140625" customWidth="1"/>
    <col min="92" max="97" width="6.42578125" customWidth="1"/>
    <col min="99" max="99" width="15.28515625" customWidth="1"/>
    <col min="100" max="100" width="12.42578125" customWidth="1"/>
    <col min="101" max="101" width="17.42578125" customWidth="1"/>
    <col min="107" max="107" width="11" customWidth="1"/>
    <col min="117" max="117" width="9.5703125" customWidth="1"/>
    <col min="118" max="118" width="32.5703125" customWidth="1"/>
    <col min="119" max="119" width="11" bestFit="1" customWidth="1"/>
    <col min="120" max="120" width="17.85546875" style="88" customWidth="1"/>
    <col min="132" max="132" width="15.7109375" customWidth="1"/>
    <col min="133" max="133" width="16.140625" customWidth="1"/>
    <col min="134" max="134" width="17.85546875" bestFit="1" customWidth="1"/>
    <col min="139" max="140" width="9.140625" hidden="1" customWidth="1"/>
    <col min="141" max="141" width="35.5703125" bestFit="1" customWidth="1"/>
    <col min="146" max="146" width="0" hidden="1" customWidth="1"/>
    <col min="151" max="151" width="0" hidden="1" customWidth="1"/>
    <col min="152" max="152" width="8" hidden="1" customWidth="1"/>
    <col min="153" max="153" width="6.85546875" hidden="1" customWidth="1"/>
    <col min="155" max="155" width="8.5703125" hidden="1" customWidth="1"/>
    <col min="160" max="160" width="45.7109375" bestFit="1" customWidth="1"/>
  </cols>
  <sheetData>
    <row r="1" spans="2:161" s="9" customFormat="1" ht="30" customHeight="1">
      <c r="B1" s="4" t="s">
        <v>10</v>
      </c>
      <c r="C1" s="4"/>
      <c r="E1" s="195">
        <f>SUMIF(WSTATUS,"=SI",HOURS)</f>
        <v>0</v>
      </c>
      <c r="F1" s="8"/>
      <c r="G1" s="8"/>
      <c r="H1" s="8"/>
      <c r="I1" s="366" t="s">
        <v>1294</v>
      </c>
      <c r="J1" s="142"/>
      <c r="K1" s="211"/>
      <c r="L1" s="211"/>
      <c r="M1" s="211"/>
      <c r="N1" s="142"/>
      <c r="O1" s="1275">
        <f>REPDATE</f>
        <v>46299</v>
      </c>
      <c r="P1" s="1275"/>
      <c r="Q1" s="1275"/>
      <c r="R1" s="1275"/>
      <c r="S1" s="1275"/>
      <c r="T1" s="1275"/>
      <c r="U1" s="1275"/>
      <c r="V1" s="1275"/>
      <c r="W1" s="1275"/>
      <c r="Z1" s="305"/>
      <c r="AA1" s="305"/>
      <c r="AB1" s="305"/>
      <c r="AC1" s="305"/>
      <c r="AD1" s="530">
        <f>'DATA INPUT'!E26/((SUMIF(FIELD,"WD33",EST_PROD))+(SUMIF(FIELD,"WD33 V",EST_PROD)))</f>
        <v>0.22365527267305327</v>
      </c>
      <c r="AE1" s="530">
        <f>'DATA INPUT'!E22/(SUMIF(FIELD,"WD33-15",EST_PROD)+SUMIF(FIELD,"WD33-C",EST_PROD)+SUMIF(FIELD,"WD-33K",EST_PROD)+SUMIF(FIELD,"WD33 H",EST_PROD)+SUMIF(FIELD,"WD33 j",EST_PROD))</f>
        <v>1.2142444239320944</v>
      </c>
      <c r="AF1" s="530">
        <f>REPORT!L43/(SUM('WELL DATA'!AF5:AF165)+SUM(H5:H164))</f>
        <v>0.99496578137916381</v>
      </c>
      <c r="AG1" s="530">
        <f>(REPORT!H39-REPORT!L9-'DATA INPUT'!E21-'DATA INPUT'!E24-AG86-'DATA INPUT'!E32)/(SUM(AG5:AG165)-AG86-AG87)</f>
        <v>0.99777234132343584</v>
      </c>
      <c r="AH1" s="7"/>
      <c r="AI1" s="4" t="s">
        <v>167</v>
      </c>
      <c r="AJ1" s="7"/>
      <c r="AK1" s="7"/>
      <c r="AL1" s="7"/>
      <c r="AM1" s="7"/>
      <c r="CP1" s="10"/>
      <c r="CQ1" s="11"/>
      <c r="CR1" s="11"/>
      <c r="CS1" s="11"/>
      <c r="DC1" s="379"/>
      <c r="DF1" s="86"/>
      <c r="DG1" s="86"/>
      <c r="DH1" s="212"/>
      <c r="DN1" s="377" t="s">
        <v>1340</v>
      </c>
      <c r="DO1" s="378"/>
    </row>
    <row r="2" spans="2:161" s="181" customFormat="1" ht="44.25" customHeight="1">
      <c r="B2" s="1292" t="s">
        <v>5</v>
      </c>
      <c r="C2" s="1268" t="s">
        <v>4</v>
      </c>
      <c r="D2" s="1272" t="s">
        <v>11</v>
      </c>
      <c r="E2" s="1295" t="str">
        <f>IF(E1&gt;0,"CHECK HRS","HRS ONLINE")</f>
        <v>HRS ONLINE</v>
      </c>
      <c r="F2" s="1262" t="s">
        <v>102</v>
      </c>
      <c r="G2" s="1262" t="s">
        <v>949</v>
      </c>
      <c r="H2" s="1297" t="s">
        <v>1435</v>
      </c>
      <c r="I2" s="1287" t="s">
        <v>12</v>
      </c>
      <c r="J2" s="1287" t="s">
        <v>13</v>
      </c>
      <c r="K2" s="1262" t="s">
        <v>1268</v>
      </c>
      <c r="L2" s="1262" t="s">
        <v>1267</v>
      </c>
      <c r="M2" s="1262" t="s">
        <v>1295</v>
      </c>
      <c r="N2" s="1287" t="s">
        <v>76</v>
      </c>
      <c r="O2" s="1290" t="s">
        <v>1463</v>
      </c>
      <c r="P2" s="1267"/>
      <c r="Q2" s="1291"/>
      <c r="R2" s="1268" t="s">
        <v>35</v>
      </c>
      <c r="S2" s="1273" t="s">
        <v>1466</v>
      </c>
      <c r="T2" s="1274"/>
      <c r="U2" s="1274"/>
      <c r="V2" s="1288" t="s">
        <v>159</v>
      </c>
      <c r="W2" s="1271"/>
      <c r="X2" s="1271"/>
      <c r="Y2" s="1271"/>
      <c r="Z2" s="1289"/>
      <c r="AA2" s="1258" t="s">
        <v>1461</v>
      </c>
      <c r="AB2" s="1270"/>
      <c r="AC2" s="1271"/>
      <c r="AD2" s="1271"/>
      <c r="AE2" s="1272" t="s">
        <v>75</v>
      </c>
      <c r="AF2" s="1258" t="s">
        <v>1406</v>
      </c>
      <c r="AG2" s="1262" t="s">
        <v>1405</v>
      </c>
      <c r="AH2" s="1266" t="s">
        <v>77</v>
      </c>
      <c r="AI2" s="1267"/>
      <c r="AJ2" s="1267"/>
      <c r="AK2" s="1267"/>
      <c r="AL2" s="1267"/>
      <c r="AM2" s="1267"/>
      <c r="AN2" s="1283" t="s">
        <v>29</v>
      </c>
      <c r="AO2" s="3"/>
      <c r="CT2" s="182"/>
      <c r="CU2" s="1264" t="s">
        <v>59</v>
      </c>
      <c r="CV2" s="1279" t="s">
        <v>16</v>
      </c>
      <c r="CW2" s="1281" t="s">
        <v>5</v>
      </c>
      <c r="CX2" s="1277" t="s">
        <v>12</v>
      </c>
      <c r="CY2" s="1260" t="s">
        <v>13</v>
      </c>
      <c r="CZ2" s="1276" t="s">
        <v>15</v>
      </c>
      <c r="DA2" s="1260" t="s">
        <v>11</v>
      </c>
      <c r="DB2" s="465"/>
      <c r="DC2" s="1285" t="s">
        <v>1430</v>
      </c>
      <c r="DD2" s="1277" t="s">
        <v>223</v>
      </c>
      <c r="DE2" s="1276" t="s">
        <v>160</v>
      </c>
      <c r="DF2" s="1276" t="s">
        <v>161</v>
      </c>
      <c r="DG2" s="1260" t="s">
        <v>162</v>
      </c>
      <c r="DH2" s="1260" t="s">
        <v>163</v>
      </c>
      <c r="DI2" s="1260" t="s">
        <v>224</v>
      </c>
      <c r="DJ2" s="1260" t="s">
        <v>225</v>
      </c>
      <c r="DK2" s="1260" t="s">
        <v>226</v>
      </c>
      <c r="DL2" s="1260" t="s">
        <v>227</v>
      </c>
      <c r="DM2" s="1276" t="s">
        <v>230</v>
      </c>
      <c r="DN2" s="1260" t="s">
        <v>112</v>
      </c>
      <c r="DO2" s="1276" t="s">
        <v>232</v>
      </c>
      <c r="DP2" s="1260" t="s">
        <v>6</v>
      </c>
      <c r="EB2" s="1250" t="s">
        <v>59</v>
      </c>
      <c r="EC2" s="1250" t="s">
        <v>16</v>
      </c>
      <c r="ED2" s="1250" t="s">
        <v>5</v>
      </c>
      <c r="EE2" s="1256" t="s">
        <v>12</v>
      </c>
      <c r="EF2" s="1250" t="s">
        <v>13</v>
      </c>
      <c r="EG2" s="1250" t="s">
        <v>15</v>
      </c>
      <c r="EH2" s="1250" t="s">
        <v>11</v>
      </c>
      <c r="EI2" s="1256" t="s">
        <v>31</v>
      </c>
      <c r="EJ2" s="1250" t="s">
        <v>1772</v>
      </c>
      <c r="EK2" s="1250" t="s">
        <v>1773</v>
      </c>
      <c r="EL2" s="1250" t="s">
        <v>230</v>
      </c>
      <c r="EM2" s="1256" t="s">
        <v>1465</v>
      </c>
      <c r="EN2" s="1250" t="s">
        <v>1774</v>
      </c>
      <c r="EO2" s="1250" t="s">
        <v>1775</v>
      </c>
      <c r="EP2" s="1250" t="s">
        <v>1776</v>
      </c>
      <c r="EQ2" s="1256" t="s">
        <v>1777</v>
      </c>
      <c r="ER2" s="1250" t="s">
        <v>1778</v>
      </c>
      <c r="ES2" s="1250" t="s">
        <v>1779</v>
      </c>
      <c r="ET2" s="1250" t="s">
        <v>1780</v>
      </c>
      <c r="EU2" s="1256" t="s">
        <v>1781</v>
      </c>
      <c r="EV2" s="1250" t="s">
        <v>1782</v>
      </c>
      <c r="EW2" s="1250" t="s">
        <v>163</v>
      </c>
      <c r="EX2" s="1250" t="s">
        <v>227</v>
      </c>
      <c r="EY2" s="1256" t="s">
        <v>1783</v>
      </c>
      <c r="EZ2" s="1250" t="s">
        <v>1467</v>
      </c>
      <c r="FA2" s="1250" t="s">
        <v>1468</v>
      </c>
      <c r="FB2" s="1250" t="s">
        <v>1469</v>
      </c>
      <c r="FC2" s="1250" t="s">
        <v>1784</v>
      </c>
      <c r="FD2" s="1252" t="s">
        <v>29</v>
      </c>
      <c r="FE2" s="1254" t="s">
        <v>6</v>
      </c>
    </row>
    <row r="3" spans="2:161" s="181" customFormat="1" ht="46.5" customHeight="1">
      <c r="B3" s="1293"/>
      <c r="C3" s="1269"/>
      <c r="D3" s="1294"/>
      <c r="E3" s="1296"/>
      <c r="F3" s="1294"/>
      <c r="G3" s="1294"/>
      <c r="H3" s="1298"/>
      <c r="I3" s="1263"/>
      <c r="J3" s="1263"/>
      <c r="K3" s="1263"/>
      <c r="L3" s="1263"/>
      <c r="M3" s="1263"/>
      <c r="N3" s="1263"/>
      <c r="O3" s="79" t="s">
        <v>16</v>
      </c>
      <c r="P3" s="79" t="s">
        <v>17</v>
      </c>
      <c r="Q3" s="79" t="s">
        <v>1</v>
      </c>
      <c r="R3" s="1269"/>
      <c r="S3" s="578" t="s">
        <v>1467</v>
      </c>
      <c r="T3" s="579" t="s">
        <v>1468</v>
      </c>
      <c r="U3" s="580" t="s">
        <v>1469</v>
      </c>
      <c r="V3" s="79" t="s">
        <v>1464</v>
      </c>
      <c r="W3" s="79" t="s">
        <v>1465</v>
      </c>
      <c r="X3" s="183" t="s">
        <v>162</v>
      </c>
      <c r="Y3" s="79" t="s">
        <v>161</v>
      </c>
      <c r="Z3" s="577" t="s">
        <v>1462</v>
      </c>
      <c r="AA3" s="1269"/>
      <c r="AB3" s="79"/>
      <c r="AC3" s="79"/>
      <c r="AD3" s="79" t="s">
        <v>14</v>
      </c>
      <c r="AE3" s="1263"/>
      <c r="AF3" s="1259"/>
      <c r="AG3" s="1263"/>
      <c r="AH3" s="183" t="s">
        <v>16</v>
      </c>
      <c r="AI3" s="183" t="s">
        <v>0</v>
      </c>
      <c r="AJ3" s="184" t="s">
        <v>78</v>
      </c>
      <c r="AK3" s="521" t="s">
        <v>1404</v>
      </c>
      <c r="AL3" s="521" t="s">
        <v>2606</v>
      </c>
      <c r="AM3" s="185" t="s">
        <v>25</v>
      </c>
      <c r="AN3" s="1284"/>
      <c r="AO3" s="3"/>
      <c r="CT3" s="186">
        <v>9</v>
      </c>
      <c r="CU3" s="1265"/>
      <c r="CV3" s="1280"/>
      <c r="CW3" s="1282"/>
      <c r="CX3" s="1282"/>
      <c r="CY3" s="1261"/>
      <c r="CZ3" s="1261"/>
      <c r="DA3" s="1261"/>
      <c r="DB3" s="466"/>
      <c r="DC3" s="1286"/>
      <c r="DD3" s="1278"/>
      <c r="DE3" s="1261"/>
      <c r="DF3" s="1261"/>
      <c r="DG3" s="1261"/>
      <c r="DH3" s="1261"/>
      <c r="DI3" s="1261"/>
      <c r="DJ3" s="1261"/>
      <c r="DK3" s="1261"/>
      <c r="DL3" s="1261"/>
      <c r="DM3" s="1261"/>
      <c r="DN3" s="1261"/>
      <c r="DO3" s="1261"/>
      <c r="DP3" s="1261"/>
      <c r="EB3" s="1251"/>
      <c r="EC3" s="1251"/>
      <c r="ED3" s="1251"/>
      <c r="EE3" s="1257"/>
      <c r="EF3" s="1251"/>
      <c r="EG3" s="1251"/>
      <c r="EH3" s="1251"/>
      <c r="EI3" s="1257"/>
      <c r="EJ3" s="1251"/>
      <c r="EK3" s="1251"/>
      <c r="EL3" s="1251"/>
      <c r="EM3" s="1257"/>
      <c r="EN3" s="1251"/>
      <c r="EO3" s="1251"/>
      <c r="EP3" s="1251"/>
      <c r="EQ3" s="1257"/>
      <c r="ER3" s="1251"/>
      <c r="ES3" s="1251"/>
      <c r="ET3" s="1251"/>
      <c r="EU3" s="1257"/>
      <c r="EV3" s="1251"/>
      <c r="EW3" s="1251"/>
      <c r="EX3" s="1251"/>
      <c r="EY3" s="1257"/>
      <c r="EZ3" s="1251"/>
      <c r="FA3" s="1251"/>
      <c r="FB3" s="1251"/>
      <c r="FC3" s="1251"/>
      <c r="FD3" s="1253"/>
      <c r="FE3" s="1255"/>
    </row>
    <row r="4" spans="2:161" s="3" customFormat="1" ht="13.5" hidden="1" customHeight="1">
      <c r="B4" s="21"/>
      <c r="C4" s="21"/>
      <c r="D4" s="12"/>
      <c r="E4" s="137">
        <v>0</v>
      </c>
      <c r="F4" s="93">
        <f>IF(OR(WSTATUS="T&amp;A",DTCAUSE="PUMP OFF MODE",DTCAUSE="UNDER LOAD", DTCAUSE="NO RECOVERY - CEASE TO FLOW"),0,BOPD/24*(24-HOURS))</f>
        <v>0</v>
      </c>
      <c r="G4" s="102"/>
      <c r="H4" s="367"/>
      <c r="I4" s="48"/>
      <c r="J4" s="22"/>
      <c r="K4" s="22"/>
      <c r="L4" s="22"/>
      <c r="M4" s="22"/>
      <c r="N4" s="22"/>
      <c r="O4" s="22"/>
      <c r="P4" s="22"/>
      <c r="Q4" s="22"/>
      <c r="R4" s="22"/>
      <c r="S4" s="22"/>
      <c r="T4" s="22"/>
      <c r="U4" s="22"/>
      <c r="V4" s="140"/>
      <c r="W4" s="140"/>
      <c r="X4" s="48"/>
      <c r="Y4" s="48"/>
      <c r="Z4" s="48"/>
      <c r="AA4" s="48"/>
      <c r="AB4" s="48"/>
      <c r="AC4" s="48"/>
      <c r="AD4" s="48"/>
      <c r="AE4" s="131"/>
      <c r="AF4" s="531">
        <f>AK4/24*D4</f>
        <v>0</v>
      </c>
      <c r="AG4" s="531">
        <f>AM4/24*E4</f>
        <v>0</v>
      </c>
      <c r="AH4" s="132"/>
      <c r="AI4" s="13"/>
      <c r="AJ4" s="15"/>
      <c r="AK4" s="93"/>
      <c r="AL4" s="93"/>
      <c r="AM4" s="93">
        <f t="shared" ref="AM4:AM190" si="0">IF(BFPD=0,0,BFPD*(1-BSW/100))</f>
        <v>0</v>
      </c>
      <c r="AN4" s="148"/>
      <c r="AO4" s="213"/>
      <c r="CT4" s="35"/>
      <c r="CU4" s="70" t="s">
        <v>1429</v>
      </c>
      <c r="CV4" s="71">
        <f t="shared" ref="CV4:CV190" si="1">REPORTDATE-1</f>
        <v>46298</v>
      </c>
      <c r="CW4" s="72" t="str">
        <f>$CT$3&amp;B4</f>
        <v>9</v>
      </c>
      <c r="CX4" s="73">
        <f>I4</f>
        <v>0</v>
      </c>
      <c r="CY4" s="73">
        <f>J4</f>
        <v>0</v>
      </c>
      <c r="CZ4" s="73">
        <f>E4</f>
        <v>0</v>
      </c>
      <c r="DA4" s="73" t="str">
        <f>IF(CZ4=0,"SI",D4)</f>
        <v>SI</v>
      </c>
      <c r="DB4" s="73"/>
      <c r="DC4" s="368">
        <f>H4*1000</f>
        <v>0</v>
      </c>
      <c r="DD4" s="73">
        <f>N4</f>
        <v>0</v>
      </c>
      <c r="DE4" s="73">
        <f t="shared" ref="DE4:DG5" si="2">V4</f>
        <v>0</v>
      </c>
      <c r="DF4" s="73">
        <f t="shared" si="2"/>
        <v>0</v>
      </c>
      <c r="DG4" s="73">
        <f t="shared" si="2"/>
        <v>0</v>
      </c>
      <c r="DH4" s="73">
        <f>Z4</f>
        <v>0</v>
      </c>
      <c r="DI4" s="73">
        <f>AD4</f>
        <v>0</v>
      </c>
      <c r="DJ4" s="73"/>
      <c r="DK4" s="73"/>
      <c r="DL4" s="73">
        <f>AE4</f>
        <v>0</v>
      </c>
      <c r="DM4" s="215">
        <f>AG4</f>
        <v>0</v>
      </c>
      <c r="DN4" s="73" t="str">
        <f>IF(G4="","",G4)</f>
        <v/>
      </c>
      <c r="DO4" s="73">
        <f>AM4/24*HOURS</f>
        <v>0</v>
      </c>
      <c r="DP4" s="85" t="str">
        <f>IF(OR(D4="SI",B4="",D4="T&amp;A"),"",VLOOKUP(B4,WELL_FIELD,2))</f>
        <v/>
      </c>
    </row>
    <row r="5" spans="2:161" s="3" customFormat="1" ht="23.25" customHeight="1">
      <c r="B5" s="319" t="s">
        <v>1316</v>
      </c>
      <c r="C5" s="317" t="s">
        <v>1315</v>
      </c>
      <c r="D5" s="317" t="s">
        <v>1301</v>
      </c>
      <c r="E5" s="991">
        <v>24</v>
      </c>
      <c r="F5" s="951">
        <f t="shared" ref="F5:F67" si="3">IF(E5=0,0,((AI5*(1-(AJ5/100)))/24)*(24-HOURS))</f>
        <v>0</v>
      </c>
      <c r="G5" s="48"/>
      <c r="H5" s="981">
        <v>1.43</v>
      </c>
      <c r="I5" s="48" t="s">
        <v>2335</v>
      </c>
      <c r="J5" s="48">
        <v>230</v>
      </c>
      <c r="K5" s="48">
        <v>230</v>
      </c>
      <c r="L5" s="48">
        <v>616</v>
      </c>
      <c r="M5" s="22"/>
      <c r="N5" s="140"/>
      <c r="O5" s="748"/>
      <c r="P5" s="48"/>
      <c r="Q5" s="48"/>
      <c r="R5" s="48"/>
      <c r="S5" s="886"/>
      <c r="T5" s="886"/>
      <c r="U5" s="886"/>
      <c r="V5" s="140"/>
      <c r="W5" s="140"/>
      <c r="X5" s="48"/>
      <c r="Y5" s="140"/>
      <c r="Z5" s="748"/>
      <c r="AA5" s="48"/>
      <c r="AB5" s="48"/>
      <c r="AC5" s="48"/>
      <c r="AD5" s="886"/>
      <c r="AE5" s="886"/>
      <c r="AF5" s="532">
        <f>AK5/24*E5</f>
        <v>3.300000000000014E-2</v>
      </c>
      <c r="AG5" s="531">
        <f>AM5/24*E5</f>
        <v>440.54999999999995</v>
      </c>
      <c r="AH5" s="304">
        <v>46296</v>
      </c>
      <c r="AI5" s="13">
        <v>445</v>
      </c>
      <c r="AJ5" s="15">
        <v>1</v>
      </c>
      <c r="AK5" s="15">
        <v>3.300000000000014E-2</v>
      </c>
      <c r="AL5" s="13"/>
      <c r="AM5" s="93">
        <f t="shared" si="0"/>
        <v>440.55</v>
      </c>
      <c r="AN5" s="148"/>
      <c r="AO5" s="213"/>
      <c r="CJ5" s="921">
        <f>+IF(D5="SI",0,AI5*AJ5/100)</f>
        <v>4.45</v>
      </c>
      <c r="CT5" s="35"/>
      <c r="CU5" s="70" t="s">
        <v>1429</v>
      </c>
      <c r="CV5" s="71">
        <f t="shared" si="1"/>
        <v>46298</v>
      </c>
      <c r="CW5" s="72" t="str">
        <f>$CT$3&amp;B5</f>
        <v>9AG-02A</v>
      </c>
      <c r="CX5" s="73" t="str">
        <f>I5</f>
        <v>NO P.CK</v>
      </c>
      <c r="CY5" s="73">
        <f>J5</f>
        <v>230</v>
      </c>
      <c r="CZ5" s="73">
        <f>E5</f>
        <v>24</v>
      </c>
      <c r="DA5" s="73" t="str">
        <f>IF(CZ5=0,"SI",D5)</f>
        <v>G/L</v>
      </c>
      <c r="DB5" s="73"/>
      <c r="DC5" s="368">
        <f>E5*((H5*1000)/24)</f>
        <v>1430</v>
      </c>
      <c r="DD5" s="73">
        <f>N5</f>
        <v>0</v>
      </c>
      <c r="DE5" s="73">
        <f t="shared" si="2"/>
        <v>0</v>
      </c>
      <c r="DF5" s="73">
        <f t="shared" si="2"/>
        <v>0</v>
      </c>
      <c r="DG5" s="73">
        <f t="shared" si="2"/>
        <v>0</v>
      </c>
      <c r="DH5" s="73">
        <f>Z5</f>
        <v>0</v>
      </c>
      <c r="DI5" s="73">
        <f>AD5</f>
        <v>0</v>
      </c>
      <c r="DJ5" s="73"/>
      <c r="DK5" s="73"/>
      <c r="DL5" s="73">
        <f>AE5</f>
        <v>0</v>
      </c>
      <c r="DM5" s="215">
        <f>AG5</f>
        <v>440.54999999999995</v>
      </c>
      <c r="DN5" s="73" t="str">
        <f>IF(G5="","",G5)</f>
        <v/>
      </c>
      <c r="DO5" s="73">
        <f>AM5/24*HOURS</f>
        <v>440.54999999999995</v>
      </c>
      <c r="DP5" s="85" t="str">
        <f>IF(OR(D5="SI",B5="",D5="T&amp;A"),"",VLOOKUP(B5,WELL_FIELD,2))</f>
        <v>SAG</v>
      </c>
      <c r="EB5" s="70" t="str">
        <f>IF(B5="","","KHALDA_WELL")</f>
        <v>KHALDA_WELL</v>
      </c>
      <c r="EC5" s="71">
        <f t="shared" ref="EC5:EC94" si="4">REPORTDATE-1</f>
        <v>46298</v>
      </c>
      <c r="ED5" s="72" t="str">
        <f>B5</f>
        <v>AG-02A</v>
      </c>
      <c r="EE5" s="73" t="str">
        <f>I5</f>
        <v>NO P.CK</v>
      </c>
      <c r="EF5" s="73">
        <f>J5</f>
        <v>230</v>
      </c>
      <c r="EG5" s="73">
        <f>E5</f>
        <v>24</v>
      </c>
      <c r="EH5" s="73" t="str">
        <f>IF(CZ5=0,"SI",D5)</f>
        <v>G/L</v>
      </c>
      <c r="EI5" s="73"/>
      <c r="EJ5" s="72"/>
      <c r="EK5" s="72" t="str">
        <f>IF(G5="","",G5)</f>
        <v/>
      </c>
      <c r="EL5" s="73">
        <f>AJ5</f>
        <v>1</v>
      </c>
      <c r="EM5" s="213">
        <f>W5</f>
        <v>0</v>
      </c>
      <c r="EN5" s="73"/>
      <c r="EO5" s="73"/>
      <c r="EQ5" s="73">
        <f>Y5</f>
        <v>0</v>
      </c>
      <c r="ER5" s="73">
        <f>Z5</f>
        <v>0</v>
      </c>
      <c r="ES5" s="73">
        <f>X5</f>
        <v>0</v>
      </c>
      <c r="ET5" s="73">
        <f>AD5</f>
        <v>0</v>
      </c>
      <c r="EU5" s="73"/>
      <c r="EV5" s="73"/>
      <c r="EX5" s="3">
        <f>AE5</f>
        <v>0</v>
      </c>
      <c r="EY5" s="73"/>
      <c r="EZ5" s="73">
        <f>S5</f>
        <v>0</v>
      </c>
      <c r="FA5" s="73">
        <f>T5</f>
        <v>0</v>
      </c>
      <c r="FB5" s="73">
        <f>U5</f>
        <v>0</v>
      </c>
      <c r="FC5" s="73"/>
      <c r="FD5" s="73">
        <f>AN5</f>
        <v>0</v>
      </c>
    </row>
    <row r="6" spans="2:161" s="3" customFormat="1" ht="16.5" customHeight="1">
      <c r="B6" s="316" t="s">
        <v>1269</v>
      </c>
      <c r="C6" s="317" t="s">
        <v>272</v>
      </c>
      <c r="D6" s="317" t="s">
        <v>286</v>
      </c>
      <c r="E6" s="991">
        <v>24</v>
      </c>
      <c r="F6" s="951">
        <f>IF(E6=0,0,((AI6*(1-(AJ6/100)))/24)*(24-HOURS))</f>
        <v>0</v>
      </c>
      <c r="G6" s="48"/>
      <c r="H6" s="981"/>
      <c r="I6" s="48" t="s">
        <v>2335</v>
      </c>
      <c r="J6" s="48">
        <v>145</v>
      </c>
      <c r="K6" s="48">
        <v>145</v>
      </c>
      <c r="L6" s="48">
        <v>0</v>
      </c>
      <c r="M6" s="22"/>
      <c r="N6" s="140"/>
      <c r="O6" s="748"/>
      <c r="P6" s="48"/>
      <c r="Q6" s="48"/>
      <c r="R6" s="48"/>
      <c r="S6" s="886"/>
      <c r="T6" s="886"/>
      <c r="U6" s="886"/>
      <c r="V6" s="140"/>
      <c r="W6" s="140"/>
      <c r="X6" s="48"/>
      <c r="Y6" s="140"/>
      <c r="Z6" s="748"/>
      <c r="AA6" s="48"/>
      <c r="AB6" s="48"/>
      <c r="AC6" s="48"/>
      <c r="AD6" s="886"/>
      <c r="AE6" s="886"/>
      <c r="AF6" s="532">
        <f t="shared" ref="AF6:AF78" si="5">AK6/24*E6</f>
        <v>0.36499999999999999</v>
      </c>
      <c r="AG6" s="531">
        <f t="shared" ref="AG6:AG78" si="6">AM6/24*E6</f>
        <v>0</v>
      </c>
      <c r="AH6" s="304">
        <v>45805</v>
      </c>
      <c r="AI6" s="13">
        <v>0</v>
      </c>
      <c r="AJ6" s="15">
        <v>0</v>
      </c>
      <c r="AK6" s="15">
        <v>0.36499999999999999</v>
      </c>
      <c r="AL6" s="13"/>
      <c r="AM6" s="93">
        <f t="shared" si="0"/>
        <v>0</v>
      </c>
      <c r="AN6" s="148"/>
      <c r="AO6" s="213"/>
      <c r="CJ6" s="921">
        <f t="shared" ref="CJ6:CJ70" si="7">+IF(D6="SI",0,AI6*AJ6/100)</f>
        <v>0</v>
      </c>
      <c r="CT6" s="35"/>
      <c r="CU6" s="70" t="s">
        <v>1905</v>
      </c>
      <c r="CV6" s="71">
        <f t="shared" si="1"/>
        <v>46298</v>
      </c>
      <c r="CW6" s="72" t="str">
        <f t="shared" ref="CW6:CW70" si="8">$CT$3&amp;B6</f>
        <v>9AG-03</v>
      </c>
      <c r="CX6" s="73" t="str">
        <f t="shared" ref="CX6:CX70" si="9">I6</f>
        <v>NO P.CK</v>
      </c>
      <c r="CY6" s="73">
        <f t="shared" ref="CY6:CY70" si="10">J6</f>
        <v>145</v>
      </c>
      <c r="CZ6" s="73">
        <f t="shared" ref="CZ6:CZ70" si="11">E6</f>
        <v>24</v>
      </c>
      <c r="DA6" s="73" t="str">
        <f t="shared" ref="DA6:DA70" si="12">IF(CZ6=0,"SI",D6)</f>
        <v>NF</v>
      </c>
      <c r="DB6" s="73"/>
      <c r="DC6" s="368">
        <f t="shared" ref="DC6:DC70" si="13">E6*((H6*1000)/24)</f>
        <v>0</v>
      </c>
      <c r="DD6" s="73">
        <f t="shared" ref="DD6:DD70" si="14">N6</f>
        <v>0</v>
      </c>
      <c r="DE6" s="73">
        <f t="shared" ref="DE6:DE70" si="15">V6</f>
        <v>0</v>
      </c>
      <c r="DF6" s="73">
        <f t="shared" ref="DF6:DF70" si="16">W6</f>
        <v>0</v>
      </c>
      <c r="DG6" s="73">
        <f t="shared" ref="DG6:DG70" si="17">X6</f>
        <v>0</v>
      </c>
      <c r="DH6" s="73">
        <f t="shared" ref="DH6:DH70" si="18">Z6</f>
        <v>0</v>
      </c>
      <c r="DI6" s="73">
        <f t="shared" ref="DI6:DI70" si="19">AD6</f>
        <v>0</v>
      </c>
      <c r="DJ6" s="73"/>
      <c r="DK6" s="73"/>
      <c r="DL6" s="73">
        <f t="shared" ref="DL6:DL70" si="20">AE6</f>
        <v>0</v>
      </c>
      <c r="DM6" s="215">
        <f t="shared" ref="DM6:DM70" si="21">AG6</f>
        <v>0</v>
      </c>
      <c r="DN6" s="73" t="str">
        <f t="shared" ref="DN6:DN70" si="22">IF(G6="","",G6)</f>
        <v/>
      </c>
      <c r="DO6" s="73">
        <f t="shared" ref="DO6:DO70" si="23">AM6/24*HOURS</f>
        <v>0</v>
      </c>
      <c r="DP6" s="85" t="str">
        <f t="shared" ref="DP6:DP70" si="24">IF(OR(D6="SI",B6="",D6="T&amp;A"),"",VLOOKUP(B6,WELL_FIELD,2))</f>
        <v>AG</v>
      </c>
      <c r="EB6" s="70" t="str">
        <f t="shared" ref="EB6:EB68" si="25">IF(B6="","","KHALDA_WELL")</f>
        <v>KHALDA_WELL</v>
      </c>
      <c r="EC6" s="71">
        <f t="shared" si="4"/>
        <v>46298</v>
      </c>
      <c r="ED6" s="72" t="str">
        <f t="shared" ref="ED6:ED68" si="26">B6</f>
        <v>AG-03</v>
      </c>
      <c r="EE6" s="73" t="str">
        <f t="shared" ref="EE6:EE68" si="27">I6</f>
        <v>NO P.CK</v>
      </c>
      <c r="EF6" s="73">
        <f t="shared" ref="EF6:EF68" si="28">J6</f>
        <v>145</v>
      </c>
      <c r="EG6" s="73">
        <f t="shared" ref="EG6:EG68" si="29">E6</f>
        <v>24</v>
      </c>
      <c r="EH6" s="73" t="str">
        <f t="shared" ref="EH6:EH68" si="30">IF(CZ6=0,"SI",D6)</f>
        <v>NF</v>
      </c>
      <c r="EI6" s="73"/>
      <c r="EJ6" s="72"/>
      <c r="EK6" s="72" t="str">
        <f t="shared" ref="EK6:EK68" si="31">IF(G6="","",G6)</f>
        <v/>
      </c>
      <c r="EL6" s="73">
        <f t="shared" ref="EL6:EL68" si="32">AJ6</f>
        <v>0</v>
      </c>
      <c r="EM6" s="213">
        <f t="shared" ref="EM6:EM68" si="33">W6</f>
        <v>0</v>
      </c>
      <c r="EN6" s="73"/>
      <c r="EO6" s="73"/>
      <c r="EQ6" s="73">
        <f t="shared" ref="EQ6:EQ68" si="34">Y6</f>
        <v>0</v>
      </c>
      <c r="ER6" s="73">
        <f t="shared" ref="ER6:ER68" si="35">Z6</f>
        <v>0</v>
      </c>
      <c r="ES6" s="73">
        <f t="shared" ref="ES6:ES68" si="36">X6</f>
        <v>0</v>
      </c>
      <c r="ET6" s="73">
        <f t="shared" ref="ET6:ET68" si="37">AD6</f>
        <v>0</v>
      </c>
      <c r="EU6" s="73"/>
      <c r="EV6" s="73"/>
      <c r="EX6" s="3">
        <f t="shared" ref="EX6:EX68" si="38">AE6</f>
        <v>0</v>
      </c>
      <c r="EY6" s="73"/>
      <c r="EZ6" s="73">
        <f t="shared" ref="EZ6:EZ68" si="39">S6</f>
        <v>0</v>
      </c>
      <c r="FA6" s="73">
        <f t="shared" ref="FA6:FA68" si="40">T6</f>
        <v>0</v>
      </c>
      <c r="FB6" s="73">
        <f t="shared" ref="FB6:FB68" si="41">U6</f>
        <v>0</v>
      </c>
      <c r="FC6" s="73"/>
      <c r="FD6" s="73">
        <f t="shared" ref="FD6:FD68" si="42">AN6</f>
        <v>0</v>
      </c>
    </row>
    <row r="7" spans="2:161" s="3" customFormat="1" ht="16.5" customHeight="1">
      <c r="B7" s="316" t="s">
        <v>1270</v>
      </c>
      <c r="C7" s="317" t="s">
        <v>24</v>
      </c>
      <c r="D7" s="317" t="s">
        <v>1301</v>
      </c>
      <c r="E7" s="991">
        <v>24</v>
      </c>
      <c r="F7" s="951">
        <f>IF(E7=0,0,((AI7*(1-(AJ7/100)))/24)*(24-HOURS))</f>
        <v>0</v>
      </c>
      <c r="G7" s="48"/>
      <c r="H7" s="981">
        <v>1.0900000000000001</v>
      </c>
      <c r="I7" s="48" t="s">
        <v>2335</v>
      </c>
      <c r="J7" s="48">
        <v>110</v>
      </c>
      <c r="K7" s="48">
        <v>110</v>
      </c>
      <c r="L7" s="48">
        <v>807</v>
      </c>
      <c r="M7" s="22"/>
      <c r="N7" s="140"/>
      <c r="O7" s="748"/>
      <c r="P7" s="48"/>
      <c r="Q7" s="48"/>
      <c r="R7" s="48"/>
      <c r="S7" s="886"/>
      <c r="T7" s="886"/>
      <c r="U7" s="886"/>
      <c r="V7" s="140"/>
      <c r="W7" s="140"/>
      <c r="X7" s="48"/>
      <c r="Y7" s="140"/>
      <c r="Z7" s="748"/>
      <c r="AA7" s="48"/>
      <c r="AB7" s="48"/>
      <c r="AC7" s="48"/>
      <c r="AD7" s="886"/>
      <c r="AE7" s="886"/>
      <c r="AF7" s="532">
        <f t="shared" si="5"/>
        <v>5.1999999999999824E-2</v>
      </c>
      <c r="AG7" s="531">
        <f t="shared" si="6"/>
        <v>20.79</v>
      </c>
      <c r="AH7" s="304">
        <v>46249</v>
      </c>
      <c r="AI7" s="13">
        <v>21</v>
      </c>
      <c r="AJ7" s="15">
        <v>1</v>
      </c>
      <c r="AK7" s="15">
        <v>5.1999999999999824E-2</v>
      </c>
      <c r="AL7" s="13"/>
      <c r="AM7" s="93">
        <f t="shared" si="0"/>
        <v>20.79</v>
      </c>
      <c r="AN7" s="148"/>
      <c r="AO7" s="213"/>
      <c r="CJ7" s="921">
        <f t="shared" si="7"/>
        <v>0.21</v>
      </c>
      <c r="CT7" s="35"/>
      <c r="CU7" s="70" t="s">
        <v>2073</v>
      </c>
      <c r="CV7" s="71">
        <f t="shared" si="1"/>
        <v>46298</v>
      </c>
      <c r="CW7" s="72" t="str">
        <f t="shared" si="8"/>
        <v>9AG-10</v>
      </c>
      <c r="CX7" s="73" t="str">
        <f t="shared" si="9"/>
        <v>NO P.CK</v>
      </c>
      <c r="CY7" s="73">
        <f t="shared" si="10"/>
        <v>110</v>
      </c>
      <c r="CZ7" s="73">
        <f t="shared" si="11"/>
        <v>24</v>
      </c>
      <c r="DA7" s="73" t="str">
        <f t="shared" si="12"/>
        <v>G/L</v>
      </c>
      <c r="DB7" s="73"/>
      <c r="DC7" s="368">
        <f t="shared" si="13"/>
        <v>1090</v>
      </c>
      <c r="DD7" s="73">
        <f t="shared" si="14"/>
        <v>0</v>
      </c>
      <c r="DE7" s="73">
        <f t="shared" si="15"/>
        <v>0</v>
      </c>
      <c r="DF7" s="73">
        <f t="shared" si="16"/>
        <v>0</v>
      </c>
      <c r="DG7" s="73">
        <f t="shared" si="17"/>
        <v>0</v>
      </c>
      <c r="DH7" s="73">
        <f t="shared" si="18"/>
        <v>0</v>
      </c>
      <c r="DI7" s="73">
        <f t="shared" si="19"/>
        <v>0</v>
      </c>
      <c r="DJ7" s="73"/>
      <c r="DK7" s="73"/>
      <c r="DL7" s="73">
        <f t="shared" si="20"/>
        <v>0</v>
      </c>
      <c r="DM7" s="215">
        <f t="shared" si="21"/>
        <v>20.79</v>
      </c>
      <c r="DN7" s="73" t="str">
        <f t="shared" si="22"/>
        <v/>
      </c>
      <c r="DO7" s="73">
        <f t="shared" si="23"/>
        <v>20.79</v>
      </c>
      <c r="DP7" s="85" t="str">
        <f t="shared" si="24"/>
        <v>AG</v>
      </c>
      <c r="EB7" s="70" t="str">
        <f t="shared" si="25"/>
        <v>KHALDA_WELL</v>
      </c>
      <c r="EC7" s="71">
        <f t="shared" si="4"/>
        <v>46298</v>
      </c>
      <c r="ED7" s="72" t="str">
        <f t="shared" si="26"/>
        <v>AG-10</v>
      </c>
      <c r="EE7" s="73" t="str">
        <f t="shared" si="27"/>
        <v>NO P.CK</v>
      </c>
      <c r="EF7" s="73">
        <f t="shared" si="28"/>
        <v>110</v>
      </c>
      <c r="EG7" s="73">
        <f t="shared" si="29"/>
        <v>24</v>
      </c>
      <c r="EH7" s="73" t="str">
        <f t="shared" si="30"/>
        <v>G/L</v>
      </c>
      <c r="EI7" s="73"/>
      <c r="EJ7" s="72"/>
      <c r="EK7" s="72" t="str">
        <f t="shared" si="31"/>
        <v/>
      </c>
      <c r="EL7" s="73">
        <f t="shared" si="32"/>
        <v>1</v>
      </c>
      <c r="EM7" s="213">
        <f t="shared" si="33"/>
        <v>0</v>
      </c>
      <c r="EN7" s="73"/>
      <c r="EO7" s="73"/>
      <c r="EQ7" s="73">
        <f t="shared" si="34"/>
        <v>0</v>
      </c>
      <c r="ER7" s="73">
        <f t="shared" si="35"/>
        <v>0</v>
      </c>
      <c r="ES7" s="73">
        <f t="shared" si="36"/>
        <v>0</v>
      </c>
      <c r="ET7" s="73">
        <f t="shared" si="37"/>
        <v>0</v>
      </c>
      <c r="EU7" s="73"/>
      <c r="EV7" s="73"/>
      <c r="EX7" s="3">
        <f t="shared" si="38"/>
        <v>0</v>
      </c>
      <c r="EY7" s="73"/>
      <c r="EZ7" s="73">
        <f t="shared" si="39"/>
        <v>0</v>
      </c>
      <c r="FA7" s="73">
        <f t="shared" si="40"/>
        <v>0</v>
      </c>
      <c r="FB7" s="73">
        <f t="shared" si="41"/>
        <v>0</v>
      </c>
      <c r="FC7" s="73"/>
      <c r="FD7" s="73">
        <f t="shared" si="42"/>
        <v>0</v>
      </c>
    </row>
    <row r="8" spans="2:161" s="3" customFormat="1" ht="16.5" customHeight="1">
      <c r="B8" s="316" t="s">
        <v>1442</v>
      </c>
      <c r="C8" s="317" t="s">
        <v>24</v>
      </c>
      <c r="D8" s="317" t="s">
        <v>18</v>
      </c>
      <c r="E8" s="991">
        <v>0</v>
      </c>
      <c r="F8" s="951">
        <f t="shared" si="3"/>
        <v>0</v>
      </c>
      <c r="G8" s="48"/>
      <c r="H8" s="981"/>
      <c r="I8" s="48" t="s">
        <v>2335</v>
      </c>
      <c r="J8" s="48">
        <v>0</v>
      </c>
      <c r="K8" s="48">
        <v>0</v>
      </c>
      <c r="L8" s="48">
        <v>0</v>
      </c>
      <c r="M8" s="22"/>
      <c r="N8" s="140"/>
      <c r="O8" s="748"/>
      <c r="P8" s="48"/>
      <c r="Q8" s="48"/>
      <c r="R8" s="48"/>
      <c r="S8" s="886"/>
      <c r="T8" s="886"/>
      <c r="U8" s="886"/>
      <c r="V8" s="140"/>
      <c r="W8" s="140"/>
      <c r="X8" s="48"/>
      <c r="Y8" s="140"/>
      <c r="Z8" s="748"/>
      <c r="AA8" s="48"/>
      <c r="AB8" s="48"/>
      <c r="AC8" s="48"/>
      <c r="AD8" s="886"/>
      <c r="AE8" s="886"/>
      <c r="AF8" s="532">
        <f t="shared" si="5"/>
        <v>0</v>
      </c>
      <c r="AG8" s="531">
        <f t="shared" si="6"/>
        <v>0</v>
      </c>
      <c r="AH8" s="304">
        <v>44049</v>
      </c>
      <c r="AI8" s="13">
        <v>0</v>
      </c>
      <c r="AJ8" s="15"/>
      <c r="AK8" s="15">
        <v>0.185</v>
      </c>
      <c r="AL8" s="13"/>
      <c r="AM8" s="93">
        <f t="shared" si="0"/>
        <v>0</v>
      </c>
      <c r="AN8" s="148"/>
      <c r="AO8" s="213"/>
      <c r="CJ8" s="921">
        <f t="shared" si="7"/>
        <v>0</v>
      </c>
      <c r="CT8" s="35"/>
      <c r="CU8" s="70" t="s">
        <v>1963</v>
      </c>
      <c r="CV8" s="71">
        <f t="shared" si="1"/>
        <v>46298</v>
      </c>
      <c r="CW8" s="72" t="str">
        <f t="shared" si="8"/>
        <v>9AG-12</v>
      </c>
      <c r="CX8" s="73" t="str">
        <f t="shared" si="9"/>
        <v>NO P.CK</v>
      </c>
      <c r="CY8" s="73">
        <f t="shared" si="10"/>
        <v>0</v>
      </c>
      <c r="CZ8" s="73">
        <f t="shared" si="11"/>
        <v>0</v>
      </c>
      <c r="DA8" s="73" t="str">
        <f t="shared" si="12"/>
        <v>SI</v>
      </c>
      <c r="DB8" s="73"/>
      <c r="DC8" s="368">
        <f t="shared" si="13"/>
        <v>0</v>
      </c>
      <c r="DD8" s="73">
        <f t="shared" si="14"/>
        <v>0</v>
      </c>
      <c r="DE8" s="73">
        <f t="shared" si="15"/>
        <v>0</v>
      </c>
      <c r="DF8" s="73">
        <f t="shared" si="16"/>
        <v>0</v>
      </c>
      <c r="DG8" s="73">
        <f t="shared" si="17"/>
        <v>0</v>
      </c>
      <c r="DH8" s="73">
        <f t="shared" si="18"/>
        <v>0</v>
      </c>
      <c r="DI8" s="73">
        <f t="shared" si="19"/>
        <v>0</v>
      </c>
      <c r="DJ8" s="73"/>
      <c r="DK8" s="73"/>
      <c r="DL8" s="73">
        <f t="shared" si="20"/>
        <v>0</v>
      </c>
      <c r="DM8" s="215">
        <f t="shared" si="21"/>
        <v>0</v>
      </c>
      <c r="DN8" s="73" t="str">
        <f t="shared" si="22"/>
        <v/>
      </c>
      <c r="DO8" s="73">
        <f t="shared" si="23"/>
        <v>0</v>
      </c>
      <c r="DP8" s="85" t="str">
        <f t="shared" si="24"/>
        <v/>
      </c>
      <c r="EB8" s="70" t="str">
        <f t="shared" si="25"/>
        <v>KHALDA_WELL</v>
      </c>
      <c r="EC8" s="71">
        <f t="shared" si="4"/>
        <v>46298</v>
      </c>
      <c r="ED8" s="72" t="str">
        <f t="shared" si="26"/>
        <v>AG-12</v>
      </c>
      <c r="EE8" s="73" t="str">
        <f t="shared" si="27"/>
        <v>NO P.CK</v>
      </c>
      <c r="EF8" s="73">
        <f t="shared" si="28"/>
        <v>0</v>
      </c>
      <c r="EG8" s="73">
        <f t="shared" si="29"/>
        <v>0</v>
      </c>
      <c r="EH8" s="73" t="str">
        <f t="shared" si="30"/>
        <v>SI</v>
      </c>
      <c r="EI8" s="73"/>
      <c r="EJ8" s="72"/>
      <c r="EK8" s="72" t="str">
        <f t="shared" si="31"/>
        <v/>
      </c>
      <c r="EL8" s="73">
        <f t="shared" si="32"/>
        <v>0</v>
      </c>
      <c r="EM8" s="213">
        <f t="shared" si="33"/>
        <v>0</v>
      </c>
      <c r="EN8" s="73"/>
      <c r="EO8" s="73"/>
      <c r="EQ8" s="73">
        <f t="shared" si="34"/>
        <v>0</v>
      </c>
      <c r="ER8" s="73">
        <f t="shared" si="35"/>
        <v>0</v>
      </c>
      <c r="ES8" s="73">
        <f t="shared" si="36"/>
        <v>0</v>
      </c>
      <c r="ET8" s="73">
        <f t="shared" si="37"/>
        <v>0</v>
      </c>
      <c r="EU8" s="73"/>
      <c r="EV8" s="73"/>
      <c r="EX8" s="3">
        <f t="shared" si="38"/>
        <v>0</v>
      </c>
      <c r="EY8" s="73"/>
      <c r="EZ8" s="73">
        <f t="shared" si="39"/>
        <v>0</v>
      </c>
      <c r="FA8" s="73">
        <f t="shared" si="40"/>
        <v>0</v>
      </c>
      <c r="FB8" s="73">
        <f t="shared" si="41"/>
        <v>0</v>
      </c>
      <c r="FC8" s="73"/>
      <c r="FD8" s="73">
        <f t="shared" si="42"/>
        <v>0</v>
      </c>
    </row>
    <row r="9" spans="2:161" s="3" customFormat="1" ht="16.5" customHeight="1">
      <c r="B9" s="316" t="s">
        <v>1271</v>
      </c>
      <c r="C9" s="317" t="s">
        <v>1305</v>
      </c>
      <c r="D9" s="317" t="s">
        <v>1301</v>
      </c>
      <c r="E9" s="991">
        <v>24</v>
      </c>
      <c r="F9" s="951">
        <f t="shared" si="3"/>
        <v>0</v>
      </c>
      <c r="G9" s="48"/>
      <c r="H9" s="981">
        <v>0.95949583965830709</v>
      </c>
      <c r="I9" s="48" t="s">
        <v>2335</v>
      </c>
      <c r="J9" s="48">
        <v>140</v>
      </c>
      <c r="K9" s="48">
        <v>140</v>
      </c>
      <c r="L9" s="48">
        <v>340</v>
      </c>
      <c r="M9" s="22"/>
      <c r="N9" s="140"/>
      <c r="O9" s="748"/>
      <c r="P9" s="48"/>
      <c r="Q9" s="48"/>
      <c r="R9" s="48"/>
      <c r="S9" s="886"/>
      <c r="T9" s="886"/>
      <c r="U9" s="886"/>
      <c r="V9" s="140"/>
      <c r="W9" s="140"/>
      <c r="X9" s="48"/>
      <c r="Y9" s="140"/>
      <c r="Z9" s="748"/>
      <c r="AA9" s="48"/>
      <c r="AB9" s="48"/>
      <c r="AC9" s="48"/>
      <c r="AD9" s="886"/>
      <c r="AE9" s="886"/>
      <c r="AF9" s="532">
        <f t="shared" si="5"/>
        <v>7.1000000000000063E-2</v>
      </c>
      <c r="AG9" s="531">
        <f t="shared" si="6"/>
        <v>52.47</v>
      </c>
      <c r="AH9" s="304">
        <v>46253</v>
      </c>
      <c r="AI9" s="13">
        <v>53</v>
      </c>
      <c r="AJ9" s="15">
        <v>1</v>
      </c>
      <c r="AK9" s="15">
        <v>7.1000000000000063E-2</v>
      </c>
      <c r="AL9" s="13"/>
      <c r="AM9" s="93">
        <f t="shared" si="0"/>
        <v>52.47</v>
      </c>
      <c r="AN9" s="522"/>
      <c r="AO9" s="213"/>
      <c r="CJ9" s="921">
        <f t="shared" si="7"/>
        <v>0.53</v>
      </c>
      <c r="CT9" s="35"/>
      <c r="CU9" s="70" t="s">
        <v>1964</v>
      </c>
      <c r="CV9" s="71">
        <f t="shared" si="1"/>
        <v>46298</v>
      </c>
      <c r="CW9" s="72" t="str">
        <f t="shared" si="8"/>
        <v>9AG-13</v>
      </c>
      <c r="CX9" s="73" t="str">
        <f t="shared" si="9"/>
        <v>NO P.CK</v>
      </c>
      <c r="CY9" s="73">
        <f t="shared" si="10"/>
        <v>140</v>
      </c>
      <c r="CZ9" s="73">
        <f t="shared" si="11"/>
        <v>24</v>
      </c>
      <c r="DA9" s="73" t="str">
        <f t="shared" si="12"/>
        <v>G/L</v>
      </c>
      <c r="DB9" s="73"/>
      <c r="DC9" s="368">
        <f t="shared" si="13"/>
        <v>959.49583965830698</v>
      </c>
      <c r="DD9" s="73">
        <f t="shared" si="14"/>
        <v>0</v>
      </c>
      <c r="DE9" s="73">
        <f t="shared" si="15"/>
        <v>0</v>
      </c>
      <c r="DF9" s="73">
        <f t="shared" si="16"/>
        <v>0</v>
      </c>
      <c r="DG9" s="73">
        <f t="shared" si="17"/>
        <v>0</v>
      </c>
      <c r="DH9" s="73">
        <f t="shared" si="18"/>
        <v>0</v>
      </c>
      <c r="DI9" s="73">
        <f t="shared" si="19"/>
        <v>0</v>
      </c>
      <c r="DJ9" s="73"/>
      <c r="DK9" s="73"/>
      <c r="DL9" s="73">
        <f t="shared" si="20"/>
        <v>0</v>
      </c>
      <c r="DM9" s="215">
        <f t="shared" si="21"/>
        <v>52.47</v>
      </c>
      <c r="DN9" s="73" t="str">
        <f t="shared" si="22"/>
        <v/>
      </c>
      <c r="DO9" s="73">
        <f t="shared" si="23"/>
        <v>52.47</v>
      </c>
      <c r="DP9" s="85" t="str">
        <f t="shared" si="24"/>
        <v>AG</v>
      </c>
      <c r="EB9" s="70" t="str">
        <f t="shared" si="25"/>
        <v>KHALDA_WELL</v>
      </c>
      <c r="EC9" s="71">
        <f t="shared" si="4"/>
        <v>46298</v>
      </c>
      <c r="ED9" s="72" t="str">
        <f t="shared" si="26"/>
        <v>AG-13</v>
      </c>
      <c r="EE9" s="73" t="str">
        <f t="shared" si="27"/>
        <v>NO P.CK</v>
      </c>
      <c r="EF9" s="73">
        <f t="shared" si="28"/>
        <v>140</v>
      </c>
      <c r="EG9" s="73">
        <f t="shared" si="29"/>
        <v>24</v>
      </c>
      <c r="EH9" s="73" t="str">
        <f t="shared" si="30"/>
        <v>G/L</v>
      </c>
      <c r="EI9" s="73"/>
      <c r="EJ9" s="72"/>
      <c r="EK9" s="72" t="str">
        <f t="shared" si="31"/>
        <v/>
      </c>
      <c r="EL9" s="73">
        <f t="shared" si="32"/>
        <v>1</v>
      </c>
      <c r="EM9" s="213">
        <f t="shared" si="33"/>
        <v>0</v>
      </c>
      <c r="EN9" s="73"/>
      <c r="EO9" s="73"/>
      <c r="EQ9" s="73">
        <f t="shared" si="34"/>
        <v>0</v>
      </c>
      <c r="ER9" s="73">
        <f t="shared" si="35"/>
        <v>0</v>
      </c>
      <c r="ES9" s="73">
        <f t="shared" si="36"/>
        <v>0</v>
      </c>
      <c r="ET9" s="73">
        <f t="shared" si="37"/>
        <v>0</v>
      </c>
      <c r="EU9" s="73"/>
      <c r="EV9" s="73"/>
      <c r="EX9" s="3">
        <f t="shared" si="38"/>
        <v>0</v>
      </c>
      <c r="EY9" s="73"/>
      <c r="EZ9" s="73">
        <f t="shared" si="39"/>
        <v>0</v>
      </c>
      <c r="FA9" s="73">
        <f t="shared" si="40"/>
        <v>0</v>
      </c>
      <c r="FB9" s="73">
        <f t="shared" si="41"/>
        <v>0</v>
      </c>
      <c r="FC9" s="73"/>
      <c r="FD9" s="73">
        <f t="shared" si="42"/>
        <v>0</v>
      </c>
    </row>
    <row r="10" spans="2:161" s="3" customFormat="1" ht="16.5" customHeight="1">
      <c r="B10" s="316" t="s">
        <v>1272</v>
      </c>
      <c r="C10" s="317" t="s">
        <v>1305</v>
      </c>
      <c r="D10" s="317" t="s">
        <v>18</v>
      </c>
      <c r="E10" s="991">
        <v>0</v>
      </c>
      <c r="F10" s="951">
        <f t="shared" si="3"/>
        <v>0</v>
      </c>
      <c r="G10" s="48"/>
      <c r="H10" s="981">
        <v>0</v>
      </c>
      <c r="I10" s="48" t="s">
        <v>2335</v>
      </c>
      <c r="J10" s="48">
        <v>0</v>
      </c>
      <c r="K10" s="48">
        <v>0</v>
      </c>
      <c r="L10" s="48">
        <v>0</v>
      </c>
      <c r="M10" s="22"/>
      <c r="N10" s="140"/>
      <c r="O10" s="748"/>
      <c r="P10" s="48"/>
      <c r="Q10" s="48"/>
      <c r="R10" s="48"/>
      <c r="S10" s="886"/>
      <c r="T10" s="886"/>
      <c r="U10" s="886"/>
      <c r="V10" s="140"/>
      <c r="W10" s="140"/>
      <c r="X10" s="48"/>
      <c r="Y10" s="140"/>
      <c r="Z10" s="748"/>
      <c r="AA10" s="48"/>
      <c r="AB10" s="48"/>
      <c r="AC10" s="48"/>
      <c r="AD10" s="886"/>
      <c r="AE10" s="886"/>
      <c r="AF10" s="532">
        <f t="shared" si="5"/>
        <v>0</v>
      </c>
      <c r="AG10" s="531">
        <f t="shared" si="6"/>
        <v>0</v>
      </c>
      <c r="AH10" s="304">
        <v>42339</v>
      </c>
      <c r="AI10" s="13">
        <v>2.7</v>
      </c>
      <c r="AJ10" s="15">
        <v>15</v>
      </c>
      <c r="AK10" s="15">
        <v>8.9999999999999993E-3</v>
      </c>
      <c r="AL10" s="13"/>
      <c r="AM10" s="93">
        <f t="shared" si="0"/>
        <v>2.2949999999999999</v>
      </c>
      <c r="AN10" s="522" t="s">
        <v>2096</v>
      </c>
      <c r="AO10" s="213"/>
      <c r="CJ10" s="921">
        <f t="shared" si="7"/>
        <v>0</v>
      </c>
      <c r="CT10" s="35"/>
      <c r="CU10" s="70" t="s">
        <v>1965</v>
      </c>
      <c r="CV10" s="71">
        <f t="shared" si="1"/>
        <v>46298</v>
      </c>
      <c r="CW10" s="72" t="str">
        <f t="shared" si="8"/>
        <v>9AG-14</v>
      </c>
      <c r="CX10" s="73" t="str">
        <f t="shared" si="9"/>
        <v>NO P.CK</v>
      </c>
      <c r="CY10" s="73">
        <f t="shared" si="10"/>
        <v>0</v>
      </c>
      <c r="CZ10" s="73">
        <f t="shared" si="11"/>
        <v>0</v>
      </c>
      <c r="DA10" s="73" t="str">
        <f t="shared" si="12"/>
        <v>SI</v>
      </c>
      <c r="DB10" s="73"/>
      <c r="DC10" s="368">
        <f t="shared" si="13"/>
        <v>0</v>
      </c>
      <c r="DD10" s="73">
        <f t="shared" si="14"/>
        <v>0</v>
      </c>
      <c r="DE10" s="73">
        <f t="shared" si="15"/>
        <v>0</v>
      </c>
      <c r="DF10" s="73">
        <f t="shared" si="16"/>
        <v>0</v>
      </c>
      <c r="DG10" s="73">
        <f t="shared" si="17"/>
        <v>0</v>
      </c>
      <c r="DH10" s="73">
        <f t="shared" si="18"/>
        <v>0</v>
      </c>
      <c r="DI10" s="73">
        <f t="shared" si="19"/>
        <v>0</v>
      </c>
      <c r="DJ10" s="73"/>
      <c r="DK10" s="73"/>
      <c r="DL10" s="73">
        <f t="shared" si="20"/>
        <v>0</v>
      </c>
      <c r="DM10" s="215">
        <f t="shared" si="21"/>
        <v>0</v>
      </c>
      <c r="DN10" s="73" t="str">
        <f t="shared" si="22"/>
        <v/>
      </c>
      <c r="DO10" s="73">
        <f t="shared" si="23"/>
        <v>0</v>
      </c>
      <c r="DP10" s="85" t="str">
        <f t="shared" si="24"/>
        <v/>
      </c>
      <c r="EB10" s="70" t="str">
        <f t="shared" si="25"/>
        <v>KHALDA_WELL</v>
      </c>
      <c r="EC10" s="71">
        <f t="shared" si="4"/>
        <v>46298</v>
      </c>
      <c r="ED10" s="72" t="str">
        <f t="shared" si="26"/>
        <v>AG-14</v>
      </c>
      <c r="EE10" s="73" t="str">
        <f t="shared" si="27"/>
        <v>NO P.CK</v>
      </c>
      <c r="EF10" s="73">
        <f t="shared" si="28"/>
        <v>0</v>
      </c>
      <c r="EG10" s="73">
        <f t="shared" si="29"/>
        <v>0</v>
      </c>
      <c r="EH10" s="73" t="str">
        <f t="shared" si="30"/>
        <v>SI</v>
      </c>
      <c r="EI10" s="73"/>
      <c r="EJ10" s="72"/>
      <c r="EK10" s="72" t="str">
        <f t="shared" si="31"/>
        <v/>
      </c>
      <c r="EL10" s="73">
        <f t="shared" si="32"/>
        <v>15</v>
      </c>
      <c r="EM10" s="213">
        <f t="shared" si="33"/>
        <v>0</v>
      </c>
      <c r="EN10" s="73"/>
      <c r="EO10" s="73"/>
      <c r="EQ10" s="73">
        <f t="shared" si="34"/>
        <v>0</v>
      </c>
      <c r="ER10" s="73">
        <f t="shared" si="35"/>
        <v>0</v>
      </c>
      <c r="ES10" s="73">
        <f t="shared" si="36"/>
        <v>0</v>
      </c>
      <c r="ET10" s="73">
        <f t="shared" si="37"/>
        <v>0</v>
      </c>
      <c r="EU10" s="73"/>
      <c r="EV10" s="73"/>
      <c r="EX10" s="3">
        <f t="shared" si="38"/>
        <v>0</v>
      </c>
      <c r="EY10" s="73"/>
      <c r="EZ10" s="73">
        <f t="shared" si="39"/>
        <v>0</v>
      </c>
      <c r="FA10" s="73">
        <f t="shared" si="40"/>
        <v>0</v>
      </c>
      <c r="FB10" s="73">
        <f t="shared" si="41"/>
        <v>0</v>
      </c>
      <c r="FC10" s="73"/>
      <c r="FD10" s="73" t="str">
        <f t="shared" si="42"/>
        <v xml:space="preserve">Circulation gas </v>
      </c>
    </row>
    <row r="11" spans="2:161" s="3" customFormat="1" ht="16.5" customHeight="1">
      <c r="B11" s="316" t="s">
        <v>1628</v>
      </c>
      <c r="C11" s="317" t="s">
        <v>2180</v>
      </c>
      <c r="D11" s="317" t="s">
        <v>18</v>
      </c>
      <c r="E11" s="991">
        <v>0</v>
      </c>
      <c r="F11" s="951">
        <f t="shared" si="3"/>
        <v>0</v>
      </c>
      <c r="G11" s="48"/>
      <c r="H11" s="981">
        <v>0</v>
      </c>
      <c r="I11" s="48" t="s">
        <v>2335</v>
      </c>
      <c r="J11" s="48">
        <v>0</v>
      </c>
      <c r="K11" s="48">
        <v>0</v>
      </c>
      <c r="L11" s="48">
        <v>0</v>
      </c>
      <c r="M11" s="22"/>
      <c r="N11" s="140"/>
      <c r="O11" s="748"/>
      <c r="P11" s="48"/>
      <c r="Q11" s="48"/>
      <c r="R11" s="48"/>
      <c r="S11" s="886"/>
      <c r="T11" s="886"/>
      <c r="U11" s="886"/>
      <c r="V11" s="140"/>
      <c r="W11" s="140"/>
      <c r="X11" s="48"/>
      <c r="Y11" s="140"/>
      <c r="Z11" s="748"/>
      <c r="AA11" s="48"/>
      <c r="AB11" s="48"/>
      <c r="AC11" s="48"/>
      <c r="AD11" s="886"/>
      <c r="AE11" s="886"/>
      <c r="AF11" s="532">
        <f t="shared" si="5"/>
        <v>0</v>
      </c>
      <c r="AG11" s="531">
        <f t="shared" si="6"/>
        <v>0</v>
      </c>
      <c r="AH11" s="304">
        <v>46209</v>
      </c>
      <c r="AI11" s="13">
        <v>0</v>
      </c>
      <c r="AJ11" s="15"/>
      <c r="AK11" s="15">
        <v>0.28600000000000003</v>
      </c>
      <c r="AL11" s="13"/>
      <c r="AM11" s="93">
        <f t="shared" si="0"/>
        <v>0</v>
      </c>
      <c r="AN11" s="687"/>
      <c r="AO11" s="213"/>
      <c r="CJ11" s="921">
        <f t="shared" si="7"/>
        <v>0</v>
      </c>
      <c r="CT11" s="35"/>
      <c r="CU11" s="70" t="s">
        <v>1966</v>
      </c>
      <c r="CV11" s="71">
        <f t="shared" si="1"/>
        <v>46298</v>
      </c>
      <c r="CW11" s="72" t="str">
        <f t="shared" si="8"/>
        <v>9AG-15</v>
      </c>
      <c r="CX11" s="73" t="str">
        <f t="shared" si="9"/>
        <v>NO P.CK</v>
      </c>
      <c r="CY11" s="73">
        <f t="shared" si="10"/>
        <v>0</v>
      </c>
      <c r="CZ11" s="73">
        <f t="shared" si="11"/>
        <v>0</v>
      </c>
      <c r="DA11" s="73" t="str">
        <f t="shared" si="12"/>
        <v>SI</v>
      </c>
      <c r="DB11" s="73"/>
      <c r="DC11" s="368">
        <f t="shared" si="13"/>
        <v>0</v>
      </c>
      <c r="DD11" s="73">
        <f t="shared" si="14"/>
        <v>0</v>
      </c>
      <c r="DE11" s="73">
        <f t="shared" si="15"/>
        <v>0</v>
      </c>
      <c r="DF11" s="73">
        <f t="shared" si="16"/>
        <v>0</v>
      </c>
      <c r="DG11" s="73">
        <f t="shared" si="17"/>
        <v>0</v>
      </c>
      <c r="DH11" s="73">
        <f t="shared" si="18"/>
        <v>0</v>
      </c>
      <c r="DI11" s="73">
        <f t="shared" si="19"/>
        <v>0</v>
      </c>
      <c r="DJ11" s="73"/>
      <c r="DK11" s="73"/>
      <c r="DL11" s="73">
        <f t="shared" si="20"/>
        <v>0</v>
      </c>
      <c r="DM11" s="215">
        <f t="shared" si="21"/>
        <v>0</v>
      </c>
      <c r="DN11" s="73" t="str">
        <f t="shared" si="22"/>
        <v/>
      </c>
      <c r="DO11" s="73">
        <f t="shared" si="23"/>
        <v>0</v>
      </c>
      <c r="DP11" s="85" t="str">
        <f t="shared" si="24"/>
        <v/>
      </c>
      <c r="EB11" s="70" t="str">
        <f t="shared" si="25"/>
        <v>KHALDA_WELL</v>
      </c>
      <c r="EC11" s="71">
        <f t="shared" si="4"/>
        <v>46298</v>
      </c>
      <c r="ED11" s="72" t="str">
        <f t="shared" si="26"/>
        <v>AG-15</v>
      </c>
      <c r="EE11" s="73" t="str">
        <f t="shared" si="27"/>
        <v>NO P.CK</v>
      </c>
      <c r="EF11" s="73">
        <f t="shared" si="28"/>
        <v>0</v>
      </c>
      <c r="EG11" s="73">
        <f t="shared" si="29"/>
        <v>0</v>
      </c>
      <c r="EH11" s="73" t="str">
        <f t="shared" si="30"/>
        <v>SI</v>
      </c>
      <c r="EI11" s="73"/>
      <c r="EJ11" s="72"/>
      <c r="EK11" s="72" t="str">
        <f t="shared" si="31"/>
        <v/>
      </c>
      <c r="EL11" s="73">
        <f t="shared" si="32"/>
        <v>0</v>
      </c>
      <c r="EM11" s="213">
        <f t="shared" si="33"/>
        <v>0</v>
      </c>
      <c r="EN11" s="73"/>
      <c r="EO11" s="73"/>
      <c r="EQ11" s="73">
        <f t="shared" si="34"/>
        <v>0</v>
      </c>
      <c r="ER11" s="73">
        <f t="shared" si="35"/>
        <v>0</v>
      </c>
      <c r="ES11" s="73">
        <f t="shared" si="36"/>
        <v>0</v>
      </c>
      <c r="ET11" s="73">
        <f t="shared" si="37"/>
        <v>0</v>
      </c>
      <c r="EU11" s="73"/>
      <c r="EV11" s="73"/>
      <c r="EX11" s="3">
        <f t="shared" si="38"/>
        <v>0</v>
      </c>
      <c r="EY11" s="73"/>
      <c r="EZ11" s="73">
        <f t="shared" si="39"/>
        <v>0</v>
      </c>
      <c r="FA11" s="73">
        <f t="shared" si="40"/>
        <v>0</v>
      </c>
      <c r="FB11" s="73">
        <f t="shared" si="41"/>
        <v>0</v>
      </c>
      <c r="FC11" s="73"/>
      <c r="FD11" s="73">
        <f t="shared" si="42"/>
        <v>0</v>
      </c>
    </row>
    <row r="12" spans="2:161" s="3" customFormat="1" ht="16.5" customHeight="1">
      <c r="B12" s="316" t="s">
        <v>1443</v>
      </c>
      <c r="C12" s="317" t="s">
        <v>272</v>
      </c>
      <c r="D12" s="317" t="s">
        <v>18</v>
      </c>
      <c r="E12" s="991">
        <v>0</v>
      </c>
      <c r="F12" s="951">
        <f t="shared" si="3"/>
        <v>0</v>
      </c>
      <c r="G12" s="48"/>
      <c r="H12" s="981"/>
      <c r="I12" s="48" t="s">
        <v>255</v>
      </c>
      <c r="J12" s="48">
        <v>0</v>
      </c>
      <c r="K12" s="48">
        <v>0</v>
      </c>
      <c r="L12" s="48">
        <v>0</v>
      </c>
      <c r="M12" s="22"/>
      <c r="N12" s="140"/>
      <c r="O12" s="748"/>
      <c r="P12" s="48"/>
      <c r="Q12" s="48"/>
      <c r="R12" s="48"/>
      <c r="S12" s="886"/>
      <c r="T12" s="886"/>
      <c r="U12" s="886"/>
      <c r="V12" s="140"/>
      <c r="W12" s="140"/>
      <c r="X12" s="48"/>
      <c r="Y12" s="140"/>
      <c r="Z12" s="748"/>
      <c r="AA12" s="48"/>
      <c r="AB12" s="48"/>
      <c r="AC12" s="48"/>
      <c r="AD12" s="886"/>
      <c r="AE12" s="886"/>
      <c r="AF12" s="532">
        <f>AK12/24*E12</f>
        <v>0</v>
      </c>
      <c r="AG12" s="531">
        <f t="shared" si="6"/>
        <v>0</v>
      </c>
      <c r="AH12" s="304">
        <v>44871</v>
      </c>
      <c r="AI12" s="13">
        <v>64</v>
      </c>
      <c r="AJ12" s="15">
        <v>38</v>
      </c>
      <c r="AK12" s="15">
        <v>0</v>
      </c>
      <c r="AL12" s="13"/>
      <c r="AM12" s="93">
        <f t="shared" si="0"/>
        <v>39.68</v>
      </c>
      <c r="AN12" s="522"/>
      <c r="AO12" s="213"/>
      <c r="CJ12" s="921">
        <f t="shared" si="7"/>
        <v>0</v>
      </c>
      <c r="CT12" s="35"/>
      <c r="CU12" s="70" t="s">
        <v>1967</v>
      </c>
      <c r="CV12" s="71">
        <f t="shared" si="1"/>
        <v>46298</v>
      </c>
      <c r="CW12" s="72" t="str">
        <f t="shared" si="8"/>
        <v>9AG-16A</v>
      </c>
      <c r="CX12" s="73" t="str">
        <f t="shared" si="9"/>
        <v>OPEN</v>
      </c>
      <c r="CY12" s="73">
        <f t="shared" si="10"/>
        <v>0</v>
      </c>
      <c r="CZ12" s="73">
        <f t="shared" si="11"/>
        <v>0</v>
      </c>
      <c r="DA12" s="73" t="str">
        <f t="shared" si="12"/>
        <v>SI</v>
      </c>
      <c r="DB12" s="73"/>
      <c r="DC12" s="368">
        <f t="shared" si="13"/>
        <v>0</v>
      </c>
      <c r="DD12" s="73">
        <f t="shared" si="14"/>
        <v>0</v>
      </c>
      <c r="DE12" s="73">
        <f t="shared" si="15"/>
        <v>0</v>
      </c>
      <c r="DF12" s="73">
        <f t="shared" si="16"/>
        <v>0</v>
      </c>
      <c r="DG12" s="73">
        <f t="shared" si="17"/>
        <v>0</v>
      </c>
      <c r="DH12" s="73">
        <f t="shared" si="18"/>
        <v>0</v>
      </c>
      <c r="DI12" s="73">
        <f t="shared" si="19"/>
        <v>0</v>
      </c>
      <c r="DJ12" s="73"/>
      <c r="DK12" s="73"/>
      <c r="DL12" s="73">
        <f t="shared" si="20"/>
        <v>0</v>
      </c>
      <c r="DM12" s="215">
        <f t="shared" si="21"/>
        <v>0</v>
      </c>
      <c r="DN12" s="73" t="str">
        <f t="shared" si="22"/>
        <v/>
      </c>
      <c r="DO12" s="73">
        <f t="shared" si="23"/>
        <v>0</v>
      </c>
      <c r="DP12" s="85" t="str">
        <f t="shared" si="24"/>
        <v/>
      </c>
      <c r="EB12" s="70" t="str">
        <f t="shared" si="25"/>
        <v>KHALDA_WELL</v>
      </c>
      <c r="EC12" s="71">
        <f t="shared" si="4"/>
        <v>46298</v>
      </c>
      <c r="ED12" s="72" t="str">
        <f t="shared" si="26"/>
        <v>AG-16A</v>
      </c>
      <c r="EE12" s="73" t="str">
        <f t="shared" si="27"/>
        <v>OPEN</v>
      </c>
      <c r="EF12" s="73">
        <f t="shared" si="28"/>
        <v>0</v>
      </c>
      <c r="EG12" s="73">
        <f t="shared" si="29"/>
        <v>0</v>
      </c>
      <c r="EH12" s="73" t="str">
        <f t="shared" si="30"/>
        <v>SI</v>
      </c>
      <c r="EI12" s="73"/>
      <c r="EJ12" s="72"/>
      <c r="EK12" s="72" t="str">
        <f t="shared" si="31"/>
        <v/>
      </c>
      <c r="EL12" s="73">
        <f t="shared" si="32"/>
        <v>38</v>
      </c>
      <c r="EM12" s="213">
        <f t="shared" si="33"/>
        <v>0</v>
      </c>
      <c r="EN12" s="73"/>
      <c r="EO12" s="73"/>
      <c r="EQ12" s="73">
        <f t="shared" si="34"/>
        <v>0</v>
      </c>
      <c r="ER12" s="73">
        <f t="shared" si="35"/>
        <v>0</v>
      </c>
      <c r="ES12" s="73">
        <f t="shared" si="36"/>
        <v>0</v>
      </c>
      <c r="ET12" s="73">
        <f t="shared" si="37"/>
        <v>0</v>
      </c>
      <c r="EU12" s="73"/>
      <c r="EV12" s="73"/>
      <c r="EX12" s="3">
        <f t="shared" si="38"/>
        <v>0</v>
      </c>
      <c r="EY12" s="73"/>
      <c r="EZ12" s="73">
        <f t="shared" si="39"/>
        <v>0</v>
      </c>
      <c r="FA12" s="73">
        <f t="shared" si="40"/>
        <v>0</v>
      </c>
      <c r="FB12" s="73">
        <f t="shared" si="41"/>
        <v>0</v>
      </c>
      <c r="FC12" s="73"/>
      <c r="FD12" s="73">
        <f t="shared" si="42"/>
        <v>0</v>
      </c>
    </row>
    <row r="13" spans="2:161" s="3" customFormat="1" ht="16.5" customHeight="1">
      <c r="B13" s="316" t="s">
        <v>1631</v>
      </c>
      <c r="C13" s="317" t="s">
        <v>272</v>
      </c>
      <c r="D13" s="317" t="s">
        <v>1301</v>
      </c>
      <c r="E13" s="991">
        <v>21</v>
      </c>
      <c r="F13" s="951">
        <f t="shared" si="3"/>
        <v>5.6924999999999999</v>
      </c>
      <c r="G13" s="48" t="s">
        <v>2598</v>
      </c>
      <c r="H13" s="981">
        <v>0.75</v>
      </c>
      <c r="I13" s="48" t="s">
        <v>2335</v>
      </c>
      <c r="J13" s="48">
        <v>70</v>
      </c>
      <c r="K13" s="48">
        <v>70</v>
      </c>
      <c r="L13" s="48">
        <v>504</v>
      </c>
      <c r="M13" s="22"/>
      <c r="N13" s="140"/>
      <c r="O13" s="748"/>
      <c r="P13" s="48"/>
      <c r="Q13" s="48"/>
      <c r="R13" s="48"/>
      <c r="S13" s="886"/>
      <c r="T13" s="886"/>
      <c r="U13" s="886"/>
      <c r="V13" s="140"/>
      <c r="W13" s="140"/>
      <c r="X13" s="48"/>
      <c r="Y13" s="140"/>
      <c r="Z13" s="748"/>
      <c r="AA13" s="48"/>
      <c r="AB13" s="48"/>
      <c r="AC13" s="48"/>
      <c r="AD13" s="886"/>
      <c r="AE13" s="886"/>
      <c r="AF13" s="532">
        <f>AK13/24*E13</f>
        <v>3.2375000000000029E-2</v>
      </c>
      <c r="AG13" s="531">
        <f t="shared" si="6"/>
        <v>39.847499999999997</v>
      </c>
      <c r="AH13" s="304">
        <v>46170</v>
      </c>
      <c r="AI13" s="13">
        <v>46</v>
      </c>
      <c r="AJ13" s="15">
        <v>1</v>
      </c>
      <c r="AK13" s="15">
        <v>3.7000000000000033E-2</v>
      </c>
      <c r="AL13" s="13"/>
      <c r="AM13" s="93">
        <f t="shared" si="0"/>
        <v>45.54</v>
      </c>
      <c r="AN13" s="522"/>
      <c r="AO13" s="213"/>
      <c r="CJ13" s="921">
        <f t="shared" si="7"/>
        <v>0.46</v>
      </c>
      <c r="CT13" s="35"/>
      <c r="CU13" s="70" t="s">
        <v>2191</v>
      </c>
      <c r="CV13" s="71">
        <f t="shared" si="1"/>
        <v>46298</v>
      </c>
      <c r="CW13" s="72" t="str">
        <f>$CT$3&amp;B13</f>
        <v>9AG-21</v>
      </c>
      <c r="CX13" s="73" t="str">
        <f>I13</f>
        <v>NO P.CK</v>
      </c>
      <c r="CY13" s="73">
        <f>J13</f>
        <v>70</v>
      </c>
      <c r="CZ13" s="73">
        <f>E13</f>
        <v>21</v>
      </c>
      <c r="DA13" s="73" t="str">
        <f>IF(CZ13=0,"SI",D13)</f>
        <v>G/L</v>
      </c>
      <c r="DB13" s="73"/>
      <c r="DC13" s="368">
        <f>E13*((H13*1000)/24)</f>
        <v>656.25</v>
      </c>
      <c r="DD13" s="73">
        <f>N13</f>
        <v>0</v>
      </c>
      <c r="DE13" s="73">
        <f>V13</f>
        <v>0</v>
      </c>
      <c r="DF13" s="73">
        <f>W13</f>
        <v>0</v>
      </c>
      <c r="DG13" s="73">
        <f>X13</f>
        <v>0</v>
      </c>
      <c r="DH13" s="73">
        <f>Z13</f>
        <v>0</v>
      </c>
      <c r="DI13" s="73">
        <f>AD13</f>
        <v>0</v>
      </c>
      <c r="DJ13" s="73"/>
      <c r="DK13" s="73"/>
      <c r="DL13" s="73">
        <f>AE13</f>
        <v>0</v>
      </c>
      <c r="DM13" s="215">
        <f>AG13</f>
        <v>39.847499999999997</v>
      </c>
      <c r="DN13" s="73" t="str">
        <f>IF(G83="","",G83)</f>
        <v/>
      </c>
      <c r="DO13" s="73">
        <f>AM13/24*HOURS</f>
        <v>39.847499999999997</v>
      </c>
      <c r="DP13" s="85" t="str">
        <f>IF(OR(D13="SI",B13="",D13="T&amp;A"),"",VLOOKUP(B13,WELL_FIELD,2))</f>
        <v>AG</v>
      </c>
      <c r="EB13" s="70" t="str">
        <f t="shared" si="25"/>
        <v>KHALDA_WELL</v>
      </c>
      <c r="EC13" s="71">
        <f t="shared" si="4"/>
        <v>46298</v>
      </c>
      <c r="ED13" s="72" t="str">
        <f t="shared" si="26"/>
        <v>AG-21</v>
      </c>
      <c r="EE13" s="73" t="str">
        <f t="shared" si="27"/>
        <v>NO P.CK</v>
      </c>
      <c r="EF13" s="73">
        <f t="shared" si="28"/>
        <v>70</v>
      </c>
      <c r="EG13" s="73">
        <f t="shared" si="29"/>
        <v>21</v>
      </c>
      <c r="EH13" s="73" t="str">
        <f t="shared" si="30"/>
        <v>G/L</v>
      </c>
      <c r="EI13" s="73"/>
      <c r="EJ13" s="72"/>
      <c r="EK13" s="72" t="str">
        <f t="shared" si="31"/>
        <v>Wireline Intervention - Gauging</v>
      </c>
      <c r="EL13" s="73">
        <f t="shared" si="32"/>
        <v>1</v>
      </c>
      <c r="EM13" s="213">
        <f t="shared" si="33"/>
        <v>0</v>
      </c>
      <c r="EN13" s="73"/>
      <c r="EO13" s="73"/>
      <c r="EQ13" s="73">
        <f t="shared" si="34"/>
        <v>0</v>
      </c>
      <c r="ER13" s="73">
        <f t="shared" si="35"/>
        <v>0</v>
      </c>
      <c r="ES13" s="73">
        <f t="shared" si="36"/>
        <v>0</v>
      </c>
      <c r="ET13" s="73">
        <f t="shared" si="37"/>
        <v>0</v>
      </c>
      <c r="EU13" s="73"/>
      <c r="EV13" s="73"/>
      <c r="EX13" s="3">
        <f t="shared" si="38"/>
        <v>0</v>
      </c>
      <c r="EY13" s="73"/>
      <c r="EZ13" s="73">
        <f t="shared" si="39"/>
        <v>0</v>
      </c>
      <c r="FA13" s="73">
        <f t="shared" si="40"/>
        <v>0</v>
      </c>
      <c r="FB13" s="73">
        <f t="shared" si="41"/>
        <v>0</v>
      </c>
      <c r="FC13" s="73"/>
      <c r="FD13" s="73">
        <f t="shared" si="42"/>
        <v>0</v>
      </c>
    </row>
    <row r="14" spans="2:161" s="3" customFormat="1" ht="16.5" customHeight="1">
      <c r="B14" s="316" t="s">
        <v>1445</v>
      </c>
      <c r="C14" s="317" t="s">
        <v>272</v>
      </c>
      <c r="D14" s="317" t="s">
        <v>18</v>
      </c>
      <c r="E14" s="991">
        <v>0</v>
      </c>
      <c r="F14" s="951">
        <f t="shared" si="3"/>
        <v>0</v>
      </c>
      <c r="G14" s="48"/>
      <c r="H14" s="981"/>
      <c r="I14" s="48">
        <v>38</v>
      </c>
      <c r="J14" s="48">
        <v>710</v>
      </c>
      <c r="K14" s="48">
        <v>170</v>
      </c>
      <c r="L14" s="48">
        <v>0</v>
      </c>
      <c r="M14" s="22"/>
      <c r="N14" s="140"/>
      <c r="O14" s="748"/>
      <c r="P14" s="48"/>
      <c r="Q14" s="48"/>
      <c r="R14" s="48"/>
      <c r="S14" s="886"/>
      <c r="T14" s="886"/>
      <c r="U14" s="886"/>
      <c r="V14" s="140"/>
      <c r="W14" s="140"/>
      <c r="X14" s="48"/>
      <c r="Y14" s="140"/>
      <c r="Z14" s="748"/>
      <c r="AA14" s="48"/>
      <c r="AB14" s="48"/>
      <c r="AC14" s="48"/>
      <c r="AD14" s="886"/>
      <c r="AE14" s="886"/>
      <c r="AF14" s="532">
        <f>AK14/24*E14</f>
        <v>0</v>
      </c>
      <c r="AG14" s="531">
        <f>AM14/24*E14</f>
        <v>0</v>
      </c>
      <c r="AH14" s="304">
        <v>44720</v>
      </c>
      <c r="AI14" s="13">
        <v>224</v>
      </c>
      <c r="AJ14" s="15">
        <v>99</v>
      </c>
      <c r="AK14" s="15">
        <v>1.8240000000000001</v>
      </c>
      <c r="AL14" s="13"/>
      <c r="AM14" s="93">
        <f t="shared" si="0"/>
        <v>2.240000000000002</v>
      </c>
      <c r="AN14" s="522"/>
      <c r="AO14" s="213"/>
      <c r="CJ14" s="921">
        <f t="shared" si="7"/>
        <v>0</v>
      </c>
      <c r="CT14" s="35"/>
      <c r="CU14" s="70" t="s">
        <v>2191</v>
      </c>
      <c r="CV14" s="71">
        <f t="shared" si="1"/>
        <v>46298</v>
      </c>
      <c r="CW14" s="72" t="str">
        <f t="shared" si="8"/>
        <v>9AG-22</v>
      </c>
      <c r="CX14" s="73">
        <f t="shared" si="9"/>
        <v>38</v>
      </c>
      <c r="CY14" s="73">
        <f t="shared" si="10"/>
        <v>710</v>
      </c>
      <c r="CZ14" s="73">
        <f t="shared" si="11"/>
        <v>0</v>
      </c>
      <c r="DA14" s="73" t="str">
        <f t="shared" si="12"/>
        <v>SI</v>
      </c>
      <c r="DB14" s="73"/>
      <c r="DC14" s="368">
        <f t="shared" si="13"/>
        <v>0</v>
      </c>
      <c r="DD14" s="73">
        <f t="shared" si="14"/>
        <v>0</v>
      </c>
      <c r="DE14" s="73">
        <f t="shared" si="15"/>
        <v>0</v>
      </c>
      <c r="DF14" s="73">
        <f t="shared" si="16"/>
        <v>0</v>
      </c>
      <c r="DG14" s="73">
        <f t="shared" si="17"/>
        <v>0</v>
      </c>
      <c r="DH14" s="73">
        <f t="shared" si="18"/>
        <v>0</v>
      </c>
      <c r="DI14" s="73">
        <f t="shared" si="19"/>
        <v>0</v>
      </c>
      <c r="DJ14" s="73"/>
      <c r="DK14" s="73"/>
      <c r="DL14" s="73">
        <f t="shared" si="20"/>
        <v>0</v>
      </c>
      <c r="DM14" s="215">
        <f t="shared" si="21"/>
        <v>0</v>
      </c>
      <c r="DN14" s="73" t="str">
        <f>IF(G86="","",G86)</f>
        <v/>
      </c>
      <c r="DO14" s="73">
        <f t="shared" si="23"/>
        <v>0</v>
      </c>
      <c r="DP14" s="85" t="str">
        <f t="shared" si="24"/>
        <v/>
      </c>
      <c r="EB14" s="70" t="str">
        <f t="shared" si="25"/>
        <v>KHALDA_WELL</v>
      </c>
      <c r="EC14" s="71">
        <f t="shared" si="4"/>
        <v>46298</v>
      </c>
      <c r="ED14" s="72" t="str">
        <f t="shared" si="26"/>
        <v>AG-22</v>
      </c>
      <c r="EE14" s="73">
        <f t="shared" si="27"/>
        <v>38</v>
      </c>
      <c r="EF14" s="73">
        <f t="shared" si="28"/>
        <v>710</v>
      </c>
      <c r="EG14" s="73">
        <f t="shared" si="29"/>
        <v>0</v>
      </c>
      <c r="EH14" s="73" t="str">
        <f t="shared" si="30"/>
        <v>SI</v>
      </c>
      <c r="EI14" s="73"/>
      <c r="EJ14" s="72"/>
      <c r="EK14" s="72" t="str">
        <f t="shared" si="31"/>
        <v/>
      </c>
      <c r="EL14" s="73">
        <f t="shared" si="32"/>
        <v>99</v>
      </c>
      <c r="EM14" s="213">
        <f t="shared" si="33"/>
        <v>0</v>
      </c>
      <c r="EN14" s="73"/>
      <c r="EO14" s="73"/>
      <c r="EQ14" s="73">
        <f t="shared" si="34"/>
        <v>0</v>
      </c>
      <c r="ER14" s="73">
        <f t="shared" si="35"/>
        <v>0</v>
      </c>
      <c r="ES14" s="73">
        <f t="shared" si="36"/>
        <v>0</v>
      </c>
      <c r="ET14" s="73">
        <f t="shared" si="37"/>
        <v>0</v>
      </c>
      <c r="EU14" s="73"/>
      <c r="EV14" s="73"/>
      <c r="EX14" s="3">
        <f t="shared" si="38"/>
        <v>0</v>
      </c>
      <c r="EY14" s="73"/>
      <c r="EZ14" s="73">
        <f t="shared" si="39"/>
        <v>0</v>
      </c>
      <c r="FA14" s="73">
        <f t="shared" si="40"/>
        <v>0</v>
      </c>
      <c r="FB14" s="73">
        <f t="shared" si="41"/>
        <v>0</v>
      </c>
      <c r="FC14" s="73"/>
      <c r="FD14" s="73">
        <f t="shared" si="42"/>
        <v>0</v>
      </c>
    </row>
    <row r="15" spans="2:161" s="3" customFormat="1" ht="16.5" customHeight="1">
      <c r="B15" s="316" t="s">
        <v>1273</v>
      </c>
      <c r="C15" s="317" t="s">
        <v>1315</v>
      </c>
      <c r="D15" s="317" t="s">
        <v>286</v>
      </c>
      <c r="E15" s="991">
        <v>12</v>
      </c>
      <c r="F15" s="951">
        <f t="shared" si="3"/>
        <v>0</v>
      </c>
      <c r="G15" s="48" t="s">
        <v>2516</v>
      </c>
      <c r="H15" s="981"/>
      <c r="I15" s="48" t="s">
        <v>2335</v>
      </c>
      <c r="J15" s="48">
        <v>130</v>
      </c>
      <c r="K15" s="48">
        <v>130</v>
      </c>
      <c r="L15" s="48">
        <v>0</v>
      </c>
      <c r="M15" s="22"/>
      <c r="N15" s="140"/>
      <c r="O15" s="748"/>
      <c r="P15" s="48"/>
      <c r="Q15" s="48"/>
      <c r="R15" s="48"/>
      <c r="S15" s="886"/>
      <c r="T15" s="886"/>
      <c r="U15" s="886"/>
      <c r="V15" s="140"/>
      <c r="W15" s="140"/>
      <c r="X15" s="48"/>
      <c r="Y15" s="140"/>
      <c r="Z15" s="748"/>
      <c r="AA15" s="48"/>
      <c r="AB15" s="48"/>
      <c r="AC15" s="48"/>
      <c r="AD15" s="886"/>
      <c r="AE15" s="886"/>
      <c r="AF15" s="532">
        <f t="shared" si="5"/>
        <v>0.06</v>
      </c>
      <c r="AG15" s="531">
        <f t="shared" si="6"/>
        <v>0</v>
      </c>
      <c r="AH15" s="304">
        <v>43779</v>
      </c>
      <c r="AI15" s="13">
        <v>0</v>
      </c>
      <c r="AJ15" s="15">
        <v>0</v>
      </c>
      <c r="AK15" s="15">
        <v>0.12</v>
      </c>
      <c r="AL15" s="13"/>
      <c r="AM15" s="93">
        <f t="shared" si="0"/>
        <v>0</v>
      </c>
      <c r="AN15" s="148"/>
      <c r="AO15" s="213"/>
      <c r="CJ15" s="921">
        <f t="shared" si="7"/>
        <v>0</v>
      </c>
      <c r="CT15" s="35"/>
      <c r="CU15" s="70" t="s">
        <v>2074</v>
      </c>
      <c r="CV15" s="71">
        <f t="shared" si="1"/>
        <v>46298</v>
      </c>
      <c r="CW15" s="72" t="str">
        <f t="shared" si="8"/>
        <v>9AG-24</v>
      </c>
      <c r="CX15" s="73" t="str">
        <f t="shared" si="9"/>
        <v>NO P.CK</v>
      </c>
      <c r="CY15" s="73">
        <f t="shared" si="10"/>
        <v>130</v>
      </c>
      <c r="CZ15" s="73">
        <f t="shared" si="11"/>
        <v>12</v>
      </c>
      <c r="DA15" s="73" t="str">
        <f t="shared" si="12"/>
        <v>NF</v>
      </c>
      <c r="DB15" s="73"/>
      <c r="DC15" s="368">
        <f t="shared" si="13"/>
        <v>0</v>
      </c>
      <c r="DD15" s="73">
        <f t="shared" si="14"/>
        <v>0</v>
      </c>
      <c r="DE15" s="73">
        <f t="shared" si="15"/>
        <v>0</v>
      </c>
      <c r="DF15" s="73">
        <f t="shared" si="16"/>
        <v>0</v>
      </c>
      <c r="DG15" s="73">
        <f t="shared" si="17"/>
        <v>0</v>
      </c>
      <c r="DH15" s="73">
        <f t="shared" si="18"/>
        <v>0</v>
      </c>
      <c r="DI15" s="73">
        <f t="shared" si="19"/>
        <v>0</v>
      </c>
      <c r="DJ15" s="73"/>
      <c r="DK15" s="73"/>
      <c r="DL15" s="73">
        <f t="shared" si="20"/>
        <v>0</v>
      </c>
      <c r="DM15" s="215">
        <f t="shared" si="21"/>
        <v>0</v>
      </c>
      <c r="DN15" s="73" t="str">
        <f>IF(G87="","",G87)</f>
        <v/>
      </c>
      <c r="DO15" s="73">
        <f t="shared" si="23"/>
        <v>0</v>
      </c>
      <c r="DP15" s="85" t="str">
        <f t="shared" si="24"/>
        <v>AG</v>
      </c>
      <c r="EB15" s="70" t="str">
        <f t="shared" si="25"/>
        <v>KHALDA_WELL</v>
      </c>
      <c r="EC15" s="71">
        <f t="shared" si="4"/>
        <v>46298</v>
      </c>
      <c r="ED15" s="72" t="str">
        <f t="shared" si="26"/>
        <v>AG-24</v>
      </c>
      <c r="EE15" s="73" t="str">
        <f t="shared" si="27"/>
        <v>NO P.CK</v>
      </c>
      <c r="EF15" s="73">
        <f t="shared" si="28"/>
        <v>130</v>
      </c>
      <c r="EG15" s="73">
        <f t="shared" si="29"/>
        <v>12</v>
      </c>
      <c r="EH15" s="73" t="str">
        <f t="shared" si="30"/>
        <v>NF</v>
      </c>
      <c r="EI15" s="73"/>
      <c r="EJ15" s="72"/>
      <c r="EK15" s="72" t="str">
        <f t="shared" si="31"/>
        <v>Low Reservoir Pressure/Depleted</v>
      </c>
      <c r="EL15" s="73">
        <f t="shared" si="32"/>
        <v>0</v>
      </c>
      <c r="EM15" s="213">
        <f t="shared" si="33"/>
        <v>0</v>
      </c>
      <c r="EN15" s="73"/>
      <c r="EO15" s="73"/>
      <c r="EQ15" s="73">
        <f t="shared" si="34"/>
        <v>0</v>
      </c>
      <c r="ER15" s="73">
        <f t="shared" si="35"/>
        <v>0</v>
      </c>
      <c r="ES15" s="73">
        <f t="shared" si="36"/>
        <v>0</v>
      </c>
      <c r="ET15" s="73">
        <f t="shared" si="37"/>
        <v>0</v>
      </c>
      <c r="EU15" s="73"/>
      <c r="EV15" s="73"/>
      <c r="EX15" s="3">
        <f t="shared" si="38"/>
        <v>0</v>
      </c>
      <c r="EY15" s="73"/>
      <c r="EZ15" s="73">
        <f t="shared" si="39"/>
        <v>0</v>
      </c>
      <c r="FA15" s="73">
        <f t="shared" si="40"/>
        <v>0</v>
      </c>
      <c r="FB15" s="73">
        <f t="shared" si="41"/>
        <v>0</v>
      </c>
      <c r="FC15" s="73"/>
      <c r="FD15" s="73">
        <f t="shared" si="42"/>
        <v>0</v>
      </c>
    </row>
    <row r="16" spans="2:161" s="3" customFormat="1" ht="16.5" customHeight="1">
      <c r="B16" s="316" t="s">
        <v>1306</v>
      </c>
      <c r="C16" s="317" t="s">
        <v>272</v>
      </c>
      <c r="D16" s="317" t="s">
        <v>18</v>
      </c>
      <c r="E16" s="991">
        <v>0</v>
      </c>
      <c r="F16" s="951">
        <f t="shared" si="3"/>
        <v>0</v>
      </c>
      <c r="G16" s="48"/>
      <c r="H16" s="981">
        <v>0</v>
      </c>
      <c r="I16" s="48" t="s">
        <v>2335</v>
      </c>
      <c r="J16" s="48">
        <v>0</v>
      </c>
      <c r="K16" s="48">
        <v>0</v>
      </c>
      <c r="L16" s="48">
        <v>0</v>
      </c>
      <c r="M16" s="22"/>
      <c r="N16" s="140"/>
      <c r="O16" s="748"/>
      <c r="P16" s="48"/>
      <c r="Q16" s="48"/>
      <c r="R16" s="48"/>
      <c r="S16" s="886"/>
      <c r="T16" s="886"/>
      <c r="U16" s="886"/>
      <c r="V16" s="140"/>
      <c r="W16" s="140"/>
      <c r="X16" s="48"/>
      <c r="Y16" s="140"/>
      <c r="Z16" s="748"/>
      <c r="AA16" s="48"/>
      <c r="AB16" s="48"/>
      <c r="AC16" s="48">
        <v>50</v>
      </c>
      <c r="AD16" s="886"/>
      <c r="AE16" s="886"/>
      <c r="AF16" s="532">
        <f t="shared" si="5"/>
        <v>0</v>
      </c>
      <c r="AG16" s="531">
        <f t="shared" si="6"/>
        <v>0</v>
      </c>
      <c r="AH16" s="304">
        <v>43314</v>
      </c>
      <c r="AI16" s="13">
        <v>21</v>
      </c>
      <c r="AJ16" s="15">
        <v>0.4</v>
      </c>
      <c r="AK16" s="15">
        <v>0</v>
      </c>
      <c r="AL16" s="13"/>
      <c r="AM16" s="93">
        <f t="shared" si="0"/>
        <v>20.916</v>
      </c>
      <c r="AN16" s="148" t="s">
        <v>2143</v>
      </c>
      <c r="AO16" s="213"/>
      <c r="CJ16" s="921">
        <f t="shared" si="7"/>
        <v>0</v>
      </c>
      <c r="CT16" s="35"/>
      <c r="CU16" s="70" t="s">
        <v>1968</v>
      </c>
      <c r="CV16" s="71">
        <f t="shared" si="1"/>
        <v>46298</v>
      </c>
      <c r="CW16" s="72" t="str">
        <f t="shared" si="8"/>
        <v>9AG-25ST1</v>
      </c>
      <c r="CX16" s="73" t="str">
        <f t="shared" si="9"/>
        <v>NO P.CK</v>
      </c>
      <c r="CY16" s="73">
        <f t="shared" si="10"/>
        <v>0</v>
      </c>
      <c r="CZ16" s="73">
        <f t="shared" si="11"/>
        <v>0</v>
      </c>
      <c r="DA16" s="73" t="str">
        <f t="shared" si="12"/>
        <v>SI</v>
      </c>
      <c r="DB16" s="73"/>
      <c r="DC16" s="368">
        <f t="shared" si="13"/>
        <v>0</v>
      </c>
      <c r="DD16" s="73">
        <f t="shared" si="14"/>
        <v>0</v>
      </c>
      <c r="DE16" s="73">
        <f t="shared" si="15"/>
        <v>0</v>
      </c>
      <c r="DF16" s="73">
        <f t="shared" si="16"/>
        <v>0</v>
      </c>
      <c r="DG16" s="73">
        <f t="shared" si="17"/>
        <v>0</v>
      </c>
      <c r="DH16" s="73">
        <f t="shared" si="18"/>
        <v>0</v>
      </c>
      <c r="DI16" s="73">
        <f t="shared" si="19"/>
        <v>0</v>
      </c>
      <c r="DJ16" s="73"/>
      <c r="DK16" s="73"/>
      <c r="DL16" s="73">
        <f t="shared" si="20"/>
        <v>0</v>
      </c>
      <c r="DM16" s="215">
        <f t="shared" si="21"/>
        <v>0</v>
      </c>
      <c r="DN16" s="73" t="str">
        <f>IF(G88="","",G88)</f>
        <v/>
      </c>
      <c r="DO16" s="73">
        <f t="shared" si="23"/>
        <v>0</v>
      </c>
      <c r="DP16" s="85" t="str">
        <f t="shared" si="24"/>
        <v/>
      </c>
      <c r="EB16" s="70" t="str">
        <f t="shared" si="25"/>
        <v>KHALDA_WELL</v>
      </c>
      <c r="EC16" s="71">
        <f t="shared" si="4"/>
        <v>46298</v>
      </c>
      <c r="ED16" s="72" t="str">
        <f t="shared" si="26"/>
        <v>AG-25ST1</v>
      </c>
      <c r="EE16" s="73" t="str">
        <f t="shared" si="27"/>
        <v>NO P.CK</v>
      </c>
      <c r="EF16" s="73">
        <f t="shared" si="28"/>
        <v>0</v>
      </c>
      <c r="EG16" s="73">
        <f t="shared" si="29"/>
        <v>0</v>
      </c>
      <c r="EH16" s="73" t="str">
        <f t="shared" si="30"/>
        <v>SI</v>
      </c>
      <c r="EI16" s="73"/>
      <c r="EJ16" s="72"/>
      <c r="EK16" s="72" t="str">
        <f t="shared" si="31"/>
        <v/>
      </c>
      <c r="EL16" s="73">
        <f t="shared" si="32"/>
        <v>0.4</v>
      </c>
      <c r="EM16" s="213">
        <f t="shared" si="33"/>
        <v>0</v>
      </c>
      <c r="EN16" s="73"/>
      <c r="EO16" s="73"/>
      <c r="EQ16" s="73">
        <f t="shared" si="34"/>
        <v>0</v>
      </c>
      <c r="ER16" s="73">
        <f t="shared" si="35"/>
        <v>0</v>
      </c>
      <c r="ES16" s="73">
        <f t="shared" si="36"/>
        <v>0</v>
      </c>
      <c r="ET16" s="73">
        <f t="shared" si="37"/>
        <v>0</v>
      </c>
      <c r="EU16" s="73"/>
      <c r="EV16" s="73"/>
      <c r="EX16" s="3">
        <f t="shared" si="38"/>
        <v>0</v>
      </c>
      <c r="EY16" s="73"/>
      <c r="EZ16" s="73">
        <f t="shared" si="39"/>
        <v>0</v>
      </c>
      <c r="FA16" s="73">
        <f t="shared" si="40"/>
        <v>0</v>
      </c>
      <c r="FB16" s="73">
        <f t="shared" si="41"/>
        <v>0</v>
      </c>
      <c r="FC16" s="73"/>
      <c r="FD16" s="73" t="str">
        <f t="shared" si="42"/>
        <v>The well is SI due to low production &amp; gas lift optimization</v>
      </c>
    </row>
    <row r="17" spans="2:191" s="3" customFormat="1" ht="16.5" customHeight="1">
      <c r="B17" s="316" t="s">
        <v>1446</v>
      </c>
      <c r="C17" s="317" t="s">
        <v>24</v>
      </c>
      <c r="D17" s="317" t="s">
        <v>18</v>
      </c>
      <c r="E17" s="991">
        <v>0</v>
      </c>
      <c r="F17" s="951">
        <f t="shared" si="3"/>
        <v>0</v>
      </c>
      <c r="G17" s="48"/>
      <c r="H17" s="981"/>
      <c r="I17" s="48" t="s">
        <v>2335</v>
      </c>
      <c r="J17" s="48">
        <v>0</v>
      </c>
      <c r="K17" s="48">
        <v>0</v>
      </c>
      <c r="L17" s="48">
        <v>0</v>
      </c>
      <c r="M17" s="22"/>
      <c r="N17" s="140"/>
      <c r="O17" s="748"/>
      <c r="P17" s="48"/>
      <c r="Q17" s="48"/>
      <c r="R17" s="48"/>
      <c r="S17" s="886"/>
      <c r="T17" s="886"/>
      <c r="U17" s="886"/>
      <c r="V17" s="140"/>
      <c r="W17" s="140"/>
      <c r="X17" s="48"/>
      <c r="Y17" s="140"/>
      <c r="Z17" s="748"/>
      <c r="AA17" s="48"/>
      <c r="AB17" s="48"/>
      <c r="AC17" s="48"/>
      <c r="AD17" s="886"/>
      <c r="AE17" s="886"/>
      <c r="AF17" s="532">
        <f t="shared" si="5"/>
        <v>0</v>
      </c>
      <c r="AG17" s="531">
        <f t="shared" si="6"/>
        <v>0</v>
      </c>
      <c r="AH17" s="304">
        <v>45364</v>
      </c>
      <c r="AI17" s="13">
        <v>32</v>
      </c>
      <c r="AJ17" s="15">
        <v>66</v>
      </c>
      <c r="AK17" s="15">
        <v>2.6</v>
      </c>
      <c r="AL17" s="13"/>
      <c r="AM17" s="93">
        <f t="shared" si="0"/>
        <v>10.879999999999999</v>
      </c>
      <c r="AN17" s="148"/>
      <c r="AO17" s="213"/>
      <c r="CJ17" s="921">
        <f t="shared" si="7"/>
        <v>0</v>
      </c>
      <c r="CT17" s="35"/>
      <c r="CU17" s="70" t="s">
        <v>1969</v>
      </c>
      <c r="CV17" s="71">
        <f t="shared" si="1"/>
        <v>46298</v>
      </c>
      <c r="CW17" s="72" t="str">
        <f t="shared" si="8"/>
        <v>9AG-27ST2</v>
      </c>
      <c r="CX17" s="73" t="str">
        <f t="shared" si="9"/>
        <v>NO P.CK</v>
      </c>
      <c r="CY17" s="73">
        <f t="shared" si="10"/>
        <v>0</v>
      </c>
      <c r="CZ17" s="73">
        <f t="shared" si="11"/>
        <v>0</v>
      </c>
      <c r="DA17" s="73" t="str">
        <f t="shared" si="12"/>
        <v>SI</v>
      </c>
      <c r="DB17" s="73"/>
      <c r="DC17" s="368">
        <f t="shared" si="13"/>
        <v>0</v>
      </c>
      <c r="DD17" s="73">
        <f t="shared" si="14"/>
        <v>0</v>
      </c>
      <c r="DE17" s="73">
        <f t="shared" si="15"/>
        <v>0</v>
      </c>
      <c r="DF17" s="73">
        <f t="shared" si="16"/>
        <v>0</v>
      </c>
      <c r="DG17" s="73">
        <f t="shared" si="17"/>
        <v>0</v>
      </c>
      <c r="DH17" s="73">
        <f t="shared" si="18"/>
        <v>0</v>
      </c>
      <c r="DI17" s="73">
        <f t="shared" si="19"/>
        <v>0</v>
      </c>
      <c r="DJ17" s="73"/>
      <c r="DK17" s="73"/>
      <c r="DL17" s="73">
        <f t="shared" si="20"/>
        <v>0</v>
      </c>
      <c r="DM17" s="215">
        <f t="shared" si="21"/>
        <v>0</v>
      </c>
      <c r="DN17" s="73" t="str">
        <f t="shared" si="22"/>
        <v/>
      </c>
      <c r="DO17" s="73">
        <f t="shared" si="23"/>
        <v>0</v>
      </c>
      <c r="DP17" s="85" t="str">
        <f t="shared" si="24"/>
        <v/>
      </c>
      <c r="EB17" s="70" t="str">
        <f t="shared" si="25"/>
        <v>KHALDA_WELL</v>
      </c>
      <c r="EC17" s="71">
        <f t="shared" si="4"/>
        <v>46298</v>
      </c>
      <c r="ED17" s="72" t="str">
        <f t="shared" si="26"/>
        <v>AG-27ST2</v>
      </c>
      <c r="EE17" s="73" t="str">
        <f t="shared" si="27"/>
        <v>NO P.CK</v>
      </c>
      <c r="EF17" s="73">
        <f t="shared" si="28"/>
        <v>0</v>
      </c>
      <c r="EG17" s="73">
        <f t="shared" si="29"/>
        <v>0</v>
      </c>
      <c r="EH17" s="73" t="str">
        <f t="shared" si="30"/>
        <v>SI</v>
      </c>
      <c r="EI17" s="73"/>
      <c r="EJ17" s="72"/>
      <c r="EK17" s="72" t="str">
        <f t="shared" si="31"/>
        <v/>
      </c>
      <c r="EL17" s="73">
        <f t="shared" si="32"/>
        <v>66</v>
      </c>
      <c r="EM17" s="213">
        <f t="shared" si="33"/>
        <v>0</v>
      </c>
      <c r="EN17" s="73"/>
      <c r="EO17" s="73"/>
      <c r="EQ17" s="73">
        <f t="shared" si="34"/>
        <v>0</v>
      </c>
      <c r="ER17" s="73">
        <f t="shared" si="35"/>
        <v>0</v>
      </c>
      <c r="ES17" s="73">
        <f t="shared" si="36"/>
        <v>0</v>
      </c>
      <c r="ET17" s="73">
        <f t="shared" si="37"/>
        <v>0</v>
      </c>
      <c r="EU17" s="73"/>
      <c r="EV17" s="73"/>
      <c r="EX17" s="3">
        <f t="shared" si="38"/>
        <v>0</v>
      </c>
      <c r="EY17" s="73"/>
      <c r="EZ17" s="73">
        <f t="shared" si="39"/>
        <v>0</v>
      </c>
      <c r="FA17" s="73">
        <f t="shared" si="40"/>
        <v>0</v>
      </c>
      <c r="FB17" s="73">
        <f t="shared" si="41"/>
        <v>0</v>
      </c>
      <c r="FC17" s="73"/>
      <c r="FD17" s="73">
        <f t="shared" si="42"/>
        <v>0</v>
      </c>
    </row>
    <row r="18" spans="2:191" s="3" customFormat="1" ht="16.5" customHeight="1">
      <c r="B18" s="316" t="s">
        <v>1274</v>
      </c>
      <c r="C18" s="317" t="s">
        <v>1307</v>
      </c>
      <c r="D18" s="317" t="s">
        <v>18</v>
      </c>
      <c r="E18" s="991">
        <v>0</v>
      </c>
      <c r="F18" s="951">
        <f t="shared" si="3"/>
        <v>0</v>
      </c>
      <c r="G18" s="48"/>
      <c r="H18" s="981">
        <v>0</v>
      </c>
      <c r="I18" s="48" t="s">
        <v>2335</v>
      </c>
      <c r="J18" s="48">
        <v>0</v>
      </c>
      <c r="K18" s="48">
        <v>0</v>
      </c>
      <c r="L18" s="48">
        <v>0</v>
      </c>
      <c r="M18" s="22"/>
      <c r="N18" s="140"/>
      <c r="O18" s="748"/>
      <c r="P18" s="48"/>
      <c r="Q18" s="48"/>
      <c r="R18" s="48"/>
      <c r="S18" s="886"/>
      <c r="T18" s="886"/>
      <c r="U18" s="886"/>
      <c r="V18" s="140"/>
      <c r="W18" s="140"/>
      <c r="X18" s="48"/>
      <c r="Y18" s="140"/>
      <c r="Z18" s="748"/>
      <c r="AA18" s="48"/>
      <c r="AB18" s="48"/>
      <c r="AC18" s="48">
        <v>50</v>
      </c>
      <c r="AD18" s="886"/>
      <c r="AE18" s="886"/>
      <c r="AF18" s="532">
        <f t="shared" si="5"/>
        <v>0</v>
      </c>
      <c r="AG18" s="531">
        <f t="shared" si="6"/>
        <v>0</v>
      </c>
      <c r="AH18" s="304">
        <v>43310</v>
      </c>
      <c r="AI18" s="13">
        <v>113</v>
      </c>
      <c r="AJ18" s="15">
        <v>94</v>
      </c>
      <c r="AK18" s="15">
        <v>0</v>
      </c>
      <c r="AL18" s="13"/>
      <c r="AM18" s="93">
        <f t="shared" si="0"/>
        <v>6.7800000000000065</v>
      </c>
      <c r="AN18" s="148" t="s">
        <v>2143</v>
      </c>
      <c r="AO18" s="213"/>
      <c r="CJ18" s="921">
        <f t="shared" si="7"/>
        <v>0</v>
      </c>
      <c r="CT18" s="35"/>
      <c r="CU18" s="70" t="s">
        <v>1970</v>
      </c>
      <c r="CV18" s="71">
        <f t="shared" si="1"/>
        <v>46298</v>
      </c>
      <c r="CW18" s="72" t="str">
        <f t="shared" si="8"/>
        <v>9AG-28</v>
      </c>
      <c r="CX18" s="73" t="str">
        <f t="shared" si="9"/>
        <v>NO P.CK</v>
      </c>
      <c r="CY18" s="73">
        <f t="shared" si="10"/>
        <v>0</v>
      </c>
      <c r="CZ18" s="73">
        <f t="shared" si="11"/>
        <v>0</v>
      </c>
      <c r="DA18" s="73" t="str">
        <f t="shared" si="12"/>
        <v>SI</v>
      </c>
      <c r="DB18" s="73"/>
      <c r="DC18" s="368">
        <f t="shared" si="13"/>
        <v>0</v>
      </c>
      <c r="DD18" s="73">
        <f t="shared" si="14"/>
        <v>0</v>
      </c>
      <c r="DE18" s="73">
        <f t="shared" si="15"/>
        <v>0</v>
      </c>
      <c r="DF18" s="73">
        <f t="shared" si="16"/>
        <v>0</v>
      </c>
      <c r="DG18" s="73">
        <f t="shared" si="17"/>
        <v>0</v>
      </c>
      <c r="DH18" s="73">
        <f t="shared" si="18"/>
        <v>0</v>
      </c>
      <c r="DI18" s="73">
        <f t="shared" si="19"/>
        <v>0</v>
      </c>
      <c r="DJ18" s="73"/>
      <c r="DK18" s="73"/>
      <c r="DL18" s="73">
        <f t="shared" si="20"/>
        <v>0</v>
      </c>
      <c r="DM18" s="215">
        <f t="shared" si="21"/>
        <v>0</v>
      </c>
      <c r="DN18" s="73" t="str">
        <f t="shared" si="22"/>
        <v/>
      </c>
      <c r="DO18" s="73">
        <f t="shared" si="23"/>
        <v>0</v>
      </c>
      <c r="DP18" s="85" t="str">
        <f t="shared" si="24"/>
        <v/>
      </c>
      <c r="EB18" s="70" t="str">
        <f t="shared" si="25"/>
        <v>KHALDA_WELL</v>
      </c>
      <c r="EC18" s="71">
        <f t="shared" si="4"/>
        <v>46298</v>
      </c>
      <c r="ED18" s="72" t="str">
        <f t="shared" si="26"/>
        <v>AG-28</v>
      </c>
      <c r="EE18" s="73" t="str">
        <f t="shared" si="27"/>
        <v>NO P.CK</v>
      </c>
      <c r="EF18" s="73">
        <f t="shared" si="28"/>
        <v>0</v>
      </c>
      <c r="EG18" s="73">
        <f t="shared" si="29"/>
        <v>0</v>
      </c>
      <c r="EH18" s="73" t="str">
        <f t="shared" si="30"/>
        <v>SI</v>
      </c>
      <c r="EI18" s="73"/>
      <c r="EJ18" s="72"/>
      <c r="EK18" s="72" t="str">
        <f t="shared" si="31"/>
        <v/>
      </c>
      <c r="EL18" s="73">
        <f t="shared" si="32"/>
        <v>94</v>
      </c>
      <c r="EM18" s="213">
        <f t="shared" si="33"/>
        <v>0</v>
      </c>
      <c r="EN18" s="73"/>
      <c r="EO18" s="73"/>
      <c r="EQ18" s="73">
        <f t="shared" si="34"/>
        <v>0</v>
      </c>
      <c r="ER18" s="73">
        <f t="shared" si="35"/>
        <v>0</v>
      </c>
      <c r="ES18" s="73">
        <f t="shared" si="36"/>
        <v>0</v>
      </c>
      <c r="ET18" s="73">
        <f t="shared" si="37"/>
        <v>0</v>
      </c>
      <c r="EU18" s="73"/>
      <c r="EV18" s="73"/>
      <c r="EX18" s="3">
        <f t="shared" si="38"/>
        <v>0</v>
      </c>
      <c r="EY18" s="73"/>
      <c r="EZ18" s="73">
        <f t="shared" si="39"/>
        <v>0</v>
      </c>
      <c r="FA18" s="73">
        <f t="shared" si="40"/>
        <v>0</v>
      </c>
      <c r="FB18" s="73">
        <f t="shared" si="41"/>
        <v>0</v>
      </c>
      <c r="FC18" s="73"/>
      <c r="FD18" s="73" t="str">
        <f t="shared" si="42"/>
        <v>The well is SI due to low production &amp; gas lift optimization</v>
      </c>
    </row>
    <row r="19" spans="2:191" s="3" customFormat="1" ht="16.5" customHeight="1">
      <c r="B19" s="319" t="s">
        <v>1308</v>
      </c>
      <c r="C19" s="317" t="s">
        <v>1307</v>
      </c>
      <c r="D19" s="317" t="s">
        <v>3</v>
      </c>
      <c r="E19" s="991">
        <v>24</v>
      </c>
      <c r="F19" s="951">
        <f t="shared" si="3"/>
        <v>0</v>
      </c>
      <c r="G19" s="48"/>
      <c r="H19" s="981"/>
      <c r="I19" s="48" t="s">
        <v>2335</v>
      </c>
      <c r="J19" s="48">
        <v>110</v>
      </c>
      <c r="K19" s="48">
        <v>70</v>
      </c>
      <c r="L19" s="48">
        <v>0</v>
      </c>
      <c r="M19" s="22"/>
      <c r="N19" s="140"/>
      <c r="O19" s="748"/>
      <c r="P19" s="48"/>
      <c r="Q19" s="48"/>
      <c r="R19" s="48"/>
      <c r="S19" s="886"/>
      <c r="T19" s="886"/>
      <c r="U19" s="886"/>
      <c r="V19" s="140"/>
      <c r="W19" s="140"/>
      <c r="X19" s="48"/>
      <c r="Y19" s="140"/>
      <c r="Z19" s="748"/>
      <c r="AA19" s="48" t="s">
        <v>2662</v>
      </c>
      <c r="AB19" s="48"/>
      <c r="AC19" s="48"/>
      <c r="AD19" s="886">
        <v>30.6</v>
      </c>
      <c r="AE19" s="886">
        <v>52</v>
      </c>
      <c r="AF19" s="532">
        <f t="shared" si="5"/>
        <v>0</v>
      </c>
      <c r="AG19" s="531">
        <f t="shared" si="6"/>
        <v>108.00000000000003</v>
      </c>
      <c r="AH19" s="304">
        <v>46294</v>
      </c>
      <c r="AI19" s="13">
        <v>360</v>
      </c>
      <c r="AJ19" s="15">
        <v>70</v>
      </c>
      <c r="AK19" s="15">
        <v>0</v>
      </c>
      <c r="AL19" s="13">
        <v>51000</v>
      </c>
      <c r="AM19" s="93">
        <f t="shared" si="0"/>
        <v>108.00000000000001</v>
      </c>
      <c r="AN19" s="148"/>
      <c r="AO19" s="213"/>
      <c r="CJ19" s="921">
        <f t="shared" si="7"/>
        <v>252</v>
      </c>
      <c r="CT19" s="35"/>
      <c r="CU19" s="70" t="s">
        <v>1971</v>
      </c>
      <c r="CV19" s="71">
        <f t="shared" si="1"/>
        <v>46298</v>
      </c>
      <c r="CW19" s="72" t="str">
        <f t="shared" si="8"/>
        <v>9AG-29A</v>
      </c>
      <c r="CX19" s="73" t="str">
        <f t="shared" si="9"/>
        <v>NO P.CK</v>
      </c>
      <c r="CY19" s="73">
        <f t="shared" si="10"/>
        <v>110</v>
      </c>
      <c r="CZ19" s="73">
        <f t="shared" si="11"/>
        <v>24</v>
      </c>
      <c r="DA19" s="73" t="str">
        <f t="shared" si="12"/>
        <v>ESP</v>
      </c>
      <c r="DB19" s="73"/>
      <c r="DC19" s="368">
        <f t="shared" si="13"/>
        <v>0</v>
      </c>
      <c r="DD19" s="73">
        <f t="shared" si="14"/>
        <v>0</v>
      </c>
      <c r="DE19" s="73">
        <f t="shared" si="15"/>
        <v>0</v>
      </c>
      <c r="DF19" s="73">
        <f t="shared" si="16"/>
        <v>0</v>
      </c>
      <c r="DG19" s="73">
        <f t="shared" si="17"/>
        <v>0</v>
      </c>
      <c r="DH19" s="73">
        <f t="shared" si="18"/>
        <v>0</v>
      </c>
      <c r="DI19" s="73">
        <f t="shared" si="19"/>
        <v>30.6</v>
      </c>
      <c r="DJ19" s="73"/>
      <c r="DK19" s="73"/>
      <c r="DL19" s="73">
        <f t="shared" si="20"/>
        <v>52</v>
      </c>
      <c r="DM19" s="215">
        <f t="shared" si="21"/>
        <v>108.00000000000003</v>
      </c>
      <c r="DN19" s="73" t="str">
        <f t="shared" si="22"/>
        <v/>
      </c>
      <c r="DO19" s="73">
        <f t="shared" si="23"/>
        <v>108.00000000000003</v>
      </c>
      <c r="DP19" s="85" t="str">
        <f t="shared" si="24"/>
        <v>AG</v>
      </c>
      <c r="EB19" s="70" t="str">
        <f t="shared" si="25"/>
        <v>KHALDA_WELL</v>
      </c>
      <c r="EC19" s="71">
        <f t="shared" si="4"/>
        <v>46298</v>
      </c>
      <c r="ED19" s="72" t="str">
        <f t="shared" si="26"/>
        <v>AG-29A</v>
      </c>
      <c r="EE19" s="73" t="str">
        <f t="shared" si="27"/>
        <v>NO P.CK</v>
      </c>
      <c r="EF19" s="73">
        <f t="shared" si="28"/>
        <v>110</v>
      </c>
      <c r="EG19" s="73">
        <f t="shared" si="29"/>
        <v>24</v>
      </c>
      <c r="EH19" s="73" t="str">
        <f t="shared" si="30"/>
        <v>ESP</v>
      </c>
      <c r="EI19" s="73"/>
      <c r="EJ19" s="72"/>
      <c r="EK19" s="72" t="str">
        <f t="shared" si="31"/>
        <v/>
      </c>
      <c r="EL19" s="73">
        <f t="shared" si="32"/>
        <v>70</v>
      </c>
      <c r="EM19" s="213">
        <f t="shared" si="33"/>
        <v>0</v>
      </c>
      <c r="EN19" s="73"/>
      <c r="EO19" s="73"/>
      <c r="EQ19" s="73">
        <f t="shared" si="34"/>
        <v>0</v>
      </c>
      <c r="ER19" s="73">
        <f t="shared" si="35"/>
        <v>0</v>
      </c>
      <c r="ES19" s="73">
        <f t="shared" si="36"/>
        <v>0</v>
      </c>
      <c r="ET19" s="73">
        <f t="shared" si="37"/>
        <v>30.6</v>
      </c>
      <c r="EU19" s="73"/>
      <c r="EV19" s="73"/>
      <c r="EX19" s="3">
        <f t="shared" si="38"/>
        <v>52</v>
      </c>
      <c r="EY19" s="73"/>
      <c r="EZ19" s="73">
        <f t="shared" si="39"/>
        <v>0</v>
      </c>
      <c r="FA19" s="73">
        <f t="shared" si="40"/>
        <v>0</v>
      </c>
      <c r="FB19" s="73">
        <f t="shared" si="41"/>
        <v>0</v>
      </c>
      <c r="FC19" s="73"/>
      <c r="FD19" s="73">
        <f t="shared" si="42"/>
        <v>0</v>
      </c>
    </row>
    <row r="20" spans="2:191" s="3" customFormat="1" ht="15.75" customHeight="1">
      <c r="B20" s="316" t="s">
        <v>1275</v>
      </c>
      <c r="C20" s="317" t="s">
        <v>1307</v>
      </c>
      <c r="D20" s="317" t="s">
        <v>1301</v>
      </c>
      <c r="E20" s="991">
        <v>21</v>
      </c>
      <c r="F20" s="951">
        <f t="shared" si="3"/>
        <v>15.345000000000001</v>
      </c>
      <c r="G20" s="48" t="s">
        <v>2598</v>
      </c>
      <c r="H20" s="981">
        <v>1.1200000000000001</v>
      </c>
      <c r="I20" s="48" t="s">
        <v>2335</v>
      </c>
      <c r="J20" s="48">
        <v>70</v>
      </c>
      <c r="K20" s="48">
        <v>70</v>
      </c>
      <c r="L20" s="48">
        <v>570</v>
      </c>
      <c r="M20" s="22"/>
      <c r="N20" s="140"/>
      <c r="O20" s="748"/>
      <c r="P20" s="48"/>
      <c r="Q20" s="48"/>
      <c r="R20" s="48"/>
      <c r="S20" s="886"/>
      <c r="T20" s="886"/>
      <c r="U20" s="886"/>
      <c r="V20" s="140"/>
      <c r="W20" s="140"/>
      <c r="X20" s="48"/>
      <c r="Y20" s="140"/>
      <c r="Z20" s="748"/>
      <c r="AA20" s="48"/>
      <c r="AB20" s="48"/>
      <c r="AC20" s="48"/>
      <c r="AD20" s="886"/>
      <c r="AE20" s="886"/>
      <c r="AF20" s="532">
        <f t="shared" si="5"/>
        <v>0.1855</v>
      </c>
      <c r="AG20" s="531">
        <f t="shared" si="6"/>
        <v>107.41500000000001</v>
      </c>
      <c r="AH20" s="304">
        <v>46274</v>
      </c>
      <c r="AI20" s="13">
        <v>124</v>
      </c>
      <c r="AJ20" s="15">
        <v>1</v>
      </c>
      <c r="AK20" s="15">
        <v>0.21199999999999999</v>
      </c>
      <c r="AL20" s="13"/>
      <c r="AM20" s="93">
        <f t="shared" si="0"/>
        <v>122.76</v>
      </c>
      <c r="AN20" s="148"/>
      <c r="AO20" s="213"/>
      <c r="CJ20" s="921">
        <f t="shared" si="7"/>
        <v>1.24</v>
      </c>
      <c r="CT20" s="35"/>
      <c r="CU20" s="70" t="s">
        <v>1972</v>
      </c>
      <c r="CV20" s="71">
        <f t="shared" si="1"/>
        <v>46298</v>
      </c>
      <c r="CW20" s="72" t="str">
        <f t="shared" si="8"/>
        <v>9AG-31</v>
      </c>
      <c r="CX20" s="73" t="str">
        <f t="shared" si="9"/>
        <v>NO P.CK</v>
      </c>
      <c r="CY20" s="73">
        <f t="shared" si="10"/>
        <v>70</v>
      </c>
      <c r="CZ20" s="73">
        <f t="shared" si="11"/>
        <v>21</v>
      </c>
      <c r="DA20" s="73" t="str">
        <f t="shared" si="12"/>
        <v>G/L</v>
      </c>
      <c r="DB20" s="73"/>
      <c r="DC20" s="368">
        <f t="shared" si="13"/>
        <v>980</v>
      </c>
      <c r="DD20" s="73">
        <f t="shared" si="14"/>
        <v>0</v>
      </c>
      <c r="DE20" s="73">
        <f t="shared" si="15"/>
        <v>0</v>
      </c>
      <c r="DF20" s="73">
        <f t="shared" si="16"/>
        <v>0</v>
      </c>
      <c r="DG20" s="73">
        <f t="shared" si="17"/>
        <v>0</v>
      </c>
      <c r="DH20" s="73">
        <f t="shared" si="18"/>
        <v>0</v>
      </c>
      <c r="DI20" s="73">
        <f t="shared" si="19"/>
        <v>0</v>
      </c>
      <c r="DJ20" s="73"/>
      <c r="DK20" s="73"/>
      <c r="DL20" s="73">
        <f t="shared" si="20"/>
        <v>0</v>
      </c>
      <c r="DM20" s="215">
        <f t="shared" si="21"/>
        <v>107.41500000000001</v>
      </c>
      <c r="DN20" s="73" t="str">
        <f t="shared" si="22"/>
        <v>Wireline Intervention - Gauging</v>
      </c>
      <c r="DO20" s="73">
        <f t="shared" si="23"/>
        <v>107.41500000000001</v>
      </c>
      <c r="DP20" s="85" t="str">
        <f t="shared" si="24"/>
        <v>AG</v>
      </c>
      <c r="EB20" s="70" t="str">
        <f t="shared" si="25"/>
        <v>KHALDA_WELL</v>
      </c>
      <c r="EC20" s="71">
        <f t="shared" si="4"/>
        <v>46298</v>
      </c>
      <c r="ED20" s="72" t="str">
        <f t="shared" si="26"/>
        <v>AG-31</v>
      </c>
      <c r="EE20" s="73" t="str">
        <f t="shared" si="27"/>
        <v>NO P.CK</v>
      </c>
      <c r="EF20" s="73">
        <f t="shared" si="28"/>
        <v>70</v>
      </c>
      <c r="EG20" s="73">
        <f t="shared" si="29"/>
        <v>21</v>
      </c>
      <c r="EH20" s="73" t="str">
        <f t="shared" si="30"/>
        <v>G/L</v>
      </c>
      <c r="EI20" s="73"/>
      <c r="EJ20" s="72"/>
      <c r="EK20" s="72" t="str">
        <f t="shared" si="31"/>
        <v>Wireline Intervention - Gauging</v>
      </c>
      <c r="EL20" s="73">
        <f t="shared" si="32"/>
        <v>1</v>
      </c>
      <c r="EM20" s="213">
        <f t="shared" si="33"/>
        <v>0</v>
      </c>
      <c r="EN20" s="73"/>
      <c r="EO20" s="73"/>
      <c r="EQ20" s="73">
        <f t="shared" si="34"/>
        <v>0</v>
      </c>
      <c r="ER20" s="73">
        <f t="shared" si="35"/>
        <v>0</v>
      </c>
      <c r="ES20" s="73">
        <f t="shared" si="36"/>
        <v>0</v>
      </c>
      <c r="ET20" s="73">
        <f t="shared" si="37"/>
        <v>0</v>
      </c>
      <c r="EU20" s="73"/>
      <c r="EV20" s="73"/>
      <c r="EX20" s="3">
        <f t="shared" si="38"/>
        <v>0</v>
      </c>
      <c r="EY20" s="73"/>
      <c r="EZ20" s="73">
        <f t="shared" si="39"/>
        <v>0</v>
      </c>
      <c r="FA20" s="73">
        <f t="shared" si="40"/>
        <v>0</v>
      </c>
      <c r="FB20" s="73">
        <f t="shared" si="41"/>
        <v>0</v>
      </c>
      <c r="FC20" s="73"/>
      <c r="FD20" s="73">
        <f t="shared" si="42"/>
        <v>0</v>
      </c>
    </row>
    <row r="21" spans="2:191" s="3" customFormat="1" ht="16.5" customHeight="1">
      <c r="B21" s="316" t="s">
        <v>1635</v>
      </c>
      <c r="C21" s="317" t="s">
        <v>272</v>
      </c>
      <c r="D21" s="317" t="s">
        <v>18</v>
      </c>
      <c r="E21" s="991">
        <v>0</v>
      </c>
      <c r="F21" s="951">
        <f t="shared" si="3"/>
        <v>0</v>
      </c>
      <c r="G21" s="48"/>
      <c r="H21" s="981">
        <v>0</v>
      </c>
      <c r="I21" s="48" t="s">
        <v>2335</v>
      </c>
      <c r="J21" s="48">
        <v>0</v>
      </c>
      <c r="K21" s="48">
        <v>0</v>
      </c>
      <c r="L21" s="48">
        <v>0</v>
      </c>
      <c r="M21" s="22"/>
      <c r="N21" s="140"/>
      <c r="O21" s="748"/>
      <c r="P21" s="48"/>
      <c r="Q21" s="48"/>
      <c r="R21" s="48"/>
      <c r="S21" s="886"/>
      <c r="T21" s="886"/>
      <c r="U21" s="886"/>
      <c r="V21" s="140"/>
      <c r="W21" s="140"/>
      <c r="X21" s="48"/>
      <c r="Y21" s="140"/>
      <c r="Z21" s="748"/>
      <c r="AA21" s="48"/>
      <c r="AB21" s="48"/>
      <c r="AC21" s="48"/>
      <c r="AD21" s="886"/>
      <c r="AE21" s="886"/>
      <c r="AF21" s="532">
        <f>AK21/24*E21</f>
        <v>0</v>
      </c>
      <c r="AG21" s="531">
        <f>AM21/24*E21</f>
        <v>0</v>
      </c>
      <c r="AH21" s="304">
        <v>44967</v>
      </c>
      <c r="AI21" s="13">
        <v>22</v>
      </c>
      <c r="AJ21" s="15">
        <v>0.5</v>
      </c>
      <c r="AK21" s="15">
        <v>0.7</v>
      </c>
      <c r="AL21" s="13"/>
      <c r="AM21" s="93">
        <f t="shared" si="0"/>
        <v>21.89</v>
      </c>
      <c r="AN21" s="148"/>
      <c r="AO21" s="213"/>
      <c r="CJ21" s="921"/>
      <c r="CT21" s="35"/>
      <c r="CU21" s="70" t="s">
        <v>1973</v>
      </c>
      <c r="CV21" s="71">
        <f t="shared" si="1"/>
        <v>46298</v>
      </c>
      <c r="CW21" s="72" t="str">
        <f>$CT$3&amp;B21</f>
        <v>9AG-34B</v>
      </c>
      <c r="CX21" s="73" t="str">
        <f>I21</f>
        <v>NO P.CK</v>
      </c>
      <c r="CY21" s="73">
        <f>J21</f>
        <v>0</v>
      </c>
      <c r="CZ21" s="73">
        <f>E21</f>
        <v>0</v>
      </c>
      <c r="DA21" s="73" t="str">
        <f>IF(CZ21=0,"SI",D21)</f>
        <v>SI</v>
      </c>
      <c r="DB21" s="73"/>
      <c r="DC21" s="368">
        <f>E21*((H21*1000)/24)</f>
        <v>0</v>
      </c>
      <c r="DD21" s="73">
        <f>N21</f>
        <v>0</v>
      </c>
      <c r="DE21" s="73">
        <f>V21</f>
        <v>0</v>
      </c>
      <c r="DF21" s="73">
        <f>W21</f>
        <v>0</v>
      </c>
      <c r="DG21" s="73">
        <f>X21</f>
        <v>0</v>
      </c>
      <c r="DH21" s="73">
        <f>Z21</f>
        <v>0</v>
      </c>
      <c r="DI21" s="73">
        <f>AD21</f>
        <v>0</v>
      </c>
      <c r="DJ21" s="73"/>
      <c r="DK21" s="73"/>
      <c r="DL21" s="73">
        <f>AE21</f>
        <v>0</v>
      </c>
      <c r="DM21" s="215">
        <f>AG21</f>
        <v>0</v>
      </c>
      <c r="DN21" s="73" t="str">
        <f>IF(G21="","",G21)</f>
        <v/>
      </c>
      <c r="DO21" s="73">
        <f>AM21/24*HOURS</f>
        <v>0</v>
      </c>
      <c r="DP21" s="85" t="str">
        <f>IF(OR(D21="SI",B21="",D21="T&amp;A"),"",VLOOKUP(B21,WELL_FIELD,2))</f>
        <v/>
      </c>
      <c r="EB21" s="70" t="str">
        <f t="shared" si="25"/>
        <v>KHALDA_WELL</v>
      </c>
      <c r="EC21" s="71">
        <f t="shared" si="4"/>
        <v>46298</v>
      </c>
      <c r="ED21" s="72" t="str">
        <f t="shared" si="26"/>
        <v>AG-34B</v>
      </c>
      <c r="EE21" s="73" t="str">
        <f t="shared" si="27"/>
        <v>NO P.CK</v>
      </c>
      <c r="EF21" s="73">
        <f t="shared" si="28"/>
        <v>0</v>
      </c>
      <c r="EG21" s="73">
        <f t="shared" si="29"/>
        <v>0</v>
      </c>
      <c r="EH21" s="73" t="str">
        <f t="shared" si="30"/>
        <v>SI</v>
      </c>
      <c r="EI21" s="73"/>
      <c r="EJ21" s="72"/>
      <c r="EK21" s="72" t="str">
        <f t="shared" si="31"/>
        <v/>
      </c>
      <c r="EL21" s="73">
        <f t="shared" si="32"/>
        <v>0.5</v>
      </c>
      <c r="EM21" s="213">
        <f t="shared" si="33"/>
        <v>0</v>
      </c>
      <c r="EN21" s="73"/>
      <c r="EO21" s="73"/>
      <c r="EQ21" s="73">
        <f t="shared" si="34"/>
        <v>0</v>
      </c>
      <c r="ER21" s="73">
        <f t="shared" si="35"/>
        <v>0</v>
      </c>
      <c r="ES21" s="73">
        <f t="shared" si="36"/>
        <v>0</v>
      </c>
      <c r="ET21" s="73">
        <f t="shared" si="37"/>
        <v>0</v>
      </c>
      <c r="EU21" s="73"/>
      <c r="EV21" s="73"/>
      <c r="EX21" s="3">
        <f t="shared" si="38"/>
        <v>0</v>
      </c>
      <c r="EY21" s="73"/>
      <c r="EZ21" s="73">
        <f t="shared" si="39"/>
        <v>0</v>
      </c>
      <c r="FA21" s="73">
        <f t="shared" si="40"/>
        <v>0</v>
      </c>
      <c r="FB21" s="73">
        <f t="shared" si="41"/>
        <v>0</v>
      </c>
      <c r="FC21" s="73"/>
      <c r="FD21" s="73">
        <f t="shared" si="42"/>
        <v>0</v>
      </c>
    </row>
    <row r="22" spans="2:191" s="867" customFormat="1" ht="16.5" customHeight="1">
      <c r="B22" s="316" t="s">
        <v>1447</v>
      </c>
      <c r="C22" s="317" t="s">
        <v>1307</v>
      </c>
      <c r="D22" s="317" t="s">
        <v>18</v>
      </c>
      <c r="E22" s="991">
        <v>0</v>
      </c>
      <c r="F22" s="951">
        <f t="shared" si="3"/>
        <v>0</v>
      </c>
      <c r="G22" s="48"/>
      <c r="H22" s="981"/>
      <c r="I22" s="48" t="s">
        <v>255</v>
      </c>
      <c r="J22" s="48">
        <v>130</v>
      </c>
      <c r="K22" s="48">
        <v>120</v>
      </c>
      <c r="L22" s="48">
        <v>0</v>
      </c>
      <c r="M22" s="22"/>
      <c r="N22" s="140"/>
      <c r="O22" s="748"/>
      <c r="P22" s="48"/>
      <c r="Q22" s="48"/>
      <c r="R22" s="48"/>
      <c r="S22" s="886"/>
      <c r="T22" s="886"/>
      <c r="U22" s="886"/>
      <c r="V22" s="140"/>
      <c r="W22" s="140"/>
      <c r="X22" s="48"/>
      <c r="Y22" s="140"/>
      <c r="Z22" s="748"/>
      <c r="AA22" s="48"/>
      <c r="AB22" s="48"/>
      <c r="AC22" s="48"/>
      <c r="AD22" s="886"/>
      <c r="AE22" s="886"/>
      <c r="AF22" s="532">
        <f>AK22/24*E22</f>
        <v>0</v>
      </c>
      <c r="AG22" s="531">
        <f>AM22/24*E22</f>
        <v>0</v>
      </c>
      <c r="AH22" s="304">
        <v>44624</v>
      </c>
      <c r="AI22" s="13">
        <v>35</v>
      </c>
      <c r="AJ22" s="15">
        <v>80.099999999999994</v>
      </c>
      <c r="AK22" s="15">
        <v>1.476</v>
      </c>
      <c r="AL22" s="13"/>
      <c r="AM22" s="93">
        <f t="shared" si="0"/>
        <v>6.9650000000000025</v>
      </c>
      <c r="AN22" s="865"/>
      <c r="AO22" s="866"/>
      <c r="CJ22" s="921">
        <f>+IF(D22="SI",0,AI22*AJ22/100)</f>
        <v>0</v>
      </c>
      <c r="CT22" s="36"/>
      <c r="CU22" s="70" t="s">
        <v>1973</v>
      </c>
      <c r="CV22" s="71">
        <f t="shared" si="1"/>
        <v>46298</v>
      </c>
      <c r="CW22" s="72" t="str">
        <f t="shared" si="8"/>
        <v>9AG-41ST1</v>
      </c>
      <c r="CX22" s="73" t="str">
        <f t="shared" si="9"/>
        <v>OPEN</v>
      </c>
      <c r="CY22" s="73">
        <f t="shared" si="10"/>
        <v>130</v>
      </c>
      <c r="CZ22" s="73">
        <f>E22</f>
        <v>0</v>
      </c>
      <c r="DA22" s="73" t="str">
        <f>IF(CZ22=0,"SI",D22)</f>
        <v>SI</v>
      </c>
      <c r="DB22" s="73"/>
      <c r="DC22" s="368">
        <f>E22*((H22*1000)/24)</f>
        <v>0</v>
      </c>
      <c r="DD22" s="73">
        <f t="shared" si="14"/>
        <v>0</v>
      </c>
      <c r="DE22" s="73">
        <f t="shared" si="15"/>
        <v>0</v>
      </c>
      <c r="DF22" s="73">
        <f t="shared" si="16"/>
        <v>0</v>
      </c>
      <c r="DG22" s="73">
        <f t="shared" si="17"/>
        <v>0</v>
      </c>
      <c r="DH22" s="73">
        <f t="shared" si="18"/>
        <v>0</v>
      </c>
      <c r="DI22" s="73">
        <f t="shared" si="19"/>
        <v>0</v>
      </c>
      <c r="DJ22" s="73"/>
      <c r="DK22" s="73"/>
      <c r="DL22" s="73">
        <f t="shared" si="20"/>
        <v>0</v>
      </c>
      <c r="DM22" s="215">
        <f t="shared" si="21"/>
        <v>0</v>
      </c>
      <c r="DN22" s="73" t="str">
        <f t="shared" si="22"/>
        <v/>
      </c>
      <c r="DO22" s="73">
        <f t="shared" si="23"/>
        <v>0</v>
      </c>
      <c r="DP22" s="85" t="str">
        <f>IF(OR(D22="SI",B22="",D22="T&amp;A"),"",VLOOKUP(B22,WELL_FIELD,2))</f>
        <v/>
      </c>
      <c r="DQ22" s="3"/>
      <c r="DR22" s="3"/>
      <c r="DS22" s="3"/>
      <c r="DT22" s="3"/>
      <c r="DU22" s="3"/>
      <c r="DV22" s="3"/>
      <c r="DW22" s="3"/>
      <c r="DX22" s="3"/>
      <c r="DY22" s="3"/>
      <c r="DZ22" s="3"/>
      <c r="EA22" s="3"/>
      <c r="EB22" s="70" t="str">
        <f t="shared" si="25"/>
        <v>KHALDA_WELL</v>
      </c>
      <c r="EC22" s="71">
        <f t="shared" si="4"/>
        <v>46298</v>
      </c>
      <c r="ED22" s="72" t="str">
        <f t="shared" si="26"/>
        <v>AG-41ST1</v>
      </c>
      <c r="EE22" s="73" t="str">
        <f t="shared" si="27"/>
        <v>OPEN</v>
      </c>
      <c r="EF22" s="73">
        <f t="shared" si="28"/>
        <v>130</v>
      </c>
      <c r="EG22" s="73">
        <f t="shared" si="29"/>
        <v>0</v>
      </c>
      <c r="EH22" s="73" t="str">
        <f t="shared" si="30"/>
        <v>SI</v>
      </c>
      <c r="EI22" s="73"/>
      <c r="EJ22" s="72"/>
      <c r="EK22" s="72" t="str">
        <f t="shared" si="31"/>
        <v/>
      </c>
      <c r="EL22" s="73">
        <f t="shared" si="32"/>
        <v>80.099999999999994</v>
      </c>
      <c r="EM22" s="213">
        <f t="shared" si="33"/>
        <v>0</v>
      </c>
      <c r="EN22" s="73"/>
      <c r="EO22" s="73"/>
      <c r="EP22" s="3"/>
      <c r="EQ22" s="73">
        <f t="shared" si="34"/>
        <v>0</v>
      </c>
      <c r="ER22" s="73">
        <f t="shared" si="35"/>
        <v>0</v>
      </c>
      <c r="ES22" s="73">
        <f t="shared" si="36"/>
        <v>0</v>
      </c>
      <c r="ET22" s="73">
        <f t="shared" si="37"/>
        <v>0</v>
      </c>
      <c r="EU22" s="73"/>
      <c r="EV22" s="73"/>
      <c r="EW22" s="3"/>
      <c r="EX22" s="3">
        <f t="shared" si="38"/>
        <v>0</v>
      </c>
      <c r="EY22" s="73"/>
      <c r="EZ22" s="73">
        <f t="shared" si="39"/>
        <v>0</v>
      </c>
      <c r="FA22" s="73">
        <f t="shared" si="40"/>
        <v>0</v>
      </c>
      <c r="FB22" s="73">
        <f t="shared" si="41"/>
        <v>0</v>
      </c>
      <c r="FC22" s="73"/>
      <c r="FD22" s="73">
        <f t="shared" si="42"/>
        <v>0</v>
      </c>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row>
    <row r="23" spans="2:191" s="3" customFormat="1" ht="16.5" customHeight="1">
      <c r="B23" s="316" t="s">
        <v>1309</v>
      </c>
      <c r="C23" s="317" t="s">
        <v>272</v>
      </c>
      <c r="D23" s="317" t="s">
        <v>1301</v>
      </c>
      <c r="E23" s="991">
        <v>24</v>
      </c>
      <c r="F23" s="951">
        <f t="shared" si="3"/>
        <v>0</v>
      </c>
      <c r="G23" s="48"/>
      <c r="H23" s="981">
        <v>0.85</v>
      </c>
      <c r="I23" s="48" t="s">
        <v>2335</v>
      </c>
      <c r="J23" s="48">
        <v>80</v>
      </c>
      <c r="K23" s="48">
        <v>80</v>
      </c>
      <c r="L23" s="48">
        <v>310</v>
      </c>
      <c r="M23" s="22"/>
      <c r="N23" s="140"/>
      <c r="O23" s="748"/>
      <c r="P23" s="48"/>
      <c r="Q23" s="48"/>
      <c r="R23" s="48"/>
      <c r="S23" s="886"/>
      <c r="T23" s="886"/>
      <c r="U23" s="886"/>
      <c r="V23" s="140"/>
      <c r="W23" s="140"/>
      <c r="X23" s="48"/>
      <c r="Y23" s="140"/>
      <c r="Z23" s="748"/>
      <c r="AA23" s="48"/>
      <c r="AB23" s="48"/>
      <c r="AC23" s="48"/>
      <c r="AD23" s="886"/>
      <c r="AE23" s="886"/>
      <c r="AF23" s="532">
        <f t="shared" si="5"/>
        <v>8.5000000000000006E-2</v>
      </c>
      <c r="AG23" s="531">
        <f t="shared" si="6"/>
        <v>66.33</v>
      </c>
      <c r="AH23" s="304">
        <v>46213</v>
      </c>
      <c r="AI23" s="13">
        <v>67</v>
      </c>
      <c r="AJ23" s="15">
        <v>1</v>
      </c>
      <c r="AK23" s="15">
        <v>8.5000000000000006E-2</v>
      </c>
      <c r="AL23" s="13"/>
      <c r="AM23" s="93">
        <f t="shared" si="0"/>
        <v>66.33</v>
      </c>
      <c r="AN23" s="148"/>
      <c r="AO23" s="213"/>
      <c r="CJ23" s="921">
        <f t="shared" si="7"/>
        <v>0.67</v>
      </c>
      <c r="CT23" s="35"/>
      <c r="CU23" s="70" t="s">
        <v>1974</v>
      </c>
      <c r="CV23" s="71">
        <f t="shared" si="1"/>
        <v>46298</v>
      </c>
      <c r="CW23" s="72" t="str">
        <f t="shared" si="8"/>
        <v>9AG-42ST1</v>
      </c>
      <c r="CX23" s="73" t="str">
        <f t="shared" si="9"/>
        <v>NO P.CK</v>
      </c>
      <c r="CY23" s="73">
        <f t="shared" si="10"/>
        <v>80</v>
      </c>
      <c r="CZ23" s="73">
        <f t="shared" si="11"/>
        <v>24</v>
      </c>
      <c r="DA23" s="73" t="str">
        <f t="shared" si="12"/>
        <v>G/L</v>
      </c>
      <c r="DB23" s="73"/>
      <c r="DC23" s="368">
        <f t="shared" si="13"/>
        <v>850</v>
      </c>
      <c r="DD23" s="73">
        <f t="shared" si="14"/>
        <v>0</v>
      </c>
      <c r="DE23" s="73">
        <f t="shared" si="15"/>
        <v>0</v>
      </c>
      <c r="DF23" s="73">
        <f t="shared" si="16"/>
        <v>0</v>
      </c>
      <c r="DG23" s="73">
        <f t="shared" si="17"/>
        <v>0</v>
      </c>
      <c r="DH23" s="73">
        <f t="shared" si="18"/>
        <v>0</v>
      </c>
      <c r="DI23" s="73">
        <f t="shared" si="19"/>
        <v>0</v>
      </c>
      <c r="DJ23" s="73"/>
      <c r="DK23" s="73"/>
      <c r="DL23" s="73">
        <f t="shared" si="20"/>
        <v>0</v>
      </c>
      <c r="DM23" s="215">
        <f t="shared" si="21"/>
        <v>66.33</v>
      </c>
      <c r="DN23" s="73" t="str">
        <f t="shared" si="22"/>
        <v/>
      </c>
      <c r="DO23" s="73">
        <f t="shared" si="23"/>
        <v>66.33</v>
      </c>
      <c r="DP23" s="85" t="str">
        <f t="shared" si="24"/>
        <v>AG</v>
      </c>
      <c r="EB23" s="70" t="str">
        <f t="shared" si="25"/>
        <v>KHALDA_WELL</v>
      </c>
      <c r="EC23" s="71">
        <f t="shared" si="4"/>
        <v>46298</v>
      </c>
      <c r="ED23" s="72" t="str">
        <f t="shared" si="26"/>
        <v>AG-42ST1</v>
      </c>
      <c r="EE23" s="73" t="str">
        <f t="shared" si="27"/>
        <v>NO P.CK</v>
      </c>
      <c r="EF23" s="73">
        <f t="shared" si="28"/>
        <v>80</v>
      </c>
      <c r="EG23" s="73">
        <f t="shared" si="29"/>
        <v>24</v>
      </c>
      <c r="EH23" s="73" t="str">
        <f t="shared" si="30"/>
        <v>G/L</v>
      </c>
      <c r="EI23" s="73"/>
      <c r="EJ23" s="72"/>
      <c r="EK23" s="72" t="str">
        <f t="shared" si="31"/>
        <v/>
      </c>
      <c r="EL23" s="73">
        <f t="shared" si="32"/>
        <v>1</v>
      </c>
      <c r="EM23" s="213">
        <f t="shared" si="33"/>
        <v>0</v>
      </c>
      <c r="EN23" s="73"/>
      <c r="EO23" s="73"/>
      <c r="EQ23" s="73">
        <f t="shared" si="34"/>
        <v>0</v>
      </c>
      <c r="ER23" s="73">
        <f t="shared" si="35"/>
        <v>0</v>
      </c>
      <c r="ES23" s="73">
        <f t="shared" si="36"/>
        <v>0</v>
      </c>
      <c r="ET23" s="73">
        <f t="shared" si="37"/>
        <v>0</v>
      </c>
      <c r="EU23" s="73"/>
      <c r="EV23" s="73"/>
      <c r="EX23" s="3">
        <f t="shared" si="38"/>
        <v>0</v>
      </c>
      <c r="EY23" s="73"/>
      <c r="EZ23" s="73">
        <f t="shared" si="39"/>
        <v>0</v>
      </c>
      <c r="FA23" s="73">
        <f t="shared" si="40"/>
        <v>0</v>
      </c>
      <c r="FB23" s="73">
        <f t="shared" si="41"/>
        <v>0</v>
      </c>
      <c r="FC23" s="73"/>
      <c r="FD23" s="73">
        <f t="shared" si="42"/>
        <v>0</v>
      </c>
    </row>
    <row r="24" spans="2:191" s="3" customFormat="1" ht="16.5" customHeight="1">
      <c r="B24" s="316" t="s">
        <v>1448</v>
      </c>
      <c r="C24" s="317" t="s">
        <v>21</v>
      </c>
      <c r="D24" s="317" t="s">
        <v>18</v>
      </c>
      <c r="E24" s="991">
        <v>0</v>
      </c>
      <c r="F24" s="951">
        <f t="shared" si="3"/>
        <v>0</v>
      </c>
      <c r="G24" s="48"/>
      <c r="H24" s="981"/>
      <c r="I24" s="48">
        <v>20</v>
      </c>
      <c r="J24" s="48">
        <v>150</v>
      </c>
      <c r="K24" s="48">
        <v>140</v>
      </c>
      <c r="L24" s="48">
        <v>0</v>
      </c>
      <c r="M24" s="22"/>
      <c r="N24" s="140"/>
      <c r="O24" s="748"/>
      <c r="P24" s="48"/>
      <c r="Q24" s="48"/>
      <c r="R24" s="48"/>
      <c r="S24" s="886"/>
      <c r="T24" s="886"/>
      <c r="U24" s="886"/>
      <c r="V24" s="140"/>
      <c r="W24" s="140"/>
      <c r="X24" s="48"/>
      <c r="Y24" s="140"/>
      <c r="Z24" s="748"/>
      <c r="AA24" s="48"/>
      <c r="AB24" s="48"/>
      <c r="AC24" s="48"/>
      <c r="AD24" s="886"/>
      <c r="AE24" s="886"/>
      <c r="AF24" s="532">
        <f>AK24/24*E24</f>
        <v>0</v>
      </c>
      <c r="AG24" s="531">
        <f>AM24/24*E24</f>
        <v>0</v>
      </c>
      <c r="AH24" s="304">
        <v>45964</v>
      </c>
      <c r="AI24" s="13">
        <v>0</v>
      </c>
      <c r="AJ24" s="15">
        <v>0</v>
      </c>
      <c r="AK24" s="15">
        <v>0.19500000000000001</v>
      </c>
      <c r="AL24" s="13"/>
      <c r="AM24" s="93">
        <f>IF(BFPD=0,0,BFPD*(1-BSW/100))</f>
        <v>0</v>
      </c>
      <c r="AN24" s="148" t="s">
        <v>2713</v>
      </c>
      <c r="AO24" s="213"/>
      <c r="CJ24" s="921">
        <f t="shared" si="7"/>
        <v>0</v>
      </c>
      <c r="CT24" s="35"/>
      <c r="CU24" s="70" t="s">
        <v>1975</v>
      </c>
      <c r="CV24" s="71">
        <f t="shared" si="1"/>
        <v>46298</v>
      </c>
      <c r="CW24" s="72" t="str">
        <f t="shared" si="8"/>
        <v>9AG-43</v>
      </c>
      <c r="CX24" s="73">
        <f t="shared" si="9"/>
        <v>20</v>
      </c>
      <c r="CY24" s="73">
        <f t="shared" si="10"/>
        <v>150</v>
      </c>
      <c r="CZ24" s="73">
        <f t="shared" si="11"/>
        <v>0</v>
      </c>
      <c r="DA24" s="73" t="str">
        <f t="shared" si="12"/>
        <v>SI</v>
      </c>
      <c r="DB24" s="73"/>
      <c r="DC24" s="368">
        <f t="shared" si="13"/>
        <v>0</v>
      </c>
      <c r="DD24" s="73">
        <f t="shared" si="14"/>
        <v>0</v>
      </c>
      <c r="DE24" s="73">
        <f t="shared" si="15"/>
        <v>0</v>
      </c>
      <c r="DF24" s="73">
        <f t="shared" si="16"/>
        <v>0</v>
      </c>
      <c r="DG24" s="73">
        <f t="shared" si="17"/>
        <v>0</v>
      </c>
      <c r="DH24" s="73">
        <f t="shared" si="18"/>
        <v>0</v>
      </c>
      <c r="DI24" s="73">
        <f t="shared" si="19"/>
        <v>0</v>
      </c>
      <c r="DJ24" s="73"/>
      <c r="DK24" s="73"/>
      <c r="DL24" s="73">
        <f t="shared" si="20"/>
        <v>0</v>
      </c>
      <c r="DM24" s="215">
        <f t="shared" si="21"/>
        <v>0</v>
      </c>
      <c r="DN24" s="73" t="str">
        <f t="shared" si="22"/>
        <v/>
      </c>
      <c r="DO24" s="73">
        <f t="shared" si="23"/>
        <v>0</v>
      </c>
      <c r="DP24" s="85" t="str">
        <f t="shared" si="24"/>
        <v/>
      </c>
      <c r="EB24" s="70" t="str">
        <f t="shared" si="25"/>
        <v>KHALDA_WELL</v>
      </c>
      <c r="EC24" s="71">
        <f t="shared" si="4"/>
        <v>46298</v>
      </c>
      <c r="ED24" s="72" t="str">
        <f t="shared" si="26"/>
        <v>AG-43</v>
      </c>
      <c r="EE24" s="73">
        <f t="shared" si="27"/>
        <v>20</v>
      </c>
      <c r="EF24" s="73">
        <f t="shared" si="28"/>
        <v>150</v>
      </c>
      <c r="EG24" s="73">
        <f t="shared" si="29"/>
        <v>0</v>
      </c>
      <c r="EH24" s="73" t="str">
        <f t="shared" si="30"/>
        <v>SI</v>
      </c>
      <c r="EI24" s="73"/>
      <c r="EJ24" s="72"/>
      <c r="EK24" s="72" t="str">
        <f t="shared" si="31"/>
        <v/>
      </c>
      <c r="EL24" s="73">
        <f t="shared" si="32"/>
        <v>0</v>
      </c>
      <c r="EM24" s="213">
        <f t="shared" si="33"/>
        <v>0</v>
      </c>
      <c r="EN24" s="73"/>
      <c r="EO24" s="73"/>
      <c r="EQ24" s="73">
        <f t="shared" si="34"/>
        <v>0</v>
      </c>
      <c r="ER24" s="73">
        <f t="shared" si="35"/>
        <v>0</v>
      </c>
      <c r="ES24" s="73">
        <f t="shared" si="36"/>
        <v>0</v>
      </c>
      <c r="ET24" s="73">
        <f t="shared" si="37"/>
        <v>0</v>
      </c>
      <c r="EU24" s="73"/>
      <c r="EV24" s="73"/>
      <c r="EX24" s="3">
        <f t="shared" si="38"/>
        <v>0</v>
      </c>
      <c r="EY24" s="73"/>
      <c r="EZ24" s="73">
        <f t="shared" si="39"/>
        <v>0</v>
      </c>
      <c r="FA24" s="73">
        <f t="shared" si="40"/>
        <v>0</v>
      </c>
      <c r="FB24" s="73">
        <f t="shared" si="41"/>
        <v>0</v>
      </c>
      <c r="FC24" s="73"/>
      <c r="FD24" s="73" t="str">
        <f t="shared" si="42"/>
        <v>Checked the well found cease to flow, SI same for PBU.</v>
      </c>
    </row>
    <row r="25" spans="2:191" s="3" customFormat="1" ht="16.5" customHeight="1">
      <c r="B25" s="316" t="s">
        <v>1449</v>
      </c>
      <c r="C25" s="317" t="s">
        <v>21</v>
      </c>
      <c r="D25" s="317" t="s">
        <v>286</v>
      </c>
      <c r="E25" s="991">
        <v>24</v>
      </c>
      <c r="F25" s="951">
        <f>IF(E25=0,0,((AI25*(1-(AJ25/100)))/24)*(24-HOURS))</f>
        <v>0</v>
      </c>
      <c r="G25" s="48"/>
      <c r="H25" s="981"/>
      <c r="I25" s="48">
        <v>42</v>
      </c>
      <c r="J25" s="48">
        <v>1450</v>
      </c>
      <c r="K25" s="48">
        <v>150</v>
      </c>
      <c r="L25" s="48">
        <v>0</v>
      </c>
      <c r="M25" s="22"/>
      <c r="N25" s="140"/>
      <c r="O25" s="748"/>
      <c r="P25" s="48"/>
      <c r="Q25" s="48"/>
      <c r="R25" s="48"/>
      <c r="S25" s="886"/>
      <c r="T25" s="886"/>
      <c r="U25" s="886"/>
      <c r="V25" s="140"/>
      <c r="W25" s="140"/>
      <c r="X25" s="48"/>
      <c r="Y25" s="140"/>
      <c r="Z25" s="748"/>
      <c r="AA25" s="48"/>
      <c r="AB25" s="48"/>
      <c r="AC25" s="48"/>
      <c r="AD25" s="886"/>
      <c r="AE25" s="886"/>
      <c r="AF25" s="532">
        <f t="shared" si="5"/>
        <v>0.94099999999999995</v>
      </c>
      <c r="AG25" s="531">
        <f t="shared" si="6"/>
        <v>38.64</v>
      </c>
      <c r="AH25" s="304">
        <v>46291</v>
      </c>
      <c r="AI25" s="13">
        <v>42</v>
      </c>
      <c r="AJ25" s="15">
        <v>8</v>
      </c>
      <c r="AK25" s="15">
        <v>0.94099999999999995</v>
      </c>
      <c r="AL25" s="13"/>
      <c r="AM25" s="93">
        <f t="shared" si="0"/>
        <v>38.64</v>
      </c>
      <c r="AN25" s="687"/>
      <c r="AO25" s="213"/>
      <c r="CJ25" s="921">
        <f t="shared" si="7"/>
        <v>3.36</v>
      </c>
      <c r="CT25" s="35"/>
      <c r="CU25" s="70" t="s">
        <v>2075</v>
      </c>
      <c r="CV25" s="71">
        <f t="shared" si="1"/>
        <v>46298</v>
      </c>
      <c r="CW25" s="72" t="str">
        <f t="shared" si="8"/>
        <v>9AG-44</v>
      </c>
      <c r="CX25" s="73">
        <f t="shared" si="9"/>
        <v>42</v>
      </c>
      <c r="CY25" s="73">
        <f t="shared" si="10"/>
        <v>1450</v>
      </c>
      <c r="CZ25" s="73">
        <f t="shared" si="11"/>
        <v>24</v>
      </c>
      <c r="DA25" s="73" t="str">
        <f t="shared" si="12"/>
        <v>NF</v>
      </c>
      <c r="DB25" s="73"/>
      <c r="DC25" s="368">
        <f t="shared" si="13"/>
        <v>0</v>
      </c>
      <c r="DD25" s="73">
        <f t="shared" si="14"/>
        <v>0</v>
      </c>
      <c r="DE25" s="73">
        <f t="shared" si="15"/>
        <v>0</v>
      </c>
      <c r="DF25" s="73">
        <f t="shared" si="16"/>
        <v>0</v>
      </c>
      <c r="DG25" s="73">
        <f t="shared" si="17"/>
        <v>0</v>
      </c>
      <c r="DH25" s="73">
        <f t="shared" si="18"/>
        <v>0</v>
      </c>
      <c r="DI25" s="73">
        <f t="shared" si="19"/>
        <v>0</v>
      </c>
      <c r="DJ25" s="73"/>
      <c r="DK25" s="73"/>
      <c r="DL25" s="73">
        <f t="shared" si="20"/>
        <v>0</v>
      </c>
      <c r="DM25" s="215">
        <f t="shared" si="21"/>
        <v>38.64</v>
      </c>
      <c r="DN25" s="73" t="str">
        <f t="shared" si="22"/>
        <v/>
      </c>
      <c r="DO25" s="73">
        <f t="shared" si="23"/>
        <v>38.64</v>
      </c>
      <c r="DP25" s="85" t="str">
        <f t="shared" si="24"/>
        <v>AG</v>
      </c>
      <c r="EB25" s="70" t="str">
        <f t="shared" si="25"/>
        <v>KHALDA_WELL</v>
      </c>
      <c r="EC25" s="71">
        <f t="shared" si="4"/>
        <v>46298</v>
      </c>
      <c r="ED25" s="72" t="str">
        <f t="shared" si="26"/>
        <v>AG-44</v>
      </c>
      <c r="EE25" s="73">
        <f t="shared" si="27"/>
        <v>42</v>
      </c>
      <c r="EF25" s="73">
        <f t="shared" si="28"/>
        <v>1450</v>
      </c>
      <c r="EG25" s="73">
        <f t="shared" si="29"/>
        <v>24</v>
      </c>
      <c r="EH25" s="73" t="str">
        <f t="shared" si="30"/>
        <v>NF</v>
      </c>
      <c r="EI25" s="73"/>
      <c r="EJ25" s="72"/>
      <c r="EK25" s="72" t="str">
        <f t="shared" si="31"/>
        <v/>
      </c>
      <c r="EL25" s="73">
        <f t="shared" si="32"/>
        <v>8</v>
      </c>
      <c r="EM25" s="213">
        <f t="shared" si="33"/>
        <v>0</v>
      </c>
      <c r="EN25" s="73"/>
      <c r="EO25" s="73"/>
      <c r="EQ25" s="73">
        <f t="shared" si="34"/>
        <v>0</v>
      </c>
      <c r="ER25" s="73">
        <f t="shared" si="35"/>
        <v>0</v>
      </c>
      <c r="ES25" s="73">
        <f t="shared" si="36"/>
        <v>0</v>
      </c>
      <c r="ET25" s="73">
        <f t="shared" si="37"/>
        <v>0</v>
      </c>
      <c r="EU25" s="73"/>
      <c r="EV25" s="73"/>
      <c r="EX25" s="3">
        <f t="shared" si="38"/>
        <v>0</v>
      </c>
      <c r="EY25" s="73"/>
      <c r="EZ25" s="73">
        <f t="shared" si="39"/>
        <v>0</v>
      </c>
      <c r="FA25" s="73">
        <f t="shared" si="40"/>
        <v>0</v>
      </c>
      <c r="FB25" s="73">
        <f t="shared" si="41"/>
        <v>0</v>
      </c>
      <c r="FC25" s="73"/>
      <c r="FD25" s="73">
        <f t="shared" si="42"/>
        <v>0</v>
      </c>
    </row>
    <row r="26" spans="2:191" s="3" customFormat="1" ht="16.5" customHeight="1">
      <c r="B26" s="319" t="s">
        <v>1310</v>
      </c>
      <c r="C26" s="317" t="s">
        <v>272</v>
      </c>
      <c r="D26" s="317" t="s">
        <v>18</v>
      </c>
      <c r="E26" s="991">
        <v>0</v>
      </c>
      <c r="F26" s="951">
        <f t="shared" si="3"/>
        <v>0</v>
      </c>
      <c r="G26" s="48"/>
      <c r="H26" s="981">
        <v>0</v>
      </c>
      <c r="I26" s="48" t="s">
        <v>2335</v>
      </c>
      <c r="J26" s="48">
        <v>0</v>
      </c>
      <c r="K26" s="48">
        <v>0</v>
      </c>
      <c r="L26" s="48">
        <v>0</v>
      </c>
      <c r="M26" s="22"/>
      <c r="N26" s="140"/>
      <c r="O26" s="748"/>
      <c r="P26" s="48"/>
      <c r="Q26" s="48"/>
      <c r="R26" s="48"/>
      <c r="S26" s="886"/>
      <c r="T26" s="886"/>
      <c r="U26" s="886"/>
      <c r="V26" s="140"/>
      <c r="W26" s="140"/>
      <c r="X26" s="48"/>
      <c r="Y26" s="140"/>
      <c r="Z26" s="748"/>
      <c r="AA26" s="48"/>
      <c r="AB26" s="48"/>
      <c r="AC26" s="48"/>
      <c r="AD26" s="886"/>
      <c r="AE26" s="886"/>
      <c r="AF26" s="532">
        <f t="shared" si="5"/>
        <v>0</v>
      </c>
      <c r="AG26" s="531">
        <f t="shared" si="6"/>
        <v>0</v>
      </c>
      <c r="AH26" s="304">
        <v>42338</v>
      </c>
      <c r="AI26" s="13">
        <v>113</v>
      </c>
      <c r="AJ26" s="15">
        <v>45.4</v>
      </c>
      <c r="AK26" s="15">
        <v>0.86599999999999999</v>
      </c>
      <c r="AL26" s="13"/>
      <c r="AM26" s="93">
        <f t="shared" si="0"/>
        <v>61.698000000000008</v>
      </c>
      <c r="AN26" s="148" t="s">
        <v>2095</v>
      </c>
      <c r="AO26" s="213"/>
      <c r="CJ26" s="921">
        <f t="shared" si="7"/>
        <v>0</v>
      </c>
      <c r="CT26" s="35"/>
      <c r="CU26" s="70" t="s">
        <v>1976</v>
      </c>
      <c r="CV26" s="71">
        <f t="shared" si="1"/>
        <v>46298</v>
      </c>
      <c r="CW26" s="72" t="str">
        <f t="shared" si="8"/>
        <v>9AG-48ST2</v>
      </c>
      <c r="CX26" s="73" t="str">
        <f t="shared" si="9"/>
        <v>NO P.CK</v>
      </c>
      <c r="CY26" s="73">
        <f t="shared" si="10"/>
        <v>0</v>
      </c>
      <c r="CZ26" s="73">
        <f t="shared" si="11"/>
        <v>0</v>
      </c>
      <c r="DA26" s="73" t="str">
        <f t="shared" si="12"/>
        <v>SI</v>
      </c>
      <c r="DB26" s="73"/>
      <c r="DC26" s="368">
        <f t="shared" si="13"/>
        <v>0</v>
      </c>
      <c r="DD26" s="73">
        <f t="shared" si="14"/>
        <v>0</v>
      </c>
      <c r="DE26" s="73">
        <f t="shared" si="15"/>
        <v>0</v>
      </c>
      <c r="DF26" s="73">
        <f t="shared" si="16"/>
        <v>0</v>
      </c>
      <c r="DG26" s="73">
        <f t="shared" si="17"/>
        <v>0</v>
      </c>
      <c r="DH26" s="73">
        <f t="shared" si="18"/>
        <v>0</v>
      </c>
      <c r="DI26" s="73">
        <f t="shared" si="19"/>
        <v>0</v>
      </c>
      <c r="DJ26" s="73"/>
      <c r="DK26" s="73"/>
      <c r="DL26" s="73">
        <f t="shared" si="20"/>
        <v>0</v>
      </c>
      <c r="DM26" s="215">
        <f t="shared" si="21"/>
        <v>0</v>
      </c>
      <c r="DN26" s="73" t="str">
        <f t="shared" si="22"/>
        <v/>
      </c>
      <c r="DO26" s="73">
        <f t="shared" si="23"/>
        <v>0</v>
      </c>
      <c r="DP26" s="85" t="str">
        <f t="shared" si="24"/>
        <v/>
      </c>
      <c r="EB26" s="70" t="str">
        <f t="shared" si="25"/>
        <v>KHALDA_WELL</v>
      </c>
      <c r="EC26" s="71">
        <f t="shared" si="4"/>
        <v>46298</v>
      </c>
      <c r="ED26" s="72" t="str">
        <f t="shared" si="26"/>
        <v>AG-48ST2</v>
      </c>
      <c r="EE26" s="73" t="str">
        <f t="shared" si="27"/>
        <v>NO P.CK</v>
      </c>
      <c r="EF26" s="73">
        <f t="shared" si="28"/>
        <v>0</v>
      </c>
      <c r="EG26" s="73">
        <f t="shared" si="29"/>
        <v>0</v>
      </c>
      <c r="EH26" s="73" t="str">
        <f t="shared" si="30"/>
        <v>SI</v>
      </c>
      <c r="EI26" s="73"/>
      <c r="EJ26" s="72"/>
      <c r="EK26" s="72" t="str">
        <f t="shared" si="31"/>
        <v/>
      </c>
      <c r="EL26" s="73">
        <f t="shared" si="32"/>
        <v>45.4</v>
      </c>
      <c r="EM26" s="213">
        <f t="shared" si="33"/>
        <v>0</v>
      </c>
      <c r="EN26" s="73"/>
      <c r="EO26" s="73"/>
      <c r="EQ26" s="73">
        <f t="shared" si="34"/>
        <v>0</v>
      </c>
      <c r="ER26" s="73">
        <f t="shared" si="35"/>
        <v>0</v>
      </c>
      <c r="ES26" s="73">
        <f t="shared" si="36"/>
        <v>0</v>
      </c>
      <c r="ET26" s="73">
        <f t="shared" si="37"/>
        <v>0</v>
      </c>
      <c r="EU26" s="73"/>
      <c r="EV26" s="73"/>
      <c r="EX26" s="3">
        <f t="shared" si="38"/>
        <v>0</v>
      </c>
      <c r="EY26" s="73"/>
      <c r="EZ26" s="73">
        <f t="shared" si="39"/>
        <v>0</v>
      </c>
      <c r="FA26" s="73">
        <f t="shared" si="40"/>
        <v>0</v>
      </c>
      <c r="FB26" s="73">
        <f t="shared" si="41"/>
        <v>0</v>
      </c>
      <c r="FC26" s="73"/>
      <c r="FD26" s="73" t="str">
        <f t="shared" si="42"/>
        <v>Downhole integrity problem(CMT &amp; gas return from TBG)</v>
      </c>
    </row>
    <row r="27" spans="2:191" s="3" customFormat="1" ht="16.5" customHeight="1">
      <c r="B27" s="316" t="s">
        <v>1642</v>
      </c>
      <c r="C27" s="317" t="s">
        <v>1307</v>
      </c>
      <c r="D27" s="317" t="s">
        <v>18</v>
      </c>
      <c r="E27" s="991">
        <v>0</v>
      </c>
      <c r="F27" s="951">
        <f t="shared" si="3"/>
        <v>0</v>
      </c>
      <c r="G27" s="48"/>
      <c r="H27" s="981">
        <v>0</v>
      </c>
      <c r="I27" s="48" t="s">
        <v>2335</v>
      </c>
      <c r="J27" s="48">
        <v>0</v>
      </c>
      <c r="K27" s="48">
        <v>0</v>
      </c>
      <c r="L27" s="48">
        <v>0</v>
      </c>
      <c r="M27" s="22"/>
      <c r="N27" s="140"/>
      <c r="O27" s="748"/>
      <c r="P27" s="48"/>
      <c r="Q27" s="48"/>
      <c r="R27" s="48"/>
      <c r="S27" s="886"/>
      <c r="T27" s="886"/>
      <c r="U27" s="886"/>
      <c r="V27" s="140"/>
      <c r="W27" s="140"/>
      <c r="X27" s="48"/>
      <c r="Y27" s="140"/>
      <c r="Z27" s="748"/>
      <c r="AA27" s="48"/>
      <c r="AB27" s="48"/>
      <c r="AC27" s="48">
        <v>50</v>
      </c>
      <c r="AD27" s="886"/>
      <c r="AE27" s="886"/>
      <c r="AF27" s="532">
        <f t="shared" si="5"/>
        <v>0</v>
      </c>
      <c r="AG27" s="531">
        <f>AM27/24*E27</f>
        <v>0</v>
      </c>
      <c r="AH27" s="304">
        <v>44776</v>
      </c>
      <c r="AI27" s="13">
        <v>0</v>
      </c>
      <c r="AJ27" s="15">
        <v>0</v>
      </c>
      <c r="AK27" s="15">
        <v>1.5249999999999999</v>
      </c>
      <c r="AL27" s="13"/>
      <c r="AM27" s="93">
        <f t="shared" si="0"/>
        <v>0</v>
      </c>
      <c r="AN27" s="148"/>
      <c r="AO27" s="213"/>
      <c r="CJ27" s="921">
        <f t="shared" si="7"/>
        <v>0</v>
      </c>
      <c r="CT27" s="35"/>
      <c r="CU27" s="70" t="s">
        <v>1977</v>
      </c>
      <c r="CV27" s="71">
        <f t="shared" si="1"/>
        <v>46298</v>
      </c>
      <c r="CW27" s="72" t="str">
        <f t="shared" si="8"/>
        <v>9AG-51</v>
      </c>
      <c r="CX27" s="73" t="str">
        <f t="shared" si="9"/>
        <v>NO P.CK</v>
      </c>
      <c r="CY27" s="73">
        <f t="shared" si="10"/>
        <v>0</v>
      </c>
      <c r="CZ27" s="73">
        <f t="shared" si="11"/>
        <v>0</v>
      </c>
      <c r="DA27" s="73" t="str">
        <f t="shared" si="12"/>
        <v>SI</v>
      </c>
      <c r="DB27" s="73"/>
      <c r="DC27" s="368">
        <f t="shared" si="13"/>
        <v>0</v>
      </c>
      <c r="DD27" s="73">
        <f t="shared" si="14"/>
        <v>0</v>
      </c>
      <c r="DE27" s="73">
        <f t="shared" si="15"/>
        <v>0</v>
      </c>
      <c r="DF27" s="73">
        <f t="shared" si="16"/>
        <v>0</v>
      </c>
      <c r="DG27" s="73">
        <f t="shared" si="17"/>
        <v>0</v>
      </c>
      <c r="DH27" s="73">
        <f t="shared" si="18"/>
        <v>0</v>
      </c>
      <c r="DI27" s="73">
        <f t="shared" si="19"/>
        <v>0</v>
      </c>
      <c r="DJ27" s="73"/>
      <c r="DK27" s="73"/>
      <c r="DL27" s="73">
        <f t="shared" si="20"/>
        <v>0</v>
      </c>
      <c r="DM27" s="215">
        <f t="shared" si="21"/>
        <v>0</v>
      </c>
      <c r="DN27" s="73" t="str">
        <f t="shared" si="22"/>
        <v/>
      </c>
      <c r="DO27" s="73">
        <f t="shared" si="23"/>
        <v>0</v>
      </c>
      <c r="DP27" s="85" t="str">
        <f t="shared" si="24"/>
        <v/>
      </c>
      <c r="EB27" s="70" t="str">
        <f t="shared" si="25"/>
        <v>KHALDA_WELL</v>
      </c>
      <c r="EC27" s="71">
        <f t="shared" si="4"/>
        <v>46298</v>
      </c>
      <c r="ED27" s="72" t="str">
        <f t="shared" si="26"/>
        <v>AG-51</v>
      </c>
      <c r="EE27" s="73" t="str">
        <f t="shared" si="27"/>
        <v>NO P.CK</v>
      </c>
      <c r="EF27" s="73">
        <f t="shared" si="28"/>
        <v>0</v>
      </c>
      <c r="EG27" s="73">
        <f t="shared" si="29"/>
        <v>0</v>
      </c>
      <c r="EH27" s="73" t="str">
        <f t="shared" si="30"/>
        <v>SI</v>
      </c>
      <c r="EI27" s="73"/>
      <c r="EJ27" s="72"/>
      <c r="EK27" s="72" t="str">
        <f t="shared" si="31"/>
        <v/>
      </c>
      <c r="EL27" s="73">
        <f t="shared" si="32"/>
        <v>0</v>
      </c>
      <c r="EM27" s="213">
        <f t="shared" si="33"/>
        <v>0</v>
      </c>
      <c r="EN27" s="73"/>
      <c r="EO27" s="73"/>
      <c r="EQ27" s="73">
        <f t="shared" si="34"/>
        <v>0</v>
      </c>
      <c r="ER27" s="73">
        <f t="shared" si="35"/>
        <v>0</v>
      </c>
      <c r="ES27" s="73">
        <f t="shared" si="36"/>
        <v>0</v>
      </c>
      <c r="ET27" s="73">
        <f t="shared" si="37"/>
        <v>0</v>
      </c>
      <c r="EU27" s="73"/>
      <c r="EV27" s="73"/>
      <c r="EX27" s="3">
        <f t="shared" si="38"/>
        <v>0</v>
      </c>
      <c r="EY27" s="73"/>
      <c r="EZ27" s="73">
        <f t="shared" si="39"/>
        <v>0</v>
      </c>
      <c r="FA27" s="73">
        <f t="shared" si="40"/>
        <v>0</v>
      </c>
      <c r="FB27" s="73">
        <f t="shared" si="41"/>
        <v>0</v>
      </c>
      <c r="FC27" s="73"/>
      <c r="FD27" s="73">
        <f t="shared" si="42"/>
        <v>0</v>
      </c>
    </row>
    <row r="28" spans="2:191" s="3" customFormat="1" ht="16.5" customHeight="1">
      <c r="B28" s="316" t="s">
        <v>1451</v>
      </c>
      <c r="C28" s="317" t="s">
        <v>24</v>
      </c>
      <c r="D28" s="317" t="s">
        <v>18</v>
      </c>
      <c r="E28" s="991">
        <v>0</v>
      </c>
      <c r="F28" s="951">
        <f t="shared" si="3"/>
        <v>0</v>
      </c>
      <c r="G28" s="48"/>
      <c r="H28" s="981"/>
      <c r="I28" s="48" t="s">
        <v>2335</v>
      </c>
      <c r="J28" s="48">
        <v>170</v>
      </c>
      <c r="K28" s="48">
        <v>155</v>
      </c>
      <c r="L28" s="48">
        <v>0</v>
      </c>
      <c r="M28" s="22"/>
      <c r="N28" s="140"/>
      <c r="O28" s="748"/>
      <c r="P28" s="48"/>
      <c r="Q28" s="48"/>
      <c r="R28" s="48"/>
      <c r="S28" s="886"/>
      <c r="T28" s="886"/>
      <c r="U28" s="886"/>
      <c r="V28" s="140"/>
      <c r="W28" s="140"/>
      <c r="X28" s="48"/>
      <c r="Y28" s="140"/>
      <c r="Z28" s="748"/>
      <c r="AA28" s="48"/>
      <c r="AB28" s="48"/>
      <c r="AC28" s="48"/>
      <c r="AD28" s="886"/>
      <c r="AE28" s="886"/>
      <c r="AF28" s="532">
        <f t="shared" si="5"/>
        <v>0</v>
      </c>
      <c r="AG28" s="531">
        <f>AM28/24*E28</f>
        <v>0</v>
      </c>
      <c r="AH28" s="304">
        <v>46031</v>
      </c>
      <c r="AI28" s="13">
        <v>48</v>
      </c>
      <c r="AJ28" s="15">
        <v>60</v>
      </c>
      <c r="AK28" s="15">
        <v>2.2970000000000002</v>
      </c>
      <c r="AL28" s="13"/>
      <c r="AM28" s="93">
        <f t="shared" si="0"/>
        <v>19.200000000000003</v>
      </c>
      <c r="AN28" s="148" t="s">
        <v>2144</v>
      </c>
      <c r="AO28" s="213"/>
      <c r="CJ28" s="921">
        <f t="shared" si="7"/>
        <v>0</v>
      </c>
      <c r="CT28" s="35"/>
      <c r="CU28" s="70" t="s">
        <v>1978</v>
      </c>
      <c r="CV28" s="71">
        <f t="shared" si="1"/>
        <v>46298</v>
      </c>
      <c r="CW28" s="72" t="str">
        <f t="shared" si="8"/>
        <v>9AG-52</v>
      </c>
      <c r="CX28" s="73" t="str">
        <f t="shared" si="9"/>
        <v>NO P.CK</v>
      </c>
      <c r="CY28" s="73">
        <f t="shared" si="10"/>
        <v>170</v>
      </c>
      <c r="CZ28" s="73">
        <f t="shared" si="11"/>
        <v>0</v>
      </c>
      <c r="DA28" s="73" t="str">
        <f t="shared" si="12"/>
        <v>SI</v>
      </c>
      <c r="DB28" s="73"/>
      <c r="DC28" s="368">
        <f t="shared" si="13"/>
        <v>0</v>
      </c>
      <c r="DD28" s="73">
        <f t="shared" si="14"/>
        <v>0</v>
      </c>
      <c r="DE28" s="73">
        <f t="shared" si="15"/>
        <v>0</v>
      </c>
      <c r="DF28" s="73">
        <f t="shared" si="16"/>
        <v>0</v>
      </c>
      <c r="DG28" s="73">
        <f t="shared" si="17"/>
        <v>0</v>
      </c>
      <c r="DH28" s="73">
        <f t="shared" si="18"/>
        <v>0</v>
      </c>
      <c r="DI28" s="73">
        <f t="shared" si="19"/>
        <v>0</v>
      </c>
      <c r="DJ28" s="73"/>
      <c r="DK28" s="73"/>
      <c r="DL28" s="73">
        <f t="shared" si="20"/>
        <v>0</v>
      </c>
      <c r="DM28" s="215">
        <f t="shared" si="21"/>
        <v>0</v>
      </c>
      <c r="DN28" s="73" t="str">
        <f t="shared" si="22"/>
        <v/>
      </c>
      <c r="DO28" s="73">
        <f t="shared" si="23"/>
        <v>0</v>
      </c>
      <c r="DP28" s="85" t="str">
        <f t="shared" si="24"/>
        <v/>
      </c>
      <c r="EB28" s="70" t="str">
        <f t="shared" si="25"/>
        <v>KHALDA_WELL</v>
      </c>
      <c r="EC28" s="71">
        <f t="shared" si="4"/>
        <v>46298</v>
      </c>
      <c r="ED28" s="72" t="str">
        <f t="shared" si="26"/>
        <v>AG-52</v>
      </c>
      <c r="EE28" s="73" t="str">
        <f t="shared" si="27"/>
        <v>NO P.CK</v>
      </c>
      <c r="EF28" s="73">
        <f t="shared" si="28"/>
        <v>170</v>
      </c>
      <c r="EG28" s="73">
        <f t="shared" si="29"/>
        <v>0</v>
      </c>
      <c r="EH28" s="73" t="str">
        <f t="shared" si="30"/>
        <v>SI</v>
      </c>
      <c r="EI28" s="73"/>
      <c r="EJ28" s="72"/>
      <c r="EK28" s="72" t="str">
        <f t="shared" si="31"/>
        <v/>
      </c>
      <c r="EL28" s="73">
        <f t="shared" si="32"/>
        <v>60</v>
      </c>
      <c r="EM28" s="213">
        <f t="shared" si="33"/>
        <v>0</v>
      </c>
      <c r="EN28" s="73"/>
      <c r="EO28" s="73"/>
      <c r="EQ28" s="73">
        <f t="shared" si="34"/>
        <v>0</v>
      </c>
      <c r="ER28" s="73">
        <f t="shared" si="35"/>
        <v>0</v>
      </c>
      <c r="ES28" s="73">
        <f t="shared" si="36"/>
        <v>0</v>
      </c>
      <c r="ET28" s="73">
        <f t="shared" si="37"/>
        <v>0</v>
      </c>
      <c r="EU28" s="73"/>
      <c r="EV28" s="73"/>
      <c r="EX28" s="3">
        <f t="shared" si="38"/>
        <v>0</v>
      </c>
      <c r="EY28" s="73"/>
      <c r="EZ28" s="73">
        <f t="shared" si="39"/>
        <v>0</v>
      </c>
      <c r="FA28" s="73">
        <f t="shared" si="40"/>
        <v>0</v>
      </c>
      <c r="FB28" s="73">
        <f t="shared" si="41"/>
        <v>0</v>
      </c>
      <c r="FC28" s="73"/>
      <c r="FD28" s="73" t="str">
        <f t="shared" si="42"/>
        <v>Flowing to GP</v>
      </c>
    </row>
    <row r="29" spans="2:191" s="3" customFormat="1" ht="16.5" customHeight="1">
      <c r="B29" s="316" t="s">
        <v>1276</v>
      </c>
      <c r="C29" s="317" t="s">
        <v>1305</v>
      </c>
      <c r="D29" s="317" t="s">
        <v>18</v>
      </c>
      <c r="E29" s="991">
        <v>0</v>
      </c>
      <c r="F29" s="951">
        <f t="shared" si="3"/>
        <v>0</v>
      </c>
      <c r="G29" s="48"/>
      <c r="H29" s="981">
        <v>0</v>
      </c>
      <c r="I29" s="48" t="s">
        <v>2335</v>
      </c>
      <c r="J29" s="48">
        <v>0</v>
      </c>
      <c r="K29" s="48">
        <v>0</v>
      </c>
      <c r="L29" s="48">
        <v>0</v>
      </c>
      <c r="M29" s="22"/>
      <c r="N29" s="140"/>
      <c r="O29" s="748"/>
      <c r="P29" s="48"/>
      <c r="Q29" s="48"/>
      <c r="R29" s="48"/>
      <c r="S29" s="886"/>
      <c r="T29" s="886"/>
      <c r="U29" s="886"/>
      <c r="V29" s="140"/>
      <c r="W29" s="140"/>
      <c r="X29" s="48"/>
      <c r="Y29" s="140"/>
      <c r="Z29" s="748"/>
      <c r="AA29" s="48"/>
      <c r="AB29" s="48"/>
      <c r="AC29" s="48">
        <v>50</v>
      </c>
      <c r="AD29" s="886"/>
      <c r="AE29" s="886"/>
      <c r="AF29" s="532">
        <f t="shared" si="5"/>
        <v>0</v>
      </c>
      <c r="AG29" s="531">
        <f t="shared" si="6"/>
        <v>0</v>
      </c>
      <c r="AH29" s="304">
        <v>45318</v>
      </c>
      <c r="AI29" s="13">
        <v>25</v>
      </c>
      <c r="AJ29" s="15">
        <v>1</v>
      </c>
      <c r="AK29" s="15">
        <v>0.10199999999999999</v>
      </c>
      <c r="AL29" s="13"/>
      <c r="AM29" s="93">
        <f t="shared" si="0"/>
        <v>24.75</v>
      </c>
      <c r="AN29" s="148"/>
      <c r="AO29" s="213"/>
      <c r="CJ29" s="921">
        <f t="shared" si="7"/>
        <v>0</v>
      </c>
      <c r="CT29" s="35"/>
      <c r="CU29" s="70" t="s">
        <v>1979</v>
      </c>
      <c r="CV29" s="71">
        <f t="shared" si="1"/>
        <v>46298</v>
      </c>
      <c r="CW29" s="72" t="str">
        <f t="shared" si="8"/>
        <v>9AG-53</v>
      </c>
      <c r="CX29" s="73" t="str">
        <f t="shared" si="9"/>
        <v>NO P.CK</v>
      </c>
      <c r="CY29" s="73">
        <f t="shared" si="10"/>
        <v>0</v>
      </c>
      <c r="CZ29" s="73">
        <f t="shared" si="11"/>
        <v>0</v>
      </c>
      <c r="DA29" s="73" t="str">
        <f t="shared" si="12"/>
        <v>SI</v>
      </c>
      <c r="DB29" s="73"/>
      <c r="DC29" s="368">
        <f t="shared" si="13"/>
        <v>0</v>
      </c>
      <c r="DD29" s="73">
        <f t="shared" si="14"/>
        <v>0</v>
      </c>
      <c r="DE29" s="73">
        <f t="shared" si="15"/>
        <v>0</v>
      </c>
      <c r="DF29" s="73">
        <f t="shared" si="16"/>
        <v>0</v>
      </c>
      <c r="DG29" s="73">
        <f t="shared" si="17"/>
        <v>0</v>
      </c>
      <c r="DH29" s="73">
        <f t="shared" si="18"/>
        <v>0</v>
      </c>
      <c r="DI29" s="73">
        <f t="shared" si="19"/>
        <v>0</v>
      </c>
      <c r="DJ29" s="73"/>
      <c r="DK29" s="73"/>
      <c r="DL29" s="73">
        <f t="shared" si="20"/>
        <v>0</v>
      </c>
      <c r="DM29" s="215">
        <f t="shared" si="21"/>
        <v>0</v>
      </c>
      <c r="DN29" s="73" t="str">
        <f t="shared" si="22"/>
        <v/>
      </c>
      <c r="DO29" s="73">
        <f t="shared" si="23"/>
        <v>0</v>
      </c>
      <c r="DP29" s="85" t="str">
        <f t="shared" si="24"/>
        <v/>
      </c>
      <c r="EB29" s="70" t="str">
        <f t="shared" si="25"/>
        <v>KHALDA_WELL</v>
      </c>
      <c r="EC29" s="71">
        <f t="shared" si="4"/>
        <v>46298</v>
      </c>
      <c r="ED29" s="72" t="str">
        <f t="shared" si="26"/>
        <v>AG-53</v>
      </c>
      <c r="EE29" s="73" t="str">
        <f t="shared" si="27"/>
        <v>NO P.CK</v>
      </c>
      <c r="EF29" s="73">
        <f t="shared" si="28"/>
        <v>0</v>
      </c>
      <c r="EG29" s="73">
        <f t="shared" si="29"/>
        <v>0</v>
      </c>
      <c r="EH29" s="73" t="str">
        <f t="shared" si="30"/>
        <v>SI</v>
      </c>
      <c r="EI29" s="73"/>
      <c r="EJ29" s="72"/>
      <c r="EK29" s="72" t="str">
        <f t="shared" si="31"/>
        <v/>
      </c>
      <c r="EL29" s="73">
        <f t="shared" si="32"/>
        <v>1</v>
      </c>
      <c r="EM29" s="213">
        <f t="shared" si="33"/>
        <v>0</v>
      </c>
      <c r="EN29" s="73"/>
      <c r="EO29" s="73"/>
      <c r="EQ29" s="73">
        <f t="shared" si="34"/>
        <v>0</v>
      </c>
      <c r="ER29" s="73">
        <f t="shared" si="35"/>
        <v>0</v>
      </c>
      <c r="ES29" s="73">
        <f t="shared" si="36"/>
        <v>0</v>
      </c>
      <c r="ET29" s="73">
        <f t="shared" si="37"/>
        <v>0</v>
      </c>
      <c r="EU29" s="73"/>
      <c r="EV29" s="73"/>
      <c r="EX29" s="3">
        <f t="shared" si="38"/>
        <v>0</v>
      </c>
      <c r="EY29" s="73"/>
      <c r="EZ29" s="73">
        <f t="shared" si="39"/>
        <v>0</v>
      </c>
      <c r="FA29" s="73">
        <f t="shared" si="40"/>
        <v>0</v>
      </c>
      <c r="FB29" s="73">
        <f t="shared" si="41"/>
        <v>0</v>
      </c>
      <c r="FC29" s="73"/>
      <c r="FD29" s="73">
        <f t="shared" si="42"/>
        <v>0</v>
      </c>
    </row>
    <row r="30" spans="2:191" s="3" customFormat="1" ht="16.5" customHeight="1">
      <c r="B30" s="316" t="s">
        <v>1277</v>
      </c>
      <c r="C30" s="317" t="s">
        <v>1305</v>
      </c>
      <c r="D30" s="317" t="s">
        <v>18</v>
      </c>
      <c r="E30" s="991">
        <v>0</v>
      </c>
      <c r="F30" s="951">
        <f t="shared" si="3"/>
        <v>0</v>
      </c>
      <c r="G30" s="48"/>
      <c r="H30" s="981">
        <v>0</v>
      </c>
      <c r="I30" s="48" t="s">
        <v>2335</v>
      </c>
      <c r="J30" s="48">
        <v>0</v>
      </c>
      <c r="K30" s="48">
        <v>0</v>
      </c>
      <c r="L30" s="48">
        <v>0</v>
      </c>
      <c r="M30" s="22"/>
      <c r="N30" s="140"/>
      <c r="O30" s="748"/>
      <c r="P30" s="48"/>
      <c r="Q30" s="48"/>
      <c r="R30" s="48"/>
      <c r="S30" s="886"/>
      <c r="T30" s="886"/>
      <c r="U30" s="886"/>
      <c r="V30" s="140"/>
      <c r="W30" s="140"/>
      <c r="X30" s="48"/>
      <c r="Y30" s="140"/>
      <c r="Z30" s="748"/>
      <c r="AA30" s="48"/>
      <c r="AB30" s="48"/>
      <c r="AC30" s="48"/>
      <c r="AD30" s="886"/>
      <c r="AE30" s="886"/>
      <c r="AF30" s="532">
        <f t="shared" si="5"/>
        <v>0</v>
      </c>
      <c r="AG30" s="531">
        <f t="shared" si="6"/>
        <v>0</v>
      </c>
      <c r="AH30" s="304">
        <v>46045</v>
      </c>
      <c r="AI30" s="13">
        <v>0</v>
      </c>
      <c r="AJ30" s="15"/>
      <c r="AK30" s="15">
        <v>0.32499999999999996</v>
      </c>
      <c r="AL30" s="13"/>
      <c r="AM30" s="93">
        <f t="shared" si="0"/>
        <v>0</v>
      </c>
      <c r="AN30" s="148"/>
      <c r="AO30" s="213"/>
      <c r="CJ30" s="921">
        <f t="shared" si="7"/>
        <v>0</v>
      </c>
      <c r="CT30" s="35"/>
      <c r="CU30" s="70" t="s">
        <v>1980</v>
      </c>
      <c r="CV30" s="71">
        <f t="shared" si="1"/>
        <v>46298</v>
      </c>
      <c r="CW30" s="72" t="str">
        <f t="shared" si="8"/>
        <v>9AG-54</v>
      </c>
      <c r="CX30" s="73" t="str">
        <f t="shared" si="9"/>
        <v>NO P.CK</v>
      </c>
      <c r="CY30" s="73">
        <f t="shared" si="10"/>
        <v>0</v>
      </c>
      <c r="CZ30" s="73">
        <f t="shared" si="11"/>
        <v>0</v>
      </c>
      <c r="DA30" s="73" t="str">
        <f t="shared" si="12"/>
        <v>SI</v>
      </c>
      <c r="DB30" s="73"/>
      <c r="DC30" s="368">
        <f t="shared" si="13"/>
        <v>0</v>
      </c>
      <c r="DD30" s="73">
        <f t="shared" si="14"/>
        <v>0</v>
      </c>
      <c r="DE30" s="73">
        <f t="shared" si="15"/>
        <v>0</v>
      </c>
      <c r="DF30" s="73">
        <f t="shared" si="16"/>
        <v>0</v>
      </c>
      <c r="DG30" s="73">
        <f t="shared" si="17"/>
        <v>0</v>
      </c>
      <c r="DH30" s="73">
        <f t="shared" si="18"/>
        <v>0</v>
      </c>
      <c r="DI30" s="73">
        <f t="shared" si="19"/>
        <v>0</v>
      </c>
      <c r="DJ30" s="73"/>
      <c r="DK30" s="73"/>
      <c r="DL30" s="73">
        <f t="shared" si="20"/>
        <v>0</v>
      </c>
      <c r="DM30" s="215">
        <f t="shared" si="21"/>
        <v>0</v>
      </c>
      <c r="DN30" s="73" t="str">
        <f t="shared" si="22"/>
        <v/>
      </c>
      <c r="DO30" s="73">
        <f t="shared" si="23"/>
        <v>0</v>
      </c>
      <c r="DP30" s="85" t="str">
        <f t="shared" si="24"/>
        <v/>
      </c>
      <c r="EB30" s="70" t="str">
        <f t="shared" si="25"/>
        <v>KHALDA_WELL</v>
      </c>
      <c r="EC30" s="71">
        <f t="shared" si="4"/>
        <v>46298</v>
      </c>
      <c r="ED30" s="72" t="str">
        <f t="shared" si="26"/>
        <v>AG-54</v>
      </c>
      <c r="EE30" s="73" t="str">
        <f t="shared" si="27"/>
        <v>NO P.CK</v>
      </c>
      <c r="EF30" s="73">
        <f t="shared" si="28"/>
        <v>0</v>
      </c>
      <c r="EG30" s="73">
        <f t="shared" si="29"/>
        <v>0</v>
      </c>
      <c r="EH30" s="73" t="str">
        <f t="shared" si="30"/>
        <v>SI</v>
      </c>
      <c r="EI30" s="73"/>
      <c r="EJ30" s="72"/>
      <c r="EK30" s="72" t="str">
        <f t="shared" si="31"/>
        <v/>
      </c>
      <c r="EL30" s="73">
        <f t="shared" si="32"/>
        <v>0</v>
      </c>
      <c r="EM30" s="213">
        <f t="shared" si="33"/>
        <v>0</v>
      </c>
      <c r="EN30" s="73"/>
      <c r="EO30" s="73"/>
      <c r="EQ30" s="73">
        <f t="shared" si="34"/>
        <v>0</v>
      </c>
      <c r="ER30" s="73">
        <f t="shared" si="35"/>
        <v>0</v>
      </c>
      <c r="ES30" s="73">
        <f t="shared" si="36"/>
        <v>0</v>
      </c>
      <c r="ET30" s="73">
        <f t="shared" si="37"/>
        <v>0</v>
      </c>
      <c r="EU30" s="73"/>
      <c r="EV30" s="73"/>
      <c r="EX30" s="3">
        <f t="shared" si="38"/>
        <v>0</v>
      </c>
      <c r="EY30" s="73"/>
      <c r="EZ30" s="73">
        <f t="shared" si="39"/>
        <v>0</v>
      </c>
      <c r="FA30" s="73">
        <f t="shared" si="40"/>
        <v>0</v>
      </c>
      <c r="FB30" s="73">
        <f t="shared" si="41"/>
        <v>0</v>
      </c>
      <c r="FC30" s="73"/>
      <c r="FD30" s="73">
        <f t="shared" si="42"/>
        <v>0</v>
      </c>
    </row>
    <row r="31" spans="2:191" s="3" customFormat="1" ht="16.5" customHeight="1">
      <c r="B31" s="316" t="s">
        <v>1452</v>
      </c>
      <c r="C31" s="317" t="s">
        <v>272</v>
      </c>
      <c r="D31" s="317" t="s">
        <v>18</v>
      </c>
      <c r="E31" s="991">
        <v>0</v>
      </c>
      <c r="F31" s="951">
        <f t="shared" si="3"/>
        <v>0</v>
      </c>
      <c r="G31" s="48"/>
      <c r="H31" s="981">
        <v>0</v>
      </c>
      <c r="I31" s="48" t="s">
        <v>2335</v>
      </c>
      <c r="J31" s="48">
        <v>0</v>
      </c>
      <c r="K31" s="48">
        <v>0</v>
      </c>
      <c r="L31" s="48">
        <v>0</v>
      </c>
      <c r="M31" s="22"/>
      <c r="N31" s="140"/>
      <c r="O31" s="748"/>
      <c r="P31" s="48"/>
      <c r="Q31" s="48"/>
      <c r="R31" s="48"/>
      <c r="S31" s="886"/>
      <c r="T31" s="886"/>
      <c r="U31" s="886"/>
      <c r="V31" s="140"/>
      <c r="W31" s="140"/>
      <c r="X31" s="48"/>
      <c r="Y31" s="140"/>
      <c r="Z31" s="748"/>
      <c r="AA31" s="48"/>
      <c r="AB31" s="48"/>
      <c r="AC31" s="48">
        <v>50</v>
      </c>
      <c r="AD31" s="886"/>
      <c r="AE31" s="886"/>
      <c r="AF31" s="532">
        <f t="shared" si="5"/>
        <v>0</v>
      </c>
      <c r="AG31" s="531">
        <f t="shared" si="6"/>
        <v>0</v>
      </c>
      <c r="AH31" s="304">
        <v>43238</v>
      </c>
      <c r="AI31" s="13">
        <v>39</v>
      </c>
      <c r="AJ31" s="15">
        <v>37.299999999999997</v>
      </c>
      <c r="AK31" s="15">
        <v>0.13</v>
      </c>
      <c r="AL31" s="13"/>
      <c r="AM31" s="93">
        <f t="shared" si="0"/>
        <v>24.452999999999999</v>
      </c>
      <c r="AN31" s="148" t="s">
        <v>2143</v>
      </c>
      <c r="AO31" s="213"/>
      <c r="CJ31" s="921">
        <f t="shared" si="7"/>
        <v>0</v>
      </c>
      <c r="CT31" s="35"/>
      <c r="CU31" s="70" t="s">
        <v>1981</v>
      </c>
      <c r="CV31" s="71">
        <f t="shared" si="1"/>
        <v>46298</v>
      </c>
      <c r="CW31" s="72" t="str">
        <f t="shared" si="8"/>
        <v>9AG-56</v>
      </c>
      <c r="CX31" s="73" t="str">
        <f t="shared" si="9"/>
        <v>NO P.CK</v>
      </c>
      <c r="CY31" s="73">
        <f t="shared" si="10"/>
        <v>0</v>
      </c>
      <c r="CZ31" s="73">
        <f t="shared" si="11"/>
        <v>0</v>
      </c>
      <c r="DA31" s="73" t="str">
        <f t="shared" si="12"/>
        <v>SI</v>
      </c>
      <c r="DB31" s="73"/>
      <c r="DC31" s="368">
        <f t="shared" si="13"/>
        <v>0</v>
      </c>
      <c r="DD31" s="73">
        <f t="shared" si="14"/>
        <v>0</v>
      </c>
      <c r="DE31" s="73">
        <f t="shared" si="15"/>
        <v>0</v>
      </c>
      <c r="DF31" s="73">
        <f t="shared" si="16"/>
        <v>0</v>
      </c>
      <c r="DG31" s="73">
        <f t="shared" si="17"/>
        <v>0</v>
      </c>
      <c r="DH31" s="73">
        <f t="shared" si="18"/>
        <v>0</v>
      </c>
      <c r="DI31" s="73">
        <f t="shared" si="19"/>
        <v>0</v>
      </c>
      <c r="DJ31" s="73"/>
      <c r="DK31" s="73"/>
      <c r="DL31" s="73">
        <f t="shared" si="20"/>
        <v>0</v>
      </c>
      <c r="DM31" s="215">
        <f t="shared" si="21"/>
        <v>0</v>
      </c>
      <c r="DN31" s="73" t="str">
        <f t="shared" si="22"/>
        <v/>
      </c>
      <c r="DO31" s="73">
        <f t="shared" si="23"/>
        <v>0</v>
      </c>
      <c r="DP31" s="85" t="str">
        <f t="shared" si="24"/>
        <v/>
      </c>
      <c r="EB31" s="70" t="str">
        <f t="shared" si="25"/>
        <v>KHALDA_WELL</v>
      </c>
      <c r="EC31" s="71">
        <f t="shared" si="4"/>
        <v>46298</v>
      </c>
      <c r="ED31" s="72" t="str">
        <f t="shared" si="26"/>
        <v>AG-56</v>
      </c>
      <c r="EE31" s="73" t="str">
        <f t="shared" si="27"/>
        <v>NO P.CK</v>
      </c>
      <c r="EF31" s="73">
        <f t="shared" si="28"/>
        <v>0</v>
      </c>
      <c r="EG31" s="73">
        <f t="shared" si="29"/>
        <v>0</v>
      </c>
      <c r="EH31" s="73" t="str">
        <f t="shared" si="30"/>
        <v>SI</v>
      </c>
      <c r="EI31" s="73"/>
      <c r="EJ31" s="72"/>
      <c r="EK31" s="72" t="str">
        <f t="shared" si="31"/>
        <v/>
      </c>
      <c r="EL31" s="73">
        <f t="shared" si="32"/>
        <v>37.299999999999997</v>
      </c>
      <c r="EM31" s="213">
        <f t="shared" si="33"/>
        <v>0</v>
      </c>
      <c r="EN31" s="73"/>
      <c r="EO31" s="73"/>
      <c r="EQ31" s="73">
        <f t="shared" si="34"/>
        <v>0</v>
      </c>
      <c r="ER31" s="73">
        <f t="shared" si="35"/>
        <v>0</v>
      </c>
      <c r="ES31" s="73">
        <f t="shared" si="36"/>
        <v>0</v>
      </c>
      <c r="ET31" s="73">
        <f t="shared" si="37"/>
        <v>0</v>
      </c>
      <c r="EU31" s="73"/>
      <c r="EV31" s="73"/>
      <c r="EX31" s="3">
        <f t="shared" si="38"/>
        <v>0</v>
      </c>
      <c r="EY31" s="73"/>
      <c r="EZ31" s="73">
        <f t="shared" si="39"/>
        <v>0</v>
      </c>
      <c r="FA31" s="73">
        <f t="shared" si="40"/>
        <v>0</v>
      </c>
      <c r="FB31" s="73">
        <f t="shared" si="41"/>
        <v>0</v>
      </c>
      <c r="FC31" s="73"/>
      <c r="FD31" s="73" t="str">
        <f t="shared" si="42"/>
        <v>The well is SI due to low production &amp; gas lift optimization</v>
      </c>
    </row>
    <row r="32" spans="2:191" s="3" customFormat="1" ht="16.5" customHeight="1">
      <c r="B32" s="316" t="s">
        <v>1317</v>
      </c>
      <c r="C32" s="317" t="s">
        <v>21</v>
      </c>
      <c r="D32" s="317" t="s">
        <v>1301</v>
      </c>
      <c r="E32" s="991">
        <v>24</v>
      </c>
      <c r="F32" s="951">
        <f t="shared" si="3"/>
        <v>0</v>
      </c>
      <c r="G32" s="48"/>
      <c r="H32" s="981">
        <v>1.1181780404305033</v>
      </c>
      <c r="I32" s="48" t="s">
        <v>2335</v>
      </c>
      <c r="J32" s="48">
        <v>240</v>
      </c>
      <c r="K32" s="48">
        <v>240</v>
      </c>
      <c r="L32" s="48">
        <v>730</v>
      </c>
      <c r="M32" s="22"/>
      <c r="N32" s="140"/>
      <c r="O32" s="748"/>
      <c r="P32" s="48"/>
      <c r="Q32" s="48"/>
      <c r="R32" s="48"/>
      <c r="S32" s="886"/>
      <c r="T32" s="886"/>
      <c r="U32" s="886"/>
      <c r="V32" s="140"/>
      <c r="W32" s="140"/>
      <c r="X32" s="48"/>
      <c r="Y32" s="140"/>
      <c r="Z32" s="748"/>
      <c r="AA32" s="48"/>
      <c r="AB32" s="48"/>
      <c r="AC32" s="48"/>
      <c r="AD32" s="886"/>
      <c r="AE32" s="886"/>
      <c r="AF32" s="532">
        <f t="shared" si="5"/>
        <v>0.06</v>
      </c>
      <c r="AG32" s="531">
        <f t="shared" si="6"/>
        <v>33.299999999999997</v>
      </c>
      <c r="AH32" s="304">
        <v>46271</v>
      </c>
      <c r="AI32" s="13">
        <v>90</v>
      </c>
      <c r="AJ32" s="15">
        <v>63</v>
      </c>
      <c r="AK32" s="15">
        <v>0.06</v>
      </c>
      <c r="AL32" s="13">
        <v>92000</v>
      </c>
      <c r="AM32" s="93">
        <f t="shared" si="0"/>
        <v>33.299999999999997</v>
      </c>
      <c r="AN32" s="148"/>
      <c r="AO32" s="213"/>
      <c r="CJ32" s="921">
        <f t="shared" si="7"/>
        <v>56.7</v>
      </c>
      <c r="CT32" s="35"/>
      <c r="CU32" s="70" t="s">
        <v>1982</v>
      </c>
      <c r="CV32" s="71">
        <f t="shared" si="1"/>
        <v>46298</v>
      </c>
      <c r="CW32" s="72" t="str">
        <f t="shared" si="8"/>
        <v>9AG-57ST2</v>
      </c>
      <c r="CX32" s="73" t="str">
        <f t="shared" si="9"/>
        <v>NO P.CK</v>
      </c>
      <c r="CY32" s="73">
        <f t="shared" si="10"/>
        <v>240</v>
      </c>
      <c r="CZ32" s="73">
        <f t="shared" si="11"/>
        <v>24</v>
      </c>
      <c r="DA32" s="73" t="str">
        <f t="shared" si="12"/>
        <v>G/L</v>
      </c>
      <c r="DB32" s="73"/>
      <c r="DC32" s="368">
        <f t="shared" si="13"/>
        <v>1118.1780404305032</v>
      </c>
      <c r="DD32" s="73">
        <f t="shared" si="14"/>
        <v>0</v>
      </c>
      <c r="DE32" s="73">
        <f t="shared" si="15"/>
        <v>0</v>
      </c>
      <c r="DF32" s="73">
        <f t="shared" si="16"/>
        <v>0</v>
      </c>
      <c r="DG32" s="73">
        <f t="shared" si="17"/>
        <v>0</v>
      </c>
      <c r="DH32" s="73">
        <f t="shared" si="18"/>
        <v>0</v>
      </c>
      <c r="DI32" s="73">
        <f t="shared" si="19"/>
        <v>0</v>
      </c>
      <c r="DJ32" s="73"/>
      <c r="DK32" s="73"/>
      <c r="DL32" s="73">
        <f t="shared" si="20"/>
        <v>0</v>
      </c>
      <c r="DM32" s="215">
        <f t="shared" si="21"/>
        <v>33.299999999999997</v>
      </c>
      <c r="DN32" s="73" t="str">
        <f t="shared" si="22"/>
        <v/>
      </c>
      <c r="DO32" s="73">
        <f t="shared" si="23"/>
        <v>33.299999999999997</v>
      </c>
      <c r="DP32" s="85" t="str">
        <f t="shared" si="24"/>
        <v>SAG</v>
      </c>
      <c r="EB32" s="70" t="str">
        <f t="shared" si="25"/>
        <v>KHALDA_WELL</v>
      </c>
      <c r="EC32" s="71">
        <f t="shared" si="4"/>
        <v>46298</v>
      </c>
      <c r="ED32" s="72" t="str">
        <f t="shared" si="26"/>
        <v>AG-57ST2</v>
      </c>
      <c r="EE32" s="73" t="str">
        <f t="shared" si="27"/>
        <v>NO P.CK</v>
      </c>
      <c r="EF32" s="73">
        <f t="shared" si="28"/>
        <v>240</v>
      </c>
      <c r="EG32" s="73">
        <f t="shared" si="29"/>
        <v>24</v>
      </c>
      <c r="EH32" s="73" t="str">
        <f t="shared" si="30"/>
        <v>G/L</v>
      </c>
      <c r="EI32" s="73"/>
      <c r="EJ32" s="72"/>
      <c r="EK32" s="72" t="str">
        <f t="shared" si="31"/>
        <v/>
      </c>
      <c r="EL32" s="73">
        <f t="shared" si="32"/>
        <v>63</v>
      </c>
      <c r="EM32" s="213">
        <f t="shared" si="33"/>
        <v>0</v>
      </c>
      <c r="EN32" s="73"/>
      <c r="EO32" s="73"/>
      <c r="EQ32" s="73">
        <f t="shared" si="34"/>
        <v>0</v>
      </c>
      <c r="ER32" s="73">
        <f t="shared" si="35"/>
        <v>0</v>
      </c>
      <c r="ES32" s="73">
        <f t="shared" si="36"/>
        <v>0</v>
      </c>
      <c r="ET32" s="73">
        <f t="shared" si="37"/>
        <v>0</v>
      </c>
      <c r="EU32" s="73"/>
      <c r="EV32" s="73"/>
      <c r="EX32" s="3">
        <f t="shared" si="38"/>
        <v>0</v>
      </c>
      <c r="EY32" s="73"/>
      <c r="EZ32" s="73">
        <f t="shared" si="39"/>
        <v>0</v>
      </c>
      <c r="FA32" s="73">
        <f t="shared" si="40"/>
        <v>0</v>
      </c>
      <c r="FB32" s="73">
        <f t="shared" si="41"/>
        <v>0</v>
      </c>
      <c r="FC32" s="73"/>
      <c r="FD32" s="73">
        <f t="shared" si="42"/>
        <v>0</v>
      </c>
    </row>
    <row r="33" spans="2:160" s="3" customFormat="1" ht="16.5" customHeight="1">
      <c r="B33" s="316" t="s">
        <v>1644</v>
      </c>
      <c r="C33" s="317" t="s">
        <v>272</v>
      </c>
      <c r="D33" s="317" t="s">
        <v>18</v>
      </c>
      <c r="E33" s="991">
        <v>0</v>
      </c>
      <c r="F33" s="951">
        <f t="shared" si="3"/>
        <v>0</v>
      </c>
      <c r="G33" s="48" t="s">
        <v>2516</v>
      </c>
      <c r="H33" s="981"/>
      <c r="I33" s="48" t="s">
        <v>255</v>
      </c>
      <c r="J33" s="48">
        <v>90</v>
      </c>
      <c r="K33" s="48">
        <v>90</v>
      </c>
      <c r="L33" s="48">
        <v>0</v>
      </c>
      <c r="M33" s="22"/>
      <c r="N33" s="140"/>
      <c r="O33" s="748"/>
      <c r="P33" s="48"/>
      <c r="Q33" s="48"/>
      <c r="R33" s="48"/>
      <c r="S33" s="886"/>
      <c r="T33" s="886"/>
      <c r="U33" s="886"/>
      <c r="V33" s="140"/>
      <c r="W33" s="140"/>
      <c r="X33" s="48"/>
      <c r="Y33" s="140"/>
      <c r="Z33" s="748"/>
      <c r="AA33" s="48"/>
      <c r="AB33" s="48"/>
      <c r="AC33" s="48"/>
      <c r="AD33" s="886"/>
      <c r="AE33" s="886"/>
      <c r="AF33" s="532">
        <f>AK33/24*E33</f>
        <v>0</v>
      </c>
      <c r="AG33" s="531">
        <f>AM33/24*E33</f>
        <v>0</v>
      </c>
      <c r="AH33" s="304">
        <v>44489</v>
      </c>
      <c r="AI33" s="13">
        <v>0</v>
      </c>
      <c r="AJ33" s="15">
        <v>0</v>
      </c>
      <c r="AK33" s="15">
        <v>0</v>
      </c>
      <c r="AL33" s="13"/>
      <c r="AM33" s="93">
        <f t="shared" si="0"/>
        <v>0</v>
      </c>
      <c r="AN33" s="148"/>
      <c r="AO33" s="213"/>
      <c r="CJ33" s="921">
        <f>+IF(D33="SI",0,AI33*AJ33/100)</f>
        <v>0</v>
      </c>
      <c r="CT33" s="35"/>
      <c r="CU33" s="70" t="s">
        <v>1983</v>
      </c>
      <c r="CV33" s="71">
        <f t="shared" si="1"/>
        <v>46298</v>
      </c>
      <c r="CW33" s="72" t="str">
        <f t="shared" si="8"/>
        <v>9AG-58</v>
      </c>
      <c r="CX33" s="73" t="str">
        <f t="shared" si="9"/>
        <v>OPEN</v>
      </c>
      <c r="CY33" s="73">
        <f t="shared" si="10"/>
        <v>90</v>
      </c>
      <c r="CZ33" s="73">
        <f>E33</f>
        <v>0</v>
      </c>
      <c r="DA33" s="73" t="str">
        <f>IF(CZ33=0,"SI",D33)</f>
        <v>SI</v>
      </c>
      <c r="DB33" s="73"/>
      <c r="DC33" s="368">
        <f>E33*((H33*1000)/24)</f>
        <v>0</v>
      </c>
      <c r="DD33" s="73">
        <f t="shared" si="14"/>
        <v>0</v>
      </c>
      <c r="DE33" s="73">
        <f t="shared" si="15"/>
        <v>0</v>
      </c>
      <c r="DF33" s="73">
        <f t="shared" si="16"/>
        <v>0</v>
      </c>
      <c r="DG33" s="73">
        <f t="shared" si="17"/>
        <v>0</v>
      </c>
      <c r="DH33" s="73">
        <f t="shared" si="18"/>
        <v>0</v>
      </c>
      <c r="DI33" s="73">
        <f t="shared" si="19"/>
        <v>0</v>
      </c>
      <c r="DJ33" s="73"/>
      <c r="DK33" s="73"/>
      <c r="DL33" s="73">
        <f t="shared" si="20"/>
        <v>0</v>
      </c>
      <c r="DM33" s="215">
        <f t="shared" si="21"/>
        <v>0</v>
      </c>
      <c r="DN33" s="73" t="str">
        <f>IF(G33="","",G33)</f>
        <v>Low Reservoir Pressure/Depleted</v>
      </c>
      <c r="DO33" s="73">
        <f t="shared" si="23"/>
        <v>0</v>
      </c>
      <c r="DP33" s="85" t="str">
        <f>IF(OR(D33="SI",B33="",D33="T&amp;A"),"",VLOOKUP(B33,WELL_FIELD,2))</f>
        <v/>
      </c>
      <c r="EB33" s="70" t="str">
        <f t="shared" si="25"/>
        <v>KHALDA_WELL</v>
      </c>
      <c r="EC33" s="71">
        <f t="shared" si="4"/>
        <v>46298</v>
      </c>
      <c r="ED33" s="72" t="str">
        <f t="shared" si="26"/>
        <v>AG-58</v>
      </c>
      <c r="EE33" s="73" t="str">
        <f t="shared" si="27"/>
        <v>OPEN</v>
      </c>
      <c r="EF33" s="73">
        <f t="shared" si="28"/>
        <v>90</v>
      </c>
      <c r="EG33" s="73">
        <f t="shared" si="29"/>
        <v>0</v>
      </c>
      <c r="EH33" s="73" t="str">
        <f t="shared" si="30"/>
        <v>SI</v>
      </c>
      <c r="EI33" s="73"/>
      <c r="EJ33" s="72"/>
      <c r="EK33" s="72" t="str">
        <f t="shared" si="31"/>
        <v>Low Reservoir Pressure/Depleted</v>
      </c>
      <c r="EL33" s="73">
        <f t="shared" si="32"/>
        <v>0</v>
      </c>
      <c r="EM33" s="213">
        <f t="shared" si="33"/>
        <v>0</v>
      </c>
      <c r="EN33" s="73"/>
      <c r="EO33" s="73"/>
      <c r="EQ33" s="73">
        <f t="shared" si="34"/>
        <v>0</v>
      </c>
      <c r="ER33" s="73">
        <f t="shared" si="35"/>
        <v>0</v>
      </c>
      <c r="ES33" s="73">
        <f t="shared" si="36"/>
        <v>0</v>
      </c>
      <c r="ET33" s="73">
        <f t="shared" si="37"/>
        <v>0</v>
      </c>
      <c r="EU33" s="73"/>
      <c r="EV33" s="73"/>
      <c r="EX33" s="3">
        <f t="shared" si="38"/>
        <v>0</v>
      </c>
      <c r="EY33" s="73"/>
      <c r="EZ33" s="73">
        <f t="shared" si="39"/>
        <v>0</v>
      </c>
      <c r="FA33" s="73">
        <f t="shared" si="40"/>
        <v>0</v>
      </c>
      <c r="FB33" s="73">
        <f t="shared" si="41"/>
        <v>0</v>
      </c>
      <c r="FC33" s="73"/>
      <c r="FD33" s="73">
        <f t="shared" si="42"/>
        <v>0</v>
      </c>
    </row>
    <row r="34" spans="2:160" s="3" customFormat="1" ht="16.5" customHeight="1">
      <c r="B34" s="316" t="s">
        <v>1645</v>
      </c>
      <c r="C34" s="317" t="s">
        <v>272</v>
      </c>
      <c r="D34" s="317" t="s">
        <v>286</v>
      </c>
      <c r="E34" s="991">
        <v>24</v>
      </c>
      <c r="F34" s="951">
        <f t="shared" si="3"/>
        <v>0</v>
      </c>
      <c r="G34" s="48"/>
      <c r="H34" s="981"/>
      <c r="I34" s="48">
        <v>16</v>
      </c>
      <c r="J34" s="48">
        <v>610</v>
      </c>
      <c r="K34" s="48">
        <v>0</v>
      </c>
      <c r="L34" s="48">
        <v>0</v>
      </c>
      <c r="M34" s="22"/>
      <c r="N34" s="140"/>
      <c r="O34" s="748"/>
      <c r="P34" s="48"/>
      <c r="Q34" s="48"/>
      <c r="R34" s="48"/>
      <c r="S34" s="886"/>
      <c r="T34" s="886"/>
      <c r="U34" s="886"/>
      <c r="V34" s="140"/>
      <c r="W34" s="140"/>
      <c r="X34" s="48"/>
      <c r="Y34" s="140"/>
      <c r="Z34" s="748"/>
      <c r="AA34" s="48"/>
      <c r="AB34" s="48"/>
      <c r="AC34" s="48"/>
      <c r="AD34" s="886"/>
      <c r="AE34" s="886"/>
      <c r="AF34" s="532">
        <f>AK34/24*E34</f>
        <v>0.14399999999999999</v>
      </c>
      <c r="AG34" s="531">
        <f>AM34/24*E34</f>
        <v>9.9</v>
      </c>
      <c r="AH34" s="304">
        <v>44610</v>
      </c>
      <c r="AI34" s="13">
        <v>10</v>
      </c>
      <c r="AJ34" s="15">
        <v>1</v>
      </c>
      <c r="AK34" s="15">
        <v>0.14399999999999999</v>
      </c>
      <c r="AL34" s="13"/>
      <c r="AM34" s="93">
        <f t="shared" si="0"/>
        <v>9.9</v>
      </c>
      <c r="AN34" s="148"/>
      <c r="AO34" s="213"/>
      <c r="CJ34" s="921">
        <f t="shared" si="7"/>
        <v>0.1</v>
      </c>
      <c r="CT34" s="35"/>
      <c r="CU34" s="70" t="s">
        <v>2192</v>
      </c>
      <c r="CV34" s="71">
        <f t="shared" si="1"/>
        <v>46298</v>
      </c>
      <c r="CW34" s="72" t="str">
        <f t="shared" si="8"/>
        <v>9AG-60</v>
      </c>
      <c r="CX34" s="73">
        <f t="shared" si="9"/>
        <v>16</v>
      </c>
      <c r="CY34" s="73">
        <f t="shared" si="10"/>
        <v>610</v>
      </c>
      <c r="CZ34" s="73">
        <f t="shared" si="11"/>
        <v>24</v>
      </c>
      <c r="DA34" s="73" t="str">
        <f t="shared" si="12"/>
        <v>NF</v>
      </c>
      <c r="DB34" s="73"/>
      <c r="DC34" s="368">
        <f t="shared" si="13"/>
        <v>0</v>
      </c>
      <c r="DD34" s="73">
        <f t="shared" si="14"/>
        <v>0</v>
      </c>
      <c r="DE34" s="73">
        <f t="shared" si="15"/>
        <v>0</v>
      </c>
      <c r="DF34" s="73">
        <f t="shared" si="16"/>
        <v>0</v>
      </c>
      <c r="DG34" s="73">
        <f t="shared" si="17"/>
        <v>0</v>
      </c>
      <c r="DH34" s="73">
        <f t="shared" si="18"/>
        <v>0</v>
      </c>
      <c r="DI34" s="73">
        <f t="shared" si="19"/>
        <v>0</v>
      </c>
      <c r="DJ34" s="73"/>
      <c r="DK34" s="73"/>
      <c r="DL34" s="73">
        <f t="shared" si="20"/>
        <v>0</v>
      </c>
      <c r="DM34" s="215">
        <f t="shared" si="21"/>
        <v>9.9</v>
      </c>
      <c r="DN34" s="73" t="str">
        <f t="shared" si="22"/>
        <v/>
      </c>
      <c r="DO34" s="73">
        <f t="shared" si="23"/>
        <v>9.9</v>
      </c>
      <c r="DP34" s="85" t="str">
        <f t="shared" si="24"/>
        <v>AG</v>
      </c>
      <c r="EB34" s="70" t="str">
        <f t="shared" si="25"/>
        <v>KHALDA_WELL</v>
      </c>
      <c r="EC34" s="71">
        <f t="shared" si="4"/>
        <v>46298</v>
      </c>
      <c r="ED34" s="72" t="str">
        <f t="shared" si="26"/>
        <v>AG-60</v>
      </c>
      <c r="EE34" s="73">
        <f t="shared" si="27"/>
        <v>16</v>
      </c>
      <c r="EF34" s="73">
        <f t="shared" si="28"/>
        <v>610</v>
      </c>
      <c r="EG34" s="73">
        <f t="shared" si="29"/>
        <v>24</v>
      </c>
      <c r="EH34" s="73" t="str">
        <f t="shared" si="30"/>
        <v>NF</v>
      </c>
      <c r="EI34" s="73"/>
      <c r="EJ34" s="72"/>
      <c r="EK34" s="72" t="str">
        <f t="shared" si="31"/>
        <v/>
      </c>
      <c r="EL34" s="73">
        <f t="shared" si="32"/>
        <v>1</v>
      </c>
      <c r="EM34" s="213">
        <f t="shared" si="33"/>
        <v>0</v>
      </c>
      <c r="EN34" s="73"/>
      <c r="EO34" s="73"/>
      <c r="EQ34" s="73">
        <f t="shared" si="34"/>
        <v>0</v>
      </c>
      <c r="ER34" s="73">
        <f t="shared" si="35"/>
        <v>0</v>
      </c>
      <c r="ES34" s="73">
        <f t="shared" si="36"/>
        <v>0</v>
      </c>
      <c r="ET34" s="73">
        <f t="shared" si="37"/>
        <v>0</v>
      </c>
      <c r="EU34" s="73"/>
      <c r="EV34" s="73"/>
      <c r="EX34" s="3">
        <f t="shared" si="38"/>
        <v>0</v>
      </c>
      <c r="EY34" s="73"/>
      <c r="EZ34" s="73">
        <f t="shared" si="39"/>
        <v>0</v>
      </c>
      <c r="FA34" s="73">
        <f t="shared" si="40"/>
        <v>0</v>
      </c>
      <c r="FB34" s="73">
        <f t="shared" si="41"/>
        <v>0</v>
      </c>
      <c r="FC34" s="73"/>
      <c r="FD34" s="73">
        <f t="shared" si="42"/>
        <v>0</v>
      </c>
    </row>
    <row r="35" spans="2:160" s="3" customFormat="1" ht="16.5" customHeight="1">
      <c r="B35" s="316" t="s">
        <v>1278</v>
      </c>
      <c r="C35" s="317" t="s">
        <v>272</v>
      </c>
      <c r="D35" s="317" t="s">
        <v>286</v>
      </c>
      <c r="E35" s="991">
        <v>24</v>
      </c>
      <c r="F35" s="951">
        <f t="shared" si="3"/>
        <v>0</v>
      </c>
      <c r="G35" s="48"/>
      <c r="H35" s="981"/>
      <c r="I35" s="48" t="s">
        <v>255</v>
      </c>
      <c r="J35" s="48">
        <v>150</v>
      </c>
      <c r="K35" s="48">
        <v>140</v>
      </c>
      <c r="L35" s="48">
        <v>0</v>
      </c>
      <c r="M35" s="22"/>
      <c r="N35" s="140"/>
      <c r="O35" s="748"/>
      <c r="P35" s="48"/>
      <c r="Q35" s="48"/>
      <c r="R35" s="48"/>
      <c r="S35" s="886"/>
      <c r="T35" s="886"/>
      <c r="U35" s="886"/>
      <c r="V35" s="140"/>
      <c r="W35" s="140"/>
      <c r="X35" s="48"/>
      <c r="Y35" s="140"/>
      <c r="Z35" s="748"/>
      <c r="AA35" s="48"/>
      <c r="AB35" s="48"/>
      <c r="AC35" s="48"/>
      <c r="AD35" s="886"/>
      <c r="AE35" s="886"/>
      <c r="AF35" s="532">
        <f t="shared" si="5"/>
        <v>0.27800000000000002</v>
      </c>
      <c r="AG35" s="531">
        <f t="shared" si="6"/>
        <v>0</v>
      </c>
      <c r="AH35" s="304">
        <v>46136</v>
      </c>
      <c r="AI35" s="13">
        <v>0</v>
      </c>
      <c r="AJ35" s="15">
        <v>0</v>
      </c>
      <c r="AK35" s="15">
        <v>0.27800000000000002</v>
      </c>
      <c r="AL35" s="13"/>
      <c r="AM35" s="93">
        <f t="shared" si="0"/>
        <v>0</v>
      </c>
      <c r="AN35" s="148"/>
      <c r="AO35" s="213"/>
      <c r="CJ35" s="921">
        <f t="shared" si="7"/>
        <v>0</v>
      </c>
      <c r="CT35" s="35"/>
      <c r="CU35" s="70" t="s">
        <v>1984</v>
      </c>
      <c r="CV35" s="71">
        <f t="shared" si="1"/>
        <v>46298</v>
      </c>
      <c r="CW35" s="72" t="str">
        <f t="shared" si="8"/>
        <v>9AG-62</v>
      </c>
      <c r="CX35" s="73" t="str">
        <f t="shared" si="9"/>
        <v>OPEN</v>
      </c>
      <c r="CY35" s="73">
        <f t="shared" si="10"/>
        <v>150</v>
      </c>
      <c r="CZ35" s="73">
        <f t="shared" si="11"/>
        <v>24</v>
      </c>
      <c r="DA35" s="73" t="str">
        <f t="shared" si="12"/>
        <v>NF</v>
      </c>
      <c r="DB35" s="73"/>
      <c r="DC35" s="368">
        <f t="shared" si="13"/>
        <v>0</v>
      </c>
      <c r="DD35" s="73">
        <f t="shared" si="14"/>
        <v>0</v>
      </c>
      <c r="DE35" s="73">
        <f t="shared" si="15"/>
        <v>0</v>
      </c>
      <c r="DF35" s="73">
        <f t="shared" si="16"/>
        <v>0</v>
      </c>
      <c r="DG35" s="73">
        <f t="shared" si="17"/>
        <v>0</v>
      </c>
      <c r="DH35" s="73">
        <f t="shared" si="18"/>
        <v>0</v>
      </c>
      <c r="DI35" s="73">
        <f t="shared" si="19"/>
        <v>0</v>
      </c>
      <c r="DJ35" s="73"/>
      <c r="DK35" s="73"/>
      <c r="DL35" s="73">
        <f t="shared" si="20"/>
        <v>0</v>
      </c>
      <c r="DM35" s="215">
        <f t="shared" si="21"/>
        <v>0</v>
      </c>
      <c r="DN35" s="73" t="str">
        <f t="shared" si="22"/>
        <v/>
      </c>
      <c r="DO35" s="73">
        <f t="shared" si="23"/>
        <v>0</v>
      </c>
      <c r="DP35" s="85" t="str">
        <f t="shared" si="24"/>
        <v>AG</v>
      </c>
      <c r="EB35" s="70" t="str">
        <f t="shared" si="25"/>
        <v>KHALDA_WELL</v>
      </c>
      <c r="EC35" s="71">
        <f t="shared" si="4"/>
        <v>46298</v>
      </c>
      <c r="ED35" s="72" t="str">
        <f t="shared" si="26"/>
        <v>AG-62</v>
      </c>
      <c r="EE35" s="73" t="str">
        <f t="shared" si="27"/>
        <v>OPEN</v>
      </c>
      <c r="EF35" s="73">
        <f t="shared" si="28"/>
        <v>150</v>
      </c>
      <c r="EG35" s="73">
        <f t="shared" si="29"/>
        <v>24</v>
      </c>
      <c r="EH35" s="73" t="str">
        <f t="shared" si="30"/>
        <v>NF</v>
      </c>
      <c r="EI35" s="73"/>
      <c r="EJ35" s="72"/>
      <c r="EK35" s="72" t="str">
        <f t="shared" si="31"/>
        <v/>
      </c>
      <c r="EL35" s="73">
        <f t="shared" si="32"/>
        <v>0</v>
      </c>
      <c r="EM35" s="213">
        <f t="shared" si="33"/>
        <v>0</v>
      </c>
      <c r="EN35" s="73"/>
      <c r="EO35" s="73"/>
      <c r="EQ35" s="73">
        <f t="shared" si="34"/>
        <v>0</v>
      </c>
      <c r="ER35" s="73">
        <f t="shared" si="35"/>
        <v>0</v>
      </c>
      <c r="ES35" s="73">
        <f t="shared" si="36"/>
        <v>0</v>
      </c>
      <c r="ET35" s="73">
        <f t="shared" si="37"/>
        <v>0</v>
      </c>
      <c r="EU35" s="73"/>
      <c r="EV35" s="73"/>
      <c r="EX35" s="3">
        <f t="shared" si="38"/>
        <v>0</v>
      </c>
      <c r="EY35" s="73"/>
      <c r="EZ35" s="73">
        <f t="shared" si="39"/>
        <v>0</v>
      </c>
      <c r="FA35" s="73">
        <f t="shared" si="40"/>
        <v>0</v>
      </c>
      <c r="FB35" s="73">
        <f t="shared" si="41"/>
        <v>0</v>
      </c>
      <c r="FC35" s="73"/>
      <c r="FD35" s="73">
        <f t="shared" si="42"/>
        <v>0</v>
      </c>
    </row>
    <row r="36" spans="2:160" s="3" customFormat="1" ht="16.5" customHeight="1">
      <c r="B36" s="316" t="s">
        <v>1279</v>
      </c>
      <c r="C36" s="317" t="s">
        <v>272</v>
      </c>
      <c r="D36" s="317" t="s">
        <v>286</v>
      </c>
      <c r="E36" s="991">
        <v>12</v>
      </c>
      <c r="F36" s="951">
        <f>IF(E36=0,0,((AI36*(1-(AJ36/100)))/24)*(24-HOURS))</f>
        <v>0</v>
      </c>
      <c r="G36" s="48" t="s">
        <v>2516</v>
      </c>
      <c r="H36" s="981"/>
      <c r="I36" s="48" t="s">
        <v>255</v>
      </c>
      <c r="J36" s="48">
        <v>300</v>
      </c>
      <c r="K36" s="48">
        <v>150</v>
      </c>
      <c r="L36" s="48">
        <v>0</v>
      </c>
      <c r="M36" s="22"/>
      <c r="N36" s="140"/>
      <c r="O36" s="748"/>
      <c r="P36" s="48"/>
      <c r="Q36" s="48"/>
      <c r="R36" s="48"/>
      <c r="S36" s="886"/>
      <c r="T36" s="886"/>
      <c r="U36" s="886"/>
      <c r="V36" s="140"/>
      <c r="W36" s="140"/>
      <c r="X36" s="48"/>
      <c r="Y36" s="140"/>
      <c r="Z36" s="748"/>
      <c r="AA36" s="48"/>
      <c r="AB36" s="48"/>
      <c r="AC36" s="48"/>
      <c r="AD36" s="886"/>
      <c r="AE36" s="886"/>
      <c r="AF36" s="532">
        <f t="shared" si="5"/>
        <v>8.0000000000000002E-3</v>
      </c>
      <c r="AG36" s="531">
        <f t="shared" si="6"/>
        <v>0</v>
      </c>
      <c r="AH36" s="304">
        <v>43182</v>
      </c>
      <c r="AI36" s="13">
        <v>0</v>
      </c>
      <c r="AJ36" s="15">
        <v>0</v>
      </c>
      <c r="AK36" s="15">
        <v>1.6E-2</v>
      </c>
      <c r="AL36" s="13"/>
      <c r="AM36" s="93">
        <f t="shared" si="0"/>
        <v>0</v>
      </c>
      <c r="AN36" s="522"/>
      <c r="AO36" s="213"/>
      <c r="CJ36" s="921">
        <f t="shared" si="7"/>
        <v>0</v>
      </c>
      <c r="CT36" s="35"/>
      <c r="CU36" s="70" t="s">
        <v>1985</v>
      </c>
      <c r="CV36" s="71">
        <f t="shared" si="1"/>
        <v>46298</v>
      </c>
      <c r="CW36" s="72" t="str">
        <f t="shared" si="8"/>
        <v>9AG-64</v>
      </c>
      <c r="CX36" s="73" t="str">
        <f t="shared" si="9"/>
        <v>OPEN</v>
      </c>
      <c r="CY36" s="73">
        <f t="shared" si="10"/>
        <v>300</v>
      </c>
      <c r="CZ36" s="73">
        <f t="shared" si="11"/>
        <v>12</v>
      </c>
      <c r="DA36" s="73" t="str">
        <f t="shared" si="12"/>
        <v>NF</v>
      </c>
      <c r="DB36" s="73"/>
      <c r="DC36" s="368">
        <f t="shared" si="13"/>
        <v>0</v>
      </c>
      <c r="DD36" s="73">
        <f t="shared" si="14"/>
        <v>0</v>
      </c>
      <c r="DE36" s="73">
        <f t="shared" si="15"/>
        <v>0</v>
      </c>
      <c r="DF36" s="73">
        <f t="shared" si="16"/>
        <v>0</v>
      </c>
      <c r="DG36" s="73">
        <f t="shared" si="17"/>
        <v>0</v>
      </c>
      <c r="DH36" s="73">
        <f t="shared" si="18"/>
        <v>0</v>
      </c>
      <c r="DI36" s="73">
        <f t="shared" si="19"/>
        <v>0</v>
      </c>
      <c r="DJ36" s="73"/>
      <c r="DK36" s="73"/>
      <c r="DL36" s="73">
        <f t="shared" si="20"/>
        <v>0</v>
      </c>
      <c r="DM36" s="215">
        <f t="shared" si="21"/>
        <v>0</v>
      </c>
      <c r="DN36" s="73" t="str">
        <f>IF(G36="","",G36)</f>
        <v>Low Reservoir Pressure/Depleted</v>
      </c>
      <c r="DO36" s="73">
        <f t="shared" si="23"/>
        <v>0</v>
      </c>
      <c r="DP36" s="85" t="str">
        <f t="shared" si="24"/>
        <v>AG</v>
      </c>
      <c r="EB36" s="70" t="str">
        <f t="shared" si="25"/>
        <v>KHALDA_WELL</v>
      </c>
      <c r="EC36" s="71">
        <f t="shared" si="4"/>
        <v>46298</v>
      </c>
      <c r="ED36" s="72" t="str">
        <f t="shared" si="26"/>
        <v>AG-64</v>
      </c>
      <c r="EE36" s="73" t="str">
        <f t="shared" si="27"/>
        <v>OPEN</v>
      </c>
      <c r="EF36" s="73">
        <f t="shared" si="28"/>
        <v>300</v>
      </c>
      <c r="EG36" s="73">
        <f t="shared" si="29"/>
        <v>12</v>
      </c>
      <c r="EH36" s="73" t="str">
        <f t="shared" si="30"/>
        <v>NF</v>
      </c>
      <c r="EI36" s="73"/>
      <c r="EJ36" s="72"/>
      <c r="EK36" s="72" t="str">
        <f t="shared" si="31"/>
        <v>Low Reservoir Pressure/Depleted</v>
      </c>
      <c r="EL36" s="73">
        <f t="shared" si="32"/>
        <v>0</v>
      </c>
      <c r="EM36" s="213">
        <f t="shared" si="33"/>
        <v>0</v>
      </c>
      <c r="EN36" s="73"/>
      <c r="EO36" s="73"/>
      <c r="EQ36" s="73">
        <f t="shared" si="34"/>
        <v>0</v>
      </c>
      <c r="ER36" s="73">
        <f t="shared" si="35"/>
        <v>0</v>
      </c>
      <c r="ES36" s="73">
        <f t="shared" si="36"/>
        <v>0</v>
      </c>
      <c r="ET36" s="73">
        <f t="shared" si="37"/>
        <v>0</v>
      </c>
      <c r="EU36" s="73"/>
      <c r="EV36" s="73"/>
      <c r="EX36" s="3">
        <f t="shared" si="38"/>
        <v>0</v>
      </c>
      <c r="EY36" s="73"/>
      <c r="EZ36" s="73">
        <f t="shared" si="39"/>
        <v>0</v>
      </c>
      <c r="FA36" s="73">
        <f t="shared" si="40"/>
        <v>0</v>
      </c>
      <c r="FB36" s="73">
        <f t="shared" si="41"/>
        <v>0</v>
      </c>
      <c r="FC36" s="73"/>
      <c r="FD36" s="73">
        <f t="shared" si="42"/>
        <v>0</v>
      </c>
    </row>
    <row r="37" spans="2:160" s="35" customFormat="1" ht="16.5" customHeight="1">
      <c r="B37" s="316" t="s">
        <v>1280</v>
      </c>
      <c r="C37" s="317" t="s">
        <v>272</v>
      </c>
      <c r="D37" s="317" t="s">
        <v>1301</v>
      </c>
      <c r="E37" s="991">
        <v>24</v>
      </c>
      <c r="F37" s="951">
        <f>IF(E37=0,0,((AI37*(1-(AJ37/100)))/24)*(24-HOURS))</f>
        <v>0</v>
      </c>
      <c r="G37" s="48"/>
      <c r="H37" s="981">
        <v>0.91404902564862456</v>
      </c>
      <c r="I37" s="48" t="s">
        <v>255</v>
      </c>
      <c r="J37" s="48">
        <v>140</v>
      </c>
      <c r="K37" s="48">
        <v>140</v>
      </c>
      <c r="L37" s="48">
        <v>440</v>
      </c>
      <c r="M37" s="22"/>
      <c r="N37" s="140"/>
      <c r="O37" s="748"/>
      <c r="P37" s="48"/>
      <c r="Q37" s="48"/>
      <c r="R37" s="48"/>
      <c r="S37" s="886"/>
      <c r="T37" s="886"/>
      <c r="U37" s="886"/>
      <c r="V37" s="140"/>
      <c r="W37" s="140"/>
      <c r="X37" s="48"/>
      <c r="Y37" s="140"/>
      <c r="Z37" s="748"/>
      <c r="AA37" s="48"/>
      <c r="AB37" s="48"/>
      <c r="AC37" s="48"/>
      <c r="AD37" s="886"/>
      <c r="AE37" s="886"/>
      <c r="AF37" s="532">
        <f t="shared" si="5"/>
        <v>0.51</v>
      </c>
      <c r="AG37" s="531">
        <f t="shared" si="6"/>
        <v>62.37</v>
      </c>
      <c r="AH37" s="304">
        <v>46197</v>
      </c>
      <c r="AI37" s="13">
        <v>63</v>
      </c>
      <c r="AJ37" s="15">
        <v>1</v>
      </c>
      <c r="AK37" s="15">
        <v>0.51</v>
      </c>
      <c r="AL37" s="13"/>
      <c r="AM37" s="93">
        <f t="shared" si="0"/>
        <v>62.37</v>
      </c>
      <c r="AN37" s="522"/>
      <c r="AO37" s="987"/>
      <c r="CJ37" s="988">
        <f t="shared" si="7"/>
        <v>0.63</v>
      </c>
      <c r="CU37" s="70" t="s">
        <v>1986</v>
      </c>
      <c r="CV37" s="71">
        <f t="shared" si="1"/>
        <v>46298</v>
      </c>
      <c r="CW37" s="72" t="str">
        <f t="shared" si="8"/>
        <v>9AG-65</v>
      </c>
      <c r="CX37" s="73" t="str">
        <f t="shared" si="9"/>
        <v>OPEN</v>
      </c>
      <c r="CY37" s="73">
        <f t="shared" si="10"/>
        <v>140</v>
      </c>
      <c r="CZ37" s="73">
        <f t="shared" si="11"/>
        <v>24</v>
      </c>
      <c r="DA37" s="73" t="str">
        <f t="shared" si="12"/>
        <v>G/L</v>
      </c>
      <c r="DB37" s="73"/>
      <c r="DC37" s="368">
        <f t="shared" si="13"/>
        <v>914.04902564862459</v>
      </c>
      <c r="DD37" s="73">
        <f t="shared" si="14"/>
        <v>0</v>
      </c>
      <c r="DE37" s="73">
        <f t="shared" si="15"/>
        <v>0</v>
      </c>
      <c r="DF37" s="73">
        <f t="shared" si="16"/>
        <v>0</v>
      </c>
      <c r="DG37" s="73">
        <f t="shared" si="17"/>
        <v>0</v>
      </c>
      <c r="DH37" s="73">
        <f t="shared" si="18"/>
        <v>0</v>
      </c>
      <c r="DI37" s="73">
        <f t="shared" si="19"/>
        <v>0</v>
      </c>
      <c r="DJ37" s="73"/>
      <c r="DK37" s="73"/>
      <c r="DL37" s="73">
        <f t="shared" si="20"/>
        <v>0</v>
      </c>
      <c r="DM37" s="215">
        <f t="shared" si="21"/>
        <v>62.37</v>
      </c>
      <c r="DN37" s="73" t="str">
        <f t="shared" si="22"/>
        <v/>
      </c>
      <c r="DO37" s="73">
        <f t="shared" si="23"/>
        <v>62.37</v>
      </c>
      <c r="DP37" s="85" t="str">
        <f t="shared" si="24"/>
        <v>AG</v>
      </c>
      <c r="EB37" s="70" t="str">
        <f t="shared" si="25"/>
        <v>KHALDA_WELL</v>
      </c>
      <c r="EC37" s="71">
        <f t="shared" si="4"/>
        <v>46298</v>
      </c>
      <c r="ED37" s="72" t="str">
        <f t="shared" si="26"/>
        <v>AG-65</v>
      </c>
      <c r="EE37" s="73" t="str">
        <f t="shared" si="27"/>
        <v>OPEN</v>
      </c>
      <c r="EF37" s="73">
        <f t="shared" si="28"/>
        <v>140</v>
      </c>
      <c r="EG37" s="73">
        <f t="shared" si="29"/>
        <v>24</v>
      </c>
      <c r="EH37" s="73" t="str">
        <f t="shared" si="30"/>
        <v>G/L</v>
      </c>
      <c r="EI37" s="73"/>
      <c r="EJ37" s="72"/>
      <c r="EK37" s="72" t="str">
        <f t="shared" si="31"/>
        <v/>
      </c>
      <c r="EL37" s="73">
        <f t="shared" si="32"/>
        <v>1</v>
      </c>
      <c r="EM37" s="987">
        <f t="shared" si="33"/>
        <v>0</v>
      </c>
      <c r="EN37" s="73"/>
      <c r="EO37" s="73"/>
      <c r="EQ37" s="73">
        <f t="shared" si="34"/>
        <v>0</v>
      </c>
      <c r="ER37" s="73">
        <f t="shared" si="35"/>
        <v>0</v>
      </c>
      <c r="ES37" s="73">
        <f t="shared" si="36"/>
        <v>0</v>
      </c>
      <c r="ET37" s="73">
        <f t="shared" si="37"/>
        <v>0</v>
      </c>
      <c r="EU37" s="73"/>
      <c r="EV37" s="73"/>
      <c r="EX37" s="35">
        <f t="shared" si="38"/>
        <v>0</v>
      </c>
      <c r="EY37" s="73"/>
      <c r="EZ37" s="73">
        <f t="shared" si="39"/>
        <v>0</v>
      </c>
      <c r="FA37" s="73">
        <f t="shared" si="40"/>
        <v>0</v>
      </c>
      <c r="FB37" s="73">
        <f t="shared" si="41"/>
        <v>0</v>
      </c>
      <c r="FC37" s="73"/>
      <c r="FD37" s="73">
        <f t="shared" si="42"/>
        <v>0</v>
      </c>
    </row>
    <row r="38" spans="2:160" s="3" customFormat="1" ht="16.5" customHeight="1">
      <c r="B38" s="316" t="s">
        <v>1311</v>
      </c>
      <c r="C38" s="317" t="s">
        <v>1305</v>
      </c>
      <c r="D38" s="317" t="s">
        <v>18</v>
      </c>
      <c r="E38" s="991">
        <v>0</v>
      </c>
      <c r="F38" s="951">
        <f t="shared" si="3"/>
        <v>0</v>
      </c>
      <c r="G38" s="48"/>
      <c r="H38" s="981"/>
      <c r="I38" s="48" t="s">
        <v>2335</v>
      </c>
      <c r="J38" s="48">
        <v>0</v>
      </c>
      <c r="K38" s="48">
        <v>0</v>
      </c>
      <c r="L38" s="48">
        <v>0</v>
      </c>
      <c r="M38" s="22"/>
      <c r="N38" s="140"/>
      <c r="O38" s="748"/>
      <c r="P38" s="48"/>
      <c r="Q38" s="48"/>
      <c r="R38" s="48"/>
      <c r="S38" s="886">
        <v>0</v>
      </c>
      <c r="T38" s="886">
        <v>0</v>
      </c>
      <c r="U38" s="886">
        <v>0</v>
      </c>
      <c r="V38" s="140"/>
      <c r="W38" s="140"/>
      <c r="X38" s="48"/>
      <c r="Y38" s="140"/>
      <c r="Z38" s="748"/>
      <c r="AA38" s="48"/>
      <c r="AB38" s="48"/>
      <c r="AC38" s="48"/>
      <c r="AD38" s="886"/>
      <c r="AE38" s="886"/>
      <c r="AF38" s="532">
        <f t="shared" si="5"/>
        <v>0</v>
      </c>
      <c r="AG38" s="531">
        <f t="shared" si="6"/>
        <v>0</v>
      </c>
      <c r="AH38" s="304">
        <v>42187</v>
      </c>
      <c r="AI38" s="13">
        <v>206</v>
      </c>
      <c r="AJ38" s="15">
        <v>96.6</v>
      </c>
      <c r="AK38" s="15">
        <v>0</v>
      </c>
      <c r="AL38" s="13"/>
      <c r="AM38" s="93">
        <f t="shared" si="0"/>
        <v>7.0040000000000067</v>
      </c>
      <c r="AN38" s="148"/>
      <c r="AO38" s="213"/>
      <c r="CJ38" s="921">
        <f t="shared" si="7"/>
        <v>0</v>
      </c>
      <c r="CT38" s="35"/>
      <c r="CU38" s="70" t="s">
        <v>1987</v>
      </c>
      <c r="CV38" s="71">
        <f t="shared" si="1"/>
        <v>46298</v>
      </c>
      <c r="CW38" s="72" t="str">
        <f t="shared" si="8"/>
        <v>9AG-67A</v>
      </c>
      <c r="CX38" s="73" t="str">
        <f t="shared" si="9"/>
        <v>NO P.CK</v>
      </c>
      <c r="CY38" s="73">
        <f t="shared" si="10"/>
        <v>0</v>
      </c>
      <c r="CZ38" s="73">
        <f t="shared" si="11"/>
        <v>0</v>
      </c>
      <c r="DA38" s="73" t="str">
        <f t="shared" si="12"/>
        <v>SI</v>
      </c>
      <c r="DB38" s="73"/>
      <c r="DC38" s="368">
        <f t="shared" si="13"/>
        <v>0</v>
      </c>
      <c r="DD38" s="73">
        <f t="shared" si="14"/>
        <v>0</v>
      </c>
      <c r="DE38" s="73">
        <f t="shared" si="15"/>
        <v>0</v>
      </c>
      <c r="DF38" s="73">
        <f t="shared" si="16"/>
        <v>0</v>
      </c>
      <c r="DG38" s="73">
        <f t="shared" si="17"/>
        <v>0</v>
      </c>
      <c r="DH38" s="73">
        <f t="shared" si="18"/>
        <v>0</v>
      </c>
      <c r="DI38" s="73">
        <f t="shared" si="19"/>
        <v>0</v>
      </c>
      <c r="DJ38" s="73"/>
      <c r="DK38" s="73"/>
      <c r="DL38" s="73">
        <f t="shared" si="20"/>
        <v>0</v>
      </c>
      <c r="DM38" s="215">
        <f t="shared" si="21"/>
        <v>0</v>
      </c>
      <c r="DN38" s="73" t="str">
        <f t="shared" si="22"/>
        <v/>
      </c>
      <c r="DO38" s="73">
        <f t="shared" si="23"/>
        <v>0</v>
      </c>
      <c r="DP38" s="85" t="str">
        <f t="shared" si="24"/>
        <v/>
      </c>
      <c r="EB38" s="70" t="str">
        <f t="shared" si="25"/>
        <v>KHALDA_WELL</v>
      </c>
      <c r="EC38" s="71">
        <f t="shared" si="4"/>
        <v>46298</v>
      </c>
      <c r="ED38" s="72" t="str">
        <f t="shared" si="26"/>
        <v>AG-67A</v>
      </c>
      <c r="EE38" s="73" t="str">
        <f t="shared" si="27"/>
        <v>NO P.CK</v>
      </c>
      <c r="EF38" s="73">
        <f t="shared" si="28"/>
        <v>0</v>
      </c>
      <c r="EG38" s="73">
        <f t="shared" si="29"/>
        <v>0</v>
      </c>
      <c r="EH38" s="73" t="str">
        <f t="shared" si="30"/>
        <v>SI</v>
      </c>
      <c r="EI38" s="73"/>
      <c r="EJ38" s="72"/>
      <c r="EK38" s="72" t="str">
        <f t="shared" si="31"/>
        <v/>
      </c>
      <c r="EL38" s="73">
        <f t="shared" si="32"/>
        <v>96.6</v>
      </c>
      <c r="EM38" s="213">
        <f t="shared" si="33"/>
        <v>0</v>
      </c>
      <c r="EN38" s="73"/>
      <c r="EO38" s="73"/>
      <c r="EQ38" s="73">
        <f t="shared" si="34"/>
        <v>0</v>
      </c>
      <c r="ER38" s="73">
        <f t="shared" si="35"/>
        <v>0</v>
      </c>
      <c r="ES38" s="73">
        <f t="shared" si="36"/>
        <v>0</v>
      </c>
      <c r="ET38" s="73">
        <f t="shared" si="37"/>
        <v>0</v>
      </c>
      <c r="EU38" s="73"/>
      <c r="EV38" s="73"/>
      <c r="EX38" s="3">
        <f t="shared" si="38"/>
        <v>0</v>
      </c>
      <c r="EY38" s="73"/>
      <c r="EZ38" s="73">
        <f t="shared" si="39"/>
        <v>0</v>
      </c>
      <c r="FA38" s="73">
        <f t="shared" si="40"/>
        <v>0</v>
      </c>
      <c r="FB38" s="73">
        <f t="shared" si="41"/>
        <v>0</v>
      </c>
      <c r="FC38" s="73"/>
      <c r="FD38" s="73">
        <f t="shared" si="42"/>
        <v>0</v>
      </c>
    </row>
    <row r="39" spans="2:160" s="3" customFormat="1" ht="16.5" customHeight="1">
      <c r="B39" s="316" t="s">
        <v>1281</v>
      </c>
      <c r="C39" s="317" t="s">
        <v>272</v>
      </c>
      <c r="D39" s="317" t="s">
        <v>18</v>
      </c>
      <c r="E39" s="991">
        <v>0</v>
      </c>
      <c r="F39" s="951">
        <f>IF(E39=0,0,((AI39*(1-(AJ39/100)))/24)*(24-HOURS))</f>
        <v>0</v>
      </c>
      <c r="G39" s="48" t="s">
        <v>2516</v>
      </c>
      <c r="H39" s="981"/>
      <c r="I39" s="48" t="s">
        <v>255</v>
      </c>
      <c r="J39" s="48">
        <v>270</v>
      </c>
      <c r="K39" s="48">
        <v>150</v>
      </c>
      <c r="L39" s="48">
        <v>0</v>
      </c>
      <c r="M39" s="22"/>
      <c r="N39" s="140"/>
      <c r="O39" s="748"/>
      <c r="P39" s="48"/>
      <c r="Q39" s="48"/>
      <c r="R39" s="48"/>
      <c r="S39" s="886"/>
      <c r="T39" s="886"/>
      <c r="U39" s="886"/>
      <c r="V39" s="140"/>
      <c r="W39" s="140"/>
      <c r="X39" s="48"/>
      <c r="Y39" s="140"/>
      <c r="Z39" s="748"/>
      <c r="AA39" s="48"/>
      <c r="AB39" s="48"/>
      <c r="AC39" s="48"/>
      <c r="AD39" s="886"/>
      <c r="AE39" s="886"/>
      <c r="AF39" s="532">
        <f t="shared" si="5"/>
        <v>0</v>
      </c>
      <c r="AG39" s="531">
        <f t="shared" si="6"/>
        <v>0</v>
      </c>
      <c r="AH39" s="304">
        <v>46070</v>
      </c>
      <c r="AI39" s="13">
        <v>0</v>
      </c>
      <c r="AJ39" s="15">
        <v>0</v>
      </c>
      <c r="AK39" s="15">
        <v>0</v>
      </c>
      <c r="AL39" s="13"/>
      <c r="AM39" s="93">
        <f t="shared" si="0"/>
        <v>0</v>
      </c>
      <c r="AN39" s="522"/>
      <c r="AO39" s="213"/>
      <c r="CJ39" s="921">
        <f t="shared" si="7"/>
        <v>0</v>
      </c>
      <c r="CT39" s="35"/>
      <c r="CU39" s="70" t="s">
        <v>1988</v>
      </c>
      <c r="CV39" s="71">
        <f t="shared" si="1"/>
        <v>46298</v>
      </c>
      <c r="CW39" s="72" t="str">
        <f t="shared" si="8"/>
        <v>9AG-68</v>
      </c>
      <c r="CX39" s="73" t="str">
        <f t="shared" si="9"/>
        <v>OPEN</v>
      </c>
      <c r="CY39" s="73">
        <f t="shared" si="10"/>
        <v>270</v>
      </c>
      <c r="CZ39" s="73">
        <f t="shared" si="11"/>
        <v>0</v>
      </c>
      <c r="DA39" s="73" t="str">
        <f t="shared" si="12"/>
        <v>SI</v>
      </c>
      <c r="DB39" s="73"/>
      <c r="DC39" s="368">
        <f t="shared" si="13"/>
        <v>0</v>
      </c>
      <c r="DD39" s="73">
        <f t="shared" si="14"/>
        <v>0</v>
      </c>
      <c r="DE39" s="73">
        <f t="shared" si="15"/>
        <v>0</v>
      </c>
      <c r="DF39" s="73">
        <f t="shared" si="16"/>
        <v>0</v>
      </c>
      <c r="DG39" s="73">
        <f t="shared" si="17"/>
        <v>0</v>
      </c>
      <c r="DH39" s="73">
        <f t="shared" si="18"/>
        <v>0</v>
      </c>
      <c r="DI39" s="73">
        <f t="shared" si="19"/>
        <v>0</v>
      </c>
      <c r="DJ39" s="73"/>
      <c r="DK39" s="73"/>
      <c r="DL39" s="73">
        <f t="shared" si="20"/>
        <v>0</v>
      </c>
      <c r="DM39" s="215">
        <f t="shared" si="21"/>
        <v>0</v>
      </c>
      <c r="DN39" s="73" t="str">
        <f t="shared" si="22"/>
        <v>Low Reservoir Pressure/Depleted</v>
      </c>
      <c r="DO39" s="73">
        <f t="shared" si="23"/>
        <v>0</v>
      </c>
      <c r="DP39" s="85" t="str">
        <f t="shared" si="24"/>
        <v/>
      </c>
      <c r="EB39" s="70" t="str">
        <f t="shared" si="25"/>
        <v>KHALDA_WELL</v>
      </c>
      <c r="EC39" s="71">
        <f t="shared" si="4"/>
        <v>46298</v>
      </c>
      <c r="ED39" s="72" t="str">
        <f t="shared" si="26"/>
        <v>AG-68</v>
      </c>
      <c r="EE39" s="73" t="str">
        <f t="shared" si="27"/>
        <v>OPEN</v>
      </c>
      <c r="EF39" s="73">
        <f t="shared" si="28"/>
        <v>270</v>
      </c>
      <c r="EG39" s="73">
        <f t="shared" si="29"/>
        <v>0</v>
      </c>
      <c r="EH39" s="73" t="str">
        <f t="shared" si="30"/>
        <v>SI</v>
      </c>
      <c r="EI39" s="73"/>
      <c r="EJ39" s="72"/>
      <c r="EK39" s="72" t="str">
        <f t="shared" si="31"/>
        <v>Low Reservoir Pressure/Depleted</v>
      </c>
      <c r="EL39" s="73">
        <f t="shared" si="32"/>
        <v>0</v>
      </c>
      <c r="EM39" s="213">
        <f t="shared" si="33"/>
        <v>0</v>
      </c>
      <c r="EN39" s="73"/>
      <c r="EO39" s="73"/>
      <c r="EQ39" s="73">
        <f t="shared" si="34"/>
        <v>0</v>
      </c>
      <c r="ER39" s="73">
        <f t="shared" si="35"/>
        <v>0</v>
      </c>
      <c r="ES39" s="73">
        <f t="shared" si="36"/>
        <v>0</v>
      </c>
      <c r="ET39" s="73">
        <f t="shared" si="37"/>
        <v>0</v>
      </c>
      <c r="EU39" s="73"/>
      <c r="EV39" s="73"/>
      <c r="EX39" s="3">
        <f t="shared" si="38"/>
        <v>0</v>
      </c>
      <c r="EY39" s="73"/>
      <c r="EZ39" s="73">
        <f t="shared" si="39"/>
        <v>0</v>
      </c>
      <c r="FA39" s="73">
        <f t="shared" si="40"/>
        <v>0</v>
      </c>
      <c r="FB39" s="73">
        <f t="shared" si="41"/>
        <v>0</v>
      </c>
      <c r="FC39" s="73"/>
      <c r="FD39" s="73">
        <f t="shared" si="42"/>
        <v>0</v>
      </c>
    </row>
    <row r="40" spans="2:160" s="3" customFormat="1" ht="16.5" customHeight="1">
      <c r="B40" s="316" t="s">
        <v>1556</v>
      </c>
      <c r="C40" s="317" t="s">
        <v>272</v>
      </c>
      <c r="D40" s="317" t="s">
        <v>18</v>
      </c>
      <c r="E40" s="991">
        <v>0</v>
      </c>
      <c r="F40" s="951">
        <f t="shared" si="3"/>
        <v>0</v>
      </c>
      <c r="G40" s="48"/>
      <c r="H40" s="981"/>
      <c r="I40" s="48" t="s">
        <v>255</v>
      </c>
      <c r="J40" s="48">
        <v>0</v>
      </c>
      <c r="K40" s="48">
        <v>0</v>
      </c>
      <c r="L40" s="48">
        <v>0</v>
      </c>
      <c r="M40" s="22"/>
      <c r="N40" s="140"/>
      <c r="O40" s="748"/>
      <c r="P40" s="48"/>
      <c r="Q40" s="48"/>
      <c r="R40" s="48"/>
      <c r="S40" s="886"/>
      <c r="T40" s="886"/>
      <c r="U40" s="886"/>
      <c r="V40" s="140"/>
      <c r="W40" s="140"/>
      <c r="X40" s="48"/>
      <c r="Y40" s="140"/>
      <c r="Z40" s="748"/>
      <c r="AA40" s="48"/>
      <c r="AB40" s="48"/>
      <c r="AC40" s="48"/>
      <c r="AD40" s="886"/>
      <c r="AE40" s="886"/>
      <c r="AF40" s="532">
        <f>AK40/24*E40</f>
        <v>0</v>
      </c>
      <c r="AG40" s="531">
        <f>AM40/24*E40</f>
        <v>0</v>
      </c>
      <c r="AH40" s="304">
        <v>45035</v>
      </c>
      <c r="AI40" s="13">
        <v>20</v>
      </c>
      <c r="AJ40" s="15">
        <v>5</v>
      </c>
      <c r="AK40" s="15">
        <v>0.94599999999999995</v>
      </c>
      <c r="AL40" s="13"/>
      <c r="AM40" s="93">
        <f t="shared" si="0"/>
        <v>19</v>
      </c>
      <c r="AN40" s="148"/>
      <c r="AO40" s="213"/>
      <c r="CJ40" s="921"/>
      <c r="CT40" s="35"/>
      <c r="CU40" s="70" t="s">
        <v>1989</v>
      </c>
      <c r="CV40" s="71">
        <f t="shared" si="1"/>
        <v>46298</v>
      </c>
      <c r="CW40" s="72" t="str">
        <f>$CT$3&amp;B40</f>
        <v>9AG-78</v>
      </c>
      <c r="CX40" s="73" t="str">
        <f>I40</f>
        <v>OPEN</v>
      </c>
      <c r="CY40" s="73">
        <f>J40</f>
        <v>0</v>
      </c>
      <c r="CZ40" s="73">
        <f>E40</f>
        <v>0</v>
      </c>
      <c r="DA40" s="73" t="str">
        <f>IF(CZ40=0,"SI",D40)</f>
        <v>SI</v>
      </c>
      <c r="DB40" s="73"/>
      <c r="DC40" s="368">
        <f>E40*((H40*1000)/24)</f>
        <v>0</v>
      </c>
      <c r="DD40" s="73">
        <f>N40</f>
        <v>0</v>
      </c>
      <c r="DE40" s="73">
        <f>V40</f>
        <v>0</v>
      </c>
      <c r="DF40" s="73">
        <f>W40</f>
        <v>0</v>
      </c>
      <c r="DG40" s="73">
        <f>X40</f>
        <v>0</v>
      </c>
      <c r="DH40" s="73">
        <f>Z40</f>
        <v>0</v>
      </c>
      <c r="DI40" s="73">
        <f>AD40</f>
        <v>0</v>
      </c>
      <c r="DJ40" s="73"/>
      <c r="DK40" s="73"/>
      <c r="DL40" s="73">
        <f>AE40</f>
        <v>0</v>
      </c>
      <c r="DM40" s="215">
        <f>AG40</f>
        <v>0</v>
      </c>
      <c r="DN40" s="73" t="str">
        <f>IF(G40="","",G40)</f>
        <v/>
      </c>
      <c r="DO40" s="73">
        <f>AM40/24*HOURS</f>
        <v>0</v>
      </c>
      <c r="DP40" s="85" t="str">
        <f>IF(OR(D40="SI",B40="",D40="T&amp;A"),"",VLOOKUP(B40,WELL_FIELD,2))</f>
        <v/>
      </c>
      <c r="EB40" s="70" t="str">
        <f t="shared" si="25"/>
        <v>KHALDA_WELL</v>
      </c>
      <c r="EC40" s="71">
        <f t="shared" si="4"/>
        <v>46298</v>
      </c>
      <c r="ED40" s="72" t="str">
        <f t="shared" si="26"/>
        <v>AG-78</v>
      </c>
      <c r="EE40" s="73" t="str">
        <f t="shared" si="27"/>
        <v>OPEN</v>
      </c>
      <c r="EF40" s="73">
        <f t="shared" si="28"/>
        <v>0</v>
      </c>
      <c r="EG40" s="73">
        <f t="shared" si="29"/>
        <v>0</v>
      </c>
      <c r="EH40" s="73" t="str">
        <f t="shared" si="30"/>
        <v>SI</v>
      </c>
      <c r="EI40" s="73"/>
      <c r="EJ40" s="72"/>
      <c r="EK40" s="72" t="str">
        <f t="shared" si="31"/>
        <v/>
      </c>
      <c r="EL40" s="73">
        <f t="shared" si="32"/>
        <v>5</v>
      </c>
      <c r="EM40" s="213">
        <f t="shared" si="33"/>
        <v>0</v>
      </c>
      <c r="EN40" s="73"/>
      <c r="EO40" s="73"/>
      <c r="EQ40" s="73">
        <f t="shared" si="34"/>
        <v>0</v>
      </c>
      <c r="ER40" s="73">
        <f t="shared" si="35"/>
        <v>0</v>
      </c>
      <c r="ES40" s="73">
        <f t="shared" si="36"/>
        <v>0</v>
      </c>
      <c r="ET40" s="73">
        <f t="shared" si="37"/>
        <v>0</v>
      </c>
      <c r="EU40" s="73"/>
      <c r="EV40" s="73"/>
      <c r="EX40" s="3">
        <f t="shared" si="38"/>
        <v>0</v>
      </c>
      <c r="EY40" s="73"/>
      <c r="EZ40" s="73">
        <f t="shared" si="39"/>
        <v>0</v>
      </c>
      <c r="FA40" s="73">
        <f t="shared" si="40"/>
        <v>0</v>
      </c>
      <c r="FB40" s="73">
        <f t="shared" si="41"/>
        <v>0</v>
      </c>
      <c r="FC40" s="73"/>
      <c r="FD40" s="73">
        <f t="shared" si="42"/>
        <v>0</v>
      </c>
    </row>
    <row r="41" spans="2:160" s="3" customFormat="1" ht="16.5" customHeight="1">
      <c r="B41" s="316" t="s">
        <v>1318</v>
      </c>
      <c r="C41" s="317" t="s">
        <v>24</v>
      </c>
      <c r="D41" s="317" t="s">
        <v>18</v>
      </c>
      <c r="E41" s="991">
        <v>0</v>
      </c>
      <c r="F41" s="951">
        <f t="shared" si="3"/>
        <v>0</v>
      </c>
      <c r="G41" s="48" t="s">
        <v>2516</v>
      </c>
      <c r="H41" s="981"/>
      <c r="I41" s="48" t="s">
        <v>2335</v>
      </c>
      <c r="J41" s="48">
        <v>550</v>
      </c>
      <c r="K41" s="48">
        <v>180</v>
      </c>
      <c r="L41" s="48">
        <v>0</v>
      </c>
      <c r="M41" s="22"/>
      <c r="N41" s="140"/>
      <c r="O41" s="748"/>
      <c r="P41" s="48"/>
      <c r="Q41" s="48"/>
      <c r="R41" s="48"/>
      <c r="S41" s="886"/>
      <c r="T41" s="886"/>
      <c r="U41" s="886"/>
      <c r="V41" s="140"/>
      <c r="W41" s="140"/>
      <c r="X41" s="48"/>
      <c r="Y41" s="140"/>
      <c r="Z41" s="748"/>
      <c r="AA41" s="48"/>
      <c r="AB41" s="48"/>
      <c r="AC41" s="48"/>
      <c r="AD41" s="886"/>
      <c r="AE41" s="886"/>
      <c r="AF41" s="532">
        <f>AK41/24*E41</f>
        <v>0</v>
      </c>
      <c r="AG41" s="531">
        <f>AM41/24*E41</f>
        <v>0</v>
      </c>
      <c r="AH41" s="304"/>
      <c r="AI41" s="13"/>
      <c r="AJ41" s="15"/>
      <c r="AK41" s="15"/>
      <c r="AL41" s="13"/>
      <c r="AM41" s="93">
        <f t="shared" si="0"/>
        <v>0</v>
      </c>
      <c r="AN41" s="148"/>
      <c r="AO41" s="213"/>
      <c r="CJ41" s="921">
        <f>+IF(D41="SI",0,AI41*AJ41/100)</f>
        <v>0</v>
      </c>
      <c r="CT41" s="35"/>
      <c r="CU41" s="70" t="s">
        <v>1989</v>
      </c>
      <c r="CV41" s="71">
        <f t="shared" si="1"/>
        <v>46298</v>
      </c>
      <c r="CW41" s="72" t="str">
        <f t="shared" si="8"/>
        <v>9AG-79ST</v>
      </c>
      <c r="CX41" s="73" t="str">
        <f t="shared" si="9"/>
        <v>NO P.CK</v>
      </c>
      <c r="CY41" s="73">
        <f t="shared" si="10"/>
        <v>550</v>
      </c>
      <c r="CZ41" s="73">
        <f>E41</f>
        <v>0</v>
      </c>
      <c r="DA41" s="73" t="str">
        <f>IF(CZ41=0,"SI",D41)</f>
        <v>SI</v>
      </c>
      <c r="DB41" s="73"/>
      <c r="DC41" s="368">
        <f>E41*((H41*1000)/24)</f>
        <v>0</v>
      </c>
      <c r="DD41" s="73">
        <f t="shared" si="14"/>
        <v>0</v>
      </c>
      <c r="DE41" s="73">
        <f t="shared" si="15"/>
        <v>0</v>
      </c>
      <c r="DF41" s="73">
        <f t="shared" si="16"/>
        <v>0</v>
      </c>
      <c r="DG41" s="73">
        <f t="shared" si="17"/>
        <v>0</v>
      </c>
      <c r="DH41" s="73">
        <f t="shared" si="18"/>
        <v>0</v>
      </c>
      <c r="DI41" s="73">
        <f t="shared" si="19"/>
        <v>0</v>
      </c>
      <c r="DJ41" s="73"/>
      <c r="DK41" s="73"/>
      <c r="DL41" s="73">
        <f t="shared" si="20"/>
        <v>0</v>
      </c>
      <c r="DM41" s="215">
        <f t="shared" si="21"/>
        <v>0</v>
      </c>
      <c r="DN41" s="73" t="str">
        <f t="shared" si="22"/>
        <v>Low Reservoir Pressure/Depleted</v>
      </c>
      <c r="DO41" s="73">
        <f t="shared" si="23"/>
        <v>0</v>
      </c>
      <c r="DP41" s="85" t="str">
        <f>IF(OR(D41="SI",B41="",D41="T&amp;A"),"",VLOOKUP(B41,WELL_FIELD,2))</f>
        <v/>
      </c>
      <c r="EB41" s="70" t="str">
        <f t="shared" si="25"/>
        <v>KHALDA_WELL</v>
      </c>
      <c r="EC41" s="71">
        <f t="shared" si="4"/>
        <v>46298</v>
      </c>
      <c r="ED41" s="72" t="str">
        <f t="shared" si="26"/>
        <v>AG-79ST</v>
      </c>
      <c r="EE41" s="73" t="str">
        <f t="shared" si="27"/>
        <v>NO P.CK</v>
      </c>
      <c r="EF41" s="73">
        <f t="shared" si="28"/>
        <v>550</v>
      </c>
      <c r="EG41" s="73">
        <f t="shared" si="29"/>
        <v>0</v>
      </c>
      <c r="EH41" s="73" t="str">
        <f t="shared" si="30"/>
        <v>SI</v>
      </c>
      <c r="EI41" s="73"/>
      <c r="EJ41" s="72"/>
      <c r="EK41" s="72" t="str">
        <f t="shared" si="31"/>
        <v>Low Reservoir Pressure/Depleted</v>
      </c>
      <c r="EL41" s="73">
        <f t="shared" si="32"/>
        <v>0</v>
      </c>
      <c r="EM41" s="213">
        <f t="shared" si="33"/>
        <v>0</v>
      </c>
      <c r="EN41" s="73"/>
      <c r="EO41" s="73"/>
      <c r="EQ41" s="73">
        <f t="shared" si="34"/>
        <v>0</v>
      </c>
      <c r="ER41" s="73">
        <f t="shared" si="35"/>
        <v>0</v>
      </c>
      <c r="ES41" s="73">
        <f t="shared" si="36"/>
        <v>0</v>
      </c>
      <c r="ET41" s="73">
        <f t="shared" si="37"/>
        <v>0</v>
      </c>
      <c r="EU41" s="73"/>
      <c r="EV41" s="73"/>
      <c r="EX41" s="3">
        <f t="shared" si="38"/>
        <v>0</v>
      </c>
      <c r="EY41" s="73"/>
      <c r="EZ41" s="73">
        <f t="shared" si="39"/>
        <v>0</v>
      </c>
      <c r="FA41" s="73">
        <f t="shared" si="40"/>
        <v>0</v>
      </c>
      <c r="FB41" s="73">
        <f t="shared" si="41"/>
        <v>0</v>
      </c>
      <c r="FC41" s="73"/>
      <c r="FD41" s="73">
        <f t="shared" si="42"/>
        <v>0</v>
      </c>
    </row>
    <row r="42" spans="2:160" s="3" customFormat="1" ht="16.5" customHeight="1">
      <c r="B42" s="316" t="s">
        <v>1283</v>
      </c>
      <c r="C42" s="317" t="s">
        <v>1307</v>
      </c>
      <c r="D42" s="317" t="s">
        <v>2</v>
      </c>
      <c r="E42" s="991">
        <v>24</v>
      </c>
      <c r="F42" s="951">
        <f t="shared" si="3"/>
        <v>0</v>
      </c>
      <c r="G42" s="48"/>
      <c r="H42" s="981"/>
      <c r="I42" s="48" t="s">
        <v>2335</v>
      </c>
      <c r="J42" s="48">
        <v>0</v>
      </c>
      <c r="K42" s="48">
        <v>0</v>
      </c>
      <c r="L42" s="48">
        <v>0</v>
      </c>
      <c r="M42" s="22"/>
      <c r="N42" s="140"/>
      <c r="O42" s="748" t="s">
        <v>2213</v>
      </c>
      <c r="P42" s="48">
        <v>9681</v>
      </c>
      <c r="Q42" s="48">
        <v>0</v>
      </c>
      <c r="R42" s="48">
        <v>9642</v>
      </c>
      <c r="S42" s="886">
        <v>0</v>
      </c>
      <c r="T42" s="886">
        <v>0</v>
      </c>
      <c r="U42" s="1068">
        <v>0</v>
      </c>
      <c r="V42" s="140"/>
      <c r="W42" s="140">
        <v>1.5</v>
      </c>
      <c r="X42" s="48">
        <v>102</v>
      </c>
      <c r="Y42" s="140">
        <v>5.5</v>
      </c>
      <c r="Z42" s="748"/>
      <c r="AA42" s="48"/>
      <c r="AB42" s="48"/>
      <c r="AC42" s="48"/>
      <c r="AD42" s="886"/>
      <c r="AE42" s="886"/>
      <c r="AF42" s="532">
        <f>AK42/24*E42</f>
        <v>0</v>
      </c>
      <c r="AG42" s="531">
        <f>AM42/24*E42</f>
        <v>0</v>
      </c>
      <c r="AH42" s="304">
        <v>44429</v>
      </c>
      <c r="AI42" s="13">
        <v>0</v>
      </c>
      <c r="AJ42" s="15">
        <v>0</v>
      </c>
      <c r="AK42" s="15">
        <v>0</v>
      </c>
      <c r="AL42" s="13"/>
      <c r="AM42" s="93">
        <f t="shared" si="0"/>
        <v>0</v>
      </c>
      <c r="AN42" s="148"/>
      <c r="AO42" s="213"/>
      <c r="CJ42" s="921">
        <f t="shared" si="7"/>
        <v>0</v>
      </c>
      <c r="CT42" s="35"/>
      <c r="CU42" s="70" t="s">
        <v>1990</v>
      </c>
      <c r="CV42" s="71">
        <f t="shared" si="1"/>
        <v>46298</v>
      </c>
      <c r="CW42" s="72" t="str">
        <f t="shared" si="8"/>
        <v>9AG-80</v>
      </c>
      <c r="CX42" s="73" t="str">
        <f t="shared" si="9"/>
        <v>NO P.CK</v>
      </c>
      <c r="CY42" s="73">
        <f t="shared" si="10"/>
        <v>0</v>
      </c>
      <c r="CZ42" s="73">
        <f t="shared" si="11"/>
        <v>24</v>
      </c>
      <c r="DA42" s="73" t="str">
        <f t="shared" si="12"/>
        <v>SRP</v>
      </c>
      <c r="DB42" s="73"/>
      <c r="DC42" s="368">
        <f t="shared" si="13"/>
        <v>0</v>
      </c>
      <c r="DD42" s="73">
        <f t="shared" si="14"/>
        <v>0</v>
      </c>
      <c r="DE42" s="73">
        <f t="shared" si="15"/>
        <v>0</v>
      </c>
      <c r="DF42" s="73">
        <f t="shared" si="16"/>
        <v>1.5</v>
      </c>
      <c r="DG42" s="73">
        <f t="shared" si="17"/>
        <v>102</v>
      </c>
      <c r="DH42" s="73">
        <f t="shared" si="18"/>
        <v>0</v>
      </c>
      <c r="DI42" s="73">
        <f t="shared" si="19"/>
        <v>0</v>
      </c>
      <c r="DJ42" s="73"/>
      <c r="DK42" s="73"/>
      <c r="DL42" s="73">
        <f t="shared" si="20"/>
        <v>0</v>
      </c>
      <c r="DM42" s="215">
        <f t="shared" si="21"/>
        <v>0</v>
      </c>
      <c r="DN42" s="73" t="str">
        <f t="shared" si="22"/>
        <v/>
      </c>
      <c r="DO42" s="73">
        <f t="shared" si="23"/>
        <v>0</v>
      </c>
      <c r="DP42" s="85" t="str">
        <f t="shared" si="24"/>
        <v>AG</v>
      </c>
      <c r="EB42" s="70" t="str">
        <f t="shared" si="25"/>
        <v>KHALDA_WELL</v>
      </c>
      <c r="EC42" s="71">
        <f t="shared" si="4"/>
        <v>46298</v>
      </c>
      <c r="ED42" s="72" t="str">
        <f t="shared" si="26"/>
        <v>AG-80</v>
      </c>
      <c r="EE42" s="73" t="str">
        <f t="shared" si="27"/>
        <v>NO P.CK</v>
      </c>
      <c r="EF42" s="73">
        <f t="shared" si="28"/>
        <v>0</v>
      </c>
      <c r="EG42" s="73">
        <f t="shared" si="29"/>
        <v>24</v>
      </c>
      <c r="EH42" s="73" t="str">
        <f t="shared" si="30"/>
        <v>SRP</v>
      </c>
      <c r="EI42" s="73"/>
      <c r="EJ42" s="72"/>
      <c r="EK42" s="72" t="str">
        <f t="shared" si="31"/>
        <v/>
      </c>
      <c r="EL42" s="73">
        <f t="shared" si="32"/>
        <v>0</v>
      </c>
      <c r="EM42" s="213">
        <f t="shared" si="33"/>
        <v>1.5</v>
      </c>
      <c r="EN42" s="73"/>
      <c r="EO42" s="73"/>
      <c r="EQ42" s="73">
        <f t="shared" si="34"/>
        <v>5.5</v>
      </c>
      <c r="ER42" s="73">
        <f t="shared" si="35"/>
        <v>0</v>
      </c>
      <c r="ES42" s="73">
        <f t="shared" si="36"/>
        <v>102</v>
      </c>
      <c r="ET42" s="73">
        <f t="shared" si="37"/>
        <v>0</v>
      </c>
      <c r="EU42" s="73"/>
      <c r="EV42" s="73"/>
      <c r="EX42" s="3">
        <f t="shared" si="38"/>
        <v>0</v>
      </c>
      <c r="EY42" s="73"/>
      <c r="EZ42" s="73">
        <f t="shared" si="39"/>
        <v>0</v>
      </c>
      <c r="FA42" s="73">
        <f t="shared" si="40"/>
        <v>0</v>
      </c>
      <c r="FB42" s="73">
        <f t="shared" si="41"/>
        <v>0</v>
      </c>
      <c r="FC42" s="73"/>
      <c r="FD42" s="73">
        <f t="shared" si="42"/>
        <v>0</v>
      </c>
    </row>
    <row r="43" spans="2:160" s="3" customFormat="1" ht="16.5" customHeight="1">
      <c r="B43" s="316" t="s">
        <v>1284</v>
      </c>
      <c r="C43" s="317" t="s">
        <v>21</v>
      </c>
      <c r="D43" s="317" t="s">
        <v>18</v>
      </c>
      <c r="E43" s="991">
        <v>0</v>
      </c>
      <c r="F43" s="951">
        <f>IF(E43=0,0,((AI43*(1-(AJ43/100)))/24)*(24-HOURS))</f>
        <v>0</v>
      </c>
      <c r="G43" s="48"/>
      <c r="H43" s="981"/>
      <c r="I43" s="48" t="s">
        <v>2335</v>
      </c>
      <c r="J43" s="48">
        <v>0</v>
      </c>
      <c r="K43" s="48">
        <v>0</v>
      </c>
      <c r="L43" s="48">
        <v>0</v>
      </c>
      <c r="M43" s="22"/>
      <c r="N43" s="140"/>
      <c r="O43" s="748"/>
      <c r="P43" s="48"/>
      <c r="Q43" s="48"/>
      <c r="R43" s="48"/>
      <c r="S43" s="886"/>
      <c r="T43" s="886"/>
      <c r="U43" s="886"/>
      <c r="V43" s="140"/>
      <c r="W43" s="140"/>
      <c r="X43" s="48"/>
      <c r="Y43" s="140"/>
      <c r="Z43" s="748"/>
      <c r="AA43" s="48"/>
      <c r="AB43" s="48"/>
      <c r="AC43" s="48"/>
      <c r="AD43" s="886">
        <v>0</v>
      </c>
      <c r="AE43" s="886">
        <v>0</v>
      </c>
      <c r="AF43" s="532">
        <f t="shared" si="5"/>
        <v>0</v>
      </c>
      <c r="AG43" s="531">
        <f t="shared" si="6"/>
        <v>0</v>
      </c>
      <c r="AH43" s="304">
        <v>46193</v>
      </c>
      <c r="AI43" s="13">
        <v>532</v>
      </c>
      <c r="AJ43" s="15">
        <v>87</v>
      </c>
      <c r="AK43" s="15">
        <v>0</v>
      </c>
      <c r="AL43" s="13">
        <v>115000</v>
      </c>
      <c r="AM43" s="93">
        <f t="shared" si="0"/>
        <v>69.16</v>
      </c>
      <c r="AN43" s="148"/>
      <c r="AO43" s="213"/>
      <c r="CJ43" s="921">
        <f t="shared" si="7"/>
        <v>0</v>
      </c>
      <c r="CT43" s="35"/>
      <c r="CU43" s="70" t="s">
        <v>1991</v>
      </c>
      <c r="CV43" s="71">
        <f t="shared" si="1"/>
        <v>46298</v>
      </c>
      <c r="CW43" s="72" t="str">
        <f t="shared" si="8"/>
        <v>9AG-81</v>
      </c>
      <c r="CX43" s="73" t="str">
        <f t="shared" si="9"/>
        <v>NO P.CK</v>
      </c>
      <c r="CY43" s="73">
        <f t="shared" si="10"/>
        <v>0</v>
      </c>
      <c r="CZ43" s="73">
        <f t="shared" si="11"/>
        <v>0</v>
      </c>
      <c r="DA43" s="73" t="str">
        <f t="shared" si="12"/>
        <v>SI</v>
      </c>
      <c r="DB43" s="73"/>
      <c r="DC43" s="368">
        <f t="shared" si="13"/>
        <v>0</v>
      </c>
      <c r="DD43" s="73">
        <f t="shared" si="14"/>
        <v>0</v>
      </c>
      <c r="DE43" s="73">
        <f t="shared" si="15"/>
        <v>0</v>
      </c>
      <c r="DF43" s="73">
        <f t="shared" si="16"/>
        <v>0</v>
      </c>
      <c r="DG43" s="73">
        <f t="shared" si="17"/>
        <v>0</v>
      </c>
      <c r="DH43" s="73">
        <f t="shared" si="18"/>
        <v>0</v>
      </c>
      <c r="DI43" s="73">
        <f t="shared" si="19"/>
        <v>0</v>
      </c>
      <c r="DJ43" s="73"/>
      <c r="DK43" s="73"/>
      <c r="DL43" s="73">
        <f t="shared" si="20"/>
        <v>0</v>
      </c>
      <c r="DM43" s="215">
        <f t="shared" si="21"/>
        <v>0</v>
      </c>
      <c r="DN43" s="73" t="str">
        <f t="shared" si="22"/>
        <v/>
      </c>
      <c r="DO43" s="73">
        <f t="shared" si="23"/>
        <v>0</v>
      </c>
      <c r="DP43" s="85" t="str">
        <f t="shared" si="24"/>
        <v/>
      </c>
      <c r="EB43" s="70" t="str">
        <f t="shared" si="25"/>
        <v>KHALDA_WELL</v>
      </c>
      <c r="EC43" s="71">
        <f t="shared" si="4"/>
        <v>46298</v>
      </c>
      <c r="ED43" s="72" t="str">
        <f t="shared" si="26"/>
        <v>AG-81</v>
      </c>
      <c r="EE43" s="73" t="str">
        <f t="shared" si="27"/>
        <v>NO P.CK</v>
      </c>
      <c r="EF43" s="73">
        <f t="shared" si="28"/>
        <v>0</v>
      </c>
      <c r="EG43" s="73">
        <f t="shared" si="29"/>
        <v>0</v>
      </c>
      <c r="EH43" s="73" t="str">
        <f t="shared" si="30"/>
        <v>SI</v>
      </c>
      <c r="EI43" s="73"/>
      <c r="EJ43" s="72"/>
      <c r="EK43" s="72" t="str">
        <f t="shared" si="31"/>
        <v/>
      </c>
      <c r="EL43" s="73">
        <f t="shared" si="32"/>
        <v>87</v>
      </c>
      <c r="EM43" s="213">
        <f t="shared" si="33"/>
        <v>0</v>
      </c>
      <c r="EN43" s="73"/>
      <c r="EO43" s="73"/>
      <c r="EQ43" s="73">
        <f t="shared" si="34"/>
        <v>0</v>
      </c>
      <c r="ER43" s="73">
        <f t="shared" si="35"/>
        <v>0</v>
      </c>
      <c r="ES43" s="73">
        <f t="shared" si="36"/>
        <v>0</v>
      </c>
      <c r="ET43" s="73">
        <f t="shared" si="37"/>
        <v>0</v>
      </c>
      <c r="EU43" s="73"/>
      <c r="EV43" s="73"/>
      <c r="EX43" s="3">
        <f t="shared" si="38"/>
        <v>0</v>
      </c>
      <c r="EY43" s="73"/>
      <c r="EZ43" s="73">
        <f t="shared" si="39"/>
        <v>0</v>
      </c>
      <c r="FA43" s="73">
        <f t="shared" si="40"/>
        <v>0</v>
      </c>
      <c r="FB43" s="73">
        <f t="shared" si="41"/>
        <v>0</v>
      </c>
      <c r="FC43" s="73"/>
      <c r="FD43" s="73">
        <f t="shared" si="42"/>
        <v>0</v>
      </c>
    </row>
    <row r="44" spans="2:160" s="3" customFormat="1" ht="16.5" customHeight="1">
      <c r="B44" s="316" t="s">
        <v>1285</v>
      </c>
      <c r="C44" s="317" t="s">
        <v>1305</v>
      </c>
      <c r="D44" s="317" t="s">
        <v>3</v>
      </c>
      <c r="E44" s="991">
        <v>24</v>
      </c>
      <c r="F44" s="951">
        <f>IF(E44=0,0,((AI44*(1-(AJ44/100)))/24)*(24-HOURS))</f>
        <v>0</v>
      </c>
      <c r="G44" s="48"/>
      <c r="H44" s="981"/>
      <c r="I44" s="48" t="s">
        <v>2335</v>
      </c>
      <c r="J44" s="48">
        <v>220</v>
      </c>
      <c r="K44" s="48">
        <v>170</v>
      </c>
      <c r="L44" s="48">
        <v>160</v>
      </c>
      <c r="M44" s="22"/>
      <c r="N44" s="140"/>
      <c r="O44" s="748" t="s">
        <v>2248</v>
      </c>
      <c r="P44" s="48">
        <v>3983</v>
      </c>
      <c r="Q44" s="48">
        <v>5844</v>
      </c>
      <c r="R44" s="48">
        <v>9827</v>
      </c>
      <c r="S44" s="886"/>
      <c r="T44" s="886"/>
      <c r="U44" s="886"/>
      <c r="V44" s="140"/>
      <c r="W44" s="140"/>
      <c r="X44" s="48"/>
      <c r="Y44" s="140"/>
      <c r="Z44" s="748"/>
      <c r="AA44" s="48" t="s">
        <v>2117</v>
      </c>
      <c r="AB44" s="48"/>
      <c r="AC44" s="48"/>
      <c r="AD44" s="886">
        <v>64</v>
      </c>
      <c r="AE44" s="886">
        <v>50</v>
      </c>
      <c r="AF44" s="532">
        <f t="shared" si="5"/>
        <v>0</v>
      </c>
      <c r="AG44" s="531">
        <f t="shared" si="6"/>
        <v>322.61999999999989</v>
      </c>
      <c r="AH44" s="304">
        <v>46295</v>
      </c>
      <c r="AI44" s="13">
        <v>1140</v>
      </c>
      <c r="AJ44" s="15">
        <v>71.7</v>
      </c>
      <c r="AK44" s="15">
        <v>0</v>
      </c>
      <c r="AL44" s="13"/>
      <c r="AM44" s="93">
        <f t="shared" si="0"/>
        <v>322.61999999999989</v>
      </c>
      <c r="AN44" s="148"/>
      <c r="AO44" s="213"/>
      <c r="CJ44" s="921">
        <f t="shared" si="7"/>
        <v>817.38</v>
      </c>
      <c r="CT44" s="35"/>
      <c r="CU44" s="70" t="s">
        <v>1992</v>
      </c>
      <c r="CV44" s="71">
        <f t="shared" si="1"/>
        <v>46298</v>
      </c>
      <c r="CW44" s="72" t="str">
        <f t="shared" si="8"/>
        <v>9AG-83</v>
      </c>
      <c r="CX44" s="73" t="str">
        <f t="shared" si="9"/>
        <v>NO P.CK</v>
      </c>
      <c r="CY44" s="73">
        <f t="shared" si="10"/>
        <v>220</v>
      </c>
      <c r="CZ44" s="73">
        <f t="shared" si="11"/>
        <v>24</v>
      </c>
      <c r="DA44" s="73" t="str">
        <f t="shared" si="12"/>
        <v>ESP</v>
      </c>
      <c r="DB44" s="73"/>
      <c r="DC44" s="368">
        <f t="shared" si="13"/>
        <v>0</v>
      </c>
      <c r="DD44" s="73">
        <f t="shared" si="14"/>
        <v>0</v>
      </c>
      <c r="DE44" s="73">
        <f t="shared" si="15"/>
        <v>0</v>
      </c>
      <c r="DF44" s="73">
        <f t="shared" si="16"/>
        <v>0</v>
      </c>
      <c r="DG44" s="73">
        <f t="shared" si="17"/>
        <v>0</v>
      </c>
      <c r="DH44" s="73">
        <f t="shared" si="18"/>
        <v>0</v>
      </c>
      <c r="DI44" s="73">
        <f t="shared" si="19"/>
        <v>64</v>
      </c>
      <c r="DJ44" s="73"/>
      <c r="DK44" s="73"/>
      <c r="DL44" s="73">
        <f t="shared" si="20"/>
        <v>50</v>
      </c>
      <c r="DM44" s="215">
        <f t="shared" si="21"/>
        <v>322.61999999999989</v>
      </c>
      <c r="DN44" s="73" t="str">
        <f t="shared" si="22"/>
        <v/>
      </c>
      <c r="DO44" s="73">
        <f t="shared" si="23"/>
        <v>322.61999999999989</v>
      </c>
      <c r="DP44" s="85" t="str">
        <f t="shared" si="24"/>
        <v>AG</v>
      </c>
      <c r="EB44" s="70" t="str">
        <f t="shared" si="25"/>
        <v>KHALDA_WELL</v>
      </c>
      <c r="EC44" s="71">
        <f t="shared" si="4"/>
        <v>46298</v>
      </c>
      <c r="ED44" s="72" t="str">
        <f t="shared" si="26"/>
        <v>AG-83</v>
      </c>
      <c r="EE44" s="73" t="str">
        <f t="shared" si="27"/>
        <v>NO P.CK</v>
      </c>
      <c r="EF44" s="73">
        <f t="shared" si="28"/>
        <v>220</v>
      </c>
      <c r="EG44" s="73">
        <f t="shared" si="29"/>
        <v>24</v>
      </c>
      <c r="EH44" s="73" t="str">
        <f t="shared" si="30"/>
        <v>ESP</v>
      </c>
      <c r="EI44" s="73"/>
      <c r="EJ44" s="72"/>
      <c r="EK44" s="72" t="str">
        <f t="shared" si="31"/>
        <v/>
      </c>
      <c r="EL44" s="73">
        <f t="shared" si="32"/>
        <v>71.7</v>
      </c>
      <c r="EM44" s="213">
        <f t="shared" si="33"/>
        <v>0</v>
      </c>
      <c r="EN44" s="73"/>
      <c r="EO44" s="73"/>
      <c r="EQ44" s="73">
        <f t="shared" si="34"/>
        <v>0</v>
      </c>
      <c r="ER44" s="73">
        <f t="shared" si="35"/>
        <v>0</v>
      </c>
      <c r="ES44" s="73">
        <f t="shared" si="36"/>
        <v>0</v>
      </c>
      <c r="ET44" s="73">
        <f t="shared" si="37"/>
        <v>64</v>
      </c>
      <c r="EU44" s="73"/>
      <c r="EV44" s="73"/>
      <c r="EX44" s="3">
        <f t="shared" si="38"/>
        <v>50</v>
      </c>
      <c r="EY44" s="73"/>
      <c r="EZ44" s="73">
        <f t="shared" si="39"/>
        <v>0</v>
      </c>
      <c r="FA44" s="73">
        <f t="shared" si="40"/>
        <v>0</v>
      </c>
      <c r="FB44" s="73">
        <f t="shared" si="41"/>
        <v>0</v>
      </c>
      <c r="FC44" s="73"/>
      <c r="FD44" s="73">
        <f t="shared" si="42"/>
        <v>0</v>
      </c>
    </row>
    <row r="45" spans="2:160" s="3" customFormat="1" ht="16.5" customHeight="1">
      <c r="B45" s="316" t="s">
        <v>1454</v>
      </c>
      <c r="C45" s="317" t="s">
        <v>24</v>
      </c>
      <c r="D45" s="317" t="s">
        <v>18</v>
      </c>
      <c r="E45" s="991">
        <v>0</v>
      </c>
      <c r="F45" s="951">
        <f>IF(E45=0,0,((AI45*(1-(AJ45/100)))/24)*(24-HOURS))</f>
        <v>0</v>
      </c>
      <c r="G45" s="48"/>
      <c r="H45" s="981"/>
      <c r="I45" s="48" t="s">
        <v>255</v>
      </c>
      <c r="J45" s="48">
        <v>160</v>
      </c>
      <c r="K45" s="48">
        <v>150</v>
      </c>
      <c r="L45" s="48">
        <v>0</v>
      </c>
      <c r="M45" s="22"/>
      <c r="N45" s="140"/>
      <c r="O45" s="748"/>
      <c r="P45" s="48"/>
      <c r="Q45" s="48"/>
      <c r="R45" s="48"/>
      <c r="S45" s="886"/>
      <c r="T45" s="886"/>
      <c r="U45" s="886"/>
      <c r="V45" s="140"/>
      <c r="W45" s="140"/>
      <c r="X45" s="48"/>
      <c r="Y45" s="140"/>
      <c r="Z45" s="748"/>
      <c r="AA45" s="48"/>
      <c r="AB45" s="48"/>
      <c r="AC45" s="48"/>
      <c r="AD45" s="886"/>
      <c r="AE45" s="886"/>
      <c r="AF45" s="532">
        <f>AK45/24*E45</f>
        <v>0</v>
      </c>
      <c r="AG45" s="531">
        <f>AM45/24*E45</f>
        <v>0</v>
      </c>
      <c r="AH45" s="304">
        <v>44856</v>
      </c>
      <c r="AI45" s="13">
        <v>0</v>
      </c>
      <c r="AJ45" s="15">
        <v>0</v>
      </c>
      <c r="AK45" s="15">
        <v>0.44500000000000001</v>
      </c>
      <c r="AL45" s="13"/>
      <c r="AM45" s="93">
        <f t="shared" si="0"/>
        <v>0</v>
      </c>
      <c r="AN45" s="148"/>
      <c r="AO45" s="213"/>
      <c r="CJ45" s="921">
        <f t="shared" si="7"/>
        <v>0</v>
      </c>
      <c r="CT45" s="35"/>
      <c r="CU45" s="70" t="s">
        <v>1993</v>
      </c>
      <c r="CV45" s="71">
        <f t="shared" si="1"/>
        <v>46298</v>
      </c>
      <c r="CW45" s="72" t="str">
        <f t="shared" si="8"/>
        <v>9AG-85</v>
      </c>
      <c r="CX45" s="73" t="str">
        <f t="shared" si="9"/>
        <v>OPEN</v>
      </c>
      <c r="CY45" s="73">
        <f t="shared" si="10"/>
        <v>160</v>
      </c>
      <c r="CZ45" s="73">
        <f t="shared" si="11"/>
        <v>0</v>
      </c>
      <c r="DA45" s="73" t="str">
        <f t="shared" si="12"/>
        <v>SI</v>
      </c>
      <c r="DB45" s="73"/>
      <c r="DC45" s="368">
        <f t="shared" si="13"/>
        <v>0</v>
      </c>
      <c r="DD45" s="73">
        <f t="shared" si="14"/>
        <v>0</v>
      </c>
      <c r="DE45" s="73">
        <f t="shared" si="15"/>
        <v>0</v>
      </c>
      <c r="DF45" s="73">
        <f t="shared" si="16"/>
        <v>0</v>
      </c>
      <c r="DG45" s="73">
        <f t="shared" si="17"/>
        <v>0</v>
      </c>
      <c r="DH45" s="73">
        <f t="shared" si="18"/>
        <v>0</v>
      </c>
      <c r="DI45" s="73">
        <f t="shared" si="19"/>
        <v>0</v>
      </c>
      <c r="DJ45" s="73"/>
      <c r="DK45" s="73"/>
      <c r="DL45" s="73">
        <f t="shared" si="20"/>
        <v>0</v>
      </c>
      <c r="DM45" s="215">
        <f t="shared" si="21"/>
        <v>0</v>
      </c>
      <c r="DN45" s="73" t="str">
        <f t="shared" si="22"/>
        <v/>
      </c>
      <c r="DO45" s="73">
        <f t="shared" si="23"/>
        <v>0</v>
      </c>
      <c r="DP45" s="85" t="str">
        <f t="shared" si="24"/>
        <v/>
      </c>
      <c r="EB45" s="70" t="str">
        <f t="shared" si="25"/>
        <v>KHALDA_WELL</v>
      </c>
      <c r="EC45" s="71">
        <f t="shared" si="4"/>
        <v>46298</v>
      </c>
      <c r="ED45" s="72" t="str">
        <f t="shared" si="26"/>
        <v>AG-85</v>
      </c>
      <c r="EE45" s="73" t="str">
        <f t="shared" si="27"/>
        <v>OPEN</v>
      </c>
      <c r="EF45" s="73">
        <f t="shared" si="28"/>
        <v>160</v>
      </c>
      <c r="EG45" s="73">
        <f t="shared" si="29"/>
        <v>0</v>
      </c>
      <c r="EH45" s="73" t="str">
        <f t="shared" si="30"/>
        <v>SI</v>
      </c>
      <c r="EI45" s="73"/>
      <c r="EJ45" s="72"/>
      <c r="EK45" s="72" t="str">
        <f t="shared" si="31"/>
        <v/>
      </c>
      <c r="EL45" s="73">
        <f t="shared" si="32"/>
        <v>0</v>
      </c>
      <c r="EM45" s="213">
        <f t="shared" si="33"/>
        <v>0</v>
      </c>
      <c r="EN45" s="73"/>
      <c r="EO45" s="73"/>
      <c r="EQ45" s="73">
        <f t="shared" si="34"/>
        <v>0</v>
      </c>
      <c r="ER45" s="73">
        <f t="shared" si="35"/>
        <v>0</v>
      </c>
      <c r="ES45" s="73">
        <f t="shared" si="36"/>
        <v>0</v>
      </c>
      <c r="ET45" s="73">
        <f t="shared" si="37"/>
        <v>0</v>
      </c>
      <c r="EU45" s="73"/>
      <c r="EV45" s="73"/>
      <c r="EX45" s="3">
        <f t="shared" si="38"/>
        <v>0</v>
      </c>
      <c r="EY45" s="73"/>
      <c r="EZ45" s="73">
        <f t="shared" si="39"/>
        <v>0</v>
      </c>
      <c r="FA45" s="73">
        <f t="shared" si="40"/>
        <v>0</v>
      </c>
      <c r="FB45" s="73">
        <f t="shared" si="41"/>
        <v>0</v>
      </c>
      <c r="FC45" s="73"/>
      <c r="FD45" s="73">
        <f t="shared" si="42"/>
        <v>0</v>
      </c>
    </row>
    <row r="46" spans="2:160" s="3" customFormat="1" ht="16.5" customHeight="1">
      <c r="B46" s="316" t="s">
        <v>1325</v>
      </c>
      <c r="C46" s="317" t="s">
        <v>21</v>
      </c>
      <c r="D46" s="317" t="s">
        <v>18</v>
      </c>
      <c r="E46" s="991">
        <v>0</v>
      </c>
      <c r="F46" s="951">
        <f t="shared" si="3"/>
        <v>0</v>
      </c>
      <c r="G46" s="48"/>
      <c r="H46" s="981">
        <v>0</v>
      </c>
      <c r="I46" s="48" t="s">
        <v>2335</v>
      </c>
      <c r="J46" s="48">
        <v>0</v>
      </c>
      <c r="K46" s="48">
        <v>0</v>
      </c>
      <c r="L46" s="48">
        <v>0</v>
      </c>
      <c r="M46" s="22"/>
      <c r="N46" s="140"/>
      <c r="O46" s="748"/>
      <c r="P46" s="48"/>
      <c r="Q46" s="48"/>
      <c r="R46" s="48"/>
      <c r="S46" s="886"/>
      <c r="T46" s="886"/>
      <c r="U46" s="886"/>
      <c r="V46" s="140"/>
      <c r="W46" s="140"/>
      <c r="X46" s="48"/>
      <c r="Y46" s="140"/>
      <c r="Z46" s="748"/>
      <c r="AA46" s="48"/>
      <c r="AB46" s="48"/>
      <c r="AC46" s="48"/>
      <c r="AD46" s="886"/>
      <c r="AE46" s="886"/>
      <c r="AF46" s="532">
        <f>AK46/24*E46</f>
        <v>0</v>
      </c>
      <c r="AG46" s="531">
        <f>AM46/24*E46</f>
        <v>0</v>
      </c>
      <c r="AH46" s="304">
        <v>43824</v>
      </c>
      <c r="AI46" s="13">
        <v>24</v>
      </c>
      <c r="AJ46" s="15">
        <v>0.8</v>
      </c>
      <c r="AK46" s="15">
        <v>0.18</v>
      </c>
      <c r="AL46" s="13"/>
      <c r="AM46" s="93">
        <f t="shared" si="0"/>
        <v>23.808</v>
      </c>
      <c r="AN46" s="148"/>
      <c r="AO46" s="213"/>
      <c r="CJ46" s="921">
        <f t="shared" si="7"/>
        <v>0</v>
      </c>
      <c r="CT46" s="35"/>
      <c r="CU46" s="70" t="s">
        <v>2082</v>
      </c>
      <c r="CV46" s="71">
        <f t="shared" si="1"/>
        <v>46298</v>
      </c>
      <c r="CW46" s="72" t="str">
        <f t="shared" si="8"/>
        <v>9AG-86</v>
      </c>
      <c r="CX46" s="73" t="str">
        <f t="shared" si="9"/>
        <v>NO P.CK</v>
      </c>
      <c r="CY46" s="73">
        <f t="shared" si="10"/>
        <v>0</v>
      </c>
      <c r="CZ46" s="73">
        <f t="shared" si="11"/>
        <v>0</v>
      </c>
      <c r="DA46" s="73" t="str">
        <f t="shared" si="12"/>
        <v>SI</v>
      </c>
      <c r="DB46" s="73"/>
      <c r="DC46" s="368">
        <f t="shared" si="13"/>
        <v>0</v>
      </c>
      <c r="DD46" s="73">
        <f t="shared" si="14"/>
        <v>0</v>
      </c>
      <c r="DE46" s="73">
        <f t="shared" si="15"/>
        <v>0</v>
      </c>
      <c r="DF46" s="73">
        <f t="shared" si="16"/>
        <v>0</v>
      </c>
      <c r="DG46" s="73">
        <f t="shared" si="17"/>
        <v>0</v>
      </c>
      <c r="DH46" s="73">
        <f t="shared" si="18"/>
        <v>0</v>
      </c>
      <c r="DI46" s="73">
        <f t="shared" si="19"/>
        <v>0</v>
      </c>
      <c r="DJ46" s="73"/>
      <c r="DK46" s="73"/>
      <c r="DL46" s="73">
        <f t="shared" si="20"/>
        <v>0</v>
      </c>
      <c r="DM46" s="215">
        <f t="shared" si="21"/>
        <v>0</v>
      </c>
      <c r="DN46" s="73" t="str">
        <f t="shared" si="22"/>
        <v/>
      </c>
      <c r="DO46" s="73">
        <f t="shared" si="23"/>
        <v>0</v>
      </c>
      <c r="DP46" s="85" t="str">
        <f t="shared" si="24"/>
        <v/>
      </c>
      <c r="EB46" s="70" t="str">
        <f t="shared" si="25"/>
        <v>KHALDA_WELL</v>
      </c>
      <c r="EC46" s="71">
        <f t="shared" si="4"/>
        <v>46298</v>
      </c>
      <c r="ED46" s="72" t="str">
        <f t="shared" si="26"/>
        <v>AG-86</v>
      </c>
      <c r="EE46" s="73" t="str">
        <f t="shared" si="27"/>
        <v>NO P.CK</v>
      </c>
      <c r="EF46" s="73">
        <f t="shared" si="28"/>
        <v>0</v>
      </c>
      <c r="EG46" s="73">
        <f t="shared" si="29"/>
        <v>0</v>
      </c>
      <c r="EH46" s="73" t="str">
        <f t="shared" si="30"/>
        <v>SI</v>
      </c>
      <c r="EI46" s="73"/>
      <c r="EJ46" s="72"/>
      <c r="EK46" s="72" t="str">
        <f t="shared" si="31"/>
        <v/>
      </c>
      <c r="EL46" s="73">
        <f t="shared" si="32"/>
        <v>0.8</v>
      </c>
      <c r="EM46" s="213">
        <f t="shared" si="33"/>
        <v>0</v>
      </c>
      <c r="EN46" s="73"/>
      <c r="EO46" s="73"/>
      <c r="EQ46" s="73">
        <f t="shared" si="34"/>
        <v>0</v>
      </c>
      <c r="ER46" s="73">
        <f t="shared" si="35"/>
        <v>0</v>
      </c>
      <c r="ES46" s="73">
        <f t="shared" si="36"/>
        <v>0</v>
      </c>
      <c r="ET46" s="73">
        <f t="shared" si="37"/>
        <v>0</v>
      </c>
      <c r="EU46" s="73"/>
      <c r="EV46" s="73"/>
      <c r="EX46" s="3">
        <f t="shared" si="38"/>
        <v>0</v>
      </c>
      <c r="EY46" s="73"/>
      <c r="EZ46" s="73">
        <f t="shared" si="39"/>
        <v>0</v>
      </c>
      <c r="FA46" s="73">
        <f t="shared" si="40"/>
        <v>0</v>
      </c>
      <c r="FB46" s="73">
        <f t="shared" si="41"/>
        <v>0</v>
      </c>
      <c r="FC46" s="73"/>
      <c r="FD46" s="73">
        <f t="shared" si="42"/>
        <v>0</v>
      </c>
    </row>
    <row r="47" spans="2:160" s="3" customFormat="1" ht="16.5" customHeight="1">
      <c r="B47" s="316" t="s">
        <v>1286</v>
      </c>
      <c r="C47" s="317" t="s">
        <v>21</v>
      </c>
      <c r="D47" s="317" t="s">
        <v>18</v>
      </c>
      <c r="E47" s="991">
        <v>0</v>
      </c>
      <c r="F47" s="951">
        <f>IF(E47=0,0,((AI47*(1-(AJ47/100)))/24)*(24-HOURS))</f>
        <v>0</v>
      </c>
      <c r="G47" s="48"/>
      <c r="H47" s="981"/>
      <c r="I47" s="48" t="s">
        <v>255</v>
      </c>
      <c r="J47" s="48">
        <v>240</v>
      </c>
      <c r="K47" s="48">
        <v>180</v>
      </c>
      <c r="L47" s="48">
        <v>0</v>
      </c>
      <c r="M47" s="22"/>
      <c r="N47" s="140"/>
      <c r="O47" s="748"/>
      <c r="P47" s="48"/>
      <c r="Q47" s="48"/>
      <c r="R47" s="48"/>
      <c r="S47" s="886"/>
      <c r="T47" s="886"/>
      <c r="U47" s="886"/>
      <c r="V47" s="140"/>
      <c r="W47" s="140"/>
      <c r="X47" s="140"/>
      <c r="Y47" s="140"/>
      <c r="Z47" s="748"/>
      <c r="AA47" s="48"/>
      <c r="AB47" s="48"/>
      <c r="AC47" s="48"/>
      <c r="AD47" s="886"/>
      <c r="AE47" s="886"/>
      <c r="AF47" s="532">
        <f t="shared" si="5"/>
        <v>0</v>
      </c>
      <c r="AG47" s="531">
        <f t="shared" si="6"/>
        <v>0</v>
      </c>
      <c r="AH47" s="304">
        <v>44741</v>
      </c>
      <c r="AI47" s="13">
        <v>0</v>
      </c>
      <c r="AJ47" s="15">
        <v>0</v>
      </c>
      <c r="AK47" s="15">
        <v>0</v>
      </c>
      <c r="AL47" s="13"/>
      <c r="AM47" s="93"/>
      <c r="AN47" s="522" t="s">
        <v>2145</v>
      </c>
      <c r="AO47" s="213"/>
      <c r="CJ47" s="921">
        <f t="shared" si="7"/>
        <v>0</v>
      </c>
      <c r="CT47" s="35"/>
      <c r="CU47" s="70" t="s">
        <v>1994</v>
      </c>
      <c r="CV47" s="71">
        <f t="shared" si="1"/>
        <v>46298</v>
      </c>
      <c r="CW47" s="72" t="str">
        <f t="shared" si="8"/>
        <v>9AG-87</v>
      </c>
      <c r="CX47" s="73" t="str">
        <f t="shared" si="9"/>
        <v>OPEN</v>
      </c>
      <c r="CY47" s="73">
        <f t="shared" si="10"/>
        <v>240</v>
      </c>
      <c r="CZ47" s="73">
        <f t="shared" si="11"/>
        <v>0</v>
      </c>
      <c r="DA47" s="73" t="str">
        <f t="shared" si="12"/>
        <v>SI</v>
      </c>
      <c r="DB47" s="73"/>
      <c r="DC47" s="368">
        <f t="shared" si="13"/>
        <v>0</v>
      </c>
      <c r="DD47" s="73">
        <f t="shared" si="14"/>
        <v>0</v>
      </c>
      <c r="DE47" s="73">
        <f t="shared" si="15"/>
        <v>0</v>
      </c>
      <c r="DF47" s="73">
        <f t="shared" si="16"/>
        <v>0</v>
      </c>
      <c r="DG47" s="73">
        <f t="shared" si="17"/>
        <v>0</v>
      </c>
      <c r="DH47" s="73">
        <f t="shared" si="18"/>
        <v>0</v>
      </c>
      <c r="DI47" s="73">
        <f t="shared" si="19"/>
        <v>0</v>
      </c>
      <c r="DJ47" s="73"/>
      <c r="DK47" s="73"/>
      <c r="DL47" s="73">
        <f t="shared" si="20"/>
        <v>0</v>
      </c>
      <c r="DM47" s="215">
        <f t="shared" si="21"/>
        <v>0</v>
      </c>
      <c r="DN47" s="73" t="str">
        <f t="shared" si="22"/>
        <v/>
      </c>
      <c r="DO47" s="73">
        <f t="shared" si="23"/>
        <v>0</v>
      </c>
      <c r="DP47" s="85" t="str">
        <f t="shared" si="24"/>
        <v/>
      </c>
      <c r="EB47" s="70" t="str">
        <f t="shared" si="25"/>
        <v>KHALDA_WELL</v>
      </c>
      <c r="EC47" s="71">
        <f t="shared" si="4"/>
        <v>46298</v>
      </c>
      <c r="ED47" s="72" t="str">
        <f t="shared" si="26"/>
        <v>AG-87</v>
      </c>
      <c r="EE47" s="73" t="str">
        <f t="shared" si="27"/>
        <v>OPEN</v>
      </c>
      <c r="EF47" s="73">
        <f t="shared" si="28"/>
        <v>240</v>
      </c>
      <c r="EG47" s="73">
        <f t="shared" si="29"/>
        <v>0</v>
      </c>
      <c r="EH47" s="73" t="str">
        <f t="shared" si="30"/>
        <v>SI</v>
      </c>
      <c r="EI47" s="73"/>
      <c r="EJ47" s="72"/>
      <c r="EK47" s="72" t="str">
        <f t="shared" si="31"/>
        <v/>
      </c>
      <c r="EL47" s="73">
        <f t="shared" si="32"/>
        <v>0</v>
      </c>
      <c r="EM47" s="213">
        <f t="shared" si="33"/>
        <v>0</v>
      </c>
      <c r="EN47" s="73"/>
      <c r="EO47" s="73"/>
      <c r="EQ47" s="73">
        <f t="shared" si="34"/>
        <v>0</v>
      </c>
      <c r="ER47" s="73">
        <f t="shared" si="35"/>
        <v>0</v>
      </c>
      <c r="ES47" s="73">
        <f t="shared" si="36"/>
        <v>0</v>
      </c>
      <c r="ET47" s="73">
        <f t="shared" si="37"/>
        <v>0</v>
      </c>
      <c r="EU47" s="73"/>
      <c r="EV47" s="73"/>
      <c r="EX47" s="3">
        <f t="shared" si="38"/>
        <v>0</v>
      </c>
      <c r="EY47" s="73"/>
      <c r="EZ47" s="73">
        <f t="shared" si="39"/>
        <v>0</v>
      </c>
      <c r="FA47" s="73">
        <f t="shared" si="40"/>
        <v>0</v>
      </c>
      <c r="FB47" s="73">
        <f t="shared" si="41"/>
        <v>0</v>
      </c>
      <c r="FC47" s="73"/>
      <c r="FD47" s="73" t="str">
        <f t="shared" si="42"/>
        <v>Is considered as condensate at the GP report.</v>
      </c>
    </row>
    <row r="48" spans="2:160" s="3" customFormat="1" ht="16.5" customHeight="1">
      <c r="B48" s="316" t="s">
        <v>1287</v>
      </c>
      <c r="C48" s="317" t="s">
        <v>21</v>
      </c>
      <c r="D48" s="317" t="s">
        <v>18</v>
      </c>
      <c r="E48" s="991">
        <v>0</v>
      </c>
      <c r="F48" s="951">
        <f t="shared" si="3"/>
        <v>0</v>
      </c>
      <c r="G48" s="48"/>
      <c r="H48" s="981">
        <v>0</v>
      </c>
      <c r="I48" s="48" t="s">
        <v>2335</v>
      </c>
      <c r="J48" s="48">
        <v>0</v>
      </c>
      <c r="K48" s="48">
        <v>0</v>
      </c>
      <c r="L48" s="48">
        <v>0</v>
      </c>
      <c r="M48" s="22"/>
      <c r="N48" s="140"/>
      <c r="O48" s="748" t="s">
        <v>2134</v>
      </c>
      <c r="P48" s="48">
        <v>1748</v>
      </c>
      <c r="Q48" s="48">
        <v>7609</v>
      </c>
      <c r="R48" s="48">
        <v>9357</v>
      </c>
      <c r="S48" s="886"/>
      <c r="T48" s="886"/>
      <c r="U48" s="886"/>
      <c r="V48" s="140"/>
      <c r="W48" s="140"/>
      <c r="X48" s="48"/>
      <c r="Y48" s="140"/>
      <c r="Z48" s="748"/>
      <c r="AA48" s="48"/>
      <c r="AB48" s="48"/>
      <c r="AC48" s="48"/>
      <c r="AD48" s="886"/>
      <c r="AE48" s="886"/>
      <c r="AF48" s="532">
        <f t="shared" si="5"/>
        <v>0</v>
      </c>
      <c r="AG48" s="531">
        <f t="shared" si="6"/>
        <v>0</v>
      </c>
      <c r="AH48" s="304">
        <v>45157</v>
      </c>
      <c r="AI48" s="13">
        <v>63</v>
      </c>
      <c r="AJ48" s="15">
        <v>6.3</v>
      </c>
      <c r="AK48" s="15">
        <v>0.41699999999999998</v>
      </c>
      <c r="AL48" s="13"/>
      <c r="AM48" s="93">
        <f t="shared" si="0"/>
        <v>59.031000000000006</v>
      </c>
      <c r="AN48" s="148"/>
      <c r="AO48" s="213"/>
      <c r="CJ48" s="921">
        <f t="shared" si="7"/>
        <v>0</v>
      </c>
      <c r="CT48" s="35"/>
      <c r="CU48" s="70" t="s">
        <v>1995</v>
      </c>
      <c r="CV48" s="71">
        <f t="shared" si="1"/>
        <v>46298</v>
      </c>
      <c r="CW48" s="72" t="str">
        <f t="shared" si="8"/>
        <v>9AG-88</v>
      </c>
      <c r="CX48" s="73" t="str">
        <f t="shared" si="9"/>
        <v>NO P.CK</v>
      </c>
      <c r="CY48" s="73">
        <f t="shared" si="10"/>
        <v>0</v>
      </c>
      <c r="CZ48" s="73">
        <f t="shared" si="11"/>
        <v>0</v>
      </c>
      <c r="DA48" s="73" t="str">
        <f t="shared" si="12"/>
        <v>SI</v>
      </c>
      <c r="DB48" s="73"/>
      <c r="DC48" s="368">
        <f t="shared" si="13"/>
        <v>0</v>
      </c>
      <c r="DD48" s="73">
        <f t="shared" si="14"/>
        <v>0</v>
      </c>
      <c r="DE48" s="73">
        <f t="shared" si="15"/>
        <v>0</v>
      </c>
      <c r="DF48" s="73">
        <f t="shared" si="16"/>
        <v>0</v>
      </c>
      <c r="DG48" s="73">
        <f t="shared" si="17"/>
        <v>0</v>
      </c>
      <c r="DH48" s="73">
        <f t="shared" si="18"/>
        <v>0</v>
      </c>
      <c r="DI48" s="73">
        <f t="shared" si="19"/>
        <v>0</v>
      </c>
      <c r="DJ48" s="73"/>
      <c r="DK48" s="73"/>
      <c r="DL48" s="73">
        <f t="shared" si="20"/>
        <v>0</v>
      </c>
      <c r="DM48" s="215">
        <f t="shared" si="21"/>
        <v>0</v>
      </c>
      <c r="DN48" s="73" t="str">
        <f t="shared" si="22"/>
        <v/>
      </c>
      <c r="DO48" s="73">
        <f t="shared" si="23"/>
        <v>0</v>
      </c>
      <c r="DP48" s="85" t="str">
        <f t="shared" si="24"/>
        <v/>
      </c>
      <c r="EB48" s="70" t="str">
        <f t="shared" si="25"/>
        <v>KHALDA_WELL</v>
      </c>
      <c r="EC48" s="71">
        <f t="shared" si="4"/>
        <v>46298</v>
      </c>
      <c r="ED48" s="72" t="str">
        <f t="shared" si="26"/>
        <v>AG-88</v>
      </c>
      <c r="EE48" s="73" t="str">
        <f t="shared" si="27"/>
        <v>NO P.CK</v>
      </c>
      <c r="EF48" s="73">
        <f t="shared" si="28"/>
        <v>0</v>
      </c>
      <c r="EG48" s="73">
        <f t="shared" si="29"/>
        <v>0</v>
      </c>
      <c r="EH48" s="73" t="str">
        <f t="shared" si="30"/>
        <v>SI</v>
      </c>
      <c r="EI48" s="73"/>
      <c r="EJ48" s="72"/>
      <c r="EK48" s="72" t="str">
        <f t="shared" si="31"/>
        <v/>
      </c>
      <c r="EL48" s="73">
        <f t="shared" si="32"/>
        <v>6.3</v>
      </c>
      <c r="EM48" s="213">
        <f t="shared" si="33"/>
        <v>0</v>
      </c>
      <c r="EN48" s="73"/>
      <c r="EO48" s="73"/>
      <c r="EQ48" s="73">
        <f t="shared" si="34"/>
        <v>0</v>
      </c>
      <c r="ER48" s="73">
        <f t="shared" si="35"/>
        <v>0</v>
      </c>
      <c r="ES48" s="73">
        <f t="shared" si="36"/>
        <v>0</v>
      </c>
      <c r="ET48" s="73">
        <f t="shared" si="37"/>
        <v>0</v>
      </c>
      <c r="EU48" s="73"/>
      <c r="EV48" s="73"/>
      <c r="EX48" s="3">
        <f t="shared" si="38"/>
        <v>0</v>
      </c>
      <c r="EY48" s="73"/>
      <c r="EZ48" s="73">
        <f t="shared" si="39"/>
        <v>0</v>
      </c>
      <c r="FA48" s="73">
        <f t="shared" si="40"/>
        <v>0</v>
      </c>
      <c r="FB48" s="73">
        <f t="shared" si="41"/>
        <v>0</v>
      </c>
      <c r="FC48" s="73"/>
      <c r="FD48" s="73">
        <f t="shared" si="42"/>
        <v>0</v>
      </c>
    </row>
    <row r="49" spans="2:160" s="3" customFormat="1" ht="16.5" customHeight="1">
      <c r="B49" s="316" t="s">
        <v>1288</v>
      </c>
      <c r="C49" s="317" t="s">
        <v>20</v>
      </c>
      <c r="D49" s="317" t="s">
        <v>1301</v>
      </c>
      <c r="E49" s="991">
        <v>24</v>
      </c>
      <c r="F49" s="951">
        <f t="shared" si="3"/>
        <v>0</v>
      </c>
      <c r="G49" s="48"/>
      <c r="H49" s="981">
        <v>1.43071600536235</v>
      </c>
      <c r="I49" s="48" t="s">
        <v>2335</v>
      </c>
      <c r="J49" s="48">
        <v>260</v>
      </c>
      <c r="K49" s="48">
        <v>250</v>
      </c>
      <c r="L49" s="48">
        <v>630</v>
      </c>
      <c r="M49" s="22"/>
      <c r="N49" s="140"/>
      <c r="O49" s="748"/>
      <c r="P49" s="48"/>
      <c r="Q49" s="48"/>
      <c r="R49" s="48"/>
      <c r="S49" s="886"/>
      <c r="T49" s="886"/>
      <c r="U49" s="886"/>
      <c r="V49" s="140"/>
      <c r="W49" s="140"/>
      <c r="X49" s="48"/>
      <c r="Y49" s="140"/>
      <c r="Z49" s="748"/>
      <c r="AA49" s="48"/>
      <c r="AB49" s="48"/>
      <c r="AC49" s="48"/>
      <c r="AD49" s="886"/>
      <c r="AE49" s="886"/>
      <c r="AF49" s="532">
        <f t="shared" si="5"/>
        <v>0.123</v>
      </c>
      <c r="AG49" s="531">
        <f t="shared" si="6"/>
        <v>88.659999999999982</v>
      </c>
      <c r="AH49" s="304">
        <v>46268</v>
      </c>
      <c r="AI49" s="13">
        <v>403</v>
      </c>
      <c r="AJ49" s="15">
        <v>78</v>
      </c>
      <c r="AK49" s="15">
        <v>0.123</v>
      </c>
      <c r="AL49" s="13">
        <v>103000</v>
      </c>
      <c r="AM49" s="93">
        <f t="shared" si="0"/>
        <v>88.659999999999982</v>
      </c>
      <c r="AN49" s="148"/>
      <c r="AO49" s="213"/>
      <c r="CJ49" s="921">
        <f t="shared" si="7"/>
        <v>314.33999999999997</v>
      </c>
      <c r="CT49" s="35"/>
      <c r="CU49" s="70" t="s">
        <v>1996</v>
      </c>
      <c r="CV49" s="71">
        <f t="shared" si="1"/>
        <v>46298</v>
      </c>
      <c r="CW49" s="72" t="str">
        <f t="shared" si="8"/>
        <v>9AG-90</v>
      </c>
      <c r="CX49" s="73" t="str">
        <f t="shared" si="9"/>
        <v>NO P.CK</v>
      </c>
      <c r="CY49" s="73">
        <f t="shared" si="10"/>
        <v>260</v>
      </c>
      <c r="CZ49" s="73">
        <f t="shared" si="11"/>
        <v>24</v>
      </c>
      <c r="DA49" s="73" t="str">
        <f t="shared" si="12"/>
        <v>G/L</v>
      </c>
      <c r="DB49" s="73"/>
      <c r="DC49" s="368">
        <f t="shared" si="13"/>
        <v>1430.71600536235</v>
      </c>
      <c r="DD49" s="73">
        <f t="shared" si="14"/>
        <v>0</v>
      </c>
      <c r="DE49" s="73">
        <f t="shared" si="15"/>
        <v>0</v>
      </c>
      <c r="DF49" s="73">
        <f t="shared" si="16"/>
        <v>0</v>
      </c>
      <c r="DG49" s="73">
        <f t="shared" si="17"/>
        <v>0</v>
      </c>
      <c r="DH49" s="73">
        <f t="shared" si="18"/>
        <v>0</v>
      </c>
      <c r="DI49" s="73">
        <f t="shared" si="19"/>
        <v>0</v>
      </c>
      <c r="DJ49" s="73"/>
      <c r="DK49" s="73"/>
      <c r="DL49" s="73">
        <f t="shared" si="20"/>
        <v>0</v>
      </c>
      <c r="DM49" s="215">
        <f t="shared" si="21"/>
        <v>88.659999999999982</v>
      </c>
      <c r="DN49" s="73" t="str">
        <f t="shared" si="22"/>
        <v/>
      </c>
      <c r="DO49" s="73">
        <f t="shared" si="23"/>
        <v>88.659999999999982</v>
      </c>
      <c r="DP49" s="85" t="str">
        <f t="shared" si="24"/>
        <v>SAG</v>
      </c>
      <c r="EB49" s="70" t="str">
        <f t="shared" si="25"/>
        <v>KHALDA_WELL</v>
      </c>
      <c r="EC49" s="71">
        <f t="shared" si="4"/>
        <v>46298</v>
      </c>
      <c r="ED49" s="72" t="str">
        <f t="shared" si="26"/>
        <v>AG-90</v>
      </c>
      <c r="EE49" s="73" t="str">
        <f t="shared" si="27"/>
        <v>NO P.CK</v>
      </c>
      <c r="EF49" s="73">
        <f t="shared" si="28"/>
        <v>260</v>
      </c>
      <c r="EG49" s="73">
        <f t="shared" si="29"/>
        <v>24</v>
      </c>
      <c r="EH49" s="73" t="str">
        <f t="shared" si="30"/>
        <v>G/L</v>
      </c>
      <c r="EI49" s="73"/>
      <c r="EJ49" s="72"/>
      <c r="EK49" s="72" t="str">
        <f t="shared" si="31"/>
        <v/>
      </c>
      <c r="EL49" s="73">
        <f t="shared" si="32"/>
        <v>78</v>
      </c>
      <c r="EM49" s="213">
        <f t="shared" si="33"/>
        <v>0</v>
      </c>
      <c r="EN49" s="73"/>
      <c r="EO49" s="73"/>
      <c r="EQ49" s="73">
        <f t="shared" si="34"/>
        <v>0</v>
      </c>
      <c r="ER49" s="73">
        <f t="shared" si="35"/>
        <v>0</v>
      </c>
      <c r="ES49" s="73">
        <f t="shared" si="36"/>
        <v>0</v>
      </c>
      <c r="ET49" s="73">
        <f t="shared" si="37"/>
        <v>0</v>
      </c>
      <c r="EU49" s="73"/>
      <c r="EV49" s="73"/>
      <c r="EX49" s="3">
        <f t="shared" si="38"/>
        <v>0</v>
      </c>
      <c r="EY49" s="73"/>
      <c r="EZ49" s="73">
        <f t="shared" si="39"/>
        <v>0</v>
      </c>
      <c r="FA49" s="73">
        <f t="shared" si="40"/>
        <v>0</v>
      </c>
      <c r="FB49" s="73">
        <f t="shared" si="41"/>
        <v>0</v>
      </c>
      <c r="FC49" s="73"/>
      <c r="FD49" s="73">
        <f t="shared" si="42"/>
        <v>0</v>
      </c>
    </row>
    <row r="50" spans="2:160" s="3" customFormat="1" ht="16.5" customHeight="1">
      <c r="B50" s="316" t="s">
        <v>1289</v>
      </c>
      <c r="C50" s="317" t="s">
        <v>21</v>
      </c>
      <c r="D50" s="317" t="s">
        <v>18</v>
      </c>
      <c r="E50" s="991">
        <v>0</v>
      </c>
      <c r="F50" s="951">
        <f t="shared" si="3"/>
        <v>0</v>
      </c>
      <c r="G50" s="48"/>
      <c r="H50" s="981">
        <v>0</v>
      </c>
      <c r="I50" s="48" t="s">
        <v>2335</v>
      </c>
      <c r="J50" s="48">
        <v>0</v>
      </c>
      <c r="K50" s="48">
        <v>0</v>
      </c>
      <c r="L50" s="48">
        <v>0</v>
      </c>
      <c r="M50" s="22"/>
      <c r="N50" s="140"/>
      <c r="O50" s="748"/>
      <c r="P50" s="48"/>
      <c r="Q50" s="48"/>
      <c r="R50" s="48"/>
      <c r="S50" s="886"/>
      <c r="T50" s="886"/>
      <c r="U50" s="886"/>
      <c r="V50" s="140"/>
      <c r="W50" s="140"/>
      <c r="X50" s="48"/>
      <c r="Y50" s="140"/>
      <c r="Z50" s="748"/>
      <c r="AA50" s="48"/>
      <c r="AB50" s="48"/>
      <c r="AC50" s="48"/>
      <c r="AD50" s="886"/>
      <c r="AE50" s="886"/>
      <c r="AF50" s="532">
        <f t="shared" si="5"/>
        <v>0</v>
      </c>
      <c r="AG50" s="531">
        <f t="shared" si="6"/>
        <v>0</v>
      </c>
      <c r="AH50" s="304">
        <v>44965</v>
      </c>
      <c r="AI50" s="13">
        <v>15</v>
      </c>
      <c r="AJ50" s="15">
        <v>13</v>
      </c>
      <c r="AK50" s="15">
        <v>0.249</v>
      </c>
      <c r="AL50" s="13">
        <v>48000</v>
      </c>
      <c r="AM50" s="93">
        <f t="shared" si="0"/>
        <v>13.05</v>
      </c>
      <c r="AN50" s="522"/>
      <c r="AO50" s="213"/>
      <c r="CJ50" s="921">
        <f t="shared" si="7"/>
        <v>0</v>
      </c>
      <c r="CT50" s="35"/>
      <c r="CU50" s="70" t="s">
        <v>1997</v>
      </c>
      <c r="CV50" s="71">
        <f t="shared" si="1"/>
        <v>46298</v>
      </c>
      <c r="CW50" s="72" t="str">
        <f t="shared" si="8"/>
        <v>9AG-91</v>
      </c>
      <c r="CX50" s="73" t="str">
        <f t="shared" si="9"/>
        <v>NO P.CK</v>
      </c>
      <c r="CY50" s="73">
        <f t="shared" si="10"/>
        <v>0</v>
      </c>
      <c r="CZ50" s="73">
        <f t="shared" si="11"/>
        <v>0</v>
      </c>
      <c r="DA50" s="73" t="str">
        <f t="shared" si="12"/>
        <v>SI</v>
      </c>
      <c r="DB50" s="73"/>
      <c r="DC50" s="368">
        <f t="shared" si="13"/>
        <v>0</v>
      </c>
      <c r="DD50" s="73">
        <f t="shared" si="14"/>
        <v>0</v>
      </c>
      <c r="DE50" s="73">
        <f t="shared" si="15"/>
        <v>0</v>
      </c>
      <c r="DF50" s="73">
        <f t="shared" si="16"/>
        <v>0</v>
      </c>
      <c r="DG50" s="73">
        <f t="shared" si="17"/>
        <v>0</v>
      </c>
      <c r="DH50" s="73">
        <f t="shared" si="18"/>
        <v>0</v>
      </c>
      <c r="DI50" s="73">
        <f t="shared" si="19"/>
        <v>0</v>
      </c>
      <c r="DJ50" s="73"/>
      <c r="DK50" s="73"/>
      <c r="DL50" s="73">
        <f t="shared" si="20"/>
        <v>0</v>
      </c>
      <c r="DM50" s="215">
        <f t="shared" si="21"/>
        <v>0</v>
      </c>
      <c r="DN50" s="73" t="str">
        <f t="shared" si="22"/>
        <v/>
      </c>
      <c r="DO50" s="73">
        <f t="shared" si="23"/>
        <v>0</v>
      </c>
      <c r="DP50" s="85" t="str">
        <f t="shared" si="24"/>
        <v/>
      </c>
      <c r="EB50" s="70" t="str">
        <f t="shared" si="25"/>
        <v>KHALDA_WELL</v>
      </c>
      <c r="EC50" s="71">
        <f t="shared" si="4"/>
        <v>46298</v>
      </c>
      <c r="ED50" s="72" t="str">
        <f t="shared" si="26"/>
        <v>AG-91</v>
      </c>
      <c r="EE50" s="73" t="str">
        <f t="shared" si="27"/>
        <v>NO P.CK</v>
      </c>
      <c r="EF50" s="73">
        <f t="shared" si="28"/>
        <v>0</v>
      </c>
      <c r="EG50" s="73">
        <f t="shared" si="29"/>
        <v>0</v>
      </c>
      <c r="EH50" s="73" t="str">
        <f t="shared" si="30"/>
        <v>SI</v>
      </c>
      <c r="EI50" s="73"/>
      <c r="EJ50" s="72"/>
      <c r="EK50" s="72" t="str">
        <f t="shared" si="31"/>
        <v/>
      </c>
      <c r="EL50" s="73">
        <f t="shared" si="32"/>
        <v>13</v>
      </c>
      <c r="EM50" s="213">
        <f t="shared" si="33"/>
        <v>0</v>
      </c>
      <c r="EN50" s="73"/>
      <c r="EO50" s="73"/>
      <c r="EQ50" s="73">
        <f t="shared" si="34"/>
        <v>0</v>
      </c>
      <c r="ER50" s="73">
        <f t="shared" si="35"/>
        <v>0</v>
      </c>
      <c r="ES50" s="73">
        <f t="shared" si="36"/>
        <v>0</v>
      </c>
      <c r="ET50" s="73">
        <f t="shared" si="37"/>
        <v>0</v>
      </c>
      <c r="EU50" s="73"/>
      <c r="EV50" s="73"/>
      <c r="EX50" s="3">
        <f t="shared" si="38"/>
        <v>0</v>
      </c>
      <c r="EY50" s="73"/>
      <c r="EZ50" s="73">
        <f t="shared" si="39"/>
        <v>0</v>
      </c>
      <c r="FA50" s="73">
        <f t="shared" si="40"/>
        <v>0</v>
      </c>
      <c r="FB50" s="73">
        <f t="shared" si="41"/>
        <v>0</v>
      </c>
      <c r="FC50" s="73"/>
      <c r="FD50" s="73">
        <f t="shared" si="42"/>
        <v>0</v>
      </c>
    </row>
    <row r="51" spans="2:160" s="3" customFormat="1" ht="16.5" customHeight="1">
      <c r="B51" s="316" t="s">
        <v>1290</v>
      </c>
      <c r="C51" s="317" t="s">
        <v>21</v>
      </c>
      <c r="D51" s="317" t="s">
        <v>18</v>
      </c>
      <c r="E51" s="991">
        <v>0</v>
      </c>
      <c r="F51" s="951">
        <f t="shared" si="3"/>
        <v>0</v>
      </c>
      <c r="G51" s="48"/>
      <c r="H51" s="981"/>
      <c r="I51" s="48" t="s">
        <v>255</v>
      </c>
      <c r="J51" s="48">
        <v>220</v>
      </c>
      <c r="K51" s="48">
        <v>180</v>
      </c>
      <c r="L51" s="48">
        <v>0</v>
      </c>
      <c r="M51" s="22"/>
      <c r="N51" s="140"/>
      <c r="O51" s="748"/>
      <c r="P51" s="48"/>
      <c r="Q51" s="48"/>
      <c r="R51" s="48"/>
      <c r="S51" s="886"/>
      <c r="T51" s="886"/>
      <c r="U51" s="886"/>
      <c r="V51" s="140"/>
      <c r="W51" s="140"/>
      <c r="X51" s="48"/>
      <c r="Y51" s="140"/>
      <c r="Z51" s="748"/>
      <c r="AA51" s="48"/>
      <c r="AB51" s="48"/>
      <c r="AC51" s="48"/>
      <c r="AD51" s="886"/>
      <c r="AE51" s="886"/>
      <c r="AF51" s="532">
        <f t="shared" si="5"/>
        <v>0</v>
      </c>
      <c r="AG51" s="531">
        <f t="shared" si="6"/>
        <v>0</v>
      </c>
      <c r="AH51" s="304">
        <v>44487</v>
      </c>
      <c r="AI51" s="13">
        <v>0</v>
      </c>
      <c r="AJ51" s="15">
        <v>0</v>
      </c>
      <c r="AK51" s="15">
        <v>0</v>
      </c>
      <c r="AL51" s="13"/>
      <c r="AM51" s="93"/>
      <c r="AN51" s="522" t="s">
        <v>2145</v>
      </c>
      <c r="AO51" s="213"/>
      <c r="CJ51" s="921">
        <f t="shared" si="7"/>
        <v>0</v>
      </c>
      <c r="CT51" s="35"/>
      <c r="CU51" s="70" t="s">
        <v>1998</v>
      </c>
      <c r="CV51" s="71">
        <f t="shared" si="1"/>
        <v>46298</v>
      </c>
      <c r="CW51" s="72" t="str">
        <f t="shared" si="8"/>
        <v>9AG-96</v>
      </c>
      <c r="CX51" s="73" t="str">
        <f t="shared" si="9"/>
        <v>OPEN</v>
      </c>
      <c r="CY51" s="73">
        <f t="shared" si="10"/>
        <v>220</v>
      </c>
      <c r="CZ51" s="73">
        <f t="shared" si="11"/>
        <v>0</v>
      </c>
      <c r="DA51" s="73" t="str">
        <f t="shared" si="12"/>
        <v>SI</v>
      </c>
      <c r="DB51" s="73"/>
      <c r="DC51" s="368">
        <f t="shared" si="13"/>
        <v>0</v>
      </c>
      <c r="DD51" s="73">
        <f t="shared" si="14"/>
        <v>0</v>
      </c>
      <c r="DE51" s="73">
        <f t="shared" si="15"/>
        <v>0</v>
      </c>
      <c r="DF51" s="73">
        <f t="shared" si="16"/>
        <v>0</v>
      </c>
      <c r="DG51" s="73">
        <f t="shared" si="17"/>
        <v>0</v>
      </c>
      <c r="DH51" s="73">
        <f t="shared" si="18"/>
        <v>0</v>
      </c>
      <c r="DI51" s="73">
        <f t="shared" si="19"/>
        <v>0</v>
      </c>
      <c r="DJ51" s="73"/>
      <c r="DK51" s="73"/>
      <c r="DL51" s="73">
        <f t="shared" si="20"/>
        <v>0</v>
      </c>
      <c r="DM51" s="215">
        <f t="shared" si="21"/>
        <v>0</v>
      </c>
      <c r="DN51" s="73" t="str">
        <f t="shared" si="22"/>
        <v/>
      </c>
      <c r="DO51" s="73">
        <f t="shared" si="23"/>
        <v>0</v>
      </c>
      <c r="DP51" s="85" t="str">
        <f t="shared" si="24"/>
        <v/>
      </c>
      <c r="EB51" s="70" t="str">
        <f t="shared" si="25"/>
        <v>KHALDA_WELL</v>
      </c>
      <c r="EC51" s="71">
        <f t="shared" si="4"/>
        <v>46298</v>
      </c>
      <c r="ED51" s="72" t="str">
        <f t="shared" si="26"/>
        <v>AG-96</v>
      </c>
      <c r="EE51" s="73" t="str">
        <f t="shared" si="27"/>
        <v>OPEN</v>
      </c>
      <c r="EF51" s="73">
        <f t="shared" si="28"/>
        <v>220</v>
      </c>
      <c r="EG51" s="73">
        <f t="shared" si="29"/>
        <v>0</v>
      </c>
      <c r="EH51" s="73" t="str">
        <f t="shared" si="30"/>
        <v>SI</v>
      </c>
      <c r="EI51" s="73"/>
      <c r="EJ51" s="72"/>
      <c r="EK51" s="72" t="str">
        <f t="shared" si="31"/>
        <v/>
      </c>
      <c r="EL51" s="73">
        <f t="shared" si="32"/>
        <v>0</v>
      </c>
      <c r="EM51" s="213">
        <f t="shared" si="33"/>
        <v>0</v>
      </c>
      <c r="EN51" s="73"/>
      <c r="EO51" s="73"/>
      <c r="EQ51" s="73">
        <f t="shared" si="34"/>
        <v>0</v>
      </c>
      <c r="ER51" s="73">
        <f t="shared" si="35"/>
        <v>0</v>
      </c>
      <c r="ES51" s="73">
        <f t="shared" si="36"/>
        <v>0</v>
      </c>
      <c r="ET51" s="73">
        <f t="shared" si="37"/>
        <v>0</v>
      </c>
      <c r="EU51" s="73"/>
      <c r="EV51" s="73"/>
      <c r="EX51" s="3">
        <f t="shared" si="38"/>
        <v>0</v>
      </c>
      <c r="EY51" s="73"/>
      <c r="EZ51" s="73">
        <f t="shared" si="39"/>
        <v>0</v>
      </c>
      <c r="FA51" s="73">
        <f t="shared" si="40"/>
        <v>0</v>
      </c>
      <c r="FB51" s="73">
        <f t="shared" si="41"/>
        <v>0</v>
      </c>
      <c r="FC51" s="73"/>
      <c r="FD51" s="73" t="str">
        <f t="shared" si="42"/>
        <v>Is considered as condensate at the GP report.</v>
      </c>
    </row>
    <row r="52" spans="2:160" s="3" customFormat="1" ht="17.25" customHeight="1">
      <c r="B52" s="316" t="s">
        <v>1291</v>
      </c>
      <c r="C52" s="317" t="s">
        <v>21</v>
      </c>
      <c r="D52" s="317" t="s">
        <v>18</v>
      </c>
      <c r="E52" s="991">
        <v>0</v>
      </c>
      <c r="F52" s="951">
        <f t="shared" si="3"/>
        <v>0</v>
      </c>
      <c r="G52" s="48"/>
      <c r="H52" s="981"/>
      <c r="I52" s="48" t="s">
        <v>2335</v>
      </c>
      <c r="J52" s="48">
        <v>0</v>
      </c>
      <c r="K52" s="48">
        <v>0</v>
      </c>
      <c r="L52" s="48">
        <v>0</v>
      </c>
      <c r="M52" s="22"/>
      <c r="N52" s="140"/>
      <c r="O52" s="748" t="s">
        <v>2149</v>
      </c>
      <c r="P52" s="48">
        <v>7272</v>
      </c>
      <c r="Q52" s="48">
        <v>1737</v>
      </c>
      <c r="R52" s="48">
        <v>9009</v>
      </c>
      <c r="S52" s="886">
        <v>0</v>
      </c>
      <c r="T52" s="886">
        <v>0</v>
      </c>
      <c r="U52" s="886">
        <v>0</v>
      </c>
      <c r="V52" s="140"/>
      <c r="W52" s="140"/>
      <c r="X52" s="48">
        <v>144</v>
      </c>
      <c r="Y52" s="140">
        <v>6.3</v>
      </c>
      <c r="Z52" s="748" t="s">
        <v>1741</v>
      </c>
      <c r="AA52" s="48"/>
      <c r="AB52" s="48"/>
      <c r="AC52" s="48"/>
      <c r="AD52" s="886"/>
      <c r="AE52" s="886"/>
      <c r="AF52" s="532">
        <f t="shared" si="5"/>
        <v>0</v>
      </c>
      <c r="AG52" s="531">
        <f t="shared" si="6"/>
        <v>0</v>
      </c>
      <c r="AH52" s="304">
        <v>44341</v>
      </c>
      <c r="AI52" s="13">
        <v>0</v>
      </c>
      <c r="AJ52" s="15">
        <v>0</v>
      </c>
      <c r="AK52" s="15">
        <v>0</v>
      </c>
      <c r="AL52" s="13"/>
      <c r="AM52" s="93">
        <f t="shared" si="0"/>
        <v>0</v>
      </c>
      <c r="AN52" s="687"/>
      <c r="AO52" s="213"/>
      <c r="CJ52" s="921">
        <f t="shared" si="7"/>
        <v>0</v>
      </c>
      <c r="CT52" s="35"/>
      <c r="CU52" s="70" t="s">
        <v>1999</v>
      </c>
      <c r="CV52" s="71">
        <f t="shared" si="1"/>
        <v>46298</v>
      </c>
      <c r="CW52" s="72" t="str">
        <f t="shared" si="8"/>
        <v>9AG-97</v>
      </c>
      <c r="CX52" s="73" t="str">
        <f t="shared" si="9"/>
        <v>NO P.CK</v>
      </c>
      <c r="CY52" s="73">
        <f t="shared" si="10"/>
        <v>0</v>
      </c>
      <c r="CZ52" s="73">
        <f t="shared" si="11"/>
        <v>0</v>
      </c>
      <c r="DA52" s="73" t="str">
        <f t="shared" si="12"/>
        <v>SI</v>
      </c>
      <c r="DB52" s="73"/>
      <c r="DC52" s="368">
        <f t="shared" si="13"/>
        <v>0</v>
      </c>
      <c r="DD52" s="73">
        <f t="shared" si="14"/>
        <v>0</v>
      </c>
      <c r="DE52" s="73">
        <f t="shared" si="15"/>
        <v>0</v>
      </c>
      <c r="DF52" s="73">
        <f t="shared" si="16"/>
        <v>0</v>
      </c>
      <c r="DG52" s="73">
        <f t="shared" si="17"/>
        <v>144</v>
      </c>
      <c r="DH52" s="73" t="str">
        <f t="shared" si="18"/>
        <v>26/8/2016</v>
      </c>
      <c r="DI52" s="73">
        <f t="shared" si="19"/>
        <v>0</v>
      </c>
      <c r="DJ52" s="73"/>
      <c r="DK52" s="73"/>
      <c r="DL52" s="73">
        <f t="shared" si="20"/>
        <v>0</v>
      </c>
      <c r="DM52" s="215">
        <f t="shared" si="21"/>
        <v>0</v>
      </c>
      <c r="DN52" s="73" t="str">
        <f t="shared" si="22"/>
        <v/>
      </c>
      <c r="DO52" s="73">
        <f t="shared" si="23"/>
        <v>0</v>
      </c>
      <c r="DP52" s="85" t="str">
        <f t="shared" si="24"/>
        <v/>
      </c>
      <c r="EB52" s="70" t="str">
        <f t="shared" si="25"/>
        <v>KHALDA_WELL</v>
      </c>
      <c r="EC52" s="71">
        <f t="shared" si="4"/>
        <v>46298</v>
      </c>
      <c r="ED52" s="72" t="str">
        <f t="shared" si="26"/>
        <v>AG-97</v>
      </c>
      <c r="EE52" s="73" t="str">
        <f t="shared" si="27"/>
        <v>NO P.CK</v>
      </c>
      <c r="EF52" s="73">
        <f t="shared" si="28"/>
        <v>0</v>
      </c>
      <c r="EG52" s="73">
        <f t="shared" si="29"/>
        <v>0</v>
      </c>
      <c r="EH52" s="73" t="str">
        <f t="shared" si="30"/>
        <v>SI</v>
      </c>
      <c r="EI52" s="73"/>
      <c r="EJ52" s="72"/>
      <c r="EK52" s="72" t="str">
        <f t="shared" si="31"/>
        <v/>
      </c>
      <c r="EL52" s="73">
        <f t="shared" si="32"/>
        <v>0</v>
      </c>
      <c r="EM52" s="213">
        <f t="shared" si="33"/>
        <v>0</v>
      </c>
      <c r="EN52" s="73"/>
      <c r="EO52" s="73"/>
      <c r="EQ52" s="73">
        <f t="shared" si="34"/>
        <v>6.3</v>
      </c>
      <c r="ER52" s="73" t="str">
        <f t="shared" si="35"/>
        <v>26/8/2016</v>
      </c>
      <c r="ES52" s="73">
        <f t="shared" si="36"/>
        <v>144</v>
      </c>
      <c r="ET52" s="73">
        <f t="shared" si="37"/>
        <v>0</v>
      </c>
      <c r="EU52" s="73"/>
      <c r="EV52" s="73"/>
      <c r="EX52" s="3">
        <f t="shared" si="38"/>
        <v>0</v>
      </c>
      <c r="EY52" s="73"/>
      <c r="EZ52" s="73">
        <f t="shared" si="39"/>
        <v>0</v>
      </c>
      <c r="FA52" s="73">
        <f t="shared" si="40"/>
        <v>0</v>
      </c>
      <c r="FB52" s="73">
        <f t="shared" si="41"/>
        <v>0</v>
      </c>
      <c r="FC52" s="73"/>
      <c r="FD52" s="73">
        <f t="shared" si="42"/>
        <v>0</v>
      </c>
    </row>
    <row r="53" spans="2:160" s="3" customFormat="1" ht="16.5" customHeight="1">
      <c r="B53" s="316" t="s">
        <v>1742</v>
      </c>
      <c r="C53" s="317" t="s">
        <v>1305</v>
      </c>
      <c r="D53" s="317" t="s">
        <v>18</v>
      </c>
      <c r="E53" s="991">
        <v>0</v>
      </c>
      <c r="F53" s="951">
        <f t="shared" si="3"/>
        <v>0</v>
      </c>
      <c r="G53" s="48"/>
      <c r="H53" s="981"/>
      <c r="I53" s="48" t="s">
        <v>2335</v>
      </c>
      <c r="J53" s="48">
        <v>1350</v>
      </c>
      <c r="K53" s="48">
        <v>180</v>
      </c>
      <c r="L53" s="48">
        <v>0</v>
      </c>
      <c r="M53" s="22"/>
      <c r="N53" s="140"/>
      <c r="O53" s="748"/>
      <c r="P53" s="48"/>
      <c r="Q53" s="48"/>
      <c r="R53" s="48"/>
      <c r="S53" s="886"/>
      <c r="T53" s="886"/>
      <c r="U53" s="886"/>
      <c r="V53" s="140"/>
      <c r="W53" s="140"/>
      <c r="X53" s="48"/>
      <c r="Y53" s="140"/>
      <c r="Z53" s="748"/>
      <c r="AA53" s="48"/>
      <c r="AB53" s="48"/>
      <c r="AC53" s="48"/>
      <c r="AD53" s="886"/>
      <c r="AE53" s="886"/>
      <c r="AF53" s="532">
        <f t="shared" si="5"/>
        <v>0</v>
      </c>
      <c r="AG53" s="531">
        <f t="shared" si="6"/>
        <v>0</v>
      </c>
      <c r="AH53" s="304">
        <v>43856</v>
      </c>
      <c r="AI53" s="13">
        <v>0</v>
      </c>
      <c r="AJ53" s="15">
        <v>0</v>
      </c>
      <c r="AK53" s="15">
        <v>0</v>
      </c>
      <c r="AL53" s="13"/>
      <c r="AM53" s="93">
        <f t="shared" si="0"/>
        <v>0</v>
      </c>
      <c r="AN53" s="148"/>
      <c r="AO53" s="213"/>
      <c r="CJ53" s="921">
        <f t="shared" si="7"/>
        <v>0</v>
      </c>
      <c r="CT53" s="35"/>
      <c r="CU53" s="70" t="s">
        <v>2000</v>
      </c>
      <c r="CV53" s="71">
        <f t="shared" si="1"/>
        <v>46298</v>
      </c>
      <c r="CW53" s="72" t="str">
        <f t="shared" si="8"/>
        <v>9AG-100</v>
      </c>
      <c r="CX53" s="73" t="str">
        <f t="shared" si="9"/>
        <v>NO P.CK</v>
      </c>
      <c r="CY53" s="73">
        <f t="shared" si="10"/>
        <v>1350</v>
      </c>
      <c r="CZ53" s="73">
        <f t="shared" si="11"/>
        <v>0</v>
      </c>
      <c r="DA53" s="73" t="str">
        <f t="shared" si="12"/>
        <v>SI</v>
      </c>
      <c r="DB53" s="73"/>
      <c r="DC53" s="368">
        <f t="shared" si="13"/>
        <v>0</v>
      </c>
      <c r="DD53" s="73">
        <f t="shared" si="14"/>
        <v>0</v>
      </c>
      <c r="DE53" s="73">
        <f t="shared" si="15"/>
        <v>0</v>
      </c>
      <c r="DF53" s="73">
        <f t="shared" si="16"/>
        <v>0</v>
      </c>
      <c r="DG53" s="73">
        <f t="shared" si="17"/>
        <v>0</v>
      </c>
      <c r="DH53" s="73">
        <f t="shared" si="18"/>
        <v>0</v>
      </c>
      <c r="DI53" s="73">
        <f t="shared" si="19"/>
        <v>0</v>
      </c>
      <c r="DJ53" s="73"/>
      <c r="DK53" s="73"/>
      <c r="DL53" s="73">
        <f t="shared" si="20"/>
        <v>0</v>
      </c>
      <c r="DM53" s="215">
        <f t="shared" si="21"/>
        <v>0</v>
      </c>
      <c r="DN53" s="73" t="str">
        <f t="shared" si="22"/>
        <v/>
      </c>
      <c r="DO53" s="73">
        <f t="shared" si="23"/>
        <v>0</v>
      </c>
      <c r="DP53" s="85" t="str">
        <f t="shared" si="24"/>
        <v/>
      </c>
      <c r="EB53" s="70" t="str">
        <f t="shared" si="25"/>
        <v>KHALDA_WELL</v>
      </c>
      <c r="EC53" s="71">
        <f t="shared" si="4"/>
        <v>46298</v>
      </c>
      <c r="ED53" s="72" t="str">
        <f t="shared" si="26"/>
        <v>AG-100</v>
      </c>
      <c r="EE53" s="73" t="str">
        <f t="shared" si="27"/>
        <v>NO P.CK</v>
      </c>
      <c r="EF53" s="73">
        <f t="shared" si="28"/>
        <v>1350</v>
      </c>
      <c r="EG53" s="73">
        <f t="shared" si="29"/>
        <v>0</v>
      </c>
      <c r="EH53" s="73" t="str">
        <f t="shared" si="30"/>
        <v>SI</v>
      </c>
      <c r="EI53" s="73"/>
      <c r="EJ53" s="72"/>
      <c r="EK53" s="72" t="str">
        <f t="shared" si="31"/>
        <v/>
      </c>
      <c r="EL53" s="73">
        <f t="shared" si="32"/>
        <v>0</v>
      </c>
      <c r="EM53" s="213">
        <f t="shared" si="33"/>
        <v>0</v>
      </c>
      <c r="EN53" s="73"/>
      <c r="EO53" s="73"/>
      <c r="EQ53" s="73">
        <f t="shared" si="34"/>
        <v>0</v>
      </c>
      <c r="ER53" s="73">
        <f t="shared" si="35"/>
        <v>0</v>
      </c>
      <c r="ES53" s="73">
        <f t="shared" si="36"/>
        <v>0</v>
      </c>
      <c r="ET53" s="73">
        <f t="shared" si="37"/>
        <v>0</v>
      </c>
      <c r="EU53" s="73"/>
      <c r="EV53" s="73"/>
      <c r="EX53" s="3">
        <f t="shared" si="38"/>
        <v>0</v>
      </c>
      <c r="EY53" s="73"/>
      <c r="EZ53" s="73">
        <f t="shared" si="39"/>
        <v>0</v>
      </c>
      <c r="FA53" s="73">
        <f t="shared" si="40"/>
        <v>0</v>
      </c>
      <c r="FB53" s="73">
        <f t="shared" si="41"/>
        <v>0</v>
      </c>
      <c r="FC53" s="73"/>
      <c r="FD53" s="73">
        <f t="shared" si="42"/>
        <v>0</v>
      </c>
    </row>
    <row r="54" spans="2:160" s="3" customFormat="1" ht="16.5" customHeight="1">
      <c r="B54" s="316" t="s">
        <v>1519</v>
      </c>
      <c r="C54" s="317" t="s">
        <v>19</v>
      </c>
      <c r="D54" s="317" t="s">
        <v>18</v>
      </c>
      <c r="E54" s="991">
        <v>0</v>
      </c>
      <c r="F54" s="951">
        <f t="shared" si="3"/>
        <v>0</v>
      </c>
      <c r="G54" s="48"/>
      <c r="H54" s="981"/>
      <c r="I54" s="48">
        <v>32</v>
      </c>
      <c r="J54" s="48">
        <v>250</v>
      </c>
      <c r="K54" s="48">
        <v>180</v>
      </c>
      <c r="L54" s="48">
        <v>0</v>
      </c>
      <c r="M54" s="22"/>
      <c r="N54" s="140"/>
      <c r="O54" s="748"/>
      <c r="P54" s="48"/>
      <c r="Q54" s="48"/>
      <c r="R54" s="48"/>
      <c r="S54" s="886"/>
      <c r="T54" s="886"/>
      <c r="U54" s="886"/>
      <c r="V54" s="140"/>
      <c r="W54" s="140"/>
      <c r="X54" s="48"/>
      <c r="Y54" s="140"/>
      <c r="Z54" s="748"/>
      <c r="AA54" s="48"/>
      <c r="AB54" s="48"/>
      <c r="AC54" s="48"/>
      <c r="AD54" s="886"/>
      <c r="AE54" s="886"/>
      <c r="AF54" s="532">
        <f t="shared" si="5"/>
        <v>0</v>
      </c>
      <c r="AG54" s="531">
        <f t="shared" si="6"/>
        <v>0</v>
      </c>
      <c r="AH54" s="304">
        <v>43827</v>
      </c>
      <c r="AI54" s="13">
        <v>0</v>
      </c>
      <c r="AJ54" s="15">
        <v>0</v>
      </c>
      <c r="AK54" s="15">
        <v>0.157</v>
      </c>
      <c r="AL54" s="13"/>
      <c r="AM54" s="93">
        <f t="shared" si="0"/>
        <v>0</v>
      </c>
      <c r="AN54" s="148"/>
      <c r="AO54" s="213"/>
      <c r="CJ54" s="921">
        <f t="shared" si="7"/>
        <v>0</v>
      </c>
      <c r="CT54" s="35"/>
      <c r="CU54" s="70" t="s">
        <v>2001</v>
      </c>
      <c r="CV54" s="71">
        <f t="shared" si="1"/>
        <v>46298</v>
      </c>
      <c r="CW54" s="72" t="str">
        <f t="shared" si="8"/>
        <v>9AG-101</v>
      </c>
      <c r="CX54" s="73">
        <f t="shared" si="9"/>
        <v>32</v>
      </c>
      <c r="CY54" s="73">
        <f t="shared" si="10"/>
        <v>250</v>
      </c>
      <c r="CZ54" s="73">
        <f t="shared" si="11"/>
        <v>0</v>
      </c>
      <c r="DA54" s="73" t="str">
        <f t="shared" si="12"/>
        <v>SI</v>
      </c>
      <c r="DB54" s="73"/>
      <c r="DC54" s="368">
        <f t="shared" si="13"/>
        <v>0</v>
      </c>
      <c r="DD54" s="73">
        <f t="shared" si="14"/>
        <v>0</v>
      </c>
      <c r="DE54" s="73">
        <f t="shared" si="15"/>
        <v>0</v>
      </c>
      <c r="DF54" s="73">
        <f t="shared" si="16"/>
        <v>0</v>
      </c>
      <c r="DG54" s="73">
        <f t="shared" si="17"/>
        <v>0</v>
      </c>
      <c r="DH54" s="73">
        <f t="shared" si="18"/>
        <v>0</v>
      </c>
      <c r="DI54" s="73">
        <f t="shared" si="19"/>
        <v>0</v>
      </c>
      <c r="DJ54" s="73"/>
      <c r="DK54" s="73"/>
      <c r="DL54" s="73">
        <f t="shared" si="20"/>
        <v>0</v>
      </c>
      <c r="DM54" s="215">
        <f t="shared" si="21"/>
        <v>0</v>
      </c>
      <c r="DN54" s="73" t="str">
        <f t="shared" si="22"/>
        <v/>
      </c>
      <c r="DO54" s="73">
        <f t="shared" si="23"/>
        <v>0</v>
      </c>
      <c r="DP54" s="85" t="str">
        <f t="shared" si="24"/>
        <v/>
      </c>
      <c r="EB54" s="70" t="str">
        <f t="shared" si="25"/>
        <v>KHALDA_WELL</v>
      </c>
      <c r="EC54" s="71">
        <f t="shared" si="4"/>
        <v>46298</v>
      </c>
      <c r="ED54" s="72" t="str">
        <f t="shared" si="26"/>
        <v>AG-101</v>
      </c>
      <c r="EE54" s="73">
        <f t="shared" si="27"/>
        <v>32</v>
      </c>
      <c r="EF54" s="73">
        <f t="shared" si="28"/>
        <v>250</v>
      </c>
      <c r="EG54" s="73">
        <f t="shared" si="29"/>
        <v>0</v>
      </c>
      <c r="EH54" s="73" t="str">
        <f t="shared" si="30"/>
        <v>SI</v>
      </c>
      <c r="EI54" s="73"/>
      <c r="EJ54" s="72"/>
      <c r="EK54" s="72" t="str">
        <f t="shared" si="31"/>
        <v/>
      </c>
      <c r="EL54" s="73">
        <f t="shared" si="32"/>
        <v>0</v>
      </c>
      <c r="EM54" s="213">
        <f t="shared" si="33"/>
        <v>0</v>
      </c>
      <c r="EN54" s="73"/>
      <c r="EO54" s="73"/>
      <c r="EQ54" s="73">
        <f t="shared" si="34"/>
        <v>0</v>
      </c>
      <c r="ER54" s="73">
        <f t="shared" si="35"/>
        <v>0</v>
      </c>
      <c r="ES54" s="73">
        <f t="shared" si="36"/>
        <v>0</v>
      </c>
      <c r="ET54" s="73">
        <f t="shared" si="37"/>
        <v>0</v>
      </c>
      <c r="EU54" s="73"/>
      <c r="EV54" s="73"/>
      <c r="EX54" s="3">
        <f t="shared" si="38"/>
        <v>0</v>
      </c>
      <c r="EY54" s="73"/>
      <c r="EZ54" s="73">
        <f t="shared" si="39"/>
        <v>0</v>
      </c>
      <c r="FA54" s="73">
        <f t="shared" si="40"/>
        <v>0</v>
      </c>
      <c r="FB54" s="73">
        <f t="shared" si="41"/>
        <v>0</v>
      </c>
      <c r="FC54" s="73"/>
      <c r="FD54" s="73">
        <f t="shared" si="42"/>
        <v>0</v>
      </c>
    </row>
    <row r="55" spans="2:160" s="3" customFormat="1" ht="16.5" customHeight="1">
      <c r="B55" s="316" t="s">
        <v>1511</v>
      </c>
      <c r="C55" s="317" t="s">
        <v>21</v>
      </c>
      <c r="D55" s="317" t="s">
        <v>2</v>
      </c>
      <c r="E55" s="991">
        <v>24</v>
      </c>
      <c r="F55" s="951">
        <f t="shared" si="3"/>
        <v>0</v>
      </c>
      <c r="G55" s="48"/>
      <c r="H55" s="981"/>
      <c r="I55" s="48" t="s">
        <v>2335</v>
      </c>
      <c r="J55" s="48">
        <v>220</v>
      </c>
      <c r="K55" s="48">
        <v>220</v>
      </c>
      <c r="L55" s="48">
        <v>0</v>
      </c>
      <c r="M55" s="22"/>
      <c r="N55" s="140"/>
      <c r="O55" s="748">
        <v>46293</v>
      </c>
      <c r="P55" s="48">
        <v>8073</v>
      </c>
      <c r="Q55" s="48">
        <v>891</v>
      </c>
      <c r="R55" s="48">
        <v>9179</v>
      </c>
      <c r="S55" s="886">
        <v>89</v>
      </c>
      <c r="T55" s="886">
        <v>58</v>
      </c>
      <c r="U55" s="886">
        <v>92</v>
      </c>
      <c r="V55" s="140"/>
      <c r="W55" s="140"/>
      <c r="X55" s="48">
        <v>106</v>
      </c>
      <c r="Y55" s="140">
        <v>5.4</v>
      </c>
      <c r="Z55" s="748" t="s">
        <v>2116</v>
      </c>
      <c r="AA55" s="48"/>
      <c r="AB55" s="48"/>
      <c r="AC55" s="48"/>
      <c r="AD55" s="886"/>
      <c r="AE55" s="886"/>
      <c r="AF55" s="532">
        <f t="shared" si="5"/>
        <v>0</v>
      </c>
      <c r="AG55" s="531">
        <f t="shared" si="6"/>
        <v>37.619999999999997</v>
      </c>
      <c r="AH55" s="304">
        <v>46222</v>
      </c>
      <c r="AI55" s="13">
        <v>38</v>
      </c>
      <c r="AJ55" s="15">
        <v>1</v>
      </c>
      <c r="AK55" s="15">
        <v>0</v>
      </c>
      <c r="AL55" s="13"/>
      <c r="AM55" s="93">
        <f t="shared" si="0"/>
        <v>37.619999999999997</v>
      </c>
      <c r="AN55" s="148"/>
      <c r="AO55" s="213"/>
      <c r="CJ55" s="921">
        <f t="shared" si="7"/>
        <v>0.38</v>
      </c>
      <c r="CT55" s="35"/>
      <c r="CU55" s="70" t="s">
        <v>2002</v>
      </c>
      <c r="CV55" s="71">
        <f t="shared" si="1"/>
        <v>46298</v>
      </c>
      <c r="CW55" s="72" t="str">
        <f t="shared" si="8"/>
        <v>9AG-102</v>
      </c>
      <c r="CX55" s="73" t="str">
        <f t="shared" si="9"/>
        <v>NO P.CK</v>
      </c>
      <c r="CY55" s="73">
        <f t="shared" si="10"/>
        <v>220</v>
      </c>
      <c r="CZ55" s="73">
        <f t="shared" si="11"/>
        <v>24</v>
      </c>
      <c r="DA55" s="73" t="str">
        <f t="shared" si="12"/>
        <v>SRP</v>
      </c>
      <c r="DB55" s="73"/>
      <c r="DC55" s="368">
        <f t="shared" si="13"/>
        <v>0</v>
      </c>
      <c r="DD55" s="73">
        <f t="shared" si="14"/>
        <v>0</v>
      </c>
      <c r="DE55" s="73">
        <f t="shared" si="15"/>
        <v>0</v>
      </c>
      <c r="DF55" s="73">
        <f t="shared" si="16"/>
        <v>0</v>
      </c>
      <c r="DG55" s="73">
        <f t="shared" si="17"/>
        <v>106</v>
      </c>
      <c r="DH55" s="73" t="str">
        <f t="shared" si="18"/>
        <v>28/7/2019</v>
      </c>
      <c r="DI55" s="73">
        <f t="shared" si="19"/>
        <v>0</v>
      </c>
      <c r="DJ55" s="73"/>
      <c r="DK55" s="73"/>
      <c r="DL55" s="73">
        <f t="shared" si="20"/>
        <v>0</v>
      </c>
      <c r="DM55" s="215">
        <f t="shared" si="21"/>
        <v>37.619999999999997</v>
      </c>
      <c r="DN55" s="73" t="str">
        <f t="shared" si="22"/>
        <v/>
      </c>
      <c r="DO55" s="73">
        <f t="shared" si="23"/>
        <v>37.619999999999997</v>
      </c>
      <c r="DP55" s="85" t="str">
        <f t="shared" si="24"/>
        <v>SAG</v>
      </c>
      <c r="EB55" s="70" t="str">
        <f t="shared" si="25"/>
        <v>KHALDA_WELL</v>
      </c>
      <c r="EC55" s="71">
        <f t="shared" si="4"/>
        <v>46298</v>
      </c>
      <c r="ED55" s="72" t="str">
        <f t="shared" si="26"/>
        <v>AG-102</v>
      </c>
      <c r="EE55" s="73" t="str">
        <f t="shared" si="27"/>
        <v>NO P.CK</v>
      </c>
      <c r="EF55" s="73">
        <f t="shared" si="28"/>
        <v>220</v>
      </c>
      <c r="EG55" s="73">
        <f t="shared" si="29"/>
        <v>24</v>
      </c>
      <c r="EH55" s="73" t="str">
        <f t="shared" si="30"/>
        <v>SRP</v>
      </c>
      <c r="EI55" s="73"/>
      <c r="EJ55" s="72"/>
      <c r="EK55" s="72" t="str">
        <f t="shared" si="31"/>
        <v/>
      </c>
      <c r="EL55" s="73">
        <f t="shared" si="32"/>
        <v>1</v>
      </c>
      <c r="EM55" s="213">
        <f t="shared" si="33"/>
        <v>0</v>
      </c>
      <c r="EN55" s="73"/>
      <c r="EO55" s="73"/>
      <c r="EQ55" s="73">
        <f t="shared" si="34"/>
        <v>5.4</v>
      </c>
      <c r="ER55" s="73" t="str">
        <f t="shared" si="35"/>
        <v>28/7/2019</v>
      </c>
      <c r="ES55" s="73">
        <f t="shared" si="36"/>
        <v>106</v>
      </c>
      <c r="ET55" s="73">
        <f t="shared" si="37"/>
        <v>0</v>
      </c>
      <c r="EU55" s="73"/>
      <c r="EV55" s="73"/>
      <c r="EX55" s="3">
        <f t="shared" si="38"/>
        <v>0</v>
      </c>
      <c r="EY55" s="73"/>
      <c r="EZ55" s="73">
        <f t="shared" si="39"/>
        <v>89</v>
      </c>
      <c r="FA55" s="73">
        <f t="shared" si="40"/>
        <v>58</v>
      </c>
      <c r="FB55" s="73">
        <f t="shared" si="41"/>
        <v>92</v>
      </c>
      <c r="FC55" s="73"/>
      <c r="FD55" s="73">
        <f t="shared" si="42"/>
        <v>0</v>
      </c>
    </row>
    <row r="56" spans="2:160" s="3" customFormat="1" ht="17.25" customHeight="1">
      <c r="B56" s="316" t="s">
        <v>1682</v>
      </c>
      <c r="C56" s="317" t="s">
        <v>21</v>
      </c>
      <c r="D56" s="317" t="s">
        <v>2</v>
      </c>
      <c r="E56" s="991">
        <v>24</v>
      </c>
      <c r="F56" s="951">
        <f>IF(E56=0,0,((AI56*(1-(AJ56/100)))/24)*(24-HOURS))</f>
        <v>0</v>
      </c>
      <c r="G56" s="48"/>
      <c r="H56" s="981"/>
      <c r="I56" s="48" t="s">
        <v>2335</v>
      </c>
      <c r="J56" s="48">
        <v>0</v>
      </c>
      <c r="K56" s="48">
        <v>0</v>
      </c>
      <c r="L56" s="48">
        <v>0</v>
      </c>
      <c r="M56" s="22"/>
      <c r="N56" s="140"/>
      <c r="O56" s="748">
        <v>46293</v>
      </c>
      <c r="P56" s="48">
        <v>6468</v>
      </c>
      <c r="Q56" s="48">
        <v>2653</v>
      </c>
      <c r="R56" s="48">
        <v>9121</v>
      </c>
      <c r="S56" s="886">
        <v>0</v>
      </c>
      <c r="T56" s="886">
        <v>0</v>
      </c>
      <c r="U56" s="886">
        <v>0</v>
      </c>
      <c r="V56" s="140"/>
      <c r="W56" s="140"/>
      <c r="X56" s="48">
        <v>144</v>
      </c>
      <c r="Y56" s="140">
        <v>5</v>
      </c>
      <c r="Z56" s="748">
        <v>43136</v>
      </c>
      <c r="AA56" s="48"/>
      <c r="AB56" s="48"/>
      <c r="AC56" s="48"/>
      <c r="AD56" s="886"/>
      <c r="AE56" s="886"/>
      <c r="AF56" s="532">
        <f t="shared" si="5"/>
        <v>0</v>
      </c>
      <c r="AG56" s="531">
        <f t="shared" si="6"/>
        <v>9.6</v>
      </c>
      <c r="AH56" s="304">
        <v>44432</v>
      </c>
      <c r="AI56" s="13">
        <v>10</v>
      </c>
      <c r="AJ56" s="15">
        <v>4</v>
      </c>
      <c r="AK56" s="15">
        <v>0</v>
      </c>
      <c r="AL56" s="13"/>
      <c r="AM56" s="93">
        <f t="shared" si="0"/>
        <v>9.6</v>
      </c>
      <c r="AN56" s="148"/>
      <c r="AO56" s="213"/>
      <c r="CJ56" s="921">
        <f t="shared" si="7"/>
        <v>0.4</v>
      </c>
      <c r="CT56" s="35"/>
      <c r="CU56" s="70" t="s">
        <v>2003</v>
      </c>
      <c r="CV56" s="71">
        <f t="shared" si="1"/>
        <v>46298</v>
      </c>
      <c r="CW56" s="72" t="str">
        <f t="shared" si="8"/>
        <v>9AG-103</v>
      </c>
      <c r="CX56" s="73" t="str">
        <f t="shared" si="9"/>
        <v>NO P.CK</v>
      </c>
      <c r="CY56" s="73">
        <f t="shared" si="10"/>
        <v>0</v>
      </c>
      <c r="CZ56" s="73">
        <f t="shared" si="11"/>
        <v>24</v>
      </c>
      <c r="DA56" s="73" t="str">
        <f t="shared" si="12"/>
        <v>SRP</v>
      </c>
      <c r="DB56" s="73"/>
      <c r="DC56" s="368">
        <f t="shared" si="13"/>
        <v>0</v>
      </c>
      <c r="DD56" s="73">
        <f t="shared" si="14"/>
        <v>0</v>
      </c>
      <c r="DE56" s="73">
        <f t="shared" si="15"/>
        <v>0</v>
      </c>
      <c r="DF56" s="73">
        <f t="shared" si="16"/>
        <v>0</v>
      </c>
      <c r="DG56" s="73">
        <f t="shared" si="17"/>
        <v>144</v>
      </c>
      <c r="DH56" s="73">
        <f t="shared" si="18"/>
        <v>43136</v>
      </c>
      <c r="DI56" s="73">
        <f t="shared" si="19"/>
        <v>0</v>
      </c>
      <c r="DJ56" s="73"/>
      <c r="DK56" s="73"/>
      <c r="DL56" s="73">
        <f t="shared" si="20"/>
        <v>0</v>
      </c>
      <c r="DM56" s="215">
        <f t="shared" si="21"/>
        <v>9.6</v>
      </c>
      <c r="DN56" s="73" t="str">
        <f t="shared" si="22"/>
        <v/>
      </c>
      <c r="DO56" s="73">
        <f t="shared" si="23"/>
        <v>9.6</v>
      </c>
      <c r="DP56" s="85" t="str">
        <f t="shared" si="24"/>
        <v>AG</v>
      </c>
      <c r="EB56" s="70" t="str">
        <f t="shared" si="25"/>
        <v>KHALDA_WELL</v>
      </c>
      <c r="EC56" s="71">
        <f t="shared" si="4"/>
        <v>46298</v>
      </c>
      <c r="ED56" s="72" t="str">
        <f t="shared" si="26"/>
        <v>AG-103</v>
      </c>
      <c r="EE56" s="73" t="str">
        <f t="shared" si="27"/>
        <v>NO P.CK</v>
      </c>
      <c r="EF56" s="73">
        <f t="shared" si="28"/>
        <v>0</v>
      </c>
      <c r="EG56" s="73">
        <f t="shared" si="29"/>
        <v>24</v>
      </c>
      <c r="EH56" s="73" t="str">
        <f t="shared" si="30"/>
        <v>SRP</v>
      </c>
      <c r="EI56" s="73"/>
      <c r="EJ56" s="72"/>
      <c r="EK56" s="72" t="str">
        <f t="shared" si="31"/>
        <v/>
      </c>
      <c r="EL56" s="73">
        <f t="shared" si="32"/>
        <v>4</v>
      </c>
      <c r="EM56" s="213">
        <f t="shared" si="33"/>
        <v>0</v>
      </c>
      <c r="EN56" s="73"/>
      <c r="EO56" s="73"/>
      <c r="EQ56" s="73">
        <f t="shared" si="34"/>
        <v>5</v>
      </c>
      <c r="ER56" s="73">
        <f t="shared" si="35"/>
        <v>43136</v>
      </c>
      <c r="ES56" s="73">
        <f t="shared" si="36"/>
        <v>144</v>
      </c>
      <c r="ET56" s="73">
        <f t="shared" si="37"/>
        <v>0</v>
      </c>
      <c r="EU56" s="73"/>
      <c r="EV56" s="73"/>
      <c r="EX56" s="3">
        <f t="shared" si="38"/>
        <v>0</v>
      </c>
      <c r="EY56" s="73"/>
      <c r="EZ56" s="73">
        <f t="shared" si="39"/>
        <v>0</v>
      </c>
      <c r="FA56" s="73">
        <f t="shared" si="40"/>
        <v>0</v>
      </c>
      <c r="FB56" s="73">
        <f t="shared" si="41"/>
        <v>0</v>
      </c>
      <c r="FC56" s="73"/>
      <c r="FD56" s="73">
        <f t="shared" si="42"/>
        <v>0</v>
      </c>
    </row>
    <row r="57" spans="2:160" s="3" customFormat="1" ht="16.5" customHeight="1">
      <c r="B57" s="316" t="s">
        <v>1434</v>
      </c>
      <c r="C57" s="317" t="s">
        <v>24</v>
      </c>
      <c r="D57" s="317" t="s">
        <v>18</v>
      </c>
      <c r="E57" s="991">
        <v>0</v>
      </c>
      <c r="F57" s="951">
        <f t="shared" si="3"/>
        <v>0</v>
      </c>
      <c r="G57" s="48"/>
      <c r="H57" s="981"/>
      <c r="I57" s="48" t="s">
        <v>255</v>
      </c>
      <c r="J57" s="48">
        <v>210</v>
      </c>
      <c r="K57" s="48">
        <v>190</v>
      </c>
      <c r="L57" s="48">
        <v>210</v>
      </c>
      <c r="M57" s="22"/>
      <c r="N57" s="140"/>
      <c r="O57" s="748"/>
      <c r="P57" s="48"/>
      <c r="Q57" s="48"/>
      <c r="R57" s="48"/>
      <c r="S57" s="886"/>
      <c r="T57" s="886"/>
      <c r="U57" s="886"/>
      <c r="V57" s="140"/>
      <c r="W57" s="140"/>
      <c r="X57" s="48"/>
      <c r="Y57" s="140"/>
      <c r="Z57" s="748"/>
      <c r="AA57" s="48"/>
      <c r="AB57" s="48"/>
      <c r="AC57" s="48"/>
      <c r="AD57" s="886"/>
      <c r="AE57" s="886"/>
      <c r="AF57" s="532">
        <f t="shared" si="5"/>
        <v>0</v>
      </c>
      <c r="AG57" s="531">
        <f t="shared" si="6"/>
        <v>0</v>
      </c>
      <c r="AH57" s="304">
        <v>46223</v>
      </c>
      <c r="AI57" s="13">
        <v>42</v>
      </c>
      <c r="AJ57" s="15">
        <v>63.7</v>
      </c>
      <c r="AK57" s="15">
        <v>1.8954545454545455</v>
      </c>
      <c r="AL57" s="13"/>
      <c r="AM57" s="93"/>
      <c r="AN57" s="148" t="s">
        <v>2146</v>
      </c>
      <c r="AO57" s="213"/>
      <c r="CJ57" s="921">
        <f t="shared" si="7"/>
        <v>0</v>
      </c>
      <c r="CT57" s="35"/>
      <c r="CU57" s="70" t="s">
        <v>2004</v>
      </c>
      <c r="CV57" s="71">
        <f t="shared" si="1"/>
        <v>46298</v>
      </c>
      <c r="CW57" s="72" t="str">
        <f t="shared" si="8"/>
        <v>9AG-104</v>
      </c>
      <c r="CX57" s="73" t="str">
        <f t="shared" si="9"/>
        <v>OPEN</v>
      </c>
      <c r="CY57" s="73">
        <f t="shared" si="10"/>
        <v>210</v>
      </c>
      <c r="CZ57" s="73">
        <f t="shared" si="11"/>
        <v>0</v>
      </c>
      <c r="DA57" s="73" t="str">
        <f t="shared" si="12"/>
        <v>SI</v>
      </c>
      <c r="DB57" s="73"/>
      <c r="DC57" s="368">
        <f t="shared" si="13"/>
        <v>0</v>
      </c>
      <c r="DD57" s="73">
        <f t="shared" si="14"/>
        <v>0</v>
      </c>
      <c r="DE57" s="73">
        <f t="shared" si="15"/>
        <v>0</v>
      </c>
      <c r="DF57" s="73">
        <f t="shared" si="16"/>
        <v>0</v>
      </c>
      <c r="DG57" s="73">
        <f t="shared" si="17"/>
        <v>0</v>
      </c>
      <c r="DH57" s="73">
        <f t="shared" si="18"/>
        <v>0</v>
      </c>
      <c r="DI57" s="73">
        <f t="shared" si="19"/>
        <v>0</v>
      </c>
      <c r="DJ57" s="73"/>
      <c r="DK57" s="73"/>
      <c r="DL57" s="73">
        <f t="shared" si="20"/>
        <v>0</v>
      </c>
      <c r="DM57" s="215">
        <f t="shared" si="21"/>
        <v>0</v>
      </c>
      <c r="DN57" s="73" t="str">
        <f t="shared" si="22"/>
        <v/>
      </c>
      <c r="DO57" s="73">
        <f t="shared" si="23"/>
        <v>0</v>
      </c>
      <c r="DP57" s="85" t="str">
        <f t="shared" si="24"/>
        <v/>
      </c>
      <c r="EB57" s="70" t="str">
        <f t="shared" si="25"/>
        <v>KHALDA_WELL</v>
      </c>
      <c r="EC57" s="71">
        <f t="shared" si="4"/>
        <v>46298</v>
      </c>
      <c r="ED57" s="72" t="str">
        <f t="shared" si="26"/>
        <v>AG-104</v>
      </c>
      <c r="EE57" s="73" t="str">
        <f t="shared" si="27"/>
        <v>OPEN</v>
      </c>
      <c r="EF57" s="73">
        <f t="shared" si="28"/>
        <v>210</v>
      </c>
      <c r="EG57" s="73">
        <f t="shared" si="29"/>
        <v>0</v>
      </c>
      <c r="EH57" s="73" t="str">
        <f t="shared" si="30"/>
        <v>SI</v>
      </c>
      <c r="EI57" s="73"/>
      <c r="EJ57" s="72"/>
      <c r="EK57" s="72" t="str">
        <f t="shared" si="31"/>
        <v/>
      </c>
      <c r="EL57" s="73">
        <f t="shared" si="32"/>
        <v>63.7</v>
      </c>
      <c r="EM57" s="213">
        <f t="shared" si="33"/>
        <v>0</v>
      </c>
      <c r="EN57" s="73"/>
      <c r="EO57" s="73"/>
      <c r="EQ57" s="73">
        <f t="shared" si="34"/>
        <v>0</v>
      </c>
      <c r="ER57" s="73">
        <f t="shared" si="35"/>
        <v>0</v>
      </c>
      <c r="ES57" s="73">
        <f t="shared" si="36"/>
        <v>0</v>
      </c>
      <c r="ET57" s="73">
        <f t="shared" si="37"/>
        <v>0</v>
      </c>
      <c r="EU57" s="73"/>
      <c r="EV57" s="73"/>
      <c r="EX57" s="3">
        <f t="shared" si="38"/>
        <v>0</v>
      </c>
      <c r="EY57" s="73"/>
      <c r="EZ57" s="73">
        <f t="shared" si="39"/>
        <v>0</v>
      </c>
      <c r="FA57" s="73">
        <f t="shared" si="40"/>
        <v>0</v>
      </c>
      <c r="FB57" s="73">
        <f t="shared" si="41"/>
        <v>0</v>
      </c>
      <c r="FC57" s="73"/>
      <c r="FD57" s="73" t="str">
        <f t="shared" si="42"/>
        <v>Gas well</v>
      </c>
    </row>
    <row r="58" spans="2:160" s="3" customFormat="1" ht="16.5" customHeight="1">
      <c r="B58" s="316" t="s">
        <v>1413</v>
      </c>
      <c r="C58" s="317" t="s">
        <v>21</v>
      </c>
      <c r="D58" s="317" t="s">
        <v>18</v>
      </c>
      <c r="E58" s="991">
        <v>0</v>
      </c>
      <c r="F58" s="951">
        <f t="shared" si="3"/>
        <v>0</v>
      </c>
      <c r="G58" s="48"/>
      <c r="H58" s="981"/>
      <c r="I58" s="48" t="s">
        <v>2335</v>
      </c>
      <c r="J58" s="48">
        <v>340</v>
      </c>
      <c r="K58" s="48">
        <v>180</v>
      </c>
      <c r="L58" s="48">
        <v>180</v>
      </c>
      <c r="M58" s="22"/>
      <c r="N58" s="140"/>
      <c r="O58" s="748" t="s">
        <v>2213</v>
      </c>
      <c r="P58" s="48">
        <v>7418</v>
      </c>
      <c r="Q58" s="48">
        <v>251</v>
      </c>
      <c r="R58" s="48">
        <v>7670</v>
      </c>
      <c r="S58" s="886"/>
      <c r="T58" s="886"/>
      <c r="U58" s="886"/>
      <c r="V58" s="140"/>
      <c r="W58" s="140"/>
      <c r="X58" s="48">
        <v>144</v>
      </c>
      <c r="Y58" s="140">
        <v>5.5</v>
      </c>
      <c r="Z58" s="748">
        <v>44318</v>
      </c>
      <c r="AA58" s="48"/>
      <c r="AB58" s="48"/>
      <c r="AC58" s="48"/>
      <c r="AD58" s="886"/>
      <c r="AE58" s="886"/>
      <c r="AF58" s="532">
        <f t="shared" si="5"/>
        <v>0</v>
      </c>
      <c r="AG58" s="531">
        <f t="shared" si="6"/>
        <v>0</v>
      </c>
      <c r="AH58" s="304">
        <v>46067</v>
      </c>
      <c r="AI58" s="13">
        <v>0</v>
      </c>
      <c r="AJ58" s="15"/>
      <c r="AK58" s="15">
        <v>0</v>
      </c>
      <c r="AL58" s="13"/>
      <c r="AM58" s="93">
        <f t="shared" si="0"/>
        <v>0</v>
      </c>
      <c r="AN58" s="148"/>
      <c r="AO58" s="213"/>
      <c r="CJ58" s="921">
        <f t="shared" si="7"/>
        <v>0</v>
      </c>
      <c r="CT58" s="35"/>
      <c r="CU58" s="70" t="s">
        <v>2005</v>
      </c>
      <c r="CV58" s="71">
        <f t="shared" si="1"/>
        <v>46298</v>
      </c>
      <c r="CW58" s="72" t="str">
        <f t="shared" si="8"/>
        <v>9AG-106</v>
      </c>
      <c r="CX58" s="73" t="str">
        <f t="shared" si="9"/>
        <v>NO P.CK</v>
      </c>
      <c r="CY58" s="73">
        <f t="shared" si="10"/>
        <v>340</v>
      </c>
      <c r="CZ58" s="73">
        <f t="shared" si="11"/>
        <v>0</v>
      </c>
      <c r="DA58" s="73" t="str">
        <f t="shared" si="12"/>
        <v>SI</v>
      </c>
      <c r="DB58" s="73"/>
      <c r="DC58" s="368">
        <f t="shared" si="13"/>
        <v>0</v>
      </c>
      <c r="DD58" s="73">
        <f t="shared" si="14"/>
        <v>0</v>
      </c>
      <c r="DE58" s="73">
        <f t="shared" si="15"/>
        <v>0</v>
      </c>
      <c r="DF58" s="73">
        <f t="shared" si="16"/>
        <v>0</v>
      </c>
      <c r="DG58" s="73">
        <f t="shared" si="17"/>
        <v>144</v>
      </c>
      <c r="DH58" s="73">
        <f t="shared" si="18"/>
        <v>44318</v>
      </c>
      <c r="DI58" s="73">
        <f t="shared" si="19"/>
        <v>0</v>
      </c>
      <c r="DJ58" s="73"/>
      <c r="DK58" s="73"/>
      <c r="DL58" s="73">
        <f t="shared" si="20"/>
        <v>0</v>
      </c>
      <c r="DM58" s="215">
        <f t="shared" si="21"/>
        <v>0</v>
      </c>
      <c r="DN58" s="73" t="str">
        <f t="shared" si="22"/>
        <v/>
      </c>
      <c r="DO58" s="73">
        <f t="shared" si="23"/>
        <v>0</v>
      </c>
      <c r="DP58" s="85" t="str">
        <f t="shared" si="24"/>
        <v/>
      </c>
      <c r="EB58" s="70" t="str">
        <f t="shared" si="25"/>
        <v>KHALDA_WELL</v>
      </c>
      <c r="EC58" s="71">
        <f t="shared" si="4"/>
        <v>46298</v>
      </c>
      <c r="ED58" s="72" t="str">
        <f t="shared" si="26"/>
        <v>AG-106</v>
      </c>
      <c r="EE58" s="73" t="str">
        <f t="shared" si="27"/>
        <v>NO P.CK</v>
      </c>
      <c r="EF58" s="73">
        <f t="shared" si="28"/>
        <v>340</v>
      </c>
      <c r="EG58" s="73">
        <f t="shared" si="29"/>
        <v>0</v>
      </c>
      <c r="EH58" s="73" t="str">
        <f t="shared" si="30"/>
        <v>SI</v>
      </c>
      <c r="EI58" s="73"/>
      <c r="EJ58" s="72"/>
      <c r="EK58" s="72" t="str">
        <f t="shared" si="31"/>
        <v/>
      </c>
      <c r="EL58" s="73">
        <f t="shared" si="32"/>
        <v>0</v>
      </c>
      <c r="EM58" s="213">
        <f t="shared" si="33"/>
        <v>0</v>
      </c>
      <c r="EN58" s="73"/>
      <c r="EO58" s="73"/>
      <c r="EQ58" s="73">
        <f t="shared" si="34"/>
        <v>5.5</v>
      </c>
      <c r="ER58" s="73">
        <f t="shared" si="35"/>
        <v>44318</v>
      </c>
      <c r="ES58" s="73">
        <f t="shared" si="36"/>
        <v>144</v>
      </c>
      <c r="ET58" s="73">
        <f t="shared" si="37"/>
        <v>0</v>
      </c>
      <c r="EU58" s="73"/>
      <c r="EV58" s="73"/>
      <c r="EX58" s="3">
        <f t="shared" si="38"/>
        <v>0</v>
      </c>
      <c r="EY58" s="73"/>
      <c r="EZ58" s="73">
        <f t="shared" si="39"/>
        <v>0</v>
      </c>
      <c r="FA58" s="73">
        <f t="shared" si="40"/>
        <v>0</v>
      </c>
      <c r="FB58" s="73">
        <f t="shared" si="41"/>
        <v>0</v>
      </c>
      <c r="FC58" s="73"/>
      <c r="FD58" s="73">
        <f t="shared" si="42"/>
        <v>0</v>
      </c>
    </row>
    <row r="59" spans="2:160" s="3" customFormat="1" ht="16.5" customHeight="1">
      <c r="B59" s="316" t="s">
        <v>1412</v>
      </c>
      <c r="C59" s="317" t="s">
        <v>1315</v>
      </c>
      <c r="D59" s="317" t="s">
        <v>18</v>
      </c>
      <c r="E59" s="991">
        <v>0</v>
      </c>
      <c r="F59" s="951">
        <f t="shared" si="3"/>
        <v>0</v>
      </c>
      <c r="G59" s="48"/>
      <c r="H59" s="981">
        <v>0</v>
      </c>
      <c r="I59" s="48" t="s">
        <v>2335</v>
      </c>
      <c r="J59" s="48">
        <v>0</v>
      </c>
      <c r="K59" s="48">
        <v>0</v>
      </c>
      <c r="L59" s="48">
        <v>0</v>
      </c>
      <c r="M59" s="22"/>
      <c r="N59" s="140"/>
      <c r="O59" s="748"/>
      <c r="P59" s="48"/>
      <c r="Q59" s="48"/>
      <c r="R59" s="48"/>
      <c r="S59" s="886"/>
      <c r="T59" s="886"/>
      <c r="U59" s="886"/>
      <c r="V59" s="140"/>
      <c r="W59" s="140"/>
      <c r="X59" s="48"/>
      <c r="Y59" s="140"/>
      <c r="Z59" s="748"/>
      <c r="AA59" s="48"/>
      <c r="AB59" s="48">
        <v>11.3</v>
      </c>
      <c r="AC59" s="48"/>
      <c r="AD59" s="886"/>
      <c r="AE59" s="886"/>
      <c r="AF59" s="532">
        <f t="shared" si="5"/>
        <v>0</v>
      </c>
      <c r="AG59" s="531">
        <f t="shared" si="6"/>
        <v>0</v>
      </c>
      <c r="AH59" s="304">
        <v>44575</v>
      </c>
      <c r="AI59" s="13">
        <v>195</v>
      </c>
      <c r="AJ59" s="15">
        <v>90.3</v>
      </c>
      <c r="AK59" s="15">
        <v>4.7E-2</v>
      </c>
      <c r="AL59" s="13"/>
      <c r="AM59" s="93">
        <f t="shared" si="0"/>
        <v>18.914999999999996</v>
      </c>
      <c r="AN59" s="148"/>
      <c r="AO59" s="213"/>
      <c r="CJ59" s="921">
        <f t="shared" si="7"/>
        <v>0</v>
      </c>
      <c r="CT59" s="35"/>
      <c r="CU59" s="70" t="s">
        <v>2006</v>
      </c>
      <c r="CV59" s="71">
        <f t="shared" si="1"/>
        <v>46298</v>
      </c>
      <c r="CW59" s="72" t="str">
        <f t="shared" si="8"/>
        <v>9AG-107</v>
      </c>
      <c r="CX59" s="73" t="str">
        <f t="shared" si="9"/>
        <v>NO P.CK</v>
      </c>
      <c r="CY59" s="73">
        <f t="shared" si="10"/>
        <v>0</v>
      </c>
      <c r="CZ59" s="73">
        <f t="shared" si="11"/>
        <v>0</v>
      </c>
      <c r="DA59" s="73" t="str">
        <f t="shared" si="12"/>
        <v>SI</v>
      </c>
      <c r="DB59" s="73"/>
      <c r="DC59" s="368">
        <f t="shared" si="13"/>
        <v>0</v>
      </c>
      <c r="DD59" s="73">
        <f t="shared" si="14"/>
        <v>0</v>
      </c>
      <c r="DE59" s="73">
        <f t="shared" si="15"/>
        <v>0</v>
      </c>
      <c r="DF59" s="73">
        <f t="shared" si="16"/>
        <v>0</v>
      </c>
      <c r="DG59" s="73">
        <f t="shared" si="17"/>
        <v>0</v>
      </c>
      <c r="DH59" s="73">
        <f t="shared" si="18"/>
        <v>0</v>
      </c>
      <c r="DI59" s="73">
        <f t="shared" si="19"/>
        <v>0</v>
      </c>
      <c r="DJ59" s="73"/>
      <c r="DK59" s="73"/>
      <c r="DL59" s="73">
        <f t="shared" si="20"/>
        <v>0</v>
      </c>
      <c r="DM59" s="215">
        <f t="shared" si="21"/>
        <v>0</v>
      </c>
      <c r="DN59" s="73" t="str">
        <f t="shared" si="22"/>
        <v/>
      </c>
      <c r="DO59" s="73">
        <f t="shared" si="23"/>
        <v>0</v>
      </c>
      <c r="DP59" s="85" t="str">
        <f t="shared" si="24"/>
        <v/>
      </c>
      <c r="EB59" s="70" t="str">
        <f t="shared" si="25"/>
        <v>KHALDA_WELL</v>
      </c>
      <c r="EC59" s="71">
        <f t="shared" si="4"/>
        <v>46298</v>
      </c>
      <c r="ED59" s="72" t="str">
        <f t="shared" si="26"/>
        <v>AG-107</v>
      </c>
      <c r="EE59" s="73" t="str">
        <f t="shared" si="27"/>
        <v>NO P.CK</v>
      </c>
      <c r="EF59" s="73">
        <f t="shared" si="28"/>
        <v>0</v>
      </c>
      <c r="EG59" s="73">
        <f t="shared" si="29"/>
        <v>0</v>
      </c>
      <c r="EH59" s="73" t="str">
        <f t="shared" si="30"/>
        <v>SI</v>
      </c>
      <c r="EI59" s="73"/>
      <c r="EJ59" s="72"/>
      <c r="EK59" s="72" t="str">
        <f t="shared" si="31"/>
        <v/>
      </c>
      <c r="EL59" s="73">
        <f t="shared" si="32"/>
        <v>90.3</v>
      </c>
      <c r="EM59" s="213">
        <f t="shared" si="33"/>
        <v>0</v>
      </c>
      <c r="EN59" s="73"/>
      <c r="EO59" s="73"/>
      <c r="EQ59" s="73">
        <f t="shared" si="34"/>
        <v>0</v>
      </c>
      <c r="ER59" s="73">
        <f t="shared" si="35"/>
        <v>0</v>
      </c>
      <c r="ES59" s="73">
        <f t="shared" si="36"/>
        <v>0</v>
      </c>
      <c r="ET59" s="73">
        <f t="shared" si="37"/>
        <v>0</v>
      </c>
      <c r="EU59" s="73"/>
      <c r="EV59" s="73"/>
      <c r="EX59" s="3">
        <f t="shared" si="38"/>
        <v>0</v>
      </c>
      <c r="EY59" s="73"/>
      <c r="EZ59" s="73">
        <f t="shared" si="39"/>
        <v>0</v>
      </c>
      <c r="FA59" s="73">
        <f t="shared" si="40"/>
        <v>0</v>
      </c>
      <c r="FB59" s="73">
        <f t="shared" si="41"/>
        <v>0</v>
      </c>
      <c r="FC59" s="73"/>
      <c r="FD59" s="73">
        <f t="shared" si="42"/>
        <v>0</v>
      </c>
    </row>
    <row r="60" spans="2:160" s="3" customFormat="1" ht="15.75" customHeight="1">
      <c r="B60" s="316" t="s">
        <v>1492</v>
      </c>
      <c r="C60" s="317" t="s">
        <v>1307</v>
      </c>
      <c r="D60" s="317" t="s">
        <v>18</v>
      </c>
      <c r="E60" s="991">
        <v>0</v>
      </c>
      <c r="F60" s="951">
        <f t="shared" si="3"/>
        <v>0</v>
      </c>
      <c r="G60" s="48"/>
      <c r="H60" s="981">
        <v>0</v>
      </c>
      <c r="I60" s="48" t="s">
        <v>2335</v>
      </c>
      <c r="J60" s="48">
        <v>0</v>
      </c>
      <c r="K60" s="48">
        <v>0</v>
      </c>
      <c r="L60" s="48">
        <v>0</v>
      </c>
      <c r="M60" s="22"/>
      <c r="N60" s="140"/>
      <c r="O60" s="748"/>
      <c r="P60" s="48"/>
      <c r="Q60" s="48"/>
      <c r="R60" s="48"/>
      <c r="S60" s="886"/>
      <c r="T60" s="886"/>
      <c r="U60" s="886"/>
      <c r="V60" s="140"/>
      <c r="W60" s="140"/>
      <c r="X60" s="48"/>
      <c r="Y60" s="140"/>
      <c r="Z60" s="748"/>
      <c r="AA60" s="48"/>
      <c r="AB60" s="48"/>
      <c r="AC60" s="48"/>
      <c r="AD60" s="886"/>
      <c r="AE60" s="886"/>
      <c r="AF60" s="532">
        <f t="shared" si="5"/>
        <v>0</v>
      </c>
      <c r="AG60" s="531">
        <f t="shared" si="6"/>
        <v>0</v>
      </c>
      <c r="AH60" s="304">
        <v>43835</v>
      </c>
      <c r="AI60" s="13">
        <v>0</v>
      </c>
      <c r="AJ60" s="15">
        <v>0</v>
      </c>
      <c r="AK60" s="15">
        <v>0</v>
      </c>
      <c r="AL60" s="13"/>
      <c r="AM60" s="93">
        <f t="shared" si="0"/>
        <v>0</v>
      </c>
      <c r="AN60" s="148"/>
      <c r="AO60" s="213"/>
      <c r="CJ60" s="921">
        <f t="shared" si="7"/>
        <v>0</v>
      </c>
      <c r="CT60" s="35"/>
      <c r="CU60" s="70" t="s">
        <v>2007</v>
      </c>
      <c r="CV60" s="71">
        <f t="shared" si="1"/>
        <v>46298</v>
      </c>
      <c r="CW60" s="72" t="str">
        <f t="shared" si="8"/>
        <v>9AG-108</v>
      </c>
      <c r="CX60" s="73" t="str">
        <f t="shared" si="9"/>
        <v>NO P.CK</v>
      </c>
      <c r="CY60" s="73">
        <f t="shared" si="10"/>
        <v>0</v>
      </c>
      <c r="CZ60" s="73">
        <f t="shared" si="11"/>
        <v>0</v>
      </c>
      <c r="DA60" s="73" t="str">
        <f t="shared" si="12"/>
        <v>SI</v>
      </c>
      <c r="DB60" s="73"/>
      <c r="DC60" s="368">
        <f t="shared" si="13"/>
        <v>0</v>
      </c>
      <c r="DD60" s="73">
        <f t="shared" si="14"/>
        <v>0</v>
      </c>
      <c r="DE60" s="73">
        <f t="shared" si="15"/>
        <v>0</v>
      </c>
      <c r="DF60" s="73">
        <f t="shared" si="16"/>
        <v>0</v>
      </c>
      <c r="DG60" s="73">
        <f t="shared" si="17"/>
        <v>0</v>
      </c>
      <c r="DH60" s="73">
        <f t="shared" si="18"/>
        <v>0</v>
      </c>
      <c r="DI60" s="73">
        <f t="shared" si="19"/>
        <v>0</v>
      </c>
      <c r="DJ60" s="73"/>
      <c r="DK60" s="73"/>
      <c r="DL60" s="73">
        <f t="shared" si="20"/>
        <v>0</v>
      </c>
      <c r="DM60" s="215">
        <f t="shared" si="21"/>
        <v>0</v>
      </c>
      <c r="DN60" s="73" t="str">
        <f t="shared" si="22"/>
        <v/>
      </c>
      <c r="DO60" s="73">
        <f t="shared" si="23"/>
        <v>0</v>
      </c>
      <c r="DP60" s="85" t="str">
        <f t="shared" si="24"/>
        <v/>
      </c>
      <c r="EB60" s="70" t="str">
        <f t="shared" si="25"/>
        <v>KHALDA_WELL</v>
      </c>
      <c r="EC60" s="71">
        <f t="shared" si="4"/>
        <v>46298</v>
      </c>
      <c r="ED60" s="72" t="str">
        <f t="shared" si="26"/>
        <v>AG-108</v>
      </c>
      <c r="EE60" s="73" t="str">
        <f t="shared" si="27"/>
        <v>NO P.CK</v>
      </c>
      <c r="EF60" s="73">
        <f t="shared" si="28"/>
        <v>0</v>
      </c>
      <c r="EG60" s="73">
        <f t="shared" si="29"/>
        <v>0</v>
      </c>
      <c r="EH60" s="73" t="str">
        <f t="shared" si="30"/>
        <v>SI</v>
      </c>
      <c r="EI60" s="73"/>
      <c r="EJ60" s="72"/>
      <c r="EK60" s="72" t="str">
        <f t="shared" si="31"/>
        <v/>
      </c>
      <c r="EL60" s="73">
        <f t="shared" si="32"/>
        <v>0</v>
      </c>
      <c r="EM60" s="213">
        <f t="shared" si="33"/>
        <v>0</v>
      </c>
      <c r="EN60" s="73"/>
      <c r="EO60" s="73"/>
      <c r="EQ60" s="73">
        <f t="shared" si="34"/>
        <v>0</v>
      </c>
      <c r="ER60" s="73">
        <f t="shared" si="35"/>
        <v>0</v>
      </c>
      <c r="ES60" s="73">
        <f t="shared" si="36"/>
        <v>0</v>
      </c>
      <c r="ET60" s="73">
        <f t="shared" si="37"/>
        <v>0</v>
      </c>
      <c r="EU60" s="73"/>
      <c r="EV60" s="73"/>
      <c r="EX60" s="3">
        <f t="shared" si="38"/>
        <v>0</v>
      </c>
      <c r="EY60" s="73"/>
      <c r="EZ60" s="73">
        <f t="shared" si="39"/>
        <v>0</v>
      </c>
      <c r="FA60" s="73">
        <f t="shared" si="40"/>
        <v>0</v>
      </c>
      <c r="FB60" s="73">
        <f t="shared" si="41"/>
        <v>0</v>
      </c>
      <c r="FC60" s="73"/>
      <c r="FD60" s="73">
        <f t="shared" si="42"/>
        <v>0</v>
      </c>
    </row>
    <row r="61" spans="2:160" s="3" customFormat="1" ht="16.5" customHeight="1">
      <c r="B61" s="316" t="s">
        <v>1472</v>
      </c>
      <c r="C61" s="317" t="s">
        <v>1315</v>
      </c>
      <c r="D61" s="317" t="s">
        <v>18</v>
      </c>
      <c r="E61" s="991">
        <v>0</v>
      </c>
      <c r="F61" s="951">
        <f t="shared" si="3"/>
        <v>0</v>
      </c>
      <c r="G61" s="48"/>
      <c r="H61" s="981"/>
      <c r="I61" s="48" t="s">
        <v>2335</v>
      </c>
      <c r="J61" s="48">
        <v>230</v>
      </c>
      <c r="K61" s="48">
        <v>180</v>
      </c>
      <c r="L61" s="48">
        <v>0</v>
      </c>
      <c r="M61" s="22"/>
      <c r="N61" s="140"/>
      <c r="O61" s="748"/>
      <c r="P61" s="48"/>
      <c r="Q61" s="48"/>
      <c r="R61" s="48"/>
      <c r="S61" s="886"/>
      <c r="T61" s="886"/>
      <c r="U61" s="886"/>
      <c r="V61" s="881"/>
      <c r="W61" s="140"/>
      <c r="X61" s="48"/>
      <c r="Y61" s="140"/>
      <c r="Z61" s="748"/>
      <c r="AA61" s="48"/>
      <c r="AB61" s="48">
        <v>20.9</v>
      </c>
      <c r="AC61" s="48"/>
      <c r="AD61" s="886"/>
      <c r="AE61" s="886"/>
      <c r="AF61" s="532">
        <f t="shared" si="5"/>
        <v>0</v>
      </c>
      <c r="AG61" s="531">
        <f t="shared" si="6"/>
        <v>0</v>
      </c>
      <c r="AH61" s="304">
        <v>46129</v>
      </c>
      <c r="AI61" s="13">
        <v>0</v>
      </c>
      <c r="AJ61" s="15"/>
      <c r="AK61" s="15">
        <v>0.34499999999999997</v>
      </c>
      <c r="AL61" s="13">
        <v>18000</v>
      </c>
      <c r="AM61" s="93">
        <f t="shared" si="0"/>
        <v>0</v>
      </c>
      <c r="AN61"/>
      <c r="AO61" s="213"/>
      <c r="CJ61" s="921">
        <f t="shared" si="7"/>
        <v>0</v>
      </c>
      <c r="CT61" s="35"/>
      <c r="CU61" s="70" t="s">
        <v>2019</v>
      </c>
      <c r="CV61" s="71">
        <f t="shared" si="1"/>
        <v>46298</v>
      </c>
      <c r="CW61" s="72" t="str">
        <f t="shared" si="8"/>
        <v>9AG-110</v>
      </c>
      <c r="CX61" s="73" t="str">
        <f t="shared" si="9"/>
        <v>NO P.CK</v>
      </c>
      <c r="CY61" s="73">
        <f t="shared" si="10"/>
        <v>230</v>
      </c>
      <c r="CZ61" s="73">
        <f t="shared" si="11"/>
        <v>0</v>
      </c>
      <c r="DA61" s="73" t="str">
        <f t="shared" si="12"/>
        <v>SI</v>
      </c>
      <c r="DB61" s="73"/>
      <c r="DC61" s="368">
        <f t="shared" si="13"/>
        <v>0</v>
      </c>
      <c r="DD61" s="73">
        <f t="shared" si="14"/>
        <v>0</v>
      </c>
      <c r="DE61" s="73">
        <f t="shared" si="15"/>
        <v>0</v>
      </c>
      <c r="DF61" s="73">
        <f t="shared" si="16"/>
        <v>0</v>
      </c>
      <c r="DG61" s="73">
        <f t="shared" si="17"/>
        <v>0</v>
      </c>
      <c r="DH61" s="73">
        <f t="shared" si="18"/>
        <v>0</v>
      </c>
      <c r="DI61" s="73">
        <f t="shared" si="19"/>
        <v>0</v>
      </c>
      <c r="DJ61" s="73"/>
      <c r="DK61" s="73"/>
      <c r="DL61" s="73">
        <f t="shared" si="20"/>
        <v>0</v>
      </c>
      <c r="DM61" s="215">
        <f t="shared" si="21"/>
        <v>0</v>
      </c>
      <c r="DN61" s="73" t="str">
        <f t="shared" si="22"/>
        <v/>
      </c>
      <c r="DO61" s="73">
        <f t="shared" si="23"/>
        <v>0</v>
      </c>
      <c r="DP61" s="85" t="str">
        <f t="shared" si="24"/>
        <v/>
      </c>
      <c r="EB61" s="70" t="str">
        <f t="shared" si="25"/>
        <v>KHALDA_WELL</v>
      </c>
      <c r="EC61" s="71">
        <f t="shared" si="4"/>
        <v>46298</v>
      </c>
      <c r="ED61" s="72" t="str">
        <f t="shared" si="26"/>
        <v>AG-110</v>
      </c>
      <c r="EE61" s="73" t="str">
        <f t="shared" si="27"/>
        <v>NO P.CK</v>
      </c>
      <c r="EF61" s="73">
        <f t="shared" si="28"/>
        <v>230</v>
      </c>
      <c r="EG61" s="73">
        <f t="shared" si="29"/>
        <v>0</v>
      </c>
      <c r="EH61" s="73" t="str">
        <f t="shared" si="30"/>
        <v>SI</v>
      </c>
      <c r="EI61" s="73"/>
      <c r="EJ61" s="72"/>
      <c r="EK61" s="72" t="str">
        <f t="shared" si="31"/>
        <v/>
      </c>
      <c r="EL61" s="73">
        <f t="shared" si="32"/>
        <v>0</v>
      </c>
      <c r="EM61" s="213">
        <f t="shared" si="33"/>
        <v>0</v>
      </c>
      <c r="EN61" s="73"/>
      <c r="EO61" s="73"/>
      <c r="EQ61" s="73">
        <f t="shared" si="34"/>
        <v>0</v>
      </c>
      <c r="ER61" s="73">
        <f t="shared" si="35"/>
        <v>0</v>
      </c>
      <c r="ES61" s="73">
        <f t="shared" si="36"/>
        <v>0</v>
      </c>
      <c r="ET61" s="73">
        <f t="shared" si="37"/>
        <v>0</v>
      </c>
      <c r="EU61" s="73"/>
      <c r="EV61" s="73"/>
      <c r="EX61" s="3">
        <f t="shared" si="38"/>
        <v>0</v>
      </c>
      <c r="EY61" s="73"/>
      <c r="EZ61" s="73">
        <f t="shared" si="39"/>
        <v>0</v>
      </c>
      <c r="FA61" s="73">
        <f t="shared" si="40"/>
        <v>0</v>
      </c>
      <c r="FB61" s="73">
        <f t="shared" si="41"/>
        <v>0</v>
      </c>
      <c r="FC61" s="73"/>
      <c r="FD61" s="73">
        <f t="shared" si="42"/>
        <v>0</v>
      </c>
    </row>
    <row r="62" spans="2:160" s="3" customFormat="1" ht="16.5" customHeight="1">
      <c r="B62" s="316" t="s">
        <v>2016</v>
      </c>
      <c r="C62" s="317" t="s">
        <v>1315</v>
      </c>
      <c r="D62" s="317" t="s">
        <v>1301</v>
      </c>
      <c r="E62" s="991">
        <v>24</v>
      </c>
      <c r="F62" s="951">
        <f t="shared" si="3"/>
        <v>0</v>
      </c>
      <c r="G62" s="48"/>
      <c r="H62" s="981">
        <v>0.81409522229724463</v>
      </c>
      <c r="I62" s="48" t="s">
        <v>2335</v>
      </c>
      <c r="J62" s="48">
        <v>220</v>
      </c>
      <c r="K62" s="48">
        <v>200</v>
      </c>
      <c r="L62" s="48">
        <v>580</v>
      </c>
      <c r="M62" s="22"/>
      <c r="N62" s="140"/>
      <c r="O62" s="748"/>
      <c r="P62" s="48"/>
      <c r="Q62" s="48"/>
      <c r="R62" s="48"/>
      <c r="S62" s="886"/>
      <c r="T62" s="886"/>
      <c r="U62" s="886"/>
      <c r="V62" s="140"/>
      <c r="W62" s="140"/>
      <c r="X62" s="48"/>
      <c r="Y62" s="140"/>
      <c r="Z62" s="748"/>
      <c r="AA62" s="48"/>
      <c r="AB62" s="48"/>
      <c r="AC62" s="48"/>
      <c r="AD62" s="886"/>
      <c r="AE62" s="886"/>
      <c r="AF62" s="532">
        <f t="shared" si="5"/>
        <v>0.90400000000000003</v>
      </c>
      <c r="AG62" s="531">
        <f t="shared" si="6"/>
        <v>537.74400000000003</v>
      </c>
      <c r="AH62" s="304">
        <v>46298</v>
      </c>
      <c r="AI62" s="13">
        <v>816</v>
      </c>
      <c r="AJ62" s="15">
        <v>34.1</v>
      </c>
      <c r="AK62" s="15">
        <v>0.90400000000000003</v>
      </c>
      <c r="AL62" s="13">
        <v>45000</v>
      </c>
      <c r="AM62" s="93">
        <f t="shared" si="0"/>
        <v>537.74400000000003</v>
      </c>
      <c r="AN62" s="148"/>
      <c r="AO62" s="213"/>
      <c r="CJ62" s="921">
        <f t="shared" si="7"/>
        <v>278.25600000000003</v>
      </c>
      <c r="CT62" s="35"/>
      <c r="CU62" s="70" t="s">
        <v>2008</v>
      </c>
      <c r="CV62" s="71">
        <f t="shared" si="1"/>
        <v>46298</v>
      </c>
      <c r="CW62" s="72" t="str">
        <f t="shared" si="8"/>
        <v>9AG-115H</v>
      </c>
      <c r="CX62" s="73" t="str">
        <f t="shared" si="9"/>
        <v>NO P.CK</v>
      </c>
      <c r="CY62" s="73">
        <f t="shared" si="10"/>
        <v>220</v>
      </c>
      <c r="CZ62" s="73">
        <f t="shared" si="11"/>
        <v>24</v>
      </c>
      <c r="DA62" s="73" t="str">
        <f t="shared" si="12"/>
        <v>G/L</v>
      </c>
      <c r="DB62" s="73"/>
      <c r="DC62" s="368">
        <f t="shared" si="13"/>
        <v>814.09522229724462</v>
      </c>
      <c r="DD62" s="73">
        <f t="shared" si="14"/>
        <v>0</v>
      </c>
      <c r="DE62" s="73">
        <f t="shared" si="15"/>
        <v>0</v>
      </c>
      <c r="DF62" s="73">
        <f t="shared" si="16"/>
        <v>0</v>
      </c>
      <c r="DG62" s="73">
        <f t="shared" si="17"/>
        <v>0</v>
      </c>
      <c r="DH62" s="73">
        <f t="shared" si="18"/>
        <v>0</v>
      </c>
      <c r="DI62" s="73">
        <f t="shared" si="19"/>
        <v>0</v>
      </c>
      <c r="DJ62" s="73"/>
      <c r="DK62" s="73"/>
      <c r="DL62" s="73">
        <f t="shared" si="20"/>
        <v>0</v>
      </c>
      <c r="DM62" s="215">
        <f t="shared" si="21"/>
        <v>537.74400000000003</v>
      </c>
      <c r="DN62" s="73" t="str">
        <f t="shared" si="22"/>
        <v/>
      </c>
      <c r="DO62" s="73">
        <f t="shared" si="23"/>
        <v>537.74400000000003</v>
      </c>
      <c r="DP62" s="85" t="str">
        <f t="shared" si="24"/>
        <v>SAG</v>
      </c>
      <c r="EB62" s="70" t="str">
        <f t="shared" si="25"/>
        <v>KHALDA_WELL</v>
      </c>
      <c r="EC62" s="71">
        <f t="shared" si="4"/>
        <v>46298</v>
      </c>
      <c r="ED62" s="72" t="str">
        <f t="shared" si="26"/>
        <v>AG-115H</v>
      </c>
      <c r="EE62" s="73" t="str">
        <f t="shared" si="27"/>
        <v>NO P.CK</v>
      </c>
      <c r="EF62" s="73">
        <f t="shared" si="28"/>
        <v>220</v>
      </c>
      <c r="EG62" s="73">
        <f t="shared" si="29"/>
        <v>24</v>
      </c>
      <c r="EH62" s="73" t="str">
        <f t="shared" si="30"/>
        <v>G/L</v>
      </c>
      <c r="EI62" s="73"/>
      <c r="EJ62" s="72"/>
      <c r="EK62" s="72" t="str">
        <f t="shared" si="31"/>
        <v/>
      </c>
      <c r="EL62" s="73">
        <f t="shared" si="32"/>
        <v>34.1</v>
      </c>
      <c r="EM62" s="213">
        <f t="shared" si="33"/>
        <v>0</v>
      </c>
      <c r="EN62" s="73"/>
      <c r="EO62" s="73"/>
      <c r="EQ62" s="73">
        <f t="shared" si="34"/>
        <v>0</v>
      </c>
      <c r="ER62" s="73">
        <f t="shared" si="35"/>
        <v>0</v>
      </c>
      <c r="ES62" s="73">
        <f t="shared" si="36"/>
        <v>0</v>
      </c>
      <c r="ET62" s="73">
        <f t="shared" si="37"/>
        <v>0</v>
      </c>
      <c r="EU62" s="73"/>
      <c r="EV62" s="73"/>
      <c r="EX62" s="3">
        <f t="shared" si="38"/>
        <v>0</v>
      </c>
      <c r="EY62" s="73"/>
      <c r="EZ62" s="73">
        <f t="shared" si="39"/>
        <v>0</v>
      </c>
      <c r="FA62" s="73">
        <f t="shared" si="40"/>
        <v>0</v>
      </c>
      <c r="FB62" s="73">
        <f t="shared" si="41"/>
        <v>0</v>
      </c>
      <c r="FC62" s="73"/>
      <c r="FD62" s="73">
        <f t="shared" si="42"/>
        <v>0</v>
      </c>
    </row>
    <row r="63" spans="2:160" s="3" customFormat="1" ht="16.5" customHeight="1">
      <c r="B63" s="316" t="s">
        <v>2375</v>
      </c>
      <c r="C63" s="317" t="s">
        <v>21</v>
      </c>
      <c r="D63" s="317" t="s">
        <v>18</v>
      </c>
      <c r="E63" s="991">
        <v>0</v>
      </c>
      <c r="F63" s="951">
        <f t="shared" si="3"/>
        <v>0</v>
      </c>
      <c r="G63" s="48"/>
      <c r="H63" s="981">
        <v>0</v>
      </c>
      <c r="I63" s="48" t="s">
        <v>2335</v>
      </c>
      <c r="J63" s="48">
        <v>0</v>
      </c>
      <c r="K63" s="48">
        <v>0</v>
      </c>
      <c r="L63" s="48">
        <v>0</v>
      </c>
      <c r="M63" s="22"/>
      <c r="N63" s="140"/>
      <c r="O63" s="748"/>
      <c r="P63" s="48"/>
      <c r="Q63" s="48"/>
      <c r="R63" s="48"/>
      <c r="S63" s="886"/>
      <c r="T63" s="886"/>
      <c r="U63" s="886"/>
      <c r="V63" s="140"/>
      <c r="W63" s="140"/>
      <c r="X63" s="48"/>
      <c r="Y63" s="140"/>
      <c r="Z63" s="748"/>
      <c r="AA63" s="48"/>
      <c r="AB63" s="48"/>
      <c r="AC63" s="48"/>
      <c r="AD63" s="886"/>
      <c r="AE63" s="886"/>
      <c r="AF63" s="532">
        <f t="shared" si="5"/>
        <v>0</v>
      </c>
      <c r="AG63" s="531">
        <f t="shared" si="6"/>
        <v>0</v>
      </c>
      <c r="AH63" s="304">
        <v>43793</v>
      </c>
      <c r="AI63" s="13">
        <v>0</v>
      </c>
      <c r="AJ63" s="15">
        <v>0</v>
      </c>
      <c r="AK63" s="15">
        <v>0.81100000000000005</v>
      </c>
      <c r="AL63" s="13"/>
      <c r="AM63" s="93">
        <f t="shared" si="0"/>
        <v>0</v>
      </c>
      <c r="AN63" s="148"/>
      <c r="AO63" s="213"/>
      <c r="CJ63" s="921">
        <f t="shared" si="7"/>
        <v>0</v>
      </c>
      <c r="CT63" s="35"/>
      <c r="CU63" s="70" t="s">
        <v>2009</v>
      </c>
      <c r="CV63" s="71">
        <f t="shared" si="1"/>
        <v>46298</v>
      </c>
      <c r="CW63" s="72" t="str">
        <f t="shared" si="8"/>
        <v>9AG-116</v>
      </c>
      <c r="CX63" s="73" t="str">
        <f t="shared" si="9"/>
        <v>NO P.CK</v>
      </c>
      <c r="CY63" s="73">
        <f t="shared" si="10"/>
        <v>0</v>
      </c>
      <c r="CZ63" s="73">
        <f t="shared" si="11"/>
        <v>0</v>
      </c>
      <c r="DA63" s="73" t="str">
        <f t="shared" si="12"/>
        <v>SI</v>
      </c>
      <c r="DB63" s="73"/>
      <c r="DC63" s="368">
        <f t="shared" si="13"/>
        <v>0</v>
      </c>
      <c r="DD63" s="73">
        <f t="shared" si="14"/>
        <v>0</v>
      </c>
      <c r="DE63" s="73">
        <f t="shared" si="15"/>
        <v>0</v>
      </c>
      <c r="DF63" s="73">
        <f t="shared" si="16"/>
        <v>0</v>
      </c>
      <c r="DG63" s="73">
        <f t="shared" si="17"/>
        <v>0</v>
      </c>
      <c r="DH63" s="73">
        <f t="shared" si="18"/>
        <v>0</v>
      </c>
      <c r="DI63" s="73">
        <f t="shared" si="19"/>
        <v>0</v>
      </c>
      <c r="DJ63" s="73"/>
      <c r="DK63" s="73"/>
      <c r="DL63" s="73">
        <f t="shared" si="20"/>
        <v>0</v>
      </c>
      <c r="DM63" s="215">
        <f t="shared" si="21"/>
        <v>0</v>
      </c>
      <c r="DN63" s="73" t="str">
        <f t="shared" si="22"/>
        <v/>
      </c>
      <c r="DO63" s="73">
        <f t="shared" si="23"/>
        <v>0</v>
      </c>
      <c r="DP63" s="85" t="str">
        <f t="shared" si="24"/>
        <v/>
      </c>
      <c r="EB63" s="70" t="str">
        <f t="shared" si="25"/>
        <v>KHALDA_WELL</v>
      </c>
      <c r="EC63" s="71">
        <f t="shared" si="4"/>
        <v>46298</v>
      </c>
      <c r="ED63" s="72" t="str">
        <f t="shared" si="26"/>
        <v>AG-116</v>
      </c>
      <c r="EE63" s="73" t="str">
        <f t="shared" si="27"/>
        <v>NO P.CK</v>
      </c>
      <c r="EF63" s="73">
        <f t="shared" si="28"/>
        <v>0</v>
      </c>
      <c r="EG63" s="73">
        <f t="shared" si="29"/>
        <v>0</v>
      </c>
      <c r="EH63" s="73" t="str">
        <f t="shared" si="30"/>
        <v>SI</v>
      </c>
      <c r="EI63" s="73"/>
      <c r="EJ63" s="72"/>
      <c r="EK63" s="72" t="str">
        <f t="shared" si="31"/>
        <v/>
      </c>
      <c r="EL63" s="73">
        <f t="shared" si="32"/>
        <v>0</v>
      </c>
      <c r="EM63" s="213">
        <f t="shared" si="33"/>
        <v>0</v>
      </c>
      <c r="EN63" s="73"/>
      <c r="EO63" s="73"/>
      <c r="EQ63" s="73">
        <f t="shared" si="34"/>
        <v>0</v>
      </c>
      <c r="ER63" s="73">
        <f t="shared" si="35"/>
        <v>0</v>
      </c>
      <c r="ES63" s="73">
        <f t="shared" si="36"/>
        <v>0</v>
      </c>
      <c r="ET63" s="73">
        <f t="shared" si="37"/>
        <v>0</v>
      </c>
      <c r="EU63" s="73"/>
      <c r="EV63" s="73"/>
      <c r="EX63" s="3">
        <f t="shared" si="38"/>
        <v>0</v>
      </c>
      <c r="EY63" s="73"/>
      <c r="EZ63" s="73">
        <f t="shared" si="39"/>
        <v>0</v>
      </c>
      <c r="FA63" s="73">
        <f t="shared" si="40"/>
        <v>0</v>
      </c>
      <c r="FB63" s="73">
        <f t="shared" si="41"/>
        <v>0</v>
      </c>
      <c r="FC63" s="73"/>
      <c r="FD63" s="73">
        <f t="shared" si="42"/>
        <v>0</v>
      </c>
    </row>
    <row r="64" spans="2:160" s="3" customFormat="1" ht="16.5" customHeight="1">
      <c r="B64" s="316" t="s">
        <v>2062</v>
      </c>
      <c r="C64" s="317" t="s">
        <v>1315</v>
      </c>
      <c r="D64" s="317" t="s">
        <v>18</v>
      </c>
      <c r="E64" s="991">
        <v>0</v>
      </c>
      <c r="F64" s="951">
        <f t="shared" si="3"/>
        <v>0</v>
      </c>
      <c r="G64" s="48"/>
      <c r="H64" s="981">
        <v>0</v>
      </c>
      <c r="I64" s="48" t="s">
        <v>2335</v>
      </c>
      <c r="J64" s="48">
        <v>0</v>
      </c>
      <c r="K64" s="48">
        <v>0</v>
      </c>
      <c r="L64" s="48">
        <v>0</v>
      </c>
      <c r="M64" s="22"/>
      <c r="N64" s="140"/>
      <c r="O64" s="748"/>
      <c r="P64" s="48"/>
      <c r="Q64" s="48"/>
      <c r="R64" s="48"/>
      <c r="S64" s="886"/>
      <c r="T64" s="886"/>
      <c r="U64" s="886"/>
      <c r="V64" s="140"/>
      <c r="W64" s="140"/>
      <c r="X64" s="48"/>
      <c r="Y64" s="140"/>
      <c r="Z64" s="748"/>
      <c r="AA64" s="48"/>
      <c r="AB64" s="48"/>
      <c r="AC64" s="48"/>
      <c r="AD64" s="886"/>
      <c r="AE64" s="886"/>
      <c r="AF64" s="532">
        <f t="shared" si="5"/>
        <v>0</v>
      </c>
      <c r="AG64" s="531">
        <f t="shared" si="6"/>
        <v>0</v>
      </c>
      <c r="AH64" s="304">
        <v>46067</v>
      </c>
      <c r="AI64" s="13">
        <v>0</v>
      </c>
      <c r="AJ64" s="15">
        <v>0</v>
      </c>
      <c r="AK64" s="15">
        <v>0</v>
      </c>
      <c r="AL64" s="13"/>
      <c r="AM64" s="93">
        <f t="shared" si="0"/>
        <v>0</v>
      </c>
      <c r="AN64" s="148"/>
      <c r="AO64" s="213"/>
      <c r="CJ64" s="921">
        <f t="shared" si="7"/>
        <v>0</v>
      </c>
      <c r="CT64" s="35"/>
      <c r="CU64" s="70" t="s">
        <v>2010</v>
      </c>
      <c r="CV64" s="71">
        <f t="shared" si="1"/>
        <v>46298</v>
      </c>
      <c r="CW64" s="72" t="str">
        <f t="shared" si="8"/>
        <v>9AG-117ST</v>
      </c>
      <c r="CX64" s="73" t="str">
        <f t="shared" si="9"/>
        <v>NO P.CK</v>
      </c>
      <c r="CY64" s="73">
        <f t="shared" si="10"/>
        <v>0</v>
      </c>
      <c r="CZ64" s="73">
        <f t="shared" si="11"/>
        <v>0</v>
      </c>
      <c r="DA64" s="73" t="str">
        <f t="shared" si="12"/>
        <v>SI</v>
      </c>
      <c r="DB64" s="73"/>
      <c r="DC64" s="368">
        <f t="shared" si="13"/>
        <v>0</v>
      </c>
      <c r="DD64" s="73">
        <f t="shared" si="14"/>
        <v>0</v>
      </c>
      <c r="DE64" s="73">
        <f t="shared" si="15"/>
        <v>0</v>
      </c>
      <c r="DF64" s="73">
        <f t="shared" si="16"/>
        <v>0</v>
      </c>
      <c r="DG64" s="73">
        <f t="shared" si="17"/>
        <v>0</v>
      </c>
      <c r="DH64" s="73">
        <f t="shared" si="18"/>
        <v>0</v>
      </c>
      <c r="DI64" s="73">
        <f t="shared" si="19"/>
        <v>0</v>
      </c>
      <c r="DJ64" s="73"/>
      <c r="DK64" s="73"/>
      <c r="DL64" s="73">
        <f t="shared" si="20"/>
        <v>0</v>
      </c>
      <c r="DM64" s="215">
        <f t="shared" si="21"/>
        <v>0</v>
      </c>
      <c r="DN64" s="73" t="str">
        <f t="shared" si="22"/>
        <v/>
      </c>
      <c r="DO64" s="73">
        <f t="shared" si="23"/>
        <v>0</v>
      </c>
      <c r="DP64" s="85" t="str">
        <f t="shared" si="24"/>
        <v/>
      </c>
      <c r="EB64" s="70" t="str">
        <f t="shared" si="25"/>
        <v>KHALDA_WELL</v>
      </c>
      <c r="EC64" s="71">
        <f t="shared" si="4"/>
        <v>46298</v>
      </c>
      <c r="ED64" s="72" t="str">
        <f t="shared" si="26"/>
        <v>AG-117ST</v>
      </c>
      <c r="EE64" s="73" t="str">
        <f t="shared" si="27"/>
        <v>NO P.CK</v>
      </c>
      <c r="EF64" s="73">
        <f t="shared" si="28"/>
        <v>0</v>
      </c>
      <c r="EG64" s="73">
        <f t="shared" si="29"/>
        <v>0</v>
      </c>
      <c r="EH64" s="73" t="str">
        <f t="shared" si="30"/>
        <v>SI</v>
      </c>
      <c r="EI64" s="73"/>
      <c r="EJ64" s="72"/>
      <c r="EK64" s="72" t="str">
        <f t="shared" si="31"/>
        <v/>
      </c>
      <c r="EL64" s="73">
        <f t="shared" si="32"/>
        <v>0</v>
      </c>
      <c r="EM64" s="213">
        <f t="shared" si="33"/>
        <v>0</v>
      </c>
      <c r="EN64" s="73"/>
      <c r="EO64" s="73"/>
      <c r="EQ64" s="73">
        <f t="shared" si="34"/>
        <v>0</v>
      </c>
      <c r="ER64" s="73">
        <f t="shared" si="35"/>
        <v>0</v>
      </c>
      <c r="ES64" s="73">
        <f t="shared" si="36"/>
        <v>0</v>
      </c>
      <c r="ET64" s="73">
        <f t="shared" si="37"/>
        <v>0</v>
      </c>
      <c r="EU64" s="73"/>
      <c r="EV64" s="73"/>
      <c r="EX64" s="3">
        <f t="shared" si="38"/>
        <v>0</v>
      </c>
      <c r="EY64" s="73"/>
      <c r="EZ64" s="73">
        <f t="shared" si="39"/>
        <v>0</v>
      </c>
      <c r="FA64" s="73">
        <f t="shared" si="40"/>
        <v>0</v>
      </c>
      <c r="FB64" s="73">
        <f t="shared" si="41"/>
        <v>0</v>
      </c>
      <c r="FC64" s="73"/>
      <c r="FD64" s="73">
        <f t="shared" si="42"/>
        <v>0</v>
      </c>
    </row>
    <row r="65" spans="2:160" s="3" customFormat="1" ht="16.5" customHeight="1">
      <c r="B65" s="316" t="s">
        <v>1564</v>
      </c>
      <c r="C65" s="317" t="s">
        <v>1307</v>
      </c>
      <c r="D65" s="317" t="s">
        <v>18</v>
      </c>
      <c r="E65" s="991">
        <v>0</v>
      </c>
      <c r="F65" s="951">
        <f t="shared" si="3"/>
        <v>0</v>
      </c>
      <c r="G65" s="48"/>
      <c r="H65" s="981"/>
      <c r="I65" s="48" t="s">
        <v>2335</v>
      </c>
      <c r="J65" s="48">
        <v>0</v>
      </c>
      <c r="K65" s="48">
        <v>0</v>
      </c>
      <c r="L65" s="48">
        <v>0</v>
      </c>
      <c r="M65" s="22"/>
      <c r="N65" s="140"/>
      <c r="O65" s="748" t="s">
        <v>2108</v>
      </c>
      <c r="P65" s="48">
        <v>8204</v>
      </c>
      <c r="Q65" s="48">
        <v>1441</v>
      </c>
      <c r="R65" s="48">
        <v>9645</v>
      </c>
      <c r="S65" s="886"/>
      <c r="T65" s="886"/>
      <c r="U65" s="886"/>
      <c r="V65" s="140"/>
      <c r="W65" s="140"/>
      <c r="X65" s="48"/>
      <c r="Y65" s="140"/>
      <c r="Z65" s="748"/>
      <c r="AA65" s="48"/>
      <c r="AB65" s="48"/>
      <c r="AC65" s="48"/>
      <c r="AD65" s="886"/>
      <c r="AE65" s="886"/>
      <c r="AF65" s="532">
        <f t="shared" si="5"/>
        <v>0</v>
      </c>
      <c r="AG65" s="531">
        <f t="shared" si="6"/>
        <v>0</v>
      </c>
      <c r="AH65" s="304">
        <v>43388</v>
      </c>
      <c r="AI65" s="13">
        <v>25</v>
      </c>
      <c r="AJ65" s="15">
        <v>52</v>
      </c>
      <c r="AK65" s="15">
        <v>0</v>
      </c>
      <c r="AL65" s="13"/>
      <c r="AM65" s="93">
        <f t="shared" si="0"/>
        <v>12</v>
      </c>
      <c r="AN65" s="148"/>
      <c r="AO65" s="213"/>
      <c r="CJ65" s="921">
        <f t="shared" si="7"/>
        <v>0</v>
      </c>
      <c r="CT65" s="35"/>
      <c r="CU65" s="70" t="s">
        <v>2011</v>
      </c>
      <c r="CV65" s="71">
        <f t="shared" si="1"/>
        <v>46298</v>
      </c>
      <c r="CW65" s="72" t="str">
        <f t="shared" si="8"/>
        <v>9AG-118</v>
      </c>
      <c r="CX65" s="73" t="str">
        <f t="shared" si="9"/>
        <v>NO P.CK</v>
      </c>
      <c r="CY65" s="73">
        <f t="shared" si="10"/>
        <v>0</v>
      </c>
      <c r="CZ65" s="73">
        <f t="shared" si="11"/>
        <v>0</v>
      </c>
      <c r="DA65" s="73" t="str">
        <f t="shared" si="12"/>
        <v>SI</v>
      </c>
      <c r="DB65" s="73"/>
      <c r="DC65" s="368">
        <f t="shared" si="13"/>
        <v>0</v>
      </c>
      <c r="DD65" s="73">
        <f t="shared" si="14"/>
        <v>0</v>
      </c>
      <c r="DE65" s="73">
        <f t="shared" si="15"/>
        <v>0</v>
      </c>
      <c r="DF65" s="73">
        <f t="shared" si="16"/>
        <v>0</v>
      </c>
      <c r="DG65" s="73">
        <f t="shared" si="17"/>
        <v>0</v>
      </c>
      <c r="DH65" s="73">
        <f t="shared" si="18"/>
        <v>0</v>
      </c>
      <c r="DI65" s="73">
        <f t="shared" si="19"/>
        <v>0</v>
      </c>
      <c r="DJ65" s="73"/>
      <c r="DK65" s="73"/>
      <c r="DL65" s="73">
        <f t="shared" si="20"/>
        <v>0</v>
      </c>
      <c r="DM65" s="215">
        <f t="shared" si="21"/>
        <v>0</v>
      </c>
      <c r="DN65" s="73" t="str">
        <f t="shared" si="22"/>
        <v/>
      </c>
      <c r="DO65" s="73">
        <f t="shared" si="23"/>
        <v>0</v>
      </c>
      <c r="DP65" s="85" t="str">
        <f t="shared" si="24"/>
        <v/>
      </c>
      <c r="EB65" s="70" t="str">
        <f t="shared" si="25"/>
        <v>KHALDA_WELL</v>
      </c>
      <c r="EC65" s="71">
        <f t="shared" si="4"/>
        <v>46298</v>
      </c>
      <c r="ED65" s="72" t="str">
        <f t="shared" si="26"/>
        <v>AG-118</v>
      </c>
      <c r="EE65" s="73" t="str">
        <f t="shared" si="27"/>
        <v>NO P.CK</v>
      </c>
      <c r="EF65" s="73">
        <f t="shared" si="28"/>
        <v>0</v>
      </c>
      <c r="EG65" s="73">
        <f t="shared" si="29"/>
        <v>0</v>
      </c>
      <c r="EH65" s="73" t="str">
        <f t="shared" si="30"/>
        <v>SI</v>
      </c>
      <c r="EI65" s="73"/>
      <c r="EJ65" s="72"/>
      <c r="EK65" s="72" t="str">
        <f t="shared" si="31"/>
        <v/>
      </c>
      <c r="EL65" s="73">
        <f t="shared" si="32"/>
        <v>52</v>
      </c>
      <c r="EM65" s="213">
        <f t="shared" si="33"/>
        <v>0</v>
      </c>
      <c r="EN65" s="73"/>
      <c r="EO65" s="73"/>
      <c r="EQ65" s="73">
        <f t="shared" si="34"/>
        <v>0</v>
      </c>
      <c r="ER65" s="73">
        <f t="shared" si="35"/>
        <v>0</v>
      </c>
      <c r="ES65" s="73">
        <f t="shared" si="36"/>
        <v>0</v>
      </c>
      <c r="ET65" s="73">
        <f t="shared" si="37"/>
        <v>0</v>
      </c>
      <c r="EU65" s="73"/>
      <c r="EV65" s="73"/>
      <c r="EX65" s="3">
        <f t="shared" si="38"/>
        <v>0</v>
      </c>
      <c r="EY65" s="73"/>
      <c r="EZ65" s="73">
        <f t="shared" si="39"/>
        <v>0</v>
      </c>
      <c r="FA65" s="73">
        <f t="shared" si="40"/>
        <v>0</v>
      </c>
      <c r="FB65" s="73">
        <f t="shared" si="41"/>
        <v>0</v>
      </c>
      <c r="FC65" s="73"/>
      <c r="FD65" s="73">
        <f t="shared" si="42"/>
        <v>0</v>
      </c>
    </row>
    <row r="66" spans="2:160" s="3" customFormat="1" ht="16.5" customHeight="1">
      <c r="B66" s="316" t="s">
        <v>1704</v>
      </c>
      <c r="C66" s="317" t="s">
        <v>21</v>
      </c>
      <c r="D66" s="317" t="s">
        <v>18</v>
      </c>
      <c r="E66" s="991">
        <v>0</v>
      </c>
      <c r="F66" s="951">
        <f>IF(E66=0,0,((AI66*(1-(AJ66/100)))/24)*(24-HOURS))</f>
        <v>0</v>
      </c>
      <c r="G66" s="48"/>
      <c r="H66" s="981">
        <v>0</v>
      </c>
      <c r="I66" s="48" t="s">
        <v>2335</v>
      </c>
      <c r="J66" s="48">
        <v>0</v>
      </c>
      <c r="K66" s="48">
        <v>0</v>
      </c>
      <c r="L66" s="48">
        <v>0</v>
      </c>
      <c r="M66" s="22"/>
      <c r="N66" s="140"/>
      <c r="O66" s="748"/>
      <c r="P66" s="48"/>
      <c r="Q66" s="48"/>
      <c r="R66" s="48"/>
      <c r="S66" s="886"/>
      <c r="T66" s="886"/>
      <c r="U66" s="886"/>
      <c r="V66" s="140"/>
      <c r="W66" s="140"/>
      <c r="X66" s="48"/>
      <c r="Y66" s="140"/>
      <c r="Z66" s="748"/>
      <c r="AA66" s="48"/>
      <c r="AB66" s="48"/>
      <c r="AC66" s="48"/>
      <c r="AD66" s="886"/>
      <c r="AE66" s="886"/>
      <c r="AF66" s="532">
        <f t="shared" si="5"/>
        <v>0</v>
      </c>
      <c r="AG66" s="531">
        <f t="shared" si="6"/>
        <v>0</v>
      </c>
      <c r="AH66" s="304">
        <v>45318</v>
      </c>
      <c r="AI66" s="13">
        <v>13</v>
      </c>
      <c r="AJ66" s="15">
        <v>10.3</v>
      </c>
      <c r="AK66" s="15">
        <v>1.496</v>
      </c>
      <c r="AL66" s="13"/>
      <c r="AM66" s="93">
        <f t="shared" si="0"/>
        <v>11.661</v>
      </c>
      <c r="AN66" s="687"/>
      <c r="AO66" s="213"/>
      <c r="CJ66" s="921">
        <f t="shared" si="7"/>
        <v>0</v>
      </c>
      <c r="CT66" s="35"/>
      <c r="CU66" s="70" t="s">
        <v>2012</v>
      </c>
      <c r="CV66" s="71">
        <f t="shared" si="1"/>
        <v>46298</v>
      </c>
      <c r="CW66" s="72" t="str">
        <f t="shared" si="8"/>
        <v>9AG-119</v>
      </c>
      <c r="CX66" s="73" t="str">
        <f t="shared" si="9"/>
        <v>NO P.CK</v>
      </c>
      <c r="CY66" s="73">
        <f t="shared" si="10"/>
        <v>0</v>
      </c>
      <c r="CZ66" s="73">
        <f t="shared" si="11"/>
        <v>0</v>
      </c>
      <c r="DA66" s="73" t="str">
        <f t="shared" si="12"/>
        <v>SI</v>
      </c>
      <c r="DB66" s="73"/>
      <c r="DC66" s="368">
        <f t="shared" si="13"/>
        <v>0</v>
      </c>
      <c r="DD66" s="73">
        <f t="shared" si="14"/>
        <v>0</v>
      </c>
      <c r="DE66" s="73">
        <f t="shared" si="15"/>
        <v>0</v>
      </c>
      <c r="DF66" s="73">
        <f t="shared" si="16"/>
        <v>0</v>
      </c>
      <c r="DG66" s="73">
        <f t="shared" si="17"/>
        <v>0</v>
      </c>
      <c r="DH66" s="73">
        <f t="shared" si="18"/>
        <v>0</v>
      </c>
      <c r="DI66" s="73">
        <f t="shared" si="19"/>
        <v>0</v>
      </c>
      <c r="DJ66" s="73"/>
      <c r="DK66" s="73"/>
      <c r="DL66" s="73">
        <f t="shared" si="20"/>
        <v>0</v>
      </c>
      <c r="DM66" s="215">
        <f t="shared" si="21"/>
        <v>0</v>
      </c>
      <c r="DN66" s="73" t="str">
        <f t="shared" si="22"/>
        <v/>
      </c>
      <c r="DO66" s="73">
        <f t="shared" si="23"/>
        <v>0</v>
      </c>
      <c r="DP66" s="85" t="str">
        <f t="shared" si="24"/>
        <v/>
      </c>
      <c r="EB66" s="70" t="str">
        <f t="shared" si="25"/>
        <v>KHALDA_WELL</v>
      </c>
      <c r="EC66" s="71">
        <f t="shared" si="4"/>
        <v>46298</v>
      </c>
      <c r="ED66" s="72" t="str">
        <f t="shared" si="26"/>
        <v>AG-119</v>
      </c>
      <c r="EE66" s="73" t="str">
        <f t="shared" si="27"/>
        <v>NO P.CK</v>
      </c>
      <c r="EF66" s="73">
        <f t="shared" si="28"/>
        <v>0</v>
      </c>
      <c r="EG66" s="73">
        <f t="shared" si="29"/>
        <v>0</v>
      </c>
      <c r="EH66" s="73" t="str">
        <f t="shared" si="30"/>
        <v>SI</v>
      </c>
      <c r="EI66" s="73"/>
      <c r="EJ66" s="72"/>
      <c r="EK66" s="72" t="str">
        <f t="shared" si="31"/>
        <v/>
      </c>
      <c r="EL66" s="73">
        <f t="shared" si="32"/>
        <v>10.3</v>
      </c>
      <c r="EM66" s="213">
        <f t="shared" si="33"/>
        <v>0</v>
      </c>
      <c r="EN66" s="73"/>
      <c r="EO66" s="73"/>
      <c r="EQ66" s="73">
        <f t="shared" si="34"/>
        <v>0</v>
      </c>
      <c r="ER66" s="73">
        <f t="shared" si="35"/>
        <v>0</v>
      </c>
      <c r="ES66" s="73">
        <f t="shared" si="36"/>
        <v>0</v>
      </c>
      <c r="ET66" s="73">
        <f t="shared" si="37"/>
        <v>0</v>
      </c>
      <c r="EU66" s="73"/>
      <c r="EV66" s="73"/>
      <c r="EX66" s="3">
        <f t="shared" si="38"/>
        <v>0</v>
      </c>
      <c r="EY66" s="73"/>
      <c r="EZ66" s="73">
        <f t="shared" si="39"/>
        <v>0</v>
      </c>
      <c r="FA66" s="73">
        <f t="shared" si="40"/>
        <v>0</v>
      </c>
      <c r="FB66" s="73">
        <f t="shared" si="41"/>
        <v>0</v>
      </c>
      <c r="FC66" s="73"/>
      <c r="FD66" s="73">
        <f t="shared" si="42"/>
        <v>0</v>
      </c>
    </row>
    <row r="67" spans="2:160" s="3" customFormat="1" ht="16.5" customHeight="1">
      <c r="B67" s="316" t="s">
        <v>1684</v>
      </c>
      <c r="C67" s="317" t="s">
        <v>1315</v>
      </c>
      <c r="D67" s="317" t="s">
        <v>18</v>
      </c>
      <c r="E67" s="991">
        <v>0</v>
      </c>
      <c r="F67" s="951">
        <f t="shared" si="3"/>
        <v>0</v>
      </c>
      <c r="G67" s="48"/>
      <c r="H67" s="981"/>
      <c r="I67" s="48" t="s">
        <v>2335</v>
      </c>
      <c r="J67" s="48">
        <v>210</v>
      </c>
      <c r="K67" s="48">
        <v>0</v>
      </c>
      <c r="L67" s="48">
        <v>0</v>
      </c>
      <c r="M67" s="22"/>
      <c r="N67" s="140"/>
      <c r="O67" s="748" t="s">
        <v>2132</v>
      </c>
      <c r="P67" s="48">
        <v>2652</v>
      </c>
      <c r="Q67" s="48">
        <v>6623</v>
      </c>
      <c r="R67" s="48">
        <v>9275</v>
      </c>
      <c r="S67" s="886"/>
      <c r="T67" s="886"/>
      <c r="U67" s="886"/>
      <c r="V67" s="140"/>
      <c r="W67" s="140"/>
      <c r="X67" s="48"/>
      <c r="Y67" s="140"/>
      <c r="Z67" s="748"/>
      <c r="AA67" s="48"/>
      <c r="AB67" s="48"/>
      <c r="AC67" s="48"/>
      <c r="AD67" s="886">
        <v>0</v>
      </c>
      <c r="AE67" s="886">
        <v>0</v>
      </c>
      <c r="AF67" s="532">
        <f t="shared" si="5"/>
        <v>0</v>
      </c>
      <c r="AG67" s="531">
        <f t="shared" si="6"/>
        <v>0</v>
      </c>
      <c r="AH67" s="304">
        <v>43605</v>
      </c>
      <c r="AI67" s="13">
        <v>412</v>
      </c>
      <c r="AJ67" s="15">
        <v>96.5</v>
      </c>
      <c r="AK67" s="15">
        <v>0.20799999999999999</v>
      </c>
      <c r="AL67" s="13"/>
      <c r="AM67" s="93">
        <f t="shared" si="0"/>
        <v>14.420000000000012</v>
      </c>
      <c r="AN67" s="148"/>
      <c r="AO67" s="213"/>
      <c r="CJ67" s="921">
        <f t="shared" si="7"/>
        <v>0</v>
      </c>
      <c r="CT67" s="35"/>
      <c r="CU67" s="70" t="s">
        <v>2013</v>
      </c>
      <c r="CV67" s="71">
        <f t="shared" si="1"/>
        <v>46298</v>
      </c>
      <c r="CW67" s="72" t="str">
        <f t="shared" si="8"/>
        <v>9AG-120</v>
      </c>
      <c r="CX67" s="73" t="str">
        <f t="shared" si="9"/>
        <v>NO P.CK</v>
      </c>
      <c r="CY67" s="73">
        <f t="shared" si="10"/>
        <v>210</v>
      </c>
      <c r="CZ67" s="73">
        <f t="shared" si="11"/>
        <v>0</v>
      </c>
      <c r="DA67" s="73" t="str">
        <f t="shared" si="12"/>
        <v>SI</v>
      </c>
      <c r="DB67" s="73"/>
      <c r="DC67" s="368">
        <f t="shared" si="13"/>
        <v>0</v>
      </c>
      <c r="DD67" s="73">
        <f t="shared" si="14"/>
        <v>0</v>
      </c>
      <c r="DE67" s="73">
        <f t="shared" si="15"/>
        <v>0</v>
      </c>
      <c r="DF67" s="73">
        <f t="shared" si="16"/>
        <v>0</v>
      </c>
      <c r="DG67" s="73">
        <f t="shared" si="17"/>
        <v>0</v>
      </c>
      <c r="DH67" s="73">
        <f t="shared" si="18"/>
        <v>0</v>
      </c>
      <c r="DI67" s="73">
        <f t="shared" si="19"/>
        <v>0</v>
      </c>
      <c r="DJ67" s="73"/>
      <c r="DK67" s="73"/>
      <c r="DL67" s="73">
        <f t="shared" si="20"/>
        <v>0</v>
      </c>
      <c r="DM67" s="215">
        <f t="shared" si="21"/>
        <v>0</v>
      </c>
      <c r="DN67" s="73" t="str">
        <f t="shared" si="22"/>
        <v/>
      </c>
      <c r="DO67" s="73">
        <f t="shared" si="23"/>
        <v>0</v>
      </c>
      <c r="DP67" s="85" t="str">
        <f t="shared" si="24"/>
        <v/>
      </c>
      <c r="EB67" s="70" t="str">
        <f t="shared" si="25"/>
        <v>KHALDA_WELL</v>
      </c>
      <c r="EC67" s="71">
        <f t="shared" si="4"/>
        <v>46298</v>
      </c>
      <c r="ED67" s="72" t="str">
        <f t="shared" si="26"/>
        <v>AG-120</v>
      </c>
      <c r="EE67" s="73" t="str">
        <f t="shared" si="27"/>
        <v>NO P.CK</v>
      </c>
      <c r="EF67" s="73">
        <f t="shared" si="28"/>
        <v>210</v>
      </c>
      <c r="EG67" s="73">
        <f t="shared" si="29"/>
        <v>0</v>
      </c>
      <c r="EH67" s="73" t="str">
        <f t="shared" si="30"/>
        <v>SI</v>
      </c>
      <c r="EI67" s="73"/>
      <c r="EJ67" s="72"/>
      <c r="EK67" s="72" t="str">
        <f t="shared" si="31"/>
        <v/>
      </c>
      <c r="EL67" s="73">
        <f t="shared" si="32"/>
        <v>96.5</v>
      </c>
      <c r="EM67" s="213">
        <f t="shared" si="33"/>
        <v>0</v>
      </c>
      <c r="EN67" s="73"/>
      <c r="EO67" s="73"/>
      <c r="EQ67" s="73">
        <f t="shared" si="34"/>
        <v>0</v>
      </c>
      <c r="ER67" s="73">
        <f t="shared" si="35"/>
        <v>0</v>
      </c>
      <c r="ES67" s="73">
        <f t="shared" si="36"/>
        <v>0</v>
      </c>
      <c r="ET67" s="73">
        <f t="shared" si="37"/>
        <v>0</v>
      </c>
      <c r="EU67" s="73"/>
      <c r="EV67" s="73"/>
      <c r="EX67" s="3">
        <f t="shared" si="38"/>
        <v>0</v>
      </c>
      <c r="EY67" s="73"/>
      <c r="EZ67" s="73">
        <f t="shared" si="39"/>
        <v>0</v>
      </c>
      <c r="FA67" s="73">
        <f t="shared" si="40"/>
        <v>0</v>
      </c>
      <c r="FB67" s="73">
        <f t="shared" si="41"/>
        <v>0</v>
      </c>
      <c r="FC67" s="73"/>
      <c r="FD67" s="73">
        <f t="shared" si="42"/>
        <v>0</v>
      </c>
    </row>
    <row r="68" spans="2:160" s="3" customFormat="1" ht="16.5" customHeight="1">
      <c r="B68" s="316" t="s">
        <v>1592</v>
      </c>
      <c r="C68" s="317" t="s">
        <v>272</v>
      </c>
      <c r="D68" s="317" t="s">
        <v>18</v>
      </c>
      <c r="E68" s="991">
        <v>0</v>
      </c>
      <c r="F68" s="951">
        <f>IF(E68=0,0,((AI68*(1-(AJ68/100)))/24)*(24-HOURS))</f>
        <v>0</v>
      </c>
      <c r="G68" s="48"/>
      <c r="H68" s="981">
        <v>0</v>
      </c>
      <c r="I68" s="48" t="s">
        <v>2335</v>
      </c>
      <c r="J68" s="48">
        <v>0</v>
      </c>
      <c r="K68" s="48">
        <v>0</v>
      </c>
      <c r="L68" s="48">
        <v>0</v>
      </c>
      <c r="M68" s="22"/>
      <c r="N68" s="140"/>
      <c r="O68" s="748" t="s">
        <v>2130</v>
      </c>
      <c r="P68" s="48">
        <v>7671</v>
      </c>
      <c r="Q68" s="48">
        <v>905</v>
      </c>
      <c r="R68" s="48">
        <v>8864</v>
      </c>
      <c r="S68" s="886"/>
      <c r="T68" s="886"/>
      <c r="U68" s="886"/>
      <c r="V68" s="140"/>
      <c r="W68" s="140"/>
      <c r="X68" s="48"/>
      <c r="Y68" s="140"/>
      <c r="Z68" s="748"/>
      <c r="AA68" s="48"/>
      <c r="AB68" s="48"/>
      <c r="AC68" s="48"/>
      <c r="AD68" s="886"/>
      <c r="AE68" s="886"/>
      <c r="AF68" s="532">
        <f>AK68/24*E68</f>
        <v>0</v>
      </c>
      <c r="AG68" s="531">
        <f>AM68/24*E68</f>
        <v>0</v>
      </c>
      <c r="AH68" s="304">
        <v>46068</v>
      </c>
      <c r="AI68" s="13">
        <v>256</v>
      </c>
      <c r="AJ68" s="15">
        <v>9</v>
      </c>
      <c r="AK68" s="15">
        <v>0.39800000000000002</v>
      </c>
      <c r="AL68" s="13"/>
      <c r="AM68" s="93">
        <f t="shared" si="0"/>
        <v>232.96</v>
      </c>
      <c r="AN68" s="148"/>
      <c r="AO68" s="213"/>
      <c r="CJ68" s="921">
        <f>+IF(D68="SI",0,AI68*AJ68/100)</f>
        <v>0</v>
      </c>
      <c r="CT68" s="35"/>
      <c r="CU68" s="70" t="s">
        <v>2014</v>
      </c>
      <c r="CV68" s="71">
        <f t="shared" si="1"/>
        <v>46298</v>
      </c>
      <c r="CW68" s="72" t="str">
        <f t="shared" si="8"/>
        <v>9AG-121</v>
      </c>
      <c r="CX68" s="73" t="str">
        <f t="shared" si="9"/>
        <v>NO P.CK</v>
      </c>
      <c r="CY68" s="73">
        <f t="shared" si="10"/>
        <v>0</v>
      </c>
      <c r="CZ68" s="73">
        <f>E68</f>
        <v>0</v>
      </c>
      <c r="DA68" s="73" t="str">
        <f>IF(CZ68=0,"SI",D68)</f>
        <v>SI</v>
      </c>
      <c r="DB68" s="73"/>
      <c r="DC68" s="368">
        <f>E68*((H68*1000)/24)</f>
        <v>0</v>
      </c>
      <c r="DD68" s="73">
        <f t="shared" si="14"/>
        <v>0</v>
      </c>
      <c r="DE68" s="73">
        <f t="shared" si="15"/>
        <v>0</v>
      </c>
      <c r="DF68" s="73">
        <f t="shared" si="16"/>
        <v>0</v>
      </c>
      <c r="DG68" s="73">
        <f t="shared" si="17"/>
        <v>0</v>
      </c>
      <c r="DH68" s="73">
        <f t="shared" si="18"/>
        <v>0</v>
      </c>
      <c r="DI68" s="73">
        <f t="shared" si="19"/>
        <v>0</v>
      </c>
      <c r="DJ68" s="73"/>
      <c r="DK68" s="73"/>
      <c r="DL68" s="73">
        <f t="shared" si="20"/>
        <v>0</v>
      </c>
      <c r="DM68" s="215">
        <f t="shared" si="21"/>
        <v>0</v>
      </c>
      <c r="DN68" s="73" t="str">
        <f t="shared" si="22"/>
        <v/>
      </c>
      <c r="DO68" s="73">
        <f t="shared" si="23"/>
        <v>0</v>
      </c>
      <c r="DP68" s="85" t="str">
        <f>IF(OR(D68="SI",B68="",D68="T&amp;A"),"",VLOOKUP(B68,WELL_FIELD,2))</f>
        <v/>
      </c>
      <c r="EB68" s="70" t="str">
        <f t="shared" si="25"/>
        <v>KHALDA_WELL</v>
      </c>
      <c r="EC68" s="71">
        <f t="shared" si="4"/>
        <v>46298</v>
      </c>
      <c r="ED68" s="72" t="str">
        <f t="shared" si="26"/>
        <v>AG-121</v>
      </c>
      <c r="EE68" s="73" t="str">
        <f t="shared" si="27"/>
        <v>NO P.CK</v>
      </c>
      <c r="EF68" s="73">
        <f t="shared" si="28"/>
        <v>0</v>
      </c>
      <c r="EG68" s="73">
        <f t="shared" si="29"/>
        <v>0</v>
      </c>
      <c r="EH68" s="73" t="str">
        <f t="shared" si="30"/>
        <v>SI</v>
      </c>
      <c r="EI68" s="73"/>
      <c r="EJ68" s="72"/>
      <c r="EK68" s="72" t="str">
        <f t="shared" si="31"/>
        <v/>
      </c>
      <c r="EL68" s="73">
        <f t="shared" si="32"/>
        <v>9</v>
      </c>
      <c r="EM68" s="213">
        <f t="shared" si="33"/>
        <v>0</v>
      </c>
      <c r="EN68" s="73"/>
      <c r="EO68" s="73"/>
      <c r="EQ68" s="73">
        <f t="shared" si="34"/>
        <v>0</v>
      </c>
      <c r="ER68" s="73">
        <f t="shared" si="35"/>
        <v>0</v>
      </c>
      <c r="ES68" s="73">
        <f t="shared" si="36"/>
        <v>0</v>
      </c>
      <c r="ET68" s="73">
        <f t="shared" si="37"/>
        <v>0</v>
      </c>
      <c r="EU68" s="73"/>
      <c r="EV68" s="73"/>
      <c r="EX68" s="3">
        <f t="shared" si="38"/>
        <v>0</v>
      </c>
      <c r="EY68" s="73"/>
      <c r="EZ68" s="73">
        <f t="shared" si="39"/>
        <v>0</v>
      </c>
      <c r="FA68" s="73">
        <f t="shared" si="40"/>
        <v>0</v>
      </c>
      <c r="FB68" s="73">
        <f t="shared" si="41"/>
        <v>0</v>
      </c>
      <c r="FC68" s="73"/>
      <c r="FD68" s="73">
        <f t="shared" si="42"/>
        <v>0</v>
      </c>
    </row>
    <row r="69" spans="2:160" s="3" customFormat="1" ht="16.5" customHeight="1">
      <c r="B69" s="316" t="s">
        <v>2017</v>
      </c>
      <c r="C69" s="317" t="s">
        <v>21</v>
      </c>
      <c r="D69" s="317" t="s">
        <v>2</v>
      </c>
      <c r="E69" s="991">
        <v>24</v>
      </c>
      <c r="F69" s="951">
        <f>IF(E69=0,0,((AI69*(1-(AJ69/100)))/24)*(24-HOURS))</f>
        <v>0</v>
      </c>
      <c r="G69" s="48"/>
      <c r="H69" s="981"/>
      <c r="I69" s="48" t="s">
        <v>2335</v>
      </c>
      <c r="J69" s="48">
        <v>0</v>
      </c>
      <c r="K69" s="48">
        <v>0</v>
      </c>
      <c r="L69" s="48">
        <v>0</v>
      </c>
      <c r="M69" s="22"/>
      <c r="N69" s="140"/>
      <c r="O69" s="748">
        <v>46293</v>
      </c>
      <c r="P69" s="48">
        <v>8701</v>
      </c>
      <c r="Q69" s="48">
        <v>1643</v>
      </c>
      <c r="R69" s="48">
        <v>10345</v>
      </c>
      <c r="S69" s="886">
        <v>0</v>
      </c>
      <c r="T69" s="886">
        <v>0</v>
      </c>
      <c r="U69" s="886">
        <v>0</v>
      </c>
      <c r="V69" s="140"/>
      <c r="W69" s="140"/>
      <c r="X69" s="48">
        <v>102</v>
      </c>
      <c r="Y69" s="140">
        <v>5.5</v>
      </c>
      <c r="Z69" s="748" t="s">
        <v>1740</v>
      </c>
      <c r="AA69" s="48"/>
      <c r="AB69" s="48"/>
      <c r="AC69" s="48"/>
      <c r="AD69" s="886"/>
      <c r="AE69" s="886"/>
      <c r="AF69" s="532">
        <f>AK69/24*E69</f>
        <v>0</v>
      </c>
      <c r="AG69" s="531">
        <f>AM69/24*E69</f>
        <v>17.110000000000003</v>
      </c>
      <c r="AH69" s="304">
        <v>46221</v>
      </c>
      <c r="AI69" s="13">
        <v>29</v>
      </c>
      <c r="AJ69" s="15">
        <v>41</v>
      </c>
      <c r="AK69" s="15">
        <v>0</v>
      </c>
      <c r="AL69" s="13">
        <v>99000</v>
      </c>
      <c r="AM69" s="93">
        <f t="shared" si="0"/>
        <v>17.110000000000003</v>
      </c>
      <c r="AN69" s="148"/>
      <c r="AO69" s="213"/>
      <c r="CJ69" s="921">
        <f>+IF(D69="SI",0,AI69*AJ69/100)</f>
        <v>11.89</v>
      </c>
      <c r="CT69" s="35"/>
      <c r="CU69" s="70" t="s">
        <v>2015</v>
      </c>
      <c r="CV69" s="71">
        <f t="shared" si="1"/>
        <v>46298</v>
      </c>
      <c r="CW69" s="72" t="str">
        <f t="shared" si="8"/>
        <v>9AG-123A</v>
      </c>
      <c r="CX69" s="73" t="str">
        <f t="shared" si="9"/>
        <v>NO P.CK</v>
      </c>
      <c r="CY69" s="73">
        <f t="shared" si="10"/>
        <v>0</v>
      </c>
      <c r="CZ69" s="73">
        <f>E69</f>
        <v>24</v>
      </c>
      <c r="DA69" s="73" t="str">
        <f>IF(CZ69=0,"SI",D69)</f>
        <v>SRP</v>
      </c>
      <c r="DB69" s="73"/>
      <c r="DC69" s="368">
        <f>E69*((H69*1000)/24)</f>
        <v>0</v>
      </c>
      <c r="DD69" s="73">
        <f t="shared" si="14"/>
        <v>0</v>
      </c>
      <c r="DE69" s="73">
        <f t="shared" si="15"/>
        <v>0</v>
      </c>
      <c r="DF69" s="73">
        <f t="shared" si="16"/>
        <v>0</v>
      </c>
      <c r="DG69" s="73">
        <f t="shared" si="17"/>
        <v>102</v>
      </c>
      <c r="DH69" s="73" t="str">
        <f t="shared" si="18"/>
        <v>25/7/2016</v>
      </c>
      <c r="DI69" s="73">
        <f t="shared" si="19"/>
        <v>0</v>
      </c>
      <c r="DJ69" s="73"/>
      <c r="DK69" s="73"/>
      <c r="DL69" s="73">
        <f t="shared" si="20"/>
        <v>0</v>
      </c>
      <c r="DM69" s="215">
        <f t="shared" si="21"/>
        <v>17.110000000000003</v>
      </c>
      <c r="DN69" s="73" t="str">
        <f t="shared" si="22"/>
        <v/>
      </c>
      <c r="DO69" s="73">
        <f t="shared" si="23"/>
        <v>17.110000000000003</v>
      </c>
      <c r="DP69" s="85" t="str">
        <f>IF(OR(D69="SI",B69="",D69="T&amp;A"),"",VLOOKUP(B69,WELL_FIELD,2))</f>
        <v>SAG</v>
      </c>
      <c r="EB69" s="70" t="str">
        <f t="shared" ref="EB69:EB139" si="43">IF(B69="","","KHALDA_WELL")</f>
        <v>KHALDA_WELL</v>
      </c>
      <c r="EC69" s="71">
        <f t="shared" si="4"/>
        <v>46298</v>
      </c>
      <c r="ED69" s="72" t="str">
        <f t="shared" ref="ED69:ED139" si="44">B69</f>
        <v>AG-123A</v>
      </c>
      <c r="EE69" s="73" t="str">
        <f t="shared" ref="EE69:EE139" si="45">I69</f>
        <v>NO P.CK</v>
      </c>
      <c r="EF69" s="73">
        <f t="shared" ref="EF69:EF139" si="46">J69</f>
        <v>0</v>
      </c>
      <c r="EG69" s="73">
        <f t="shared" ref="EG69:EG139" si="47">E69</f>
        <v>24</v>
      </c>
      <c r="EH69" s="73" t="str">
        <f t="shared" ref="EH69:EH139" si="48">IF(CZ69=0,"SI",D69)</f>
        <v>SRP</v>
      </c>
      <c r="EI69" s="73"/>
      <c r="EJ69" s="72"/>
      <c r="EK69" s="72" t="str">
        <f t="shared" ref="EK69:EK139" si="49">IF(G69="","",G69)</f>
        <v/>
      </c>
      <c r="EL69" s="73">
        <f t="shared" ref="EL69:EL139" si="50">AJ69</f>
        <v>41</v>
      </c>
      <c r="EM69" s="213">
        <f t="shared" ref="EM69:EM139" si="51">W69</f>
        <v>0</v>
      </c>
      <c r="EN69" s="73"/>
      <c r="EO69" s="73"/>
      <c r="EQ69" s="73">
        <f t="shared" ref="EQ69:EQ139" si="52">Y69</f>
        <v>5.5</v>
      </c>
      <c r="ER69" s="73" t="str">
        <f t="shared" ref="ER69:ER139" si="53">Z69</f>
        <v>25/7/2016</v>
      </c>
      <c r="ES69" s="73">
        <f t="shared" ref="ES69:ES139" si="54">X69</f>
        <v>102</v>
      </c>
      <c r="ET69" s="73">
        <f t="shared" ref="ET69:ET139" si="55">AD69</f>
        <v>0</v>
      </c>
      <c r="EU69" s="73"/>
      <c r="EV69" s="73"/>
      <c r="EX69" s="3">
        <f t="shared" ref="EX69:EX139" si="56">AE69</f>
        <v>0</v>
      </c>
      <c r="EY69" s="73"/>
      <c r="EZ69" s="73">
        <f t="shared" ref="EZ69:EZ139" si="57">S69</f>
        <v>0</v>
      </c>
      <c r="FA69" s="73">
        <f t="shared" ref="FA69:FA139" si="58">T69</f>
        <v>0</v>
      </c>
      <c r="FB69" s="73">
        <f t="shared" ref="FB69:FB139" si="59">U69</f>
        <v>0</v>
      </c>
      <c r="FC69" s="73"/>
      <c r="FD69" s="73">
        <f t="shared" ref="FD69:FD139" si="60">AN69</f>
        <v>0</v>
      </c>
    </row>
    <row r="70" spans="2:160" s="3" customFormat="1" ht="16.5" customHeight="1">
      <c r="B70" s="316" t="s">
        <v>1605</v>
      </c>
      <c r="C70" s="317" t="s">
        <v>2180</v>
      </c>
      <c r="D70" s="317" t="s">
        <v>18</v>
      </c>
      <c r="E70" s="991">
        <v>0</v>
      </c>
      <c r="F70" s="951">
        <f t="shared" ref="F70:F104" si="61">IF(E70=0,0,((AI70*(1-(AJ70/100)))/24)*(24-HOURS))</f>
        <v>0</v>
      </c>
      <c r="G70" s="48"/>
      <c r="H70" s="981"/>
      <c r="I70" s="48" t="s">
        <v>2335</v>
      </c>
      <c r="J70" s="48">
        <v>230</v>
      </c>
      <c r="K70" s="48">
        <v>180</v>
      </c>
      <c r="L70" s="48">
        <v>0</v>
      </c>
      <c r="M70" s="22"/>
      <c r="N70" s="140"/>
      <c r="O70" s="748"/>
      <c r="P70" s="48"/>
      <c r="Q70" s="48"/>
      <c r="R70" s="48"/>
      <c r="S70" s="886"/>
      <c r="T70" s="886"/>
      <c r="U70" s="886"/>
      <c r="V70" s="140"/>
      <c r="W70" s="140"/>
      <c r="X70" s="48"/>
      <c r="Y70" s="140"/>
      <c r="Z70" s="748"/>
      <c r="AA70" s="48"/>
      <c r="AB70" s="48"/>
      <c r="AC70" s="48"/>
      <c r="AD70" s="886"/>
      <c r="AE70" s="886"/>
      <c r="AF70" s="532">
        <f t="shared" si="5"/>
        <v>0</v>
      </c>
      <c r="AG70" s="531">
        <f t="shared" si="6"/>
        <v>0</v>
      </c>
      <c r="AH70" s="304">
        <v>45212</v>
      </c>
      <c r="AI70" s="13">
        <v>4</v>
      </c>
      <c r="AJ70" s="15">
        <v>7</v>
      </c>
      <c r="AK70" s="15">
        <v>0.10100000000000001</v>
      </c>
      <c r="AL70" s="13"/>
      <c r="AM70" s="93">
        <f t="shared" si="0"/>
        <v>3.7199999999999998</v>
      </c>
      <c r="AN70" s="148"/>
      <c r="AO70" s="213"/>
      <c r="CJ70" s="921">
        <f t="shared" si="7"/>
        <v>0</v>
      </c>
      <c r="CT70" s="35"/>
      <c r="CU70" s="70" t="s">
        <v>2020</v>
      </c>
      <c r="CV70" s="71">
        <f t="shared" si="1"/>
        <v>46298</v>
      </c>
      <c r="CW70" s="72" t="str">
        <f t="shared" si="8"/>
        <v>9AG-125</v>
      </c>
      <c r="CX70" s="73" t="str">
        <f t="shared" si="9"/>
        <v>NO P.CK</v>
      </c>
      <c r="CY70" s="73">
        <f t="shared" si="10"/>
        <v>230</v>
      </c>
      <c r="CZ70" s="73">
        <f t="shared" si="11"/>
        <v>0</v>
      </c>
      <c r="DA70" s="73" t="str">
        <f t="shared" si="12"/>
        <v>SI</v>
      </c>
      <c r="DB70" s="73"/>
      <c r="DC70" s="368">
        <f t="shared" si="13"/>
        <v>0</v>
      </c>
      <c r="DD70" s="73">
        <f t="shared" si="14"/>
        <v>0</v>
      </c>
      <c r="DE70" s="73">
        <f t="shared" si="15"/>
        <v>0</v>
      </c>
      <c r="DF70" s="73">
        <f t="shared" si="16"/>
        <v>0</v>
      </c>
      <c r="DG70" s="73">
        <f t="shared" si="17"/>
        <v>0</v>
      </c>
      <c r="DH70" s="73">
        <f t="shared" si="18"/>
        <v>0</v>
      </c>
      <c r="DI70" s="73">
        <f t="shared" si="19"/>
        <v>0</v>
      </c>
      <c r="DJ70" s="73"/>
      <c r="DK70" s="73"/>
      <c r="DL70" s="73">
        <f t="shared" si="20"/>
        <v>0</v>
      </c>
      <c r="DM70" s="215">
        <f t="shared" si="21"/>
        <v>0</v>
      </c>
      <c r="DN70" s="73" t="str">
        <f t="shared" si="22"/>
        <v/>
      </c>
      <c r="DO70" s="73">
        <f t="shared" si="23"/>
        <v>0</v>
      </c>
      <c r="DP70" s="85" t="str">
        <f t="shared" si="24"/>
        <v/>
      </c>
      <c r="EB70" s="70" t="str">
        <f t="shared" si="43"/>
        <v>KHALDA_WELL</v>
      </c>
      <c r="EC70" s="71">
        <f t="shared" si="4"/>
        <v>46298</v>
      </c>
      <c r="ED70" s="72" t="str">
        <f t="shared" si="44"/>
        <v>AG-125</v>
      </c>
      <c r="EE70" s="73" t="str">
        <f t="shared" si="45"/>
        <v>NO P.CK</v>
      </c>
      <c r="EF70" s="73">
        <f t="shared" si="46"/>
        <v>230</v>
      </c>
      <c r="EG70" s="73">
        <f t="shared" si="47"/>
        <v>0</v>
      </c>
      <c r="EH70" s="73" t="str">
        <f t="shared" si="48"/>
        <v>SI</v>
      </c>
      <c r="EI70" s="73"/>
      <c r="EJ70" s="72"/>
      <c r="EK70" s="72" t="str">
        <f t="shared" si="49"/>
        <v/>
      </c>
      <c r="EL70" s="73">
        <f t="shared" si="50"/>
        <v>7</v>
      </c>
      <c r="EM70" s="213">
        <f t="shared" si="51"/>
        <v>0</v>
      </c>
      <c r="EN70" s="73"/>
      <c r="EO70" s="73"/>
      <c r="EQ70" s="73">
        <f t="shared" si="52"/>
        <v>0</v>
      </c>
      <c r="ER70" s="73">
        <f t="shared" si="53"/>
        <v>0</v>
      </c>
      <c r="ES70" s="73">
        <f t="shared" si="54"/>
        <v>0</v>
      </c>
      <c r="ET70" s="73">
        <f t="shared" si="55"/>
        <v>0</v>
      </c>
      <c r="EU70" s="73"/>
      <c r="EV70" s="73"/>
      <c r="EX70" s="3">
        <f t="shared" si="56"/>
        <v>0</v>
      </c>
      <c r="EY70" s="73"/>
      <c r="EZ70" s="73">
        <f t="shared" si="57"/>
        <v>0</v>
      </c>
      <c r="FA70" s="73">
        <f t="shared" si="58"/>
        <v>0</v>
      </c>
      <c r="FB70" s="73">
        <f t="shared" si="59"/>
        <v>0</v>
      </c>
      <c r="FC70" s="73"/>
      <c r="FD70" s="73">
        <f t="shared" si="60"/>
        <v>0</v>
      </c>
    </row>
    <row r="71" spans="2:160" s="3" customFormat="1" ht="18.75" customHeight="1">
      <c r="B71" s="316" t="s">
        <v>1692</v>
      </c>
      <c r="C71" s="317" t="s">
        <v>272</v>
      </c>
      <c r="D71" s="317" t="s">
        <v>2</v>
      </c>
      <c r="E71" s="991">
        <v>24</v>
      </c>
      <c r="F71" s="951">
        <f t="shared" si="61"/>
        <v>0</v>
      </c>
      <c r="G71" s="48"/>
      <c r="H71" s="981"/>
      <c r="I71" s="48" t="s">
        <v>2335</v>
      </c>
      <c r="J71" s="48">
        <v>400</v>
      </c>
      <c r="K71" s="48">
        <v>140</v>
      </c>
      <c r="L71" s="48">
        <v>150</v>
      </c>
      <c r="M71" s="22"/>
      <c r="N71" s="140"/>
      <c r="O71" s="748">
        <v>46262</v>
      </c>
      <c r="P71" s="48">
        <v>9202</v>
      </c>
      <c r="Q71" s="48">
        <v>218</v>
      </c>
      <c r="R71" s="48">
        <v>9947</v>
      </c>
      <c r="S71" s="886">
        <v>90</v>
      </c>
      <c r="T71" s="886">
        <v>61</v>
      </c>
      <c r="U71" s="886">
        <v>83</v>
      </c>
      <c r="V71" s="140"/>
      <c r="W71" s="140">
        <v>1.25</v>
      </c>
      <c r="X71" s="48">
        <v>144</v>
      </c>
      <c r="Y71" s="140">
        <v>5.5</v>
      </c>
      <c r="Z71" s="748">
        <v>44257</v>
      </c>
      <c r="AA71" s="48"/>
      <c r="AB71" s="48"/>
      <c r="AC71" s="48"/>
      <c r="AD71" s="886"/>
      <c r="AE71" s="886"/>
      <c r="AF71" s="532">
        <f t="shared" si="5"/>
        <v>0.16500000000000001</v>
      </c>
      <c r="AG71" s="531">
        <f t="shared" si="6"/>
        <v>51.480000000000004</v>
      </c>
      <c r="AH71" s="304">
        <v>46210</v>
      </c>
      <c r="AI71" s="13">
        <v>52</v>
      </c>
      <c r="AJ71" s="15">
        <v>1</v>
      </c>
      <c r="AK71" s="15">
        <v>0.16500000000000001</v>
      </c>
      <c r="AL71" s="13"/>
      <c r="AM71" s="93">
        <f t="shared" si="0"/>
        <v>51.48</v>
      </c>
      <c r="AN71" s="687"/>
      <c r="AO71" s="213"/>
      <c r="CJ71" s="921">
        <f t="shared" ref="CJ71:CJ167" si="62">+IF(D71="SI",0,AI71*AJ71/100)</f>
        <v>0.52</v>
      </c>
      <c r="CT71" s="35"/>
      <c r="CU71" s="70" t="s">
        <v>2021</v>
      </c>
      <c r="CV71" s="71">
        <f t="shared" si="1"/>
        <v>46298</v>
      </c>
      <c r="CW71" s="72" t="str">
        <f t="shared" ref="CW71:CW142" si="63">$CT$3&amp;B71</f>
        <v>9AG-130</v>
      </c>
      <c r="CX71" s="73" t="str">
        <f t="shared" ref="CX71:CX142" si="64">I71</f>
        <v>NO P.CK</v>
      </c>
      <c r="CY71" s="73">
        <f t="shared" ref="CY71:CY142" si="65">J71</f>
        <v>400</v>
      </c>
      <c r="CZ71" s="73">
        <f t="shared" ref="CZ71:CZ142" si="66">E71</f>
        <v>24</v>
      </c>
      <c r="DA71" s="73" t="str">
        <f t="shared" ref="DA71:DA142" si="67">IF(CZ71=0,"SI",D71)</f>
        <v>SRP</v>
      </c>
      <c r="DB71" s="73"/>
      <c r="DC71" s="368">
        <f t="shared" ref="DC71:DC142" si="68">E71*((H71*1000)/24)</f>
        <v>0</v>
      </c>
      <c r="DD71" s="73">
        <f t="shared" ref="DD71:DD142" si="69">N71</f>
        <v>0</v>
      </c>
      <c r="DE71" s="73">
        <f t="shared" ref="DE71:DE142" si="70">V71</f>
        <v>0</v>
      </c>
      <c r="DF71" s="73">
        <f t="shared" ref="DF71:DF142" si="71">W71</f>
        <v>1.25</v>
      </c>
      <c r="DG71" s="73">
        <f t="shared" ref="DG71:DG142" si="72">X71</f>
        <v>144</v>
      </c>
      <c r="DH71" s="73">
        <f t="shared" ref="DH71:DH142" si="73">Z71</f>
        <v>44257</v>
      </c>
      <c r="DI71" s="73">
        <f t="shared" ref="DI71:DI142" si="74">AD71</f>
        <v>0</v>
      </c>
      <c r="DJ71" s="73"/>
      <c r="DK71" s="73"/>
      <c r="DL71" s="73">
        <f t="shared" ref="DL71:DL142" si="75">AE71</f>
        <v>0</v>
      </c>
      <c r="DM71" s="215">
        <f t="shared" ref="DM71:DM142" si="76">AG71</f>
        <v>51.480000000000004</v>
      </c>
      <c r="DN71" s="73" t="str">
        <f t="shared" ref="DN71:DN142" si="77">IF(G71="","",G71)</f>
        <v/>
      </c>
      <c r="DO71" s="73">
        <f t="shared" ref="DO71:DO142" si="78">AM71/24*HOURS</f>
        <v>51.480000000000004</v>
      </c>
      <c r="DP71" s="85" t="str">
        <f t="shared" ref="DP71:DP142" si="79">IF(OR(D71="SI",B71="",D71="T&amp;A"),"",VLOOKUP(B71,WELL_FIELD,2))</f>
        <v>AG</v>
      </c>
      <c r="EB71" s="70" t="str">
        <f t="shared" si="43"/>
        <v>KHALDA_WELL</v>
      </c>
      <c r="EC71" s="71">
        <f t="shared" si="4"/>
        <v>46298</v>
      </c>
      <c r="ED71" s="72" t="str">
        <f t="shared" si="44"/>
        <v>AG-130</v>
      </c>
      <c r="EE71" s="73" t="str">
        <f t="shared" si="45"/>
        <v>NO P.CK</v>
      </c>
      <c r="EF71" s="73">
        <f t="shared" si="46"/>
        <v>400</v>
      </c>
      <c r="EG71" s="73">
        <f t="shared" si="47"/>
        <v>24</v>
      </c>
      <c r="EH71" s="73" t="str">
        <f t="shared" si="48"/>
        <v>SRP</v>
      </c>
      <c r="EI71" s="73"/>
      <c r="EJ71" s="72"/>
      <c r="EK71" s="72" t="str">
        <f t="shared" si="49"/>
        <v/>
      </c>
      <c r="EL71" s="73">
        <f t="shared" si="50"/>
        <v>1</v>
      </c>
      <c r="EM71" s="213">
        <f t="shared" si="51"/>
        <v>1.25</v>
      </c>
      <c r="EN71" s="73"/>
      <c r="EO71" s="73"/>
      <c r="EQ71" s="73">
        <f t="shared" si="52"/>
        <v>5.5</v>
      </c>
      <c r="ER71" s="73">
        <f t="shared" si="53"/>
        <v>44257</v>
      </c>
      <c r="ES71" s="73">
        <f t="shared" si="54"/>
        <v>144</v>
      </c>
      <c r="ET71" s="73">
        <f t="shared" si="55"/>
        <v>0</v>
      </c>
      <c r="EU71" s="73"/>
      <c r="EV71" s="73"/>
      <c r="EX71" s="3">
        <f t="shared" si="56"/>
        <v>0</v>
      </c>
      <c r="EY71" s="73"/>
      <c r="EZ71" s="73">
        <f t="shared" si="57"/>
        <v>90</v>
      </c>
      <c r="FA71" s="73">
        <f t="shared" si="58"/>
        <v>61</v>
      </c>
      <c r="FB71" s="73">
        <f t="shared" si="59"/>
        <v>83</v>
      </c>
      <c r="FC71" s="73"/>
      <c r="FD71" s="73">
        <f t="shared" si="60"/>
        <v>0</v>
      </c>
    </row>
    <row r="72" spans="2:160" s="3" customFormat="1" ht="18.75" customHeight="1">
      <c r="B72" s="316" t="s">
        <v>2623</v>
      </c>
      <c r="C72" s="317" t="s">
        <v>21</v>
      </c>
      <c r="D72" s="317" t="s">
        <v>1301</v>
      </c>
      <c r="E72" s="991">
        <v>24</v>
      </c>
      <c r="F72" s="951">
        <f t="shared" si="61"/>
        <v>0</v>
      </c>
      <c r="G72" s="48"/>
      <c r="H72" s="981">
        <v>0.75865217285822095</v>
      </c>
      <c r="I72" s="48" t="s">
        <v>2335</v>
      </c>
      <c r="J72" s="48">
        <v>150</v>
      </c>
      <c r="K72" s="48">
        <v>135</v>
      </c>
      <c r="L72" s="48">
        <v>350</v>
      </c>
      <c r="M72" s="22"/>
      <c r="N72" s="140"/>
      <c r="O72" s="748"/>
      <c r="P72" s="48"/>
      <c r="Q72" s="48"/>
      <c r="R72" s="48"/>
      <c r="S72" s="886"/>
      <c r="T72" s="886"/>
      <c r="U72" s="886"/>
      <c r="V72" s="140"/>
      <c r="W72" s="140"/>
      <c r="X72" s="48"/>
      <c r="Y72" s="140"/>
      <c r="Z72" s="748"/>
      <c r="AA72" s="48"/>
      <c r="AB72" s="48"/>
      <c r="AC72" s="48"/>
      <c r="AD72" s="886"/>
      <c r="AE72" s="886"/>
      <c r="AF72" s="532">
        <f>AK72/24*E72</f>
        <v>0.10799999999999998</v>
      </c>
      <c r="AG72" s="531">
        <f>AM72/24*E72</f>
        <v>42.57</v>
      </c>
      <c r="AH72" s="304">
        <v>46273</v>
      </c>
      <c r="AI72" s="13">
        <v>43</v>
      </c>
      <c r="AJ72" s="15">
        <v>1</v>
      </c>
      <c r="AK72" s="15">
        <v>0.108</v>
      </c>
      <c r="AL72" s="13"/>
      <c r="AM72" s="93">
        <f t="shared" si="0"/>
        <v>42.57</v>
      </c>
      <c r="AN72" s="687"/>
      <c r="AO72" s="213"/>
      <c r="CJ72" s="921"/>
      <c r="CT72" s="35"/>
      <c r="CU72" s="70" t="s">
        <v>2022</v>
      </c>
      <c r="CV72" s="71">
        <f t="shared" si="1"/>
        <v>46298</v>
      </c>
      <c r="CW72" s="72" t="str">
        <f>$CT$3&amp;B72</f>
        <v>9WD30 A-01A</v>
      </c>
      <c r="CX72" s="73" t="str">
        <f>I72</f>
        <v>NO P.CK</v>
      </c>
      <c r="CY72" s="73">
        <f>J72</f>
        <v>150</v>
      </c>
      <c r="CZ72" s="73">
        <f>E72</f>
        <v>24</v>
      </c>
      <c r="DA72" s="73" t="str">
        <f>IF(CZ72=0,"SI",D72)</f>
        <v>G/L</v>
      </c>
      <c r="DB72" s="73"/>
      <c r="DC72" s="368">
        <f>E72*((H72*1000)/24)</f>
        <v>758.65217285822098</v>
      </c>
      <c r="DD72" s="73">
        <f>N72</f>
        <v>0</v>
      </c>
      <c r="DE72" s="73">
        <f>V72</f>
        <v>0</v>
      </c>
      <c r="DF72" s="73">
        <f>W72</f>
        <v>0</v>
      </c>
      <c r="DG72" s="73">
        <f>X72</f>
        <v>0</v>
      </c>
      <c r="DH72" s="73">
        <f>Z72</f>
        <v>0</v>
      </c>
      <c r="DI72" s="73">
        <f>AD72</f>
        <v>0</v>
      </c>
      <c r="DJ72" s="73"/>
      <c r="DK72" s="73"/>
      <c r="DL72" s="73">
        <f>AE72</f>
        <v>0</v>
      </c>
      <c r="DM72" s="215">
        <f>AG72</f>
        <v>42.57</v>
      </c>
      <c r="DN72" s="73" t="str">
        <f>IF(G72="","",G72)</f>
        <v/>
      </c>
      <c r="DO72" s="73">
        <f>AM72/24*HOURS</f>
        <v>42.57</v>
      </c>
      <c r="DP72" s="85" t="str">
        <f>IF(OR(D72="SI",B72="",D72="T&amp;A"),"",VLOOKUP(B72,WELL_FIELD,2))</f>
        <v>WD30 A</v>
      </c>
      <c r="EB72" s="70" t="str">
        <f>IF(B72="","","KHALDA_WELL")</f>
        <v>KHALDA_WELL</v>
      </c>
      <c r="EC72" s="71">
        <f t="shared" si="4"/>
        <v>46298</v>
      </c>
      <c r="ED72" s="72" t="str">
        <f>B72</f>
        <v>WD30 A-01A</v>
      </c>
      <c r="EE72" s="73" t="str">
        <f>I72</f>
        <v>NO P.CK</v>
      </c>
      <c r="EF72" s="73">
        <f>J72</f>
        <v>150</v>
      </c>
      <c r="EG72" s="73">
        <f>E72</f>
        <v>24</v>
      </c>
      <c r="EH72" s="73" t="str">
        <f>IF(CZ72=0,"SI",D72)</f>
        <v>G/L</v>
      </c>
      <c r="EI72" s="73"/>
      <c r="EJ72" s="72"/>
      <c r="EK72" s="72" t="str">
        <f>IF(G72="","",G72)</f>
        <v/>
      </c>
      <c r="EL72" s="73">
        <f>AJ72</f>
        <v>1</v>
      </c>
      <c r="EM72" s="213">
        <f>W72</f>
        <v>0</v>
      </c>
      <c r="EN72" s="73"/>
      <c r="EO72" s="73"/>
      <c r="EQ72" s="73">
        <f>Y72</f>
        <v>0</v>
      </c>
      <c r="ER72" s="73">
        <f>Z72</f>
        <v>0</v>
      </c>
      <c r="ES72" s="73">
        <f>X72</f>
        <v>0</v>
      </c>
      <c r="ET72" s="73">
        <f>AD72</f>
        <v>0</v>
      </c>
      <c r="EU72" s="73"/>
      <c r="EV72" s="73"/>
      <c r="EX72" s="3">
        <f>AE72</f>
        <v>0</v>
      </c>
      <c r="EY72" s="73"/>
      <c r="EZ72" s="73">
        <f>S72</f>
        <v>0</v>
      </c>
      <c r="FA72" s="73">
        <f>T72</f>
        <v>0</v>
      </c>
      <c r="FB72" s="73">
        <f>U72</f>
        <v>0</v>
      </c>
      <c r="FC72" s="73"/>
      <c r="FD72" s="73">
        <f>AN72</f>
        <v>0</v>
      </c>
    </row>
    <row r="73" spans="2:160" s="3" customFormat="1" ht="16.5" customHeight="1">
      <c r="B73" s="316" t="s">
        <v>1708</v>
      </c>
      <c r="C73" s="317" t="s">
        <v>272</v>
      </c>
      <c r="D73" s="317" t="s">
        <v>1301</v>
      </c>
      <c r="E73" s="991">
        <v>24</v>
      </c>
      <c r="F73" s="951">
        <f t="shared" si="61"/>
        <v>0</v>
      </c>
      <c r="G73" s="48"/>
      <c r="H73" s="981">
        <v>0.97</v>
      </c>
      <c r="I73" s="48" t="s">
        <v>2335</v>
      </c>
      <c r="J73" s="48">
        <v>170</v>
      </c>
      <c r="K73" s="48">
        <v>170</v>
      </c>
      <c r="L73" s="48">
        <v>400</v>
      </c>
      <c r="M73" s="22"/>
      <c r="N73" s="140"/>
      <c r="O73" s="748"/>
      <c r="P73" s="48"/>
      <c r="Q73" s="48"/>
      <c r="R73" s="48"/>
      <c r="S73" s="886"/>
      <c r="T73" s="886"/>
      <c r="U73" s="886"/>
      <c r="V73" s="140"/>
      <c r="W73" s="140"/>
      <c r="X73" s="48"/>
      <c r="Y73" s="140"/>
      <c r="Z73" s="748"/>
      <c r="AA73" s="48"/>
      <c r="AB73" s="48"/>
      <c r="AC73" s="48"/>
      <c r="AD73" s="886"/>
      <c r="AE73" s="886"/>
      <c r="AF73" s="532">
        <f t="shared" si="5"/>
        <v>3.8000000000000034E-2</v>
      </c>
      <c r="AG73" s="531">
        <f t="shared" si="6"/>
        <v>28.799999999999997</v>
      </c>
      <c r="AH73" s="304">
        <v>46217</v>
      </c>
      <c r="AI73" s="13">
        <v>30</v>
      </c>
      <c r="AJ73" s="15">
        <v>4</v>
      </c>
      <c r="AK73" s="15">
        <v>3.8000000000000034E-2</v>
      </c>
      <c r="AL73" s="13"/>
      <c r="AM73" s="93">
        <f t="shared" si="0"/>
        <v>28.799999999999997</v>
      </c>
      <c r="AN73" s="522"/>
      <c r="AO73" s="213"/>
      <c r="CJ73" s="921">
        <f t="shared" si="62"/>
        <v>1.2</v>
      </c>
      <c r="CT73" s="35"/>
      <c r="CU73" s="70" t="s">
        <v>2022</v>
      </c>
      <c r="CV73" s="71">
        <f t="shared" si="1"/>
        <v>46298</v>
      </c>
      <c r="CW73" s="72" t="str">
        <f t="shared" si="63"/>
        <v>9AG-131</v>
      </c>
      <c r="CX73" s="73" t="str">
        <f t="shared" si="64"/>
        <v>NO P.CK</v>
      </c>
      <c r="CY73" s="73">
        <f t="shared" si="65"/>
        <v>170</v>
      </c>
      <c r="CZ73" s="73">
        <f t="shared" si="66"/>
        <v>24</v>
      </c>
      <c r="DA73" s="73" t="str">
        <f t="shared" si="67"/>
        <v>G/L</v>
      </c>
      <c r="DB73" s="73"/>
      <c r="DC73" s="368">
        <f t="shared" si="68"/>
        <v>970</v>
      </c>
      <c r="DD73" s="73">
        <f t="shared" si="69"/>
        <v>0</v>
      </c>
      <c r="DE73" s="73">
        <f t="shared" si="70"/>
        <v>0</v>
      </c>
      <c r="DF73" s="73">
        <f t="shared" si="71"/>
        <v>0</v>
      </c>
      <c r="DG73" s="73">
        <f t="shared" si="72"/>
        <v>0</v>
      </c>
      <c r="DH73" s="73">
        <f t="shared" si="73"/>
        <v>0</v>
      </c>
      <c r="DI73" s="73">
        <f t="shared" si="74"/>
        <v>0</v>
      </c>
      <c r="DJ73" s="73"/>
      <c r="DK73" s="73"/>
      <c r="DL73" s="73">
        <f t="shared" si="75"/>
        <v>0</v>
      </c>
      <c r="DM73" s="215">
        <f t="shared" si="76"/>
        <v>28.799999999999997</v>
      </c>
      <c r="DN73" s="73" t="str">
        <f t="shared" si="77"/>
        <v/>
      </c>
      <c r="DO73" s="73">
        <f t="shared" si="78"/>
        <v>28.799999999999997</v>
      </c>
      <c r="DP73" s="85" t="str">
        <f t="shared" si="79"/>
        <v>AG</v>
      </c>
      <c r="EB73" s="70" t="str">
        <f t="shared" si="43"/>
        <v>KHALDA_WELL</v>
      </c>
      <c r="EC73" s="71">
        <f t="shared" si="4"/>
        <v>46298</v>
      </c>
      <c r="ED73" s="72" t="str">
        <f t="shared" si="44"/>
        <v>AG-131</v>
      </c>
      <c r="EE73" s="73" t="str">
        <f t="shared" si="45"/>
        <v>NO P.CK</v>
      </c>
      <c r="EF73" s="73">
        <f t="shared" si="46"/>
        <v>170</v>
      </c>
      <c r="EG73" s="73">
        <f t="shared" si="47"/>
        <v>24</v>
      </c>
      <c r="EH73" s="73" t="str">
        <f t="shared" si="48"/>
        <v>G/L</v>
      </c>
      <c r="EI73" s="73"/>
      <c r="EJ73" s="72"/>
      <c r="EK73" s="72" t="str">
        <f t="shared" si="49"/>
        <v/>
      </c>
      <c r="EL73" s="73">
        <f t="shared" si="50"/>
        <v>4</v>
      </c>
      <c r="EM73" s="213">
        <f t="shared" si="51"/>
        <v>0</v>
      </c>
      <c r="EN73" s="73"/>
      <c r="EO73" s="73"/>
      <c r="EQ73" s="73">
        <f t="shared" si="52"/>
        <v>0</v>
      </c>
      <c r="ER73" s="73">
        <f t="shared" si="53"/>
        <v>0</v>
      </c>
      <c r="ES73" s="73">
        <f t="shared" si="54"/>
        <v>0</v>
      </c>
      <c r="ET73" s="73">
        <f t="shared" si="55"/>
        <v>0</v>
      </c>
      <c r="EU73" s="73"/>
      <c r="EV73" s="73"/>
      <c r="EX73" s="3">
        <f t="shared" si="56"/>
        <v>0</v>
      </c>
      <c r="EY73" s="73"/>
      <c r="EZ73" s="73">
        <f t="shared" si="57"/>
        <v>0</v>
      </c>
      <c r="FA73" s="73">
        <f t="shared" si="58"/>
        <v>0</v>
      </c>
      <c r="FB73" s="73">
        <f t="shared" si="59"/>
        <v>0</v>
      </c>
      <c r="FC73" s="73"/>
      <c r="FD73" s="73">
        <f t="shared" si="60"/>
        <v>0</v>
      </c>
    </row>
    <row r="74" spans="2:160" s="3" customFormat="1" ht="16.5" customHeight="1">
      <c r="B74" s="316" t="s">
        <v>1674</v>
      </c>
      <c r="C74" s="317" t="s">
        <v>1305</v>
      </c>
      <c r="D74" s="317" t="s">
        <v>18</v>
      </c>
      <c r="E74" s="991">
        <v>0</v>
      </c>
      <c r="F74" s="951">
        <f t="shared" si="61"/>
        <v>0</v>
      </c>
      <c r="G74" s="48"/>
      <c r="H74" s="981"/>
      <c r="I74" s="48" t="s">
        <v>255</v>
      </c>
      <c r="J74" s="48">
        <v>0</v>
      </c>
      <c r="K74" s="48">
        <v>0</v>
      </c>
      <c r="L74" s="48">
        <v>0</v>
      </c>
      <c r="M74" s="22" t="s">
        <v>288</v>
      </c>
      <c r="N74" s="140"/>
      <c r="O74" s="748"/>
      <c r="P74" s="48"/>
      <c r="Q74" s="48"/>
      <c r="R74" s="48"/>
      <c r="S74" s="886"/>
      <c r="T74" s="886"/>
      <c r="U74" s="886"/>
      <c r="V74" s="140"/>
      <c r="W74" s="140"/>
      <c r="X74" s="48"/>
      <c r="Y74" s="140"/>
      <c r="Z74" s="748"/>
      <c r="AA74" s="48"/>
      <c r="AB74" s="48"/>
      <c r="AC74" s="48"/>
      <c r="AD74" s="886">
        <v>0</v>
      </c>
      <c r="AE74" s="886">
        <v>0</v>
      </c>
      <c r="AF74" s="532">
        <f t="shared" si="5"/>
        <v>0</v>
      </c>
      <c r="AG74" s="531">
        <f t="shared" si="6"/>
        <v>0</v>
      </c>
      <c r="AH74" s="304">
        <v>46055</v>
      </c>
      <c r="AI74" s="13">
        <v>428</v>
      </c>
      <c r="AJ74" s="15">
        <v>75</v>
      </c>
      <c r="AK74" s="15">
        <v>0</v>
      </c>
      <c r="AL74" s="13"/>
      <c r="AM74" s="93">
        <f t="shared" si="0"/>
        <v>107</v>
      </c>
      <c r="AN74" s="687"/>
      <c r="AO74" s="213"/>
      <c r="CJ74" s="921">
        <f t="shared" si="62"/>
        <v>0</v>
      </c>
      <c r="CT74" s="35"/>
      <c r="CU74" s="70" t="s">
        <v>2111</v>
      </c>
      <c r="CV74" s="71">
        <f t="shared" si="1"/>
        <v>46298</v>
      </c>
      <c r="CW74" s="72" t="str">
        <f t="shared" si="63"/>
        <v>9AG-132</v>
      </c>
      <c r="CX74" s="73" t="str">
        <f t="shared" si="64"/>
        <v>OPEN</v>
      </c>
      <c r="CY74" s="73">
        <f t="shared" si="65"/>
        <v>0</v>
      </c>
      <c r="CZ74" s="73">
        <f t="shared" si="66"/>
        <v>0</v>
      </c>
      <c r="DA74" s="73" t="str">
        <f t="shared" si="67"/>
        <v>SI</v>
      </c>
      <c r="DB74" s="73"/>
      <c r="DC74" s="368">
        <f t="shared" si="68"/>
        <v>0</v>
      </c>
      <c r="DD74" s="73">
        <f t="shared" si="69"/>
        <v>0</v>
      </c>
      <c r="DE74" s="73">
        <f t="shared" si="70"/>
        <v>0</v>
      </c>
      <c r="DF74" s="73">
        <f t="shared" si="71"/>
        <v>0</v>
      </c>
      <c r="DG74" s="73">
        <f t="shared" si="72"/>
        <v>0</v>
      </c>
      <c r="DH74" s="73">
        <f t="shared" si="73"/>
        <v>0</v>
      </c>
      <c r="DI74" s="73">
        <f t="shared" si="74"/>
        <v>0</v>
      </c>
      <c r="DJ74" s="73"/>
      <c r="DK74" s="73"/>
      <c r="DL74" s="73">
        <f t="shared" si="75"/>
        <v>0</v>
      </c>
      <c r="DM74" s="215">
        <f t="shared" si="76"/>
        <v>0</v>
      </c>
      <c r="DN74" s="73" t="str">
        <f t="shared" si="77"/>
        <v/>
      </c>
      <c r="DO74" s="73">
        <f t="shared" si="78"/>
        <v>0</v>
      </c>
      <c r="DP74" s="85" t="str">
        <f t="shared" si="79"/>
        <v/>
      </c>
      <c r="EB74" s="70" t="str">
        <f t="shared" si="43"/>
        <v>KHALDA_WELL</v>
      </c>
      <c r="EC74" s="71">
        <f t="shared" si="4"/>
        <v>46298</v>
      </c>
      <c r="ED74" s="72" t="str">
        <f t="shared" si="44"/>
        <v>AG-132</v>
      </c>
      <c r="EE74" s="73" t="str">
        <f t="shared" si="45"/>
        <v>OPEN</v>
      </c>
      <c r="EF74" s="73">
        <f t="shared" si="46"/>
        <v>0</v>
      </c>
      <c r="EG74" s="73">
        <f t="shared" si="47"/>
        <v>0</v>
      </c>
      <c r="EH74" s="73" t="str">
        <f t="shared" si="48"/>
        <v>SI</v>
      </c>
      <c r="EI74" s="73"/>
      <c r="EJ74" s="72"/>
      <c r="EK74" s="72" t="str">
        <f t="shared" si="49"/>
        <v/>
      </c>
      <c r="EL74" s="73">
        <f t="shared" si="50"/>
        <v>75</v>
      </c>
      <c r="EM74" s="213">
        <f t="shared" si="51"/>
        <v>0</v>
      </c>
      <c r="EN74" s="73"/>
      <c r="EO74" s="73"/>
      <c r="EQ74" s="73">
        <f t="shared" si="52"/>
        <v>0</v>
      </c>
      <c r="ER74" s="73">
        <f t="shared" si="53"/>
        <v>0</v>
      </c>
      <c r="ES74" s="73">
        <f t="shared" si="54"/>
        <v>0</v>
      </c>
      <c r="ET74" s="73">
        <f t="shared" si="55"/>
        <v>0</v>
      </c>
      <c r="EU74" s="73"/>
      <c r="EV74" s="73"/>
      <c r="EX74" s="3">
        <f t="shared" si="56"/>
        <v>0</v>
      </c>
      <c r="EY74" s="73"/>
      <c r="EZ74" s="73">
        <f t="shared" si="57"/>
        <v>0</v>
      </c>
      <c r="FA74" s="73">
        <f t="shared" si="58"/>
        <v>0</v>
      </c>
      <c r="FB74" s="73">
        <f t="shared" si="59"/>
        <v>0</v>
      </c>
      <c r="FC74" s="73"/>
      <c r="FD74" s="73">
        <f t="shared" si="60"/>
        <v>0</v>
      </c>
    </row>
    <row r="75" spans="2:160" s="3" customFormat="1" ht="16.5" customHeight="1">
      <c r="B75" s="316" t="s">
        <v>1904</v>
      </c>
      <c r="C75" s="317" t="s">
        <v>272</v>
      </c>
      <c r="D75" s="317" t="s">
        <v>18</v>
      </c>
      <c r="E75" s="991">
        <v>0</v>
      </c>
      <c r="F75" s="951">
        <f t="shared" si="61"/>
        <v>0</v>
      </c>
      <c r="G75" s="48"/>
      <c r="H75" s="981"/>
      <c r="I75" s="48" t="s">
        <v>255</v>
      </c>
      <c r="J75" s="48">
        <v>0</v>
      </c>
      <c r="K75" s="48">
        <v>0</v>
      </c>
      <c r="L75" s="48">
        <v>0</v>
      </c>
      <c r="M75" s="22"/>
      <c r="N75" s="140"/>
      <c r="O75" s="748"/>
      <c r="P75" s="48"/>
      <c r="Q75" s="48"/>
      <c r="R75" s="48"/>
      <c r="S75" s="886"/>
      <c r="T75" s="886"/>
      <c r="U75" s="886"/>
      <c r="V75" s="140"/>
      <c r="W75" s="140"/>
      <c r="X75" s="48"/>
      <c r="Y75" s="140"/>
      <c r="Z75" s="748"/>
      <c r="AA75" s="48"/>
      <c r="AB75" s="48"/>
      <c r="AC75" s="48"/>
      <c r="AD75" s="886"/>
      <c r="AE75" s="886"/>
      <c r="AF75" s="532">
        <f t="shared" si="5"/>
        <v>0</v>
      </c>
      <c r="AG75" s="531">
        <f t="shared" si="6"/>
        <v>0</v>
      </c>
      <c r="AH75" s="304">
        <v>43844</v>
      </c>
      <c r="AI75" s="13">
        <v>0</v>
      </c>
      <c r="AJ75" s="15">
        <v>0</v>
      </c>
      <c r="AK75" s="15">
        <v>0.1</v>
      </c>
      <c r="AL75" s="13"/>
      <c r="AM75" s="93">
        <f t="shared" si="0"/>
        <v>0</v>
      </c>
      <c r="AN75" s="522" t="s">
        <v>2145</v>
      </c>
      <c r="AO75" s="213"/>
      <c r="CJ75" s="921">
        <f t="shared" si="62"/>
        <v>0</v>
      </c>
      <c r="CT75" s="35"/>
      <c r="CU75" s="70" t="s">
        <v>2023</v>
      </c>
      <c r="CV75" s="71">
        <f t="shared" si="1"/>
        <v>46298</v>
      </c>
      <c r="CW75" s="72" t="str">
        <f t="shared" si="63"/>
        <v>9AG-136</v>
      </c>
      <c r="CX75" s="73" t="str">
        <f t="shared" si="64"/>
        <v>OPEN</v>
      </c>
      <c r="CY75" s="73">
        <f t="shared" si="65"/>
        <v>0</v>
      </c>
      <c r="CZ75" s="73">
        <f t="shared" si="66"/>
        <v>0</v>
      </c>
      <c r="DA75" s="73" t="str">
        <f t="shared" si="67"/>
        <v>SI</v>
      </c>
      <c r="DB75" s="73"/>
      <c r="DC75" s="368">
        <f t="shared" si="68"/>
        <v>0</v>
      </c>
      <c r="DD75" s="73">
        <f t="shared" si="69"/>
        <v>0</v>
      </c>
      <c r="DE75" s="73">
        <f t="shared" si="70"/>
        <v>0</v>
      </c>
      <c r="DF75" s="73">
        <f t="shared" si="71"/>
        <v>0</v>
      </c>
      <c r="DG75" s="73">
        <f t="shared" si="72"/>
        <v>0</v>
      </c>
      <c r="DH75" s="73">
        <f t="shared" si="73"/>
        <v>0</v>
      </c>
      <c r="DI75" s="73">
        <f t="shared" si="74"/>
        <v>0</v>
      </c>
      <c r="DJ75" s="73"/>
      <c r="DK75" s="73"/>
      <c r="DL75" s="73">
        <f t="shared" si="75"/>
        <v>0</v>
      </c>
      <c r="DM75" s="215">
        <f t="shared" si="76"/>
        <v>0</v>
      </c>
      <c r="DN75" s="73" t="str">
        <f t="shared" si="77"/>
        <v/>
      </c>
      <c r="DO75" s="73">
        <f t="shared" si="78"/>
        <v>0</v>
      </c>
      <c r="DP75" s="85" t="str">
        <f t="shared" si="79"/>
        <v/>
      </c>
      <c r="EB75" s="70" t="str">
        <f t="shared" si="43"/>
        <v>KHALDA_WELL</v>
      </c>
      <c r="EC75" s="71">
        <f t="shared" si="4"/>
        <v>46298</v>
      </c>
      <c r="ED75" s="72" t="str">
        <f t="shared" si="44"/>
        <v>AG-136</v>
      </c>
      <c r="EE75" s="73" t="str">
        <f t="shared" si="45"/>
        <v>OPEN</v>
      </c>
      <c r="EF75" s="73">
        <f t="shared" si="46"/>
        <v>0</v>
      </c>
      <c r="EG75" s="73">
        <f t="shared" si="47"/>
        <v>0</v>
      </c>
      <c r="EH75" s="73" t="str">
        <f t="shared" si="48"/>
        <v>SI</v>
      </c>
      <c r="EI75" s="73"/>
      <c r="EJ75" s="72"/>
      <c r="EK75" s="72" t="str">
        <f t="shared" si="49"/>
        <v/>
      </c>
      <c r="EL75" s="73">
        <f t="shared" si="50"/>
        <v>0</v>
      </c>
      <c r="EM75" s="213">
        <f t="shared" si="51"/>
        <v>0</v>
      </c>
      <c r="EN75" s="73"/>
      <c r="EO75" s="73"/>
      <c r="EQ75" s="73">
        <f t="shared" si="52"/>
        <v>0</v>
      </c>
      <c r="ER75" s="73">
        <f t="shared" si="53"/>
        <v>0</v>
      </c>
      <c r="ES75" s="73">
        <f t="shared" si="54"/>
        <v>0</v>
      </c>
      <c r="ET75" s="73">
        <f t="shared" si="55"/>
        <v>0</v>
      </c>
      <c r="EU75" s="73"/>
      <c r="EV75" s="73"/>
      <c r="EX75" s="3">
        <f t="shared" si="56"/>
        <v>0</v>
      </c>
      <c r="EY75" s="73"/>
      <c r="EZ75" s="73">
        <f t="shared" si="57"/>
        <v>0</v>
      </c>
      <c r="FA75" s="73">
        <f t="shared" si="58"/>
        <v>0</v>
      </c>
      <c r="FB75" s="73">
        <f t="shared" si="59"/>
        <v>0</v>
      </c>
      <c r="FC75" s="73"/>
      <c r="FD75" s="73" t="str">
        <f t="shared" si="60"/>
        <v>Is considered as condensate at the GP report.</v>
      </c>
    </row>
    <row r="76" spans="2:160" s="3" customFormat="1" ht="16.5" customHeight="1">
      <c r="B76" s="316" t="s">
        <v>2094</v>
      </c>
      <c r="C76" s="317" t="s">
        <v>272</v>
      </c>
      <c r="D76" s="317" t="s">
        <v>18</v>
      </c>
      <c r="E76" s="991">
        <v>0</v>
      </c>
      <c r="F76" s="951">
        <f t="shared" si="61"/>
        <v>0</v>
      </c>
      <c r="G76" s="48"/>
      <c r="H76" s="981"/>
      <c r="I76" s="48" t="s">
        <v>2336</v>
      </c>
      <c r="J76" s="48">
        <v>770</v>
      </c>
      <c r="K76" s="48">
        <v>730</v>
      </c>
      <c r="L76" s="48">
        <v>0</v>
      </c>
      <c r="M76" s="22"/>
      <c r="N76" s="140"/>
      <c r="O76" s="748"/>
      <c r="P76" s="48"/>
      <c r="Q76" s="48"/>
      <c r="R76" s="48"/>
      <c r="S76" s="886"/>
      <c r="T76" s="886"/>
      <c r="U76" s="886"/>
      <c r="V76" s="140"/>
      <c r="W76" s="140"/>
      <c r="X76" s="48"/>
      <c r="Y76" s="140"/>
      <c r="Z76" s="748"/>
      <c r="AA76" s="48"/>
      <c r="AB76" s="48"/>
      <c r="AC76" s="48"/>
      <c r="AD76" s="886"/>
      <c r="AE76" s="886"/>
      <c r="AF76" s="532">
        <f>AK76/24*E76</f>
        <v>0</v>
      </c>
      <c r="AG76" s="531">
        <f>AM76/24*E76</f>
        <v>0</v>
      </c>
      <c r="AH76" s="304">
        <v>46269</v>
      </c>
      <c r="AI76" s="13">
        <v>128</v>
      </c>
      <c r="AJ76" s="15">
        <v>54</v>
      </c>
      <c r="AK76" s="15">
        <v>2.669</v>
      </c>
      <c r="AL76" s="13"/>
      <c r="AM76" s="93">
        <f t="shared" si="0"/>
        <v>58.879999999999995</v>
      </c>
      <c r="AN76" s="148" t="s">
        <v>2146</v>
      </c>
      <c r="AO76" s="213"/>
      <c r="CJ76" s="921">
        <f t="shared" si="62"/>
        <v>0</v>
      </c>
      <c r="CT76" s="35"/>
      <c r="CU76" s="70" t="s">
        <v>2024</v>
      </c>
      <c r="CV76" s="71">
        <f t="shared" si="1"/>
        <v>46298</v>
      </c>
      <c r="CW76" s="72" t="str">
        <f t="shared" si="63"/>
        <v>9AG-140</v>
      </c>
      <c r="CX76" s="73" t="str">
        <f t="shared" si="64"/>
        <v>128/64</v>
      </c>
      <c r="CY76" s="73">
        <f t="shared" si="65"/>
        <v>770</v>
      </c>
      <c r="CZ76" s="73">
        <f t="shared" si="66"/>
        <v>0</v>
      </c>
      <c r="DA76" s="73" t="str">
        <f t="shared" si="67"/>
        <v>SI</v>
      </c>
      <c r="DB76" s="73"/>
      <c r="DC76" s="368">
        <f t="shared" si="68"/>
        <v>0</v>
      </c>
      <c r="DD76" s="73">
        <f t="shared" si="69"/>
        <v>0</v>
      </c>
      <c r="DE76" s="73">
        <f t="shared" si="70"/>
        <v>0</v>
      </c>
      <c r="DF76" s="73">
        <f t="shared" si="71"/>
        <v>0</v>
      </c>
      <c r="DG76" s="73">
        <f t="shared" si="72"/>
        <v>0</v>
      </c>
      <c r="DH76" s="73">
        <f t="shared" si="73"/>
        <v>0</v>
      </c>
      <c r="DI76" s="73">
        <f t="shared" si="74"/>
        <v>0</v>
      </c>
      <c r="DJ76" s="73"/>
      <c r="DK76" s="73"/>
      <c r="DL76" s="73">
        <f t="shared" si="75"/>
        <v>0</v>
      </c>
      <c r="DM76" s="215">
        <f t="shared" si="76"/>
        <v>0</v>
      </c>
      <c r="DN76" s="73" t="str">
        <f t="shared" si="77"/>
        <v/>
      </c>
      <c r="DO76" s="73">
        <f t="shared" si="78"/>
        <v>0</v>
      </c>
      <c r="DP76" s="85" t="str">
        <f t="shared" si="79"/>
        <v/>
      </c>
      <c r="EB76" s="70" t="str">
        <f t="shared" si="43"/>
        <v>KHALDA_WELL</v>
      </c>
      <c r="EC76" s="71">
        <f t="shared" si="4"/>
        <v>46298</v>
      </c>
      <c r="ED76" s="72" t="str">
        <f t="shared" si="44"/>
        <v>AG-140</v>
      </c>
      <c r="EE76" s="73" t="str">
        <f t="shared" si="45"/>
        <v>128/64</v>
      </c>
      <c r="EF76" s="73">
        <f t="shared" si="46"/>
        <v>770</v>
      </c>
      <c r="EG76" s="73">
        <f t="shared" si="47"/>
        <v>0</v>
      </c>
      <c r="EH76" s="73" t="str">
        <f t="shared" si="48"/>
        <v>SI</v>
      </c>
      <c r="EI76" s="73"/>
      <c r="EJ76" s="72"/>
      <c r="EK76" s="72" t="str">
        <f t="shared" si="49"/>
        <v/>
      </c>
      <c r="EL76" s="73">
        <f t="shared" si="50"/>
        <v>54</v>
      </c>
      <c r="EM76" s="213">
        <f t="shared" si="51"/>
        <v>0</v>
      </c>
      <c r="EN76" s="73"/>
      <c r="EO76" s="73"/>
      <c r="EQ76" s="73">
        <f t="shared" si="52"/>
        <v>0</v>
      </c>
      <c r="ER76" s="73">
        <f t="shared" si="53"/>
        <v>0</v>
      </c>
      <c r="ES76" s="73">
        <f t="shared" si="54"/>
        <v>0</v>
      </c>
      <c r="ET76" s="73">
        <f t="shared" si="55"/>
        <v>0</v>
      </c>
      <c r="EU76" s="73"/>
      <c r="EV76" s="73"/>
      <c r="EX76" s="3">
        <f t="shared" si="56"/>
        <v>0</v>
      </c>
      <c r="EY76" s="73"/>
      <c r="EZ76" s="73">
        <f t="shared" si="57"/>
        <v>0</v>
      </c>
      <c r="FA76" s="73">
        <f t="shared" si="58"/>
        <v>0</v>
      </c>
      <c r="FB76" s="73">
        <f t="shared" si="59"/>
        <v>0</v>
      </c>
      <c r="FC76" s="73"/>
      <c r="FD76" s="73" t="str">
        <f t="shared" si="60"/>
        <v>Gas well</v>
      </c>
    </row>
    <row r="77" spans="2:160" s="3" customFormat="1" ht="16.5" customHeight="1">
      <c r="B77" s="316" t="s">
        <v>2100</v>
      </c>
      <c r="C77" s="317" t="s">
        <v>1315</v>
      </c>
      <c r="D77" s="317" t="s">
        <v>1301</v>
      </c>
      <c r="E77" s="991">
        <v>24</v>
      </c>
      <c r="F77" s="951">
        <f t="shared" si="61"/>
        <v>0</v>
      </c>
      <c r="G77" s="48"/>
      <c r="H77" s="981">
        <v>1.24</v>
      </c>
      <c r="I77" s="48" t="s">
        <v>2335</v>
      </c>
      <c r="J77" s="48">
        <v>140</v>
      </c>
      <c r="K77" s="48">
        <v>140</v>
      </c>
      <c r="L77" s="48">
        <v>800</v>
      </c>
      <c r="M77" s="22"/>
      <c r="N77" s="140"/>
      <c r="O77" s="748"/>
      <c r="P77" s="48"/>
      <c r="Q77" s="48"/>
      <c r="R77" s="48"/>
      <c r="S77" s="886"/>
      <c r="T77" s="886"/>
      <c r="U77" s="886"/>
      <c r="V77" s="140"/>
      <c r="W77" s="140"/>
      <c r="X77" s="48"/>
      <c r="Y77" s="140"/>
      <c r="Z77" s="748"/>
      <c r="AA77" s="48"/>
      <c r="AB77" s="48"/>
      <c r="AC77" s="48"/>
      <c r="AD77" s="886"/>
      <c r="AE77" s="886"/>
      <c r="AF77" s="532">
        <f>AK77/24*E77</f>
        <v>1.9E-2</v>
      </c>
      <c r="AG77" s="531">
        <f>AM77/24*E77</f>
        <v>43.56</v>
      </c>
      <c r="AH77" s="304">
        <v>46254</v>
      </c>
      <c r="AI77" s="13">
        <v>44</v>
      </c>
      <c r="AJ77" s="15">
        <v>1</v>
      </c>
      <c r="AK77" s="15">
        <v>1.9E-2</v>
      </c>
      <c r="AL77" s="13"/>
      <c r="AM77" s="93">
        <f t="shared" si="0"/>
        <v>43.56</v>
      </c>
      <c r="AN77" s="148"/>
      <c r="AO77" s="213"/>
      <c r="CJ77" s="921">
        <f t="shared" si="62"/>
        <v>0.44</v>
      </c>
      <c r="CT77" s="35"/>
      <c r="CU77" s="70" t="s">
        <v>2025</v>
      </c>
      <c r="CV77" s="71">
        <f t="shared" si="1"/>
        <v>46298</v>
      </c>
      <c r="CW77" s="72" t="str">
        <f t="shared" si="63"/>
        <v>9AG-141</v>
      </c>
      <c r="CX77" s="73" t="str">
        <f t="shared" si="64"/>
        <v>NO P.CK</v>
      </c>
      <c r="CY77" s="73">
        <f t="shared" si="65"/>
        <v>140</v>
      </c>
      <c r="CZ77" s="73">
        <f t="shared" si="66"/>
        <v>24</v>
      </c>
      <c r="DA77" s="73" t="str">
        <f t="shared" si="67"/>
        <v>G/L</v>
      </c>
      <c r="DB77" s="73"/>
      <c r="DC77" s="368">
        <f t="shared" si="68"/>
        <v>1240</v>
      </c>
      <c r="DD77" s="73">
        <f t="shared" si="69"/>
        <v>0</v>
      </c>
      <c r="DE77" s="73">
        <f t="shared" si="70"/>
        <v>0</v>
      </c>
      <c r="DF77" s="73">
        <f t="shared" si="71"/>
        <v>0</v>
      </c>
      <c r="DG77" s="73">
        <f t="shared" si="72"/>
        <v>0</v>
      </c>
      <c r="DH77" s="73">
        <f t="shared" si="73"/>
        <v>0</v>
      </c>
      <c r="DI77" s="73">
        <f t="shared" si="74"/>
        <v>0</v>
      </c>
      <c r="DJ77" s="73"/>
      <c r="DK77" s="73"/>
      <c r="DL77" s="73">
        <f t="shared" si="75"/>
        <v>0</v>
      </c>
      <c r="DM77" s="215">
        <f t="shared" si="76"/>
        <v>43.56</v>
      </c>
      <c r="DN77" s="73" t="str">
        <f t="shared" si="77"/>
        <v/>
      </c>
      <c r="DO77" s="73">
        <f t="shared" si="78"/>
        <v>43.56</v>
      </c>
      <c r="DP77" s="85" t="str">
        <f t="shared" si="79"/>
        <v>AG</v>
      </c>
      <c r="EB77" s="70" t="str">
        <f t="shared" si="43"/>
        <v>KHALDA_WELL</v>
      </c>
      <c r="EC77" s="71">
        <f t="shared" si="4"/>
        <v>46298</v>
      </c>
      <c r="ED77" s="72" t="str">
        <f t="shared" si="44"/>
        <v>AG-141</v>
      </c>
      <c r="EE77" s="73" t="str">
        <f t="shared" si="45"/>
        <v>NO P.CK</v>
      </c>
      <c r="EF77" s="73">
        <f t="shared" si="46"/>
        <v>140</v>
      </c>
      <c r="EG77" s="73">
        <f t="shared" si="47"/>
        <v>24</v>
      </c>
      <c r="EH77" s="73" t="str">
        <f t="shared" si="48"/>
        <v>G/L</v>
      </c>
      <c r="EI77" s="73"/>
      <c r="EJ77" s="72"/>
      <c r="EK77" s="72" t="str">
        <f t="shared" si="49"/>
        <v/>
      </c>
      <c r="EL77" s="73">
        <f t="shared" si="50"/>
        <v>1</v>
      </c>
      <c r="EM77" s="213">
        <f t="shared" si="51"/>
        <v>0</v>
      </c>
      <c r="EN77" s="73"/>
      <c r="EO77" s="73"/>
      <c r="EQ77" s="73">
        <f t="shared" si="52"/>
        <v>0</v>
      </c>
      <c r="ER77" s="73">
        <f t="shared" si="53"/>
        <v>0</v>
      </c>
      <c r="ES77" s="73">
        <f t="shared" si="54"/>
        <v>0</v>
      </c>
      <c r="ET77" s="73">
        <f t="shared" si="55"/>
        <v>0</v>
      </c>
      <c r="EU77" s="73"/>
      <c r="EV77" s="73"/>
      <c r="EX77" s="3">
        <f t="shared" si="56"/>
        <v>0</v>
      </c>
      <c r="EY77" s="73"/>
      <c r="EZ77" s="73">
        <f t="shared" si="57"/>
        <v>0</v>
      </c>
      <c r="FA77" s="73">
        <f t="shared" si="58"/>
        <v>0</v>
      </c>
      <c r="FB77" s="73">
        <f t="shared" si="59"/>
        <v>0</v>
      </c>
      <c r="FC77" s="73"/>
      <c r="FD77" s="73">
        <f t="shared" si="60"/>
        <v>0</v>
      </c>
    </row>
    <row r="78" spans="2:160" s="3" customFormat="1" ht="16.5" customHeight="1">
      <c r="B78" s="316" t="s">
        <v>2072</v>
      </c>
      <c r="C78" s="317" t="s">
        <v>2180</v>
      </c>
      <c r="D78" s="317" t="s">
        <v>18</v>
      </c>
      <c r="E78" s="991">
        <v>0</v>
      </c>
      <c r="F78" s="951">
        <f>IF(E78=0,0,((AI78*(1-(AJ78/100)))/24)*(24-HOURS))</f>
        <v>0</v>
      </c>
      <c r="G78" s="48" t="s">
        <v>2516</v>
      </c>
      <c r="H78" s="981">
        <v>0</v>
      </c>
      <c r="I78" s="48" t="s">
        <v>2335</v>
      </c>
      <c r="J78" s="48">
        <v>0</v>
      </c>
      <c r="K78" s="48">
        <v>0</v>
      </c>
      <c r="L78" s="48">
        <v>0</v>
      </c>
      <c r="M78" s="22"/>
      <c r="N78" s="140"/>
      <c r="O78" s="748"/>
      <c r="P78" s="48"/>
      <c r="Q78" s="48"/>
      <c r="R78" s="48"/>
      <c r="S78" s="886"/>
      <c r="T78" s="886"/>
      <c r="U78" s="886"/>
      <c r="V78" s="140"/>
      <c r="W78" s="140"/>
      <c r="X78" s="48"/>
      <c r="Y78" s="140"/>
      <c r="Z78" s="748"/>
      <c r="AA78" s="48"/>
      <c r="AB78" s="48"/>
      <c r="AC78" s="48"/>
      <c r="AD78" s="886"/>
      <c r="AE78" s="886"/>
      <c r="AF78" s="532">
        <f t="shared" si="5"/>
        <v>0</v>
      </c>
      <c r="AG78" s="531">
        <f t="shared" si="6"/>
        <v>0</v>
      </c>
      <c r="AH78" s="304">
        <v>45996</v>
      </c>
      <c r="AI78" s="13">
        <v>67</v>
      </c>
      <c r="AJ78" s="15">
        <v>52</v>
      </c>
      <c r="AK78" s="15">
        <v>0.38300000000000001</v>
      </c>
      <c r="AL78" s="13">
        <v>65000</v>
      </c>
      <c r="AM78" s="93">
        <f t="shared" si="0"/>
        <v>32.159999999999997</v>
      </c>
      <c r="AN78" s="687"/>
      <c r="AO78" s="213"/>
      <c r="CJ78" s="921">
        <f t="shared" si="62"/>
        <v>0</v>
      </c>
      <c r="CT78" s="35"/>
      <c r="CU78" s="70" t="s">
        <v>2026</v>
      </c>
      <c r="CV78" s="71">
        <f t="shared" si="1"/>
        <v>46298</v>
      </c>
      <c r="CW78" s="72" t="str">
        <f t="shared" si="63"/>
        <v>9AG-142</v>
      </c>
      <c r="CX78" s="73" t="str">
        <f t="shared" si="64"/>
        <v>NO P.CK</v>
      </c>
      <c r="CY78" s="73">
        <f t="shared" si="65"/>
        <v>0</v>
      </c>
      <c r="CZ78" s="73">
        <f t="shared" si="66"/>
        <v>0</v>
      </c>
      <c r="DA78" s="73" t="str">
        <f t="shared" si="67"/>
        <v>SI</v>
      </c>
      <c r="DB78" s="73"/>
      <c r="DC78" s="368">
        <f t="shared" si="68"/>
        <v>0</v>
      </c>
      <c r="DD78" s="73">
        <f t="shared" si="69"/>
        <v>0</v>
      </c>
      <c r="DE78" s="73">
        <f t="shared" si="70"/>
        <v>0</v>
      </c>
      <c r="DF78" s="73">
        <f t="shared" si="71"/>
        <v>0</v>
      </c>
      <c r="DG78" s="73">
        <f t="shared" si="72"/>
        <v>0</v>
      </c>
      <c r="DH78" s="73">
        <f t="shared" si="73"/>
        <v>0</v>
      </c>
      <c r="DI78" s="73">
        <f t="shared" si="74"/>
        <v>0</v>
      </c>
      <c r="DJ78" s="73"/>
      <c r="DK78" s="73"/>
      <c r="DL78" s="73">
        <f t="shared" si="75"/>
        <v>0</v>
      </c>
      <c r="DM78" s="215">
        <f t="shared" si="76"/>
        <v>0</v>
      </c>
      <c r="DN78" s="73" t="str">
        <f t="shared" si="77"/>
        <v>Low Reservoir Pressure/Depleted</v>
      </c>
      <c r="DO78" s="73">
        <f t="shared" si="78"/>
        <v>0</v>
      </c>
      <c r="DP78" s="85" t="str">
        <f t="shared" si="79"/>
        <v/>
      </c>
      <c r="EB78" s="70" t="str">
        <f t="shared" si="43"/>
        <v>KHALDA_WELL</v>
      </c>
      <c r="EC78" s="71">
        <f t="shared" si="4"/>
        <v>46298</v>
      </c>
      <c r="ED78" s="72" t="str">
        <f t="shared" si="44"/>
        <v>AG-142</v>
      </c>
      <c r="EE78" s="73" t="str">
        <f t="shared" si="45"/>
        <v>NO P.CK</v>
      </c>
      <c r="EF78" s="73">
        <f t="shared" si="46"/>
        <v>0</v>
      </c>
      <c r="EG78" s="73">
        <f t="shared" si="47"/>
        <v>0</v>
      </c>
      <c r="EH78" s="73" t="str">
        <f t="shared" si="48"/>
        <v>SI</v>
      </c>
      <c r="EI78" s="73"/>
      <c r="EJ78" s="72"/>
      <c r="EK78" s="72" t="str">
        <f t="shared" si="49"/>
        <v>Low Reservoir Pressure/Depleted</v>
      </c>
      <c r="EL78" s="73">
        <f t="shared" si="50"/>
        <v>52</v>
      </c>
      <c r="EM78" s="213">
        <f t="shared" si="51"/>
        <v>0</v>
      </c>
      <c r="EN78" s="73"/>
      <c r="EO78" s="73"/>
      <c r="EQ78" s="73">
        <f t="shared" si="52"/>
        <v>0</v>
      </c>
      <c r="ER78" s="73">
        <f t="shared" si="53"/>
        <v>0</v>
      </c>
      <c r="ES78" s="73">
        <f t="shared" si="54"/>
        <v>0</v>
      </c>
      <c r="ET78" s="73">
        <f t="shared" si="55"/>
        <v>0</v>
      </c>
      <c r="EU78" s="73"/>
      <c r="EV78" s="73"/>
      <c r="EX78" s="3">
        <f t="shared" si="56"/>
        <v>0</v>
      </c>
      <c r="EY78" s="73"/>
      <c r="EZ78" s="73">
        <f t="shared" si="57"/>
        <v>0</v>
      </c>
      <c r="FA78" s="73">
        <f t="shared" si="58"/>
        <v>0</v>
      </c>
      <c r="FB78" s="73">
        <f t="shared" si="59"/>
        <v>0</v>
      </c>
      <c r="FC78" s="73"/>
      <c r="FD78" s="73">
        <f t="shared" si="60"/>
        <v>0</v>
      </c>
    </row>
    <row r="79" spans="2:160" s="3" customFormat="1" ht="16.5" customHeight="1">
      <c r="B79" s="316" t="s">
        <v>2135</v>
      </c>
      <c r="C79" s="317" t="s">
        <v>21</v>
      </c>
      <c r="D79" s="317" t="s">
        <v>18</v>
      </c>
      <c r="E79" s="991">
        <v>0</v>
      </c>
      <c r="F79" s="951">
        <f t="shared" si="61"/>
        <v>0</v>
      </c>
      <c r="G79" s="48"/>
      <c r="H79" s="981"/>
      <c r="I79" s="48" t="s">
        <v>2335</v>
      </c>
      <c r="J79" s="48">
        <v>230</v>
      </c>
      <c r="K79" s="48">
        <v>0</v>
      </c>
      <c r="L79" s="48">
        <v>0</v>
      </c>
      <c r="M79" s="22"/>
      <c r="N79" s="140"/>
      <c r="O79" s="748"/>
      <c r="P79" s="48"/>
      <c r="Q79" s="48"/>
      <c r="R79" s="48"/>
      <c r="S79" s="886"/>
      <c r="T79" s="886"/>
      <c r="U79" s="886"/>
      <c r="V79" s="140"/>
      <c r="W79" s="140"/>
      <c r="X79" s="48"/>
      <c r="Y79" s="140"/>
      <c r="Z79" s="748"/>
      <c r="AA79" s="48"/>
      <c r="AB79" s="48"/>
      <c r="AC79" s="48"/>
      <c r="AD79" s="886"/>
      <c r="AE79" s="886"/>
      <c r="AF79" s="532">
        <f t="shared" ref="AF79:AF88" si="80">AK79/24*E79</f>
        <v>0</v>
      </c>
      <c r="AG79" s="531">
        <f t="shared" ref="AG79:AG88" si="81">AM79/24*E79</f>
        <v>0</v>
      </c>
      <c r="AH79" s="304">
        <v>45216</v>
      </c>
      <c r="AI79" s="13">
        <v>0</v>
      </c>
      <c r="AJ79" s="15">
        <v>8.1</v>
      </c>
      <c r="AK79" s="15">
        <v>7.0000000000000007E-2</v>
      </c>
      <c r="AL79" s="13"/>
      <c r="AM79" s="93">
        <f t="shared" si="0"/>
        <v>0</v>
      </c>
      <c r="AN79" s="687"/>
      <c r="AO79" s="213"/>
      <c r="CJ79" s="921">
        <f t="shared" si="62"/>
        <v>0</v>
      </c>
      <c r="CT79" s="35"/>
      <c r="CU79" s="70" t="s">
        <v>2027</v>
      </c>
      <c r="CV79" s="71">
        <f t="shared" si="1"/>
        <v>46298</v>
      </c>
      <c r="CW79" s="72" t="str">
        <f t="shared" si="63"/>
        <v>9AG-143</v>
      </c>
      <c r="CX79" s="73" t="str">
        <f t="shared" si="64"/>
        <v>NO P.CK</v>
      </c>
      <c r="CY79" s="73">
        <f t="shared" si="65"/>
        <v>230</v>
      </c>
      <c r="CZ79" s="73">
        <f t="shared" si="66"/>
        <v>0</v>
      </c>
      <c r="DA79" s="73" t="str">
        <f t="shared" si="67"/>
        <v>SI</v>
      </c>
      <c r="DB79" s="73"/>
      <c r="DC79" s="368">
        <f t="shared" si="68"/>
        <v>0</v>
      </c>
      <c r="DD79" s="73">
        <f t="shared" si="69"/>
        <v>0</v>
      </c>
      <c r="DE79" s="73">
        <f t="shared" si="70"/>
        <v>0</v>
      </c>
      <c r="DF79" s="73">
        <f t="shared" si="71"/>
        <v>0</v>
      </c>
      <c r="DG79" s="73">
        <f t="shared" si="72"/>
        <v>0</v>
      </c>
      <c r="DH79" s="73">
        <f t="shared" si="73"/>
        <v>0</v>
      </c>
      <c r="DI79" s="73">
        <f t="shared" si="74"/>
        <v>0</v>
      </c>
      <c r="DJ79" s="73"/>
      <c r="DK79" s="73"/>
      <c r="DL79" s="73">
        <f t="shared" si="75"/>
        <v>0</v>
      </c>
      <c r="DM79" s="215">
        <f t="shared" si="76"/>
        <v>0</v>
      </c>
      <c r="DN79" s="73" t="str">
        <f t="shared" si="77"/>
        <v/>
      </c>
      <c r="DO79" s="73">
        <f t="shared" si="78"/>
        <v>0</v>
      </c>
      <c r="DP79" s="85" t="str">
        <f t="shared" si="79"/>
        <v/>
      </c>
      <c r="EB79" s="70" t="str">
        <f t="shared" si="43"/>
        <v>KHALDA_WELL</v>
      </c>
      <c r="EC79" s="71">
        <f t="shared" si="4"/>
        <v>46298</v>
      </c>
      <c r="ED79" s="72" t="str">
        <f t="shared" si="44"/>
        <v>AG-143</v>
      </c>
      <c r="EE79" s="73" t="str">
        <f t="shared" si="45"/>
        <v>NO P.CK</v>
      </c>
      <c r="EF79" s="73">
        <f t="shared" si="46"/>
        <v>230</v>
      </c>
      <c r="EG79" s="73">
        <f t="shared" si="47"/>
        <v>0</v>
      </c>
      <c r="EH79" s="73" t="str">
        <f t="shared" si="48"/>
        <v>SI</v>
      </c>
      <c r="EI79" s="73"/>
      <c r="EJ79" s="72"/>
      <c r="EK79" s="72" t="str">
        <f t="shared" si="49"/>
        <v/>
      </c>
      <c r="EL79" s="73">
        <f t="shared" si="50"/>
        <v>8.1</v>
      </c>
      <c r="EM79" s="213">
        <f t="shared" si="51"/>
        <v>0</v>
      </c>
      <c r="EN79" s="73"/>
      <c r="EO79" s="73"/>
      <c r="EQ79" s="73">
        <f t="shared" si="52"/>
        <v>0</v>
      </c>
      <c r="ER79" s="73">
        <f t="shared" si="53"/>
        <v>0</v>
      </c>
      <c r="ES79" s="73">
        <f t="shared" si="54"/>
        <v>0</v>
      </c>
      <c r="ET79" s="73">
        <f t="shared" si="55"/>
        <v>0</v>
      </c>
      <c r="EU79" s="73"/>
      <c r="EV79" s="73"/>
      <c r="EX79" s="3">
        <f t="shared" si="56"/>
        <v>0</v>
      </c>
      <c r="EY79" s="73"/>
      <c r="EZ79" s="73">
        <f t="shared" si="57"/>
        <v>0</v>
      </c>
      <c r="FA79" s="73">
        <f t="shared" si="58"/>
        <v>0</v>
      </c>
      <c r="FB79" s="73">
        <f t="shared" si="59"/>
        <v>0</v>
      </c>
      <c r="FC79" s="73"/>
      <c r="FD79" s="73">
        <f t="shared" si="60"/>
        <v>0</v>
      </c>
    </row>
    <row r="80" spans="2:160" s="3" customFormat="1" ht="16.5" customHeight="1">
      <c r="B80" s="316" t="s">
        <v>2139</v>
      </c>
      <c r="C80" s="317" t="s">
        <v>1305</v>
      </c>
      <c r="D80" s="317" t="s">
        <v>18</v>
      </c>
      <c r="E80" s="991">
        <v>0</v>
      </c>
      <c r="F80" s="951">
        <f t="shared" si="61"/>
        <v>0</v>
      </c>
      <c r="G80" s="48"/>
      <c r="H80" s="981">
        <v>0</v>
      </c>
      <c r="I80" s="48" t="s">
        <v>2335</v>
      </c>
      <c r="J80" s="48">
        <v>0</v>
      </c>
      <c r="K80" s="48">
        <v>0</v>
      </c>
      <c r="L80" s="48">
        <v>0</v>
      </c>
      <c r="M80" s="22"/>
      <c r="N80" s="140"/>
      <c r="O80" s="748"/>
      <c r="P80" s="48"/>
      <c r="Q80" s="48"/>
      <c r="R80" s="48"/>
      <c r="S80" s="886"/>
      <c r="T80" s="886"/>
      <c r="U80" s="886"/>
      <c r="V80" s="140"/>
      <c r="W80" s="140"/>
      <c r="X80" s="48"/>
      <c r="Y80" s="140"/>
      <c r="Z80" s="748"/>
      <c r="AA80" s="48"/>
      <c r="AB80" s="48"/>
      <c r="AC80" s="48"/>
      <c r="AD80" s="886"/>
      <c r="AE80" s="886"/>
      <c r="AF80" s="532">
        <f t="shared" si="80"/>
        <v>0</v>
      </c>
      <c r="AG80" s="531">
        <f t="shared" si="81"/>
        <v>0</v>
      </c>
      <c r="AH80" s="304">
        <v>45857</v>
      </c>
      <c r="AI80" s="13">
        <v>81</v>
      </c>
      <c r="AJ80" s="15">
        <v>76</v>
      </c>
      <c r="AK80" s="15">
        <v>8.2000000000000073E-2</v>
      </c>
      <c r="AL80" s="13"/>
      <c r="AM80" s="93">
        <f t="shared" si="0"/>
        <v>19.439999999999998</v>
      </c>
      <c r="AN80" s="687"/>
      <c r="AO80" s="213"/>
      <c r="CJ80" s="921">
        <f t="shared" si="62"/>
        <v>0</v>
      </c>
      <c r="CT80" s="35"/>
      <c r="CU80" s="70" t="s">
        <v>2028</v>
      </c>
      <c r="CV80" s="71">
        <f t="shared" si="1"/>
        <v>46298</v>
      </c>
      <c r="CW80" s="72" t="str">
        <f t="shared" si="63"/>
        <v>9AG-146</v>
      </c>
      <c r="CX80" s="73" t="str">
        <f t="shared" si="64"/>
        <v>NO P.CK</v>
      </c>
      <c r="CY80" s="73">
        <f t="shared" si="65"/>
        <v>0</v>
      </c>
      <c r="CZ80" s="73">
        <f t="shared" si="66"/>
        <v>0</v>
      </c>
      <c r="DA80" s="73" t="str">
        <f t="shared" si="67"/>
        <v>SI</v>
      </c>
      <c r="DB80" s="73"/>
      <c r="DC80" s="368">
        <f t="shared" si="68"/>
        <v>0</v>
      </c>
      <c r="DD80" s="73">
        <f t="shared" si="69"/>
        <v>0</v>
      </c>
      <c r="DE80" s="73">
        <f t="shared" si="70"/>
        <v>0</v>
      </c>
      <c r="DF80" s="73">
        <f t="shared" si="71"/>
        <v>0</v>
      </c>
      <c r="DG80" s="73">
        <f t="shared" si="72"/>
        <v>0</v>
      </c>
      <c r="DH80" s="73">
        <f t="shared" si="73"/>
        <v>0</v>
      </c>
      <c r="DI80" s="73">
        <f t="shared" si="74"/>
        <v>0</v>
      </c>
      <c r="DJ80" s="73"/>
      <c r="DK80" s="73"/>
      <c r="DL80" s="73">
        <f t="shared" si="75"/>
        <v>0</v>
      </c>
      <c r="DM80" s="215">
        <f t="shared" si="76"/>
        <v>0</v>
      </c>
      <c r="DN80" s="73" t="str">
        <f t="shared" si="77"/>
        <v/>
      </c>
      <c r="DO80" s="73">
        <f t="shared" si="78"/>
        <v>0</v>
      </c>
      <c r="DP80" s="85" t="str">
        <f t="shared" si="79"/>
        <v/>
      </c>
      <c r="EB80" s="70" t="str">
        <f t="shared" si="43"/>
        <v>KHALDA_WELL</v>
      </c>
      <c r="EC80" s="71">
        <f t="shared" si="4"/>
        <v>46298</v>
      </c>
      <c r="ED80" s="72" t="str">
        <f t="shared" si="44"/>
        <v>AG-146</v>
      </c>
      <c r="EE80" s="73" t="str">
        <f t="shared" si="45"/>
        <v>NO P.CK</v>
      </c>
      <c r="EF80" s="73">
        <f t="shared" si="46"/>
        <v>0</v>
      </c>
      <c r="EG80" s="73">
        <f t="shared" si="47"/>
        <v>0</v>
      </c>
      <c r="EH80" s="73" t="str">
        <f t="shared" si="48"/>
        <v>SI</v>
      </c>
      <c r="EI80" s="73"/>
      <c r="EJ80" s="72"/>
      <c r="EK80" s="72" t="str">
        <f t="shared" si="49"/>
        <v/>
      </c>
      <c r="EL80" s="73">
        <f t="shared" si="50"/>
        <v>76</v>
      </c>
      <c r="EM80" s="213">
        <f t="shared" si="51"/>
        <v>0</v>
      </c>
      <c r="EN80" s="73"/>
      <c r="EO80" s="73"/>
      <c r="EQ80" s="73">
        <f t="shared" si="52"/>
        <v>0</v>
      </c>
      <c r="ER80" s="73">
        <f t="shared" si="53"/>
        <v>0</v>
      </c>
      <c r="ES80" s="73">
        <f t="shared" si="54"/>
        <v>0</v>
      </c>
      <c r="ET80" s="73">
        <f t="shared" si="55"/>
        <v>0</v>
      </c>
      <c r="EU80" s="73"/>
      <c r="EV80" s="73"/>
      <c r="EX80" s="3">
        <f t="shared" si="56"/>
        <v>0</v>
      </c>
      <c r="EY80" s="73"/>
      <c r="EZ80" s="73">
        <f t="shared" si="57"/>
        <v>0</v>
      </c>
      <c r="FA80" s="73">
        <f t="shared" si="58"/>
        <v>0</v>
      </c>
      <c r="FB80" s="73">
        <f t="shared" si="59"/>
        <v>0</v>
      </c>
      <c r="FC80" s="73"/>
      <c r="FD80" s="73">
        <f t="shared" si="60"/>
        <v>0</v>
      </c>
    </row>
    <row r="81" spans="2:160" s="3" customFormat="1" ht="16.5" customHeight="1">
      <c r="B81" s="316" t="s">
        <v>2236</v>
      </c>
      <c r="C81" s="317" t="s">
        <v>272</v>
      </c>
      <c r="D81" s="317" t="s">
        <v>18</v>
      </c>
      <c r="E81" s="991">
        <v>0</v>
      </c>
      <c r="F81" s="951">
        <f t="shared" si="61"/>
        <v>0</v>
      </c>
      <c r="G81" s="48"/>
      <c r="H81" s="981">
        <v>0</v>
      </c>
      <c r="I81" s="48" t="s">
        <v>255</v>
      </c>
      <c r="J81" s="48">
        <v>210</v>
      </c>
      <c r="K81" s="48">
        <v>0</v>
      </c>
      <c r="L81" s="48">
        <v>0</v>
      </c>
      <c r="M81" s="22"/>
      <c r="N81" s="140"/>
      <c r="O81" s="748">
        <v>45469</v>
      </c>
      <c r="P81" s="48">
        <v>1281</v>
      </c>
      <c r="Q81" s="48">
        <v>1585</v>
      </c>
      <c r="R81" s="48">
        <v>9001</v>
      </c>
      <c r="S81" s="886"/>
      <c r="T81" s="886"/>
      <c r="U81" s="886"/>
      <c r="V81" s="140"/>
      <c r="W81" s="140"/>
      <c r="X81" s="48"/>
      <c r="Y81" s="140"/>
      <c r="Z81" s="748"/>
      <c r="AA81" s="48"/>
      <c r="AB81" s="48"/>
      <c r="AC81" s="48"/>
      <c r="AD81" s="886"/>
      <c r="AE81" s="886"/>
      <c r="AF81" s="532">
        <f t="shared" si="80"/>
        <v>0</v>
      </c>
      <c r="AG81" s="531">
        <f t="shared" si="81"/>
        <v>0</v>
      </c>
      <c r="AH81" s="304">
        <v>46082</v>
      </c>
      <c r="AI81" s="13">
        <v>164</v>
      </c>
      <c r="AJ81" s="15">
        <v>100</v>
      </c>
      <c r="AK81" s="15">
        <v>0.61700000000000021</v>
      </c>
      <c r="AL81" s="13">
        <v>0</v>
      </c>
      <c r="AM81" s="93">
        <f t="shared" si="0"/>
        <v>0</v>
      </c>
      <c r="AN81" s="687"/>
      <c r="AO81" s="213"/>
      <c r="CJ81" s="921">
        <f t="shared" si="62"/>
        <v>0</v>
      </c>
      <c r="CT81" s="35"/>
      <c r="CU81" s="70" t="s">
        <v>2029</v>
      </c>
      <c r="CV81" s="71">
        <f t="shared" si="1"/>
        <v>46298</v>
      </c>
      <c r="CW81" s="72" t="str">
        <f t="shared" ref="CW81:CW88" si="82">$CT$3&amp;B81</f>
        <v>9AG-152</v>
      </c>
      <c r="CX81" s="73" t="str">
        <f t="shared" ref="CX81:CY88" si="83">I81</f>
        <v>OPEN</v>
      </c>
      <c r="CY81" s="73">
        <f t="shared" si="83"/>
        <v>210</v>
      </c>
      <c r="CZ81" s="73">
        <f t="shared" ref="CZ81:CZ88" si="84">E81</f>
        <v>0</v>
      </c>
      <c r="DA81" s="73" t="str">
        <f t="shared" ref="DA81:DA88" si="85">IF(CZ81=0,"SI",D81)</f>
        <v>SI</v>
      </c>
      <c r="DB81" s="73"/>
      <c r="DC81" s="368">
        <f t="shared" ref="DC81:DC88" si="86">E81*((H81*1000)/24)</f>
        <v>0</v>
      </c>
      <c r="DD81" s="73">
        <f t="shared" ref="DD81:DD88" si="87">N81</f>
        <v>0</v>
      </c>
      <c r="DE81" s="73">
        <f t="shared" ref="DE81:DG88" si="88">V81</f>
        <v>0</v>
      </c>
      <c r="DF81" s="73">
        <f t="shared" si="88"/>
        <v>0</v>
      </c>
      <c r="DG81" s="73">
        <f t="shared" si="88"/>
        <v>0</v>
      </c>
      <c r="DH81" s="73">
        <f t="shared" ref="DH81:DH88" si="89">Z81</f>
        <v>0</v>
      </c>
      <c r="DI81" s="73">
        <f t="shared" ref="DI81:DI88" si="90">AD81</f>
        <v>0</v>
      </c>
      <c r="DJ81" s="73"/>
      <c r="DK81" s="73"/>
      <c r="DL81" s="73">
        <f t="shared" ref="DL81:DL88" si="91">AE81</f>
        <v>0</v>
      </c>
      <c r="DM81" s="215">
        <f t="shared" ref="DM81:DM88" si="92">AG81</f>
        <v>0</v>
      </c>
      <c r="DN81" s="73" t="str">
        <f t="shared" ref="DN81:DN88" si="93">IF(G81="","",G81)</f>
        <v/>
      </c>
      <c r="DO81" s="73">
        <f t="shared" ref="DO81:DO88" si="94">AM81/24*HOURS</f>
        <v>0</v>
      </c>
      <c r="DP81" s="85" t="str">
        <f>IF(OR(D81="SI",B81="",D81="T&amp;A"),"",VLOOKUP(B81,WELL_FIELD,2))</f>
        <v/>
      </c>
      <c r="EB81" s="70" t="str">
        <f t="shared" si="43"/>
        <v>KHALDA_WELL</v>
      </c>
      <c r="EC81" s="71">
        <f t="shared" si="4"/>
        <v>46298</v>
      </c>
      <c r="ED81" s="72" t="str">
        <f t="shared" si="44"/>
        <v>AG-152</v>
      </c>
      <c r="EE81" s="73" t="str">
        <f t="shared" si="45"/>
        <v>OPEN</v>
      </c>
      <c r="EF81" s="73">
        <f t="shared" si="46"/>
        <v>210</v>
      </c>
      <c r="EG81" s="73">
        <f t="shared" si="47"/>
        <v>0</v>
      </c>
      <c r="EH81" s="73" t="str">
        <f t="shared" si="48"/>
        <v>SI</v>
      </c>
      <c r="EI81" s="73"/>
      <c r="EJ81" s="72"/>
      <c r="EK81" s="72" t="str">
        <f t="shared" si="49"/>
        <v/>
      </c>
      <c r="EL81" s="73">
        <f t="shared" si="50"/>
        <v>100</v>
      </c>
      <c r="EM81" s="213">
        <f t="shared" si="51"/>
        <v>0</v>
      </c>
      <c r="EN81" s="73"/>
      <c r="EO81" s="73"/>
      <c r="EQ81" s="73">
        <f t="shared" si="52"/>
        <v>0</v>
      </c>
      <c r="ER81" s="73">
        <f t="shared" si="53"/>
        <v>0</v>
      </c>
      <c r="ES81" s="73">
        <f t="shared" si="54"/>
        <v>0</v>
      </c>
      <c r="ET81" s="73">
        <f t="shared" si="55"/>
        <v>0</v>
      </c>
      <c r="EU81" s="73"/>
      <c r="EV81" s="73"/>
      <c r="EX81" s="3">
        <f t="shared" si="56"/>
        <v>0</v>
      </c>
      <c r="EY81" s="73"/>
      <c r="EZ81" s="73">
        <f t="shared" si="57"/>
        <v>0</v>
      </c>
      <c r="FA81" s="73">
        <f t="shared" si="58"/>
        <v>0</v>
      </c>
      <c r="FB81" s="73">
        <f t="shared" si="59"/>
        <v>0</v>
      </c>
      <c r="FC81" s="73"/>
      <c r="FD81" s="73">
        <f t="shared" si="60"/>
        <v>0</v>
      </c>
    </row>
    <row r="82" spans="2:160" s="3" customFormat="1" ht="16.5" customHeight="1">
      <c r="B82" s="316" t="s">
        <v>2205</v>
      </c>
      <c r="C82" s="317" t="s">
        <v>272</v>
      </c>
      <c r="D82" s="317" t="s">
        <v>18</v>
      </c>
      <c r="E82" s="991">
        <v>0</v>
      </c>
      <c r="F82" s="951">
        <f t="shared" si="61"/>
        <v>0</v>
      </c>
      <c r="G82" s="48"/>
      <c r="H82" s="981"/>
      <c r="I82" s="48" t="s">
        <v>2335</v>
      </c>
      <c r="J82" s="48">
        <v>230</v>
      </c>
      <c r="K82" s="48">
        <v>180</v>
      </c>
      <c r="L82" s="48">
        <v>0</v>
      </c>
      <c r="M82" s="22"/>
      <c r="N82" s="140"/>
      <c r="O82" s="748"/>
      <c r="P82" s="48"/>
      <c r="Q82" s="48"/>
      <c r="R82" s="48"/>
      <c r="S82" s="886"/>
      <c r="T82" s="886"/>
      <c r="U82" s="886"/>
      <c r="V82" s="140"/>
      <c r="W82" s="140"/>
      <c r="X82" s="48"/>
      <c r="Y82" s="140"/>
      <c r="Z82" s="748"/>
      <c r="AA82" s="48"/>
      <c r="AB82" s="48"/>
      <c r="AC82" s="48"/>
      <c r="AD82" s="886"/>
      <c r="AE82" s="886"/>
      <c r="AF82" s="532">
        <f t="shared" si="80"/>
        <v>0</v>
      </c>
      <c r="AG82" s="531">
        <f t="shared" si="81"/>
        <v>0</v>
      </c>
      <c r="AH82" s="304">
        <v>46139</v>
      </c>
      <c r="AI82" s="13">
        <v>59</v>
      </c>
      <c r="AJ82" s="15">
        <v>15</v>
      </c>
      <c r="AK82" s="15">
        <v>0.46400000000000002</v>
      </c>
      <c r="AL82" s="13"/>
      <c r="AM82" s="93">
        <f t="shared" si="0"/>
        <v>50.15</v>
      </c>
      <c r="AN82" s="687" t="s">
        <v>2145</v>
      </c>
      <c r="AO82" s="213"/>
      <c r="CJ82" s="921">
        <f t="shared" si="62"/>
        <v>0</v>
      </c>
      <c r="CT82" s="35"/>
      <c r="CU82" s="70" t="s">
        <v>2029</v>
      </c>
      <c r="CV82" s="71">
        <f t="shared" si="1"/>
        <v>46298</v>
      </c>
      <c r="CW82" s="72" t="str">
        <f t="shared" si="82"/>
        <v>9AG-154</v>
      </c>
      <c r="CX82" s="73" t="str">
        <f t="shared" si="83"/>
        <v>NO P.CK</v>
      </c>
      <c r="CY82" s="73">
        <f t="shared" si="83"/>
        <v>230</v>
      </c>
      <c r="CZ82" s="73">
        <f t="shared" si="84"/>
        <v>0</v>
      </c>
      <c r="DA82" s="73" t="str">
        <f t="shared" si="85"/>
        <v>SI</v>
      </c>
      <c r="DB82" s="73"/>
      <c r="DC82" s="368">
        <f t="shared" si="86"/>
        <v>0</v>
      </c>
      <c r="DD82" s="73">
        <f t="shared" si="87"/>
        <v>0</v>
      </c>
      <c r="DE82" s="73">
        <f t="shared" si="88"/>
        <v>0</v>
      </c>
      <c r="DF82" s="73">
        <f t="shared" si="88"/>
        <v>0</v>
      </c>
      <c r="DG82" s="73">
        <f t="shared" si="88"/>
        <v>0</v>
      </c>
      <c r="DH82" s="73">
        <f t="shared" si="89"/>
        <v>0</v>
      </c>
      <c r="DI82" s="73">
        <f t="shared" si="90"/>
        <v>0</v>
      </c>
      <c r="DJ82" s="73"/>
      <c r="DK82" s="73"/>
      <c r="DL82" s="73">
        <f t="shared" si="91"/>
        <v>0</v>
      </c>
      <c r="DM82" s="215">
        <f t="shared" si="92"/>
        <v>0</v>
      </c>
      <c r="DN82" s="73" t="str">
        <f t="shared" si="93"/>
        <v/>
      </c>
      <c r="DO82" s="73">
        <f t="shared" si="94"/>
        <v>0</v>
      </c>
      <c r="DP82" s="85" t="str">
        <f>IF(OR(D82="SI",B82="",D82="T&amp;A"),"",VLOOKUP(B82,WELL_FIELD,2))</f>
        <v/>
      </c>
      <c r="EB82" s="70" t="str">
        <f t="shared" si="43"/>
        <v>KHALDA_WELL</v>
      </c>
      <c r="EC82" s="71">
        <f t="shared" si="4"/>
        <v>46298</v>
      </c>
      <c r="ED82" s="72" t="str">
        <f t="shared" si="44"/>
        <v>AG-154</v>
      </c>
      <c r="EE82" s="73" t="str">
        <f t="shared" si="45"/>
        <v>NO P.CK</v>
      </c>
      <c r="EF82" s="73">
        <f t="shared" si="46"/>
        <v>230</v>
      </c>
      <c r="EG82" s="73">
        <f t="shared" si="47"/>
        <v>0</v>
      </c>
      <c r="EH82" s="73" t="str">
        <f t="shared" si="48"/>
        <v>SI</v>
      </c>
      <c r="EI82" s="73"/>
      <c r="EJ82" s="72"/>
      <c r="EK82" s="72" t="str">
        <f t="shared" si="49"/>
        <v/>
      </c>
      <c r="EL82" s="73">
        <f t="shared" si="50"/>
        <v>15</v>
      </c>
      <c r="EM82" s="213">
        <f t="shared" si="51"/>
        <v>0</v>
      </c>
      <c r="EN82" s="73"/>
      <c r="EO82" s="73"/>
      <c r="EQ82" s="73">
        <f t="shared" si="52"/>
        <v>0</v>
      </c>
      <c r="ER82" s="73">
        <f t="shared" si="53"/>
        <v>0</v>
      </c>
      <c r="ES82" s="73">
        <f t="shared" si="54"/>
        <v>0</v>
      </c>
      <c r="ET82" s="73">
        <f t="shared" si="55"/>
        <v>0</v>
      </c>
      <c r="EU82" s="73"/>
      <c r="EV82" s="73"/>
      <c r="EX82" s="3">
        <f t="shared" si="56"/>
        <v>0</v>
      </c>
      <c r="EY82" s="73"/>
      <c r="EZ82" s="73">
        <f t="shared" si="57"/>
        <v>0</v>
      </c>
      <c r="FA82" s="73">
        <f t="shared" si="58"/>
        <v>0</v>
      </c>
      <c r="FB82" s="73">
        <f t="shared" si="59"/>
        <v>0</v>
      </c>
      <c r="FC82" s="73"/>
      <c r="FD82" s="73" t="str">
        <f t="shared" si="60"/>
        <v>Is considered as condensate at the GP report.</v>
      </c>
    </row>
    <row r="83" spans="2:160" s="3" customFormat="1" ht="16.5" customHeight="1">
      <c r="B83" s="316" t="s">
        <v>2207</v>
      </c>
      <c r="C83" s="317" t="s">
        <v>20</v>
      </c>
      <c r="D83" s="317" t="s">
        <v>1301</v>
      </c>
      <c r="E83" s="991">
        <v>24</v>
      </c>
      <c r="F83" s="951">
        <f t="shared" si="61"/>
        <v>0</v>
      </c>
      <c r="G83" s="48"/>
      <c r="H83" s="981">
        <v>1.44</v>
      </c>
      <c r="I83" s="48" t="s">
        <v>2337</v>
      </c>
      <c r="J83" s="48">
        <v>230</v>
      </c>
      <c r="K83" s="48">
        <v>230</v>
      </c>
      <c r="L83" s="48">
        <v>960</v>
      </c>
      <c r="M83" s="22"/>
      <c r="N83" s="140"/>
      <c r="O83" s="748"/>
      <c r="P83" s="48"/>
      <c r="Q83" s="48"/>
      <c r="R83" s="48"/>
      <c r="S83" s="886"/>
      <c r="T83" s="886"/>
      <c r="U83" s="886"/>
      <c r="V83" s="140"/>
      <c r="W83" s="140"/>
      <c r="X83" s="48"/>
      <c r="Y83" s="140"/>
      <c r="Z83" s="748"/>
      <c r="AA83" s="48"/>
      <c r="AB83" s="48"/>
      <c r="AC83" s="48"/>
      <c r="AD83" s="886"/>
      <c r="AE83" s="886"/>
      <c r="AF83" s="532">
        <f t="shared" si="80"/>
        <v>6.0000000000000053E-2</v>
      </c>
      <c r="AG83" s="531">
        <f t="shared" si="81"/>
        <v>53.34</v>
      </c>
      <c r="AH83" s="304">
        <v>46270</v>
      </c>
      <c r="AI83" s="13">
        <v>127</v>
      </c>
      <c r="AJ83" s="15">
        <v>58</v>
      </c>
      <c r="AK83" s="15">
        <v>6.0000000000000053E-2</v>
      </c>
      <c r="AL83" s="13">
        <v>114</v>
      </c>
      <c r="AM83" s="93">
        <f t="shared" si="0"/>
        <v>53.34</v>
      </c>
      <c r="AN83" s="687"/>
      <c r="AO83" s="213"/>
      <c r="CJ83" s="921">
        <f t="shared" si="62"/>
        <v>73.66</v>
      </c>
      <c r="CT83" s="35"/>
      <c r="CU83" s="70" t="s">
        <v>2031</v>
      </c>
      <c r="CV83" s="71">
        <f t="shared" si="1"/>
        <v>46298</v>
      </c>
      <c r="CW83" s="72" t="str">
        <f>$CT$3&amp;B83</f>
        <v>9AG-157</v>
      </c>
      <c r="CX83" s="73" t="str">
        <f t="shared" si="83"/>
        <v>F-Open</v>
      </c>
      <c r="CY83" s="73">
        <f t="shared" si="83"/>
        <v>230</v>
      </c>
      <c r="CZ83" s="73">
        <f t="shared" si="84"/>
        <v>24</v>
      </c>
      <c r="DA83" s="73" t="str">
        <f t="shared" si="85"/>
        <v>G/L</v>
      </c>
      <c r="DB83" s="73"/>
      <c r="DC83" s="368">
        <f t="shared" si="86"/>
        <v>1440</v>
      </c>
      <c r="DD83" s="73">
        <f t="shared" si="87"/>
        <v>0</v>
      </c>
      <c r="DE83" s="73">
        <f t="shared" si="88"/>
        <v>0</v>
      </c>
      <c r="DF83" s="73">
        <f t="shared" si="88"/>
        <v>0</v>
      </c>
      <c r="DG83" s="73">
        <f t="shared" si="88"/>
        <v>0</v>
      </c>
      <c r="DH83" s="73">
        <f t="shared" si="89"/>
        <v>0</v>
      </c>
      <c r="DI83" s="73">
        <f t="shared" si="90"/>
        <v>0</v>
      </c>
      <c r="DJ83" s="73"/>
      <c r="DK83" s="73"/>
      <c r="DL83" s="73">
        <f t="shared" si="91"/>
        <v>0</v>
      </c>
      <c r="DM83" s="215">
        <f t="shared" si="92"/>
        <v>53.34</v>
      </c>
      <c r="DN83" s="73" t="str">
        <f t="shared" si="93"/>
        <v/>
      </c>
      <c r="DO83" s="73">
        <f t="shared" si="94"/>
        <v>53.34</v>
      </c>
      <c r="DP83" s="85" t="str">
        <f>IF(OR(D83="SI",B83="",D83="T&amp;A"),"",VLOOKUP(B83,WELL_FIELD,2))</f>
        <v>SAG</v>
      </c>
      <c r="EB83" s="70" t="str">
        <f>IF(B83="","","KHALDA_WELL")</f>
        <v>KHALDA_WELL</v>
      </c>
      <c r="EC83" s="71">
        <f t="shared" si="4"/>
        <v>46298</v>
      </c>
      <c r="ED83" s="72" t="str">
        <f>B83</f>
        <v>AG-157</v>
      </c>
      <c r="EE83" s="73" t="str">
        <f t="shared" si="45"/>
        <v>F-Open</v>
      </c>
      <c r="EF83" s="73">
        <f t="shared" si="46"/>
        <v>230</v>
      </c>
      <c r="EG83" s="73">
        <f t="shared" si="47"/>
        <v>24</v>
      </c>
      <c r="EH83" s="73" t="str">
        <f t="shared" si="48"/>
        <v>G/L</v>
      </c>
      <c r="EI83" s="73"/>
      <c r="EJ83" s="72"/>
      <c r="EK83" s="72" t="str">
        <f t="shared" si="49"/>
        <v/>
      </c>
      <c r="EL83" s="73">
        <f t="shared" si="50"/>
        <v>58</v>
      </c>
      <c r="EM83" s="213">
        <f t="shared" si="51"/>
        <v>0</v>
      </c>
      <c r="EN83" s="73"/>
      <c r="EO83" s="73"/>
      <c r="EQ83" s="73">
        <f t="shared" si="52"/>
        <v>0</v>
      </c>
      <c r="ER83" s="73">
        <f t="shared" si="53"/>
        <v>0</v>
      </c>
      <c r="ES83" s="73">
        <f t="shared" si="54"/>
        <v>0</v>
      </c>
      <c r="ET83" s="73">
        <f t="shared" si="55"/>
        <v>0</v>
      </c>
      <c r="EU83" s="73"/>
      <c r="EV83" s="73"/>
      <c r="EX83" s="3">
        <f t="shared" si="56"/>
        <v>0</v>
      </c>
      <c r="EY83" s="73"/>
      <c r="EZ83" s="73">
        <f t="shared" si="57"/>
        <v>0</v>
      </c>
      <c r="FA83" s="73">
        <f t="shared" si="58"/>
        <v>0</v>
      </c>
      <c r="FB83" s="73">
        <f t="shared" si="59"/>
        <v>0</v>
      </c>
      <c r="FC83" s="73"/>
      <c r="FD83" s="73">
        <f t="shared" si="60"/>
        <v>0</v>
      </c>
    </row>
    <row r="84" spans="2:160" s="3" customFormat="1" ht="16.5" customHeight="1">
      <c r="B84" s="316" t="s">
        <v>2241</v>
      </c>
      <c r="C84" s="317" t="s">
        <v>21</v>
      </c>
      <c r="D84" s="317" t="s">
        <v>1301</v>
      </c>
      <c r="E84" s="991">
        <v>24</v>
      </c>
      <c r="F84" s="951">
        <f t="shared" si="61"/>
        <v>0</v>
      </c>
      <c r="G84" s="48"/>
      <c r="H84" s="981">
        <v>1</v>
      </c>
      <c r="I84" s="48" t="s">
        <v>2335</v>
      </c>
      <c r="J84" s="48">
        <v>230</v>
      </c>
      <c r="K84" s="48">
        <v>230</v>
      </c>
      <c r="L84" s="48">
        <v>435</v>
      </c>
      <c r="M84" s="22"/>
      <c r="N84" s="140"/>
      <c r="O84" s="748"/>
      <c r="P84" s="48"/>
      <c r="Q84" s="48"/>
      <c r="R84" s="48"/>
      <c r="S84" s="886"/>
      <c r="T84" s="886"/>
      <c r="U84" s="886"/>
      <c r="V84" s="140"/>
      <c r="W84" s="140"/>
      <c r="X84" s="48"/>
      <c r="Y84" s="140"/>
      <c r="Z84" s="748"/>
      <c r="AA84" s="48"/>
      <c r="AB84" s="48"/>
      <c r="AC84" s="48"/>
      <c r="AD84" s="886"/>
      <c r="AE84" s="886"/>
      <c r="AF84" s="532"/>
      <c r="AG84" s="531">
        <f t="shared" si="81"/>
        <v>34.4</v>
      </c>
      <c r="AH84" s="304">
        <v>46298</v>
      </c>
      <c r="AI84" s="13">
        <v>43</v>
      </c>
      <c r="AJ84" s="15">
        <v>20</v>
      </c>
      <c r="AK84" s="15">
        <v>4.8999999999999932E-2</v>
      </c>
      <c r="AL84" s="13"/>
      <c r="AM84" s="93">
        <f t="shared" si="0"/>
        <v>34.4</v>
      </c>
      <c r="AN84" s="687"/>
      <c r="AO84" s="213"/>
      <c r="CJ84" s="921"/>
      <c r="CT84" s="35"/>
      <c r="CU84" s="70" t="s">
        <v>2032</v>
      </c>
      <c r="CV84" s="71">
        <f t="shared" si="1"/>
        <v>46298</v>
      </c>
      <c r="CW84" s="72" t="str">
        <f>$CT$3&amp;B84</f>
        <v>9AG-158</v>
      </c>
      <c r="CX84" s="73" t="str">
        <f t="shared" si="83"/>
        <v>NO P.CK</v>
      </c>
      <c r="CY84" s="73">
        <f t="shared" si="83"/>
        <v>230</v>
      </c>
      <c r="CZ84" s="73">
        <f>E84</f>
        <v>24</v>
      </c>
      <c r="DA84" s="73" t="str">
        <f>IF(CZ84=0,"SI",D84)</f>
        <v>G/L</v>
      </c>
      <c r="DB84" s="73"/>
      <c r="DC84" s="368">
        <f>E84*((H84*1000)/24)</f>
        <v>1000</v>
      </c>
      <c r="DD84" s="73">
        <f>N84</f>
        <v>0</v>
      </c>
      <c r="DE84" s="73">
        <f t="shared" si="88"/>
        <v>0</v>
      </c>
      <c r="DF84" s="73">
        <f t="shared" si="88"/>
        <v>0</v>
      </c>
      <c r="DG84" s="73">
        <f t="shared" si="88"/>
        <v>0</v>
      </c>
      <c r="DH84" s="73">
        <f>Z84</f>
        <v>0</v>
      </c>
      <c r="DI84" s="73">
        <f>AD84</f>
        <v>0</v>
      </c>
      <c r="DJ84" s="73"/>
      <c r="DK84" s="73"/>
      <c r="DL84" s="73">
        <f>AE84</f>
        <v>0</v>
      </c>
      <c r="DM84" s="215">
        <f>AG84</f>
        <v>34.4</v>
      </c>
      <c r="DN84" s="73" t="str">
        <f>IF(G84="","",G84)</f>
        <v/>
      </c>
      <c r="DO84" s="73">
        <f>AM84/24*HOURS</f>
        <v>34.4</v>
      </c>
      <c r="DP84" s="85" t="str">
        <f>IF(OR(D84="SI",B84="",D84="T&amp;A"),"",VLOOKUP(B84,WELL_FIELD,2))</f>
        <v>SAG</v>
      </c>
      <c r="EB84" s="70" t="str">
        <f>IF(B84="","","KHALDA_WELL")</f>
        <v>KHALDA_WELL</v>
      </c>
      <c r="EC84" s="71">
        <f t="shared" si="4"/>
        <v>46298</v>
      </c>
      <c r="ED84" s="72" t="str">
        <f>B84</f>
        <v>AG-158</v>
      </c>
      <c r="EE84" s="73" t="str">
        <f>I84</f>
        <v>NO P.CK</v>
      </c>
      <c r="EF84" s="73">
        <f>J84</f>
        <v>230</v>
      </c>
      <c r="EG84" s="73">
        <f>E84</f>
        <v>24</v>
      </c>
      <c r="EH84" s="73" t="str">
        <f>IF(CZ84=0,"SI",D84)</f>
        <v>G/L</v>
      </c>
      <c r="EI84" s="73"/>
      <c r="EJ84" s="72"/>
      <c r="EK84" s="72" t="str">
        <f>IF(G84="","",G84)</f>
        <v/>
      </c>
      <c r="EL84" s="73">
        <f>AJ84</f>
        <v>20</v>
      </c>
      <c r="EM84" s="213">
        <f>W84</f>
        <v>0</v>
      </c>
      <c r="EN84" s="73"/>
      <c r="EO84" s="73"/>
      <c r="EQ84" s="73">
        <f>Y84</f>
        <v>0</v>
      </c>
      <c r="ER84" s="73">
        <f>Z84</f>
        <v>0</v>
      </c>
      <c r="ES84" s="73">
        <f>X84</f>
        <v>0</v>
      </c>
      <c r="ET84" s="73">
        <f>AD84</f>
        <v>0</v>
      </c>
      <c r="EU84" s="73"/>
      <c r="EV84" s="73"/>
      <c r="EX84" s="3">
        <f>AE84</f>
        <v>0</v>
      </c>
      <c r="EY84" s="73"/>
      <c r="EZ84" s="73">
        <f t="shared" ref="EZ84:FB85" si="95">S84</f>
        <v>0</v>
      </c>
      <c r="FA84" s="73">
        <f t="shared" si="95"/>
        <v>0</v>
      </c>
      <c r="FB84" s="73">
        <f t="shared" si="95"/>
        <v>0</v>
      </c>
      <c r="FC84" s="73"/>
      <c r="FD84" s="73">
        <f>AN84</f>
        <v>0</v>
      </c>
    </row>
    <row r="85" spans="2:160" s="3" customFormat="1" ht="16.5" customHeight="1">
      <c r="B85" s="316" t="s">
        <v>2630</v>
      </c>
      <c r="C85" s="317" t="s">
        <v>272</v>
      </c>
      <c r="D85" s="317" t="s">
        <v>1301</v>
      </c>
      <c r="E85" s="991">
        <v>24</v>
      </c>
      <c r="F85" s="951">
        <f t="shared" si="61"/>
        <v>0</v>
      </c>
      <c r="G85" s="48"/>
      <c r="H85" s="981">
        <v>1.39</v>
      </c>
      <c r="I85" s="48" t="s">
        <v>2335</v>
      </c>
      <c r="J85" s="48">
        <v>110</v>
      </c>
      <c r="K85" s="48">
        <v>100</v>
      </c>
      <c r="L85" s="48">
        <v>460</v>
      </c>
      <c r="M85" s="22"/>
      <c r="N85" s="140"/>
      <c r="O85" s="748"/>
      <c r="P85" s="48"/>
      <c r="Q85" s="48"/>
      <c r="R85" s="48"/>
      <c r="S85" s="886"/>
      <c r="T85" s="886"/>
      <c r="U85" s="886"/>
      <c r="V85" s="140"/>
      <c r="W85" s="140"/>
      <c r="X85" s="48"/>
      <c r="Y85" s="140"/>
      <c r="Z85" s="748"/>
      <c r="AA85" s="48"/>
      <c r="AB85" s="48"/>
      <c r="AC85" s="48"/>
      <c r="AD85" s="886"/>
      <c r="AE85" s="886"/>
      <c r="AF85" s="532"/>
      <c r="AG85" s="531">
        <f t="shared" si="81"/>
        <v>169.29</v>
      </c>
      <c r="AH85" s="304">
        <v>46289</v>
      </c>
      <c r="AI85" s="13">
        <v>171</v>
      </c>
      <c r="AJ85" s="15">
        <v>1</v>
      </c>
      <c r="AK85" s="15">
        <v>2.3999999999999799E-2</v>
      </c>
      <c r="AL85" s="13"/>
      <c r="AM85" s="93">
        <f t="shared" si="0"/>
        <v>169.29</v>
      </c>
      <c r="AN85" s="687"/>
      <c r="AO85" s="213"/>
      <c r="CJ85" s="921"/>
      <c r="CT85" s="35"/>
      <c r="CU85" s="70" t="s">
        <v>2083</v>
      </c>
      <c r="CV85" s="71">
        <f t="shared" si="1"/>
        <v>46298</v>
      </c>
      <c r="CW85" s="72" t="str">
        <f>$CT$3&amp;B85</f>
        <v>9AG-351</v>
      </c>
      <c r="CX85" s="73" t="str">
        <f>I85</f>
        <v>NO P.CK</v>
      </c>
      <c r="CY85" s="73">
        <f>J85</f>
        <v>110</v>
      </c>
      <c r="CZ85" s="73">
        <f>E85</f>
        <v>24</v>
      </c>
      <c r="DA85" s="73" t="str">
        <f>IF(CZ85=0,"SI",D85)</f>
        <v>G/L</v>
      </c>
      <c r="DB85" s="73"/>
      <c r="DC85" s="368">
        <f>E85*((H85*1000)/24)</f>
        <v>1390</v>
      </c>
      <c r="DD85" s="73">
        <f>N85</f>
        <v>0</v>
      </c>
      <c r="DE85" s="73">
        <f>V85</f>
        <v>0</v>
      </c>
      <c r="DF85" s="73">
        <f>W85</f>
        <v>0</v>
      </c>
      <c r="DG85" s="73">
        <f>X85</f>
        <v>0</v>
      </c>
      <c r="DH85" s="73">
        <f>Z85</f>
        <v>0</v>
      </c>
      <c r="DI85" s="73">
        <f>AD85</f>
        <v>0</v>
      </c>
      <c r="DJ85" s="73"/>
      <c r="DK85" s="73"/>
      <c r="DL85" s="73">
        <f>AE85</f>
        <v>0</v>
      </c>
      <c r="DM85" s="215">
        <f>AG85</f>
        <v>169.29</v>
      </c>
      <c r="DN85" s="73" t="str">
        <f>IF(G85="","",G85)</f>
        <v/>
      </c>
      <c r="DO85" s="73">
        <f>AM85/24*HOURS</f>
        <v>169.29</v>
      </c>
      <c r="DP85" s="85" t="str">
        <f>IF(OR(D85="SI",B85="",D85="T&amp;A"),"",VLOOKUP(B85,WELL_FIELD,2))</f>
        <v>AG</v>
      </c>
      <c r="EB85" s="70" t="str">
        <f>IF(B85="","","KHALDA_WELL")</f>
        <v>KHALDA_WELL</v>
      </c>
      <c r="EC85" s="71">
        <f t="shared" si="4"/>
        <v>46298</v>
      </c>
      <c r="ED85" s="72" t="str">
        <f>B85</f>
        <v>AG-351</v>
      </c>
      <c r="EE85" s="73" t="str">
        <f>I85</f>
        <v>NO P.CK</v>
      </c>
      <c r="EF85" s="73">
        <f>J85</f>
        <v>110</v>
      </c>
      <c r="EG85" s="73">
        <f>E85</f>
        <v>24</v>
      </c>
      <c r="EH85" s="73" t="str">
        <f>IF(CZ85=0,"SI",D85)</f>
        <v>G/L</v>
      </c>
      <c r="EI85" s="73"/>
      <c r="EJ85" s="72"/>
      <c r="EK85" s="72" t="str">
        <f>IF(G85="","",G85)</f>
        <v/>
      </c>
      <c r="EL85" s="73">
        <f>AJ85</f>
        <v>1</v>
      </c>
      <c r="EM85" s="213">
        <f>W85</f>
        <v>0</v>
      </c>
      <c r="EN85" s="73"/>
      <c r="EO85" s="73"/>
      <c r="EQ85" s="73">
        <f>Y85</f>
        <v>0</v>
      </c>
      <c r="ER85" s="73">
        <f>Z85</f>
        <v>0</v>
      </c>
      <c r="ES85" s="73">
        <f>X85</f>
        <v>0</v>
      </c>
      <c r="ET85" s="73">
        <f>AD85</f>
        <v>0</v>
      </c>
      <c r="EU85" s="73"/>
      <c r="EV85" s="73"/>
      <c r="EX85" s="3">
        <f>AE85</f>
        <v>0</v>
      </c>
      <c r="EY85" s="73"/>
      <c r="EZ85" s="73">
        <f t="shared" si="95"/>
        <v>0</v>
      </c>
      <c r="FA85" s="73">
        <f t="shared" si="95"/>
        <v>0</v>
      </c>
      <c r="FB85" s="73">
        <f t="shared" si="95"/>
        <v>0</v>
      </c>
      <c r="FC85" s="73"/>
      <c r="FD85" s="73">
        <f>AN85</f>
        <v>0</v>
      </c>
    </row>
    <row r="86" spans="2:160" s="3" customFormat="1" ht="16.5" customHeight="1">
      <c r="B86" s="316" t="s">
        <v>2374</v>
      </c>
      <c r="C86" s="317" t="s">
        <v>1315</v>
      </c>
      <c r="D86" s="317" t="s">
        <v>18</v>
      </c>
      <c r="E86" s="991">
        <v>0</v>
      </c>
      <c r="F86" s="951">
        <f t="shared" si="61"/>
        <v>0</v>
      </c>
      <c r="G86" s="48"/>
      <c r="H86" s="981">
        <v>0</v>
      </c>
      <c r="I86" s="48" t="s">
        <v>255</v>
      </c>
      <c r="J86" s="48">
        <v>0</v>
      </c>
      <c r="K86" s="48">
        <v>0</v>
      </c>
      <c r="L86" s="48">
        <v>0</v>
      </c>
      <c r="M86" s="22"/>
      <c r="N86" s="140"/>
      <c r="O86" s="748"/>
      <c r="P86" s="48"/>
      <c r="Q86" s="48"/>
      <c r="R86" s="48"/>
      <c r="S86" s="886"/>
      <c r="T86" s="886"/>
      <c r="U86" s="886"/>
      <c r="V86" s="140"/>
      <c r="W86" s="140"/>
      <c r="X86" s="48"/>
      <c r="Y86" s="140"/>
      <c r="Z86" s="748"/>
      <c r="AA86" s="48"/>
      <c r="AB86" s="48"/>
      <c r="AC86" s="48"/>
      <c r="AD86" s="886"/>
      <c r="AE86" s="886"/>
      <c r="AF86" s="532">
        <f t="shared" si="80"/>
        <v>0</v>
      </c>
      <c r="AG86" s="531">
        <f t="shared" si="81"/>
        <v>0</v>
      </c>
      <c r="AH86" s="304">
        <v>45863</v>
      </c>
      <c r="AI86" s="13">
        <v>752</v>
      </c>
      <c r="AJ86" s="15">
        <v>96</v>
      </c>
      <c r="AK86" s="15">
        <v>0.23699999999999988</v>
      </c>
      <c r="AL86" s="13"/>
      <c r="AM86" s="93">
        <f t="shared" ref="AM86:AM94" si="96">IF(BFPD=0,0,BFPD*(1-BSW/100))</f>
        <v>30.080000000000027</v>
      </c>
      <c r="AN86" s="687"/>
      <c r="AO86" s="213"/>
      <c r="CJ86" s="921">
        <f t="shared" si="62"/>
        <v>0</v>
      </c>
      <c r="CT86" s="35"/>
      <c r="CU86" s="70" t="s">
        <v>2032</v>
      </c>
      <c r="CV86" s="71">
        <f t="shared" si="1"/>
        <v>46298</v>
      </c>
      <c r="CW86" s="72" t="str">
        <f t="shared" si="82"/>
        <v>9Bolt-Nail-03-01</v>
      </c>
      <c r="CX86" s="73" t="str">
        <f t="shared" si="83"/>
        <v>OPEN</v>
      </c>
      <c r="CY86" s="73">
        <f t="shared" si="83"/>
        <v>0</v>
      </c>
      <c r="CZ86" s="73">
        <f t="shared" si="84"/>
        <v>0</v>
      </c>
      <c r="DA86" s="73" t="str">
        <f t="shared" si="85"/>
        <v>SI</v>
      </c>
      <c r="DB86" s="73"/>
      <c r="DC86" s="368">
        <f t="shared" si="86"/>
        <v>0</v>
      </c>
      <c r="DD86" s="73">
        <f t="shared" si="87"/>
        <v>0</v>
      </c>
      <c r="DE86" s="73">
        <f t="shared" si="88"/>
        <v>0</v>
      </c>
      <c r="DF86" s="73">
        <f t="shared" si="88"/>
        <v>0</v>
      </c>
      <c r="DG86" s="73">
        <f t="shared" si="88"/>
        <v>0</v>
      </c>
      <c r="DH86" s="73">
        <f t="shared" si="89"/>
        <v>0</v>
      </c>
      <c r="DI86" s="73">
        <f t="shared" si="90"/>
        <v>0</v>
      </c>
      <c r="DJ86" s="73"/>
      <c r="DK86" s="73"/>
      <c r="DL86" s="73">
        <f t="shared" si="91"/>
        <v>0</v>
      </c>
      <c r="DM86" s="215">
        <f t="shared" si="92"/>
        <v>0</v>
      </c>
      <c r="DN86" s="73" t="str">
        <f t="shared" si="93"/>
        <v/>
      </c>
      <c r="DO86" s="73">
        <f t="shared" si="94"/>
        <v>0</v>
      </c>
      <c r="DP86" s="85" t="str">
        <f t="shared" ref="DP86:DP92" si="97">IF(OR(D86="SI",B86="",D86="T&amp;A"),"",VLOOKUP(B86,WELL_FIELD,2,FALSE))</f>
        <v/>
      </c>
      <c r="EB86" s="70" t="str">
        <f t="shared" si="43"/>
        <v>KHALDA_WELL</v>
      </c>
      <c r="EC86" s="71">
        <f t="shared" si="4"/>
        <v>46298</v>
      </c>
      <c r="ED86" s="72" t="str">
        <f t="shared" si="44"/>
        <v>Bolt-Nail-03-01</v>
      </c>
      <c r="EE86" s="73" t="str">
        <f t="shared" si="45"/>
        <v>OPEN</v>
      </c>
      <c r="EF86" s="73">
        <f t="shared" si="46"/>
        <v>0</v>
      </c>
      <c r="EG86" s="73">
        <f t="shared" si="47"/>
        <v>0</v>
      </c>
      <c r="EH86" s="73" t="str">
        <f t="shared" si="48"/>
        <v>SI</v>
      </c>
      <c r="EI86" s="73"/>
      <c r="EJ86" s="72"/>
      <c r="EK86" s="72" t="str">
        <f t="shared" si="49"/>
        <v/>
      </c>
      <c r="EL86" s="73">
        <f t="shared" si="50"/>
        <v>96</v>
      </c>
      <c r="EM86" s="213">
        <f t="shared" si="51"/>
        <v>0</v>
      </c>
      <c r="EN86" s="73"/>
      <c r="EO86" s="73"/>
      <c r="EQ86" s="73">
        <f t="shared" si="52"/>
        <v>0</v>
      </c>
      <c r="ER86" s="73">
        <f t="shared" si="53"/>
        <v>0</v>
      </c>
      <c r="ES86" s="73">
        <f t="shared" si="54"/>
        <v>0</v>
      </c>
      <c r="ET86" s="73">
        <f t="shared" si="55"/>
        <v>0</v>
      </c>
      <c r="EU86" s="73"/>
      <c r="EV86" s="73"/>
      <c r="EX86" s="3">
        <f t="shared" si="56"/>
        <v>0</v>
      </c>
      <c r="EY86" s="73"/>
      <c r="EZ86" s="73">
        <f t="shared" si="57"/>
        <v>0</v>
      </c>
      <c r="FA86" s="73">
        <f t="shared" si="58"/>
        <v>0</v>
      </c>
      <c r="FB86" s="73">
        <f t="shared" si="59"/>
        <v>0</v>
      </c>
      <c r="FC86" s="73"/>
      <c r="FD86" s="73">
        <f t="shared" si="60"/>
        <v>0</v>
      </c>
    </row>
    <row r="87" spans="2:160" s="3" customFormat="1" ht="15.75" customHeight="1">
      <c r="B87" s="316" t="s">
        <v>2350</v>
      </c>
      <c r="C87" s="317" t="s">
        <v>272</v>
      </c>
      <c r="D87" s="317" t="s">
        <v>3</v>
      </c>
      <c r="E87" s="991">
        <v>24</v>
      </c>
      <c r="F87" s="951">
        <f t="shared" si="61"/>
        <v>0</v>
      </c>
      <c r="G87" s="48"/>
      <c r="H87" s="981"/>
      <c r="I87" s="48" t="s">
        <v>255</v>
      </c>
      <c r="J87" s="48">
        <v>150</v>
      </c>
      <c r="K87" s="48">
        <v>150</v>
      </c>
      <c r="L87" s="48">
        <v>0</v>
      </c>
      <c r="M87" s="22"/>
      <c r="N87" s="140"/>
      <c r="O87" s="748"/>
      <c r="P87" s="48"/>
      <c r="Q87" s="48"/>
      <c r="R87" s="48"/>
      <c r="S87" s="886"/>
      <c r="T87" s="886"/>
      <c r="U87" s="886"/>
      <c r="V87" s="140"/>
      <c r="W87" s="140"/>
      <c r="X87" s="48"/>
      <c r="Y87" s="140"/>
      <c r="Z87" s="748"/>
      <c r="AA87" s="48"/>
      <c r="AB87" s="48"/>
      <c r="AC87" s="48"/>
      <c r="AD87" s="886">
        <v>39</v>
      </c>
      <c r="AE87" s="886">
        <v>50.2</v>
      </c>
      <c r="AF87" s="532">
        <f t="shared" si="80"/>
        <v>0</v>
      </c>
      <c r="AG87" s="531">
        <f t="shared" si="81"/>
        <v>29.294999999999867</v>
      </c>
      <c r="AH87" s="304">
        <v>46292</v>
      </c>
      <c r="AI87" s="13">
        <v>1395</v>
      </c>
      <c r="AJ87" s="15">
        <v>97.9</v>
      </c>
      <c r="AK87" s="15">
        <v>0</v>
      </c>
      <c r="AL87" s="13">
        <v>104000</v>
      </c>
      <c r="AM87" s="93">
        <f t="shared" si="96"/>
        <v>29.29499999999987</v>
      </c>
      <c r="AN87" s="687"/>
      <c r="AO87" s="213"/>
      <c r="CJ87" s="921"/>
      <c r="CT87" s="35"/>
      <c r="CU87" s="70" t="s">
        <v>2083</v>
      </c>
      <c r="CV87" s="71">
        <f t="shared" si="1"/>
        <v>46298</v>
      </c>
      <c r="CW87" s="72" t="str">
        <f t="shared" si="82"/>
        <v>9BOLT-12-02</v>
      </c>
      <c r="CX87" s="73" t="str">
        <f t="shared" si="83"/>
        <v>OPEN</v>
      </c>
      <c r="CY87" s="73">
        <f t="shared" si="83"/>
        <v>150</v>
      </c>
      <c r="CZ87" s="73">
        <f t="shared" si="84"/>
        <v>24</v>
      </c>
      <c r="DA87" s="73" t="str">
        <f t="shared" si="85"/>
        <v>ESP</v>
      </c>
      <c r="DB87" s="73"/>
      <c r="DC87" s="368">
        <f t="shared" si="86"/>
        <v>0</v>
      </c>
      <c r="DD87" s="73">
        <f t="shared" si="87"/>
        <v>0</v>
      </c>
      <c r="DE87" s="73">
        <f t="shared" si="88"/>
        <v>0</v>
      </c>
      <c r="DF87" s="73">
        <f t="shared" si="88"/>
        <v>0</v>
      </c>
      <c r="DG87" s="73">
        <f t="shared" si="88"/>
        <v>0</v>
      </c>
      <c r="DH87" s="73">
        <f t="shared" si="89"/>
        <v>0</v>
      </c>
      <c r="DI87" s="73">
        <f t="shared" si="90"/>
        <v>39</v>
      </c>
      <c r="DJ87" s="73"/>
      <c r="DK87" s="73"/>
      <c r="DL87" s="73">
        <f t="shared" si="91"/>
        <v>50.2</v>
      </c>
      <c r="DM87" s="215">
        <f t="shared" si="92"/>
        <v>29.294999999999867</v>
      </c>
      <c r="DN87" s="73" t="str">
        <f t="shared" si="93"/>
        <v/>
      </c>
      <c r="DO87" s="73">
        <f t="shared" si="94"/>
        <v>29.294999999999867</v>
      </c>
      <c r="DP87" s="85" t="str">
        <f t="shared" si="97"/>
        <v>BOLT</v>
      </c>
      <c r="EB87" s="70" t="str">
        <f t="shared" si="43"/>
        <v>KHALDA_WELL</v>
      </c>
      <c r="EC87" s="71">
        <f t="shared" si="4"/>
        <v>46298</v>
      </c>
      <c r="ED87" s="72" t="str">
        <f t="shared" si="44"/>
        <v>BOLT-12-02</v>
      </c>
      <c r="EE87" s="73" t="str">
        <f t="shared" si="45"/>
        <v>OPEN</v>
      </c>
      <c r="EF87" s="73">
        <f t="shared" si="46"/>
        <v>150</v>
      </c>
      <c r="EG87" s="73">
        <f t="shared" si="47"/>
        <v>24</v>
      </c>
      <c r="EH87" s="73" t="str">
        <f t="shared" si="48"/>
        <v>ESP</v>
      </c>
      <c r="EI87" s="73"/>
      <c r="EJ87" s="72"/>
      <c r="EK87" s="72" t="str">
        <f t="shared" si="49"/>
        <v/>
      </c>
      <c r="EL87" s="73">
        <f t="shared" si="50"/>
        <v>97.9</v>
      </c>
      <c r="EM87" s="213">
        <f t="shared" si="51"/>
        <v>0</v>
      </c>
      <c r="EN87" s="73"/>
      <c r="EO87" s="73"/>
      <c r="EQ87" s="73">
        <f t="shared" si="52"/>
        <v>0</v>
      </c>
      <c r="ER87" s="73">
        <f t="shared" si="53"/>
        <v>0</v>
      </c>
      <c r="ES87" s="73">
        <f t="shared" si="54"/>
        <v>0</v>
      </c>
      <c r="ET87" s="73">
        <f t="shared" si="55"/>
        <v>39</v>
      </c>
      <c r="EU87" s="73"/>
      <c r="EV87" s="73"/>
      <c r="EX87" s="3">
        <f t="shared" si="56"/>
        <v>50.2</v>
      </c>
      <c r="EY87" s="73"/>
      <c r="EZ87" s="73">
        <f t="shared" si="57"/>
        <v>0</v>
      </c>
      <c r="FA87" s="73">
        <f t="shared" si="58"/>
        <v>0</v>
      </c>
      <c r="FB87" s="73">
        <f t="shared" si="59"/>
        <v>0</v>
      </c>
      <c r="FC87" s="73"/>
      <c r="FD87" s="73">
        <f t="shared" si="60"/>
        <v>0</v>
      </c>
    </row>
    <row r="88" spans="2:160" s="3" customFormat="1" ht="14.25" customHeight="1">
      <c r="B88" s="316" t="s">
        <v>2268</v>
      </c>
      <c r="C88" s="317" t="s">
        <v>1305</v>
      </c>
      <c r="D88" s="317" t="s">
        <v>1301</v>
      </c>
      <c r="E88" s="991">
        <v>24</v>
      </c>
      <c r="F88" s="951">
        <f t="shared" si="61"/>
        <v>0</v>
      </c>
      <c r="G88" s="48"/>
      <c r="H88" s="981">
        <v>1.3720678022023183</v>
      </c>
      <c r="I88" s="48" t="s">
        <v>2335</v>
      </c>
      <c r="J88" s="48">
        <v>270</v>
      </c>
      <c r="K88" s="48">
        <v>270</v>
      </c>
      <c r="L88" s="48">
        <v>510</v>
      </c>
      <c r="M88" s="22"/>
      <c r="N88" s="140"/>
      <c r="O88" s="748"/>
      <c r="P88" s="48"/>
      <c r="Q88" s="48"/>
      <c r="R88" s="48"/>
      <c r="S88" s="886"/>
      <c r="T88" s="886"/>
      <c r="U88" s="886"/>
      <c r="V88" s="140"/>
      <c r="W88" s="140"/>
      <c r="X88" s="48"/>
      <c r="Y88" s="140"/>
      <c r="Z88" s="748"/>
      <c r="AA88" s="48"/>
      <c r="AB88" s="48"/>
      <c r="AC88" s="48"/>
      <c r="AD88" s="886"/>
      <c r="AE88" s="886"/>
      <c r="AF88" s="532">
        <f t="shared" si="80"/>
        <v>0.247</v>
      </c>
      <c r="AG88" s="531">
        <f t="shared" si="81"/>
        <v>93.06</v>
      </c>
      <c r="AH88" s="304">
        <v>46286</v>
      </c>
      <c r="AI88" s="13">
        <v>94</v>
      </c>
      <c r="AJ88" s="15">
        <v>1</v>
      </c>
      <c r="AK88" s="15">
        <v>0.247</v>
      </c>
      <c r="AL88" s="13"/>
      <c r="AM88" s="93">
        <f t="shared" si="96"/>
        <v>93.06</v>
      </c>
      <c r="AN88" s="687"/>
      <c r="AO88" s="213"/>
      <c r="CJ88" s="921">
        <f t="shared" si="62"/>
        <v>0.94</v>
      </c>
      <c r="CT88" s="35"/>
      <c r="CU88" s="70" t="s">
        <v>2033</v>
      </c>
      <c r="CV88" s="71">
        <f t="shared" si="1"/>
        <v>46298</v>
      </c>
      <c r="CW88" s="72" t="str">
        <f t="shared" si="82"/>
        <v>9NEAG-02</v>
      </c>
      <c r="CX88" s="73" t="str">
        <f t="shared" si="83"/>
        <v>NO P.CK</v>
      </c>
      <c r="CY88" s="73">
        <f t="shared" si="83"/>
        <v>270</v>
      </c>
      <c r="CZ88" s="73">
        <f t="shared" si="84"/>
        <v>24</v>
      </c>
      <c r="DA88" s="73" t="str">
        <f t="shared" si="85"/>
        <v>G/L</v>
      </c>
      <c r="DB88" s="73"/>
      <c r="DC88" s="368">
        <f t="shared" si="86"/>
        <v>1372.0678022023183</v>
      </c>
      <c r="DD88" s="73">
        <f t="shared" si="87"/>
        <v>0</v>
      </c>
      <c r="DE88" s="73">
        <f t="shared" si="88"/>
        <v>0</v>
      </c>
      <c r="DF88" s="73">
        <f t="shared" si="88"/>
        <v>0</v>
      </c>
      <c r="DG88" s="73">
        <f t="shared" si="88"/>
        <v>0</v>
      </c>
      <c r="DH88" s="73">
        <f t="shared" si="89"/>
        <v>0</v>
      </c>
      <c r="DI88" s="73">
        <f t="shared" si="90"/>
        <v>0</v>
      </c>
      <c r="DJ88" s="73"/>
      <c r="DK88" s="73"/>
      <c r="DL88" s="73">
        <f t="shared" si="91"/>
        <v>0</v>
      </c>
      <c r="DM88" s="215">
        <f t="shared" si="92"/>
        <v>93.06</v>
      </c>
      <c r="DN88" s="73" t="str">
        <f t="shared" si="93"/>
        <v/>
      </c>
      <c r="DO88" s="73">
        <f t="shared" si="94"/>
        <v>93.06</v>
      </c>
      <c r="DP88" s="85" t="str">
        <f t="shared" si="97"/>
        <v>NEAG</v>
      </c>
      <c r="EB88" s="70" t="str">
        <f t="shared" si="43"/>
        <v>KHALDA_WELL</v>
      </c>
      <c r="EC88" s="71">
        <f t="shared" si="4"/>
        <v>46298</v>
      </c>
      <c r="ED88" s="72" t="str">
        <f t="shared" si="44"/>
        <v>NEAG-02</v>
      </c>
      <c r="EE88" s="73" t="str">
        <f t="shared" si="45"/>
        <v>NO P.CK</v>
      </c>
      <c r="EF88" s="73">
        <f t="shared" si="46"/>
        <v>270</v>
      </c>
      <c r="EG88" s="73">
        <f t="shared" si="47"/>
        <v>24</v>
      </c>
      <c r="EH88" s="73" t="str">
        <f t="shared" si="48"/>
        <v>G/L</v>
      </c>
      <c r="EI88" s="73"/>
      <c r="EJ88" s="72"/>
      <c r="EK88" s="72" t="str">
        <f t="shared" si="49"/>
        <v/>
      </c>
      <c r="EL88" s="73">
        <f t="shared" si="50"/>
        <v>1</v>
      </c>
      <c r="EM88" s="213">
        <f t="shared" si="51"/>
        <v>0</v>
      </c>
      <c r="EN88" s="73"/>
      <c r="EO88" s="73"/>
      <c r="EQ88" s="73">
        <f t="shared" si="52"/>
        <v>0</v>
      </c>
      <c r="ER88" s="73">
        <f t="shared" si="53"/>
        <v>0</v>
      </c>
      <c r="ES88" s="73">
        <f t="shared" si="54"/>
        <v>0</v>
      </c>
      <c r="ET88" s="73">
        <f t="shared" si="55"/>
        <v>0</v>
      </c>
      <c r="EU88" s="73"/>
      <c r="EV88" s="73"/>
      <c r="EX88" s="3">
        <f t="shared" si="56"/>
        <v>0</v>
      </c>
      <c r="EY88" s="73"/>
      <c r="EZ88" s="73">
        <f t="shared" si="57"/>
        <v>0</v>
      </c>
      <c r="FA88" s="73">
        <f t="shared" si="58"/>
        <v>0</v>
      </c>
      <c r="FB88" s="73">
        <f t="shared" si="59"/>
        <v>0</v>
      </c>
      <c r="FC88" s="73"/>
      <c r="FD88" s="73">
        <f t="shared" si="60"/>
        <v>0</v>
      </c>
    </row>
    <row r="89" spans="2:160" s="3" customFormat="1" ht="14.25" customHeight="1">
      <c r="B89" s="316" t="s">
        <v>1313</v>
      </c>
      <c r="C89" s="317" t="s">
        <v>1307</v>
      </c>
      <c r="D89" s="317" t="s">
        <v>18</v>
      </c>
      <c r="E89" s="991">
        <v>0</v>
      </c>
      <c r="F89" s="951">
        <f t="shared" si="61"/>
        <v>0</v>
      </c>
      <c r="G89" s="48"/>
      <c r="H89" s="981">
        <v>0</v>
      </c>
      <c r="I89" s="48" t="s">
        <v>2335</v>
      </c>
      <c r="J89" s="48">
        <v>0</v>
      </c>
      <c r="K89" s="48">
        <v>0</v>
      </c>
      <c r="L89" s="48">
        <v>0</v>
      </c>
      <c r="M89" s="22"/>
      <c r="N89" s="140"/>
      <c r="O89" s="748"/>
      <c r="P89" s="48"/>
      <c r="Q89" s="48"/>
      <c r="R89" s="48"/>
      <c r="S89" s="886"/>
      <c r="T89" s="886"/>
      <c r="U89" s="886"/>
      <c r="V89" s="140"/>
      <c r="W89" s="140"/>
      <c r="X89" s="48"/>
      <c r="Y89" s="140"/>
      <c r="Z89" s="748"/>
      <c r="AA89" s="48"/>
      <c r="AB89" s="48"/>
      <c r="AC89" s="48"/>
      <c r="AD89" s="886"/>
      <c r="AE89" s="886"/>
      <c r="AF89" s="532">
        <f>AK89/24*E89</f>
        <v>0</v>
      </c>
      <c r="AG89" s="531">
        <f>AM89/24*E89</f>
        <v>0</v>
      </c>
      <c r="AH89" s="304">
        <v>46264</v>
      </c>
      <c r="AI89" s="13">
        <v>37</v>
      </c>
      <c r="AJ89" s="15">
        <v>1</v>
      </c>
      <c r="AK89" s="15">
        <v>4.0000000000000036E-3</v>
      </c>
      <c r="AL89" s="13"/>
      <c r="AM89" s="93">
        <f t="shared" si="96"/>
        <v>36.630000000000003</v>
      </c>
      <c r="AN89" s="687"/>
      <c r="AO89" s="213"/>
      <c r="CJ89" s="921"/>
      <c r="CT89" s="35"/>
      <c r="CU89" s="70" t="s">
        <v>2034</v>
      </c>
      <c r="CV89" s="71">
        <f t="shared" si="1"/>
        <v>46298</v>
      </c>
      <c r="CW89" s="72" t="str">
        <f>$CT$3&amp;B89</f>
        <v>9NEAG-01</v>
      </c>
      <c r="CX89" s="73" t="str">
        <f t="shared" ref="CX89:CY92" si="98">I89</f>
        <v>NO P.CK</v>
      </c>
      <c r="CY89" s="73">
        <f t="shared" si="98"/>
        <v>0</v>
      </c>
      <c r="CZ89" s="73">
        <f>E89</f>
        <v>0</v>
      </c>
      <c r="DA89" s="73" t="str">
        <f>IF(CZ89=0,"SI",D89)</f>
        <v>SI</v>
      </c>
      <c r="DB89" s="73"/>
      <c r="DC89" s="368">
        <f>E89*((H89*1000)/24)</f>
        <v>0</v>
      </c>
      <c r="DD89" s="73">
        <f>N89</f>
        <v>0</v>
      </c>
      <c r="DE89" s="73">
        <f t="shared" ref="DE89:DG92" si="99">V89</f>
        <v>0</v>
      </c>
      <c r="DF89" s="73">
        <f t="shared" si="99"/>
        <v>0</v>
      </c>
      <c r="DG89" s="73">
        <f t="shared" si="99"/>
        <v>0</v>
      </c>
      <c r="DH89" s="73">
        <f>Z89</f>
        <v>0</v>
      </c>
      <c r="DI89" s="73">
        <f>AD89</f>
        <v>0</v>
      </c>
      <c r="DJ89" s="73"/>
      <c r="DK89" s="73"/>
      <c r="DL89" s="73">
        <f>AE89</f>
        <v>0</v>
      </c>
      <c r="DM89" s="215">
        <f>AG89</f>
        <v>0</v>
      </c>
      <c r="DN89" s="73" t="str">
        <f>IF(G89="","",G89)</f>
        <v/>
      </c>
      <c r="DO89" s="73">
        <f>AM89/24*HOURS</f>
        <v>0</v>
      </c>
      <c r="DP89" s="85" t="str">
        <f t="shared" si="97"/>
        <v/>
      </c>
      <c r="EB89" s="70" t="str">
        <f>IF(B89="","","KHALDA_WELL")</f>
        <v>KHALDA_WELL</v>
      </c>
      <c r="EC89" s="71">
        <f t="shared" si="4"/>
        <v>46298</v>
      </c>
      <c r="ED89" s="72" t="str">
        <f>B89</f>
        <v>NEAG-01</v>
      </c>
      <c r="EE89" s="73" t="str">
        <f t="shared" ref="EE89:EF91" si="100">I89</f>
        <v>NO P.CK</v>
      </c>
      <c r="EF89" s="73">
        <f t="shared" si="100"/>
        <v>0</v>
      </c>
      <c r="EG89" s="73">
        <f>E89</f>
        <v>0</v>
      </c>
      <c r="EH89" s="73" t="str">
        <f>IF(CZ89=0,"SI",D89)</f>
        <v>SI</v>
      </c>
      <c r="EI89" s="73"/>
      <c r="EJ89" s="72"/>
      <c r="EK89" s="72" t="str">
        <f>IF(G89="","",G89)</f>
        <v/>
      </c>
      <c r="EL89" s="73">
        <f>AJ89</f>
        <v>1</v>
      </c>
      <c r="EM89" s="213">
        <f>W89</f>
        <v>0</v>
      </c>
      <c r="EN89" s="73"/>
      <c r="EO89" s="73"/>
      <c r="EQ89" s="73">
        <f t="shared" ref="EQ89:ER91" si="101">Y89</f>
        <v>0</v>
      </c>
      <c r="ER89" s="73">
        <f t="shared" si="101"/>
        <v>0</v>
      </c>
      <c r="ES89" s="73">
        <f>X89</f>
        <v>0</v>
      </c>
      <c r="ET89" s="73">
        <f>AD89</f>
        <v>0</v>
      </c>
      <c r="EU89" s="73"/>
      <c r="EV89" s="73"/>
      <c r="EX89" s="3">
        <f>AE89</f>
        <v>0</v>
      </c>
      <c r="EY89" s="73"/>
      <c r="EZ89" s="73">
        <f t="shared" ref="EZ89:FB91" si="102">S89</f>
        <v>0</v>
      </c>
      <c r="FA89" s="73">
        <f t="shared" si="102"/>
        <v>0</v>
      </c>
      <c r="FB89" s="73">
        <f t="shared" si="102"/>
        <v>0</v>
      </c>
      <c r="FC89" s="73"/>
      <c r="FD89" s="73">
        <f>AN89</f>
        <v>0</v>
      </c>
    </row>
    <row r="90" spans="2:160" s="3" customFormat="1" ht="14.25" customHeight="1">
      <c r="B90" s="316" t="s">
        <v>2646</v>
      </c>
      <c r="C90" s="317" t="s">
        <v>1307</v>
      </c>
      <c r="D90" s="317" t="s">
        <v>1301</v>
      </c>
      <c r="E90" s="991">
        <v>24</v>
      </c>
      <c r="F90" s="951">
        <f t="shared" si="61"/>
        <v>0</v>
      </c>
      <c r="G90" s="48"/>
      <c r="H90" s="981">
        <v>1.08</v>
      </c>
      <c r="I90" s="48" t="s">
        <v>2335</v>
      </c>
      <c r="J90" s="48">
        <v>280</v>
      </c>
      <c r="K90" s="48">
        <v>280</v>
      </c>
      <c r="L90" s="48">
        <v>938</v>
      </c>
      <c r="M90" s="22"/>
      <c r="N90" s="140"/>
      <c r="O90" s="748"/>
      <c r="P90" s="48"/>
      <c r="Q90" s="48"/>
      <c r="R90" s="48"/>
      <c r="S90" s="886"/>
      <c r="T90" s="886"/>
      <c r="U90" s="886"/>
      <c r="V90" s="140"/>
      <c r="W90" s="140"/>
      <c r="X90" s="48"/>
      <c r="Y90" s="140"/>
      <c r="Z90" s="748"/>
      <c r="AA90" s="48"/>
      <c r="AB90" s="48"/>
      <c r="AC90" s="48"/>
      <c r="AD90" s="886"/>
      <c r="AE90" s="886"/>
      <c r="AF90" s="532">
        <f>AK90/24*E90</f>
        <v>9.099999999999997E-2</v>
      </c>
      <c r="AG90" s="531">
        <f>AM90/24*E90</f>
        <v>690.03</v>
      </c>
      <c r="AH90" s="304">
        <v>46294</v>
      </c>
      <c r="AI90" s="13">
        <v>697</v>
      </c>
      <c r="AJ90" s="15">
        <v>1</v>
      </c>
      <c r="AK90" s="15">
        <v>9.099999999999997E-2</v>
      </c>
      <c r="AL90" s="13"/>
      <c r="AM90" s="93">
        <f t="shared" si="96"/>
        <v>690.03</v>
      </c>
      <c r="AN90" s="687"/>
      <c r="AO90" s="213"/>
      <c r="CJ90" s="921"/>
      <c r="CT90" s="35"/>
      <c r="CU90" s="70" t="s">
        <v>2035</v>
      </c>
      <c r="CV90" s="71">
        <f t="shared" si="1"/>
        <v>46298</v>
      </c>
      <c r="CW90" s="72" t="str">
        <f>$CT$3&amp;B90</f>
        <v>9NEAG-05</v>
      </c>
      <c r="CX90" s="73" t="str">
        <f>I90</f>
        <v>NO P.CK</v>
      </c>
      <c r="CY90" s="73">
        <f>J90</f>
        <v>280</v>
      </c>
      <c r="CZ90" s="73">
        <f>E90</f>
        <v>24</v>
      </c>
      <c r="DA90" s="73" t="str">
        <f>IF(CZ90=0,"SI",D90)</f>
        <v>G/L</v>
      </c>
      <c r="DB90" s="73"/>
      <c r="DC90" s="368">
        <f>E90*((H90*1000)/24)</f>
        <v>1080</v>
      </c>
      <c r="DD90" s="73">
        <f>N90</f>
        <v>0</v>
      </c>
      <c r="DE90" s="73">
        <f t="shared" ref="DE90:DG91" si="103">V90</f>
        <v>0</v>
      </c>
      <c r="DF90" s="73">
        <f t="shared" si="103"/>
        <v>0</v>
      </c>
      <c r="DG90" s="73">
        <f t="shared" si="103"/>
        <v>0</v>
      </c>
      <c r="DH90" s="73">
        <f>Z90</f>
        <v>0</v>
      </c>
      <c r="DI90" s="73">
        <f>AD90</f>
        <v>0</v>
      </c>
      <c r="DJ90" s="73"/>
      <c r="DK90" s="73"/>
      <c r="DL90" s="73">
        <f>AE90</f>
        <v>0</v>
      </c>
      <c r="DM90" s="215">
        <f>AG90</f>
        <v>690.03</v>
      </c>
      <c r="DN90" s="73" t="str">
        <f>IF(G90="","",G90)</f>
        <v/>
      </c>
      <c r="DO90" s="73">
        <f>AM90/24*HOURS</f>
        <v>690.03</v>
      </c>
      <c r="DP90" s="85" t="str">
        <f>IF(OR(D90="SI",B90="",D90="T&amp;A"),"",VLOOKUP(B90,WELL_FIELD,2,FALSE))</f>
        <v>NEAG</v>
      </c>
      <c r="EB90" s="70" t="str">
        <f>IF(B90="","","KHALDA_WELL")</f>
        <v>KHALDA_WELL</v>
      </c>
      <c r="EC90" s="71">
        <f t="shared" si="4"/>
        <v>46298</v>
      </c>
      <c r="ED90" s="72" t="str">
        <f>B90</f>
        <v>NEAG-05</v>
      </c>
      <c r="EE90" s="73" t="str">
        <f t="shared" si="100"/>
        <v>NO P.CK</v>
      </c>
      <c r="EF90" s="73">
        <f t="shared" si="100"/>
        <v>280</v>
      </c>
      <c r="EG90" s="73">
        <f>E90</f>
        <v>24</v>
      </c>
      <c r="EH90" s="73" t="str">
        <f>IF(CZ90=0,"SI",D90)</f>
        <v>G/L</v>
      </c>
      <c r="EI90" s="73"/>
      <c r="EJ90" s="72"/>
      <c r="EK90" s="72" t="str">
        <f>IF(G90="","",G90)</f>
        <v/>
      </c>
      <c r="EL90" s="73">
        <f>AJ90</f>
        <v>1</v>
      </c>
      <c r="EM90" s="213">
        <f>W90</f>
        <v>0</v>
      </c>
      <c r="EN90" s="73"/>
      <c r="EO90" s="73"/>
      <c r="EQ90" s="73">
        <f t="shared" si="101"/>
        <v>0</v>
      </c>
      <c r="ER90" s="73">
        <f t="shared" si="101"/>
        <v>0</v>
      </c>
      <c r="ES90" s="73">
        <f>X90</f>
        <v>0</v>
      </c>
      <c r="ET90" s="73">
        <f>AD90</f>
        <v>0</v>
      </c>
      <c r="EU90" s="73"/>
      <c r="EV90" s="73"/>
      <c r="EX90" s="3">
        <f>AE90</f>
        <v>0</v>
      </c>
      <c r="EY90" s="73"/>
      <c r="EZ90" s="73">
        <f t="shared" si="102"/>
        <v>0</v>
      </c>
      <c r="FA90" s="73">
        <f t="shared" si="102"/>
        <v>0</v>
      </c>
      <c r="FB90" s="73">
        <f t="shared" si="102"/>
        <v>0</v>
      </c>
      <c r="FC90" s="73"/>
      <c r="FD90" s="73">
        <f>AN90</f>
        <v>0</v>
      </c>
    </row>
    <row r="91" spans="2:160" s="3" customFormat="1" ht="14.25" customHeight="1">
      <c r="B91" s="316" t="s">
        <v>2633</v>
      </c>
      <c r="C91" s="317" t="s">
        <v>272</v>
      </c>
      <c r="D91" s="317" t="s">
        <v>1301</v>
      </c>
      <c r="E91" s="991">
        <v>24</v>
      </c>
      <c r="F91" s="951">
        <f t="shared" si="61"/>
        <v>0</v>
      </c>
      <c r="G91" s="48"/>
      <c r="H91" s="981">
        <v>1.1200000000000001</v>
      </c>
      <c r="I91" s="48" t="s">
        <v>2335</v>
      </c>
      <c r="J91" s="48">
        <v>270</v>
      </c>
      <c r="K91" s="48">
        <v>270</v>
      </c>
      <c r="L91" s="48">
        <v>518</v>
      </c>
      <c r="M91" s="22"/>
      <c r="N91" s="140"/>
      <c r="O91" s="748"/>
      <c r="P91" s="48"/>
      <c r="Q91" s="48"/>
      <c r="R91" s="48"/>
      <c r="S91" s="886"/>
      <c r="T91" s="886"/>
      <c r="U91" s="886"/>
      <c r="V91" s="140"/>
      <c r="W91" s="140"/>
      <c r="X91" s="48"/>
      <c r="Y91" s="140"/>
      <c r="Z91" s="748"/>
      <c r="AA91" s="48"/>
      <c r="AB91" s="48"/>
      <c r="AC91" s="48"/>
      <c r="AD91" s="886"/>
      <c r="AE91" s="886"/>
      <c r="AF91" s="532">
        <f>AK91/24*E91</f>
        <v>0.57699999999999996</v>
      </c>
      <c r="AG91" s="531">
        <f>AM91/24*E91</f>
        <v>103.94999999999999</v>
      </c>
      <c r="AH91" s="304">
        <v>46292</v>
      </c>
      <c r="AI91" s="13">
        <v>105</v>
      </c>
      <c r="AJ91" s="15">
        <v>1</v>
      </c>
      <c r="AK91" s="15">
        <v>0.57699999999999996</v>
      </c>
      <c r="AL91" s="13"/>
      <c r="AM91" s="93">
        <f t="shared" si="96"/>
        <v>103.95</v>
      </c>
      <c r="AN91" s="687"/>
      <c r="AO91" s="213"/>
      <c r="CJ91" s="921"/>
      <c r="CT91" s="35"/>
      <c r="CU91" s="70" t="s">
        <v>2036</v>
      </c>
      <c r="CV91" s="71">
        <f t="shared" si="1"/>
        <v>46298</v>
      </c>
      <c r="CW91" s="72" t="str">
        <f>$CT$3&amp;B91</f>
        <v>9NEAG-06</v>
      </c>
      <c r="CX91" s="73" t="str">
        <f>I91</f>
        <v>NO P.CK</v>
      </c>
      <c r="CY91" s="73">
        <f>J91</f>
        <v>270</v>
      </c>
      <c r="CZ91" s="73">
        <f>E91</f>
        <v>24</v>
      </c>
      <c r="DA91" s="73" t="str">
        <f>IF(CZ91=0,"SI",D91)</f>
        <v>G/L</v>
      </c>
      <c r="DB91" s="73"/>
      <c r="DC91" s="368">
        <f>E91*((H91*1000)/24)</f>
        <v>1120</v>
      </c>
      <c r="DD91" s="73">
        <f>N91</f>
        <v>0</v>
      </c>
      <c r="DE91" s="73">
        <f t="shared" si="103"/>
        <v>0</v>
      </c>
      <c r="DF91" s="73">
        <f t="shared" si="103"/>
        <v>0</v>
      </c>
      <c r="DG91" s="73">
        <f t="shared" si="103"/>
        <v>0</v>
      </c>
      <c r="DH91" s="73">
        <f>Z91</f>
        <v>0</v>
      </c>
      <c r="DI91" s="73">
        <f>AD91</f>
        <v>0</v>
      </c>
      <c r="DJ91" s="73"/>
      <c r="DK91" s="73"/>
      <c r="DL91" s="73">
        <f>AE91</f>
        <v>0</v>
      </c>
      <c r="DM91" s="215">
        <f>AG91</f>
        <v>103.94999999999999</v>
      </c>
      <c r="DN91" s="73" t="str">
        <f>IF(G91="","",G91)</f>
        <v/>
      </c>
      <c r="DO91" s="73">
        <f>AM91/24*HOURS</f>
        <v>103.94999999999999</v>
      </c>
      <c r="DP91" s="85" t="str">
        <f>IF(OR(D91="SI",B91="",D91="T&amp;A"),"",VLOOKUP(B91,WELL_FIELD,2,FALSE))</f>
        <v>NEAG</v>
      </c>
      <c r="EB91" s="70" t="str">
        <f>IF(B91="","","KHALDA_WELL")</f>
        <v>KHALDA_WELL</v>
      </c>
      <c r="EC91" s="71">
        <f t="shared" si="4"/>
        <v>46298</v>
      </c>
      <c r="ED91" s="72" t="str">
        <f>B91</f>
        <v>NEAG-06</v>
      </c>
      <c r="EE91" s="73" t="str">
        <f t="shared" si="100"/>
        <v>NO P.CK</v>
      </c>
      <c r="EF91" s="73">
        <f t="shared" si="100"/>
        <v>270</v>
      </c>
      <c r="EG91" s="73">
        <f>E91</f>
        <v>24</v>
      </c>
      <c r="EH91" s="73" t="str">
        <f>IF(CZ91=0,"SI",D91)</f>
        <v>G/L</v>
      </c>
      <c r="EI91" s="73"/>
      <c r="EJ91" s="72"/>
      <c r="EK91" s="72" t="str">
        <f>IF(G91="","",G91)</f>
        <v/>
      </c>
      <c r="EL91" s="73">
        <f>AJ91</f>
        <v>1</v>
      </c>
      <c r="EM91" s="213">
        <f>W91</f>
        <v>0</v>
      </c>
      <c r="EN91" s="73"/>
      <c r="EO91" s="73"/>
      <c r="EQ91" s="73">
        <f t="shared" si="101"/>
        <v>0</v>
      </c>
      <c r="ER91" s="73">
        <f t="shared" si="101"/>
        <v>0</v>
      </c>
      <c r="ES91" s="73">
        <f>X91</f>
        <v>0</v>
      </c>
      <c r="ET91" s="73">
        <f>AD91</f>
        <v>0</v>
      </c>
      <c r="EU91" s="73"/>
      <c r="EV91" s="73"/>
      <c r="EX91" s="3">
        <f>AE91</f>
        <v>0</v>
      </c>
      <c r="EY91" s="73"/>
      <c r="EZ91" s="73">
        <f t="shared" si="102"/>
        <v>0</v>
      </c>
      <c r="FA91" s="73">
        <f t="shared" si="102"/>
        <v>0</v>
      </c>
      <c r="FB91" s="73">
        <f t="shared" si="102"/>
        <v>0</v>
      </c>
      <c r="FC91" s="73"/>
      <c r="FD91" s="73">
        <f>AN91</f>
        <v>0</v>
      </c>
    </row>
    <row r="92" spans="2:160" s="3" customFormat="1" ht="17.25" customHeight="1">
      <c r="B92" s="316" t="s">
        <v>2622</v>
      </c>
      <c r="C92" s="317" t="s">
        <v>1307</v>
      </c>
      <c r="D92" s="317" t="s">
        <v>18</v>
      </c>
      <c r="E92" s="991">
        <v>0</v>
      </c>
      <c r="F92" s="951">
        <f t="shared" si="61"/>
        <v>0</v>
      </c>
      <c r="G92" s="48"/>
      <c r="H92" s="981">
        <v>0</v>
      </c>
      <c r="I92" s="48" t="s">
        <v>2335</v>
      </c>
      <c r="J92" s="48">
        <v>0</v>
      </c>
      <c r="K92" s="48">
        <v>0</v>
      </c>
      <c r="L92" s="48">
        <v>0</v>
      </c>
      <c r="M92" s="22"/>
      <c r="N92" s="140"/>
      <c r="O92" s="748"/>
      <c r="P92" s="858"/>
      <c r="Q92" s="48"/>
      <c r="R92" s="48"/>
      <c r="S92" s="886"/>
      <c r="T92" s="886"/>
      <c r="U92" s="886"/>
      <c r="V92" s="140"/>
      <c r="W92" s="140"/>
      <c r="X92" s="48"/>
      <c r="Y92" s="140"/>
      <c r="Z92" s="748"/>
      <c r="AA92" s="48"/>
      <c r="AB92" s="48"/>
      <c r="AC92" s="48"/>
      <c r="AD92" s="886"/>
      <c r="AE92" s="886"/>
      <c r="AF92" s="532">
        <f t="shared" ref="AF92:AF190" si="104">AK92/24*E92</f>
        <v>0</v>
      </c>
      <c r="AG92" s="531">
        <f t="shared" ref="AG92:AG190" si="105">AM92/24*E92</f>
        <v>0</v>
      </c>
      <c r="AH92" s="304">
        <v>46167</v>
      </c>
      <c r="AI92" s="13">
        <v>7</v>
      </c>
      <c r="AJ92" s="15">
        <v>5</v>
      </c>
      <c r="AK92" s="15">
        <v>1.4000000000000012E-2</v>
      </c>
      <c r="AL92" s="13"/>
      <c r="AM92" s="93">
        <f t="shared" si="96"/>
        <v>6.6499999999999995</v>
      </c>
      <c r="AN92" s="687"/>
      <c r="AO92" s="213"/>
      <c r="CJ92" s="921">
        <f t="shared" si="62"/>
        <v>0</v>
      </c>
      <c r="CT92" s="35"/>
      <c r="CU92" s="70" t="s">
        <v>2036</v>
      </c>
      <c r="CV92" s="71">
        <f t="shared" si="1"/>
        <v>46298</v>
      </c>
      <c r="CW92" s="72" t="str">
        <f>$CT$3&amp;B92</f>
        <v>9NEAG-04X</v>
      </c>
      <c r="CX92" s="73" t="str">
        <f t="shared" si="98"/>
        <v>NO P.CK</v>
      </c>
      <c r="CY92" s="73">
        <f t="shared" si="98"/>
        <v>0</v>
      </c>
      <c r="CZ92" s="73">
        <f>E92</f>
        <v>0</v>
      </c>
      <c r="DA92" s="73" t="str">
        <f>IF(CZ92=0,"SI",D92)</f>
        <v>SI</v>
      </c>
      <c r="DB92" s="73"/>
      <c r="DC92" s="368">
        <f>E92*((H92*1000)/24)</f>
        <v>0</v>
      </c>
      <c r="DD92" s="73">
        <f>N92</f>
        <v>0</v>
      </c>
      <c r="DE92" s="73">
        <f t="shared" si="99"/>
        <v>0</v>
      </c>
      <c r="DF92" s="73">
        <f t="shared" si="99"/>
        <v>0</v>
      </c>
      <c r="DG92" s="73">
        <f t="shared" si="99"/>
        <v>0</v>
      </c>
      <c r="DH92" s="73">
        <f>Z92</f>
        <v>0</v>
      </c>
      <c r="DI92" s="73">
        <f>AD92</f>
        <v>0</v>
      </c>
      <c r="DJ92" s="73"/>
      <c r="DK92" s="73"/>
      <c r="DL92" s="73">
        <f>AE92</f>
        <v>0</v>
      </c>
      <c r="DM92" s="215">
        <f>AG92</f>
        <v>0</v>
      </c>
      <c r="DN92" s="73" t="str">
        <f>IF(G92="","",G92)</f>
        <v/>
      </c>
      <c r="DO92" s="73">
        <f>AM92/24*HOURS</f>
        <v>0</v>
      </c>
      <c r="DP92" s="85" t="str">
        <f t="shared" si="97"/>
        <v/>
      </c>
      <c r="EB92" s="70" t="str">
        <f t="shared" si="43"/>
        <v>KHALDA_WELL</v>
      </c>
      <c r="EC92" s="71">
        <f t="shared" si="4"/>
        <v>46298</v>
      </c>
      <c r="ED92" s="72" t="str">
        <f t="shared" si="44"/>
        <v>NEAG-04X</v>
      </c>
      <c r="EE92" s="73" t="str">
        <f t="shared" si="45"/>
        <v>NO P.CK</v>
      </c>
      <c r="EF92" s="73">
        <f t="shared" si="46"/>
        <v>0</v>
      </c>
      <c r="EG92" s="73">
        <f t="shared" si="47"/>
        <v>0</v>
      </c>
      <c r="EH92" s="73" t="str">
        <f t="shared" si="48"/>
        <v>SI</v>
      </c>
      <c r="EI92" s="73"/>
      <c r="EJ92" s="72"/>
      <c r="EK92" s="72" t="str">
        <f t="shared" si="49"/>
        <v/>
      </c>
      <c r="EL92" s="73">
        <f t="shared" si="50"/>
        <v>5</v>
      </c>
      <c r="EM92" s="213">
        <f t="shared" si="51"/>
        <v>0</v>
      </c>
      <c r="EN92" s="73"/>
      <c r="EO92" s="73"/>
      <c r="EQ92" s="73">
        <f t="shared" si="52"/>
        <v>0</v>
      </c>
      <c r="ER92" s="73">
        <f t="shared" si="53"/>
        <v>0</v>
      </c>
      <c r="ES92" s="73">
        <f t="shared" si="54"/>
        <v>0</v>
      </c>
      <c r="ET92" s="73">
        <f t="shared" si="55"/>
        <v>0</v>
      </c>
      <c r="EU92" s="73"/>
      <c r="EV92" s="73"/>
      <c r="EX92" s="3">
        <f t="shared" si="56"/>
        <v>0</v>
      </c>
      <c r="EY92" s="73"/>
      <c r="EZ92" s="73">
        <f t="shared" si="57"/>
        <v>0</v>
      </c>
      <c r="FA92" s="73">
        <f t="shared" si="58"/>
        <v>0</v>
      </c>
      <c r="FB92" s="73">
        <f t="shared" si="59"/>
        <v>0</v>
      </c>
      <c r="FC92" s="73"/>
      <c r="FD92" s="73">
        <f t="shared" si="60"/>
        <v>0</v>
      </c>
    </row>
    <row r="93" spans="2:160" s="3" customFormat="1" ht="16.5" customHeight="1">
      <c r="B93" s="316" t="s">
        <v>1563</v>
      </c>
      <c r="C93" s="317" t="s">
        <v>21</v>
      </c>
      <c r="D93" s="317" t="s">
        <v>18</v>
      </c>
      <c r="E93" s="991">
        <v>0</v>
      </c>
      <c r="F93" s="951">
        <f t="shared" si="61"/>
        <v>0</v>
      </c>
      <c r="G93" s="48"/>
      <c r="H93" s="981"/>
      <c r="I93" s="48" t="s">
        <v>2335</v>
      </c>
      <c r="J93" s="48">
        <v>230</v>
      </c>
      <c r="K93" s="48">
        <v>180</v>
      </c>
      <c r="L93" s="48">
        <v>0</v>
      </c>
      <c r="M93" s="22"/>
      <c r="N93" s="140"/>
      <c r="O93" s="748"/>
      <c r="P93" s="858"/>
      <c r="Q93" s="48"/>
      <c r="R93" s="48"/>
      <c r="S93" s="886"/>
      <c r="T93" s="886"/>
      <c r="U93" s="886"/>
      <c r="V93" s="140"/>
      <c r="W93" s="140"/>
      <c r="X93" s="48"/>
      <c r="Y93" s="140"/>
      <c r="Z93" s="748"/>
      <c r="AA93" s="48"/>
      <c r="AB93" s="48"/>
      <c r="AC93" s="48"/>
      <c r="AD93" s="886"/>
      <c r="AE93" s="886"/>
      <c r="AF93" s="532">
        <f>AK93/24*E93</f>
        <v>0</v>
      </c>
      <c r="AG93" s="531">
        <f>AM93/24*E93</f>
        <v>0</v>
      </c>
      <c r="AH93" s="304">
        <v>45845</v>
      </c>
      <c r="AI93" s="13">
        <v>674</v>
      </c>
      <c r="AJ93" s="15">
        <v>99</v>
      </c>
      <c r="AK93" s="15">
        <v>1.4450000000000001</v>
      </c>
      <c r="AL93" s="13"/>
      <c r="AM93" s="93">
        <f t="shared" si="96"/>
        <v>6.7400000000000055</v>
      </c>
      <c r="AN93" s="522" t="s">
        <v>2145</v>
      </c>
      <c r="AO93" s="213"/>
      <c r="CJ93" s="921">
        <f t="shared" si="62"/>
        <v>0</v>
      </c>
      <c r="CT93" s="35"/>
      <c r="CU93" s="70" t="s">
        <v>2030</v>
      </c>
      <c r="CV93" s="71">
        <f t="shared" si="1"/>
        <v>46298</v>
      </c>
      <c r="CW93" s="72" t="str">
        <f t="shared" si="63"/>
        <v>9FIRESTONE-01</v>
      </c>
      <c r="CX93" s="73" t="str">
        <f t="shared" si="64"/>
        <v>NO P.CK</v>
      </c>
      <c r="CY93" s="73">
        <f t="shared" si="65"/>
        <v>230</v>
      </c>
      <c r="CZ93" s="73">
        <f t="shared" si="66"/>
        <v>0</v>
      </c>
      <c r="DA93" s="73" t="str">
        <f t="shared" si="67"/>
        <v>SI</v>
      </c>
      <c r="DB93" s="73"/>
      <c r="DC93" s="368">
        <f t="shared" si="68"/>
        <v>0</v>
      </c>
      <c r="DD93" s="73">
        <f t="shared" si="69"/>
        <v>0</v>
      </c>
      <c r="DE93" s="73">
        <f t="shared" si="70"/>
        <v>0</v>
      </c>
      <c r="DF93" s="73">
        <f t="shared" si="71"/>
        <v>0</v>
      </c>
      <c r="DG93" s="73">
        <f t="shared" si="72"/>
        <v>0</v>
      </c>
      <c r="DH93" s="73">
        <f t="shared" si="73"/>
        <v>0</v>
      </c>
      <c r="DI93" s="73">
        <f t="shared" si="74"/>
        <v>0</v>
      </c>
      <c r="DJ93" s="73"/>
      <c r="DK93" s="73"/>
      <c r="DL93" s="73">
        <f t="shared" si="75"/>
        <v>0</v>
      </c>
      <c r="DM93" s="215">
        <f t="shared" si="76"/>
        <v>0</v>
      </c>
      <c r="DN93" s="73" t="str">
        <f t="shared" si="77"/>
        <v/>
      </c>
      <c r="DO93" s="73">
        <f t="shared" si="78"/>
        <v>0</v>
      </c>
      <c r="DP93" s="85" t="str">
        <f t="shared" si="79"/>
        <v/>
      </c>
      <c r="EB93" s="70" t="str">
        <f t="shared" si="43"/>
        <v>KHALDA_WELL</v>
      </c>
      <c r="EC93" s="71">
        <f t="shared" si="4"/>
        <v>46298</v>
      </c>
      <c r="ED93" s="72" t="str">
        <f t="shared" si="44"/>
        <v>FIRESTONE-01</v>
      </c>
      <c r="EE93" s="73" t="str">
        <f t="shared" si="45"/>
        <v>NO P.CK</v>
      </c>
      <c r="EF93" s="73">
        <f t="shared" si="46"/>
        <v>230</v>
      </c>
      <c r="EG93" s="73">
        <f t="shared" si="47"/>
        <v>0</v>
      </c>
      <c r="EH93" s="73" t="str">
        <f t="shared" si="48"/>
        <v>SI</v>
      </c>
      <c r="EI93" s="73"/>
      <c r="EJ93" s="72"/>
      <c r="EK93" s="72" t="str">
        <f t="shared" si="49"/>
        <v/>
      </c>
      <c r="EL93" s="73">
        <f t="shared" si="50"/>
        <v>99</v>
      </c>
      <c r="EM93" s="213">
        <f t="shared" si="51"/>
        <v>0</v>
      </c>
      <c r="EN93" s="73"/>
      <c r="EO93" s="73"/>
      <c r="EQ93" s="73">
        <f t="shared" si="52"/>
        <v>0</v>
      </c>
      <c r="ER93" s="73">
        <f t="shared" si="53"/>
        <v>0</v>
      </c>
      <c r="ES93" s="73">
        <f t="shared" si="54"/>
        <v>0</v>
      </c>
      <c r="ET93" s="73">
        <f t="shared" si="55"/>
        <v>0</v>
      </c>
      <c r="EU93" s="73"/>
      <c r="EV93" s="73"/>
      <c r="EX93" s="3">
        <f t="shared" si="56"/>
        <v>0</v>
      </c>
      <c r="EY93" s="73"/>
      <c r="EZ93" s="73">
        <f t="shared" si="57"/>
        <v>0</v>
      </c>
      <c r="FA93" s="73">
        <f t="shared" si="58"/>
        <v>0</v>
      </c>
      <c r="FB93" s="73">
        <f t="shared" si="59"/>
        <v>0</v>
      </c>
      <c r="FC93" s="73"/>
      <c r="FD93" s="73" t="str">
        <f t="shared" si="60"/>
        <v>Is considered as condensate at the GP report.</v>
      </c>
    </row>
    <row r="94" spans="2:160" s="3" customFormat="1" ht="16.5" customHeight="1">
      <c r="B94" s="316" t="s">
        <v>1538</v>
      </c>
      <c r="C94" s="317" t="s">
        <v>1305</v>
      </c>
      <c r="D94" s="317" t="s">
        <v>18</v>
      </c>
      <c r="E94" s="991">
        <v>0</v>
      </c>
      <c r="F94" s="951">
        <f t="shared" si="61"/>
        <v>0</v>
      </c>
      <c r="G94" s="48"/>
      <c r="H94" s="981"/>
      <c r="I94" s="48" t="s">
        <v>2335</v>
      </c>
      <c r="J94" s="48">
        <v>0</v>
      </c>
      <c r="K94" s="48">
        <v>0</v>
      </c>
      <c r="L94" s="48">
        <v>0</v>
      </c>
      <c r="M94" s="22"/>
      <c r="N94" s="140"/>
      <c r="O94" s="748"/>
      <c r="P94" s="48">
        <v>3855</v>
      </c>
      <c r="Q94" s="48">
        <v>3986</v>
      </c>
      <c r="R94" s="48">
        <v>8200</v>
      </c>
      <c r="S94" s="886"/>
      <c r="T94" s="886"/>
      <c r="U94" s="886"/>
      <c r="V94" s="140"/>
      <c r="W94" s="140"/>
      <c r="X94" s="48"/>
      <c r="Y94" s="140"/>
      <c r="Z94" s="748"/>
      <c r="AA94" s="48"/>
      <c r="AB94" s="48"/>
      <c r="AC94" s="48"/>
      <c r="AD94" s="886">
        <v>0</v>
      </c>
      <c r="AE94" s="886">
        <v>0</v>
      </c>
      <c r="AF94" s="532">
        <f t="shared" si="104"/>
        <v>0</v>
      </c>
      <c r="AG94" s="531">
        <f t="shared" si="105"/>
        <v>0</v>
      </c>
      <c r="AH94" s="304">
        <v>41432</v>
      </c>
      <c r="AI94" s="13">
        <v>0</v>
      </c>
      <c r="AJ94" s="15">
        <v>0</v>
      </c>
      <c r="AK94" s="15">
        <v>0</v>
      </c>
      <c r="AL94" s="13"/>
      <c r="AM94" s="93">
        <f t="shared" si="96"/>
        <v>0</v>
      </c>
      <c r="AN94" s="148" t="s">
        <v>1702</v>
      </c>
      <c r="AO94" s="213"/>
      <c r="CJ94" s="921">
        <f t="shared" si="62"/>
        <v>0</v>
      </c>
      <c r="CT94" s="35"/>
      <c r="CU94" s="70" t="s">
        <v>2031</v>
      </c>
      <c r="CV94" s="71">
        <f t="shared" si="1"/>
        <v>46298</v>
      </c>
      <c r="CW94" s="72" t="str">
        <f t="shared" si="63"/>
        <v>9HAWK-01</v>
      </c>
      <c r="CX94" s="73" t="str">
        <f t="shared" si="64"/>
        <v>NO P.CK</v>
      </c>
      <c r="CY94" s="73">
        <f t="shared" si="65"/>
        <v>0</v>
      </c>
      <c r="CZ94" s="73">
        <f t="shared" si="66"/>
        <v>0</v>
      </c>
      <c r="DA94" s="73" t="str">
        <f t="shared" si="67"/>
        <v>SI</v>
      </c>
      <c r="DB94" s="73"/>
      <c r="DC94" s="368">
        <f t="shared" si="68"/>
        <v>0</v>
      </c>
      <c r="DD94" s="73">
        <f t="shared" si="69"/>
        <v>0</v>
      </c>
      <c r="DE94" s="73">
        <f t="shared" si="70"/>
        <v>0</v>
      </c>
      <c r="DF94" s="73">
        <f t="shared" si="71"/>
        <v>0</v>
      </c>
      <c r="DG94" s="73">
        <f t="shared" si="72"/>
        <v>0</v>
      </c>
      <c r="DH94" s="73">
        <f t="shared" si="73"/>
        <v>0</v>
      </c>
      <c r="DI94" s="73">
        <f t="shared" si="74"/>
        <v>0</v>
      </c>
      <c r="DJ94" s="73"/>
      <c r="DK94" s="73"/>
      <c r="DL94" s="73">
        <f t="shared" si="75"/>
        <v>0</v>
      </c>
      <c r="DM94" s="215">
        <f t="shared" si="76"/>
        <v>0</v>
      </c>
      <c r="DN94" s="73" t="str">
        <f t="shared" si="77"/>
        <v/>
      </c>
      <c r="DO94" s="73">
        <f t="shared" si="78"/>
        <v>0</v>
      </c>
      <c r="DP94" s="85" t="str">
        <f t="shared" si="79"/>
        <v/>
      </c>
      <c r="EB94" s="70" t="str">
        <f t="shared" si="43"/>
        <v>KHALDA_WELL</v>
      </c>
      <c r="EC94" s="71">
        <f t="shared" si="4"/>
        <v>46298</v>
      </c>
      <c r="ED94" s="72" t="str">
        <f t="shared" si="44"/>
        <v>HAWK-01</v>
      </c>
      <c r="EE94" s="73" t="str">
        <f t="shared" si="45"/>
        <v>NO P.CK</v>
      </c>
      <c r="EF94" s="73">
        <f t="shared" si="46"/>
        <v>0</v>
      </c>
      <c r="EG94" s="73">
        <f t="shared" si="47"/>
        <v>0</v>
      </c>
      <c r="EH94" s="73" t="str">
        <f t="shared" si="48"/>
        <v>SI</v>
      </c>
      <c r="EI94" s="73"/>
      <c r="EJ94" s="72"/>
      <c r="EK94" s="72" t="str">
        <f t="shared" si="49"/>
        <v/>
      </c>
      <c r="EL94" s="73">
        <f t="shared" si="50"/>
        <v>0</v>
      </c>
      <c r="EM94" s="213">
        <f t="shared" si="51"/>
        <v>0</v>
      </c>
      <c r="EN94" s="73"/>
      <c r="EO94" s="73"/>
      <c r="EQ94" s="73">
        <f t="shared" si="52"/>
        <v>0</v>
      </c>
      <c r="ER94" s="73">
        <f t="shared" si="53"/>
        <v>0</v>
      </c>
      <c r="ES94" s="73">
        <f t="shared" si="54"/>
        <v>0</v>
      </c>
      <c r="ET94" s="73">
        <f t="shared" si="55"/>
        <v>0</v>
      </c>
      <c r="EU94" s="73"/>
      <c r="EV94" s="73"/>
      <c r="EX94" s="3">
        <f t="shared" si="56"/>
        <v>0</v>
      </c>
      <c r="EY94" s="73"/>
      <c r="EZ94" s="73">
        <f t="shared" si="57"/>
        <v>0</v>
      </c>
      <c r="FA94" s="73">
        <f t="shared" si="58"/>
        <v>0</v>
      </c>
      <c r="FB94" s="73">
        <f t="shared" si="59"/>
        <v>0</v>
      </c>
      <c r="FC94" s="73"/>
      <c r="FD94" s="73" t="str">
        <f t="shared" si="60"/>
        <v>Cable in hole T&amp;A</v>
      </c>
    </row>
    <row r="95" spans="2:160" s="3" customFormat="1" ht="16.5" customHeight="1">
      <c r="B95" s="316" t="s">
        <v>1554</v>
      </c>
      <c r="C95" s="317" t="s">
        <v>1305</v>
      </c>
      <c r="D95" s="317" t="s">
        <v>2</v>
      </c>
      <c r="E95" s="991">
        <v>24</v>
      </c>
      <c r="F95" s="951">
        <f t="shared" si="61"/>
        <v>0</v>
      </c>
      <c r="G95" s="48"/>
      <c r="H95" s="981"/>
      <c r="I95" s="48" t="s">
        <v>2335</v>
      </c>
      <c r="J95" s="48">
        <v>160</v>
      </c>
      <c r="K95" s="48">
        <v>160</v>
      </c>
      <c r="L95" s="48">
        <v>0</v>
      </c>
      <c r="M95" s="22"/>
      <c r="N95" s="140"/>
      <c r="O95" s="748">
        <v>46262</v>
      </c>
      <c r="P95" s="48">
        <v>7490</v>
      </c>
      <c r="Q95" s="48">
        <v>1388</v>
      </c>
      <c r="R95" s="48">
        <v>8878</v>
      </c>
      <c r="S95" s="886">
        <v>100</v>
      </c>
      <c r="T95" s="886">
        <v>39</v>
      </c>
      <c r="U95" s="886">
        <v>82</v>
      </c>
      <c r="V95" s="140"/>
      <c r="W95" s="140"/>
      <c r="X95" s="48">
        <v>102</v>
      </c>
      <c r="Y95" s="140">
        <v>5.3</v>
      </c>
      <c r="Z95" s="748">
        <v>43807</v>
      </c>
      <c r="AA95" s="48"/>
      <c r="AB95" s="48"/>
      <c r="AC95" s="48"/>
      <c r="AD95" s="886"/>
      <c r="AE95" s="886"/>
      <c r="AF95" s="532">
        <f t="shared" si="104"/>
        <v>0</v>
      </c>
      <c r="AG95" s="531">
        <f t="shared" si="105"/>
        <v>33.82</v>
      </c>
      <c r="AH95" s="304">
        <v>46170</v>
      </c>
      <c r="AI95" s="13">
        <v>38</v>
      </c>
      <c r="AJ95" s="15">
        <v>11</v>
      </c>
      <c r="AK95" s="15">
        <v>0</v>
      </c>
      <c r="AL95" s="13"/>
      <c r="AM95" s="93">
        <f t="shared" si="0"/>
        <v>33.82</v>
      </c>
      <c r="AN95" s="148"/>
      <c r="AO95" s="213"/>
      <c r="CJ95" s="921">
        <f t="shared" si="62"/>
        <v>4.18</v>
      </c>
      <c r="CT95" s="35"/>
      <c r="CU95" s="70" t="s">
        <v>2032</v>
      </c>
      <c r="CV95" s="71">
        <f t="shared" si="1"/>
        <v>46298</v>
      </c>
      <c r="CW95" s="72" t="str">
        <f t="shared" si="63"/>
        <v>9HAWK-03</v>
      </c>
      <c r="CX95" s="73" t="str">
        <f t="shared" si="64"/>
        <v>NO P.CK</v>
      </c>
      <c r="CY95" s="73">
        <f t="shared" si="65"/>
        <v>160</v>
      </c>
      <c r="CZ95" s="73">
        <f t="shared" si="66"/>
        <v>24</v>
      </c>
      <c r="DA95" s="73" t="str">
        <f t="shared" si="67"/>
        <v>SRP</v>
      </c>
      <c r="DB95" s="73"/>
      <c r="DC95" s="368">
        <f t="shared" si="68"/>
        <v>0</v>
      </c>
      <c r="DD95" s="73">
        <f t="shared" si="69"/>
        <v>0</v>
      </c>
      <c r="DE95" s="73">
        <f t="shared" si="70"/>
        <v>0</v>
      </c>
      <c r="DF95" s="73">
        <f t="shared" si="71"/>
        <v>0</v>
      </c>
      <c r="DG95" s="73">
        <f t="shared" si="72"/>
        <v>102</v>
      </c>
      <c r="DH95" s="73">
        <f t="shared" si="73"/>
        <v>43807</v>
      </c>
      <c r="DI95" s="73">
        <f t="shared" si="74"/>
        <v>0</v>
      </c>
      <c r="DJ95" s="73"/>
      <c r="DK95" s="73"/>
      <c r="DL95" s="73">
        <f t="shared" si="75"/>
        <v>0</v>
      </c>
      <c r="DM95" s="215">
        <f t="shared" si="76"/>
        <v>33.82</v>
      </c>
      <c r="DN95" s="73" t="str">
        <f t="shared" si="77"/>
        <v/>
      </c>
      <c r="DO95" s="73">
        <f t="shared" si="78"/>
        <v>33.82</v>
      </c>
      <c r="DP95" s="85" t="str">
        <f t="shared" si="79"/>
        <v>HAWK</v>
      </c>
      <c r="EB95" s="70" t="str">
        <f t="shared" si="43"/>
        <v>KHALDA_WELL</v>
      </c>
      <c r="EC95" s="71">
        <f t="shared" ref="EC95:EC167" si="106">REPORTDATE-1</f>
        <v>46298</v>
      </c>
      <c r="ED95" s="72" t="str">
        <f t="shared" si="44"/>
        <v>HAWK-03</v>
      </c>
      <c r="EE95" s="73" t="str">
        <f t="shared" si="45"/>
        <v>NO P.CK</v>
      </c>
      <c r="EF95" s="73">
        <f t="shared" si="46"/>
        <v>160</v>
      </c>
      <c r="EG95" s="73">
        <f t="shared" si="47"/>
        <v>24</v>
      </c>
      <c r="EH95" s="73" t="str">
        <f t="shared" si="48"/>
        <v>SRP</v>
      </c>
      <c r="EI95" s="73"/>
      <c r="EJ95" s="72"/>
      <c r="EK95" s="72" t="str">
        <f t="shared" si="49"/>
        <v/>
      </c>
      <c r="EL95" s="73">
        <f t="shared" si="50"/>
        <v>11</v>
      </c>
      <c r="EM95" s="213">
        <f t="shared" si="51"/>
        <v>0</v>
      </c>
      <c r="EN95" s="73"/>
      <c r="EO95" s="73"/>
      <c r="EQ95" s="73">
        <f t="shared" si="52"/>
        <v>5.3</v>
      </c>
      <c r="ER95" s="73">
        <f t="shared" si="53"/>
        <v>43807</v>
      </c>
      <c r="ES95" s="73">
        <f t="shared" si="54"/>
        <v>102</v>
      </c>
      <c r="ET95" s="73">
        <f t="shared" si="55"/>
        <v>0</v>
      </c>
      <c r="EU95" s="73"/>
      <c r="EV95" s="73"/>
      <c r="EX95" s="3">
        <f t="shared" si="56"/>
        <v>0</v>
      </c>
      <c r="EY95" s="73"/>
      <c r="EZ95" s="73">
        <f t="shared" si="57"/>
        <v>100</v>
      </c>
      <c r="FA95" s="73">
        <f t="shared" si="58"/>
        <v>39</v>
      </c>
      <c r="FB95" s="73">
        <f t="shared" si="59"/>
        <v>82</v>
      </c>
      <c r="FC95" s="73"/>
      <c r="FD95" s="73">
        <f t="shared" si="60"/>
        <v>0</v>
      </c>
    </row>
    <row r="96" spans="2:160" s="3" customFormat="1" ht="15.75" customHeight="1">
      <c r="B96" s="980" t="s">
        <v>2683</v>
      </c>
      <c r="C96" s="317" t="s">
        <v>1305</v>
      </c>
      <c r="D96" s="317" t="s">
        <v>3</v>
      </c>
      <c r="E96" s="991">
        <v>24</v>
      </c>
      <c r="F96" s="951">
        <f t="shared" si="61"/>
        <v>0</v>
      </c>
      <c r="G96" s="48"/>
      <c r="H96" s="981"/>
      <c r="I96" s="48"/>
      <c r="J96" s="48">
        <v>180</v>
      </c>
      <c r="K96" s="48">
        <v>160</v>
      </c>
      <c r="L96" s="48">
        <v>160</v>
      </c>
      <c r="M96" s="22"/>
      <c r="N96" s="140"/>
      <c r="O96" s="748"/>
      <c r="P96" s="48"/>
      <c r="Q96" s="48"/>
      <c r="R96" s="48"/>
      <c r="S96" s="886"/>
      <c r="T96" s="886"/>
      <c r="U96" s="886"/>
      <c r="V96" s="140"/>
      <c r="W96" s="140"/>
      <c r="X96" s="48"/>
      <c r="Y96" s="140"/>
      <c r="Z96" s="748"/>
      <c r="AA96" s="48"/>
      <c r="AB96" s="48"/>
      <c r="AC96" s="48"/>
      <c r="AD96" s="886">
        <v>33</v>
      </c>
      <c r="AE96" s="886">
        <v>60</v>
      </c>
      <c r="AF96" s="532">
        <f>AK96/24*E96</f>
        <v>0.28299999999999997</v>
      </c>
      <c r="AG96" s="531">
        <f>AM96/24*E96</f>
        <v>476.28</v>
      </c>
      <c r="AH96" s="304">
        <v>46295</v>
      </c>
      <c r="AI96" s="13">
        <v>490</v>
      </c>
      <c r="AJ96" s="15">
        <v>2.8</v>
      </c>
      <c r="AK96" s="15">
        <v>0.28299999999999997</v>
      </c>
      <c r="AL96" s="13"/>
      <c r="AM96" s="93">
        <f t="shared" si="0"/>
        <v>476.28</v>
      </c>
      <c r="AN96" s="148"/>
      <c r="AO96" s="213"/>
      <c r="CJ96" s="921"/>
      <c r="CT96" s="35"/>
      <c r="CU96" s="70" t="s">
        <v>2083</v>
      </c>
      <c r="CV96" s="71">
        <f t="shared" si="1"/>
        <v>46298</v>
      </c>
      <c r="CW96" s="72" t="str">
        <f>$CT$3&amp;B96</f>
        <v>9HAWK-06</v>
      </c>
      <c r="CX96" s="73">
        <f t="shared" ref="CX96:CY98" si="107">I96</f>
        <v>0</v>
      </c>
      <c r="CY96" s="73">
        <f t="shared" si="107"/>
        <v>180</v>
      </c>
      <c r="CZ96" s="73">
        <f>E96</f>
        <v>24</v>
      </c>
      <c r="DA96" s="73" t="str">
        <f>IF(CZ96=0,"SI",D96)</f>
        <v>ESP</v>
      </c>
      <c r="DB96" s="73"/>
      <c r="DC96" s="368">
        <f>E96*((H96*1000)/24)</f>
        <v>0</v>
      </c>
      <c r="DD96" s="73">
        <f>N96</f>
        <v>0</v>
      </c>
      <c r="DE96" s="73">
        <f t="shared" ref="DE96:DG98" si="108">V96</f>
        <v>0</v>
      </c>
      <c r="DF96" s="73">
        <f t="shared" si="108"/>
        <v>0</v>
      </c>
      <c r="DG96" s="73">
        <f t="shared" si="108"/>
        <v>0</v>
      </c>
      <c r="DH96" s="73">
        <f>Z96</f>
        <v>0</v>
      </c>
      <c r="DI96" s="73">
        <f>AD96</f>
        <v>33</v>
      </c>
      <c r="DJ96" s="73"/>
      <c r="DK96" s="73"/>
      <c r="DL96" s="73">
        <f>AE96</f>
        <v>60</v>
      </c>
      <c r="DM96" s="215">
        <f>AG96</f>
        <v>476.28</v>
      </c>
      <c r="DN96" s="73" t="str">
        <f>IF(G96="","",G96)</f>
        <v/>
      </c>
      <c r="DO96" s="73">
        <f>AM96/24*HOURS</f>
        <v>476.28</v>
      </c>
      <c r="DP96" s="85" t="str">
        <f>IF(OR(D96="SI",B96="",D96="T&amp;A"),"",VLOOKUP(B96,WELL_FIELD,2))</f>
        <v>HAWK</v>
      </c>
      <c r="EB96" s="70" t="str">
        <f>IF(B96="","","KHALDA_WELL")</f>
        <v>KHALDA_WELL</v>
      </c>
      <c r="EC96" s="71">
        <f t="shared" si="106"/>
        <v>46298</v>
      </c>
      <c r="ED96" s="72" t="str">
        <f>B96</f>
        <v>HAWK-06</v>
      </c>
      <c r="EE96" s="73">
        <f>I96</f>
        <v>0</v>
      </c>
      <c r="EF96" s="73">
        <f>J96</f>
        <v>180</v>
      </c>
      <c r="EG96" s="73">
        <f>E96</f>
        <v>24</v>
      </c>
      <c r="EH96" s="73" t="str">
        <f>IF(CZ96=0,"SI",D96)</f>
        <v>ESP</v>
      </c>
      <c r="EI96" s="73"/>
      <c r="EJ96" s="72"/>
      <c r="EK96" s="72" t="str">
        <f>IF(G96="","",G96)</f>
        <v/>
      </c>
      <c r="EL96" s="73">
        <f>AJ96</f>
        <v>2.8</v>
      </c>
      <c r="EM96" s="213">
        <f>W96</f>
        <v>0</v>
      </c>
      <c r="EN96" s="73"/>
      <c r="EO96" s="73"/>
      <c r="EQ96" s="73">
        <f>Y96</f>
        <v>0</v>
      </c>
      <c r="ER96" s="73">
        <f>Z96</f>
        <v>0</v>
      </c>
      <c r="ES96" s="73">
        <f>X96</f>
        <v>0</v>
      </c>
      <c r="ET96" s="73">
        <f>AD96</f>
        <v>33</v>
      </c>
      <c r="EU96" s="73"/>
      <c r="EV96" s="73"/>
      <c r="EX96" s="3">
        <f>AE96</f>
        <v>60</v>
      </c>
      <c r="EY96" s="73"/>
      <c r="EZ96" s="73">
        <f>S96</f>
        <v>0</v>
      </c>
      <c r="FA96" s="73">
        <f>T96</f>
        <v>0</v>
      </c>
      <c r="FB96" s="73">
        <f>U96</f>
        <v>0</v>
      </c>
      <c r="FC96" s="73"/>
      <c r="FD96" s="73">
        <f>AN96</f>
        <v>0</v>
      </c>
    </row>
    <row r="97" spans="2:160" s="35" customFormat="1" ht="15.75" customHeight="1">
      <c r="B97" s="980" t="s">
        <v>2684</v>
      </c>
      <c r="C97" s="317" t="s">
        <v>1305</v>
      </c>
      <c r="D97" s="317" t="s">
        <v>3</v>
      </c>
      <c r="E97" s="991">
        <v>24</v>
      </c>
      <c r="F97" s="951">
        <f t="shared" si="61"/>
        <v>0</v>
      </c>
      <c r="G97" s="48"/>
      <c r="H97" s="981"/>
      <c r="I97" s="48" t="s">
        <v>2335</v>
      </c>
      <c r="J97" s="48">
        <v>230</v>
      </c>
      <c r="K97" s="48">
        <v>150</v>
      </c>
      <c r="L97" s="48">
        <v>70</v>
      </c>
      <c r="M97" s="22"/>
      <c r="N97" s="140"/>
      <c r="O97" s="748"/>
      <c r="P97" s="48"/>
      <c r="Q97" s="48"/>
      <c r="R97" s="48"/>
      <c r="S97" s="886"/>
      <c r="T97" s="886"/>
      <c r="U97" s="886"/>
      <c r="V97" s="140"/>
      <c r="W97" s="140"/>
      <c r="X97" s="48"/>
      <c r="Y97" s="140"/>
      <c r="Z97" s="748"/>
      <c r="AA97" s="48"/>
      <c r="AB97" s="48"/>
      <c r="AC97" s="48"/>
      <c r="AD97" s="886">
        <v>30</v>
      </c>
      <c r="AE97" s="886">
        <v>53</v>
      </c>
      <c r="AF97" s="532">
        <f>AK97/24*E97</f>
        <v>0</v>
      </c>
      <c r="AG97" s="531">
        <f t="shared" si="105"/>
        <v>553.41</v>
      </c>
      <c r="AH97" s="304">
        <v>46295</v>
      </c>
      <c r="AI97" s="13">
        <v>559</v>
      </c>
      <c r="AJ97" s="15">
        <v>1</v>
      </c>
      <c r="AK97" s="15">
        <v>0</v>
      </c>
      <c r="AL97" s="13"/>
      <c r="AM97" s="93">
        <f t="shared" si="0"/>
        <v>553.41</v>
      </c>
      <c r="AN97" s="148"/>
      <c r="AO97" s="987"/>
      <c r="CJ97" s="988">
        <f t="shared" si="62"/>
        <v>5.59</v>
      </c>
      <c r="CU97" s="70" t="s">
        <v>2033</v>
      </c>
      <c r="CV97" s="71">
        <f t="shared" si="1"/>
        <v>46298</v>
      </c>
      <c r="CW97" s="72" t="str">
        <f>$CT$3&amp;B97</f>
        <v>9HAWK-07</v>
      </c>
      <c r="CX97" s="73" t="str">
        <f t="shared" si="107"/>
        <v>NO P.CK</v>
      </c>
      <c r="CY97" s="73">
        <f t="shared" si="107"/>
        <v>230</v>
      </c>
      <c r="CZ97" s="73">
        <f>E97</f>
        <v>24</v>
      </c>
      <c r="DA97" s="73" t="str">
        <f>IF(CZ97=0,"SI",D97)</f>
        <v>ESP</v>
      </c>
      <c r="DB97" s="73"/>
      <c r="DC97" s="368">
        <f>E97*((H97*1000)/24)</f>
        <v>0</v>
      </c>
      <c r="DD97" s="73">
        <f>N97</f>
        <v>0</v>
      </c>
      <c r="DE97" s="73">
        <f t="shared" si="108"/>
        <v>0</v>
      </c>
      <c r="DF97" s="73">
        <f t="shared" si="108"/>
        <v>0</v>
      </c>
      <c r="DG97" s="73">
        <f t="shared" si="108"/>
        <v>0</v>
      </c>
      <c r="DH97" s="73">
        <f>Z97</f>
        <v>0</v>
      </c>
      <c r="DI97" s="73">
        <f>AD97</f>
        <v>30</v>
      </c>
      <c r="DJ97" s="73"/>
      <c r="DK97" s="73"/>
      <c r="DL97" s="73">
        <f>AE97</f>
        <v>53</v>
      </c>
      <c r="DM97" s="215">
        <f>AG97</f>
        <v>553.41</v>
      </c>
      <c r="DN97" s="73" t="str">
        <f>IF(G97="","",G97)</f>
        <v/>
      </c>
      <c r="DO97" s="73">
        <f>AM97/24*HOURS</f>
        <v>553.41</v>
      </c>
      <c r="DP97" s="85" t="str">
        <f>IF(OR(D97="SI",B97="",D97="T&amp;A"),"",VLOOKUP(B97,WELL_FIELD,2))</f>
        <v>HAWK</v>
      </c>
      <c r="EB97" s="70" t="str">
        <f t="shared" si="43"/>
        <v>KHALDA_WELL</v>
      </c>
      <c r="EC97" s="71">
        <f t="shared" si="106"/>
        <v>46298</v>
      </c>
      <c r="ED97" s="72" t="str">
        <f t="shared" si="44"/>
        <v>HAWK-07</v>
      </c>
      <c r="EE97" s="73" t="str">
        <f t="shared" si="45"/>
        <v>NO P.CK</v>
      </c>
      <c r="EF97" s="73">
        <f t="shared" si="46"/>
        <v>230</v>
      </c>
      <c r="EG97" s="73">
        <f t="shared" si="47"/>
        <v>24</v>
      </c>
      <c r="EH97" s="73" t="str">
        <f t="shared" si="48"/>
        <v>ESP</v>
      </c>
      <c r="EI97" s="73"/>
      <c r="EJ97" s="72"/>
      <c r="EK97" s="72" t="str">
        <f t="shared" si="49"/>
        <v/>
      </c>
      <c r="EL97" s="73">
        <f t="shared" si="50"/>
        <v>1</v>
      </c>
      <c r="EM97" s="987">
        <f t="shared" si="51"/>
        <v>0</v>
      </c>
      <c r="EN97" s="73"/>
      <c r="EO97" s="73"/>
      <c r="EQ97" s="73">
        <f t="shared" si="52"/>
        <v>0</v>
      </c>
      <c r="ER97" s="73">
        <f t="shared" si="53"/>
        <v>0</v>
      </c>
      <c r="ES97" s="73">
        <f t="shared" si="54"/>
        <v>0</v>
      </c>
      <c r="ET97" s="73">
        <f t="shared" si="55"/>
        <v>30</v>
      </c>
      <c r="EU97" s="73"/>
      <c r="EV97" s="73"/>
      <c r="EX97" s="35">
        <f t="shared" si="56"/>
        <v>53</v>
      </c>
      <c r="EY97" s="73"/>
      <c r="EZ97" s="73">
        <f t="shared" si="57"/>
        <v>0</v>
      </c>
      <c r="FA97" s="73">
        <f t="shared" si="58"/>
        <v>0</v>
      </c>
      <c r="FB97" s="73">
        <f t="shared" si="59"/>
        <v>0</v>
      </c>
      <c r="FC97" s="73"/>
      <c r="FD97" s="73">
        <f t="shared" si="60"/>
        <v>0</v>
      </c>
    </row>
    <row r="98" spans="2:160" s="3" customFormat="1" ht="15.75" customHeight="1">
      <c r="B98" s="316" t="s">
        <v>2310</v>
      </c>
      <c r="C98" s="317" t="s">
        <v>1307</v>
      </c>
      <c r="D98" s="317" t="s">
        <v>2</v>
      </c>
      <c r="E98" s="991">
        <v>24</v>
      </c>
      <c r="F98" s="951">
        <f t="shared" si="61"/>
        <v>0</v>
      </c>
      <c r="G98" s="48"/>
      <c r="H98" s="981"/>
      <c r="I98" s="48" t="s">
        <v>2335</v>
      </c>
      <c r="J98" s="48">
        <v>400</v>
      </c>
      <c r="K98" s="48" t="s">
        <v>2701</v>
      </c>
      <c r="L98" s="48">
        <v>0</v>
      </c>
      <c r="M98" s="22"/>
      <c r="N98" s="140"/>
      <c r="O98" s="748">
        <v>46293</v>
      </c>
      <c r="P98" s="48">
        <v>7011</v>
      </c>
      <c r="Q98" s="48">
        <v>2601</v>
      </c>
      <c r="R98" s="48">
        <v>10139</v>
      </c>
      <c r="S98" s="886">
        <v>100</v>
      </c>
      <c r="T98" s="886">
        <v>99</v>
      </c>
      <c r="U98" s="886">
        <v>82</v>
      </c>
      <c r="V98" s="140"/>
      <c r="W98" s="140"/>
      <c r="X98" s="48"/>
      <c r="Y98" s="140"/>
      <c r="Z98" s="748"/>
      <c r="AA98" s="48"/>
      <c r="AB98" s="48"/>
      <c r="AC98" s="48"/>
      <c r="AD98" s="886"/>
      <c r="AE98" s="886"/>
      <c r="AF98" s="532">
        <f>AK98/24*E98</f>
        <v>0</v>
      </c>
      <c r="AG98" s="531">
        <f>AM98/24*E98</f>
        <v>47.519999999999996</v>
      </c>
      <c r="AH98" s="304">
        <v>46290</v>
      </c>
      <c r="AI98" s="13">
        <v>48</v>
      </c>
      <c r="AJ98" s="15">
        <v>1</v>
      </c>
      <c r="AK98" s="15">
        <v>0</v>
      </c>
      <c r="AL98" s="13"/>
      <c r="AM98" s="93">
        <f>IF(BFPD=0,0,BFPD*(1-BSW/100))</f>
        <v>47.519999999999996</v>
      </c>
      <c r="AN98" s="148"/>
      <c r="AO98" s="213"/>
      <c r="CJ98" s="921"/>
      <c r="CT98" s="35"/>
      <c r="CU98" s="70" t="s">
        <v>2034</v>
      </c>
      <c r="CV98" s="71">
        <f t="shared" si="1"/>
        <v>46298</v>
      </c>
      <c r="CW98" s="72" t="str">
        <f>$CT$3&amp;B98</f>
        <v>9MAHROUSSA-D01</v>
      </c>
      <c r="CX98" s="73" t="str">
        <f t="shared" si="107"/>
        <v>NO P.CK</v>
      </c>
      <c r="CY98" s="73">
        <f t="shared" si="107"/>
        <v>400</v>
      </c>
      <c r="CZ98" s="73">
        <f>E98</f>
        <v>24</v>
      </c>
      <c r="DA98" s="73" t="str">
        <f>IF(CZ98=0,"SI",D98)</f>
        <v>SRP</v>
      </c>
      <c r="DB98" s="73"/>
      <c r="DC98" s="368">
        <f>E98*((H98*1000)/24)</f>
        <v>0</v>
      </c>
      <c r="DD98" s="73">
        <f>N98</f>
        <v>0</v>
      </c>
      <c r="DE98" s="73">
        <f t="shared" si="108"/>
        <v>0</v>
      </c>
      <c r="DF98" s="73">
        <f t="shared" si="108"/>
        <v>0</v>
      </c>
      <c r="DG98" s="73">
        <f t="shared" si="108"/>
        <v>0</v>
      </c>
      <c r="DH98" s="73">
        <f>Z98</f>
        <v>0</v>
      </c>
      <c r="DI98" s="73">
        <f>AD98</f>
        <v>0</v>
      </c>
      <c r="DJ98" s="73"/>
      <c r="DK98" s="73"/>
      <c r="DL98" s="73">
        <f>AE98</f>
        <v>0</v>
      </c>
      <c r="DM98" s="215">
        <f>AG98</f>
        <v>47.519999999999996</v>
      </c>
      <c r="DN98" s="73" t="str">
        <f>IF(G98="","",G98)</f>
        <v/>
      </c>
      <c r="DO98" s="73">
        <f>AM98/24*HOURS</f>
        <v>47.519999999999996</v>
      </c>
      <c r="DP98" s="85" t="str">
        <f>IF(OR(D98="SI",B98="",D98="T&amp;A"),"",VLOOKUP(B98,WELL_FIELD,2,FALSE))</f>
        <v>MAHROUSSA-D</v>
      </c>
      <c r="EB98" s="70" t="str">
        <f t="shared" si="43"/>
        <v>KHALDA_WELL</v>
      </c>
      <c r="EC98" s="71">
        <f t="shared" si="106"/>
        <v>46298</v>
      </c>
      <c r="ED98" s="72" t="str">
        <f t="shared" si="44"/>
        <v>MAHROUSSA-D01</v>
      </c>
      <c r="EE98" s="73" t="str">
        <f t="shared" si="45"/>
        <v>NO P.CK</v>
      </c>
      <c r="EF98" s="73">
        <f t="shared" si="46"/>
        <v>400</v>
      </c>
      <c r="EG98" s="73">
        <f t="shared" si="47"/>
        <v>24</v>
      </c>
      <c r="EH98" s="73" t="str">
        <f t="shared" si="48"/>
        <v>SRP</v>
      </c>
      <c r="EI98" s="73"/>
      <c r="EJ98" s="72"/>
      <c r="EK98" s="72" t="str">
        <f t="shared" si="49"/>
        <v/>
      </c>
      <c r="EL98" s="73">
        <f t="shared" si="50"/>
        <v>1</v>
      </c>
      <c r="EM98" s="213">
        <f t="shared" si="51"/>
        <v>0</v>
      </c>
      <c r="EN98" s="73"/>
      <c r="EO98" s="73"/>
      <c r="EQ98" s="73">
        <f t="shared" si="52"/>
        <v>0</v>
      </c>
      <c r="ER98" s="73">
        <f t="shared" si="53"/>
        <v>0</v>
      </c>
      <c r="ES98" s="73">
        <f t="shared" si="54"/>
        <v>0</v>
      </c>
      <c r="ET98" s="73">
        <f t="shared" si="55"/>
        <v>0</v>
      </c>
      <c r="EU98" s="73"/>
      <c r="EV98" s="73"/>
      <c r="EX98" s="3">
        <f t="shared" si="56"/>
        <v>0</v>
      </c>
      <c r="EY98" s="73"/>
      <c r="EZ98" s="73">
        <f t="shared" si="57"/>
        <v>100</v>
      </c>
      <c r="FA98" s="73">
        <f t="shared" si="58"/>
        <v>99</v>
      </c>
      <c r="FB98" s="73">
        <f t="shared" si="59"/>
        <v>82</v>
      </c>
      <c r="FC98" s="73"/>
      <c r="FD98" s="73">
        <f t="shared" si="60"/>
        <v>0</v>
      </c>
    </row>
    <row r="99" spans="2:160" s="3" customFormat="1" ht="16.5" customHeight="1">
      <c r="B99" s="316" t="s">
        <v>1539</v>
      </c>
      <c r="C99" s="317" t="s">
        <v>272</v>
      </c>
      <c r="D99" s="317" t="s">
        <v>18</v>
      </c>
      <c r="E99" s="991">
        <v>0</v>
      </c>
      <c r="F99" s="951">
        <f t="shared" si="61"/>
        <v>0</v>
      </c>
      <c r="G99" s="48"/>
      <c r="H99" s="981"/>
      <c r="I99" s="48" t="s">
        <v>255</v>
      </c>
      <c r="J99" s="48">
        <v>230</v>
      </c>
      <c r="K99" s="48">
        <v>220</v>
      </c>
      <c r="L99" s="48">
        <v>0</v>
      </c>
      <c r="M99" s="22"/>
      <c r="N99" s="140"/>
      <c r="O99" s="748"/>
      <c r="P99" s="48"/>
      <c r="Q99" s="48"/>
      <c r="R99" s="48"/>
      <c r="S99" s="886"/>
      <c r="T99" s="886"/>
      <c r="U99" s="886"/>
      <c r="V99" s="140"/>
      <c r="W99" s="140"/>
      <c r="X99" s="48"/>
      <c r="Y99" s="140"/>
      <c r="Z99" s="748"/>
      <c r="AA99" s="48"/>
      <c r="AB99" s="48"/>
      <c r="AC99" s="48"/>
      <c r="AD99" s="886"/>
      <c r="AE99" s="886"/>
      <c r="AF99" s="532">
        <f t="shared" si="104"/>
        <v>0</v>
      </c>
      <c r="AG99" s="531">
        <f t="shared" si="105"/>
        <v>0</v>
      </c>
      <c r="AH99" s="304">
        <v>45962</v>
      </c>
      <c r="AI99" s="13">
        <v>49</v>
      </c>
      <c r="AJ99" s="15">
        <v>13</v>
      </c>
      <c r="AK99" s="15">
        <v>1.6639999999999999</v>
      </c>
      <c r="AL99" s="13"/>
      <c r="AM99" s="93">
        <f t="shared" si="0"/>
        <v>42.63</v>
      </c>
      <c r="AN99" s="148" t="s">
        <v>2146</v>
      </c>
      <c r="AO99" s="213"/>
      <c r="CJ99" s="921">
        <f t="shared" si="62"/>
        <v>0</v>
      </c>
      <c r="CT99" s="35"/>
      <c r="CU99" s="70" t="s">
        <v>2083</v>
      </c>
      <c r="CV99" s="71">
        <f t="shared" si="1"/>
        <v>46298</v>
      </c>
      <c r="CW99" s="72" t="str">
        <f t="shared" si="63"/>
        <v>9MEGHAR-01</v>
      </c>
      <c r="CX99" s="73" t="str">
        <f t="shared" si="64"/>
        <v>OPEN</v>
      </c>
      <c r="CY99" s="73">
        <f t="shared" si="65"/>
        <v>230</v>
      </c>
      <c r="CZ99" s="73">
        <f t="shared" si="66"/>
        <v>0</v>
      </c>
      <c r="DA99" s="73" t="str">
        <f t="shared" si="67"/>
        <v>SI</v>
      </c>
      <c r="DB99" s="73"/>
      <c r="DC99" s="368">
        <f t="shared" si="68"/>
        <v>0</v>
      </c>
      <c r="DD99" s="73">
        <f t="shared" si="69"/>
        <v>0</v>
      </c>
      <c r="DE99" s="73">
        <f t="shared" si="70"/>
        <v>0</v>
      </c>
      <c r="DF99" s="73">
        <f t="shared" si="71"/>
        <v>0</v>
      </c>
      <c r="DG99" s="73">
        <f t="shared" si="72"/>
        <v>0</v>
      </c>
      <c r="DH99" s="73">
        <f t="shared" si="73"/>
        <v>0</v>
      </c>
      <c r="DI99" s="73">
        <f t="shared" si="74"/>
        <v>0</v>
      </c>
      <c r="DJ99" s="73"/>
      <c r="DK99" s="73"/>
      <c r="DL99" s="73">
        <f t="shared" si="75"/>
        <v>0</v>
      </c>
      <c r="DM99" s="215">
        <f t="shared" si="76"/>
        <v>0</v>
      </c>
      <c r="DN99" s="73" t="str">
        <f t="shared" si="77"/>
        <v/>
      </c>
      <c r="DO99" s="73">
        <f t="shared" si="78"/>
        <v>0</v>
      </c>
      <c r="DP99" s="85" t="str">
        <f t="shared" si="79"/>
        <v/>
      </c>
      <c r="EB99" s="70" t="str">
        <f t="shared" si="43"/>
        <v>KHALDA_WELL</v>
      </c>
      <c r="EC99" s="71">
        <f t="shared" si="106"/>
        <v>46298</v>
      </c>
      <c r="ED99" s="72" t="str">
        <f t="shared" si="44"/>
        <v>MEGHAR-01</v>
      </c>
      <c r="EE99" s="73" t="str">
        <f t="shared" si="45"/>
        <v>OPEN</v>
      </c>
      <c r="EF99" s="73">
        <f t="shared" si="46"/>
        <v>230</v>
      </c>
      <c r="EG99" s="73">
        <f t="shared" si="47"/>
        <v>0</v>
      </c>
      <c r="EH99" s="73" t="str">
        <f t="shared" si="48"/>
        <v>SI</v>
      </c>
      <c r="EI99" s="73"/>
      <c r="EJ99" s="72"/>
      <c r="EK99" s="72" t="str">
        <f t="shared" si="49"/>
        <v/>
      </c>
      <c r="EL99" s="73">
        <f t="shared" si="50"/>
        <v>13</v>
      </c>
      <c r="EM99" s="213">
        <f t="shared" si="51"/>
        <v>0</v>
      </c>
      <c r="EN99" s="73"/>
      <c r="EO99" s="73"/>
      <c r="EQ99" s="73">
        <f t="shared" si="52"/>
        <v>0</v>
      </c>
      <c r="ER99" s="73">
        <f t="shared" si="53"/>
        <v>0</v>
      </c>
      <c r="ES99" s="73">
        <f t="shared" si="54"/>
        <v>0</v>
      </c>
      <c r="ET99" s="73">
        <f t="shared" si="55"/>
        <v>0</v>
      </c>
      <c r="EU99" s="73"/>
      <c r="EV99" s="73"/>
      <c r="EX99" s="3">
        <f t="shared" si="56"/>
        <v>0</v>
      </c>
      <c r="EY99" s="73"/>
      <c r="EZ99" s="73">
        <f t="shared" si="57"/>
        <v>0</v>
      </c>
      <c r="FA99" s="73">
        <f t="shared" si="58"/>
        <v>0</v>
      </c>
      <c r="FB99" s="73">
        <f t="shared" si="59"/>
        <v>0</v>
      </c>
      <c r="FC99" s="73"/>
      <c r="FD99" s="73" t="str">
        <f t="shared" si="60"/>
        <v>Gas well</v>
      </c>
    </row>
    <row r="100" spans="2:160" s="3" customFormat="1" ht="16.5" customHeight="1">
      <c r="B100" s="316" t="s">
        <v>1540</v>
      </c>
      <c r="C100" s="317" t="s">
        <v>1307</v>
      </c>
      <c r="D100" s="317" t="s">
        <v>18</v>
      </c>
      <c r="E100" s="991">
        <v>0</v>
      </c>
      <c r="F100" s="951">
        <f t="shared" si="61"/>
        <v>0</v>
      </c>
      <c r="G100" s="48"/>
      <c r="H100" s="981"/>
      <c r="I100" s="48" t="s">
        <v>2335</v>
      </c>
      <c r="J100" s="48">
        <v>0</v>
      </c>
      <c r="K100" s="48">
        <v>0</v>
      </c>
      <c r="L100" s="48">
        <v>0</v>
      </c>
      <c r="M100" s="22"/>
      <c r="N100" s="140"/>
      <c r="O100" s="748" t="s">
        <v>2198</v>
      </c>
      <c r="P100" s="48">
        <v>8966</v>
      </c>
      <c r="Q100" s="48">
        <v>12</v>
      </c>
      <c r="R100" s="48">
        <v>8984</v>
      </c>
      <c r="S100" s="886">
        <v>0</v>
      </c>
      <c r="T100" s="886">
        <v>0</v>
      </c>
      <c r="U100" s="886">
        <v>0</v>
      </c>
      <c r="V100" s="140"/>
      <c r="W100" s="140"/>
      <c r="X100" s="48"/>
      <c r="Y100" s="140"/>
      <c r="Z100" s="748"/>
      <c r="AA100" s="48"/>
      <c r="AB100" s="48"/>
      <c r="AC100" s="48"/>
      <c r="AD100" s="886"/>
      <c r="AE100" s="886"/>
      <c r="AF100" s="532">
        <f t="shared" si="104"/>
        <v>0</v>
      </c>
      <c r="AG100" s="531">
        <f t="shared" si="105"/>
        <v>0</v>
      </c>
      <c r="AH100" s="304">
        <v>43512</v>
      </c>
      <c r="AI100" s="13">
        <v>0</v>
      </c>
      <c r="AJ100" s="15">
        <v>0</v>
      </c>
      <c r="AK100" s="15"/>
      <c r="AL100" s="13"/>
      <c r="AM100" s="93">
        <f t="shared" si="0"/>
        <v>0</v>
      </c>
      <c r="AN100" s="148"/>
      <c r="AO100" s="213"/>
      <c r="CJ100" s="921">
        <f t="shared" si="62"/>
        <v>0</v>
      </c>
      <c r="CT100" s="35"/>
      <c r="CU100" s="70" t="s">
        <v>2033</v>
      </c>
      <c r="CV100" s="71">
        <f t="shared" si="1"/>
        <v>46298</v>
      </c>
      <c r="CW100" s="72" t="str">
        <f t="shared" si="63"/>
        <v>9MEGHAR-02</v>
      </c>
      <c r="CX100" s="73" t="str">
        <f t="shared" si="64"/>
        <v>NO P.CK</v>
      </c>
      <c r="CY100" s="73">
        <f t="shared" si="65"/>
        <v>0</v>
      </c>
      <c r="CZ100" s="73">
        <f t="shared" si="66"/>
        <v>0</v>
      </c>
      <c r="DA100" s="73" t="str">
        <f t="shared" si="67"/>
        <v>SI</v>
      </c>
      <c r="DB100" s="73"/>
      <c r="DC100" s="368">
        <f t="shared" si="68"/>
        <v>0</v>
      </c>
      <c r="DD100" s="73">
        <f t="shared" si="69"/>
        <v>0</v>
      </c>
      <c r="DE100" s="73">
        <f t="shared" si="70"/>
        <v>0</v>
      </c>
      <c r="DF100" s="73">
        <f t="shared" si="71"/>
        <v>0</v>
      </c>
      <c r="DG100" s="73">
        <f t="shared" si="72"/>
        <v>0</v>
      </c>
      <c r="DH100" s="73">
        <f t="shared" si="73"/>
        <v>0</v>
      </c>
      <c r="DI100" s="73">
        <f t="shared" si="74"/>
        <v>0</v>
      </c>
      <c r="DJ100" s="73"/>
      <c r="DK100" s="73"/>
      <c r="DL100" s="73">
        <f t="shared" si="75"/>
        <v>0</v>
      </c>
      <c r="DM100" s="215">
        <f t="shared" si="76"/>
        <v>0</v>
      </c>
      <c r="DN100" s="73" t="str">
        <f t="shared" si="77"/>
        <v/>
      </c>
      <c r="DO100" s="73">
        <f t="shared" si="78"/>
        <v>0</v>
      </c>
      <c r="DP100" s="85" t="str">
        <f t="shared" si="79"/>
        <v/>
      </c>
      <c r="EB100" s="70" t="str">
        <f t="shared" si="43"/>
        <v>KHALDA_WELL</v>
      </c>
      <c r="EC100" s="71">
        <f t="shared" si="106"/>
        <v>46298</v>
      </c>
      <c r="ED100" s="72" t="str">
        <f t="shared" si="44"/>
        <v>MEGHAR-02</v>
      </c>
      <c r="EE100" s="73" t="str">
        <f t="shared" si="45"/>
        <v>NO P.CK</v>
      </c>
      <c r="EF100" s="73">
        <f t="shared" si="46"/>
        <v>0</v>
      </c>
      <c r="EG100" s="73">
        <f t="shared" si="47"/>
        <v>0</v>
      </c>
      <c r="EH100" s="73" t="str">
        <f t="shared" si="48"/>
        <v>SI</v>
      </c>
      <c r="EI100" s="73"/>
      <c r="EJ100" s="72"/>
      <c r="EK100" s="72" t="str">
        <f t="shared" si="49"/>
        <v/>
      </c>
      <c r="EL100" s="73">
        <f t="shared" si="50"/>
        <v>0</v>
      </c>
      <c r="EM100" s="213">
        <f t="shared" si="51"/>
        <v>0</v>
      </c>
      <c r="EN100" s="73"/>
      <c r="EO100" s="73"/>
      <c r="EQ100" s="73">
        <f t="shared" si="52"/>
        <v>0</v>
      </c>
      <c r="ER100" s="73">
        <f t="shared" si="53"/>
        <v>0</v>
      </c>
      <c r="ES100" s="73">
        <f t="shared" si="54"/>
        <v>0</v>
      </c>
      <c r="ET100" s="73">
        <f t="shared" si="55"/>
        <v>0</v>
      </c>
      <c r="EU100" s="73"/>
      <c r="EV100" s="73"/>
      <c r="EX100" s="3">
        <f t="shared" si="56"/>
        <v>0</v>
      </c>
      <c r="EY100" s="73"/>
      <c r="EZ100" s="73">
        <f t="shared" si="57"/>
        <v>0</v>
      </c>
      <c r="FA100" s="73">
        <f t="shared" si="58"/>
        <v>0</v>
      </c>
      <c r="FB100" s="73">
        <f t="shared" si="59"/>
        <v>0</v>
      </c>
      <c r="FC100" s="73"/>
      <c r="FD100" s="73">
        <f t="shared" si="60"/>
        <v>0</v>
      </c>
    </row>
    <row r="101" spans="2:160" s="3" customFormat="1" ht="16.5" customHeight="1">
      <c r="B101" s="316" t="s">
        <v>1542</v>
      </c>
      <c r="C101" s="317" t="s">
        <v>272</v>
      </c>
      <c r="D101" s="317" t="s">
        <v>18</v>
      </c>
      <c r="E101" s="991">
        <v>0</v>
      </c>
      <c r="F101" s="951">
        <f t="shared" si="61"/>
        <v>0</v>
      </c>
      <c r="G101" s="48"/>
      <c r="H101" s="981">
        <v>0</v>
      </c>
      <c r="I101" s="48" t="s">
        <v>2335</v>
      </c>
      <c r="J101" s="48">
        <v>0</v>
      </c>
      <c r="K101" s="48">
        <v>0</v>
      </c>
      <c r="L101" s="48">
        <v>0</v>
      </c>
      <c r="M101" s="22"/>
      <c r="N101" s="140"/>
      <c r="O101" s="748"/>
      <c r="P101" s="48"/>
      <c r="Q101" s="48"/>
      <c r="R101" s="48"/>
      <c r="S101" s="886"/>
      <c r="T101" s="886"/>
      <c r="U101" s="886"/>
      <c r="V101" s="140"/>
      <c r="W101" s="140"/>
      <c r="X101" s="48"/>
      <c r="Y101" s="140"/>
      <c r="Z101" s="748"/>
      <c r="AA101" s="48"/>
      <c r="AB101" s="48"/>
      <c r="AC101" s="48"/>
      <c r="AD101" s="886"/>
      <c r="AE101" s="886"/>
      <c r="AF101" s="532">
        <f t="shared" si="104"/>
        <v>0</v>
      </c>
      <c r="AG101" s="531">
        <f t="shared" si="105"/>
        <v>0</v>
      </c>
      <c r="AH101" s="304">
        <v>44691</v>
      </c>
      <c r="AI101" s="13">
        <v>193</v>
      </c>
      <c r="AJ101" s="15">
        <v>86.4</v>
      </c>
      <c r="AK101" s="15">
        <v>0.433</v>
      </c>
      <c r="AL101" s="13"/>
      <c r="AM101" s="93">
        <f t="shared" si="0"/>
        <v>26.24799999999998</v>
      </c>
      <c r="AN101" s="148"/>
      <c r="AO101" s="213"/>
      <c r="CJ101" s="921">
        <f t="shared" si="62"/>
        <v>0</v>
      </c>
      <c r="CT101" s="35"/>
      <c r="CU101" s="70" t="s">
        <v>2034</v>
      </c>
      <c r="CV101" s="71">
        <f t="shared" si="1"/>
        <v>46298</v>
      </c>
      <c r="CW101" s="72" t="str">
        <f t="shared" si="63"/>
        <v>9MEGHAR-05</v>
      </c>
      <c r="CX101" s="73" t="str">
        <f t="shared" si="64"/>
        <v>NO P.CK</v>
      </c>
      <c r="CY101" s="73">
        <f t="shared" si="65"/>
        <v>0</v>
      </c>
      <c r="CZ101" s="73">
        <f t="shared" si="66"/>
        <v>0</v>
      </c>
      <c r="DA101" s="73" t="str">
        <f t="shared" si="67"/>
        <v>SI</v>
      </c>
      <c r="DB101" s="73"/>
      <c r="DC101" s="368">
        <f t="shared" si="68"/>
        <v>0</v>
      </c>
      <c r="DD101" s="73">
        <f t="shared" si="69"/>
        <v>0</v>
      </c>
      <c r="DE101" s="73">
        <f t="shared" si="70"/>
        <v>0</v>
      </c>
      <c r="DF101" s="73">
        <f t="shared" si="71"/>
        <v>0</v>
      </c>
      <c r="DG101" s="73">
        <f t="shared" si="72"/>
        <v>0</v>
      </c>
      <c r="DH101" s="73">
        <f t="shared" si="73"/>
        <v>0</v>
      </c>
      <c r="DI101" s="73">
        <f t="shared" si="74"/>
        <v>0</v>
      </c>
      <c r="DJ101" s="73"/>
      <c r="DK101" s="73"/>
      <c r="DL101" s="73">
        <f t="shared" si="75"/>
        <v>0</v>
      </c>
      <c r="DM101" s="215">
        <f t="shared" si="76"/>
        <v>0</v>
      </c>
      <c r="DN101" s="73" t="str">
        <f t="shared" si="77"/>
        <v/>
      </c>
      <c r="DO101" s="73">
        <f t="shared" si="78"/>
        <v>0</v>
      </c>
      <c r="DP101" s="85" t="str">
        <f t="shared" si="79"/>
        <v/>
      </c>
      <c r="EB101" s="70" t="str">
        <f t="shared" si="43"/>
        <v>KHALDA_WELL</v>
      </c>
      <c r="EC101" s="71">
        <f t="shared" si="106"/>
        <v>46298</v>
      </c>
      <c r="ED101" s="72" t="str">
        <f t="shared" si="44"/>
        <v>MEGHAR-05</v>
      </c>
      <c r="EE101" s="73" t="str">
        <f t="shared" si="45"/>
        <v>NO P.CK</v>
      </c>
      <c r="EF101" s="73">
        <f t="shared" si="46"/>
        <v>0</v>
      </c>
      <c r="EG101" s="73">
        <f t="shared" si="47"/>
        <v>0</v>
      </c>
      <c r="EH101" s="73" t="str">
        <f t="shared" si="48"/>
        <v>SI</v>
      </c>
      <c r="EI101" s="73"/>
      <c r="EJ101" s="72"/>
      <c r="EK101" s="72" t="str">
        <f t="shared" si="49"/>
        <v/>
      </c>
      <c r="EL101" s="73">
        <f t="shared" si="50"/>
        <v>86.4</v>
      </c>
      <c r="EM101" s="213">
        <f t="shared" si="51"/>
        <v>0</v>
      </c>
      <c r="EN101" s="73"/>
      <c r="EO101" s="73"/>
      <c r="EQ101" s="73">
        <f t="shared" si="52"/>
        <v>0</v>
      </c>
      <c r="ER101" s="73">
        <f t="shared" si="53"/>
        <v>0</v>
      </c>
      <c r="ES101" s="73">
        <f t="shared" si="54"/>
        <v>0</v>
      </c>
      <c r="ET101" s="73">
        <f t="shared" si="55"/>
        <v>0</v>
      </c>
      <c r="EU101" s="73"/>
      <c r="EV101" s="73"/>
      <c r="EX101" s="3">
        <f t="shared" si="56"/>
        <v>0</v>
      </c>
      <c r="EY101" s="73"/>
      <c r="EZ101" s="73">
        <f t="shared" si="57"/>
        <v>0</v>
      </c>
      <c r="FA101" s="73">
        <f t="shared" si="58"/>
        <v>0</v>
      </c>
      <c r="FB101" s="73">
        <f t="shared" si="59"/>
        <v>0</v>
      </c>
      <c r="FC101" s="73"/>
      <c r="FD101" s="73">
        <f t="shared" si="60"/>
        <v>0</v>
      </c>
    </row>
    <row r="102" spans="2:160" s="3" customFormat="1" ht="16.5" customHeight="1">
      <c r="B102" s="316" t="s">
        <v>1557</v>
      </c>
      <c r="C102" s="317" t="s">
        <v>1305</v>
      </c>
      <c r="D102" s="317" t="s">
        <v>18</v>
      </c>
      <c r="E102" s="991">
        <v>0</v>
      </c>
      <c r="F102" s="951">
        <f t="shared" si="61"/>
        <v>0</v>
      </c>
      <c r="G102" s="48"/>
      <c r="H102" s="981">
        <v>0</v>
      </c>
      <c r="I102" s="48" t="s">
        <v>2335</v>
      </c>
      <c r="J102" s="48">
        <v>0</v>
      </c>
      <c r="K102" s="48">
        <v>0</v>
      </c>
      <c r="L102" s="48">
        <v>0</v>
      </c>
      <c r="M102" s="22"/>
      <c r="N102" s="140"/>
      <c r="O102" s="748"/>
      <c r="P102" s="48"/>
      <c r="Q102" s="48"/>
      <c r="R102" s="48"/>
      <c r="S102" s="886"/>
      <c r="T102" s="886"/>
      <c r="U102" s="886"/>
      <c r="V102" s="140"/>
      <c r="W102" s="140"/>
      <c r="X102" s="48"/>
      <c r="Y102" s="140"/>
      <c r="Z102" s="748"/>
      <c r="AA102" s="48"/>
      <c r="AB102" s="48"/>
      <c r="AC102" s="48"/>
      <c r="AD102" s="886"/>
      <c r="AE102" s="886"/>
      <c r="AF102" s="532">
        <f t="shared" si="104"/>
        <v>0</v>
      </c>
      <c r="AG102" s="531">
        <f t="shared" si="105"/>
        <v>0</v>
      </c>
      <c r="AH102" s="304">
        <v>44586</v>
      </c>
      <c r="AI102" s="13">
        <v>88</v>
      </c>
      <c r="AJ102" s="15">
        <v>84.6</v>
      </c>
      <c r="AK102" s="15">
        <v>0.60899999999999999</v>
      </c>
      <c r="AL102" s="13"/>
      <c r="AM102" s="93">
        <f t="shared" si="0"/>
        <v>13.552000000000003</v>
      </c>
      <c r="AN102" s="687"/>
      <c r="AO102" s="213"/>
      <c r="CJ102" s="921">
        <f t="shared" si="62"/>
        <v>0</v>
      </c>
      <c r="CT102" s="35"/>
      <c r="CU102" s="70" t="s">
        <v>2035</v>
      </c>
      <c r="CV102" s="71">
        <f t="shared" si="1"/>
        <v>46298</v>
      </c>
      <c r="CW102" s="72" t="str">
        <f t="shared" si="63"/>
        <v>9MEGHAR-08</v>
      </c>
      <c r="CX102" s="73" t="str">
        <f t="shared" si="64"/>
        <v>NO P.CK</v>
      </c>
      <c r="CY102" s="73">
        <f t="shared" si="65"/>
        <v>0</v>
      </c>
      <c r="CZ102" s="73">
        <f t="shared" si="66"/>
        <v>0</v>
      </c>
      <c r="DA102" s="73" t="str">
        <f t="shared" si="67"/>
        <v>SI</v>
      </c>
      <c r="DB102" s="73"/>
      <c r="DC102" s="368">
        <f t="shared" si="68"/>
        <v>0</v>
      </c>
      <c r="DD102" s="73">
        <f t="shared" si="69"/>
        <v>0</v>
      </c>
      <c r="DE102" s="73">
        <f t="shared" si="70"/>
        <v>0</v>
      </c>
      <c r="DF102" s="73">
        <f t="shared" si="71"/>
        <v>0</v>
      </c>
      <c r="DG102" s="73">
        <f t="shared" si="72"/>
        <v>0</v>
      </c>
      <c r="DH102" s="73">
        <f t="shared" si="73"/>
        <v>0</v>
      </c>
      <c r="DI102" s="73">
        <f t="shared" si="74"/>
        <v>0</v>
      </c>
      <c r="DJ102" s="73"/>
      <c r="DK102" s="73"/>
      <c r="DL102" s="73">
        <f t="shared" si="75"/>
        <v>0</v>
      </c>
      <c r="DM102" s="215">
        <f t="shared" si="76"/>
        <v>0</v>
      </c>
      <c r="DN102" s="73" t="str">
        <f t="shared" si="77"/>
        <v/>
      </c>
      <c r="DO102" s="73">
        <f t="shared" si="78"/>
        <v>0</v>
      </c>
      <c r="DP102" s="85" t="str">
        <f t="shared" si="79"/>
        <v/>
      </c>
      <c r="EB102" s="70" t="str">
        <f t="shared" si="43"/>
        <v>KHALDA_WELL</v>
      </c>
      <c r="EC102" s="71">
        <f t="shared" si="106"/>
        <v>46298</v>
      </c>
      <c r="ED102" s="72" t="str">
        <f t="shared" si="44"/>
        <v>MEGHAR-08</v>
      </c>
      <c r="EE102" s="73" t="str">
        <f t="shared" si="45"/>
        <v>NO P.CK</v>
      </c>
      <c r="EF102" s="73">
        <f t="shared" si="46"/>
        <v>0</v>
      </c>
      <c r="EG102" s="73">
        <f t="shared" si="47"/>
        <v>0</v>
      </c>
      <c r="EH102" s="73" t="str">
        <f t="shared" si="48"/>
        <v>SI</v>
      </c>
      <c r="EI102" s="73"/>
      <c r="EJ102" s="72"/>
      <c r="EK102" s="72" t="str">
        <f t="shared" si="49"/>
        <v/>
      </c>
      <c r="EL102" s="73">
        <f t="shared" si="50"/>
        <v>84.6</v>
      </c>
      <c r="EM102" s="213">
        <f t="shared" si="51"/>
        <v>0</v>
      </c>
      <c r="EN102" s="73"/>
      <c r="EO102" s="73"/>
      <c r="EQ102" s="73">
        <f t="shared" si="52"/>
        <v>0</v>
      </c>
      <c r="ER102" s="73">
        <f t="shared" si="53"/>
        <v>0</v>
      </c>
      <c r="ES102" s="73">
        <f t="shared" si="54"/>
        <v>0</v>
      </c>
      <c r="ET102" s="73">
        <f t="shared" si="55"/>
        <v>0</v>
      </c>
      <c r="EU102" s="73"/>
      <c r="EV102" s="73"/>
      <c r="EX102" s="3">
        <f t="shared" si="56"/>
        <v>0</v>
      </c>
      <c r="EY102" s="73"/>
      <c r="EZ102" s="73">
        <f t="shared" si="57"/>
        <v>0</v>
      </c>
      <c r="FA102" s="73">
        <f t="shared" si="58"/>
        <v>0</v>
      </c>
      <c r="FB102" s="73">
        <f t="shared" si="59"/>
        <v>0</v>
      </c>
      <c r="FC102" s="73"/>
      <c r="FD102" s="73">
        <f t="shared" si="60"/>
        <v>0</v>
      </c>
    </row>
    <row r="103" spans="2:160" s="3" customFormat="1" ht="16.5" customHeight="1">
      <c r="B103" s="316" t="s">
        <v>1599</v>
      </c>
      <c r="C103" s="317" t="s">
        <v>1315</v>
      </c>
      <c r="D103" s="317" t="s">
        <v>286</v>
      </c>
      <c r="E103" s="991">
        <v>24</v>
      </c>
      <c r="F103" s="951">
        <f t="shared" si="61"/>
        <v>0</v>
      </c>
      <c r="G103" s="48"/>
      <c r="H103" s="981"/>
      <c r="I103" s="48" t="s">
        <v>255</v>
      </c>
      <c r="J103" s="48">
        <v>250</v>
      </c>
      <c r="K103" s="48">
        <v>220</v>
      </c>
      <c r="L103" s="48">
        <v>220</v>
      </c>
      <c r="M103" s="22"/>
      <c r="N103" s="140"/>
      <c r="O103" s="748"/>
      <c r="P103" s="48"/>
      <c r="Q103" s="48"/>
      <c r="R103" s="48"/>
      <c r="S103" s="886"/>
      <c r="T103" s="886"/>
      <c r="U103" s="886"/>
      <c r="V103" s="140"/>
      <c r="W103" s="140"/>
      <c r="X103" s="48"/>
      <c r="Y103" s="140"/>
      <c r="Z103" s="748"/>
      <c r="AA103" s="48"/>
      <c r="AB103" s="48"/>
      <c r="AC103" s="48"/>
      <c r="AD103" s="886"/>
      <c r="AE103" s="886"/>
      <c r="AF103" s="532">
        <f>AK103/24*E103</f>
        <v>0</v>
      </c>
      <c r="AG103" s="531">
        <f>AM103/24*E103</f>
        <v>0</v>
      </c>
      <c r="AH103" s="304">
        <v>46133</v>
      </c>
      <c r="AI103" s="13">
        <v>0</v>
      </c>
      <c r="AJ103" s="15">
        <v>0</v>
      </c>
      <c r="AK103" s="15">
        <v>0</v>
      </c>
      <c r="AL103" s="13">
        <v>6000</v>
      </c>
      <c r="AM103" s="93">
        <f t="shared" si="0"/>
        <v>0</v>
      </c>
      <c r="AN103" s="687"/>
      <c r="AO103" s="213"/>
      <c r="CJ103" s="921">
        <f t="shared" si="62"/>
        <v>0</v>
      </c>
      <c r="CT103" s="35"/>
      <c r="CU103" s="70" t="s">
        <v>2036</v>
      </c>
      <c r="CV103" s="71">
        <f t="shared" si="1"/>
        <v>46298</v>
      </c>
      <c r="CW103" s="72" t="str">
        <f t="shared" si="63"/>
        <v>9MEGHAR-07</v>
      </c>
      <c r="CX103" s="73" t="str">
        <f t="shared" si="64"/>
        <v>OPEN</v>
      </c>
      <c r="CY103" s="73">
        <f t="shared" si="65"/>
        <v>250</v>
      </c>
      <c r="CZ103" s="73">
        <f t="shared" si="66"/>
        <v>24</v>
      </c>
      <c r="DA103" s="73" t="str">
        <f t="shared" si="67"/>
        <v>NF</v>
      </c>
      <c r="DB103" s="73"/>
      <c r="DC103" s="368">
        <f t="shared" si="68"/>
        <v>0</v>
      </c>
      <c r="DD103" s="73">
        <f t="shared" si="69"/>
        <v>0</v>
      </c>
      <c r="DE103" s="73">
        <f t="shared" si="70"/>
        <v>0</v>
      </c>
      <c r="DF103" s="73">
        <f t="shared" si="71"/>
        <v>0</v>
      </c>
      <c r="DG103" s="73">
        <f t="shared" si="72"/>
        <v>0</v>
      </c>
      <c r="DH103" s="73">
        <f t="shared" si="73"/>
        <v>0</v>
      </c>
      <c r="DI103" s="73">
        <f t="shared" si="74"/>
        <v>0</v>
      </c>
      <c r="DJ103" s="73"/>
      <c r="DK103" s="73"/>
      <c r="DL103" s="73">
        <f t="shared" si="75"/>
        <v>0</v>
      </c>
      <c r="DM103" s="215">
        <f t="shared" si="76"/>
        <v>0</v>
      </c>
      <c r="DN103" s="73" t="str">
        <f t="shared" si="77"/>
        <v/>
      </c>
      <c r="DO103" s="73">
        <f t="shared" si="78"/>
        <v>0</v>
      </c>
      <c r="DP103" s="85" t="str">
        <f t="shared" si="79"/>
        <v>MEGHAR</v>
      </c>
      <c r="EB103" s="70" t="str">
        <f t="shared" si="43"/>
        <v>KHALDA_WELL</v>
      </c>
      <c r="EC103" s="71">
        <f t="shared" si="106"/>
        <v>46298</v>
      </c>
      <c r="ED103" s="72" t="str">
        <f t="shared" si="44"/>
        <v>MEGHAR-07</v>
      </c>
      <c r="EE103" s="73" t="str">
        <f t="shared" si="45"/>
        <v>OPEN</v>
      </c>
      <c r="EF103" s="73">
        <f t="shared" si="46"/>
        <v>250</v>
      </c>
      <c r="EG103" s="73">
        <f t="shared" si="47"/>
        <v>24</v>
      </c>
      <c r="EH103" s="73" t="str">
        <f t="shared" si="48"/>
        <v>NF</v>
      </c>
      <c r="EI103" s="73"/>
      <c r="EJ103" s="72"/>
      <c r="EK103" s="72" t="str">
        <f t="shared" si="49"/>
        <v/>
      </c>
      <c r="EL103" s="73">
        <f t="shared" si="50"/>
        <v>0</v>
      </c>
      <c r="EM103" s="213">
        <f t="shared" si="51"/>
        <v>0</v>
      </c>
      <c r="EN103" s="73"/>
      <c r="EO103" s="73"/>
      <c r="EQ103" s="73">
        <f t="shared" si="52"/>
        <v>0</v>
      </c>
      <c r="ER103" s="73">
        <f t="shared" si="53"/>
        <v>0</v>
      </c>
      <c r="ES103" s="73">
        <f t="shared" si="54"/>
        <v>0</v>
      </c>
      <c r="ET103" s="73">
        <f t="shared" si="55"/>
        <v>0</v>
      </c>
      <c r="EU103" s="73"/>
      <c r="EV103" s="73"/>
      <c r="EX103" s="3">
        <f t="shared" si="56"/>
        <v>0</v>
      </c>
      <c r="EY103" s="73"/>
      <c r="EZ103" s="73">
        <f t="shared" si="57"/>
        <v>0</v>
      </c>
      <c r="FA103" s="73">
        <f t="shared" si="58"/>
        <v>0</v>
      </c>
      <c r="FB103" s="73">
        <f t="shared" si="59"/>
        <v>0</v>
      </c>
      <c r="FC103" s="73"/>
      <c r="FD103" s="73">
        <f t="shared" si="60"/>
        <v>0</v>
      </c>
    </row>
    <row r="104" spans="2:160" s="3" customFormat="1" ht="16.5" customHeight="1">
      <c r="B104" s="316" t="s">
        <v>1543</v>
      </c>
      <c r="C104" s="317" t="s">
        <v>1315</v>
      </c>
      <c r="D104" s="317" t="s">
        <v>18</v>
      </c>
      <c r="E104" s="991">
        <v>0</v>
      </c>
      <c r="F104" s="951">
        <f t="shared" si="61"/>
        <v>0</v>
      </c>
      <c r="G104" s="48"/>
      <c r="H104" s="981"/>
      <c r="I104" s="48">
        <v>64</v>
      </c>
      <c r="J104" s="48">
        <v>220</v>
      </c>
      <c r="K104" s="48">
        <v>210</v>
      </c>
      <c r="L104" s="48">
        <v>0</v>
      </c>
      <c r="M104" s="22"/>
      <c r="N104" s="140"/>
      <c r="O104" s="748"/>
      <c r="P104" s="48"/>
      <c r="Q104" s="48"/>
      <c r="R104" s="48"/>
      <c r="S104" s="886"/>
      <c r="T104" s="886"/>
      <c r="U104" s="886"/>
      <c r="V104" s="140"/>
      <c r="W104" s="140"/>
      <c r="X104" s="48"/>
      <c r="Y104" s="140"/>
      <c r="Z104" s="748"/>
      <c r="AA104" s="48"/>
      <c r="AB104" s="48"/>
      <c r="AC104" s="48"/>
      <c r="AD104" s="886"/>
      <c r="AE104" s="886"/>
      <c r="AF104" s="532">
        <f t="shared" si="104"/>
        <v>0</v>
      </c>
      <c r="AG104" s="531">
        <f t="shared" si="105"/>
        <v>0</v>
      </c>
      <c r="AH104" s="304">
        <v>44714</v>
      </c>
      <c r="AI104" s="13">
        <v>9</v>
      </c>
      <c r="AJ104" s="15">
        <v>1</v>
      </c>
      <c r="AK104" s="15">
        <v>0.22500000000000001</v>
      </c>
      <c r="AL104" s="13"/>
      <c r="AM104" s="93">
        <f t="shared" si="0"/>
        <v>8.91</v>
      </c>
      <c r="AN104" s="148" t="s">
        <v>2146</v>
      </c>
      <c r="AO104" s="213"/>
      <c r="CJ104" s="921">
        <f t="shared" si="62"/>
        <v>0</v>
      </c>
      <c r="CT104" s="35"/>
      <c r="CU104" s="70" t="s">
        <v>2037</v>
      </c>
      <c r="CV104" s="71">
        <f t="shared" si="1"/>
        <v>46298</v>
      </c>
      <c r="CW104" s="72" t="str">
        <f t="shared" si="63"/>
        <v>9MEGHAR-06</v>
      </c>
      <c r="CX104" s="73">
        <f t="shared" si="64"/>
        <v>64</v>
      </c>
      <c r="CY104" s="73">
        <f t="shared" si="65"/>
        <v>220</v>
      </c>
      <c r="CZ104" s="73">
        <f t="shared" si="66"/>
        <v>0</v>
      </c>
      <c r="DA104" s="73" t="str">
        <f t="shared" si="67"/>
        <v>SI</v>
      </c>
      <c r="DB104" s="73"/>
      <c r="DC104" s="368">
        <f t="shared" si="68"/>
        <v>0</v>
      </c>
      <c r="DD104" s="73">
        <f t="shared" si="69"/>
        <v>0</v>
      </c>
      <c r="DE104" s="73">
        <f t="shared" si="70"/>
        <v>0</v>
      </c>
      <c r="DF104" s="73">
        <f t="shared" si="71"/>
        <v>0</v>
      </c>
      <c r="DG104" s="73">
        <f t="shared" si="72"/>
        <v>0</v>
      </c>
      <c r="DH104" s="73">
        <f t="shared" si="73"/>
        <v>0</v>
      </c>
      <c r="DI104" s="73">
        <f t="shared" si="74"/>
        <v>0</v>
      </c>
      <c r="DJ104" s="73"/>
      <c r="DK104" s="73"/>
      <c r="DL104" s="73">
        <f t="shared" si="75"/>
        <v>0</v>
      </c>
      <c r="DM104" s="215">
        <f t="shared" si="76"/>
        <v>0</v>
      </c>
      <c r="DN104" s="73" t="str">
        <f t="shared" si="77"/>
        <v/>
      </c>
      <c r="DO104" s="73">
        <f t="shared" si="78"/>
        <v>0</v>
      </c>
      <c r="DP104" s="85" t="str">
        <f t="shared" si="79"/>
        <v/>
      </c>
      <c r="EB104" s="70" t="str">
        <f t="shared" si="43"/>
        <v>KHALDA_WELL</v>
      </c>
      <c r="EC104" s="71">
        <f t="shared" si="106"/>
        <v>46298</v>
      </c>
      <c r="ED104" s="72" t="str">
        <f t="shared" si="44"/>
        <v>MEGHAR-06</v>
      </c>
      <c r="EE104" s="73">
        <f t="shared" si="45"/>
        <v>64</v>
      </c>
      <c r="EF104" s="73">
        <f t="shared" si="46"/>
        <v>220</v>
      </c>
      <c r="EG104" s="73">
        <f t="shared" si="47"/>
        <v>0</v>
      </c>
      <c r="EH104" s="73" t="str">
        <f t="shared" si="48"/>
        <v>SI</v>
      </c>
      <c r="EI104" s="73"/>
      <c r="EJ104" s="72"/>
      <c r="EK104" s="72" t="str">
        <f t="shared" si="49"/>
        <v/>
      </c>
      <c r="EL104" s="73">
        <f t="shared" si="50"/>
        <v>1</v>
      </c>
      <c r="EM104" s="213">
        <f t="shared" si="51"/>
        <v>0</v>
      </c>
      <c r="EN104" s="73"/>
      <c r="EO104" s="73"/>
      <c r="EQ104" s="73">
        <f t="shared" si="52"/>
        <v>0</v>
      </c>
      <c r="ER104" s="73">
        <f t="shared" si="53"/>
        <v>0</v>
      </c>
      <c r="ES104" s="73">
        <f t="shared" si="54"/>
        <v>0</v>
      </c>
      <c r="ET104" s="73">
        <f t="shared" si="55"/>
        <v>0</v>
      </c>
      <c r="EU104" s="73"/>
      <c r="EV104" s="73"/>
      <c r="EX104" s="3">
        <f t="shared" si="56"/>
        <v>0</v>
      </c>
      <c r="EY104" s="73"/>
      <c r="EZ104" s="73">
        <f t="shared" si="57"/>
        <v>0</v>
      </c>
      <c r="FA104" s="73">
        <f t="shared" si="58"/>
        <v>0</v>
      </c>
      <c r="FB104" s="73">
        <f t="shared" si="59"/>
        <v>0</v>
      </c>
      <c r="FC104" s="73"/>
      <c r="FD104" s="73" t="str">
        <f t="shared" si="60"/>
        <v>Gas well</v>
      </c>
    </row>
    <row r="105" spans="2:160" s="3" customFormat="1" ht="16.5" customHeight="1">
      <c r="B105" s="316" t="s">
        <v>1669</v>
      </c>
      <c r="C105" s="317" t="s">
        <v>21</v>
      </c>
      <c r="D105" s="317" t="s">
        <v>18</v>
      </c>
      <c r="E105" s="991">
        <v>0</v>
      </c>
      <c r="F105" s="951">
        <f>IF(E105=0,0,((AI105*(1-(AJ105/100)))/24)*(24-HOURS))</f>
        <v>0</v>
      </c>
      <c r="G105" s="48"/>
      <c r="H105" s="981"/>
      <c r="I105" s="48" t="s">
        <v>2335</v>
      </c>
      <c r="J105" s="48">
        <v>0</v>
      </c>
      <c r="K105" s="48">
        <v>0</v>
      </c>
      <c r="L105" s="48">
        <v>0</v>
      </c>
      <c r="M105" s="22"/>
      <c r="N105" s="140"/>
      <c r="O105" s="748">
        <v>44201</v>
      </c>
      <c r="P105" s="48">
        <v>7029</v>
      </c>
      <c r="Q105" s="48">
        <v>1974</v>
      </c>
      <c r="R105" s="48">
        <v>9487</v>
      </c>
      <c r="S105" s="886">
        <v>0</v>
      </c>
      <c r="T105" s="886">
        <v>0</v>
      </c>
      <c r="U105" s="886">
        <v>0</v>
      </c>
      <c r="V105" s="140"/>
      <c r="W105" s="140">
        <v>1.5</v>
      </c>
      <c r="X105" s="48">
        <v>144</v>
      </c>
      <c r="Y105" s="140">
        <v>5.5</v>
      </c>
      <c r="Z105" s="748"/>
      <c r="AA105" s="48"/>
      <c r="AB105" s="48"/>
      <c r="AC105" s="48"/>
      <c r="AD105" s="886"/>
      <c r="AE105" s="886"/>
      <c r="AF105" s="532">
        <f>AK105/24*E105</f>
        <v>0</v>
      </c>
      <c r="AG105" s="531">
        <f>AM105/24*E105</f>
        <v>0</v>
      </c>
      <c r="AH105" s="304">
        <v>43874</v>
      </c>
      <c r="AI105" s="13">
        <v>18</v>
      </c>
      <c r="AJ105" s="15">
        <v>2</v>
      </c>
      <c r="AK105" s="15">
        <v>0</v>
      </c>
      <c r="AL105" s="13"/>
      <c r="AM105" s="93">
        <f t="shared" si="0"/>
        <v>17.64</v>
      </c>
      <c r="AN105" s="687"/>
      <c r="AO105" s="213"/>
      <c r="CJ105" s="921">
        <f t="shared" si="62"/>
        <v>0</v>
      </c>
      <c r="CT105" s="35"/>
      <c r="CU105" s="70" t="s">
        <v>2084</v>
      </c>
      <c r="CV105" s="71">
        <f t="shared" si="1"/>
        <v>46298</v>
      </c>
      <c r="CW105" s="72" t="str">
        <f t="shared" si="63"/>
        <v>9MEGHAR-09</v>
      </c>
      <c r="CX105" s="73" t="str">
        <f t="shared" si="64"/>
        <v>NO P.CK</v>
      </c>
      <c r="CY105" s="73">
        <f t="shared" si="65"/>
        <v>0</v>
      </c>
      <c r="CZ105" s="73">
        <f t="shared" si="66"/>
        <v>0</v>
      </c>
      <c r="DA105" s="73" t="str">
        <f t="shared" si="67"/>
        <v>SI</v>
      </c>
      <c r="DB105" s="73"/>
      <c r="DC105" s="368">
        <f t="shared" si="68"/>
        <v>0</v>
      </c>
      <c r="DD105" s="73">
        <f t="shared" si="69"/>
        <v>0</v>
      </c>
      <c r="DE105" s="73">
        <f t="shared" si="70"/>
        <v>0</v>
      </c>
      <c r="DF105" s="73">
        <f t="shared" si="71"/>
        <v>1.5</v>
      </c>
      <c r="DG105" s="73">
        <f t="shared" si="72"/>
        <v>144</v>
      </c>
      <c r="DH105" s="73">
        <f t="shared" si="73"/>
        <v>0</v>
      </c>
      <c r="DI105" s="73">
        <f t="shared" si="74"/>
        <v>0</v>
      </c>
      <c r="DJ105" s="73"/>
      <c r="DK105" s="73"/>
      <c r="DL105" s="73">
        <f t="shared" si="75"/>
        <v>0</v>
      </c>
      <c r="DM105" s="215">
        <f t="shared" si="76"/>
        <v>0</v>
      </c>
      <c r="DN105" s="73" t="str">
        <f t="shared" si="77"/>
        <v/>
      </c>
      <c r="DO105" s="73">
        <f t="shared" si="78"/>
        <v>0</v>
      </c>
      <c r="DP105" s="85" t="str">
        <f t="shared" si="79"/>
        <v/>
      </c>
      <c r="EB105" s="70" t="str">
        <f t="shared" si="43"/>
        <v>KHALDA_WELL</v>
      </c>
      <c r="EC105" s="71">
        <f t="shared" si="106"/>
        <v>46298</v>
      </c>
      <c r="ED105" s="72" t="str">
        <f t="shared" si="44"/>
        <v>MEGHAR-09</v>
      </c>
      <c r="EE105" s="73" t="str">
        <f t="shared" si="45"/>
        <v>NO P.CK</v>
      </c>
      <c r="EF105" s="73">
        <f t="shared" si="46"/>
        <v>0</v>
      </c>
      <c r="EG105" s="73">
        <f t="shared" si="47"/>
        <v>0</v>
      </c>
      <c r="EH105" s="73" t="str">
        <f t="shared" si="48"/>
        <v>SI</v>
      </c>
      <c r="EI105" s="73"/>
      <c r="EJ105" s="72"/>
      <c r="EK105" s="72" t="str">
        <f t="shared" si="49"/>
        <v/>
      </c>
      <c r="EL105" s="73">
        <f t="shared" si="50"/>
        <v>2</v>
      </c>
      <c r="EM105" s="213">
        <f t="shared" si="51"/>
        <v>1.5</v>
      </c>
      <c r="EN105" s="73"/>
      <c r="EO105" s="73"/>
      <c r="EQ105" s="73">
        <f t="shared" si="52"/>
        <v>5.5</v>
      </c>
      <c r="ER105" s="73">
        <f t="shared" si="53"/>
        <v>0</v>
      </c>
      <c r="ES105" s="73">
        <f t="shared" si="54"/>
        <v>144</v>
      </c>
      <c r="ET105" s="73">
        <f t="shared" si="55"/>
        <v>0</v>
      </c>
      <c r="EU105" s="73"/>
      <c r="EV105" s="73"/>
      <c r="EX105" s="3">
        <f t="shared" si="56"/>
        <v>0</v>
      </c>
      <c r="EY105" s="73"/>
      <c r="EZ105" s="73">
        <f t="shared" si="57"/>
        <v>0</v>
      </c>
      <c r="FA105" s="73">
        <f t="shared" si="58"/>
        <v>0</v>
      </c>
      <c r="FB105" s="73">
        <f t="shared" si="59"/>
        <v>0</v>
      </c>
      <c r="FC105" s="73"/>
      <c r="FD105" s="73">
        <f t="shared" si="60"/>
        <v>0</v>
      </c>
    </row>
    <row r="106" spans="2:160" s="3" customFormat="1" ht="16.5" customHeight="1">
      <c r="B106" s="316" t="s">
        <v>1598</v>
      </c>
      <c r="C106" s="317" t="s">
        <v>272</v>
      </c>
      <c r="D106" s="317" t="s">
        <v>18</v>
      </c>
      <c r="E106" s="991">
        <v>0</v>
      </c>
      <c r="F106" s="951">
        <f t="shared" ref="F106:F140" si="109">IF(E106=0,0,((AI106*(1-(AJ106/100)))/24)*(24-HOURS))</f>
        <v>0</v>
      </c>
      <c r="G106" s="48"/>
      <c r="H106" s="981"/>
      <c r="I106" s="48" t="s">
        <v>2335</v>
      </c>
      <c r="J106" s="48">
        <v>0</v>
      </c>
      <c r="K106" s="48">
        <v>0</v>
      </c>
      <c r="L106" s="48">
        <v>0</v>
      </c>
      <c r="M106" s="22"/>
      <c r="N106" s="140"/>
      <c r="O106" s="748">
        <v>45566</v>
      </c>
      <c r="P106" s="48">
        <v>7693</v>
      </c>
      <c r="Q106" s="48">
        <v>1739</v>
      </c>
      <c r="R106" s="48">
        <v>9432</v>
      </c>
      <c r="S106" s="886">
        <v>0</v>
      </c>
      <c r="T106" s="886">
        <v>0</v>
      </c>
      <c r="U106" s="886">
        <v>0</v>
      </c>
      <c r="V106" s="140"/>
      <c r="W106" s="140"/>
      <c r="X106" s="48">
        <v>144</v>
      </c>
      <c r="Y106" s="140">
        <v>5.38</v>
      </c>
      <c r="Z106" s="748">
        <v>44288</v>
      </c>
      <c r="AA106" s="48"/>
      <c r="AB106" s="48"/>
      <c r="AC106" s="48"/>
      <c r="AD106" s="886"/>
      <c r="AE106" s="886"/>
      <c r="AF106" s="532">
        <f t="shared" si="104"/>
        <v>0</v>
      </c>
      <c r="AG106" s="531">
        <f t="shared" si="105"/>
        <v>0</v>
      </c>
      <c r="AH106" s="304">
        <v>44404</v>
      </c>
      <c r="AI106" s="13">
        <v>24</v>
      </c>
      <c r="AJ106" s="15">
        <v>1</v>
      </c>
      <c r="AK106" s="15">
        <v>0</v>
      </c>
      <c r="AL106" s="13"/>
      <c r="AM106" s="93">
        <f t="shared" si="0"/>
        <v>23.759999999999998</v>
      </c>
      <c r="AN106" s="687"/>
      <c r="AO106" s="213"/>
      <c r="CJ106" s="921">
        <f t="shared" si="62"/>
        <v>0</v>
      </c>
      <c r="CT106" s="35"/>
      <c r="CU106" s="70" t="s">
        <v>2038</v>
      </c>
      <c r="CV106" s="71">
        <f t="shared" si="1"/>
        <v>46298</v>
      </c>
      <c r="CW106" s="72" t="str">
        <f t="shared" si="63"/>
        <v>9MEGHAR-10</v>
      </c>
      <c r="CX106" s="73" t="str">
        <f t="shared" si="64"/>
        <v>NO P.CK</v>
      </c>
      <c r="CY106" s="73">
        <f t="shared" si="65"/>
        <v>0</v>
      </c>
      <c r="CZ106" s="73">
        <f t="shared" si="66"/>
        <v>0</v>
      </c>
      <c r="DA106" s="73" t="str">
        <f t="shared" si="67"/>
        <v>SI</v>
      </c>
      <c r="DB106" s="73"/>
      <c r="DC106" s="368">
        <f t="shared" si="68"/>
        <v>0</v>
      </c>
      <c r="DD106" s="73">
        <f t="shared" si="69"/>
        <v>0</v>
      </c>
      <c r="DE106" s="73">
        <f t="shared" si="70"/>
        <v>0</v>
      </c>
      <c r="DF106" s="73">
        <f t="shared" si="71"/>
        <v>0</v>
      </c>
      <c r="DG106" s="73">
        <f t="shared" si="72"/>
        <v>144</v>
      </c>
      <c r="DH106" s="73">
        <f t="shared" si="73"/>
        <v>44288</v>
      </c>
      <c r="DI106" s="73">
        <f t="shared" si="74"/>
        <v>0</v>
      </c>
      <c r="DJ106" s="73"/>
      <c r="DK106" s="73"/>
      <c r="DL106" s="73">
        <f t="shared" si="75"/>
        <v>0</v>
      </c>
      <c r="DM106" s="215">
        <f t="shared" si="76"/>
        <v>0</v>
      </c>
      <c r="DN106" s="73" t="str">
        <f t="shared" si="77"/>
        <v/>
      </c>
      <c r="DO106" s="73">
        <f t="shared" si="78"/>
        <v>0</v>
      </c>
      <c r="DP106" s="85" t="str">
        <f t="shared" si="79"/>
        <v/>
      </c>
      <c r="EB106" s="70" t="str">
        <f t="shared" si="43"/>
        <v>KHALDA_WELL</v>
      </c>
      <c r="EC106" s="71">
        <f t="shared" si="106"/>
        <v>46298</v>
      </c>
      <c r="ED106" s="72" t="str">
        <f t="shared" si="44"/>
        <v>MEGHAR-10</v>
      </c>
      <c r="EE106" s="73" t="str">
        <f t="shared" si="45"/>
        <v>NO P.CK</v>
      </c>
      <c r="EF106" s="73">
        <f t="shared" si="46"/>
        <v>0</v>
      </c>
      <c r="EG106" s="73">
        <f t="shared" si="47"/>
        <v>0</v>
      </c>
      <c r="EH106" s="73" t="str">
        <f t="shared" si="48"/>
        <v>SI</v>
      </c>
      <c r="EI106" s="73"/>
      <c r="EJ106" s="72"/>
      <c r="EK106" s="72" t="str">
        <f t="shared" si="49"/>
        <v/>
      </c>
      <c r="EL106" s="73">
        <f t="shared" si="50"/>
        <v>1</v>
      </c>
      <c r="EM106" s="213">
        <f t="shared" si="51"/>
        <v>0</v>
      </c>
      <c r="EN106" s="73"/>
      <c r="EO106" s="73"/>
      <c r="EQ106" s="73">
        <f t="shared" si="52"/>
        <v>5.38</v>
      </c>
      <c r="ER106" s="73">
        <f t="shared" si="53"/>
        <v>44288</v>
      </c>
      <c r="ES106" s="73">
        <f t="shared" si="54"/>
        <v>144</v>
      </c>
      <c r="ET106" s="73">
        <f t="shared" si="55"/>
        <v>0</v>
      </c>
      <c r="EU106" s="73"/>
      <c r="EV106" s="73"/>
      <c r="EX106" s="3">
        <f t="shared" si="56"/>
        <v>0</v>
      </c>
      <c r="EY106" s="73"/>
      <c r="EZ106" s="73">
        <f t="shared" si="57"/>
        <v>0</v>
      </c>
      <c r="FA106" s="73">
        <f t="shared" si="58"/>
        <v>0</v>
      </c>
      <c r="FB106" s="73">
        <f t="shared" si="59"/>
        <v>0</v>
      </c>
      <c r="FC106" s="73"/>
      <c r="FD106" s="73">
        <f t="shared" si="60"/>
        <v>0</v>
      </c>
    </row>
    <row r="107" spans="2:160" s="3" customFormat="1" ht="14.25" customHeight="1">
      <c r="B107" s="316" t="s">
        <v>1962</v>
      </c>
      <c r="C107" s="317" t="s">
        <v>2180</v>
      </c>
      <c r="D107" s="317" t="s">
        <v>18</v>
      </c>
      <c r="E107" s="991">
        <v>0</v>
      </c>
      <c r="F107" s="951">
        <f t="shared" si="109"/>
        <v>0</v>
      </c>
      <c r="G107" s="48"/>
      <c r="H107" s="981"/>
      <c r="I107" s="48" t="s">
        <v>2335</v>
      </c>
      <c r="J107" s="48">
        <v>0</v>
      </c>
      <c r="K107" s="48">
        <v>0</v>
      </c>
      <c r="L107" s="48">
        <v>0</v>
      </c>
      <c r="M107" s="22"/>
      <c r="N107" s="140"/>
      <c r="O107" s="748">
        <v>44656</v>
      </c>
      <c r="P107" s="48">
        <v>994</v>
      </c>
      <c r="Q107" s="48">
        <v>3125</v>
      </c>
      <c r="R107" s="48">
        <v>9484</v>
      </c>
      <c r="S107" s="886">
        <v>0</v>
      </c>
      <c r="T107" s="886">
        <v>0</v>
      </c>
      <c r="U107" s="886">
        <v>0</v>
      </c>
      <c r="V107" s="140"/>
      <c r="W107" s="140"/>
      <c r="X107" s="48"/>
      <c r="Y107" s="140"/>
      <c r="Z107" s="748"/>
      <c r="AA107" s="48"/>
      <c r="AB107" s="48"/>
      <c r="AC107" s="48"/>
      <c r="AD107" s="886"/>
      <c r="AE107" s="886"/>
      <c r="AF107" s="532">
        <f>AK107/24*E107</f>
        <v>0</v>
      </c>
      <c r="AG107" s="531">
        <f>AM107/24*E107</f>
        <v>0</v>
      </c>
      <c r="AH107" s="304">
        <v>44504</v>
      </c>
      <c r="AI107" s="13">
        <v>31</v>
      </c>
      <c r="AJ107" s="15">
        <v>1</v>
      </c>
      <c r="AK107" s="15">
        <v>0</v>
      </c>
      <c r="AL107" s="13"/>
      <c r="AM107" s="93">
        <f t="shared" si="0"/>
        <v>30.69</v>
      </c>
      <c r="AN107" s="687"/>
      <c r="AO107" s="213"/>
      <c r="CJ107" s="921">
        <f t="shared" si="62"/>
        <v>0</v>
      </c>
      <c r="CT107" s="35"/>
      <c r="CU107" s="70" t="s">
        <v>2039</v>
      </c>
      <c r="CV107" s="71">
        <f t="shared" si="1"/>
        <v>46298</v>
      </c>
      <c r="CW107" s="72" t="str">
        <f t="shared" si="63"/>
        <v>9MEGHAR-12</v>
      </c>
      <c r="CX107" s="73" t="str">
        <f t="shared" si="64"/>
        <v>NO P.CK</v>
      </c>
      <c r="CY107" s="73">
        <f t="shared" si="65"/>
        <v>0</v>
      </c>
      <c r="CZ107" s="73">
        <f t="shared" si="66"/>
        <v>0</v>
      </c>
      <c r="DA107" s="73" t="str">
        <f t="shared" si="67"/>
        <v>SI</v>
      </c>
      <c r="DB107" s="73"/>
      <c r="DC107" s="368">
        <f t="shared" si="68"/>
        <v>0</v>
      </c>
      <c r="DD107" s="73">
        <f t="shared" si="69"/>
        <v>0</v>
      </c>
      <c r="DE107" s="73">
        <f t="shared" si="70"/>
        <v>0</v>
      </c>
      <c r="DF107" s="73">
        <f t="shared" si="71"/>
        <v>0</v>
      </c>
      <c r="DG107" s="73">
        <f t="shared" si="72"/>
        <v>0</v>
      </c>
      <c r="DH107" s="73">
        <f t="shared" si="73"/>
        <v>0</v>
      </c>
      <c r="DI107" s="73">
        <f t="shared" si="74"/>
        <v>0</v>
      </c>
      <c r="DJ107" s="73"/>
      <c r="DK107" s="73"/>
      <c r="DL107" s="73">
        <f t="shared" si="75"/>
        <v>0</v>
      </c>
      <c r="DM107" s="215">
        <f t="shared" si="76"/>
        <v>0</v>
      </c>
      <c r="DN107" s="73" t="str">
        <f t="shared" si="77"/>
        <v/>
      </c>
      <c r="DO107" s="73">
        <f t="shared" si="78"/>
        <v>0</v>
      </c>
      <c r="DP107" s="85" t="str">
        <f t="shared" si="79"/>
        <v/>
      </c>
      <c r="EB107" s="70" t="str">
        <f t="shared" si="43"/>
        <v>KHALDA_WELL</v>
      </c>
      <c r="EC107" s="71">
        <f t="shared" si="106"/>
        <v>46298</v>
      </c>
      <c r="ED107" s="72" t="str">
        <f t="shared" si="44"/>
        <v>MEGHAR-12</v>
      </c>
      <c r="EE107" s="73" t="str">
        <f t="shared" si="45"/>
        <v>NO P.CK</v>
      </c>
      <c r="EF107" s="73">
        <f t="shared" si="46"/>
        <v>0</v>
      </c>
      <c r="EG107" s="73">
        <f t="shared" si="47"/>
        <v>0</v>
      </c>
      <c r="EH107" s="73" t="str">
        <f t="shared" si="48"/>
        <v>SI</v>
      </c>
      <c r="EI107" s="73"/>
      <c r="EJ107" s="72"/>
      <c r="EK107" s="72" t="str">
        <f t="shared" si="49"/>
        <v/>
      </c>
      <c r="EL107" s="73">
        <f t="shared" si="50"/>
        <v>1</v>
      </c>
      <c r="EM107" s="213">
        <f t="shared" si="51"/>
        <v>0</v>
      </c>
      <c r="EN107" s="73"/>
      <c r="EO107" s="73"/>
      <c r="EQ107" s="73">
        <f t="shared" si="52"/>
        <v>0</v>
      </c>
      <c r="ER107" s="73">
        <f t="shared" si="53"/>
        <v>0</v>
      </c>
      <c r="ES107" s="73">
        <f t="shared" si="54"/>
        <v>0</v>
      </c>
      <c r="ET107" s="73">
        <f t="shared" si="55"/>
        <v>0</v>
      </c>
      <c r="EU107" s="73"/>
      <c r="EV107" s="73"/>
      <c r="EX107" s="3">
        <f t="shared" si="56"/>
        <v>0</v>
      </c>
      <c r="EY107" s="73"/>
      <c r="EZ107" s="73">
        <f t="shared" si="57"/>
        <v>0</v>
      </c>
      <c r="FA107" s="73">
        <f t="shared" si="58"/>
        <v>0</v>
      </c>
      <c r="FB107" s="73">
        <f t="shared" si="59"/>
        <v>0</v>
      </c>
      <c r="FC107" s="73"/>
      <c r="FD107" s="73">
        <f t="shared" si="60"/>
        <v>0</v>
      </c>
    </row>
    <row r="108" spans="2:160" s="3" customFormat="1" ht="16.5" customHeight="1">
      <c r="B108" s="316" t="s">
        <v>2137</v>
      </c>
      <c r="C108" s="317" t="s">
        <v>21</v>
      </c>
      <c r="D108" s="317" t="s">
        <v>18</v>
      </c>
      <c r="E108" s="991">
        <v>0</v>
      </c>
      <c r="F108" s="951">
        <f t="shared" si="109"/>
        <v>0</v>
      </c>
      <c r="G108" s="48"/>
      <c r="H108" s="981">
        <v>0</v>
      </c>
      <c r="I108" s="48" t="s">
        <v>2335</v>
      </c>
      <c r="J108" s="48">
        <v>0</v>
      </c>
      <c r="K108" s="48">
        <v>0</v>
      </c>
      <c r="L108" s="48">
        <v>0</v>
      </c>
      <c r="M108" s="22"/>
      <c r="N108" s="140"/>
      <c r="O108" s="748"/>
      <c r="P108" s="48"/>
      <c r="Q108" s="48"/>
      <c r="R108" s="48"/>
      <c r="S108" s="886"/>
      <c r="T108" s="886"/>
      <c r="U108" s="886"/>
      <c r="V108" s="140"/>
      <c r="W108" s="140"/>
      <c r="X108" s="48"/>
      <c r="Y108" s="140"/>
      <c r="Z108" s="748"/>
      <c r="AA108" s="48"/>
      <c r="AB108" s="48"/>
      <c r="AC108" s="48"/>
      <c r="AD108" s="886"/>
      <c r="AE108" s="886"/>
      <c r="AF108" s="532">
        <f>AK108/24*E108</f>
        <v>0</v>
      </c>
      <c r="AG108" s="531">
        <f>AM108/24*E108</f>
        <v>0</v>
      </c>
      <c r="AH108" s="304">
        <v>44957</v>
      </c>
      <c r="AI108" s="13">
        <v>47</v>
      </c>
      <c r="AJ108" s="15">
        <v>4.8</v>
      </c>
      <c r="AK108" s="15">
        <v>0</v>
      </c>
      <c r="AL108" s="13"/>
      <c r="AM108" s="93">
        <f>IF(BFPD=0,0,BFPD*(1-BSW/100))</f>
        <v>44.744</v>
      </c>
      <c r="AN108" s="687"/>
      <c r="AO108" s="213"/>
      <c r="CJ108" s="921">
        <f t="shared" si="62"/>
        <v>0</v>
      </c>
      <c r="CT108" s="35"/>
      <c r="CU108" s="70" t="s">
        <v>2041</v>
      </c>
      <c r="CV108" s="71">
        <f t="shared" si="1"/>
        <v>46298</v>
      </c>
      <c r="CW108" s="72" t="str">
        <f>$CT$3&amp;B108</f>
        <v>9MEGHAR-14</v>
      </c>
      <c r="CX108" s="73" t="str">
        <f>I108</f>
        <v>NO P.CK</v>
      </c>
      <c r="CY108" s="73">
        <f>J108</f>
        <v>0</v>
      </c>
      <c r="CZ108" s="73">
        <f>E108</f>
        <v>0</v>
      </c>
      <c r="DA108" s="73" t="str">
        <f>IF(CZ108=0,"SI",D108)</f>
        <v>SI</v>
      </c>
      <c r="DB108" s="73"/>
      <c r="DC108" s="368">
        <f>E108*((H108*1000)/24)</f>
        <v>0</v>
      </c>
      <c r="DD108" s="73">
        <f>N108</f>
        <v>0</v>
      </c>
      <c r="DE108" s="73">
        <f t="shared" ref="DE108:DG109" si="110">V108</f>
        <v>0</v>
      </c>
      <c r="DF108" s="73">
        <f t="shared" si="110"/>
        <v>0</v>
      </c>
      <c r="DG108" s="73">
        <f t="shared" si="110"/>
        <v>0</v>
      </c>
      <c r="DH108" s="73">
        <f>Z108</f>
        <v>0</v>
      </c>
      <c r="DI108" s="73">
        <f>AD108</f>
        <v>0</v>
      </c>
      <c r="DJ108" s="73"/>
      <c r="DK108" s="73"/>
      <c r="DL108" s="73">
        <f>AE108</f>
        <v>0</v>
      </c>
      <c r="DM108" s="215">
        <f>AG108</f>
        <v>0</v>
      </c>
      <c r="DN108" s="73" t="str">
        <f>IF(G108="","",G108)</f>
        <v/>
      </c>
      <c r="DO108" s="73">
        <f>AM108/24*HOURS</f>
        <v>0</v>
      </c>
      <c r="DP108" s="85" t="str">
        <f>IF(OR(D108="SI",B108="",D108="T&amp;A"),"",VLOOKUP(B108,WELL_FIELD,2))</f>
        <v/>
      </c>
      <c r="EB108" s="70" t="str">
        <f t="shared" si="43"/>
        <v>KHALDA_WELL</v>
      </c>
      <c r="EC108" s="71">
        <f t="shared" si="106"/>
        <v>46298</v>
      </c>
      <c r="ED108" s="72" t="str">
        <f t="shared" si="44"/>
        <v>MEGHAR-14</v>
      </c>
      <c r="EE108" s="73" t="str">
        <f t="shared" si="45"/>
        <v>NO P.CK</v>
      </c>
      <c r="EF108" s="73">
        <f t="shared" si="46"/>
        <v>0</v>
      </c>
      <c r="EG108" s="73">
        <f t="shared" si="47"/>
        <v>0</v>
      </c>
      <c r="EH108" s="73" t="str">
        <f t="shared" si="48"/>
        <v>SI</v>
      </c>
      <c r="EI108" s="73"/>
      <c r="EJ108" s="72"/>
      <c r="EK108" s="72" t="str">
        <f t="shared" si="49"/>
        <v/>
      </c>
      <c r="EL108" s="73">
        <f t="shared" si="50"/>
        <v>4.8</v>
      </c>
      <c r="EM108" s="213">
        <f t="shared" si="51"/>
        <v>0</v>
      </c>
      <c r="EN108" s="73"/>
      <c r="EO108" s="73"/>
      <c r="EQ108" s="73">
        <f t="shared" si="52"/>
        <v>0</v>
      </c>
      <c r="ER108" s="73">
        <f t="shared" si="53"/>
        <v>0</v>
      </c>
      <c r="ES108" s="73">
        <f t="shared" si="54"/>
        <v>0</v>
      </c>
      <c r="ET108" s="73">
        <f t="shared" si="55"/>
        <v>0</v>
      </c>
      <c r="EU108" s="73"/>
      <c r="EV108" s="73"/>
      <c r="EX108" s="3">
        <f t="shared" si="56"/>
        <v>0</v>
      </c>
      <c r="EY108" s="73"/>
      <c r="EZ108" s="73">
        <f t="shared" si="57"/>
        <v>0</v>
      </c>
      <c r="FA108" s="73">
        <f t="shared" si="58"/>
        <v>0</v>
      </c>
      <c r="FB108" s="73">
        <f t="shared" si="59"/>
        <v>0</v>
      </c>
      <c r="FC108" s="73"/>
      <c r="FD108" s="73">
        <f t="shared" si="60"/>
        <v>0</v>
      </c>
    </row>
    <row r="109" spans="2:160" s="3" customFormat="1" ht="14.25" customHeight="1">
      <c r="B109" s="316" t="s">
        <v>2202</v>
      </c>
      <c r="C109" s="317" t="s">
        <v>21</v>
      </c>
      <c r="D109" s="317" t="s">
        <v>1301</v>
      </c>
      <c r="E109" s="991">
        <v>24</v>
      </c>
      <c r="F109" s="951">
        <f t="shared" si="109"/>
        <v>0</v>
      </c>
      <c r="G109" s="48"/>
      <c r="H109" s="981">
        <v>0.83104457459946146</v>
      </c>
      <c r="I109" s="48" t="s">
        <v>2335</v>
      </c>
      <c r="J109" s="48">
        <v>250</v>
      </c>
      <c r="K109" s="48">
        <v>240</v>
      </c>
      <c r="L109" s="48">
        <v>480</v>
      </c>
      <c r="M109" s="22"/>
      <c r="N109" s="140"/>
      <c r="O109" s="748"/>
      <c r="P109" s="48"/>
      <c r="Q109" s="48"/>
      <c r="R109" s="48"/>
      <c r="S109" s="886"/>
      <c r="T109" s="886"/>
      <c r="U109" s="886"/>
      <c r="V109" s="140"/>
      <c r="W109" s="140"/>
      <c r="X109" s="48"/>
      <c r="Y109" s="140"/>
      <c r="Z109" s="748"/>
      <c r="AA109" s="48"/>
      <c r="AB109" s="48"/>
      <c r="AC109" s="48"/>
      <c r="AD109" s="886"/>
      <c r="AE109" s="886"/>
      <c r="AF109" s="532">
        <f>AK109/24*E109</f>
        <v>7.7000000000000179E-2</v>
      </c>
      <c r="AG109" s="531">
        <f>AM109/24*E109</f>
        <v>25.200000000000003</v>
      </c>
      <c r="AH109" s="304">
        <v>46277</v>
      </c>
      <c r="AI109" s="13">
        <v>36</v>
      </c>
      <c r="AJ109" s="15">
        <v>30</v>
      </c>
      <c r="AK109" s="15">
        <v>7.7000000000000179E-2</v>
      </c>
      <c r="AL109" s="13">
        <v>76000</v>
      </c>
      <c r="AM109" s="93">
        <f>IF(BFPD=0,0,BFPD*(1-BSW/100))</f>
        <v>25.2</v>
      </c>
      <c r="AN109" s="687"/>
      <c r="AO109" s="213"/>
      <c r="CJ109" s="921">
        <f t="shared" si="62"/>
        <v>10.8</v>
      </c>
      <c r="CT109" s="35"/>
      <c r="CU109" s="70" t="s">
        <v>2042</v>
      </c>
      <c r="CV109" s="71">
        <f t="shared" si="1"/>
        <v>46298</v>
      </c>
      <c r="CW109" s="72" t="str">
        <f>$CT$3&amp;B109</f>
        <v>9MEGHAR-16</v>
      </c>
      <c r="CX109" s="73" t="str">
        <f>I109</f>
        <v>NO P.CK</v>
      </c>
      <c r="CY109" s="73">
        <f>J109</f>
        <v>250</v>
      </c>
      <c r="CZ109" s="73">
        <f>E109</f>
        <v>24</v>
      </c>
      <c r="DA109" s="73" t="str">
        <f>IF(CZ109=0,"SI",D109)</f>
        <v>G/L</v>
      </c>
      <c r="DB109" s="73"/>
      <c r="DC109" s="368">
        <f>E109*((H109*1000)/24)</f>
        <v>831.04457459946138</v>
      </c>
      <c r="DD109" s="73">
        <f>N109</f>
        <v>0</v>
      </c>
      <c r="DE109" s="73">
        <f t="shared" si="110"/>
        <v>0</v>
      </c>
      <c r="DF109" s="73">
        <f t="shared" si="110"/>
        <v>0</v>
      </c>
      <c r="DG109" s="73">
        <f t="shared" si="110"/>
        <v>0</v>
      </c>
      <c r="DH109" s="73">
        <f>Z109</f>
        <v>0</v>
      </c>
      <c r="DI109" s="73">
        <f>AD109</f>
        <v>0</v>
      </c>
      <c r="DJ109" s="73"/>
      <c r="DK109" s="73"/>
      <c r="DL109" s="73">
        <f>AE109</f>
        <v>0</v>
      </c>
      <c r="DM109" s="215">
        <f>AG109</f>
        <v>25.200000000000003</v>
      </c>
      <c r="DN109" s="73" t="str">
        <f>IF(G109="","",G109)</f>
        <v/>
      </c>
      <c r="DO109" s="73">
        <f>AM109/24*HOURS</f>
        <v>25.200000000000003</v>
      </c>
      <c r="DP109" s="85" t="str">
        <f>IF(OR(D109="SI",B109="",D109="T&amp;A"),"",VLOOKUP(B109,WELL_FIELD,2))</f>
        <v>MEGHAR</v>
      </c>
      <c r="EB109" s="70" t="str">
        <f t="shared" si="43"/>
        <v>KHALDA_WELL</v>
      </c>
      <c r="EC109" s="71">
        <f t="shared" si="106"/>
        <v>46298</v>
      </c>
      <c r="ED109" s="72" t="str">
        <f t="shared" si="44"/>
        <v>MEGHAR-16</v>
      </c>
      <c r="EE109" s="73" t="str">
        <f t="shared" si="45"/>
        <v>NO P.CK</v>
      </c>
      <c r="EF109" s="73">
        <f t="shared" si="46"/>
        <v>250</v>
      </c>
      <c r="EG109" s="73">
        <f t="shared" si="47"/>
        <v>24</v>
      </c>
      <c r="EH109" s="73" t="str">
        <f t="shared" si="48"/>
        <v>G/L</v>
      </c>
      <c r="EI109" s="73"/>
      <c r="EJ109" s="72"/>
      <c r="EK109" s="72" t="str">
        <f t="shared" si="49"/>
        <v/>
      </c>
      <c r="EL109" s="73">
        <f t="shared" si="50"/>
        <v>30</v>
      </c>
      <c r="EM109" s="213">
        <f t="shared" si="51"/>
        <v>0</v>
      </c>
      <c r="EN109" s="73"/>
      <c r="EO109" s="73"/>
      <c r="EQ109" s="73">
        <f t="shared" si="52"/>
        <v>0</v>
      </c>
      <c r="ER109" s="73">
        <f t="shared" si="53"/>
        <v>0</v>
      </c>
      <c r="ES109" s="73">
        <f t="shared" si="54"/>
        <v>0</v>
      </c>
      <c r="ET109" s="73">
        <f t="shared" si="55"/>
        <v>0</v>
      </c>
      <c r="EU109" s="73"/>
      <c r="EV109" s="73"/>
      <c r="EX109" s="3">
        <f t="shared" si="56"/>
        <v>0</v>
      </c>
      <c r="EY109" s="73"/>
      <c r="EZ109" s="73">
        <f t="shared" si="57"/>
        <v>0</v>
      </c>
      <c r="FA109" s="73">
        <f t="shared" si="58"/>
        <v>0</v>
      </c>
      <c r="FB109" s="73">
        <f t="shared" si="59"/>
        <v>0</v>
      </c>
      <c r="FC109" s="73"/>
      <c r="FD109" s="73">
        <f t="shared" si="60"/>
        <v>0</v>
      </c>
    </row>
    <row r="110" spans="2:160" s="3" customFormat="1" ht="16.5" customHeight="1">
      <c r="B110" s="316" t="s">
        <v>1565</v>
      </c>
      <c r="C110" s="317" t="s">
        <v>21</v>
      </c>
      <c r="D110" s="317" t="s">
        <v>18</v>
      </c>
      <c r="E110" s="991">
        <v>0</v>
      </c>
      <c r="F110" s="951">
        <f t="shared" si="109"/>
        <v>0</v>
      </c>
      <c r="G110" s="48"/>
      <c r="H110" s="981"/>
      <c r="I110" s="48" t="s">
        <v>2335</v>
      </c>
      <c r="J110" s="48">
        <v>0</v>
      </c>
      <c r="K110" s="48">
        <v>0</v>
      </c>
      <c r="L110" s="48">
        <v>0</v>
      </c>
      <c r="M110" s="22"/>
      <c r="N110" s="140"/>
      <c r="O110" s="748">
        <v>44542</v>
      </c>
      <c r="P110" s="48" t="s">
        <v>2200</v>
      </c>
      <c r="Q110" s="48" t="s">
        <v>2200</v>
      </c>
      <c r="R110" s="48">
        <v>9911.5</v>
      </c>
      <c r="S110" s="886">
        <v>0</v>
      </c>
      <c r="T110" s="886">
        <v>0</v>
      </c>
      <c r="U110" s="886">
        <v>0</v>
      </c>
      <c r="V110" s="140"/>
      <c r="W110" s="140"/>
      <c r="X110" s="48"/>
      <c r="Y110" s="140"/>
      <c r="Z110" s="748"/>
      <c r="AA110" s="48"/>
      <c r="AB110" s="48"/>
      <c r="AC110" s="48"/>
      <c r="AD110" s="886"/>
      <c r="AE110" s="886"/>
      <c r="AF110" s="532">
        <f t="shared" si="104"/>
        <v>0</v>
      </c>
      <c r="AG110" s="531">
        <f t="shared" si="105"/>
        <v>0</v>
      </c>
      <c r="AH110" s="304">
        <v>43820</v>
      </c>
      <c r="AI110" s="13">
        <v>22</v>
      </c>
      <c r="AJ110" s="15">
        <v>40.700000000000003</v>
      </c>
      <c r="AK110" s="15">
        <v>0</v>
      </c>
      <c r="AL110" s="13"/>
      <c r="AM110" s="93">
        <f t="shared" si="0"/>
        <v>13.045999999999999</v>
      </c>
      <c r="AN110" s="687"/>
      <c r="AO110" s="213"/>
      <c r="CJ110" s="921">
        <f t="shared" si="62"/>
        <v>0</v>
      </c>
      <c r="CT110" s="35"/>
      <c r="CU110" s="70" t="s">
        <v>2040</v>
      </c>
      <c r="CV110" s="71">
        <f t="shared" si="1"/>
        <v>46298</v>
      </c>
      <c r="CW110" s="72" t="str">
        <f t="shared" si="63"/>
        <v>9MEGHAR-E01</v>
      </c>
      <c r="CX110" s="73" t="str">
        <f t="shared" si="64"/>
        <v>NO P.CK</v>
      </c>
      <c r="CY110" s="73">
        <f t="shared" si="65"/>
        <v>0</v>
      </c>
      <c r="CZ110" s="73">
        <f t="shared" si="66"/>
        <v>0</v>
      </c>
      <c r="DA110" s="73" t="str">
        <f t="shared" si="67"/>
        <v>SI</v>
      </c>
      <c r="DB110" s="73"/>
      <c r="DC110" s="368">
        <f t="shared" si="68"/>
        <v>0</v>
      </c>
      <c r="DD110" s="73">
        <f t="shared" si="69"/>
        <v>0</v>
      </c>
      <c r="DE110" s="73">
        <f t="shared" si="70"/>
        <v>0</v>
      </c>
      <c r="DF110" s="73">
        <f t="shared" si="71"/>
        <v>0</v>
      </c>
      <c r="DG110" s="73">
        <f t="shared" si="72"/>
        <v>0</v>
      </c>
      <c r="DH110" s="73">
        <f t="shared" si="73"/>
        <v>0</v>
      </c>
      <c r="DI110" s="73">
        <f t="shared" si="74"/>
        <v>0</v>
      </c>
      <c r="DJ110" s="73"/>
      <c r="DK110" s="73"/>
      <c r="DL110" s="73">
        <f t="shared" si="75"/>
        <v>0</v>
      </c>
      <c r="DM110" s="215">
        <f t="shared" si="76"/>
        <v>0</v>
      </c>
      <c r="DN110" s="73" t="str">
        <f t="shared" si="77"/>
        <v/>
      </c>
      <c r="DO110" s="73">
        <f t="shared" si="78"/>
        <v>0</v>
      </c>
      <c r="DP110" s="85" t="str">
        <f t="shared" si="79"/>
        <v/>
      </c>
      <c r="EB110" s="70" t="str">
        <f t="shared" si="43"/>
        <v>KHALDA_WELL</v>
      </c>
      <c r="EC110" s="71">
        <f t="shared" si="106"/>
        <v>46298</v>
      </c>
      <c r="ED110" s="72" t="str">
        <f t="shared" si="44"/>
        <v>MEGHAR-E01</v>
      </c>
      <c r="EE110" s="73" t="str">
        <f t="shared" si="45"/>
        <v>NO P.CK</v>
      </c>
      <c r="EF110" s="73">
        <f t="shared" si="46"/>
        <v>0</v>
      </c>
      <c r="EG110" s="73">
        <f t="shared" si="47"/>
        <v>0</v>
      </c>
      <c r="EH110" s="73" t="str">
        <f t="shared" si="48"/>
        <v>SI</v>
      </c>
      <c r="EI110" s="73"/>
      <c r="EJ110" s="72"/>
      <c r="EK110" s="72" t="str">
        <f t="shared" si="49"/>
        <v/>
      </c>
      <c r="EL110" s="73">
        <f t="shared" si="50"/>
        <v>40.700000000000003</v>
      </c>
      <c r="EM110" s="213">
        <f t="shared" si="51"/>
        <v>0</v>
      </c>
      <c r="EN110" s="73"/>
      <c r="EO110" s="73"/>
      <c r="EQ110" s="73">
        <f t="shared" si="52"/>
        <v>0</v>
      </c>
      <c r="ER110" s="73">
        <f t="shared" si="53"/>
        <v>0</v>
      </c>
      <c r="ES110" s="73">
        <f t="shared" si="54"/>
        <v>0</v>
      </c>
      <c r="ET110" s="73">
        <f t="shared" si="55"/>
        <v>0</v>
      </c>
      <c r="EU110" s="73"/>
      <c r="EV110" s="73"/>
      <c r="EX110" s="3">
        <f t="shared" si="56"/>
        <v>0</v>
      </c>
      <c r="EY110" s="73"/>
      <c r="EZ110" s="73">
        <f t="shared" si="57"/>
        <v>0</v>
      </c>
      <c r="FA110" s="73">
        <f t="shared" si="58"/>
        <v>0</v>
      </c>
      <c r="FB110" s="73">
        <f t="shared" si="59"/>
        <v>0</v>
      </c>
      <c r="FC110" s="73"/>
      <c r="FD110" s="73">
        <f t="shared" si="60"/>
        <v>0</v>
      </c>
    </row>
    <row r="111" spans="2:160" s="3" customFormat="1" ht="16.5" customHeight="1">
      <c r="B111" s="316" t="s">
        <v>2261</v>
      </c>
      <c r="C111" s="317" t="s">
        <v>1341</v>
      </c>
      <c r="D111" s="317" t="s">
        <v>18</v>
      </c>
      <c r="E111" s="991">
        <v>0</v>
      </c>
      <c r="F111" s="951">
        <f t="shared" si="109"/>
        <v>0</v>
      </c>
      <c r="G111" s="48"/>
      <c r="H111" s="981"/>
      <c r="I111" s="48" t="s">
        <v>1743</v>
      </c>
      <c r="J111" s="48">
        <v>260</v>
      </c>
      <c r="K111" s="48">
        <v>0</v>
      </c>
      <c r="L111" s="48">
        <v>240</v>
      </c>
      <c r="M111" s="22"/>
      <c r="N111" s="140"/>
      <c r="O111" s="748"/>
      <c r="P111" s="48"/>
      <c r="Q111" s="48"/>
      <c r="R111" s="48"/>
      <c r="S111" s="886"/>
      <c r="T111" s="886"/>
      <c r="U111" s="886"/>
      <c r="V111" s="140"/>
      <c r="W111" s="140"/>
      <c r="X111" s="48"/>
      <c r="Y111" s="140"/>
      <c r="Z111" s="748"/>
      <c r="AA111" s="48"/>
      <c r="AB111" s="48"/>
      <c r="AC111" s="48"/>
      <c r="AD111" s="886">
        <v>0</v>
      </c>
      <c r="AE111" s="886">
        <v>0</v>
      </c>
      <c r="AF111" s="532">
        <f>AK111/24*E111</f>
        <v>0</v>
      </c>
      <c r="AG111" s="531">
        <f>AM111/24*E111</f>
        <v>0</v>
      </c>
      <c r="AH111" s="304">
        <v>45713</v>
      </c>
      <c r="AI111" s="13">
        <v>457</v>
      </c>
      <c r="AJ111" s="15">
        <v>95.6</v>
      </c>
      <c r="AK111" s="15">
        <v>0.156</v>
      </c>
      <c r="AL111" s="13"/>
      <c r="AM111" s="93">
        <f t="shared" si="0"/>
        <v>20.108000000000018</v>
      </c>
      <c r="AN111" s="963"/>
      <c r="AO111" s="213"/>
      <c r="CJ111" s="921"/>
      <c r="CT111" s="35"/>
      <c r="CU111" s="70" t="s">
        <v>2041</v>
      </c>
      <c r="CV111" s="71">
        <f t="shared" si="1"/>
        <v>46298</v>
      </c>
      <c r="CW111" s="72" t="str">
        <f>$CT$3&amp;B111</f>
        <v>9MONTEZUMA-01</v>
      </c>
      <c r="CX111" s="73" t="str">
        <f>I111</f>
        <v>NA</v>
      </c>
      <c r="CY111" s="73">
        <f>J111</f>
        <v>260</v>
      </c>
      <c r="CZ111" s="73">
        <f>E111</f>
        <v>0</v>
      </c>
      <c r="DA111" s="73" t="str">
        <f>IF(CZ111=0,"SI",D111)</f>
        <v>SI</v>
      </c>
      <c r="DB111" s="73"/>
      <c r="DC111" s="368">
        <f>E111*((H111*1000)/24)</f>
        <v>0</v>
      </c>
      <c r="DD111" s="73">
        <f>N111</f>
        <v>0</v>
      </c>
      <c r="DE111" s="73">
        <f>V111</f>
        <v>0</v>
      </c>
      <c r="DF111" s="73">
        <f>W111</f>
        <v>0</v>
      </c>
      <c r="DG111" s="73">
        <f>X111</f>
        <v>0</v>
      </c>
      <c r="DH111" s="73">
        <f>Z111</f>
        <v>0</v>
      </c>
      <c r="DI111" s="73">
        <f>AD111</f>
        <v>0</v>
      </c>
      <c r="DJ111" s="73"/>
      <c r="DK111" s="73"/>
      <c r="DL111" s="73">
        <f>AE111</f>
        <v>0</v>
      </c>
      <c r="DM111" s="215">
        <f>AG111</f>
        <v>0</v>
      </c>
      <c r="DN111" s="73" t="str">
        <f>IF(G111="","",G111)</f>
        <v/>
      </c>
      <c r="DO111" s="73">
        <f>AM111/24*HOURS</f>
        <v>0</v>
      </c>
      <c r="DP111" s="85" t="str">
        <f>IF(OR(D111="SI",B111="",D111="T&amp;A"),"",VLOOKUP(B111,WELL_FIELD,2))</f>
        <v/>
      </c>
      <c r="EB111" s="70" t="str">
        <f t="shared" si="43"/>
        <v>KHALDA_WELL</v>
      </c>
      <c r="EC111" s="71">
        <f t="shared" si="106"/>
        <v>46298</v>
      </c>
      <c r="ED111" s="72" t="str">
        <f t="shared" si="44"/>
        <v>MONTEZUMA-01</v>
      </c>
      <c r="EE111" s="73" t="str">
        <f t="shared" si="45"/>
        <v>NA</v>
      </c>
      <c r="EF111" s="73">
        <f t="shared" si="46"/>
        <v>260</v>
      </c>
      <c r="EG111" s="73">
        <f t="shared" si="47"/>
        <v>0</v>
      </c>
      <c r="EH111" s="73" t="str">
        <f t="shared" si="48"/>
        <v>SI</v>
      </c>
      <c r="EI111" s="73"/>
      <c r="EJ111" s="72"/>
      <c r="EK111" s="72" t="str">
        <f t="shared" si="49"/>
        <v/>
      </c>
      <c r="EL111" s="73">
        <f t="shared" si="50"/>
        <v>95.6</v>
      </c>
      <c r="EM111" s="213">
        <f t="shared" si="51"/>
        <v>0</v>
      </c>
      <c r="EN111" s="73"/>
      <c r="EO111" s="73"/>
      <c r="EQ111" s="73">
        <f t="shared" si="52"/>
        <v>0</v>
      </c>
      <c r="ER111" s="73">
        <f t="shared" si="53"/>
        <v>0</v>
      </c>
      <c r="ES111" s="73">
        <f t="shared" si="54"/>
        <v>0</v>
      </c>
      <c r="ET111" s="73">
        <f t="shared" si="55"/>
        <v>0</v>
      </c>
      <c r="EU111" s="73"/>
      <c r="EV111" s="73"/>
      <c r="EX111" s="3">
        <f t="shared" si="56"/>
        <v>0</v>
      </c>
      <c r="EY111" s="73"/>
      <c r="EZ111" s="73">
        <f t="shared" si="57"/>
        <v>0</v>
      </c>
      <c r="FA111" s="73">
        <f t="shared" si="58"/>
        <v>0</v>
      </c>
      <c r="FB111" s="73">
        <f t="shared" si="59"/>
        <v>0</v>
      </c>
      <c r="FC111" s="73"/>
      <c r="FD111" s="73">
        <f t="shared" si="60"/>
        <v>0</v>
      </c>
    </row>
    <row r="112" spans="2:160" s="3" customFormat="1" ht="16.5" customHeight="1">
      <c r="B112" s="316" t="s">
        <v>1312</v>
      </c>
      <c r="C112" s="317" t="s">
        <v>1307</v>
      </c>
      <c r="D112" s="317" t="s">
        <v>1301</v>
      </c>
      <c r="E112" s="991">
        <v>24</v>
      </c>
      <c r="F112" s="951">
        <f t="shared" si="109"/>
        <v>0</v>
      </c>
      <c r="G112" s="48"/>
      <c r="H112" s="981">
        <v>1.4</v>
      </c>
      <c r="I112" s="48" t="s">
        <v>2335</v>
      </c>
      <c r="J112" s="48">
        <v>180</v>
      </c>
      <c r="K112" s="48">
        <v>180</v>
      </c>
      <c r="L112" s="48">
        <v>925</v>
      </c>
      <c r="M112" s="22"/>
      <c r="N112" s="140"/>
      <c r="O112" s="748"/>
      <c r="P112" s="48"/>
      <c r="Q112" s="48"/>
      <c r="R112" s="48"/>
      <c r="S112" s="886"/>
      <c r="T112" s="886"/>
      <c r="U112" s="886"/>
      <c r="V112" s="140"/>
      <c r="W112" s="140"/>
      <c r="X112" s="48"/>
      <c r="Y112" s="140"/>
      <c r="Z112" s="748"/>
      <c r="AA112" s="48"/>
      <c r="AB112" s="48"/>
      <c r="AC112" s="48"/>
      <c r="AD112" s="886"/>
      <c r="AE112" s="886"/>
      <c r="AF112" s="532">
        <f t="shared" si="104"/>
        <v>0.125</v>
      </c>
      <c r="AG112" s="531">
        <f t="shared" si="105"/>
        <v>138.45000000000002</v>
      </c>
      <c r="AH112" s="304">
        <v>46282</v>
      </c>
      <c r="AI112" s="13">
        <v>355</v>
      </c>
      <c r="AJ112" s="15">
        <v>61</v>
      </c>
      <c r="AK112" s="15">
        <v>0.125</v>
      </c>
      <c r="AL112" s="13">
        <v>68000</v>
      </c>
      <c r="AM112" s="93">
        <f t="shared" si="0"/>
        <v>138.45000000000002</v>
      </c>
      <c r="AN112" s="687"/>
      <c r="AO112" s="213"/>
      <c r="CJ112" s="921">
        <f t="shared" si="62"/>
        <v>216.55</v>
      </c>
      <c r="CT112" s="35"/>
      <c r="CU112" s="70" t="s">
        <v>2042</v>
      </c>
      <c r="CV112" s="71">
        <f t="shared" si="1"/>
        <v>46298</v>
      </c>
      <c r="CW112" s="72" t="str">
        <f t="shared" si="63"/>
        <v>9NAG-01</v>
      </c>
      <c r="CX112" s="73" t="str">
        <f t="shared" si="64"/>
        <v>NO P.CK</v>
      </c>
      <c r="CY112" s="73">
        <f t="shared" si="65"/>
        <v>180</v>
      </c>
      <c r="CZ112" s="73">
        <f t="shared" si="66"/>
        <v>24</v>
      </c>
      <c r="DA112" s="73" t="str">
        <f t="shared" si="67"/>
        <v>G/L</v>
      </c>
      <c r="DB112" s="73"/>
      <c r="DC112" s="368">
        <f t="shared" si="68"/>
        <v>1400</v>
      </c>
      <c r="DD112" s="73">
        <f t="shared" si="69"/>
        <v>0</v>
      </c>
      <c r="DE112" s="73">
        <f t="shared" si="70"/>
        <v>0</v>
      </c>
      <c r="DF112" s="73">
        <f t="shared" si="71"/>
        <v>0</v>
      </c>
      <c r="DG112" s="73">
        <f t="shared" si="72"/>
        <v>0</v>
      </c>
      <c r="DH112" s="73">
        <f t="shared" si="73"/>
        <v>0</v>
      </c>
      <c r="DI112" s="73">
        <f t="shared" si="74"/>
        <v>0</v>
      </c>
      <c r="DJ112" s="73"/>
      <c r="DK112" s="73"/>
      <c r="DL112" s="73">
        <f t="shared" si="75"/>
        <v>0</v>
      </c>
      <c r="DM112" s="215">
        <f t="shared" si="76"/>
        <v>138.45000000000002</v>
      </c>
      <c r="DN112" s="73" t="str">
        <f t="shared" si="77"/>
        <v/>
      </c>
      <c r="DO112" s="73">
        <f t="shared" si="78"/>
        <v>138.45000000000002</v>
      </c>
      <c r="DP112" s="85" t="str">
        <f t="shared" si="79"/>
        <v>NAG</v>
      </c>
      <c r="EB112" s="70" t="str">
        <f t="shared" si="43"/>
        <v>KHALDA_WELL</v>
      </c>
      <c r="EC112" s="71">
        <f t="shared" si="106"/>
        <v>46298</v>
      </c>
      <c r="ED112" s="72" t="str">
        <f t="shared" si="44"/>
        <v>NAG-01</v>
      </c>
      <c r="EE112" s="73" t="str">
        <f t="shared" si="45"/>
        <v>NO P.CK</v>
      </c>
      <c r="EF112" s="73">
        <f t="shared" si="46"/>
        <v>180</v>
      </c>
      <c r="EG112" s="73">
        <f t="shared" si="47"/>
        <v>24</v>
      </c>
      <c r="EH112" s="73" t="str">
        <f t="shared" si="48"/>
        <v>G/L</v>
      </c>
      <c r="EI112" s="73"/>
      <c r="EJ112" s="72"/>
      <c r="EK112" s="72" t="str">
        <f t="shared" si="49"/>
        <v/>
      </c>
      <c r="EL112" s="73">
        <f t="shared" si="50"/>
        <v>61</v>
      </c>
      <c r="EM112" s="213">
        <f t="shared" si="51"/>
        <v>0</v>
      </c>
      <c r="EN112" s="73"/>
      <c r="EO112" s="73"/>
      <c r="EQ112" s="73">
        <f t="shared" si="52"/>
        <v>0</v>
      </c>
      <c r="ER112" s="73">
        <f t="shared" si="53"/>
        <v>0</v>
      </c>
      <c r="ES112" s="73">
        <f t="shared" si="54"/>
        <v>0</v>
      </c>
      <c r="ET112" s="73">
        <f t="shared" si="55"/>
        <v>0</v>
      </c>
      <c r="EU112" s="73"/>
      <c r="EV112" s="73"/>
      <c r="EX112" s="3">
        <f t="shared" si="56"/>
        <v>0</v>
      </c>
      <c r="EY112" s="73"/>
      <c r="EZ112" s="73">
        <f t="shared" si="57"/>
        <v>0</v>
      </c>
      <c r="FA112" s="73">
        <f t="shared" si="58"/>
        <v>0</v>
      </c>
      <c r="FB112" s="73">
        <f t="shared" si="59"/>
        <v>0</v>
      </c>
      <c r="FC112" s="73"/>
      <c r="FD112" s="73">
        <f t="shared" si="60"/>
        <v>0</v>
      </c>
    </row>
    <row r="113" spans="2:160" s="3" customFormat="1" ht="16.5" customHeight="1">
      <c r="B113" s="316" t="s">
        <v>2617</v>
      </c>
      <c r="C113" s="317" t="s">
        <v>1307</v>
      </c>
      <c r="D113" s="317" t="s">
        <v>1301</v>
      </c>
      <c r="E113" s="991">
        <v>24</v>
      </c>
      <c r="F113" s="951">
        <f t="shared" si="109"/>
        <v>0</v>
      </c>
      <c r="G113" s="48"/>
      <c r="H113" s="981">
        <v>2</v>
      </c>
      <c r="I113" s="48" t="s">
        <v>2335</v>
      </c>
      <c r="J113" s="48">
        <v>230</v>
      </c>
      <c r="K113" s="48">
        <v>230</v>
      </c>
      <c r="L113" s="48">
        <v>940</v>
      </c>
      <c r="M113" s="22"/>
      <c r="N113" s="140"/>
      <c r="O113" s="748"/>
      <c r="P113" s="48"/>
      <c r="Q113" s="48"/>
      <c r="R113" s="48"/>
      <c r="S113" s="886"/>
      <c r="T113" s="886"/>
      <c r="U113" s="886"/>
      <c r="V113" s="140"/>
      <c r="W113" s="140"/>
      <c r="X113" s="48"/>
      <c r="Y113" s="140"/>
      <c r="Z113" s="748"/>
      <c r="AA113" s="48"/>
      <c r="AB113" s="48"/>
      <c r="AC113" s="48"/>
      <c r="AD113" s="886"/>
      <c r="AE113" s="886"/>
      <c r="AF113" s="532">
        <f>AK113/24*E113</f>
        <v>0.504</v>
      </c>
      <c r="AG113" s="531">
        <f>AM113/24*E113</f>
        <v>561.33000000000004</v>
      </c>
      <c r="AH113" s="304">
        <v>46296</v>
      </c>
      <c r="AI113" s="13">
        <v>567</v>
      </c>
      <c r="AJ113" s="15">
        <v>1</v>
      </c>
      <c r="AK113" s="15">
        <v>0.504</v>
      </c>
      <c r="AL113" s="13">
        <v>30300</v>
      </c>
      <c r="AM113" s="93">
        <f t="shared" si="0"/>
        <v>561.33000000000004</v>
      </c>
      <c r="AN113" s="687"/>
      <c r="AO113" s="213"/>
      <c r="CJ113" s="921">
        <f t="shared" si="62"/>
        <v>5.67</v>
      </c>
      <c r="CT113" s="35"/>
      <c r="CU113" s="70" t="s">
        <v>2044</v>
      </c>
      <c r="CV113" s="71">
        <f t="shared" si="1"/>
        <v>46298</v>
      </c>
      <c r="CW113" s="72" t="str">
        <f>$CT$3&amp;B113</f>
        <v>9NAG-06ST</v>
      </c>
      <c r="CX113" s="73" t="str">
        <f t="shared" ref="CX113:CY115" si="111">I113</f>
        <v>NO P.CK</v>
      </c>
      <c r="CY113" s="73">
        <f t="shared" si="111"/>
        <v>230</v>
      </c>
      <c r="CZ113" s="73">
        <f>E113</f>
        <v>24</v>
      </c>
      <c r="DA113" s="73" t="str">
        <f>IF(CZ113=0,"SI",D113)</f>
        <v>G/L</v>
      </c>
      <c r="DB113" s="73"/>
      <c r="DC113" s="368">
        <f>E113*((H113*1000)/24)</f>
        <v>2000</v>
      </c>
      <c r="DD113" s="73">
        <f>N113</f>
        <v>0</v>
      </c>
      <c r="DE113" s="73">
        <f t="shared" ref="DE113:DG114" si="112">V113</f>
        <v>0</v>
      </c>
      <c r="DF113" s="73">
        <f t="shared" si="112"/>
        <v>0</v>
      </c>
      <c r="DG113" s="73">
        <f t="shared" si="112"/>
        <v>0</v>
      </c>
      <c r="DH113" s="73">
        <f>Z113</f>
        <v>0</v>
      </c>
      <c r="DI113" s="73">
        <f>AD113</f>
        <v>0</v>
      </c>
      <c r="DJ113" s="73"/>
      <c r="DK113" s="73"/>
      <c r="DL113" s="73">
        <f>AE113</f>
        <v>0</v>
      </c>
      <c r="DM113" s="215">
        <f>AG113</f>
        <v>561.33000000000004</v>
      </c>
      <c r="DN113" s="73" t="str">
        <f>IF(G113="","",G113)</f>
        <v/>
      </c>
      <c r="DO113" s="73">
        <f>AM113/24*HOURS</f>
        <v>561.33000000000004</v>
      </c>
      <c r="DP113" s="85" t="str">
        <f>IF(OR(D113="SI",B113="",D113="T&amp;A"),"",VLOOKUP(B113,WELL_FIELD,2))</f>
        <v>NAG</v>
      </c>
      <c r="EB113" s="70" t="str">
        <f>IF(B113="","","KHALDA_WELL")</f>
        <v>KHALDA_WELL</v>
      </c>
      <c r="EC113" s="71">
        <f t="shared" si="106"/>
        <v>46298</v>
      </c>
      <c r="ED113" s="72" t="str">
        <f>B113</f>
        <v>NAG-06ST</v>
      </c>
      <c r="EE113" s="73" t="str">
        <f>I113</f>
        <v>NO P.CK</v>
      </c>
      <c r="EF113" s="73">
        <f>J113</f>
        <v>230</v>
      </c>
      <c r="EG113" s="73">
        <f>E113</f>
        <v>24</v>
      </c>
      <c r="EH113" s="73" t="str">
        <f>IF(CZ113=0,"SI",D113)</f>
        <v>G/L</v>
      </c>
      <c r="EI113" s="73"/>
      <c r="EJ113" s="72"/>
      <c r="EK113" s="72" t="str">
        <f>IF(G113="","",G113)</f>
        <v/>
      </c>
      <c r="EL113" s="73">
        <f>AJ113</f>
        <v>1</v>
      </c>
      <c r="EM113" s="213">
        <f>W113</f>
        <v>0</v>
      </c>
      <c r="EN113" s="73"/>
      <c r="EO113" s="73"/>
      <c r="EQ113" s="73">
        <f>Y113</f>
        <v>0</v>
      </c>
      <c r="ER113" s="73">
        <f>Z113</f>
        <v>0</v>
      </c>
      <c r="ES113" s="73">
        <f>X113</f>
        <v>0</v>
      </c>
      <c r="ET113" s="73">
        <f>AD113</f>
        <v>0</v>
      </c>
      <c r="EU113" s="73"/>
      <c r="EV113" s="73"/>
      <c r="EX113" s="3">
        <f>AE113</f>
        <v>0</v>
      </c>
      <c r="EY113" s="73"/>
      <c r="EZ113" s="73">
        <f t="shared" ref="EZ113:FB114" si="113">S113</f>
        <v>0</v>
      </c>
      <c r="FA113" s="73">
        <f t="shared" si="113"/>
        <v>0</v>
      </c>
      <c r="FB113" s="73">
        <f t="shared" si="113"/>
        <v>0</v>
      </c>
      <c r="FC113" s="73"/>
      <c r="FD113" s="73">
        <f>AN113</f>
        <v>0</v>
      </c>
    </row>
    <row r="114" spans="2:160" s="3" customFormat="1" ht="16.5" customHeight="1">
      <c r="B114" s="316" t="s">
        <v>2393</v>
      </c>
      <c r="C114" s="317" t="s">
        <v>1307</v>
      </c>
      <c r="D114" s="317" t="s">
        <v>1301</v>
      </c>
      <c r="E114" s="991">
        <v>24</v>
      </c>
      <c r="F114" s="951">
        <f t="shared" si="109"/>
        <v>0</v>
      </c>
      <c r="G114" s="48"/>
      <c r="H114" s="981">
        <v>1.5564151007995264</v>
      </c>
      <c r="I114" s="48" t="s">
        <v>2335</v>
      </c>
      <c r="J114" s="48">
        <v>250</v>
      </c>
      <c r="K114" s="48">
        <v>250</v>
      </c>
      <c r="L114" s="48">
        <v>720</v>
      </c>
      <c r="M114" s="22"/>
      <c r="N114" s="140"/>
      <c r="O114" s="748"/>
      <c r="P114" s="48"/>
      <c r="Q114" s="48"/>
      <c r="R114" s="48"/>
      <c r="S114" s="886">
        <v>0</v>
      </c>
      <c r="T114" s="886">
        <v>0</v>
      </c>
      <c r="U114" s="886">
        <v>0</v>
      </c>
      <c r="V114" s="140"/>
      <c r="W114" s="140"/>
      <c r="X114" s="48"/>
      <c r="Y114" s="140"/>
      <c r="Z114" s="748"/>
      <c r="AA114" s="48"/>
      <c r="AB114" s="48"/>
      <c r="AC114" s="48"/>
      <c r="AD114" s="886"/>
      <c r="AE114" s="886"/>
      <c r="AF114" s="532">
        <f>AK114/24*E114</f>
        <v>0.625</v>
      </c>
      <c r="AG114" s="531">
        <f>AM114/24*E114</f>
        <v>518.76</v>
      </c>
      <c r="AH114" s="304">
        <v>46290</v>
      </c>
      <c r="AI114" s="13">
        <v>524</v>
      </c>
      <c r="AJ114" s="15">
        <v>1</v>
      </c>
      <c r="AK114" s="15">
        <v>0.625</v>
      </c>
      <c r="AL114" s="13"/>
      <c r="AM114" s="93">
        <f t="shared" si="0"/>
        <v>518.76</v>
      </c>
      <c r="AN114" s="687"/>
      <c r="AO114" s="213"/>
      <c r="CJ114" s="921"/>
      <c r="CT114" s="35"/>
      <c r="CU114" s="70" t="s">
        <v>2045</v>
      </c>
      <c r="CV114" s="71">
        <f t="shared" si="1"/>
        <v>46298</v>
      </c>
      <c r="CW114" s="72" t="str">
        <f>$CT$3&amp;B114</f>
        <v>9OAKHILL-SW01</v>
      </c>
      <c r="CX114" s="73" t="str">
        <f t="shared" si="111"/>
        <v>NO P.CK</v>
      </c>
      <c r="CY114" s="73">
        <f t="shared" si="111"/>
        <v>250</v>
      </c>
      <c r="CZ114" s="73">
        <f>E114</f>
        <v>24</v>
      </c>
      <c r="DA114" s="73" t="str">
        <f>IF(CZ114=0,"SI",D114)</f>
        <v>G/L</v>
      </c>
      <c r="DB114" s="73"/>
      <c r="DC114" s="368">
        <f>E114*((H114*1000)/24)</f>
        <v>1556.4151007995265</v>
      </c>
      <c r="DD114" s="73">
        <f>N114</f>
        <v>0</v>
      </c>
      <c r="DE114" s="73">
        <f t="shared" si="112"/>
        <v>0</v>
      </c>
      <c r="DF114" s="73">
        <f t="shared" si="112"/>
        <v>0</v>
      </c>
      <c r="DG114" s="73">
        <f t="shared" si="112"/>
        <v>0</v>
      </c>
      <c r="DH114" s="73">
        <f>Z114</f>
        <v>0</v>
      </c>
      <c r="DI114" s="73">
        <f>AD114</f>
        <v>0</v>
      </c>
      <c r="DJ114" s="73"/>
      <c r="DK114" s="73"/>
      <c r="DL114" s="73">
        <f>AE114</f>
        <v>0</v>
      </c>
      <c r="DM114" s="215">
        <f>AG114</f>
        <v>518.76</v>
      </c>
      <c r="DN114" s="73" t="str">
        <f>IF(G114="","",G114)</f>
        <v/>
      </c>
      <c r="DO114" s="73">
        <f>AM114/24*HOURS</f>
        <v>518.76</v>
      </c>
      <c r="DP114" s="85" t="str">
        <f>IF(OR(D114="SI",B114="",D114="T&amp;A"),"",VLOOKUP(B114,WELL_FIELD,2))</f>
        <v>OAKHILL-SW</v>
      </c>
      <c r="EB114" s="70" t="str">
        <f>IF(B114="","","KHALDA_WELL")</f>
        <v>KHALDA_WELL</v>
      </c>
      <c r="EC114" s="71">
        <f t="shared" si="106"/>
        <v>46298</v>
      </c>
      <c r="ED114" s="72" t="str">
        <f>B114</f>
        <v>OAKHILL-SW01</v>
      </c>
      <c r="EE114" s="73" t="str">
        <f>I114</f>
        <v>NO P.CK</v>
      </c>
      <c r="EF114" s="73">
        <f>J114</f>
        <v>250</v>
      </c>
      <c r="EG114" s="73">
        <f>E114</f>
        <v>24</v>
      </c>
      <c r="EH114" s="73" t="str">
        <f>IF(CZ114=0,"SI",D114)</f>
        <v>G/L</v>
      </c>
      <c r="EI114" s="73"/>
      <c r="EJ114" s="72"/>
      <c r="EK114" s="72" t="str">
        <f>IF(G114="","",G114)</f>
        <v/>
      </c>
      <c r="EL114" s="73">
        <f>AJ114</f>
        <v>1</v>
      </c>
      <c r="EM114" s="213">
        <f>W114</f>
        <v>0</v>
      </c>
      <c r="EN114" s="73"/>
      <c r="EO114" s="73"/>
      <c r="EQ114" s="73">
        <f>Y114</f>
        <v>0</v>
      </c>
      <c r="ER114" s="73">
        <f>Z114</f>
        <v>0</v>
      </c>
      <c r="ES114" s="73">
        <f>X114</f>
        <v>0</v>
      </c>
      <c r="ET114" s="73">
        <f>AD114</f>
        <v>0</v>
      </c>
      <c r="EU114" s="73"/>
      <c r="EV114" s="73"/>
      <c r="EX114" s="3">
        <f>AE114</f>
        <v>0</v>
      </c>
      <c r="EY114" s="73"/>
      <c r="EZ114" s="73">
        <f t="shared" si="113"/>
        <v>0</v>
      </c>
      <c r="FA114" s="73">
        <f t="shared" si="113"/>
        <v>0</v>
      </c>
      <c r="FB114" s="73">
        <f t="shared" si="113"/>
        <v>0</v>
      </c>
      <c r="FC114" s="73"/>
      <c r="FD114" s="73">
        <f>AN114</f>
        <v>0</v>
      </c>
    </row>
    <row r="115" spans="2:160" s="3" customFormat="1" ht="18" customHeight="1">
      <c r="B115" s="316" t="s">
        <v>2384</v>
      </c>
      <c r="C115" s="317" t="s">
        <v>1307</v>
      </c>
      <c r="D115" s="317" t="s">
        <v>2</v>
      </c>
      <c r="E115" s="991">
        <v>24</v>
      </c>
      <c r="F115" s="951">
        <f t="shared" si="109"/>
        <v>0</v>
      </c>
      <c r="G115" s="48"/>
      <c r="H115" s="981"/>
      <c r="I115" s="48" t="s">
        <v>2335</v>
      </c>
      <c r="J115" s="48">
        <v>250</v>
      </c>
      <c r="K115" s="48">
        <v>250</v>
      </c>
      <c r="L115" s="48">
        <v>0</v>
      </c>
      <c r="M115" s="22"/>
      <c r="N115" s="140"/>
      <c r="O115" s="748">
        <v>46138</v>
      </c>
      <c r="P115" s="48">
        <v>7255</v>
      </c>
      <c r="Q115" s="48">
        <v>1545</v>
      </c>
      <c r="R115" s="48"/>
      <c r="S115" s="886">
        <v>63</v>
      </c>
      <c r="T115" s="886">
        <v>43</v>
      </c>
      <c r="U115" s="886">
        <v>82</v>
      </c>
      <c r="V115" s="140"/>
      <c r="W115" s="140"/>
      <c r="X115" s="48"/>
      <c r="Y115" s="140"/>
      <c r="Z115" s="748"/>
      <c r="AA115" s="48"/>
      <c r="AB115" s="48"/>
      <c r="AC115" s="48"/>
      <c r="AD115" s="886"/>
      <c r="AE115" s="886"/>
      <c r="AF115" s="532">
        <f t="shared" si="104"/>
        <v>0</v>
      </c>
      <c r="AG115" s="531">
        <f t="shared" si="105"/>
        <v>8.990000000000002</v>
      </c>
      <c r="AH115" s="304">
        <v>46205</v>
      </c>
      <c r="AI115" s="13">
        <v>31</v>
      </c>
      <c r="AJ115" s="15">
        <v>71</v>
      </c>
      <c r="AK115" s="15">
        <v>0</v>
      </c>
      <c r="AL115" s="13">
        <v>32000</v>
      </c>
      <c r="AM115" s="93">
        <f t="shared" si="0"/>
        <v>8.990000000000002</v>
      </c>
      <c r="AN115" s="962" t="s">
        <v>2339</v>
      </c>
      <c r="AO115" s="213"/>
      <c r="CJ115" s="921"/>
      <c r="CT115" s="35"/>
      <c r="CU115" s="70" t="s">
        <v>2043</v>
      </c>
      <c r="CV115" s="71">
        <f t="shared" si="1"/>
        <v>46298</v>
      </c>
      <c r="CW115" s="72" t="str">
        <f>$CT$3&amp;B115</f>
        <v>9OAKHIL-W01ST</v>
      </c>
      <c r="CX115" s="73" t="str">
        <f t="shared" si="111"/>
        <v>NO P.CK</v>
      </c>
      <c r="CY115" s="73">
        <f t="shared" si="111"/>
        <v>250</v>
      </c>
      <c r="CZ115" s="73">
        <f>E115</f>
        <v>24</v>
      </c>
      <c r="DA115" s="73" t="str">
        <f>IF(CZ115=0,"SI",D115)</f>
        <v>SRP</v>
      </c>
      <c r="DB115" s="73"/>
      <c r="DC115" s="368">
        <f>E115*((H115*1000)/24)</f>
        <v>0</v>
      </c>
      <c r="DD115" s="73">
        <f>N115</f>
        <v>0</v>
      </c>
      <c r="DE115" s="73">
        <f>V115</f>
        <v>0</v>
      </c>
      <c r="DF115" s="73">
        <f>W115</f>
        <v>0</v>
      </c>
      <c r="DG115" s="73">
        <f>X115</f>
        <v>0</v>
      </c>
      <c r="DH115" s="73">
        <f>Z115</f>
        <v>0</v>
      </c>
      <c r="DI115" s="73">
        <f>AD115</f>
        <v>0</v>
      </c>
      <c r="DJ115" s="73"/>
      <c r="DK115" s="73"/>
      <c r="DL115" s="73">
        <f>AE115</f>
        <v>0</v>
      </c>
      <c r="DM115" s="215">
        <f>AG115</f>
        <v>8.990000000000002</v>
      </c>
      <c r="DN115" s="73" t="str">
        <f>IF(G115="","",G115)</f>
        <v/>
      </c>
      <c r="DO115" s="73">
        <f>AM115/24*HOURS</f>
        <v>8.990000000000002</v>
      </c>
      <c r="DP115" s="85" t="str">
        <f t="shared" si="79"/>
        <v>OAKHILL-W</v>
      </c>
      <c r="EB115" s="70" t="str">
        <f t="shared" si="43"/>
        <v>KHALDA_WELL</v>
      </c>
      <c r="EC115" s="71">
        <f t="shared" si="106"/>
        <v>46298</v>
      </c>
      <c r="ED115" s="72" t="str">
        <f t="shared" si="44"/>
        <v>OAKHIL-W01ST</v>
      </c>
      <c r="EE115" s="73" t="str">
        <f t="shared" si="45"/>
        <v>NO P.CK</v>
      </c>
      <c r="EF115" s="73">
        <f t="shared" si="46"/>
        <v>250</v>
      </c>
      <c r="EG115" s="73">
        <f t="shared" si="47"/>
        <v>24</v>
      </c>
      <c r="EH115" s="73" t="str">
        <f t="shared" si="48"/>
        <v>SRP</v>
      </c>
      <c r="EI115" s="73"/>
      <c r="EJ115" s="72"/>
      <c r="EK115" s="72" t="str">
        <f t="shared" si="49"/>
        <v/>
      </c>
      <c r="EL115" s="73">
        <f t="shared" si="50"/>
        <v>71</v>
      </c>
      <c r="EM115" s="213">
        <f t="shared" si="51"/>
        <v>0</v>
      </c>
      <c r="EN115" s="73"/>
      <c r="EO115" s="73"/>
      <c r="EQ115" s="73">
        <f t="shared" si="52"/>
        <v>0</v>
      </c>
      <c r="ER115" s="73">
        <f t="shared" si="53"/>
        <v>0</v>
      </c>
      <c r="ES115" s="73">
        <f t="shared" si="54"/>
        <v>0</v>
      </c>
      <c r="ET115" s="73">
        <f t="shared" si="55"/>
        <v>0</v>
      </c>
      <c r="EU115" s="73"/>
      <c r="EV115" s="73"/>
      <c r="EX115" s="3">
        <f t="shared" si="56"/>
        <v>0</v>
      </c>
      <c r="EY115" s="73"/>
      <c r="EZ115" s="73">
        <f t="shared" si="57"/>
        <v>63</v>
      </c>
      <c r="FA115" s="73">
        <f t="shared" si="58"/>
        <v>43</v>
      </c>
      <c r="FB115" s="73">
        <f t="shared" si="59"/>
        <v>82</v>
      </c>
      <c r="FC115" s="73"/>
      <c r="FD115" s="73" t="str">
        <f t="shared" si="60"/>
        <v>SI  as per reservoir recommendation and follow up same by S.F.L shots to check reservoir BUP</v>
      </c>
    </row>
    <row r="116" spans="2:160" s="3" customFormat="1" ht="16.5" customHeight="1">
      <c r="B116" s="316" t="s">
        <v>1590</v>
      </c>
      <c r="C116" s="317" t="s">
        <v>1307</v>
      </c>
      <c r="D116" s="317" t="s">
        <v>3</v>
      </c>
      <c r="E116" s="991">
        <v>24</v>
      </c>
      <c r="F116" s="951">
        <f t="shared" si="109"/>
        <v>0</v>
      </c>
      <c r="G116" s="48"/>
      <c r="H116" s="981"/>
      <c r="I116" s="48" t="s">
        <v>2335</v>
      </c>
      <c r="J116" s="48">
        <v>200</v>
      </c>
      <c r="K116" s="48">
        <v>185</v>
      </c>
      <c r="L116" s="48">
        <v>190</v>
      </c>
      <c r="M116" s="22"/>
      <c r="N116" s="140"/>
      <c r="O116" s="748" t="s">
        <v>2362</v>
      </c>
      <c r="P116" s="48">
        <v>5224</v>
      </c>
      <c r="Q116" s="48">
        <v>905</v>
      </c>
      <c r="R116" s="48">
        <v>6351</v>
      </c>
      <c r="S116" s="886"/>
      <c r="T116" s="886"/>
      <c r="U116" s="886"/>
      <c r="V116" s="140"/>
      <c r="W116" s="140"/>
      <c r="X116" s="48"/>
      <c r="Y116" s="140"/>
      <c r="Z116" s="748"/>
      <c r="AA116" s="48"/>
      <c r="AB116" s="48"/>
      <c r="AC116" s="48"/>
      <c r="AD116" s="886">
        <v>27</v>
      </c>
      <c r="AE116" s="886">
        <v>50</v>
      </c>
      <c r="AF116" s="532">
        <f t="shared" si="104"/>
        <v>0</v>
      </c>
      <c r="AG116" s="531">
        <f t="shared" si="105"/>
        <v>180.08999999999997</v>
      </c>
      <c r="AH116" s="304">
        <v>46295</v>
      </c>
      <c r="AI116" s="13">
        <v>783</v>
      </c>
      <c r="AJ116" s="15">
        <v>77</v>
      </c>
      <c r="AK116" s="15">
        <v>0</v>
      </c>
      <c r="AL116" s="13">
        <v>42000</v>
      </c>
      <c r="AM116" s="93">
        <f t="shared" si="0"/>
        <v>180.08999999999997</v>
      </c>
      <c r="AN116" s="687"/>
      <c r="AO116" s="213"/>
      <c r="CJ116" s="921">
        <f t="shared" si="62"/>
        <v>602.91</v>
      </c>
      <c r="CT116" s="35"/>
      <c r="CU116" s="70" t="s">
        <v>2043</v>
      </c>
      <c r="CV116" s="71">
        <f t="shared" si="1"/>
        <v>46298</v>
      </c>
      <c r="CW116" s="72" t="str">
        <f t="shared" si="63"/>
        <v>9OLYMPIC-01</v>
      </c>
      <c r="CX116" s="73" t="str">
        <f t="shared" si="64"/>
        <v>NO P.CK</v>
      </c>
      <c r="CY116" s="73">
        <f t="shared" si="65"/>
        <v>200</v>
      </c>
      <c r="CZ116" s="73">
        <f t="shared" si="66"/>
        <v>24</v>
      </c>
      <c r="DA116" s="73" t="str">
        <f t="shared" si="67"/>
        <v>ESP</v>
      </c>
      <c r="DB116" s="73"/>
      <c r="DC116" s="368">
        <f t="shared" si="68"/>
        <v>0</v>
      </c>
      <c r="DD116" s="73">
        <f t="shared" si="69"/>
        <v>0</v>
      </c>
      <c r="DE116" s="73">
        <f t="shared" si="70"/>
        <v>0</v>
      </c>
      <c r="DF116" s="73">
        <f t="shared" si="71"/>
        <v>0</v>
      </c>
      <c r="DG116" s="73">
        <f t="shared" si="72"/>
        <v>0</v>
      </c>
      <c r="DH116" s="73">
        <f t="shared" si="73"/>
        <v>0</v>
      </c>
      <c r="DI116" s="73">
        <f t="shared" si="74"/>
        <v>27</v>
      </c>
      <c r="DJ116" s="73"/>
      <c r="DK116" s="73"/>
      <c r="DL116" s="73">
        <f t="shared" si="75"/>
        <v>50</v>
      </c>
      <c r="DM116" s="215">
        <f t="shared" si="76"/>
        <v>180.08999999999997</v>
      </c>
      <c r="DN116" s="73" t="str">
        <f t="shared" si="77"/>
        <v/>
      </c>
      <c r="DO116" s="73">
        <f t="shared" si="78"/>
        <v>180.08999999999997</v>
      </c>
      <c r="DP116" s="85" t="str">
        <f>IF(OR(D116="SI",B116="",D116="T&amp;A"),"",VLOOKUP(B116,WELL_FIELD,2,FALSE))</f>
        <v>OLYMPIC</v>
      </c>
      <c r="EB116" s="70" t="str">
        <f t="shared" si="43"/>
        <v>KHALDA_WELL</v>
      </c>
      <c r="EC116" s="71">
        <f t="shared" si="106"/>
        <v>46298</v>
      </c>
      <c r="ED116" s="72" t="str">
        <f t="shared" si="44"/>
        <v>OLYMPIC-01</v>
      </c>
      <c r="EE116" s="73" t="str">
        <f t="shared" si="45"/>
        <v>NO P.CK</v>
      </c>
      <c r="EF116" s="73">
        <f t="shared" si="46"/>
        <v>200</v>
      </c>
      <c r="EG116" s="73">
        <f t="shared" si="47"/>
        <v>24</v>
      </c>
      <c r="EH116" s="73" t="str">
        <f t="shared" si="48"/>
        <v>ESP</v>
      </c>
      <c r="EI116" s="73"/>
      <c r="EJ116" s="72"/>
      <c r="EK116" s="72" t="str">
        <f t="shared" si="49"/>
        <v/>
      </c>
      <c r="EL116" s="73">
        <f t="shared" si="50"/>
        <v>77</v>
      </c>
      <c r="EM116" s="213">
        <f t="shared" si="51"/>
        <v>0</v>
      </c>
      <c r="EN116" s="73"/>
      <c r="EO116" s="73"/>
      <c r="EQ116" s="73">
        <f t="shared" si="52"/>
        <v>0</v>
      </c>
      <c r="ER116" s="73">
        <f t="shared" si="53"/>
        <v>0</v>
      </c>
      <c r="ES116" s="73">
        <f t="shared" si="54"/>
        <v>0</v>
      </c>
      <c r="ET116" s="73">
        <f t="shared" si="55"/>
        <v>27</v>
      </c>
      <c r="EU116" s="73"/>
      <c r="EV116" s="73"/>
      <c r="EX116" s="3">
        <f t="shared" si="56"/>
        <v>50</v>
      </c>
      <c r="EY116" s="73"/>
      <c r="EZ116" s="73">
        <f t="shared" si="57"/>
        <v>0</v>
      </c>
      <c r="FA116" s="73">
        <f t="shared" si="58"/>
        <v>0</v>
      </c>
      <c r="FB116" s="73">
        <f t="shared" si="59"/>
        <v>0</v>
      </c>
      <c r="FC116" s="73"/>
      <c r="FD116" s="73">
        <f t="shared" si="60"/>
        <v>0</v>
      </c>
    </row>
    <row r="117" spans="2:160" s="3" customFormat="1" ht="16.5" customHeight="1">
      <c r="B117" s="316" t="s">
        <v>1603</v>
      </c>
      <c r="C117" s="317" t="s">
        <v>21</v>
      </c>
      <c r="D117" s="317" t="s">
        <v>1301</v>
      </c>
      <c r="E117" s="991">
        <v>24</v>
      </c>
      <c r="F117" s="951">
        <f t="shared" si="109"/>
        <v>0</v>
      </c>
      <c r="G117" s="48"/>
      <c r="H117" s="981">
        <v>1.0493881785517694</v>
      </c>
      <c r="I117" s="48" t="s">
        <v>2335</v>
      </c>
      <c r="J117" s="48">
        <v>220</v>
      </c>
      <c r="K117" s="48">
        <v>200</v>
      </c>
      <c r="L117" s="48">
        <v>420</v>
      </c>
      <c r="M117" s="22"/>
      <c r="N117" s="140"/>
      <c r="O117" s="748"/>
      <c r="P117" s="48"/>
      <c r="Q117" s="48"/>
      <c r="R117" s="48"/>
      <c r="S117" s="886"/>
      <c r="T117" s="886"/>
      <c r="U117" s="886"/>
      <c r="V117" s="140"/>
      <c r="W117" s="140"/>
      <c r="X117" s="48"/>
      <c r="Y117" s="140"/>
      <c r="Z117" s="748"/>
      <c r="AA117" s="48"/>
      <c r="AB117" s="48"/>
      <c r="AC117" s="48"/>
      <c r="AD117" s="886"/>
      <c r="AE117" s="886"/>
      <c r="AF117" s="532">
        <f t="shared" si="104"/>
        <v>4.0000000000000036E-3</v>
      </c>
      <c r="AG117" s="531">
        <f t="shared" si="105"/>
        <v>64.349999999999994</v>
      </c>
      <c r="AH117" s="304">
        <v>46275</v>
      </c>
      <c r="AI117" s="13">
        <v>65</v>
      </c>
      <c r="AJ117" s="15">
        <v>1</v>
      </c>
      <c r="AK117" s="15">
        <v>4.0000000000000036E-3</v>
      </c>
      <c r="AL117" s="13"/>
      <c r="AM117" s="93">
        <f t="shared" si="0"/>
        <v>64.349999999999994</v>
      </c>
      <c r="AN117" s="687"/>
      <c r="AO117" s="213"/>
      <c r="CJ117" s="921">
        <f t="shared" si="62"/>
        <v>0.65</v>
      </c>
      <c r="CT117" s="35"/>
      <c r="CU117" s="70" t="s">
        <v>2044</v>
      </c>
      <c r="CV117" s="71">
        <f t="shared" si="1"/>
        <v>46298</v>
      </c>
      <c r="CW117" s="72" t="str">
        <f t="shared" si="63"/>
        <v>9RIDGEWOOD-01</v>
      </c>
      <c r="CX117" s="73" t="str">
        <f t="shared" si="64"/>
        <v>NO P.CK</v>
      </c>
      <c r="CY117" s="73">
        <f t="shared" si="65"/>
        <v>220</v>
      </c>
      <c r="CZ117" s="73">
        <f t="shared" si="66"/>
        <v>24</v>
      </c>
      <c r="DA117" s="73" t="str">
        <f t="shared" si="67"/>
        <v>G/L</v>
      </c>
      <c r="DB117" s="73"/>
      <c r="DC117" s="368">
        <f t="shared" si="68"/>
        <v>1049.3881785517694</v>
      </c>
      <c r="DD117" s="73">
        <f t="shared" si="69"/>
        <v>0</v>
      </c>
      <c r="DE117" s="73">
        <f t="shared" si="70"/>
        <v>0</v>
      </c>
      <c r="DF117" s="73">
        <f t="shared" si="71"/>
        <v>0</v>
      </c>
      <c r="DG117" s="73">
        <f t="shared" si="72"/>
        <v>0</v>
      </c>
      <c r="DH117" s="73">
        <f t="shared" si="73"/>
        <v>0</v>
      </c>
      <c r="DI117" s="73">
        <f t="shared" si="74"/>
        <v>0</v>
      </c>
      <c r="DJ117" s="73"/>
      <c r="DK117" s="73"/>
      <c r="DL117" s="73">
        <f t="shared" si="75"/>
        <v>0</v>
      </c>
      <c r="DM117" s="215">
        <f t="shared" si="76"/>
        <v>64.349999999999994</v>
      </c>
      <c r="DN117" s="73" t="str">
        <f t="shared" si="77"/>
        <v/>
      </c>
      <c r="DO117" s="73">
        <f t="shared" si="78"/>
        <v>64.349999999999994</v>
      </c>
      <c r="DP117" s="85" t="str">
        <f t="shared" si="79"/>
        <v>RIDGEWOOD</v>
      </c>
      <c r="EB117" s="70" t="str">
        <f t="shared" si="43"/>
        <v>KHALDA_WELL</v>
      </c>
      <c r="EC117" s="71">
        <f t="shared" si="106"/>
        <v>46298</v>
      </c>
      <c r="ED117" s="72" t="str">
        <f t="shared" si="44"/>
        <v>RIDGEWOOD-01</v>
      </c>
      <c r="EE117" s="73" t="str">
        <f t="shared" si="45"/>
        <v>NO P.CK</v>
      </c>
      <c r="EF117" s="73">
        <f t="shared" si="46"/>
        <v>220</v>
      </c>
      <c r="EG117" s="73">
        <f t="shared" si="47"/>
        <v>24</v>
      </c>
      <c r="EH117" s="73" t="str">
        <f t="shared" si="48"/>
        <v>G/L</v>
      </c>
      <c r="EI117" s="73"/>
      <c r="EJ117" s="72"/>
      <c r="EK117" s="72" t="str">
        <f t="shared" si="49"/>
        <v/>
      </c>
      <c r="EL117" s="73">
        <f t="shared" si="50"/>
        <v>1</v>
      </c>
      <c r="EM117" s="213">
        <f t="shared" si="51"/>
        <v>0</v>
      </c>
      <c r="EN117" s="73"/>
      <c r="EO117" s="73"/>
      <c r="EQ117" s="73">
        <f t="shared" si="52"/>
        <v>0</v>
      </c>
      <c r="ER117" s="73">
        <f t="shared" si="53"/>
        <v>0</v>
      </c>
      <c r="ES117" s="73">
        <f t="shared" si="54"/>
        <v>0</v>
      </c>
      <c r="ET117" s="73">
        <f t="shared" si="55"/>
        <v>0</v>
      </c>
      <c r="EU117" s="73"/>
      <c r="EV117" s="73"/>
      <c r="EX117" s="3">
        <f t="shared" si="56"/>
        <v>0</v>
      </c>
      <c r="EY117" s="73"/>
      <c r="EZ117" s="73">
        <f t="shared" si="57"/>
        <v>0</v>
      </c>
      <c r="FA117" s="73">
        <f t="shared" si="58"/>
        <v>0</v>
      </c>
      <c r="FB117" s="73">
        <f t="shared" si="59"/>
        <v>0</v>
      </c>
      <c r="FC117" s="73"/>
      <c r="FD117" s="73">
        <f t="shared" si="60"/>
        <v>0</v>
      </c>
    </row>
    <row r="118" spans="2:160" s="3" customFormat="1" ht="16.5" customHeight="1">
      <c r="B118" s="316" t="s">
        <v>2267</v>
      </c>
      <c r="C118" s="317" t="s">
        <v>20</v>
      </c>
      <c r="D118" s="317" t="s">
        <v>18</v>
      </c>
      <c r="E118" s="991">
        <v>0</v>
      </c>
      <c r="F118" s="951">
        <f t="shared" si="109"/>
        <v>0</v>
      </c>
      <c r="G118" s="48"/>
      <c r="H118" s="981"/>
      <c r="I118" s="48">
        <v>40</v>
      </c>
      <c r="J118" s="48">
        <v>230</v>
      </c>
      <c r="K118" s="48">
        <v>180</v>
      </c>
      <c r="L118" s="48">
        <v>40</v>
      </c>
      <c r="M118" s="22"/>
      <c r="N118" s="140"/>
      <c r="O118" s="748"/>
      <c r="P118" s="48"/>
      <c r="Q118" s="48"/>
      <c r="R118" s="48"/>
      <c r="S118" s="886"/>
      <c r="T118" s="886"/>
      <c r="U118" s="886"/>
      <c r="V118" s="140"/>
      <c r="W118" s="140"/>
      <c r="X118" s="48"/>
      <c r="Y118" s="140"/>
      <c r="Z118" s="748"/>
      <c r="AA118" s="48"/>
      <c r="AB118" s="48"/>
      <c r="AC118" s="48"/>
      <c r="AD118" s="886"/>
      <c r="AE118" s="886"/>
      <c r="AF118" s="532">
        <f>AK118/24*E118</f>
        <v>0</v>
      </c>
      <c r="AG118" s="531">
        <f>AM118/24*E118</f>
        <v>0</v>
      </c>
      <c r="AH118" s="304">
        <v>46048</v>
      </c>
      <c r="AI118" s="13">
        <v>0</v>
      </c>
      <c r="AJ118" s="15"/>
      <c r="AK118" s="15">
        <v>0.13900000000000001</v>
      </c>
      <c r="AL118" s="13"/>
      <c r="AM118" s="93">
        <f t="shared" si="0"/>
        <v>0</v>
      </c>
      <c r="AN118" s="687"/>
      <c r="AO118" s="213"/>
      <c r="CJ118" s="921"/>
      <c r="CT118" s="35"/>
      <c r="CU118" s="70" t="s">
        <v>2045</v>
      </c>
      <c r="CV118" s="71">
        <f t="shared" si="1"/>
        <v>46298</v>
      </c>
      <c r="CW118" s="72" t="str">
        <f>$CT$3&amp;B118</f>
        <v>9RIDGEWOOD-03</v>
      </c>
      <c r="CX118" s="73">
        <f>I118</f>
        <v>40</v>
      </c>
      <c r="CY118" s="73">
        <f>J118</f>
        <v>230</v>
      </c>
      <c r="CZ118" s="73">
        <f>E118</f>
        <v>0</v>
      </c>
      <c r="DA118" s="73" t="str">
        <f>IF(CZ118=0,"SI",D118)</f>
        <v>SI</v>
      </c>
      <c r="DB118" s="73"/>
      <c r="DC118" s="368">
        <f>E118*((H118*1000)/24)</f>
        <v>0</v>
      </c>
      <c r="DD118" s="73">
        <f>N118</f>
        <v>0</v>
      </c>
      <c r="DE118" s="73">
        <f>V118</f>
        <v>0</v>
      </c>
      <c r="DF118" s="73">
        <f>W118</f>
        <v>0</v>
      </c>
      <c r="DG118" s="73">
        <f>X118</f>
        <v>0</v>
      </c>
      <c r="DH118" s="73">
        <f>Z118</f>
        <v>0</v>
      </c>
      <c r="DI118" s="73">
        <f>AD118</f>
        <v>0</v>
      </c>
      <c r="DJ118" s="73"/>
      <c r="DK118" s="73"/>
      <c r="DL118" s="73">
        <f>AE118</f>
        <v>0</v>
      </c>
      <c r="DM118" s="215">
        <f>AG118</f>
        <v>0</v>
      </c>
      <c r="DN118" s="73" t="str">
        <f>IF(G118="","",G118)</f>
        <v/>
      </c>
      <c r="DO118" s="73">
        <f>AM118/24*HOURS</f>
        <v>0</v>
      </c>
      <c r="DP118" s="85" t="str">
        <f>IF(OR(D118="SI",B118="",D118="T&amp;A"),"",VLOOKUP(B118,WELL_FIELD,2))</f>
        <v/>
      </c>
      <c r="EB118" s="70" t="str">
        <f t="shared" si="43"/>
        <v>KHALDA_WELL</v>
      </c>
      <c r="EC118" s="71">
        <f t="shared" si="106"/>
        <v>46298</v>
      </c>
      <c r="ED118" s="72" t="str">
        <f t="shared" si="44"/>
        <v>RIDGEWOOD-03</v>
      </c>
      <c r="EE118" s="73">
        <f t="shared" si="45"/>
        <v>40</v>
      </c>
      <c r="EF118" s="73">
        <f t="shared" si="46"/>
        <v>230</v>
      </c>
      <c r="EG118" s="73">
        <f t="shared" si="47"/>
        <v>0</v>
      </c>
      <c r="EH118" s="73" t="str">
        <f t="shared" si="48"/>
        <v>SI</v>
      </c>
      <c r="EI118" s="73"/>
      <c r="EJ118" s="72"/>
      <c r="EK118" s="72" t="str">
        <f t="shared" si="49"/>
        <v/>
      </c>
      <c r="EL118" s="73">
        <f t="shared" si="50"/>
        <v>0</v>
      </c>
      <c r="EM118" s="213">
        <f t="shared" si="51"/>
        <v>0</v>
      </c>
      <c r="EN118" s="73"/>
      <c r="EO118" s="73"/>
      <c r="EQ118" s="73">
        <f t="shared" si="52"/>
        <v>0</v>
      </c>
      <c r="ER118" s="73">
        <f t="shared" si="53"/>
        <v>0</v>
      </c>
      <c r="ES118" s="73">
        <f t="shared" si="54"/>
        <v>0</v>
      </c>
      <c r="ET118" s="73">
        <f t="shared" si="55"/>
        <v>0</v>
      </c>
      <c r="EU118" s="73"/>
      <c r="EV118" s="73"/>
      <c r="EX118" s="3">
        <f t="shared" si="56"/>
        <v>0</v>
      </c>
      <c r="EY118" s="73"/>
      <c r="EZ118" s="73">
        <f t="shared" si="57"/>
        <v>0</v>
      </c>
      <c r="FA118" s="73">
        <f t="shared" si="58"/>
        <v>0</v>
      </c>
      <c r="FB118" s="73">
        <f t="shared" si="59"/>
        <v>0</v>
      </c>
      <c r="FC118" s="73"/>
      <c r="FD118" s="73">
        <f t="shared" si="60"/>
        <v>0</v>
      </c>
    </row>
    <row r="119" spans="2:160" s="3" customFormat="1" ht="16.5" customHeight="1">
      <c r="B119" s="877" t="s">
        <v>1322</v>
      </c>
      <c r="C119" s="878" t="s">
        <v>1305</v>
      </c>
      <c r="D119" s="317" t="s">
        <v>18</v>
      </c>
      <c r="E119" s="991">
        <v>0</v>
      </c>
      <c r="F119" s="951">
        <f t="shared" si="109"/>
        <v>0</v>
      </c>
      <c r="G119" s="48"/>
      <c r="H119" s="981"/>
      <c r="I119" s="48" t="s">
        <v>2335</v>
      </c>
      <c r="J119" s="48">
        <v>0</v>
      </c>
      <c r="K119" s="48">
        <v>0</v>
      </c>
      <c r="L119" s="48">
        <v>0</v>
      </c>
      <c r="M119" s="22"/>
      <c r="N119" s="140"/>
      <c r="O119" s="748"/>
      <c r="P119" s="48"/>
      <c r="Q119" s="48"/>
      <c r="R119" s="48"/>
      <c r="S119" s="886">
        <v>0</v>
      </c>
      <c r="T119" s="886">
        <v>0</v>
      </c>
      <c r="U119" s="886">
        <v>0</v>
      </c>
      <c r="V119" s="140"/>
      <c r="W119" s="140"/>
      <c r="X119" s="48">
        <v>169</v>
      </c>
      <c r="Y119" s="140">
        <v>5.3</v>
      </c>
      <c r="Z119" s="748" t="s">
        <v>1903</v>
      </c>
      <c r="AA119" s="48"/>
      <c r="AB119" s="48"/>
      <c r="AC119" s="48"/>
      <c r="AD119" s="886"/>
      <c r="AE119" s="886"/>
      <c r="AF119" s="532">
        <f t="shared" si="104"/>
        <v>0</v>
      </c>
      <c r="AG119" s="531">
        <f t="shared" si="105"/>
        <v>0</v>
      </c>
      <c r="AH119" s="304">
        <v>43972</v>
      </c>
      <c r="AI119" s="13">
        <v>0</v>
      </c>
      <c r="AJ119" s="15">
        <v>0</v>
      </c>
      <c r="AK119" s="15">
        <v>0</v>
      </c>
      <c r="AL119" s="13"/>
      <c r="AM119" s="93">
        <f t="shared" si="0"/>
        <v>0</v>
      </c>
      <c r="AN119" s="687"/>
      <c r="AO119" s="213"/>
      <c r="CJ119" s="921">
        <f t="shared" si="62"/>
        <v>0</v>
      </c>
      <c r="CT119" s="35"/>
      <c r="CU119" s="70" t="s">
        <v>2045</v>
      </c>
      <c r="CV119" s="71">
        <f t="shared" si="1"/>
        <v>46298</v>
      </c>
      <c r="CW119" s="72" t="str">
        <f t="shared" si="63"/>
        <v>9RIVIERA-01</v>
      </c>
      <c r="CX119" s="73" t="str">
        <f t="shared" si="64"/>
        <v>NO P.CK</v>
      </c>
      <c r="CY119" s="73">
        <f t="shared" si="65"/>
        <v>0</v>
      </c>
      <c r="CZ119" s="73">
        <f t="shared" si="66"/>
        <v>0</v>
      </c>
      <c r="DA119" s="73" t="str">
        <f t="shared" si="67"/>
        <v>SI</v>
      </c>
      <c r="DB119" s="73"/>
      <c r="DC119" s="368">
        <f t="shared" si="68"/>
        <v>0</v>
      </c>
      <c r="DD119" s="73">
        <f t="shared" si="69"/>
        <v>0</v>
      </c>
      <c r="DE119" s="73">
        <f t="shared" si="70"/>
        <v>0</v>
      </c>
      <c r="DF119" s="73">
        <f t="shared" si="71"/>
        <v>0</v>
      </c>
      <c r="DG119" s="73">
        <f t="shared" si="72"/>
        <v>169</v>
      </c>
      <c r="DH119" s="73" t="str">
        <f t="shared" si="73"/>
        <v>15/5/2017</v>
      </c>
      <c r="DI119" s="73">
        <f t="shared" si="74"/>
        <v>0</v>
      </c>
      <c r="DJ119" s="73"/>
      <c r="DK119" s="73"/>
      <c r="DL119" s="73">
        <f t="shared" si="75"/>
        <v>0</v>
      </c>
      <c r="DM119" s="215">
        <f t="shared" si="76"/>
        <v>0</v>
      </c>
      <c r="DN119" s="73" t="str">
        <f t="shared" si="77"/>
        <v/>
      </c>
      <c r="DO119" s="73">
        <f t="shared" si="78"/>
        <v>0</v>
      </c>
      <c r="DP119" s="85" t="str">
        <f t="shared" si="79"/>
        <v/>
      </c>
      <c r="EB119" s="70" t="str">
        <f t="shared" si="43"/>
        <v>KHALDA_WELL</v>
      </c>
      <c r="EC119" s="71">
        <f t="shared" si="106"/>
        <v>46298</v>
      </c>
      <c r="ED119" s="72" t="str">
        <f t="shared" si="44"/>
        <v>RIVIERA-01</v>
      </c>
      <c r="EE119" s="73" t="str">
        <f t="shared" si="45"/>
        <v>NO P.CK</v>
      </c>
      <c r="EF119" s="73">
        <f t="shared" si="46"/>
        <v>0</v>
      </c>
      <c r="EG119" s="73">
        <f t="shared" si="47"/>
        <v>0</v>
      </c>
      <c r="EH119" s="73" t="str">
        <f t="shared" si="48"/>
        <v>SI</v>
      </c>
      <c r="EI119" s="73"/>
      <c r="EJ119" s="72"/>
      <c r="EK119" s="72" t="str">
        <f t="shared" si="49"/>
        <v/>
      </c>
      <c r="EL119" s="73">
        <f t="shared" si="50"/>
        <v>0</v>
      </c>
      <c r="EM119" s="213">
        <f t="shared" si="51"/>
        <v>0</v>
      </c>
      <c r="EN119" s="73"/>
      <c r="EO119" s="73"/>
      <c r="EQ119" s="73">
        <f t="shared" si="52"/>
        <v>5.3</v>
      </c>
      <c r="ER119" s="73" t="str">
        <f t="shared" si="53"/>
        <v>15/5/2017</v>
      </c>
      <c r="ES119" s="73">
        <f t="shared" si="54"/>
        <v>169</v>
      </c>
      <c r="ET119" s="73">
        <f t="shared" si="55"/>
        <v>0</v>
      </c>
      <c r="EU119" s="73"/>
      <c r="EV119" s="73"/>
      <c r="EX119" s="3">
        <f t="shared" si="56"/>
        <v>0</v>
      </c>
      <c r="EY119" s="73"/>
      <c r="EZ119" s="73">
        <f t="shared" si="57"/>
        <v>0</v>
      </c>
      <c r="FA119" s="73">
        <f t="shared" si="58"/>
        <v>0</v>
      </c>
      <c r="FB119" s="73">
        <f t="shared" si="59"/>
        <v>0</v>
      </c>
      <c r="FC119" s="73"/>
      <c r="FD119" s="73">
        <f t="shared" si="60"/>
        <v>0</v>
      </c>
    </row>
    <row r="120" spans="2:160" s="3" customFormat="1" ht="16.5" customHeight="1">
      <c r="B120" s="316" t="s">
        <v>1411</v>
      </c>
      <c r="C120" s="317" t="s">
        <v>1315</v>
      </c>
      <c r="D120" s="317" t="s">
        <v>286</v>
      </c>
      <c r="E120" s="991">
        <v>12</v>
      </c>
      <c r="F120" s="951">
        <f>IF(E120=0,0,((AI120*(1-(AJ120/100)))/24)*(24-HOURS))</f>
        <v>9.69</v>
      </c>
      <c r="G120" s="48" t="s">
        <v>2516</v>
      </c>
      <c r="H120" s="981"/>
      <c r="I120" s="48" t="s">
        <v>2335</v>
      </c>
      <c r="J120" s="48">
        <v>220</v>
      </c>
      <c r="K120" s="48">
        <v>180</v>
      </c>
      <c r="L120" s="48">
        <v>0</v>
      </c>
      <c r="M120" s="22"/>
      <c r="N120" s="140"/>
      <c r="O120" s="748"/>
      <c r="P120" s="48"/>
      <c r="Q120" s="48"/>
      <c r="R120" s="48"/>
      <c r="S120" s="886"/>
      <c r="T120" s="886"/>
      <c r="U120" s="886"/>
      <c r="V120" s="140"/>
      <c r="W120" s="140"/>
      <c r="X120" s="48"/>
      <c r="Y120" s="140"/>
      <c r="Z120" s="748"/>
      <c r="AA120" s="48"/>
      <c r="AB120" s="48"/>
      <c r="AC120" s="48"/>
      <c r="AD120" s="886"/>
      <c r="AE120" s="886"/>
      <c r="AF120" s="532">
        <f>AK120/24*E120</f>
        <v>5.6999999999999995E-2</v>
      </c>
      <c r="AG120" s="531">
        <f>AM120/24*E120</f>
        <v>9.69</v>
      </c>
      <c r="AH120" s="304">
        <v>43945</v>
      </c>
      <c r="AI120" s="13">
        <v>38</v>
      </c>
      <c r="AJ120" s="15">
        <v>49</v>
      </c>
      <c r="AK120" s="15">
        <v>0.114</v>
      </c>
      <c r="AL120" s="13"/>
      <c r="AM120" s="93">
        <f t="shared" si="0"/>
        <v>19.38</v>
      </c>
      <c r="AN120" s="148"/>
      <c r="AO120" s="213"/>
      <c r="CJ120" s="921">
        <f t="shared" si="62"/>
        <v>18.62</v>
      </c>
      <c r="CT120" s="35"/>
      <c r="CU120" s="70" t="s">
        <v>2046</v>
      </c>
      <c r="CV120" s="71">
        <f t="shared" si="1"/>
        <v>46298</v>
      </c>
      <c r="CW120" s="72" t="str">
        <f t="shared" si="63"/>
        <v>9RIVIERA-02</v>
      </c>
      <c r="CX120" s="73" t="str">
        <f t="shared" si="64"/>
        <v>NO P.CK</v>
      </c>
      <c r="CY120" s="73">
        <f t="shared" si="65"/>
        <v>220</v>
      </c>
      <c r="CZ120" s="73">
        <f>E120</f>
        <v>12</v>
      </c>
      <c r="DA120" s="73" t="str">
        <f>IF(CZ120=0,"SI",D120)</f>
        <v>NF</v>
      </c>
      <c r="DB120" s="73"/>
      <c r="DC120" s="368">
        <f>E120*((H120*1000)/24)</f>
        <v>0</v>
      </c>
      <c r="DD120" s="73">
        <f t="shared" si="69"/>
        <v>0</v>
      </c>
      <c r="DE120" s="73">
        <f t="shared" si="70"/>
        <v>0</v>
      </c>
      <c r="DF120" s="73">
        <f t="shared" si="71"/>
        <v>0</v>
      </c>
      <c r="DG120" s="73">
        <f t="shared" si="72"/>
        <v>0</v>
      </c>
      <c r="DH120" s="73">
        <f t="shared" si="73"/>
        <v>0</v>
      </c>
      <c r="DI120" s="73">
        <f t="shared" si="74"/>
        <v>0</v>
      </c>
      <c r="DJ120" s="73"/>
      <c r="DK120" s="73"/>
      <c r="DL120" s="73">
        <f t="shared" si="75"/>
        <v>0</v>
      </c>
      <c r="DM120" s="215">
        <f t="shared" si="76"/>
        <v>9.69</v>
      </c>
      <c r="DN120" s="73" t="str">
        <f t="shared" si="77"/>
        <v>Low Reservoir Pressure/Depleted</v>
      </c>
      <c r="DO120" s="73">
        <f t="shared" si="78"/>
        <v>9.69</v>
      </c>
      <c r="DP120" s="85" t="str">
        <f>IF(OR(D120="SI",B120="",D120="T&amp;A"),"",VLOOKUP(B120,WELL_FIELD,2))</f>
        <v>RIVIERA</v>
      </c>
      <c r="EB120" s="70" t="str">
        <f t="shared" si="43"/>
        <v>KHALDA_WELL</v>
      </c>
      <c r="EC120" s="71">
        <f t="shared" si="106"/>
        <v>46298</v>
      </c>
      <c r="ED120" s="72" t="str">
        <f t="shared" si="44"/>
        <v>RIVIERA-02</v>
      </c>
      <c r="EE120" s="73" t="str">
        <f t="shared" si="45"/>
        <v>NO P.CK</v>
      </c>
      <c r="EF120" s="73">
        <f t="shared" si="46"/>
        <v>220</v>
      </c>
      <c r="EG120" s="73">
        <f t="shared" si="47"/>
        <v>12</v>
      </c>
      <c r="EH120" s="73" t="str">
        <f t="shared" si="48"/>
        <v>NF</v>
      </c>
      <c r="EI120" s="73"/>
      <c r="EJ120" s="72"/>
      <c r="EK120" s="72" t="str">
        <f t="shared" si="49"/>
        <v>Low Reservoir Pressure/Depleted</v>
      </c>
      <c r="EL120" s="73">
        <f t="shared" si="50"/>
        <v>49</v>
      </c>
      <c r="EM120" s="213">
        <f t="shared" si="51"/>
        <v>0</v>
      </c>
      <c r="EN120" s="73"/>
      <c r="EO120" s="73"/>
      <c r="EQ120" s="73">
        <f t="shared" si="52"/>
        <v>0</v>
      </c>
      <c r="ER120" s="73">
        <f t="shared" si="53"/>
        <v>0</v>
      </c>
      <c r="ES120" s="73">
        <f t="shared" si="54"/>
        <v>0</v>
      </c>
      <c r="ET120" s="73">
        <f t="shared" si="55"/>
        <v>0</v>
      </c>
      <c r="EU120" s="73"/>
      <c r="EV120" s="73"/>
      <c r="EX120" s="3">
        <f t="shared" si="56"/>
        <v>0</v>
      </c>
      <c r="EY120" s="73"/>
      <c r="EZ120" s="73">
        <f t="shared" si="57"/>
        <v>0</v>
      </c>
      <c r="FA120" s="73">
        <f t="shared" si="58"/>
        <v>0</v>
      </c>
      <c r="FB120" s="73">
        <f t="shared" si="59"/>
        <v>0</v>
      </c>
      <c r="FC120" s="73"/>
      <c r="FD120" s="73">
        <f t="shared" si="60"/>
        <v>0</v>
      </c>
    </row>
    <row r="121" spans="2:160" s="3" customFormat="1" ht="16.5" customHeight="1">
      <c r="B121" s="316" t="s">
        <v>1518</v>
      </c>
      <c r="C121" s="317" t="s">
        <v>20</v>
      </c>
      <c r="D121" s="317" t="s">
        <v>18</v>
      </c>
      <c r="E121" s="991">
        <v>0</v>
      </c>
      <c r="F121" s="951">
        <f t="shared" si="109"/>
        <v>0</v>
      </c>
      <c r="G121" s="48"/>
      <c r="H121" s="981"/>
      <c r="I121" s="48" t="s">
        <v>2335</v>
      </c>
      <c r="J121" s="48">
        <v>0</v>
      </c>
      <c r="K121" s="48">
        <v>0</v>
      </c>
      <c r="L121" s="48">
        <v>0</v>
      </c>
      <c r="M121" s="22"/>
      <c r="N121" s="140"/>
      <c r="O121" s="748"/>
      <c r="P121" s="48"/>
      <c r="Q121" s="48"/>
      <c r="R121" s="48">
        <v>6351</v>
      </c>
      <c r="S121" s="886"/>
      <c r="T121" s="886"/>
      <c r="U121" s="886"/>
      <c r="V121" s="140"/>
      <c r="W121" s="140"/>
      <c r="X121" s="48"/>
      <c r="Y121" s="140"/>
      <c r="Z121" s="748"/>
      <c r="AA121" s="48" t="s">
        <v>1597</v>
      </c>
      <c r="AB121" s="48">
        <v>55.5</v>
      </c>
      <c r="AC121" s="48"/>
      <c r="AD121" s="886">
        <v>0</v>
      </c>
      <c r="AE121" s="886">
        <v>0</v>
      </c>
      <c r="AF121" s="532">
        <f t="shared" si="104"/>
        <v>0</v>
      </c>
      <c r="AG121" s="531">
        <f t="shared" si="105"/>
        <v>0</v>
      </c>
      <c r="AH121" s="304">
        <v>42228</v>
      </c>
      <c r="AI121" s="13">
        <v>0</v>
      </c>
      <c r="AJ121" s="15">
        <v>0</v>
      </c>
      <c r="AK121" s="15">
        <v>0</v>
      </c>
      <c r="AL121" s="13"/>
      <c r="AM121" s="93">
        <f t="shared" si="0"/>
        <v>0</v>
      </c>
      <c r="AN121" s="148" t="s">
        <v>1703</v>
      </c>
      <c r="AO121" s="213"/>
      <c r="CJ121" s="921">
        <f t="shared" si="62"/>
        <v>0</v>
      </c>
      <c r="CT121" s="35"/>
      <c r="CU121" s="70" t="s">
        <v>2047</v>
      </c>
      <c r="CV121" s="71">
        <f t="shared" si="1"/>
        <v>46298</v>
      </c>
      <c r="CW121" s="72" t="str">
        <f t="shared" si="63"/>
        <v>9RIVIERA SW-01</v>
      </c>
      <c r="CX121" s="73" t="str">
        <f t="shared" si="64"/>
        <v>NO P.CK</v>
      </c>
      <c r="CY121" s="73">
        <f t="shared" si="65"/>
        <v>0</v>
      </c>
      <c r="CZ121" s="73">
        <f t="shared" si="66"/>
        <v>0</v>
      </c>
      <c r="DA121" s="73" t="str">
        <f t="shared" si="67"/>
        <v>SI</v>
      </c>
      <c r="DB121" s="73"/>
      <c r="DC121" s="368">
        <f t="shared" si="68"/>
        <v>0</v>
      </c>
      <c r="DD121" s="73">
        <f t="shared" si="69"/>
        <v>0</v>
      </c>
      <c r="DE121" s="73">
        <f t="shared" si="70"/>
        <v>0</v>
      </c>
      <c r="DF121" s="73">
        <f t="shared" si="71"/>
        <v>0</v>
      </c>
      <c r="DG121" s="73">
        <f t="shared" si="72"/>
        <v>0</v>
      </c>
      <c r="DH121" s="73">
        <f t="shared" si="73"/>
        <v>0</v>
      </c>
      <c r="DI121" s="73">
        <f t="shared" si="74"/>
        <v>0</v>
      </c>
      <c r="DJ121" s="73"/>
      <c r="DK121" s="73"/>
      <c r="DL121" s="73">
        <f t="shared" si="75"/>
        <v>0</v>
      </c>
      <c r="DM121" s="215">
        <f t="shared" si="76"/>
        <v>0</v>
      </c>
      <c r="DN121" s="73" t="str">
        <f t="shared" si="77"/>
        <v/>
      </c>
      <c r="DO121" s="73">
        <f t="shared" si="78"/>
        <v>0</v>
      </c>
      <c r="DP121" s="85" t="str">
        <f t="shared" si="79"/>
        <v/>
      </c>
      <c r="EB121" s="70" t="str">
        <f t="shared" si="43"/>
        <v>KHALDA_WELL</v>
      </c>
      <c r="EC121" s="71">
        <f t="shared" si="106"/>
        <v>46298</v>
      </c>
      <c r="ED121" s="72" t="str">
        <f t="shared" si="44"/>
        <v>RIVIERA SW-01</v>
      </c>
      <c r="EE121" s="73" t="str">
        <f t="shared" si="45"/>
        <v>NO P.CK</v>
      </c>
      <c r="EF121" s="73">
        <f t="shared" si="46"/>
        <v>0</v>
      </c>
      <c r="EG121" s="73">
        <f t="shared" si="47"/>
        <v>0</v>
      </c>
      <c r="EH121" s="73" t="str">
        <f t="shared" si="48"/>
        <v>SI</v>
      </c>
      <c r="EI121" s="73"/>
      <c r="EJ121" s="72"/>
      <c r="EK121" s="72" t="str">
        <f t="shared" si="49"/>
        <v/>
      </c>
      <c r="EL121" s="73">
        <f t="shared" si="50"/>
        <v>0</v>
      </c>
      <c r="EM121" s="213">
        <f t="shared" si="51"/>
        <v>0</v>
      </c>
      <c r="EN121" s="73"/>
      <c r="EO121" s="73"/>
      <c r="EQ121" s="73">
        <f t="shared" si="52"/>
        <v>0</v>
      </c>
      <c r="ER121" s="73">
        <f t="shared" si="53"/>
        <v>0</v>
      </c>
      <c r="ES121" s="73">
        <f t="shared" si="54"/>
        <v>0</v>
      </c>
      <c r="ET121" s="73">
        <f t="shared" si="55"/>
        <v>0</v>
      </c>
      <c r="EU121" s="73"/>
      <c r="EV121" s="73"/>
      <c r="EX121" s="3">
        <f t="shared" si="56"/>
        <v>0</v>
      </c>
      <c r="EY121" s="73"/>
      <c r="EZ121" s="73">
        <f t="shared" si="57"/>
        <v>0</v>
      </c>
      <c r="FA121" s="73">
        <f t="shared" si="58"/>
        <v>0</v>
      </c>
      <c r="FB121" s="73">
        <f t="shared" si="59"/>
        <v>0</v>
      </c>
      <c r="FC121" s="73"/>
      <c r="FD121" s="73" t="str">
        <f t="shared" si="60"/>
        <v>Tubing corroed and stuck in hole T&amp;A</v>
      </c>
    </row>
    <row r="122" spans="2:160" s="3" customFormat="1" ht="16.5" customHeight="1">
      <c r="B122" s="316" t="s">
        <v>2385</v>
      </c>
      <c r="C122" s="317" t="s">
        <v>20</v>
      </c>
      <c r="D122" s="317" t="s">
        <v>18</v>
      </c>
      <c r="E122" s="991">
        <v>0</v>
      </c>
      <c r="F122" s="951">
        <f>IF(E122=0,0,((AI122*(1-(AJ122/100)))/24)*(24-HOURS))</f>
        <v>0</v>
      </c>
      <c r="G122" s="48"/>
      <c r="H122" s="981"/>
      <c r="I122" s="48" t="s">
        <v>2335</v>
      </c>
      <c r="J122" s="48">
        <v>0</v>
      </c>
      <c r="K122" s="48">
        <v>0</v>
      </c>
      <c r="L122" s="48">
        <v>0</v>
      </c>
      <c r="M122" s="22"/>
      <c r="N122" s="140"/>
      <c r="O122" s="748"/>
      <c r="P122" s="48"/>
      <c r="Q122" s="48"/>
      <c r="R122" s="48"/>
      <c r="S122" s="886"/>
      <c r="T122" s="886"/>
      <c r="U122" s="886"/>
      <c r="V122" s="140"/>
      <c r="W122" s="140"/>
      <c r="X122" s="48"/>
      <c r="Y122" s="140"/>
      <c r="Z122" s="748"/>
      <c r="AA122" s="48" t="s">
        <v>2230</v>
      </c>
      <c r="AB122" s="48"/>
      <c r="AC122" s="48"/>
      <c r="AD122" s="886">
        <v>0</v>
      </c>
      <c r="AE122" s="886">
        <v>0</v>
      </c>
      <c r="AF122" s="532">
        <f t="shared" si="104"/>
        <v>0</v>
      </c>
      <c r="AG122" s="531">
        <f t="shared" si="105"/>
        <v>0</v>
      </c>
      <c r="AH122" s="304">
        <v>45289</v>
      </c>
      <c r="AI122" s="13">
        <v>0</v>
      </c>
      <c r="AJ122" s="15">
        <v>0</v>
      </c>
      <c r="AK122" s="15">
        <v>0</v>
      </c>
      <c r="AL122" s="13"/>
      <c r="AM122" s="93">
        <f t="shared" si="0"/>
        <v>0</v>
      </c>
      <c r="AN122" s="148" t="s">
        <v>2279</v>
      </c>
      <c r="AO122" s="213"/>
      <c r="CJ122" s="921">
        <f t="shared" si="62"/>
        <v>0</v>
      </c>
      <c r="CT122" s="35"/>
      <c r="CU122" s="70" t="s">
        <v>2048</v>
      </c>
      <c r="CV122" s="71">
        <f t="shared" si="1"/>
        <v>46298</v>
      </c>
      <c r="CW122" s="72" t="str">
        <f>$CT$3&amp;B122</f>
        <v>9RIVIERA-SW02</v>
      </c>
      <c r="CX122" s="73" t="str">
        <f>I122</f>
        <v>NO P.CK</v>
      </c>
      <c r="CY122" s="73">
        <f>J122</f>
        <v>0</v>
      </c>
      <c r="CZ122" s="73">
        <f>E122</f>
        <v>0</v>
      </c>
      <c r="DA122" s="73" t="str">
        <f>IF(CZ122=0,"SI",D122)</f>
        <v>SI</v>
      </c>
      <c r="DB122" s="73"/>
      <c r="DC122" s="368">
        <f>E122*((H122*1000)/24)</f>
        <v>0</v>
      </c>
      <c r="DD122" s="73">
        <f>N122</f>
        <v>0</v>
      </c>
      <c r="DE122" s="73">
        <f>V122</f>
        <v>0</v>
      </c>
      <c r="DF122" s="73">
        <f>W122</f>
        <v>0</v>
      </c>
      <c r="DG122" s="73">
        <f>X122</f>
        <v>0</v>
      </c>
      <c r="DH122" s="73">
        <f>Z122</f>
        <v>0</v>
      </c>
      <c r="DI122" s="73">
        <f>AD122</f>
        <v>0</v>
      </c>
      <c r="DJ122" s="73"/>
      <c r="DK122" s="73"/>
      <c r="DL122" s="73">
        <f>AE122</f>
        <v>0</v>
      </c>
      <c r="DM122" s="215">
        <f>AG122</f>
        <v>0</v>
      </c>
      <c r="DN122" s="73" t="str">
        <f>IF(G122="","",G122)</f>
        <v/>
      </c>
      <c r="DO122" s="73">
        <f>AM122/24*HOURS</f>
        <v>0</v>
      </c>
      <c r="DP122" s="85" t="str">
        <f>IF(OR(D122="SI",B122="",D122="T&amp;A"),"",VLOOKUP(B122,WELL_FIELD,2))</f>
        <v/>
      </c>
      <c r="EB122" s="70" t="str">
        <f t="shared" si="43"/>
        <v>KHALDA_WELL</v>
      </c>
      <c r="EC122" s="71">
        <f t="shared" si="106"/>
        <v>46298</v>
      </c>
      <c r="ED122" s="72" t="str">
        <f t="shared" si="44"/>
        <v>RIVIERA-SW02</v>
      </c>
      <c r="EE122" s="73" t="str">
        <f t="shared" si="45"/>
        <v>NO P.CK</v>
      </c>
      <c r="EF122" s="73">
        <f t="shared" si="46"/>
        <v>0</v>
      </c>
      <c r="EG122" s="73">
        <f t="shared" si="47"/>
        <v>0</v>
      </c>
      <c r="EH122" s="73" t="str">
        <f t="shared" si="48"/>
        <v>SI</v>
      </c>
      <c r="EI122" s="73"/>
      <c r="EJ122" s="72"/>
      <c r="EK122" s="72" t="str">
        <f t="shared" si="49"/>
        <v/>
      </c>
      <c r="EL122" s="73">
        <f t="shared" si="50"/>
        <v>0</v>
      </c>
      <c r="EM122" s="213">
        <f t="shared" si="51"/>
        <v>0</v>
      </c>
      <c r="EN122" s="73"/>
      <c r="EO122" s="73"/>
      <c r="EQ122" s="73">
        <f t="shared" si="52"/>
        <v>0</v>
      </c>
      <c r="ER122" s="73">
        <f t="shared" si="53"/>
        <v>0</v>
      </c>
      <c r="ES122" s="73">
        <f t="shared" si="54"/>
        <v>0</v>
      </c>
      <c r="ET122" s="73">
        <f t="shared" si="55"/>
        <v>0</v>
      </c>
      <c r="EU122" s="73"/>
      <c r="EV122" s="73"/>
      <c r="EX122" s="3">
        <f t="shared" si="56"/>
        <v>0</v>
      </c>
      <c r="EY122" s="73"/>
      <c r="EZ122" s="73">
        <f t="shared" si="57"/>
        <v>0</v>
      </c>
      <c r="FA122" s="73">
        <f t="shared" si="58"/>
        <v>0</v>
      </c>
      <c r="FB122" s="73">
        <f t="shared" si="59"/>
        <v>0</v>
      </c>
      <c r="FC122" s="73"/>
      <c r="FD122" s="73" t="str">
        <f t="shared" si="60"/>
        <v xml:space="preserve"> GP report</v>
      </c>
    </row>
    <row r="123" spans="2:160" s="3" customFormat="1" ht="16.5" customHeight="1">
      <c r="B123" s="316" t="s">
        <v>1323</v>
      </c>
      <c r="C123" s="317" t="s">
        <v>1307</v>
      </c>
      <c r="D123" s="317" t="s">
        <v>2</v>
      </c>
      <c r="E123" s="991">
        <v>24</v>
      </c>
      <c r="F123" s="951">
        <f t="shared" si="109"/>
        <v>0</v>
      </c>
      <c r="G123" s="48"/>
      <c r="H123" s="981"/>
      <c r="I123" s="48" t="s">
        <v>2335</v>
      </c>
      <c r="J123" s="48">
        <v>160</v>
      </c>
      <c r="K123" s="48">
        <v>150</v>
      </c>
      <c r="L123" s="48">
        <v>0</v>
      </c>
      <c r="M123" s="22"/>
      <c r="N123" s="140"/>
      <c r="O123" s="748">
        <v>46262</v>
      </c>
      <c r="P123" s="48">
        <v>6155</v>
      </c>
      <c r="Q123" s="48">
        <v>3174</v>
      </c>
      <c r="R123" s="48">
        <v>9330</v>
      </c>
      <c r="S123" s="886">
        <v>100</v>
      </c>
      <c r="T123" s="886">
        <v>84</v>
      </c>
      <c r="U123" s="886">
        <v>93</v>
      </c>
      <c r="V123" s="140"/>
      <c r="W123" s="140"/>
      <c r="X123" s="48">
        <v>102</v>
      </c>
      <c r="Y123" s="140">
        <v>5.5</v>
      </c>
      <c r="Z123" s="748" t="s">
        <v>2131</v>
      </c>
      <c r="AA123" s="48"/>
      <c r="AB123" s="48"/>
      <c r="AC123" s="48"/>
      <c r="AD123" s="886"/>
      <c r="AE123" s="886"/>
      <c r="AF123" s="532">
        <f t="shared" si="104"/>
        <v>0</v>
      </c>
      <c r="AG123" s="531">
        <f t="shared" si="105"/>
        <v>41.82</v>
      </c>
      <c r="AH123" s="304">
        <v>46254</v>
      </c>
      <c r="AI123" s="13">
        <v>51</v>
      </c>
      <c r="AJ123" s="15">
        <v>18</v>
      </c>
      <c r="AK123" s="15">
        <v>0</v>
      </c>
      <c r="AL123" s="13"/>
      <c r="AM123" s="93">
        <f t="shared" si="0"/>
        <v>41.82</v>
      </c>
      <c r="AN123" s="148"/>
      <c r="AO123" s="213"/>
      <c r="CJ123" s="921">
        <f t="shared" si="62"/>
        <v>9.18</v>
      </c>
      <c r="CT123" s="35"/>
      <c r="CU123" s="70" t="s">
        <v>2048</v>
      </c>
      <c r="CV123" s="71">
        <f t="shared" si="1"/>
        <v>46298</v>
      </c>
      <c r="CW123" s="72" t="str">
        <f t="shared" si="63"/>
        <v>9SHADOW-01</v>
      </c>
      <c r="CX123" s="73" t="str">
        <f t="shared" si="64"/>
        <v>NO P.CK</v>
      </c>
      <c r="CY123" s="73">
        <f t="shared" si="65"/>
        <v>160</v>
      </c>
      <c r="CZ123" s="73">
        <f t="shared" si="66"/>
        <v>24</v>
      </c>
      <c r="DA123" s="73" t="str">
        <f t="shared" si="67"/>
        <v>SRP</v>
      </c>
      <c r="DB123" s="73"/>
      <c r="DC123" s="368">
        <f t="shared" si="68"/>
        <v>0</v>
      </c>
      <c r="DD123" s="73">
        <f t="shared" si="69"/>
        <v>0</v>
      </c>
      <c r="DE123" s="73">
        <f t="shared" si="70"/>
        <v>0</v>
      </c>
      <c r="DF123" s="73">
        <f t="shared" si="71"/>
        <v>0</v>
      </c>
      <c r="DG123" s="73">
        <f t="shared" si="72"/>
        <v>102</v>
      </c>
      <c r="DH123" s="73" t="str">
        <f t="shared" si="73"/>
        <v>24/12/2019</v>
      </c>
      <c r="DI123" s="73">
        <f t="shared" si="74"/>
        <v>0</v>
      </c>
      <c r="DJ123" s="73"/>
      <c r="DK123" s="73"/>
      <c r="DL123" s="73">
        <f t="shared" si="75"/>
        <v>0</v>
      </c>
      <c r="DM123" s="215">
        <f t="shared" si="76"/>
        <v>41.82</v>
      </c>
      <c r="DN123" s="73" t="str">
        <f t="shared" si="77"/>
        <v/>
      </c>
      <c r="DO123" s="73">
        <f t="shared" si="78"/>
        <v>41.82</v>
      </c>
      <c r="DP123" s="85" t="str">
        <f t="shared" si="79"/>
        <v>SHADOW</v>
      </c>
      <c r="EB123" s="70" t="str">
        <f t="shared" si="43"/>
        <v>KHALDA_WELL</v>
      </c>
      <c r="EC123" s="71">
        <f t="shared" si="106"/>
        <v>46298</v>
      </c>
      <c r="ED123" s="72" t="str">
        <f t="shared" si="44"/>
        <v>SHADOW-01</v>
      </c>
      <c r="EE123" s="73" t="str">
        <f t="shared" si="45"/>
        <v>NO P.CK</v>
      </c>
      <c r="EF123" s="73">
        <f t="shared" si="46"/>
        <v>160</v>
      </c>
      <c r="EG123" s="73">
        <f t="shared" si="47"/>
        <v>24</v>
      </c>
      <c r="EH123" s="73" t="str">
        <f t="shared" si="48"/>
        <v>SRP</v>
      </c>
      <c r="EI123" s="73"/>
      <c r="EJ123" s="72"/>
      <c r="EK123" s="72" t="str">
        <f t="shared" si="49"/>
        <v/>
      </c>
      <c r="EL123" s="73">
        <f t="shared" si="50"/>
        <v>18</v>
      </c>
      <c r="EM123" s="213">
        <f t="shared" si="51"/>
        <v>0</v>
      </c>
      <c r="EN123" s="73"/>
      <c r="EO123" s="73"/>
      <c r="EQ123" s="73">
        <f t="shared" si="52"/>
        <v>5.5</v>
      </c>
      <c r="ER123" s="73" t="str">
        <f t="shared" si="53"/>
        <v>24/12/2019</v>
      </c>
      <c r="ES123" s="73">
        <f t="shared" si="54"/>
        <v>102</v>
      </c>
      <c r="ET123" s="73">
        <f t="shared" si="55"/>
        <v>0</v>
      </c>
      <c r="EU123" s="73"/>
      <c r="EV123" s="73"/>
      <c r="EX123" s="3">
        <f t="shared" si="56"/>
        <v>0</v>
      </c>
      <c r="EY123" s="73"/>
      <c r="EZ123" s="73">
        <f t="shared" si="57"/>
        <v>100</v>
      </c>
      <c r="FA123" s="73">
        <f t="shared" si="58"/>
        <v>84</v>
      </c>
      <c r="FB123" s="73">
        <f t="shared" si="59"/>
        <v>93</v>
      </c>
      <c r="FC123" s="73"/>
      <c r="FD123" s="73">
        <f t="shared" si="60"/>
        <v>0</v>
      </c>
    </row>
    <row r="124" spans="2:160" s="3" customFormat="1" ht="16.5" customHeight="1">
      <c r="B124" s="316" t="s">
        <v>1596</v>
      </c>
      <c r="C124" s="317" t="s">
        <v>1315</v>
      </c>
      <c r="D124" s="317" t="s">
        <v>18</v>
      </c>
      <c r="E124" s="991">
        <v>0</v>
      </c>
      <c r="F124" s="951">
        <f t="shared" si="109"/>
        <v>0</v>
      </c>
      <c r="G124" s="48"/>
      <c r="H124" s="981"/>
      <c r="I124" s="48" t="s">
        <v>2335</v>
      </c>
      <c r="J124" s="48">
        <v>0</v>
      </c>
      <c r="K124" s="48">
        <v>0</v>
      </c>
      <c r="L124" s="48">
        <v>0</v>
      </c>
      <c r="M124" s="22"/>
      <c r="N124" s="140"/>
      <c r="O124" s="748"/>
      <c r="P124" s="48"/>
      <c r="Q124" s="48"/>
      <c r="R124" s="48">
        <v>8967</v>
      </c>
      <c r="S124" s="886">
        <v>0</v>
      </c>
      <c r="T124" s="886">
        <v>0</v>
      </c>
      <c r="U124" s="886">
        <v>0</v>
      </c>
      <c r="V124" s="140"/>
      <c r="W124" s="140">
        <v>1.5</v>
      </c>
      <c r="X124" s="48">
        <v>144</v>
      </c>
      <c r="Y124" s="140">
        <v>5.5</v>
      </c>
      <c r="Z124" s="748">
        <v>42308</v>
      </c>
      <c r="AA124" s="48"/>
      <c r="AB124" s="48"/>
      <c r="AC124" s="48"/>
      <c r="AD124" s="886"/>
      <c r="AE124" s="886"/>
      <c r="AF124" s="532">
        <f t="shared" si="104"/>
        <v>0</v>
      </c>
      <c r="AG124" s="531">
        <f t="shared" si="105"/>
        <v>0</v>
      </c>
      <c r="AH124" s="304">
        <v>43821</v>
      </c>
      <c r="AI124" s="13">
        <v>52</v>
      </c>
      <c r="AJ124" s="15">
        <v>61.3</v>
      </c>
      <c r="AK124" s="15">
        <v>0</v>
      </c>
      <c r="AL124" s="13"/>
      <c r="AM124" s="93">
        <f t="shared" si="0"/>
        <v>20.124000000000002</v>
      </c>
      <c r="AN124" s="687"/>
      <c r="AO124" s="213"/>
      <c r="CJ124" s="921">
        <f t="shared" si="62"/>
        <v>0</v>
      </c>
      <c r="CT124" s="35"/>
      <c r="CU124" s="70" t="s">
        <v>2049</v>
      </c>
      <c r="CV124" s="71">
        <f t="shared" si="1"/>
        <v>46298</v>
      </c>
      <c r="CW124" s="72" t="str">
        <f t="shared" si="63"/>
        <v>9SHADOW-02</v>
      </c>
      <c r="CX124" s="73" t="str">
        <f t="shared" si="64"/>
        <v>NO P.CK</v>
      </c>
      <c r="CY124" s="73">
        <f t="shared" si="65"/>
        <v>0</v>
      </c>
      <c r="CZ124" s="73">
        <f t="shared" si="66"/>
        <v>0</v>
      </c>
      <c r="DA124" s="73" t="str">
        <f t="shared" si="67"/>
        <v>SI</v>
      </c>
      <c r="DB124" s="73"/>
      <c r="DC124" s="368">
        <f t="shared" si="68"/>
        <v>0</v>
      </c>
      <c r="DD124" s="73">
        <f t="shared" si="69"/>
        <v>0</v>
      </c>
      <c r="DE124" s="73">
        <f t="shared" si="70"/>
        <v>0</v>
      </c>
      <c r="DF124" s="73">
        <f t="shared" si="71"/>
        <v>1.5</v>
      </c>
      <c r="DG124" s="73">
        <f t="shared" si="72"/>
        <v>144</v>
      </c>
      <c r="DH124" s="73">
        <f t="shared" si="73"/>
        <v>42308</v>
      </c>
      <c r="DI124" s="73">
        <f t="shared" si="74"/>
        <v>0</v>
      </c>
      <c r="DJ124" s="73"/>
      <c r="DK124" s="73"/>
      <c r="DL124" s="73">
        <f t="shared" si="75"/>
        <v>0</v>
      </c>
      <c r="DM124" s="215">
        <f t="shared" si="76"/>
        <v>0</v>
      </c>
      <c r="DN124" s="73" t="str">
        <f t="shared" si="77"/>
        <v/>
      </c>
      <c r="DO124" s="73">
        <f t="shared" si="78"/>
        <v>0</v>
      </c>
      <c r="DP124" s="85" t="str">
        <f t="shared" si="79"/>
        <v/>
      </c>
      <c r="EB124" s="70" t="str">
        <f t="shared" si="43"/>
        <v>KHALDA_WELL</v>
      </c>
      <c r="EC124" s="71">
        <f t="shared" si="106"/>
        <v>46298</v>
      </c>
      <c r="ED124" s="72" t="str">
        <f t="shared" si="44"/>
        <v>SHADOW-02</v>
      </c>
      <c r="EE124" s="73" t="str">
        <f t="shared" si="45"/>
        <v>NO P.CK</v>
      </c>
      <c r="EF124" s="73">
        <f t="shared" si="46"/>
        <v>0</v>
      </c>
      <c r="EG124" s="73">
        <f t="shared" si="47"/>
        <v>0</v>
      </c>
      <c r="EH124" s="73" t="str">
        <f t="shared" si="48"/>
        <v>SI</v>
      </c>
      <c r="EI124" s="73"/>
      <c r="EJ124" s="72"/>
      <c r="EK124" s="72" t="str">
        <f t="shared" si="49"/>
        <v/>
      </c>
      <c r="EL124" s="73">
        <f t="shared" si="50"/>
        <v>61.3</v>
      </c>
      <c r="EM124" s="213">
        <f t="shared" si="51"/>
        <v>1.5</v>
      </c>
      <c r="EN124" s="73"/>
      <c r="EO124" s="73"/>
      <c r="EQ124" s="73">
        <f t="shared" si="52"/>
        <v>5.5</v>
      </c>
      <c r="ER124" s="73">
        <f t="shared" si="53"/>
        <v>42308</v>
      </c>
      <c r="ES124" s="73">
        <f t="shared" si="54"/>
        <v>144</v>
      </c>
      <c r="ET124" s="73">
        <f t="shared" si="55"/>
        <v>0</v>
      </c>
      <c r="EU124" s="73"/>
      <c r="EV124" s="73"/>
      <c r="EX124" s="3">
        <f t="shared" si="56"/>
        <v>0</v>
      </c>
      <c r="EY124" s="73"/>
      <c r="EZ124" s="73">
        <f t="shared" si="57"/>
        <v>0</v>
      </c>
      <c r="FA124" s="73">
        <f t="shared" si="58"/>
        <v>0</v>
      </c>
      <c r="FB124" s="73">
        <f t="shared" si="59"/>
        <v>0</v>
      </c>
      <c r="FC124" s="73"/>
      <c r="FD124" s="73">
        <f t="shared" si="60"/>
        <v>0</v>
      </c>
    </row>
    <row r="125" spans="2:160" s="3" customFormat="1" ht="17.25" customHeight="1">
      <c r="B125" s="316" t="s">
        <v>1553</v>
      </c>
      <c r="C125" s="317" t="s">
        <v>1315</v>
      </c>
      <c r="D125" s="317" t="s">
        <v>18</v>
      </c>
      <c r="E125" s="991">
        <v>0</v>
      </c>
      <c r="F125" s="951">
        <f t="shared" si="109"/>
        <v>0</v>
      </c>
      <c r="G125" s="48"/>
      <c r="H125" s="981">
        <v>0</v>
      </c>
      <c r="I125" s="48" t="s">
        <v>2335</v>
      </c>
      <c r="J125" s="48">
        <v>0</v>
      </c>
      <c r="K125" s="48">
        <v>0</v>
      </c>
      <c r="L125" s="48">
        <v>0</v>
      </c>
      <c r="M125" s="22"/>
      <c r="N125" s="140"/>
      <c r="O125" s="748"/>
      <c r="P125" s="48"/>
      <c r="Q125" s="48"/>
      <c r="R125" s="48"/>
      <c r="S125" s="886"/>
      <c r="T125" s="886"/>
      <c r="U125" s="886"/>
      <c r="V125" s="140"/>
      <c r="W125" s="140"/>
      <c r="X125" s="48"/>
      <c r="Y125" s="140"/>
      <c r="Z125" s="748"/>
      <c r="AA125" s="48"/>
      <c r="AB125" s="48"/>
      <c r="AC125" s="48"/>
      <c r="AD125" s="886"/>
      <c r="AE125" s="886"/>
      <c r="AF125" s="532">
        <f t="shared" si="104"/>
        <v>0</v>
      </c>
      <c r="AG125" s="531">
        <f t="shared" si="105"/>
        <v>0</v>
      </c>
      <c r="AH125" s="304">
        <v>45195</v>
      </c>
      <c r="AI125" s="13">
        <v>448</v>
      </c>
      <c r="AJ125" s="15">
        <v>1</v>
      </c>
      <c r="AK125" s="15">
        <v>1.1120000000000001</v>
      </c>
      <c r="AL125" s="13"/>
      <c r="AM125" s="93">
        <f t="shared" si="0"/>
        <v>443.52</v>
      </c>
      <c r="AN125" s="687"/>
      <c r="AO125" s="213"/>
      <c r="CJ125" s="921"/>
      <c r="CT125" s="35"/>
      <c r="CU125" s="70" t="s">
        <v>2050</v>
      </c>
      <c r="CV125" s="71">
        <f t="shared" si="1"/>
        <v>46298</v>
      </c>
      <c r="CW125" s="72" t="str">
        <f>$CT$3&amp;B125</f>
        <v>9SHADOW-03</v>
      </c>
      <c r="CX125" s="73" t="str">
        <f>I125</f>
        <v>NO P.CK</v>
      </c>
      <c r="CY125" s="73">
        <f>J125</f>
        <v>0</v>
      </c>
      <c r="CZ125" s="73">
        <f>E125</f>
        <v>0</v>
      </c>
      <c r="DA125" s="73" t="str">
        <f>IF(CZ125=0,"SI",D125)</f>
        <v>SI</v>
      </c>
      <c r="DB125" s="73"/>
      <c r="DC125" s="368">
        <f>E125*((H125*1000)/24)</f>
        <v>0</v>
      </c>
      <c r="DD125" s="73">
        <f>N125</f>
        <v>0</v>
      </c>
      <c r="DE125" s="73">
        <f>V125</f>
        <v>0</v>
      </c>
      <c r="DF125" s="73">
        <f>W125</f>
        <v>0</v>
      </c>
      <c r="DG125" s="73">
        <f>X125</f>
        <v>0</v>
      </c>
      <c r="DH125" s="73">
        <f>Z125</f>
        <v>0</v>
      </c>
      <c r="DI125" s="73">
        <f>AD125</f>
        <v>0</v>
      </c>
      <c r="DJ125" s="73"/>
      <c r="DK125" s="73"/>
      <c r="DL125" s="73">
        <f>AE125</f>
        <v>0</v>
      </c>
      <c r="DM125" s="215">
        <f>AG125</f>
        <v>0</v>
      </c>
      <c r="DN125" s="73" t="str">
        <f>IF(G125="","",G125)</f>
        <v/>
      </c>
      <c r="DO125" s="73">
        <f>AM125/24*HOURS</f>
        <v>0</v>
      </c>
      <c r="DP125" s="85" t="str">
        <f>IF(OR(D125="SI",B125="",D125="T&amp;A"),"",VLOOKUP(B125,WELL_FIELD,2))</f>
        <v/>
      </c>
      <c r="EB125" s="70" t="str">
        <f t="shared" si="43"/>
        <v>KHALDA_WELL</v>
      </c>
      <c r="EC125" s="71">
        <f t="shared" si="106"/>
        <v>46298</v>
      </c>
      <c r="ED125" s="72" t="str">
        <f t="shared" si="44"/>
        <v>SHADOW-03</v>
      </c>
      <c r="EE125" s="73" t="str">
        <f t="shared" si="45"/>
        <v>NO P.CK</v>
      </c>
      <c r="EF125" s="73">
        <f t="shared" si="46"/>
        <v>0</v>
      </c>
      <c r="EG125" s="73">
        <f t="shared" si="47"/>
        <v>0</v>
      </c>
      <c r="EH125" s="73" t="str">
        <f t="shared" si="48"/>
        <v>SI</v>
      </c>
      <c r="EI125" s="73"/>
      <c r="EJ125" s="72"/>
      <c r="EK125" s="72" t="str">
        <f t="shared" si="49"/>
        <v/>
      </c>
      <c r="EL125" s="73">
        <f t="shared" si="50"/>
        <v>1</v>
      </c>
      <c r="EM125" s="213">
        <f t="shared" si="51"/>
        <v>0</v>
      </c>
      <c r="EN125" s="73"/>
      <c r="EO125" s="73"/>
      <c r="EQ125" s="73">
        <f t="shared" si="52"/>
        <v>0</v>
      </c>
      <c r="ER125" s="73">
        <f t="shared" si="53"/>
        <v>0</v>
      </c>
      <c r="ES125" s="73">
        <f t="shared" si="54"/>
        <v>0</v>
      </c>
      <c r="ET125" s="73">
        <f t="shared" si="55"/>
        <v>0</v>
      </c>
      <c r="EU125" s="73"/>
      <c r="EV125" s="73"/>
      <c r="EX125" s="3">
        <f t="shared" si="56"/>
        <v>0</v>
      </c>
      <c r="EY125" s="73"/>
      <c r="EZ125" s="73">
        <f t="shared" si="57"/>
        <v>0</v>
      </c>
      <c r="FA125" s="73">
        <f t="shared" si="58"/>
        <v>0</v>
      </c>
      <c r="FB125" s="73">
        <f t="shared" si="59"/>
        <v>0</v>
      </c>
      <c r="FC125" s="73"/>
      <c r="FD125" s="73">
        <f t="shared" si="60"/>
        <v>0</v>
      </c>
    </row>
    <row r="126" spans="2:160" s="3" customFormat="1" ht="16.5" customHeight="1">
      <c r="B126" s="316" t="s">
        <v>1544</v>
      </c>
      <c r="C126" s="317" t="s">
        <v>1305</v>
      </c>
      <c r="D126" s="317" t="s">
        <v>18</v>
      </c>
      <c r="E126" s="991">
        <v>0</v>
      </c>
      <c r="F126" s="951">
        <f>IF(E126=0,0,((AI126*(1-(AJ126/100)))/24)*(24-HOURS))</f>
        <v>0</v>
      </c>
      <c r="G126" s="48"/>
      <c r="H126" s="981"/>
      <c r="I126" s="48" t="s">
        <v>1743</v>
      </c>
      <c r="J126" s="48">
        <v>0</v>
      </c>
      <c r="K126" s="48">
        <v>0</v>
      </c>
      <c r="L126" s="48">
        <v>0</v>
      </c>
      <c r="M126" s="22"/>
      <c r="N126" s="140"/>
      <c r="O126" s="748"/>
      <c r="P126" s="48"/>
      <c r="Q126" s="48"/>
      <c r="R126" s="48">
        <v>10175</v>
      </c>
      <c r="S126" s="886">
        <v>0</v>
      </c>
      <c r="T126" s="886">
        <v>0</v>
      </c>
      <c r="U126" s="886">
        <v>0</v>
      </c>
      <c r="V126" s="140"/>
      <c r="W126" s="140"/>
      <c r="X126" s="48"/>
      <c r="Y126" s="140"/>
      <c r="Z126" s="748"/>
      <c r="AA126" s="48"/>
      <c r="AB126" s="48"/>
      <c r="AC126" s="48"/>
      <c r="AD126" s="886"/>
      <c r="AE126" s="886"/>
      <c r="AF126" s="532">
        <f t="shared" si="104"/>
        <v>0</v>
      </c>
      <c r="AG126" s="531">
        <f t="shared" si="105"/>
        <v>0</v>
      </c>
      <c r="AH126" s="304">
        <v>45373</v>
      </c>
      <c r="AI126" s="13">
        <v>61</v>
      </c>
      <c r="AJ126" s="15">
        <v>85</v>
      </c>
      <c r="AK126" s="15">
        <v>0</v>
      </c>
      <c r="AL126" s="13"/>
      <c r="AM126" s="93">
        <f t="shared" si="0"/>
        <v>9.1500000000000021</v>
      </c>
      <c r="AN126" s="148"/>
      <c r="AO126" s="213"/>
      <c r="CJ126" s="921">
        <f t="shared" si="62"/>
        <v>0</v>
      </c>
      <c r="CT126" s="35"/>
      <c r="CU126" s="70" t="s">
        <v>2050</v>
      </c>
      <c r="CV126" s="71">
        <f t="shared" si="1"/>
        <v>46298</v>
      </c>
      <c r="CW126" s="72" t="str">
        <f t="shared" si="63"/>
        <v>9SHADOW-E01</v>
      </c>
      <c r="CX126" s="73" t="str">
        <f t="shared" si="64"/>
        <v>NA</v>
      </c>
      <c r="CY126" s="73">
        <f t="shared" si="65"/>
        <v>0</v>
      </c>
      <c r="CZ126" s="73">
        <f t="shared" si="66"/>
        <v>0</v>
      </c>
      <c r="DA126" s="73" t="str">
        <f t="shared" si="67"/>
        <v>SI</v>
      </c>
      <c r="DB126" s="73"/>
      <c r="DC126" s="368">
        <f t="shared" si="68"/>
        <v>0</v>
      </c>
      <c r="DD126" s="73">
        <f t="shared" si="69"/>
        <v>0</v>
      </c>
      <c r="DE126" s="73">
        <f t="shared" si="70"/>
        <v>0</v>
      </c>
      <c r="DF126" s="73">
        <f t="shared" si="71"/>
        <v>0</v>
      </c>
      <c r="DG126" s="73">
        <f t="shared" si="72"/>
        <v>0</v>
      </c>
      <c r="DH126" s="73">
        <f t="shared" si="73"/>
        <v>0</v>
      </c>
      <c r="DI126" s="73">
        <f t="shared" si="74"/>
        <v>0</v>
      </c>
      <c r="DJ126" s="73"/>
      <c r="DK126" s="73"/>
      <c r="DL126" s="73">
        <f t="shared" si="75"/>
        <v>0</v>
      </c>
      <c r="DM126" s="215">
        <f t="shared" si="76"/>
        <v>0</v>
      </c>
      <c r="DN126" s="73" t="str">
        <f t="shared" si="77"/>
        <v/>
      </c>
      <c r="DO126" s="73">
        <f t="shared" si="78"/>
        <v>0</v>
      </c>
      <c r="DP126" s="85" t="str">
        <f t="shared" si="79"/>
        <v/>
      </c>
      <c r="EB126" s="70" t="str">
        <f t="shared" si="43"/>
        <v>KHALDA_WELL</v>
      </c>
      <c r="EC126" s="71">
        <f t="shared" si="106"/>
        <v>46298</v>
      </c>
      <c r="ED126" s="72" t="str">
        <f t="shared" si="44"/>
        <v>SHADOW-E01</v>
      </c>
      <c r="EE126" s="73" t="str">
        <f t="shared" si="45"/>
        <v>NA</v>
      </c>
      <c r="EF126" s="73">
        <f t="shared" si="46"/>
        <v>0</v>
      </c>
      <c r="EG126" s="73">
        <f t="shared" si="47"/>
        <v>0</v>
      </c>
      <c r="EH126" s="73" t="str">
        <f t="shared" si="48"/>
        <v>SI</v>
      </c>
      <c r="EI126" s="73"/>
      <c r="EJ126" s="72"/>
      <c r="EK126" s="72" t="str">
        <f t="shared" si="49"/>
        <v/>
      </c>
      <c r="EL126" s="73">
        <f t="shared" si="50"/>
        <v>85</v>
      </c>
      <c r="EM126" s="213">
        <f t="shared" si="51"/>
        <v>0</v>
      </c>
      <c r="EN126" s="73"/>
      <c r="EO126" s="73"/>
      <c r="EQ126" s="73">
        <f t="shared" si="52"/>
        <v>0</v>
      </c>
      <c r="ER126" s="73">
        <f t="shared" si="53"/>
        <v>0</v>
      </c>
      <c r="ES126" s="73">
        <f t="shared" si="54"/>
        <v>0</v>
      </c>
      <c r="ET126" s="73">
        <f t="shared" si="55"/>
        <v>0</v>
      </c>
      <c r="EU126" s="73"/>
      <c r="EV126" s="73"/>
      <c r="EX126" s="3">
        <f t="shared" si="56"/>
        <v>0</v>
      </c>
      <c r="EY126" s="73"/>
      <c r="EZ126" s="73">
        <f t="shared" si="57"/>
        <v>0</v>
      </c>
      <c r="FA126" s="73">
        <f t="shared" si="58"/>
        <v>0</v>
      </c>
      <c r="FB126" s="73">
        <f t="shared" si="59"/>
        <v>0</v>
      </c>
      <c r="FC126" s="73"/>
      <c r="FD126" s="73">
        <f t="shared" si="60"/>
        <v>0</v>
      </c>
    </row>
    <row r="127" spans="2:160" s="3" customFormat="1" ht="16.5" customHeight="1">
      <c r="B127" s="316" t="s">
        <v>1902</v>
      </c>
      <c r="C127" s="317" t="s">
        <v>1307</v>
      </c>
      <c r="D127" s="317" t="s">
        <v>18</v>
      </c>
      <c r="E127" s="991">
        <v>0</v>
      </c>
      <c r="F127" s="951">
        <f t="shared" si="109"/>
        <v>0</v>
      </c>
      <c r="G127" s="48"/>
      <c r="H127" s="981">
        <v>0</v>
      </c>
      <c r="I127" s="48" t="s">
        <v>2335</v>
      </c>
      <c r="J127" s="48">
        <v>0</v>
      </c>
      <c r="K127" s="48">
        <v>0</v>
      </c>
      <c r="L127" s="48">
        <v>0</v>
      </c>
      <c r="M127" s="22"/>
      <c r="N127" s="140"/>
      <c r="O127" s="748"/>
      <c r="P127" s="48"/>
      <c r="Q127" s="48"/>
      <c r="R127" s="48"/>
      <c r="S127" s="886"/>
      <c r="T127" s="886"/>
      <c r="U127" s="886"/>
      <c r="V127" s="140"/>
      <c r="W127" s="140"/>
      <c r="X127" s="48"/>
      <c r="Y127" s="140"/>
      <c r="Z127" s="748"/>
      <c r="AA127" s="48"/>
      <c r="AB127" s="48"/>
      <c r="AC127" s="48"/>
      <c r="AD127" s="886"/>
      <c r="AE127" s="886"/>
      <c r="AF127" s="532">
        <f>AK127/24*E127</f>
        <v>0</v>
      </c>
      <c r="AG127" s="531">
        <f>AM127/24*E127</f>
        <v>0</v>
      </c>
      <c r="AH127" s="304">
        <v>44367</v>
      </c>
      <c r="AI127" s="13">
        <v>57</v>
      </c>
      <c r="AJ127" s="15">
        <v>82.8</v>
      </c>
      <c r="AK127" s="15">
        <v>0</v>
      </c>
      <c r="AL127" s="13"/>
      <c r="AM127" s="93">
        <f>IF(BFPD=0,0,BFPD*(1-BSW/100))</f>
        <v>9.804000000000002</v>
      </c>
      <c r="AN127" s="148"/>
      <c r="AO127" s="213"/>
      <c r="CJ127" s="921">
        <f>+IF(D127="SI",0,AI127*AJ127/100)</f>
        <v>0</v>
      </c>
      <c r="CT127" s="35"/>
      <c r="CU127" s="70" t="s">
        <v>2052</v>
      </c>
      <c r="CV127" s="71">
        <f t="shared" si="1"/>
        <v>46298</v>
      </c>
      <c r="CW127" s="72" t="str">
        <f>$CT$3&amp;B127</f>
        <v>9SHADOW-E02</v>
      </c>
      <c r="CX127" s="73" t="str">
        <f>I127</f>
        <v>NO P.CK</v>
      </c>
      <c r="CY127" s="73">
        <f>J127</f>
        <v>0</v>
      </c>
      <c r="CZ127" s="73">
        <f>E127</f>
        <v>0</v>
      </c>
      <c r="DA127" s="73" t="str">
        <f>IF(CZ127=0,"SI",D127)</f>
        <v>SI</v>
      </c>
      <c r="DB127" s="73"/>
      <c r="DC127" s="368">
        <f>E127*((H127*1000)/24)</f>
        <v>0</v>
      </c>
      <c r="DD127" s="73">
        <f>N127</f>
        <v>0</v>
      </c>
      <c r="DE127" s="73">
        <f>V127</f>
        <v>0</v>
      </c>
      <c r="DF127" s="73">
        <f>W127</f>
        <v>0</v>
      </c>
      <c r="DG127" s="73">
        <f>X127</f>
        <v>0</v>
      </c>
      <c r="DH127" s="73">
        <f>Z127</f>
        <v>0</v>
      </c>
      <c r="DI127" s="73">
        <f>AD127</f>
        <v>0</v>
      </c>
      <c r="DJ127" s="73"/>
      <c r="DK127" s="73"/>
      <c r="DL127" s="73">
        <f>AE127</f>
        <v>0</v>
      </c>
      <c r="DM127" s="215">
        <f>AG127</f>
        <v>0</v>
      </c>
      <c r="DN127" s="73" t="str">
        <f>IF(G127="","",G127)</f>
        <v/>
      </c>
      <c r="DO127" s="73">
        <f>AM127/24*HOURS</f>
        <v>0</v>
      </c>
      <c r="DP127" s="85" t="str">
        <f>IF(OR(D127="SI",B127="",D127="T&amp;A"),"",VLOOKUP(B127,WELL_FIELD,2))</f>
        <v/>
      </c>
      <c r="EB127" s="70" t="str">
        <f t="shared" si="43"/>
        <v>KHALDA_WELL</v>
      </c>
      <c r="EC127" s="71">
        <f t="shared" si="106"/>
        <v>46298</v>
      </c>
      <c r="ED127" s="72" t="str">
        <f t="shared" si="44"/>
        <v>SHADOW-E02</v>
      </c>
      <c r="EE127" s="73" t="str">
        <f t="shared" si="45"/>
        <v>NO P.CK</v>
      </c>
      <c r="EF127" s="73">
        <f t="shared" si="46"/>
        <v>0</v>
      </c>
      <c r="EG127" s="73">
        <f t="shared" si="47"/>
        <v>0</v>
      </c>
      <c r="EH127" s="73" t="str">
        <f t="shared" si="48"/>
        <v>SI</v>
      </c>
      <c r="EI127" s="73"/>
      <c r="EJ127" s="72"/>
      <c r="EK127" s="72" t="str">
        <f t="shared" si="49"/>
        <v/>
      </c>
      <c r="EL127" s="73">
        <f t="shared" si="50"/>
        <v>82.8</v>
      </c>
      <c r="EM127" s="213">
        <f t="shared" si="51"/>
        <v>0</v>
      </c>
      <c r="EN127" s="73"/>
      <c r="EO127" s="73"/>
      <c r="EQ127" s="73">
        <f t="shared" si="52"/>
        <v>0</v>
      </c>
      <c r="ER127" s="73">
        <f t="shared" si="53"/>
        <v>0</v>
      </c>
      <c r="ES127" s="73">
        <f t="shared" si="54"/>
        <v>0</v>
      </c>
      <c r="ET127" s="73">
        <f t="shared" si="55"/>
        <v>0</v>
      </c>
      <c r="EU127" s="73"/>
      <c r="EV127" s="73"/>
      <c r="EX127" s="3">
        <f t="shared" si="56"/>
        <v>0</v>
      </c>
      <c r="EY127" s="73"/>
      <c r="EZ127" s="73">
        <f t="shared" si="57"/>
        <v>0</v>
      </c>
      <c r="FA127" s="73">
        <f t="shared" si="58"/>
        <v>0</v>
      </c>
      <c r="FB127" s="73">
        <f t="shared" si="59"/>
        <v>0</v>
      </c>
      <c r="FC127" s="73"/>
      <c r="FD127" s="73">
        <f t="shared" si="60"/>
        <v>0</v>
      </c>
    </row>
    <row r="128" spans="2:160" s="3" customFormat="1" ht="16.5" customHeight="1">
      <c r="B128" s="316" t="s">
        <v>2076</v>
      </c>
      <c r="C128" s="317" t="s">
        <v>1305</v>
      </c>
      <c r="D128" s="317" t="s">
        <v>18</v>
      </c>
      <c r="E128" s="991">
        <v>0</v>
      </c>
      <c r="F128" s="951">
        <f>IF(E128=0,0,((AI128*(1-(AJ128/100)))/24)*(24-HOURS))</f>
        <v>0</v>
      </c>
      <c r="G128" s="48"/>
      <c r="H128" s="981"/>
      <c r="I128" s="48" t="s">
        <v>2335</v>
      </c>
      <c r="J128" s="48">
        <v>0</v>
      </c>
      <c r="K128" s="48">
        <v>0</v>
      </c>
      <c r="L128" s="48">
        <v>0</v>
      </c>
      <c r="M128" s="22"/>
      <c r="N128" s="140"/>
      <c r="O128" s="748"/>
      <c r="P128" s="48"/>
      <c r="Q128" s="48"/>
      <c r="R128" s="48">
        <v>9182</v>
      </c>
      <c r="S128" s="886" t="s">
        <v>1537</v>
      </c>
      <c r="T128" s="886">
        <v>0</v>
      </c>
      <c r="U128" s="886">
        <v>0</v>
      </c>
      <c r="V128" s="140"/>
      <c r="W128" s="140"/>
      <c r="X128" s="48"/>
      <c r="Y128" s="140"/>
      <c r="Z128" s="748"/>
      <c r="AA128" s="48"/>
      <c r="AB128" s="48"/>
      <c r="AC128" s="48"/>
      <c r="AD128" s="886"/>
      <c r="AE128" s="886"/>
      <c r="AF128" s="532">
        <f t="shared" si="104"/>
        <v>0</v>
      </c>
      <c r="AG128" s="531">
        <f t="shared" si="105"/>
        <v>0</v>
      </c>
      <c r="AH128" s="304">
        <v>44989</v>
      </c>
      <c r="AI128" s="13">
        <v>26</v>
      </c>
      <c r="AJ128" s="15">
        <v>3.1</v>
      </c>
      <c r="AK128" s="15">
        <v>0</v>
      </c>
      <c r="AL128" s="13"/>
      <c r="AM128" s="93">
        <f t="shared" si="0"/>
        <v>25.193999999999999</v>
      </c>
      <c r="AN128" s="148"/>
      <c r="AO128" s="213"/>
      <c r="CJ128" s="921">
        <f t="shared" si="62"/>
        <v>0</v>
      </c>
      <c r="CT128" s="35"/>
      <c r="CU128" s="70" t="s">
        <v>2051</v>
      </c>
      <c r="CV128" s="71">
        <f t="shared" si="1"/>
        <v>46298</v>
      </c>
      <c r="CW128" s="72" t="str">
        <f t="shared" si="63"/>
        <v>9SHADOW-E03</v>
      </c>
      <c r="CX128" s="73" t="str">
        <f t="shared" si="64"/>
        <v>NO P.CK</v>
      </c>
      <c r="CY128" s="73">
        <f t="shared" si="65"/>
        <v>0</v>
      </c>
      <c r="CZ128" s="73">
        <f t="shared" si="66"/>
        <v>0</v>
      </c>
      <c r="DA128" s="73" t="str">
        <f t="shared" si="67"/>
        <v>SI</v>
      </c>
      <c r="DB128" s="73"/>
      <c r="DC128" s="368">
        <f t="shared" si="68"/>
        <v>0</v>
      </c>
      <c r="DD128" s="73">
        <f t="shared" si="69"/>
        <v>0</v>
      </c>
      <c r="DE128" s="73">
        <f t="shared" si="70"/>
        <v>0</v>
      </c>
      <c r="DF128" s="73">
        <f t="shared" si="71"/>
        <v>0</v>
      </c>
      <c r="DG128" s="73">
        <f t="shared" si="72"/>
        <v>0</v>
      </c>
      <c r="DH128" s="73">
        <f t="shared" si="73"/>
        <v>0</v>
      </c>
      <c r="DI128" s="73">
        <f t="shared" si="74"/>
        <v>0</v>
      </c>
      <c r="DJ128" s="73"/>
      <c r="DK128" s="73"/>
      <c r="DL128" s="73">
        <f t="shared" si="75"/>
        <v>0</v>
      </c>
      <c r="DM128" s="215">
        <f t="shared" si="76"/>
        <v>0</v>
      </c>
      <c r="DN128" s="73" t="str">
        <f t="shared" si="77"/>
        <v/>
      </c>
      <c r="DO128" s="73">
        <f t="shared" si="78"/>
        <v>0</v>
      </c>
      <c r="DP128" s="85" t="str">
        <f t="shared" si="79"/>
        <v/>
      </c>
      <c r="EB128" s="70" t="str">
        <f t="shared" si="43"/>
        <v>KHALDA_WELL</v>
      </c>
      <c r="EC128" s="71">
        <f t="shared" si="106"/>
        <v>46298</v>
      </c>
      <c r="ED128" s="72" t="str">
        <f t="shared" si="44"/>
        <v>SHADOW-E03</v>
      </c>
      <c r="EE128" s="73" t="str">
        <f t="shared" si="45"/>
        <v>NO P.CK</v>
      </c>
      <c r="EF128" s="73">
        <f t="shared" si="46"/>
        <v>0</v>
      </c>
      <c r="EG128" s="73">
        <f t="shared" si="47"/>
        <v>0</v>
      </c>
      <c r="EH128" s="73" t="str">
        <f t="shared" si="48"/>
        <v>SI</v>
      </c>
      <c r="EI128" s="73"/>
      <c r="EJ128" s="72"/>
      <c r="EK128" s="72" t="str">
        <f t="shared" si="49"/>
        <v/>
      </c>
      <c r="EL128" s="73">
        <f t="shared" si="50"/>
        <v>3.1</v>
      </c>
      <c r="EM128" s="213">
        <f t="shared" si="51"/>
        <v>0</v>
      </c>
      <c r="EN128" s="73"/>
      <c r="EO128" s="73"/>
      <c r="EQ128" s="73">
        <f t="shared" si="52"/>
        <v>0</v>
      </c>
      <c r="ER128" s="73">
        <f t="shared" si="53"/>
        <v>0</v>
      </c>
      <c r="ES128" s="73">
        <f t="shared" si="54"/>
        <v>0</v>
      </c>
      <c r="ET128" s="73">
        <f t="shared" si="55"/>
        <v>0</v>
      </c>
      <c r="EU128" s="73"/>
      <c r="EV128" s="73"/>
      <c r="EX128" s="3">
        <f t="shared" si="56"/>
        <v>0</v>
      </c>
      <c r="EY128" s="73"/>
      <c r="EZ128" s="73" t="str">
        <f t="shared" si="57"/>
        <v xml:space="preserve"> </v>
      </c>
      <c r="FA128" s="73">
        <f t="shared" si="58"/>
        <v>0</v>
      </c>
      <c r="FB128" s="73">
        <f t="shared" si="59"/>
        <v>0</v>
      </c>
      <c r="FC128" s="73"/>
      <c r="FD128" s="73">
        <f t="shared" si="60"/>
        <v>0</v>
      </c>
    </row>
    <row r="129" spans="2:160" s="3" customFormat="1" ht="16.5" customHeight="1">
      <c r="B129" s="316" t="s">
        <v>2265</v>
      </c>
      <c r="C129" s="317" t="s">
        <v>272</v>
      </c>
      <c r="D129" s="317" t="s">
        <v>18</v>
      </c>
      <c r="E129" s="991">
        <v>0</v>
      </c>
      <c r="F129" s="951">
        <f>IF(E129=0,0,((AI129*(1-(AJ129/100)))/24)*(24-HOURS))</f>
        <v>0</v>
      </c>
      <c r="G129" s="48"/>
      <c r="H129" s="981">
        <v>0</v>
      </c>
      <c r="I129" s="48" t="s">
        <v>1743</v>
      </c>
      <c r="J129" s="48">
        <v>125</v>
      </c>
      <c r="K129" s="48">
        <v>0</v>
      </c>
      <c r="L129" s="48">
        <v>0</v>
      </c>
      <c r="M129" s="22"/>
      <c r="N129" s="140"/>
      <c r="O129" s="748"/>
      <c r="P129" s="48"/>
      <c r="Q129" s="48"/>
      <c r="R129" s="48"/>
      <c r="S129" s="886"/>
      <c r="T129" s="886"/>
      <c r="U129" s="886"/>
      <c r="V129" s="140"/>
      <c r="W129" s="140"/>
      <c r="X129" s="48"/>
      <c r="Y129" s="140"/>
      <c r="Z129" s="748"/>
      <c r="AA129" s="48"/>
      <c r="AB129" s="48"/>
      <c r="AC129" s="48"/>
      <c r="AD129" s="886"/>
      <c r="AE129" s="886"/>
      <c r="AF129" s="532">
        <f t="shared" si="104"/>
        <v>0</v>
      </c>
      <c r="AG129" s="531">
        <f t="shared" si="105"/>
        <v>0</v>
      </c>
      <c r="AH129" s="304">
        <v>45911</v>
      </c>
      <c r="AI129" s="13">
        <v>16</v>
      </c>
      <c r="AJ129" s="15">
        <v>59</v>
      </c>
      <c r="AK129" s="15">
        <v>0.17999999999999994</v>
      </c>
      <c r="AL129" s="13">
        <v>110000</v>
      </c>
      <c r="AM129" s="93">
        <f t="shared" si="0"/>
        <v>6.5600000000000005</v>
      </c>
      <c r="AN129" s="148"/>
      <c r="AO129" s="213"/>
      <c r="CJ129" s="921"/>
      <c r="CT129" s="35"/>
      <c r="CU129" s="70" t="s">
        <v>2052</v>
      </c>
      <c r="CV129" s="71">
        <f t="shared" si="1"/>
        <v>46298</v>
      </c>
      <c r="CW129" s="72" t="str">
        <f>$CT$3&amp;B129</f>
        <v>9SHADOW-E04</v>
      </c>
      <c r="CX129" s="73" t="str">
        <f t="shared" ref="CX129:CY132" si="114">I129</f>
        <v>NA</v>
      </c>
      <c r="CY129" s="73">
        <f t="shared" si="114"/>
        <v>125</v>
      </c>
      <c r="CZ129" s="73">
        <f>E129</f>
        <v>0</v>
      </c>
      <c r="DA129" s="73" t="str">
        <f>IF(CZ129=0,"SI",D129)</f>
        <v>SI</v>
      </c>
      <c r="DB129" s="73"/>
      <c r="DC129" s="368">
        <f>E129*((H129*1000)/24)</f>
        <v>0</v>
      </c>
      <c r="DD129" s="73">
        <f>N129</f>
        <v>0</v>
      </c>
      <c r="DE129" s="73">
        <f t="shared" ref="DE129:DG132" si="115">V129</f>
        <v>0</v>
      </c>
      <c r="DF129" s="73">
        <f t="shared" si="115"/>
        <v>0</v>
      </c>
      <c r="DG129" s="73">
        <f t="shared" si="115"/>
        <v>0</v>
      </c>
      <c r="DH129" s="73">
        <f>Z129</f>
        <v>0</v>
      </c>
      <c r="DI129" s="73">
        <f>AD129</f>
        <v>0</v>
      </c>
      <c r="DJ129" s="73"/>
      <c r="DK129" s="73"/>
      <c r="DL129" s="73">
        <f>AE129</f>
        <v>0</v>
      </c>
      <c r="DM129" s="215">
        <f>AG129</f>
        <v>0</v>
      </c>
      <c r="DN129" s="73" t="str">
        <f>IF(G129="","",G129)</f>
        <v/>
      </c>
      <c r="DO129" s="73">
        <f>AM129/24*HOURS</f>
        <v>0</v>
      </c>
      <c r="DP129" s="85" t="str">
        <f>IF(OR(D129="SI",B129="",D129="T&amp;A"),"",VLOOKUP(B129,WELL_FIELD,2))</f>
        <v/>
      </c>
      <c r="EB129" s="70" t="str">
        <f t="shared" si="43"/>
        <v>KHALDA_WELL</v>
      </c>
      <c r="EC129" s="71">
        <f t="shared" si="106"/>
        <v>46298</v>
      </c>
      <c r="ED129" s="72" t="str">
        <f t="shared" si="44"/>
        <v>SHADOW-E04</v>
      </c>
      <c r="EE129" s="73" t="str">
        <f t="shared" si="45"/>
        <v>NA</v>
      </c>
      <c r="EF129" s="73">
        <f t="shared" si="46"/>
        <v>125</v>
      </c>
      <c r="EG129" s="73">
        <f t="shared" si="47"/>
        <v>0</v>
      </c>
      <c r="EH129" s="73" t="str">
        <f t="shared" si="48"/>
        <v>SI</v>
      </c>
      <c r="EI129" s="73"/>
      <c r="EJ129" s="72"/>
      <c r="EK129" s="72" t="str">
        <f t="shared" si="49"/>
        <v/>
      </c>
      <c r="EL129" s="73">
        <f t="shared" si="50"/>
        <v>59</v>
      </c>
      <c r="EM129" s="213">
        <f t="shared" si="51"/>
        <v>0</v>
      </c>
      <c r="EN129" s="73"/>
      <c r="EO129" s="73"/>
      <c r="EQ129" s="73">
        <f t="shared" si="52"/>
        <v>0</v>
      </c>
      <c r="ER129" s="73">
        <f t="shared" si="53"/>
        <v>0</v>
      </c>
      <c r="ES129" s="73">
        <f t="shared" si="54"/>
        <v>0</v>
      </c>
      <c r="ET129" s="73">
        <f t="shared" si="55"/>
        <v>0</v>
      </c>
      <c r="EU129" s="73"/>
      <c r="EV129" s="73"/>
      <c r="EX129" s="3">
        <f t="shared" si="56"/>
        <v>0</v>
      </c>
      <c r="EY129" s="73"/>
      <c r="EZ129" s="73">
        <f t="shared" si="57"/>
        <v>0</v>
      </c>
      <c r="FA129" s="73">
        <f t="shared" si="58"/>
        <v>0</v>
      </c>
      <c r="FB129" s="73">
        <f t="shared" si="59"/>
        <v>0</v>
      </c>
      <c r="FC129" s="73"/>
      <c r="FD129" s="73">
        <f t="shared" si="60"/>
        <v>0</v>
      </c>
    </row>
    <row r="130" spans="2:160" s="3" customFormat="1" ht="16.5" customHeight="1">
      <c r="B130" s="316" t="s">
        <v>2242</v>
      </c>
      <c r="C130" s="317" t="s">
        <v>1305</v>
      </c>
      <c r="D130" s="317" t="s">
        <v>1301</v>
      </c>
      <c r="E130" s="991">
        <v>24</v>
      </c>
      <c r="F130" s="951">
        <f>IF(E130=0,0,((AI130*(1-(AJ130/100)))/24)*(24-HOURS))</f>
        <v>0</v>
      </c>
      <c r="G130" s="48"/>
      <c r="H130" s="981">
        <v>1.2</v>
      </c>
      <c r="I130" s="48" t="s">
        <v>255</v>
      </c>
      <c r="J130" s="48">
        <v>240</v>
      </c>
      <c r="K130" s="48">
        <v>240</v>
      </c>
      <c r="L130" s="48">
        <v>520</v>
      </c>
      <c r="M130" s="22"/>
      <c r="N130" s="140"/>
      <c r="O130" s="748"/>
      <c r="P130" s="48"/>
      <c r="Q130" s="48"/>
      <c r="R130" s="48"/>
      <c r="S130" s="886"/>
      <c r="T130" s="886"/>
      <c r="U130" s="886"/>
      <c r="V130" s="140"/>
      <c r="W130" s="140"/>
      <c r="X130" s="48"/>
      <c r="Y130" s="140"/>
      <c r="Z130" s="748"/>
      <c r="AA130" s="48"/>
      <c r="AB130" s="48"/>
      <c r="AC130" s="48"/>
      <c r="AD130" s="886"/>
      <c r="AE130" s="886"/>
      <c r="AF130" s="532">
        <f t="shared" si="104"/>
        <v>0.33000000000000007</v>
      </c>
      <c r="AG130" s="531">
        <f t="shared" si="105"/>
        <v>166.14</v>
      </c>
      <c r="AH130" s="304">
        <v>46298</v>
      </c>
      <c r="AI130" s="13">
        <v>234</v>
      </c>
      <c r="AJ130" s="15">
        <v>29</v>
      </c>
      <c r="AK130" s="15">
        <v>0.33000000000000007</v>
      </c>
      <c r="AL130" s="13">
        <v>42000</v>
      </c>
      <c r="AM130" s="93">
        <f t="shared" si="0"/>
        <v>166.14</v>
      </c>
      <c r="AN130" s="687"/>
      <c r="AO130" s="213"/>
      <c r="CJ130" s="921"/>
      <c r="CT130" s="35"/>
      <c r="CU130" s="70" t="s">
        <v>2053</v>
      </c>
      <c r="CV130" s="71">
        <f t="shared" si="1"/>
        <v>46298</v>
      </c>
      <c r="CW130" s="72" t="str">
        <f>$CT$3&amp;B130</f>
        <v>9SHADOW-E08</v>
      </c>
      <c r="CX130" s="73" t="str">
        <f t="shared" si="114"/>
        <v>OPEN</v>
      </c>
      <c r="CY130" s="73">
        <f t="shared" si="114"/>
        <v>240</v>
      </c>
      <c r="CZ130" s="73">
        <f>E130</f>
        <v>24</v>
      </c>
      <c r="DA130" s="73" t="str">
        <f>IF(CZ130=0,"SI",D130)</f>
        <v>G/L</v>
      </c>
      <c r="DB130" s="73"/>
      <c r="DC130" s="368">
        <f>E130*((H130*1000)/24)</f>
        <v>1200</v>
      </c>
      <c r="DD130" s="73">
        <f>N130</f>
        <v>0</v>
      </c>
      <c r="DE130" s="73">
        <f t="shared" si="115"/>
        <v>0</v>
      </c>
      <c r="DF130" s="73">
        <f t="shared" si="115"/>
        <v>0</v>
      </c>
      <c r="DG130" s="73">
        <f t="shared" si="115"/>
        <v>0</v>
      </c>
      <c r="DH130" s="73">
        <f>Z130</f>
        <v>0</v>
      </c>
      <c r="DI130" s="73">
        <f>AD130</f>
        <v>0</v>
      </c>
      <c r="DJ130" s="73"/>
      <c r="DK130" s="73"/>
      <c r="DL130" s="73">
        <f>AE130</f>
        <v>0</v>
      </c>
      <c r="DM130" s="215">
        <f>AG130</f>
        <v>166.14</v>
      </c>
      <c r="DN130" s="73" t="str">
        <f>IF(G130="","",G130)</f>
        <v/>
      </c>
      <c r="DO130" s="73">
        <f>AM130/24*HOURS</f>
        <v>166.14</v>
      </c>
      <c r="DP130" s="85" t="str">
        <f>IF(OR(D130="SI",B130="",D130="T&amp;A"),"",VLOOKUP(B130,WELL_FIELD,2))</f>
        <v>SHADOW</v>
      </c>
      <c r="EB130" s="70" t="str">
        <f t="shared" si="43"/>
        <v>KHALDA_WELL</v>
      </c>
      <c r="EC130" s="71">
        <f t="shared" si="106"/>
        <v>46298</v>
      </c>
      <c r="ED130" s="72" t="str">
        <f t="shared" si="44"/>
        <v>SHADOW-E08</v>
      </c>
      <c r="EE130" s="73" t="str">
        <f t="shared" si="45"/>
        <v>OPEN</v>
      </c>
      <c r="EF130" s="73">
        <f t="shared" si="46"/>
        <v>240</v>
      </c>
      <c r="EG130" s="73">
        <f t="shared" si="47"/>
        <v>24</v>
      </c>
      <c r="EH130" s="73" t="str">
        <f t="shared" si="48"/>
        <v>G/L</v>
      </c>
      <c r="EI130" s="73"/>
      <c r="EJ130" s="72"/>
      <c r="EK130" s="72" t="str">
        <f t="shared" si="49"/>
        <v/>
      </c>
      <c r="EL130" s="73">
        <f t="shared" si="50"/>
        <v>29</v>
      </c>
      <c r="EM130" s="213">
        <f t="shared" si="51"/>
        <v>0</v>
      </c>
      <c r="EN130" s="73"/>
      <c r="EO130" s="73"/>
      <c r="EQ130" s="73">
        <f t="shared" si="52"/>
        <v>0</v>
      </c>
      <c r="ER130" s="73">
        <f t="shared" si="53"/>
        <v>0</v>
      </c>
      <c r="ES130" s="73">
        <f t="shared" si="54"/>
        <v>0</v>
      </c>
      <c r="ET130" s="73">
        <f t="shared" si="55"/>
        <v>0</v>
      </c>
      <c r="EU130" s="73"/>
      <c r="EV130" s="73"/>
      <c r="EX130" s="3">
        <f t="shared" si="56"/>
        <v>0</v>
      </c>
      <c r="EY130" s="73"/>
      <c r="EZ130" s="73">
        <f t="shared" si="57"/>
        <v>0</v>
      </c>
      <c r="FA130" s="73">
        <f t="shared" si="58"/>
        <v>0</v>
      </c>
      <c r="FB130" s="73">
        <f t="shared" si="59"/>
        <v>0</v>
      </c>
      <c r="FC130" s="73"/>
      <c r="FD130" s="73">
        <f t="shared" si="60"/>
        <v>0</v>
      </c>
    </row>
    <row r="131" spans="2:160" s="3" customFormat="1" ht="16.5" customHeight="1">
      <c r="B131" s="316" t="s">
        <v>2272</v>
      </c>
      <c r="C131" s="317" t="s">
        <v>272</v>
      </c>
      <c r="D131" s="317" t="s">
        <v>1301</v>
      </c>
      <c r="E131" s="991">
        <v>24</v>
      </c>
      <c r="F131" s="951">
        <f>IF(E131=0,0,((AI131*(1-(AJ131/100)))/24)*(24-HOURS))</f>
        <v>0</v>
      </c>
      <c r="G131" s="48"/>
      <c r="H131" s="981">
        <v>1.42</v>
      </c>
      <c r="I131" s="48" t="s">
        <v>2335</v>
      </c>
      <c r="J131" s="48">
        <v>160</v>
      </c>
      <c r="K131" s="48">
        <v>130</v>
      </c>
      <c r="L131" s="48">
        <v>511</v>
      </c>
      <c r="M131" s="22"/>
      <c r="N131" s="140"/>
      <c r="O131" s="748"/>
      <c r="P131" s="48"/>
      <c r="Q131" s="48"/>
      <c r="R131" s="48"/>
      <c r="S131" s="886"/>
      <c r="T131" s="886"/>
      <c r="U131" s="886"/>
      <c r="V131" s="140"/>
      <c r="W131" s="140"/>
      <c r="X131" s="48"/>
      <c r="Y131" s="140"/>
      <c r="Z131" s="748"/>
      <c r="AA131" s="48"/>
      <c r="AB131" s="48"/>
      <c r="AC131" s="48"/>
      <c r="AD131" s="886"/>
      <c r="AE131" s="886"/>
      <c r="AF131" s="532">
        <f t="shared" si="104"/>
        <v>0.249</v>
      </c>
      <c r="AG131" s="531">
        <f t="shared" si="105"/>
        <v>75.599999999999994</v>
      </c>
      <c r="AH131" s="304">
        <v>46258</v>
      </c>
      <c r="AI131" s="13">
        <v>126</v>
      </c>
      <c r="AJ131" s="15">
        <v>40</v>
      </c>
      <c r="AK131" s="15">
        <v>0.249</v>
      </c>
      <c r="AL131" s="13">
        <v>93000</v>
      </c>
      <c r="AM131" s="93">
        <f t="shared" si="0"/>
        <v>75.599999999999994</v>
      </c>
      <c r="AN131" s="148"/>
      <c r="AO131" s="213"/>
      <c r="CJ131" s="921"/>
      <c r="CT131" s="35"/>
      <c r="CU131" s="70" t="s">
        <v>2054</v>
      </c>
      <c r="CV131" s="71">
        <f t="shared" si="1"/>
        <v>46298</v>
      </c>
      <c r="CW131" s="72" t="str">
        <f>$CT$3&amp;B131</f>
        <v>9SHADOW-E09</v>
      </c>
      <c r="CX131" s="73" t="str">
        <f t="shared" si="114"/>
        <v>NO P.CK</v>
      </c>
      <c r="CY131" s="73">
        <f t="shared" si="114"/>
        <v>160</v>
      </c>
      <c r="CZ131" s="73">
        <f>E131</f>
        <v>24</v>
      </c>
      <c r="DA131" s="73" t="str">
        <f>IF(CZ131=0,"SI",D131)</f>
        <v>G/L</v>
      </c>
      <c r="DB131" s="73"/>
      <c r="DC131" s="368">
        <f>E131*((H131*1000)/24)</f>
        <v>1420</v>
      </c>
      <c r="DD131" s="73">
        <f>N131</f>
        <v>0</v>
      </c>
      <c r="DE131" s="73">
        <f t="shared" si="115"/>
        <v>0</v>
      </c>
      <c r="DF131" s="73">
        <f t="shared" si="115"/>
        <v>0</v>
      </c>
      <c r="DG131" s="73">
        <f t="shared" si="115"/>
        <v>0</v>
      </c>
      <c r="DH131" s="73">
        <f>Z131</f>
        <v>0</v>
      </c>
      <c r="DI131" s="73">
        <f>AD131</f>
        <v>0</v>
      </c>
      <c r="DJ131" s="73"/>
      <c r="DK131" s="73"/>
      <c r="DL131" s="73">
        <f>AE131</f>
        <v>0</v>
      </c>
      <c r="DM131" s="215">
        <f>AG131</f>
        <v>75.599999999999994</v>
      </c>
      <c r="DN131" s="73" t="str">
        <f>IF(G131="","",G131)</f>
        <v/>
      </c>
      <c r="DO131" s="73">
        <f>AM131/24*HOURS</f>
        <v>75.599999999999994</v>
      </c>
      <c r="DP131" s="85" t="str">
        <f>IF(OR(D131="SI",B131="",D131="T&amp;A"),"",VLOOKUP(B131,WELL_FIELD,2))</f>
        <v>SHADOW</v>
      </c>
      <c r="EB131" s="70" t="str">
        <f t="shared" si="43"/>
        <v>KHALDA_WELL</v>
      </c>
      <c r="EC131" s="71">
        <f t="shared" si="106"/>
        <v>46298</v>
      </c>
      <c r="ED131" s="72" t="str">
        <f t="shared" si="44"/>
        <v>SHADOW-E09</v>
      </c>
      <c r="EE131" s="73" t="str">
        <f t="shared" si="45"/>
        <v>NO P.CK</v>
      </c>
      <c r="EF131" s="73">
        <f t="shared" si="46"/>
        <v>160</v>
      </c>
      <c r="EG131" s="73">
        <f t="shared" si="47"/>
        <v>24</v>
      </c>
      <c r="EH131" s="73" t="str">
        <f t="shared" si="48"/>
        <v>G/L</v>
      </c>
      <c r="EI131" s="73"/>
      <c r="EJ131" s="72"/>
      <c r="EK131" s="72" t="str">
        <f t="shared" si="49"/>
        <v/>
      </c>
      <c r="EL131" s="73">
        <f t="shared" si="50"/>
        <v>40</v>
      </c>
      <c r="EM131" s="213">
        <f t="shared" si="51"/>
        <v>0</v>
      </c>
      <c r="EN131" s="73"/>
      <c r="EO131" s="73"/>
      <c r="EQ131" s="73">
        <f t="shared" si="52"/>
        <v>0</v>
      </c>
      <c r="ER131" s="73">
        <f t="shared" si="53"/>
        <v>0</v>
      </c>
      <c r="ES131" s="73">
        <f t="shared" si="54"/>
        <v>0</v>
      </c>
      <c r="ET131" s="73">
        <f t="shared" si="55"/>
        <v>0</v>
      </c>
      <c r="EU131" s="73"/>
      <c r="EV131" s="73"/>
      <c r="EX131" s="3">
        <f t="shared" si="56"/>
        <v>0</v>
      </c>
      <c r="EY131" s="73"/>
      <c r="EZ131" s="73">
        <f t="shared" si="57"/>
        <v>0</v>
      </c>
      <c r="FA131" s="73">
        <f t="shared" si="58"/>
        <v>0</v>
      </c>
      <c r="FB131" s="73">
        <f t="shared" si="59"/>
        <v>0</v>
      </c>
      <c r="FC131" s="73"/>
      <c r="FD131" s="73">
        <f t="shared" si="60"/>
        <v>0</v>
      </c>
    </row>
    <row r="132" spans="2:160" s="3" customFormat="1" ht="18" customHeight="1">
      <c r="B132" s="316" t="s">
        <v>2280</v>
      </c>
      <c r="C132" s="317" t="s">
        <v>1305</v>
      </c>
      <c r="D132" s="317" t="s">
        <v>1301</v>
      </c>
      <c r="E132" s="991">
        <v>24</v>
      </c>
      <c r="F132" s="951">
        <f>IF(E132=0,0,((AI132*(1-(AJ132/100)))/24)*(24-HOURS))</f>
        <v>0</v>
      </c>
      <c r="G132" s="48"/>
      <c r="H132" s="981">
        <v>0.88784001585719252</v>
      </c>
      <c r="I132" s="48" t="s">
        <v>2335</v>
      </c>
      <c r="J132" s="48">
        <v>260</v>
      </c>
      <c r="K132" s="48">
        <v>260</v>
      </c>
      <c r="L132" s="48">
        <v>720</v>
      </c>
      <c r="M132" s="22"/>
      <c r="N132" s="140"/>
      <c r="O132" s="748"/>
      <c r="P132" s="48"/>
      <c r="Q132" s="48"/>
      <c r="R132" s="48"/>
      <c r="S132" s="886"/>
      <c r="T132" s="886"/>
      <c r="U132" s="886"/>
      <c r="V132" s="140"/>
      <c r="W132" s="140"/>
      <c r="X132" s="48"/>
      <c r="Y132" s="140"/>
      <c r="Z132" s="748"/>
      <c r="AA132" s="48"/>
      <c r="AB132" s="48"/>
      <c r="AC132" s="48"/>
      <c r="AD132" s="886"/>
      <c r="AE132" s="886"/>
      <c r="AF132" s="532">
        <f>AK132/24*E132</f>
        <v>0</v>
      </c>
      <c r="AG132" s="531">
        <f>AM132/24*E132</f>
        <v>1.56</v>
      </c>
      <c r="AH132" s="304">
        <v>46262</v>
      </c>
      <c r="AI132" s="13">
        <v>13</v>
      </c>
      <c r="AJ132" s="15">
        <v>88</v>
      </c>
      <c r="AK132" s="15">
        <v>0</v>
      </c>
      <c r="AL132" s="13"/>
      <c r="AM132" s="93">
        <f t="shared" si="0"/>
        <v>1.56</v>
      </c>
      <c r="AN132" s="687"/>
      <c r="AO132" s="213"/>
      <c r="CJ132" s="921"/>
      <c r="CT132" s="35"/>
      <c r="CU132" s="70" t="s">
        <v>2055</v>
      </c>
      <c r="CV132" s="71">
        <f t="shared" si="1"/>
        <v>46298</v>
      </c>
      <c r="CW132" s="72" t="str">
        <f>$CT$3&amp;B132</f>
        <v>9SHADOW-E10</v>
      </c>
      <c r="CX132" s="73" t="str">
        <f t="shared" si="114"/>
        <v>NO P.CK</v>
      </c>
      <c r="CY132" s="73">
        <f t="shared" si="114"/>
        <v>260</v>
      </c>
      <c r="CZ132" s="73">
        <f>E132</f>
        <v>24</v>
      </c>
      <c r="DA132" s="73" t="str">
        <f>IF(CZ132=0,"SI",D132)</f>
        <v>G/L</v>
      </c>
      <c r="DB132" s="73"/>
      <c r="DC132" s="368">
        <f>E132*((H132*1000)/24)</f>
        <v>887.84001585719238</v>
      </c>
      <c r="DD132" s="73">
        <f>N132</f>
        <v>0</v>
      </c>
      <c r="DE132" s="73">
        <f t="shared" si="115"/>
        <v>0</v>
      </c>
      <c r="DF132" s="73">
        <f t="shared" si="115"/>
        <v>0</v>
      </c>
      <c r="DG132" s="73">
        <f t="shared" si="115"/>
        <v>0</v>
      </c>
      <c r="DH132" s="73">
        <f>Z132</f>
        <v>0</v>
      </c>
      <c r="DI132" s="73">
        <f>AD132</f>
        <v>0</v>
      </c>
      <c r="DJ132" s="73"/>
      <c r="DK132" s="73"/>
      <c r="DL132" s="73">
        <f>AE132</f>
        <v>0</v>
      </c>
      <c r="DM132" s="215">
        <f>AG132</f>
        <v>1.56</v>
      </c>
      <c r="DN132" s="73" t="str">
        <f>IF(G132="","",G132)</f>
        <v/>
      </c>
      <c r="DO132" s="73">
        <f>AM132/24*HOURS</f>
        <v>1.56</v>
      </c>
      <c r="DP132" s="85" t="str">
        <f>IF(OR(D132="SI",B132="",D132="T&amp;A"),"",VLOOKUP(B132,WELL_FIELD,2))</f>
        <v>SHADOW</v>
      </c>
      <c r="EB132" s="70" t="str">
        <f t="shared" si="43"/>
        <v>KHALDA_WELL</v>
      </c>
      <c r="EC132" s="71">
        <f t="shared" si="106"/>
        <v>46298</v>
      </c>
      <c r="ED132" s="72" t="str">
        <f t="shared" si="44"/>
        <v>SHADOW-E10</v>
      </c>
      <c r="EE132" s="73" t="str">
        <f t="shared" si="45"/>
        <v>NO P.CK</v>
      </c>
      <c r="EF132" s="73">
        <f t="shared" si="46"/>
        <v>260</v>
      </c>
      <c r="EG132" s="73">
        <f t="shared" si="47"/>
        <v>24</v>
      </c>
      <c r="EH132" s="73" t="str">
        <f t="shared" si="48"/>
        <v>G/L</v>
      </c>
      <c r="EI132" s="73"/>
      <c r="EJ132" s="72"/>
      <c r="EK132" s="72" t="str">
        <f t="shared" si="49"/>
        <v/>
      </c>
      <c r="EL132" s="73">
        <f t="shared" si="50"/>
        <v>88</v>
      </c>
      <c r="EM132" s="213">
        <f t="shared" si="51"/>
        <v>0</v>
      </c>
      <c r="EN132" s="73"/>
      <c r="EO132" s="73"/>
      <c r="EQ132" s="73">
        <f t="shared" si="52"/>
        <v>0</v>
      </c>
      <c r="ER132" s="73">
        <f t="shared" si="53"/>
        <v>0</v>
      </c>
      <c r="ES132" s="73">
        <f t="shared" si="54"/>
        <v>0</v>
      </c>
      <c r="ET132" s="73">
        <f t="shared" si="55"/>
        <v>0</v>
      </c>
      <c r="EU132" s="73"/>
      <c r="EV132" s="73"/>
      <c r="EX132" s="3">
        <f t="shared" si="56"/>
        <v>0</v>
      </c>
      <c r="EY132" s="73"/>
      <c r="EZ132" s="73">
        <f t="shared" si="57"/>
        <v>0</v>
      </c>
      <c r="FA132" s="73">
        <f t="shared" si="58"/>
        <v>0</v>
      </c>
      <c r="FB132" s="73">
        <f t="shared" si="59"/>
        <v>0</v>
      </c>
      <c r="FC132" s="73"/>
      <c r="FD132" s="73">
        <f t="shared" si="60"/>
        <v>0</v>
      </c>
    </row>
    <row r="133" spans="2:160" s="3" customFormat="1" ht="15.75" customHeight="1">
      <c r="B133" s="316" t="s">
        <v>2065</v>
      </c>
      <c r="C133" s="317" t="s">
        <v>1315</v>
      </c>
      <c r="D133" s="317" t="s">
        <v>18</v>
      </c>
      <c r="E133" s="991">
        <v>0</v>
      </c>
      <c r="F133" s="951">
        <f t="shared" si="109"/>
        <v>0</v>
      </c>
      <c r="G133" s="48"/>
      <c r="H133" s="981"/>
      <c r="I133" s="48" t="s">
        <v>2335</v>
      </c>
      <c r="J133" s="48">
        <v>0</v>
      </c>
      <c r="K133" s="48">
        <v>0</v>
      </c>
      <c r="L133" s="48">
        <v>0</v>
      </c>
      <c r="M133" s="22"/>
      <c r="N133" s="140"/>
      <c r="O133" s="748"/>
      <c r="P133" s="48"/>
      <c r="Q133" s="48"/>
      <c r="R133" s="48"/>
      <c r="S133" s="886"/>
      <c r="T133" s="886"/>
      <c r="U133" s="886"/>
      <c r="V133" s="140"/>
      <c r="W133" s="140"/>
      <c r="X133" s="48"/>
      <c r="Y133" s="140"/>
      <c r="Z133" s="748"/>
      <c r="AA133" s="48"/>
      <c r="AB133" s="48"/>
      <c r="AC133" s="48"/>
      <c r="AD133" s="886"/>
      <c r="AE133" s="886"/>
      <c r="AF133" s="532">
        <f t="shared" si="104"/>
        <v>0</v>
      </c>
      <c r="AG133" s="531">
        <f t="shared" si="105"/>
        <v>0</v>
      </c>
      <c r="AH133" s="304">
        <v>42589</v>
      </c>
      <c r="AI133" s="13">
        <v>0</v>
      </c>
      <c r="AJ133" s="15">
        <v>0</v>
      </c>
      <c r="AK133" s="15">
        <v>0.51600000000000001</v>
      </c>
      <c r="AL133" s="13"/>
      <c r="AM133" s="93">
        <f t="shared" si="0"/>
        <v>0</v>
      </c>
      <c r="AN133" s="148" t="s">
        <v>2105</v>
      </c>
      <c r="AO133" s="213"/>
      <c r="CJ133" s="921">
        <f t="shared" si="62"/>
        <v>0</v>
      </c>
      <c r="CT133" s="35"/>
      <c r="CU133" s="70" t="s">
        <v>2053</v>
      </c>
      <c r="CV133" s="71">
        <f t="shared" si="1"/>
        <v>46298</v>
      </c>
      <c r="CW133" s="72" t="str">
        <f t="shared" si="63"/>
        <v>9SHADOW-04HST</v>
      </c>
      <c r="CX133" s="73" t="str">
        <f t="shared" si="64"/>
        <v>NO P.CK</v>
      </c>
      <c r="CY133" s="73">
        <f t="shared" si="65"/>
        <v>0</v>
      </c>
      <c r="CZ133" s="73">
        <f t="shared" si="66"/>
        <v>0</v>
      </c>
      <c r="DA133" s="73" t="str">
        <f t="shared" si="67"/>
        <v>SI</v>
      </c>
      <c r="DB133" s="73"/>
      <c r="DC133" s="368">
        <f t="shared" si="68"/>
        <v>0</v>
      </c>
      <c r="DD133" s="73">
        <f t="shared" si="69"/>
        <v>0</v>
      </c>
      <c r="DE133" s="73">
        <f t="shared" si="70"/>
        <v>0</v>
      </c>
      <c r="DF133" s="73">
        <f t="shared" si="71"/>
        <v>0</v>
      </c>
      <c r="DG133" s="73">
        <f t="shared" si="72"/>
        <v>0</v>
      </c>
      <c r="DH133" s="73">
        <f t="shared" si="73"/>
        <v>0</v>
      </c>
      <c r="DI133" s="73">
        <f t="shared" si="74"/>
        <v>0</v>
      </c>
      <c r="DJ133" s="73"/>
      <c r="DK133" s="73"/>
      <c r="DL133" s="73">
        <f t="shared" si="75"/>
        <v>0</v>
      </c>
      <c r="DM133" s="215">
        <f t="shared" si="76"/>
        <v>0</v>
      </c>
      <c r="DN133" s="73" t="str">
        <f t="shared" si="77"/>
        <v/>
      </c>
      <c r="DO133" s="73">
        <f t="shared" si="78"/>
        <v>0</v>
      </c>
      <c r="DP133" s="85" t="str">
        <f t="shared" si="79"/>
        <v/>
      </c>
      <c r="EB133" s="70" t="str">
        <f t="shared" si="43"/>
        <v>KHALDA_WELL</v>
      </c>
      <c r="EC133" s="71">
        <f t="shared" si="106"/>
        <v>46298</v>
      </c>
      <c r="ED133" s="72" t="str">
        <f t="shared" si="44"/>
        <v>SHADOW-04HST</v>
      </c>
      <c r="EE133" s="73" t="str">
        <f t="shared" si="45"/>
        <v>NO P.CK</v>
      </c>
      <c r="EF133" s="73">
        <f t="shared" si="46"/>
        <v>0</v>
      </c>
      <c r="EG133" s="73">
        <f t="shared" si="47"/>
        <v>0</v>
      </c>
      <c r="EH133" s="73" t="str">
        <f t="shared" si="48"/>
        <v>SI</v>
      </c>
      <c r="EI133" s="73"/>
      <c r="EJ133" s="72"/>
      <c r="EK133" s="72" t="str">
        <f t="shared" si="49"/>
        <v/>
      </c>
      <c r="EL133" s="73">
        <f t="shared" si="50"/>
        <v>0</v>
      </c>
      <c r="EM133" s="213">
        <f t="shared" si="51"/>
        <v>0</v>
      </c>
      <c r="EN133" s="73"/>
      <c r="EO133" s="73"/>
      <c r="EQ133" s="73">
        <f t="shared" si="52"/>
        <v>0</v>
      </c>
      <c r="ER133" s="73">
        <f t="shared" si="53"/>
        <v>0</v>
      </c>
      <c r="ES133" s="73">
        <f t="shared" si="54"/>
        <v>0</v>
      </c>
      <c r="ET133" s="73">
        <f t="shared" si="55"/>
        <v>0</v>
      </c>
      <c r="EU133" s="73"/>
      <c r="EV133" s="73"/>
      <c r="EX133" s="3">
        <f t="shared" si="56"/>
        <v>0</v>
      </c>
      <c r="EY133" s="73"/>
      <c r="EZ133" s="73">
        <f t="shared" si="57"/>
        <v>0</v>
      </c>
      <c r="FA133" s="73">
        <f t="shared" si="58"/>
        <v>0</v>
      </c>
      <c r="FB133" s="73">
        <f t="shared" si="59"/>
        <v>0</v>
      </c>
      <c r="FC133" s="73"/>
      <c r="FD133" s="73" t="str">
        <f t="shared" si="60"/>
        <v>Circulating gas</v>
      </c>
    </row>
    <row r="134" spans="2:160" s="3" customFormat="1" ht="15.75" customHeight="1">
      <c r="B134" s="316" t="s">
        <v>1901</v>
      </c>
      <c r="C134" s="317" t="s">
        <v>1305</v>
      </c>
      <c r="D134" s="317" t="s">
        <v>1301</v>
      </c>
      <c r="E134" s="991">
        <v>24</v>
      </c>
      <c r="F134" s="951">
        <f t="shared" si="109"/>
        <v>0</v>
      </c>
      <c r="G134" s="48"/>
      <c r="H134" s="981">
        <v>0.85</v>
      </c>
      <c r="I134" s="48" t="s">
        <v>2335</v>
      </c>
      <c r="J134" s="48">
        <v>160</v>
      </c>
      <c r="K134" s="48">
        <v>160</v>
      </c>
      <c r="L134" s="48">
        <v>720</v>
      </c>
      <c r="M134" s="22"/>
      <c r="N134" s="140"/>
      <c r="O134" s="748"/>
      <c r="P134" s="48"/>
      <c r="Q134" s="48"/>
      <c r="R134" s="48"/>
      <c r="S134" s="886"/>
      <c r="T134" s="886"/>
      <c r="U134" s="886"/>
      <c r="V134" s="140"/>
      <c r="W134" s="140"/>
      <c r="X134" s="48"/>
      <c r="Y134" s="140"/>
      <c r="Z134" s="748"/>
      <c r="AA134" s="48"/>
      <c r="AB134" s="48"/>
      <c r="AC134" s="48"/>
      <c r="AD134" s="886"/>
      <c r="AE134" s="886"/>
      <c r="AF134" s="532">
        <f t="shared" si="104"/>
        <v>0.21200000000000002</v>
      </c>
      <c r="AG134" s="531">
        <f t="shared" si="105"/>
        <v>28.71</v>
      </c>
      <c r="AH134" s="304">
        <v>46263</v>
      </c>
      <c r="AI134" s="13">
        <v>29</v>
      </c>
      <c r="AJ134" s="15">
        <v>1</v>
      </c>
      <c r="AK134" s="15">
        <v>0.21199999999999999</v>
      </c>
      <c r="AL134" s="13"/>
      <c r="AM134" s="93">
        <f t="shared" si="0"/>
        <v>28.71</v>
      </c>
      <c r="AN134" s="148"/>
      <c r="AO134" s="213"/>
      <c r="CJ134" s="921">
        <f t="shared" si="62"/>
        <v>0.28999999999999998</v>
      </c>
      <c r="CT134" s="35"/>
      <c r="CU134" s="70" t="s">
        <v>2054</v>
      </c>
      <c r="CV134" s="71">
        <f t="shared" si="1"/>
        <v>46298</v>
      </c>
      <c r="CW134" s="72" t="str">
        <f t="shared" si="63"/>
        <v>9SHADOW-05</v>
      </c>
      <c r="CX134" s="73" t="str">
        <f t="shared" si="64"/>
        <v>NO P.CK</v>
      </c>
      <c r="CY134" s="73">
        <f t="shared" si="65"/>
        <v>160</v>
      </c>
      <c r="CZ134" s="73">
        <f t="shared" si="66"/>
        <v>24</v>
      </c>
      <c r="DA134" s="73" t="str">
        <f t="shared" si="67"/>
        <v>G/L</v>
      </c>
      <c r="DB134" s="73"/>
      <c r="DC134" s="368">
        <f t="shared" si="68"/>
        <v>850</v>
      </c>
      <c r="DD134" s="73">
        <f t="shared" si="69"/>
        <v>0</v>
      </c>
      <c r="DE134" s="73">
        <f t="shared" si="70"/>
        <v>0</v>
      </c>
      <c r="DF134" s="73">
        <f t="shared" si="71"/>
        <v>0</v>
      </c>
      <c r="DG134" s="73">
        <f t="shared" si="72"/>
        <v>0</v>
      </c>
      <c r="DH134" s="73">
        <f t="shared" si="73"/>
        <v>0</v>
      </c>
      <c r="DI134" s="73">
        <f t="shared" si="74"/>
        <v>0</v>
      </c>
      <c r="DJ134" s="73"/>
      <c r="DK134" s="73"/>
      <c r="DL134" s="73">
        <f t="shared" si="75"/>
        <v>0</v>
      </c>
      <c r="DM134" s="215">
        <f t="shared" si="76"/>
        <v>28.71</v>
      </c>
      <c r="DN134" s="73" t="str">
        <f t="shared" si="77"/>
        <v/>
      </c>
      <c r="DO134" s="73">
        <f t="shared" si="78"/>
        <v>28.71</v>
      </c>
      <c r="DP134" s="85" t="str">
        <f t="shared" si="79"/>
        <v>SHADOW</v>
      </c>
      <c r="EB134" s="70" t="str">
        <f t="shared" si="43"/>
        <v>KHALDA_WELL</v>
      </c>
      <c r="EC134" s="71">
        <f t="shared" si="106"/>
        <v>46298</v>
      </c>
      <c r="ED134" s="72" t="str">
        <f t="shared" si="44"/>
        <v>SHADOW-05</v>
      </c>
      <c r="EE134" s="73" t="str">
        <f t="shared" si="45"/>
        <v>NO P.CK</v>
      </c>
      <c r="EF134" s="73">
        <f t="shared" si="46"/>
        <v>160</v>
      </c>
      <c r="EG134" s="73">
        <f t="shared" si="47"/>
        <v>24</v>
      </c>
      <c r="EH134" s="73" t="str">
        <f t="shared" si="48"/>
        <v>G/L</v>
      </c>
      <c r="EI134" s="73"/>
      <c r="EJ134" s="72"/>
      <c r="EK134" s="72" t="str">
        <f t="shared" si="49"/>
        <v/>
      </c>
      <c r="EL134" s="73">
        <f t="shared" si="50"/>
        <v>1</v>
      </c>
      <c r="EM134" s="213">
        <f t="shared" si="51"/>
        <v>0</v>
      </c>
      <c r="EN134" s="73"/>
      <c r="EO134" s="73"/>
      <c r="EQ134" s="73">
        <f t="shared" si="52"/>
        <v>0</v>
      </c>
      <c r="ER134" s="73">
        <f t="shared" si="53"/>
        <v>0</v>
      </c>
      <c r="ES134" s="73">
        <f t="shared" si="54"/>
        <v>0</v>
      </c>
      <c r="ET134" s="73">
        <f t="shared" si="55"/>
        <v>0</v>
      </c>
      <c r="EU134" s="73"/>
      <c r="EV134" s="73"/>
      <c r="EX134" s="3">
        <f t="shared" si="56"/>
        <v>0</v>
      </c>
      <c r="EY134" s="73"/>
      <c r="EZ134" s="73">
        <f t="shared" si="57"/>
        <v>0</v>
      </c>
      <c r="FA134" s="73">
        <f t="shared" si="58"/>
        <v>0</v>
      </c>
      <c r="FB134" s="73">
        <f t="shared" si="59"/>
        <v>0</v>
      </c>
      <c r="FC134" s="73"/>
      <c r="FD134" s="73">
        <f t="shared" si="60"/>
        <v>0</v>
      </c>
    </row>
    <row r="135" spans="2:160" s="3" customFormat="1" ht="15.75" customHeight="1">
      <c r="B135" s="316" t="s">
        <v>2257</v>
      </c>
      <c r="C135" s="317" t="s">
        <v>272</v>
      </c>
      <c r="D135" s="317" t="s">
        <v>18</v>
      </c>
      <c r="E135" s="991">
        <v>0</v>
      </c>
      <c r="F135" s="951">
        <f t="shared" si="109"/>
        <v>0</v>
      </c>
      <c r="G135" s="48"/>
      <c r="H135" s="981">
        <v>0</v>
      </c>
      <c r="I135" s="48" t="s">
        <v>2335</v>
      </c>
      <c r="J135" s="48">
        <v>0</v>
      </c>
      <c r="K135" s="48">
        <v>0</v>
      </c>
      <c r="L135" s="48">
        <v>0</v>
      </c>
      <c r="M135" s="22"/>
      <c r="N135" s="140"/>
      <c r="O135" s="748"/>
      <c r="P135" s="48"/>
      <c r="Q135" s="48"/>
      <c r="R135" s="48"/>
      <c r="S135" s="886"/>
      <c r="T135" s="886"/>
      <c r="U135" s="886"/>
      <c r="V135" s="140"/>
      <c r="W135" s="140"/>
      <c r="X135" s="48"/>
      <c r="Y135" s="140"/>
      <c r="Z135" s="748"/>
      <c r="AA135" s="48"/>
      <c r="AB135" s="48"/>
      <c r="AC135" s="48"/>
      <c r="AD135" s="886"/>
      <c r="AE135" s="886"/>
      <c r="AF135" s="532">
        <f>AK135/24*E135</f>
        <v>0</v>
      </c>
      <c r="AG135" s="531">
        <f>AM135/24*E135</f>
        <v>0</v>
      </c>
      <c r="AH135" s="304">
        <v>45855</v>
      </c>
      <c r="AI135" s="13">
        <v>26</v>
      </c>
      <c r="AJ135" s="15">
        <v>67</v>
      </c>
      <c r="AK135" s="15">
        <v>-7.6999999999999957E-2</v>
      </c>
      <c r="AL135" s="13">
        <v>104000</v>
      </c>
      <c r="AM135" s="93">
        <f t="shared" si="0"/>
        <v>8.5799999999999983</v>
      </c>
      <c r="AN135" s="148"/>
      <c r="AO135" s="213"/>
      <c r="CJ135" s="921"/>
      <c r="CT135" s="35"/>
      <c r="CU135" s="70" t="s">
        <v>2055</v>
      </c>
      <c r="CV135" s="71">
        <f t="shared" si="1"/>
        <v>46298</v>
      </c>
      <c r="CW135" s="72" t="str">
        <f>$CT$3&amp;B135</f>
        <v>9SHADOW-06</v>
      </c>
      <c r="CX135" s="73" t="str">
        <f t="shared" ref="CX135:CY138" si="116">I135</f>
        <v>NO P.CK</v>
      </c>
      <c r="CY135" s="73">
        <f t="shared" si="116"/>
        <v>0</v>
      </c>
      <c r="CZ135" s="73">
        <f>E135</f>
        <v>0</v>
      </c>
      <c r="DA135" s="73" t="str">
        <f>IF(CZ135=0,"SI",D135)</f>
        <v>SI</v>
      </c>
      <c r="DB135" s="73"/>
      <c r="DC135" s="368">
        <f>E135*((H135*1000)/24)</f>
        <v>0</v>
      </c>
      <c r="DD135" s="73">
        <f>N135</f>
        <v>0</v>
      </c>
      <c r="DE135" s="73">
        <f t="shared" ref="DE135:DG138" si="117">V135</f>
        <v>0</v>
      </c>
      <c r="DF135" s="73">
        <f t="shared" si="117"/>
        <v>0</v>
      </c>
      <c r="DG135" s="73">
        <f t="shared" si="117"/>
        <v>0</v>
      </c>
      <c r="DH135" s="73">
        <f>Z135</f>
        <v>0</v>
      </c>
      <c r="DI135" s="73">
        <f>AD135</f>
        <v>0</v>
      </c>
      <c r="DJ135" s="73"/>
      <c r="DK135" s="73"/>
      <c r="DL135" s="73">
        <f>AE135</f>
        <v>0</v>
      </c>
      <c r="DM135" s="215">
        <f>AG135</f>
        <v>0</v>
      </c>
      <c r="DN135" s="73" t="str">
        <f>IF(G135="","",G135)</f>
        <v/>
      </c>
      <c r="DO135" s="73">
        <f>AM135/24*HOURS</f>
        <v>0</v>
      </c>
      <c r="DP135" s="85" t="str">
        <f t="shared" si="79"/>
        <v/>
      </c>
      <c r="EB135" s="70" t="str">
        <f t="shared" si="43"/>
        <v>KHALDA_WELL</v>
      </c>
      <c r="EC135" s="71">
        <f t="shared" si="106"/>
        <v>46298</v>
      </c>
      <c r="ED135" s="72" t="str">
        <f t="shared" si="44"/>
        <v>SHADOW-06</v>
      </c>
      <c r="EE135" s="73" t="str">
        <f t="shared" si="45"/>
        <v>NO P.CK</v>
      </c>
      <c r="EF135" s="73">
        <f t="shared" si="46"/>
        <v>0</v>
      </c>
      <c r="EG135" s="73">
        <f t="shared" si="47"/>
        <v>0</v>
      </c>
      <c r="EH135" s="73" t="str">
        <f t="shared" si="48"/>
        <v>SI</v>
      </c>
      <c r="EI135" s="73"/>
      <c r="EJ135" s="72"/>
      <c r="EK135" s="72" t="str">
        <f t="shared" si="49"/>
        <v/>
      </c>
      <c r="EL135" s="73">
        <f t="shared" si="50"/>
        <v>67</v>
      </c>
      <c r="EM135" s="213">
        <f t="shared" si="51"/>
        <v>0</v>
      </c>
      <c r="EN135" s="73"/>
      <c r="EO135" s="73"/>
      <c r="EQ135" s="73">
        <f t="shared" si="52"/>
        <v>0</v>
      </c>
      <c r="ER135" s="73">
        <f t="shared" si="53"/>
        <v>0</v>
      </c>
      <c r="ES135" s="73">
        <f t="shared" si="54"/>
        <v>0</v>
      </c>
      <c r="ET135" s="73">
        <f t="shared" si="55"/>
        <v>0</v>
      </c>
      <c r="EU135" s="73"/>
      <c r="EV135" s="73"/>
      <c r="EX135" s="3">
        <f t="shared" si="56"/>
        <v>0</v>
      </c>
      <c r="EY135" s="73"/>
      <c r="EZ135" s="73">
        <f t="shared" si="57"/>
        <v>0</v>
      </c>
      <c r="FA135" s="73">
        <f t="shared" si="58"/>
        <v>0</v>
      </c>
      <c r="FB135" s="73">
        <f t="shared" si="59"/>
        <v>0</v>
      </c>
      <c r="FC135" s="73"/>
      <c r="FD135" s="73">
        <f t="shared" si="60"/>
        <v>0</v>
      </c>
    </row>
    <row r="136" spans="2:160" s="3" customFormat="1" ht="16.5" customHeight="1">
      <c r="B136" s="316" t="s">
        <v>2259</v>
      </c>
      <c r="C136" s="317" t="s">
        <v>1305</v>
      </c>
      <c r="D136" s="317" t="s">
        <v>1301</v>
      </c>
      <c r="E136" s="991">
        <v>24</v>
      </c>
      <c r="F136" s="951">
        <f t="shared" si="109"/>
        <v>0</v>
      </c>
      <c r="G136" s="48"/>
      <c r="H136" s="981">
        <v>2.3690817279275107</v>
      </c>
      <c r="I136" s="48" t="s">
        <v>2335</v>
      </c>
      <c r="J136" s="48">
        <v>350</v>
      </c>
      <c r="K136" s="48">
        <v>340</v>
      </c>
      <c r="L136" s="48">
        <v>840</v>
      </c>
      <c r="M136" s="22"/>
      <c r="N136" s="140"/>
      <c r="O136" s="748"/>
      <c r="P136" s="48"/>
      <c r="Q136" s="48"/>
      <c r="R136" s="48"/>
      <c r="S136" s="886"/>
      <c r="T136" s="886"/>
      <c r="U136" s="886"/>
      <c r="V136" s="140"/>
      <c r="W136" s="140"/>
      <c r="X136" s="48"/>
      <c r="Y136" s="140"/>
      <c r="Z136" s="748"/>
      <c r="AA136" s="48"/>
      <c r="AB136" s="48"/>
      <c r="AC136" s="48"/>
      <c r="AD136" s="886"/>
      <c r="AE136" s="886"/>
      <c r="AF136" s="532">
        <f>AK136/24*E136</f>
        <v>0.46599999999999975</v>
      </c>
      <c r="AG136" s="531">
        <f>AM136/24*E136</f>
        <v>142.79999999999998</v>
      </c>
      <c r="AH136" s="304">
        <v>46274</v>
      </c>
      <c r="AI136" s="13">
        <v>680</v>
      </c>
      <c r="AJ136" s="15">
        <v>79</v>
      </c>
      <c r="AK136" s="15">
        <v>0.46599999999999975</v>
      </c>
      <c r="AL136" s="13">
        <v>55000</v>
      </c>
      <c r="AM136" s="93">
        <f t="shared" si="0"/>
        <v>142.79999999999998</v>
      </c>
      <c r="AN136" s="148"/>
      <c r="AO136" s="213"/>
      <c r="CJ136" s="921"/>
      <c r="CT136" s="35"/>
      <c r="CU136" s="70" t="s">
        <v>2056</v>
      </c>
      <c r="CV136" s="71">
        <f t="shared" si="1"/>
        <v>46298</v>
      </c>
      <c r="CW136" s="72" t="str">
        <f>$CT$3&amp;B136</f>
        <v>9SHADOW-W01</v>
      </c>
      <c r="CX136" s="73" t="str">
        <f t="shared" si="116"/>
        <v>NO P.CK</v>
      </c>
      <c r="CY136" s="73">
        <f t="shared" si="116"/>
        <v>350</v>
      </c>
      <c r="CZ136" s="73">
        <f>E136</f>
        <v>24</v>
      </c>
      <c r="DA136" s="73" t="str">
        <f>IF(CZ136=0,"SI",D136)</f>
        <v>G/L</v>
      </c>
      <c r="DB136" s="73"/>
      <c r="DC136" s="368">
        <f>E136*((H136*1000)/24)</f>
        <v>2369.0817279275107</v>
      </c>
      <c r="DD136" s="73">
        <f>N136</f>
        <v>0</v>
      </c>
      <c r="DE136" s="73">
        <f t="shared" si="117"/>
        <v>0</v>
      </c>
      <c r="DF136" s="73">
        <f t="shared" si="117"/>
        <v>0</v>
      </c>
      <c r="DG136" s="73">
        <f t="shared" si="117"/>
        <v>0</v>
      </c>
      <c r="DH136" s="73">
        <f>Z136</f>
        <v>0</v>
      </c>
      <c r="DI136" s="73">
        <f>AD136</f>
        <v>0</v>
      </c>
      <c r="DJ136" s="73"/>
      <c r="DK136" s="73"/>
      <c r="DL136" s="73">
        <f>AE136</f>
        <v>0</v>
      </c>
      <c r="DM136" s="215">
        <f>AG136</f>
        <v>142.79999999999998</v>
      </c>
      <c r="DN136" s="73" t="str">
        <f>IF(G136="","",G136)</f>
        <v/>
      </c>
      <c r="DO136" s="73">
        <f>AM136/24*HOURS</f>
        <v>142.79999999999998</v>
      </c>
      <c r="DP136" s="85" t="str">
        <f>IF(OR(D136="SI",B136="",D136="T&amp;A"),"",VLOOKUP(B136,WELL_FIELD,2,FALSE))</f>
        <v>SHADOW-W</v>
      </c>
      <c r="EB136" s="70" t="str">
        <f t="shared" si="43"/>
        <v>KHALDA_WELL</v>
      </c>
      <c r="EC136" s="71">
        <f t="shared" si="106"/>
        <v>46298</v>
      </c>
      <c r="ED136" s="72" t="str">
        <f t="shared" si="44"/>
        <v>SHADOW-W01</v>
      </c>
      <c r="EE136" s="73" t="str">
        <f t="shared" si="45"/>
        <v>NO P.CK</v>
      </c>
      <c r="EF136" s="73">
        <f t="shared" si="46"/>
        <v>350</v>
      </c>
      <c r="EG136" s="73">
        <f t="shared" si="47"/>
        <v>24</v>
      </c>
      <c r="EH136" s="73" t="str">
        <f t="shared" si="48"/>
        <v>G/L</v>
      </c>
      <c r="EI136" s="73"/>
      <c r="EJ136" s="72"/>
      <c r="EK136" s="72" t="str">
        <f t="shared" si="49"/>
        <v/>
      </c>
      <c r="EL136" s="73">
        <f t="shared" si="50"/>
        <v>79</v>
      </c>
      <c r="EM136" s="213">
        <f t="shared" si="51"/>
        <v>0</v>
      </c>
      <c r="EN136" s="73"/>
      <c r="EO136" s="73"/>
      <c r="EQ136" s="73">
        <f t="shared" si="52"/>
        <v>0</v>
      </c>
      <c r="ER136" s="73">
        <f t="shared" si="53"/>
        <v>0</v>
      </c>
      <c r="ES136" s="73">
        <f t="shared" si="54"/>
        <v>0</v>
      </c>
      <c r="ET136" s="73">
        <f t="shared" si="55"/>
        <v>0</v>
      </c>
      <c r="EU136" s="73"/>
      <c r="EV136" s="73"/>
      <c r="EX136" s="3">
        <f t="shared" si="56"/>
        <v>0</v>
      </c>
      <c r="EY136" s="73"/>
      <c r="EZ136" s="73">
        <f t="shared" si="57"/>
        <v>0</v>
      </c>
      <c r="FA136" s="73">
        <f t="shared" si="58"/>
        <v>0</v>
      </c>
      <c r="FB136" s="73">
        <f t="shared" si="59"/>
        <v>0</v>
      </c>
      <c r="FC136" s="73"/>
      <c r="FD136" s="73">
        <f t="shared" si="60"/>
        <v>0</v>
      </c>
    </row>
    <row r="137" spans="2:160" s="3" customFormat="1" ht="15.75" customHeight="1">
      <c r="B137" s="316" t="s">
        <v>2654</v>
      </c>
      <c r="C137" s="317" t="s">
        <v>1305</v>
      </c>
      <c r="D137" s="317" t="s">
        <v>3</v>
      </c>
      <c r="E137" s="991">
        <v>24</v>
      </c>
      <c r="F137" s="951">
        <f t="shared" si="109"/>
        <v>0</v>
      </c>
      <c r="G137" s="48"/>
      <c r="H137" s="981"/>
      <c r="I137" s="910" t="s">
        <v>2335</v>
      </c>
      <c r="J137" s="48">
        <v>170</v>
      </c>
      <c r="K137" s="48">
        <v>160</v>
      </c>
      <c r="L137" s="48">
        <v>0</v>
      </c>
      <c r="M137" s="22"/>
      <c r="N137" s="140"/>
      <c r="O137" s="748"/>
      <c r="P137" s="48"/>
      <c r="Q137" s="48"/>
      <c r="R137" s="48"/>
      <c r="S137" s="886"/>
      <c r="T137" s="886"/>
      <c r="U137" s="886"/>
      <c r="V137" s="140"/>
      <c r="W137" s="140"/>
      <c r="X137" s="48"/>
      <c r="Y137" s="140"/>
      <c r="Z137" s="748"/>
      <c r="AA137" s="48"/>
      <c r="AB137" s="48"/>
      <c r="AC137" s="48"/>
      <c r="AD137" s="886">
        <v>53</v>
      </c>
      <c r="AE137" s="886">
        <v>48</v>
      </c>
      <c r="AF137" s="532">
        <f>AK137/24*E137</f>
        <v>0</v>
      </c>
      <c r="AG137" s="531">
        <f>AM137/24*E137</f>
        <v>122.06000000000003</v>
      </c>
      <c r="AH137" s="304">
        <v>46295</v>
      </c>
      <c r="AI137" s="13">
        <v>718</v>
      </c>
      <c r="AJ137" s="15">
        <v>83</v>
      </c>
      <c r="AK137" s="15">
        <v>0</v>
      </c>
      <c r="AL137" s="13">
        <v>67000</v>
      </c>
      <c r="AM137" s="93">
        <f t="shared" si="0"/>
        <v>122.06000000000003</v>
      </c>
      <c r="AN137" s="148"/>
      <c r="AO137" s="213"/>
      <c r="CJ137" s="921"/>
      <c r="CT137" s="35"/>
      <c r="CU137" s="70" t="s">
        <v>2057</v>
      </c>
      <c r="CV137" s="71">
        <f t="shared" si="1"/>
        <v>46298</v>
      </c>
      <c r="CW137" s="72" t="str">
        <f>$CT$3&amp;B137</f>
        <v>9SHADOW-NW01X</v>
      </c>
      <c r="CX137" s="73" t="str">
        <f>I137</f>
        <v>NO P.CK</v>
      </c>
      <c r="CY137" s="73">
        <f>J137</f>
        <v>170</v>
      </c>
      <c r="CZ137" s="73">
        <f>E137</f>
        <v>24</v>
      </c>
      <c r="DA137" s="73" t="str">
        <f>IF(CZ137=0,"SI",D137)</f>
        <v>ESP</v>
      </c>
      <c r="DB137" s="73"/>
      <c r="DC137" s="368">
        <f>E137*((H137*1000)/24)</f>
        <v>0</v>
      </c>
      <c r="DD137" s="73">
        <f>N137</f>
        <v>0</v>
      </c>
      <c r="DE137" s="73">
        <f>V137</f>
        <v>0</v>
      </c>
      <c r="DF137" s="73">
        <f>W137</f>
        <v>0</v>
      </c>
      <c r="DG137" s="73">
        <f>X137</f>
        <v>0</v>
      </c>
      <c r="DH137" s="73">
        <f>Z137</f>
        <v>0</v>
      </c>
      <c r="DI137" s="73">
        <f>AD137</f>
        <v>53</v>
      </c>
      <c r="DJ137" s="73"/>
      <c r="DK137" s="73"/>
      <c r="DL137" s="73">
        <f>AE137</f>
        <v>48</v>
      </c>
      <c r="DM137" s="215">
        <f>AG137</f>
        <v>122.06000000000003</v>
      </c>
      <c r="DN137" s="73" t="str">
        <f>IF(G137="","",G137)</f>
        <v/>
      </c>
      <c r="DO137" s="73">
        <f>AM137/24*HOURS</f>
        <v>122.06000000000003</v>
      </c>
      <c r="DP137" s="85" t="str">
        <f>IF(OR(D137="SI",B137="",D137="T&amp;A"),"",VLOOKUP(B137,WELL_FIELD,2,FALSE))</f>
        <v>SHADOW-NW</v>
      </c>
      <c r="EB137" s="70" t="str">
        <f>IF(B137="","","KHALDA_WELL")</f>
        <v>KHALDA_WELL</v>
      </c>
      <c r="EC137" s="71">
        <f t="shared" si="106"/>
        <v>46298</v>
      </c>
      <c r="ED137" s="72" t="str">
        <f>B137</f>
        <v>SHADOW-NW01X</v>
      </c>
      <c r="EE137" s="73" t="str">
        <f>I137</f>
        <v>NO P.CK</v>
      </c>
      <c r="EF137" s="73">
        <f>J137</f>
        <v>170</v>
      </c>
      <c r="EG137" s="73">
        <f>E137</f>
        <v>24</v>
      </c>
      <c r="EH137" s="73" t="str">
        <f>IF(CZ137=0,"SI",D137)</f>
        <v>ESP</v>
      </c>
      <c r="EI137" s="73"/>
      <c r="EJ137" s="72"/>
      <c r="EK137" s="72" t="str">
        <f>IF(G137="","",G137)</f>
        <v/>
      </c>
      <c r="EL137" s="73">
        <f>AJ137</f>
        <v>83</v>
      </c>
      <c r="EM137" s="213">
        <f>W137</f>
        <v>0</v>
      </c>
      <c r="EN137" s="73"/>
      <c r="EO137" s="73"/>
      <c r="EQ137" s="73">
        <f>Y137</f>
        <v>0</v>
      </c>
      <c r="ER137" s="73">
        <f>Z137</f>
        <v>0</v>
      </c>
      <c r="ES137" s="73">
        <f>X137</f>
        <v>0</v>
      </c>
      <c r="ET137" s="73">
        <f>AD137</f>
        <v>53</v>
      </c>
      <c r="EU137" s="73"/>
      <c r="EV137" s="73"/>
      <c r="EX137" s="3">
        <f>AE137</f>
        <v>48</v>
      </c>
      <c r="EY137" s="73"/>
      <c r="EZ137" s="73">
        <f>S137</f>
        <v>0</v>
      </c>
      <c r="FA137" s="73">
        <f>T137</f>
        <v>0</v>
      </c>
      <c r="FB137" s="73">
        <f>U137</f>
        <v>0</v>
      </c>
      <c r="FC137" s="73"/>
      <c r="FD137" s="73">
        <f>AN137</f>
        <v>0</v>
      </c>
    </row>
    <row r="138" spans="2:160" s="3" customFormat="1" ht="15.75" customHeight="1">
      <c r="B138" s="316" t="s">
        <v>2278</v>
      </c>
      <c r="C138" s="317" t="s">
        <v>1305</v>
      </c>
      <c r="D138" s="317" t="s">
        <v>18</v>
      </c>
      <c r="E138" s="991">
        <v>0</v>
      </c>
      <c r="F138" s="951">
        <f t="shared" si="109"/>
        <v>0</v>
      </c>
      <c r="G138" s="48"/>
      <c r="H138" s="981">
        <v>0</v>
      </c>
      <c r="I138" s="48" t="s">
        <v>2335</v>
      </c>
      <c r="J138" s="48">
        <v>0</v>
      </c>
      <c r="K138" s="48">
        <v>0</v>
      </c>
      <c r="L138" s="48">
        <v>0</v>
      </c>
      <c r="M138" s="22"/>
      <c r="N138" s="140"/>
      <c r="O138" s="748"/>
      <c r="P138" s="48"/>
      <c r="Q138" s="48"/>
      <c r="R138" s="48"/>
      <c r="S138" s="886"/>
      <c r="T138" s="886"/>
      <c r="U138" s="886"/>
      <c r="V138" s="140"/>
      <c r="W138" s="140"/>
      <c r="X138" s="48"/>
      <c r="Y138" s="140"/>
      <c r="Z138" s="748"/>
      <c r="AA138" s="48"/>
      <c r="AB138" s="48"/>
      <c r="AC138" s="48"/>
      <c r="AD138" s="886"/>
      <c r="AE138" s="886"/>
      <c r="AF138" s="532">
        <f>AK138/24*E138</f>
        <v>0</v>
      </c>
      <c r="AG138" s="531">
        <f>AM138/24*E138</f>
        <v>0</v>
      </c>
      <c r="AH138" s="304">
        <v>45757</v>
      </c>
      <c r="AI138" s="13">
        <v>0</v>
      </c>
      <c r="AJ138" s="15"/>
      <c r="AK138" s="15">
        <v>0</v>
      </c>
      <c r="AL138" s="13"/>
      <c r="AM138" s="93">
        <f t="shared" si="0"/>
        <v>0</v>
      </c>
      <c r="AN138" s="687"/>
      <c r="AO138" s="213"/>
      <c r="CJ138" s="921"/>
      <c r="CT138" s="35"/>
      <c r="CU138" s="70" t="s">
        <v>2057</v>
      </c>
      <c r="CV138" s="71">
        <f t="shared" si="1"/>
        <v>46298</v>
      </c>
      <c r="CW138" s="72" t="str">
        <f>$CT$3&amp;B138</f>
        <v>9SHADOW-W02</v>
      </c>
      <c r="CX138" s="73" t="str">
        <f t="shared" si="116"/>
        <v>NO P.CK</v>
      </c>
      <c r="CY138" s="73">
        <f t="shared" si="116"/>
        <v>0</v>
      </c>
      <c r="CZ138" s="73">
        <f>E138</f>
        <v>0</v>
      </c>
      <c r="DA138" s="73" t="str">
        <f>IF(CZ138=0,"SI",D138)</f>
        <v>SI</v>
      </c>
      <c r="DB138" s="73"/>
      <c r="DC138" s="368">
        <f>E138*((H138*1000)/24)</f>
        <v>0</v>
      </c>
      <c r="DD138" s="73">
        <f>N138</f>
        <v>0</v>
      </c>
      <c r="DE138" s="73">
        <f t="shared" si="117"/>
        <v>0</v>
      </c>
      <c r="DF138" s="73">
        <f t="shared" si="117"/>
        <v>0</v>
      </c>
      <c r="DG138" s="73">
        <f t="shared" si="117"/>
        <v>0</v>
      </c>
      <c r="DH138" s="73">
        <f>Z138</f>
        <v>0</v>
      </c>
      <c r="DI138" s="73">
        <f>AD138</f>
        <v>0</v>
      </c>
      <c r="DJ138" s="73"/>
      <c r="DK138" s="73"/>
      <c r="DL138" s="73">
        <f>AE138</f>
        <v>0</v>
      </c>
      <c r="DM138" s="215">
        <f>AG138</f>
        <v>0</v>
      </c>
      <c r="DN138" s="73" t="str">
        <f>IF(G138="","",G138)</f>
        <v/>
      </c>
      <c r="DO138" s="73">
        <f>AM138/24*HOURS</f>
        <v>0</v>
      </c>
      <c r="DP138" s="85" t="str">
        <f>IF(OR(D138="SI",B138="",D138="T&amp;A"),"",VLOOKUP(B138,WELL_FIELD,2,FALSE))</f>
        <v/>
      </c>
      <c r="EB138" s="70" t="str">
        <f t="shared" si="43"/>
        <v>KHALDA_WELL</v>
      </c>
      <c r="EC138" s="71">
        <f t="shared" si="106"/>
        <v>46298</v>
      </c>
      <c r="ED138" s="72" t="str">
        <f t="shared" si="44"/>
        <v>SHADOW-W02</v>
      </c>
      <c r="EE138" s="73" t="str">
        <f t="shared" si="45"/>
        <v>NO P.CK</v>
      </c>
      <c r="EF138" s="73">
        <f t="shared" si="46"/>
        <v>0</v>
      </c>
      <c r="EG138" s="73">
        <f t="shared" si="47"/>
        <v>0</v>
      </c>
      <c r="EH138" s="73" t="str">
        <f t="shared" si="48"/>
        <v>SI</v>
      </c>
      <c r="EI138" s="73"/>
      <c r="EJ138" s="72"/>
      <c r="EK138" s="72" t="str">
        <f t="shared" si="49"/>
        <v/>
      </c>
      <c r="EL138" s="73">
        <f t="shared" si="50"/>
        <v>0</v>
      </c>
      <c r="EM138" s="213">
        <f t="shared" si="51"/>
        <v>0</v>
      </c>
      <c r="EN138" s="73"/>
      <c r="EO138" s="73"/>
      <c r="EQ138" s="73">
        <f t="shared" si="52"/>
        <v>0</v>
      </c>
      <c r="ER138" s="73">
        <f t="shared" si="53"/>
        <v>0</v>
      </c>
      <c r="ES138" s="73">
        <f t="shared" si="54"/>
        <v>0</v>
      </c>
      <c r="ET138" s="73">
        <f t="shared" si="55"/>
        <v>0</v>
      </c>
      <c r="EU138" s="73"/>
      <c r="EV138" s="73"/>
      <c r="EX138" s="3">
        <f t="shared" si="56"/>
        <v>0</v>
      </c>
      <c r="EY138" s="73"/>
      <c r="EZ138" s="73">
        <f t="shared" si="57"/>
        <v>0</v>
      </c>
      <c r="FA138" s="73">
        <f t="shared" si="58"/>
        <v>0</v>
      </c>
      <c r="FB138" s="73">
        <f t="shared" si="59"/>
        <v>0</v>
      </c>
      <c r="FC138" s="73"/>
      <c r="FD138" s="73">
        <f t="shared" si="60"/>
        <v>0</v>
      </c>
    </row>
    <row r="139" spans="2:160" s="3" customFormat="1" ht="16.5" customHeight="1">
      <c r="B139" s="316" t="s">
        <v>1672</v>
      </c>
      <c r="C139" s="317" t="s">
        <v>2354</v>
      </c>
      <c r="D139" s="317" t="s">
        <v>18</v>
      </c>
      <c r="E139" s="991">
        <v>0</v>
      </c>
      <c r="F139" s="951">
        <f t="shared" si="109"/>
        <v>0</v>
      </c>
      <c r="G139" s="48"/>
      <c r="H139" s="981">
        <v>0</v>
      </c>
      <c r="I139" s="48" t="s">
        <v>2335</v>
      </c>
      <c r="J139" s="48">
        <v>0</v>
      </c>
      <c r="K139" s="48">
        <v>0</v>
      </c>
      <c r="L139" s="48">
        <v>0</v>
      </c>
      <c r="M139" s="22"/>
      <c r="N139" s="140"/>
      <c r="O139" s="748"/>
      <c r="P139" s="48"/>
      <c r="Q139" s="48"/>
      <c r="R139" s="48"/>
      <c r="S139" s="886"/>
      <c r="T139" s="886"/>
      <c r="U139" s="886"/>
      <c r="V139" s="140"/>
      <c r="W139" s="140"/>
      <c r="X139" s="48"/>
      <c r="Y139" s="140"/>
      <c r="Z139" s="748"/>
      <c r="AA139" s="48"/>
      <c r="AB139" s="48"/>
      <c r="AC139" s="48"/>
      <c r="AD139" s="886"/>
      <c r="AE139" s="886"/>
      <c r="AF139" s="532">
        <f t="shared" si="104"/>
        <v>0</v>
      </c>
      <c r="AG139" s="531">
        <f t="shared" si="105"/>
        <v>0</v>
      </c>
      <c r="AH139" s="304">
        <v>45606</v>
      </c>
      <c r="AI139" s="13">
        <v>42</v>
      </c>
      <c r="AJ139" s="15">
        <v>0.5</v>
      </c>
      <c r="AK139" s="15">
        <v>0.21299999999999997</v>
      </c>
      <c r="AL139" s="13"/>
      <c r="AM139" s="93">
        <f t="shared" si="0"/>
        <v>41.79</v>
      </c>
      <c r="AN139" s="148"/>
      <c r="AO139" s="213"/>
      <c r="CJ139" s="921">
        <f t="shared" si="62"/>
        <v>0</v>
      </c>
      <c r="CT139" s="35"/>
      <c r="CU139" s="70" t="s">
        <v>2055</v>
      </c>
      <c r="CV139" s="71">
        <f t="shared" si="1"/>
        <v>46298</v>
      </c>
      <c r="CW139" s="72" t="str">
        <f t="shared" si="63"/>
        <v>9PACIFIC-01</v>
      </c>
      <c r="CX139" s="73" t="str">
        <f t="shared" si="64"/>
        <v>NO P.CK</v>
      </c>
      <c r="CY139" s="73">
        <f t="shared" si="65"/>
        <v>0</v>
      </c>
      <c r="CZ139" s="73">
        <f t="shared" si="66"/>
        <v>0</v>
      </c>
      <c r="DA139" s="73" t="str">
        <f t="shared" si="67"/>
        <v>SI</v>
      </c>
      <c r="DB139" s="73"/>
      <c r="DC139" s="368">
        <f t="shared" si="68"/>
        <v>0</v>
      </c>
      <c r="DD139" s="73">
        <f t="shared" si="69"/>
        <v>0</v>
      </c>
      <c r="DE139" s="73">
        <f t="shared" si="70"/>
        <v>0</v>
      </c>
      <c r="DF139" s="73">
        <f t="shared" si="71"/>
        <v>0</v>
      </c>
      <c r="DG139" s="73">
        <f t="shared" si="72"/>
        <v>0</v>
      </c>
      <c r="DH139" s="73">
        <f t="shared" si="73"/>
        <v>0</v>
      </c>
      <c r="DI139" s="73">
        <f t="shared" si="74"/>
        <v>0</v>
      </c>
      <c r="DJ139" s="73"/>
      <c r="DK139" s="73"/>
      <c r="DL139" s="73">
        <f t="shared" si="75"/>
        <v>0</v>
      </c>
      <c r="DM139" s="215">
        <f t="shared" si="76"/>
        <v>0</v>
      </c>
      <c r="DN139" s="73" t="str">
        <f t="shared" si="77"/>
        <v/>
      </c>
      <c r="DO139" s="73">
        <f t="shared" si="78"/>
        <v>0</v>
      </c>
      <c r="DP139" s="85" t="str">
        <f t="shared" si="79"/>
        <v/>
      </c>
      <c r="EB139" s="70" t="str">
        <f t="shared" si="43"/>
        <v>KHALDA_WELL</v>
      </c>
      <c r="EC139" s="71">
        <f t="shared" si="106"/>
        <v>46298</v>
      </c>
      <c r="ED139" s="72" t="str">
        <f t="shared" si="44"/>
        <v>PACIFIC-01</v>
      </c>
      <c r="EE139" s="73" t="str">
        <f t="shared" si="45"/>
        <v>NO P.CK</v>
      </c>
      <c r="EF139" s="73">
        <f t="shared" si="46"/>
        <v>0</v>
      </c>
      <c r="EG139" s="73">
        <f t="shared" si="47"/>
        <v>0</v>
      </c>
      <c r="EH139" s="73" t="str">
        <f t="shared" si="48"/>
        <v>SI</v>
      </c>
      <c r="EI139" s="73"/>
      <c r="EJ139" s="72"/>
      <c r="EK139" s="72" t="str">
        <f t="shared" si="49"/>
        <v/>
      </c>
      <c r="EL139" s="73">
        <f t="shared" si="50"/>
        <v>0.5</v>
      </c>
      <c r="EM139" s="213">
        <f t="shared" si="51"/>
        <v>0</v>
      </c>
      <c r="EN139" s="73"/>
      <c r="EO139" s="73"/>
      <c r="EQ139" s="73">
        <f t="shared" si="52"/>
        <v>0</v>
      </c>
      <c r="ER139" s="73">
        <f t="shared" si="53"/>
        <v>0</v>
      </c>
      <c r="ES139" s="73">
        <f t="shared" si="54"/>
        <v>0</v>
      </c>
      <c r="ET139" s="73">
        <f t="shared" si="55"/>
        <v>0</v>
      </c>
      <c r="EU139" s="73"/>
      <c r="EV139" s="73"/>
      <c r="EX139" s="3">
        <f t="shared" si="56"/>
        <v>0</v>
      </c>
      <c r="EY139" s="73"/>
      <c r="EZ139" s="73">
        <f t="shared" si="57"/>
        <v>0</v>
      </c>
      <c r="FA139" s="73">
        <f t="shared" si="58"/>
        <v>0</v>
      </c>
      <c r="FB139" s="73">
        <f t="shared" si="59"/>
        <v>0</v>
      </c>
      <c r="FC139" s="73"/>
      <c r="FD139" s="73">
        <f t="shared" si="60"/>
        <v>0</v>
      </c>
    </row>
    <row r="140" spans="2:160" s="3" customFormat="1" ht="16.5" customHeight="1">
      <c r="B140" s="316" t="s">
        <v>1705</v>
      </c>
      <c r="C140" s="317" t="s">
        <v>272</v>
      </c>
      <c r="D140" s="317" t="s">
        <v>18</v>
      </c>
      <c r="E140" s="991">
        <v>0</v>
      </c>
      <c r="F140" s="951">
        <f t="shared" si="109"/>
        <v>0</v>
      </c>
      <c r="G140" s="48"/>
      <c r="H140" s="981">
        <v>0</v>
      </c>
      <c r="I140" s="48" t="s">
        <v>255</v>
      </c>
      <c r="J140" s="48">
        <v>0</v>
      </c>
      <c r="K140" s="48">
        <v>0</v>
      </c>
      <c r="L140" s="48">
        <v>0</v>
      </c>
      <c r="M140" s="22"/>
      <c r="N140" s="140"/>
      <c r="O140" s="748"/>
      <c r="P140" s="48"/>
      <c r="Q140" s="48"/>
      <c r="R140" s="48"/>
      <c r="S140" s="886"/>
      <c r="T140" s="886"/>
      <c r="U140" s="886"/>
      <c r="V140" s="140"/>
      <c r="W140" s="140"/>
      <c r="X140" s="48"/>
      <c r="Y140" s="140"/>
      <c r="Z140" s="748"/>
      <c r="AA140" s="48"/>
      <c r="AB140" s="48"/>
      <c r="AC140" s="48"/>
      <c r="AD140" s="886"/>
      <c r="AE140" s="886"/>
      <c r="AF140" s="532">
        <f t="shared" si="104"/>
        <v>0</v>
      </c>
      <c r="AG140" s="531">
        <f t="shared" si="105"/>
        <v>0</v>
      </c>
      <c r="AH140" s="304">
        <v>45802</v>
      </c>
      <c r="AI140" s="13">
        <v>17</v>
      </c>
      <c r="AJ140" s="15">
        <v>1</v>
      </c>
      <c r="AK140" s="15">
        <v>0.18799999999999994</v>
      </c>
      <c r="AL140" s="13"/>
      <c r="AM140" s="93">
        <f t="shared" si="0"/>
        <v>16.829999999999998</v>
      </c>
      <c r="AN140" s="522"/>
      <c r="AO140" s="213"/>
      <c r="CJ140" s="921">
        <f t="shared" si="62"/>
        <v>0</v>
      </c>
      <c r="CT140" s="35"/>
      <c r="CU140" s="70" t="s">
        <v>2056</v>
      </c>
      <c r="CV140" s="71">
        <f t="shared" si="1"/>
        <v>46298</v>
      </c>
      <c r="CW140" s="72" t="str">
        <f t="shared" si="63"/>
        <v>9PACIFIC-02</v>
      </c>
      <c r="CX140" s="73" t="str">
        <f t="shared" si="64"/>
        <v>OPEN</v>
      </c>
      <c r="CY140" s="73">
        <f t="shared" si="65"/>
        <v>0</v>
      </c>
      <c r="CZ140" s="73">
        <f t="shared" si="66"/>
        <v>0</v>
      </c>
      <c r="DA140" s="73" t="str">
        <f t="shared" si="67"/>
        <v>SI</v>
      </c>
      <c r="DB140" s="73"/>
      <c r="DC140" s="368">
        <f t="shared" si="68"/>
        <v>0</v>
      </c>
      <c r="DD140" s="73">
        <f t="shared" si="69"/>
        <v>0</v>
      </c>
      <c r="DE140" s="73">
        <f t="shared" si="70"/>
        <v>0</v>
      </c>
      <c r="DF140" s="73">
        <f t="shared" si="71"/>
        <v>0</v>
      </c>
      <c r="DG140" s="73">
        <f t="shared" si="72"/>
        <v>0</v>
      </c>
      <c r="DH140" s="73">
        <f t="shared" si="73"/>
        <v>0</v>
      </c>
      <c r="DI140" s="73">
        <f t="shared" si="74"/>
        <v>0</v>
      </c>
      <c r="DJ140" s="73"/>
      <c r="DK140" s="73"/>
      <c r="DL140" s="73">
        <f t="shared" si="75"/>
        <v>0</v>
      </c>
      <c r="DM140" s="215">
        <f t="shared" si="76"/>
        <v>0</v>
      </c>
      <c r="DN140" s="73" t="str">
        <f t="shared" si="77"/>
        <v/>
      </c>
      <c r="DO140" s="73">
        <f t="shared" si="78"/>
        <v>0</v>
      </c>
      <c r="DP140" s="85" t="str">
        <f t="shared" si="79"/>
        <v/>
      </c>
      <c r="EB140" s="70" t="str">
        <f t="shared" ref="EB140:EB153" si="118">IF(B140="","","KHALDA_WELL")</f>
        <v>KHALDA_WELL</v>
      </c>
      <c r="EC140" s="71">
        <f t="shared" si="106"/>
        <v>46298</v>
      </c>
      <c r="ED140" s="72" t="str">
        <f t="shared" ref="ED140:ED153" si="119">B140</f>
        <v>PACIFIC-02</v>
      </c>
      <c r="EE140" s="73" t="str">
        <f t="shared" ref="EE140:EE153" si="120">I140</f>
        <v>OPEN</v>
      </c>
      <c r="EF140" s="73">
        <f t="shared" ref="EF140:EF153" si="121">J140</f>
        <v>0</v>
      </c>
      <c r="EG140" s="73">
        <f t="shared" ref="EG140:EG153" si="122">E140</f>
        <v>0</v>
      </c>
      <c r="EH140" s="73" t="str">
        <f t="shared" ref="EH140:EH153" si="123">IF(CZ140=0,"SI",D140)</f>
        <v>SI</v>
      </c>
      <c r="EI140" s="73"/>
      <c r="EJ140" s="72"/>
      <c r="EK140" s="72" t="str">
        <f t="shared" ref="EK140:EK153" si="124">IF(G140="","",G140)</f>
        <v/>
      </c>
      <c r="EL140" s="73">
        <f t="shared" ref="EL140:EL153" si="125">AJ140</f>
        <v>1</v>
      </c>
      <c r="EM140" s="213">
        <f t="shared" ref="EM140:EM153" si="126">W140</f>
        <v>0</v>
      </c>
      <c r="EN140" s="73"/>
      <c r="EO140" s="73"/>
      <c r="EQ140" s="73">
        <f t="shared" ref="EQ140:EQ153" si="127">Y140</f>
        <v>0</v>
      </c>
      <c r="ER140" s="73">
        <f t="shared" ref="ER140:ER153" si="128">Z140</f>
        <v>0</v>
      </c>
      <c r="ES140" s="73">
        <f t="shared" ref="ES140:ES153" si="129">X140</f>
        <v>0</v>
      </c>
      <c r="ET140" s="73">
        <f t="shared" ref="ET140:ET153" si="130">AD140</f>
        <v>0</v>
      </c>
      <c r="EU140" s="73"/>
      <c r="EV140" s="73"/>
      <c r="EX140" s="3">
        <f t="shared" ref="EX140:EX153" si="131">AE140</f>
        <v>0</v>
      </c>
      <c r="EY140" s="73"/>
      <c r="EZ140" s="73">
        <f t="shared" ref="EZ140:EZ153" si="132">S140</f>
        <v>0</v>
      </c>
      <c r="FA140" s="73">
        <f t="shared" ref="FA140:FA153" si="133">T140</f>
        <v>0</v>
      </c>
      <c r="FB140" s="73">
        <f t="shared" ref="FB140:FB153" si="134">U140</f>
        <v>0</v>
      </c>
      <c r="FC140" s="73"/>
      <c r="FD140" s="73">
        <f t="shared" ref="FD140:FD153" si="135">AN140</f>
        <v>0</v>
      </c>
    </row>
    <row r="141" spans="2:160" s="3" customFormat="1" ht="16.5" customHeight="1">
      <c r="B141" s="319" t="s">
        <v>1320</v>
      </c>
      <c r="C141" s="318" t="s">
        <v>19</v>
      </c>
      <c r="D141" s="317" t="s">
        <v>18</v>
      </c>
      <c r="E141" s="991">
        <v>0</v>
      </c>
      <c r="F141" s="951">
        <f t="shared" ref="F141:F149" si="136">IF(E141=0,0,((AI141*(1-(AJ141/100)))/24)*(24-HOURS))</f>
        <v>0</v>
      </c>
      <c r="G141" s="48"/>
      <c r="H141" s="981">
        <v>0</v>
      </c>
      <c r="I141" s="48" t="s">
        <v>2335</v>
      </c>
      <c r="J141" s="48">
        <v>0</v>
      </c>
      <c r="K141" s="48">
        <v>0</v>
      </c>
      <c r="L141" s="48">
        <v>0</v>
      </c>
      <c r="M141" s="22"/>
      <c r="N141" s="140"/>
      <c r="O141" s="748"/>
      <c r="P141" s="48"/>
      <c r="Q141" s="48"/>
      <c r="R141" s="48"/>
      <c r="S141" s="886"/>
      <c r="T141" s="886"/>
      <c r="U141" s="886"/>
      <c r="V141" s="140"/>
      <c r="W141" s="140"/>
      <c r="X141" s="48"/>
      <c r="Y141" s="140"/>
      <c r="Z141" s="748"/>
      <c r="AA141" s="48"/>
      <c r="AB141" s="48"/>
      <c r="AC141" s="48"/>
      <c r="AD141" s="886"/>
      <c r="AE141" s="886"/>
      <c r="AF141" s="532">
        <f t="shared" si="104"/>
        <v>0</v>
      </c>
      <c r="AG141" s="531">
        <f t="shared" si="105"/>
        <v>0</v>
      </c>
      <c r="AH141" s="304">
        <v>44155</v>
      </c>
      <c r="AI141" s="13">
        <v>86</v>
      </c>
      <c r="AJ141" s="15">
        <v>73</v>
      </c>
      <c r="AK141" s="15">
        <v>8.6999999999999994E-2</v>
      </c>
      <c r="AL141" s="13"/>
      <c r="AM141" s="93">
        <f t="shared" si="0"/>
        <v>23.220000000000002</v>
      </c>
      <c r="AN141" s="148"/>
      <c r="AO141" s="213"/>
      <c r="CJ141" s="921">
        <f t="shared" si="62"/>
        <v>0</v>
      </c>
      <c r="CT141" s="35"/>
      <c r="CU141" s="70" t="s">
        <v>2057</v>
      </c>
      <c r="CV141" s="71">
        <f t="shared" si="1"/>
        <v>46298</v>
      </c>
      <c r="CW141" s="72" t="str">
        <f t="shared" si="63"/>
        <v>9SWAG-02</v>
      </c>
      <c r="CX141" s="73" t="str">
        <f t="shared" si="64"/>
        <v>NO P.CK</v>
      </c>
      <c r="CY141" s="73">
        <f t="shared" si="65"/>
        <v>0</v>
      </c>
      <c r="CZ141" s="73">
        <f t="shared" si="66"/>
        <v>0</v>
      </c>
      <c r="DA141" s="73" t="str">
        <f t="shared" si="67"/>
        <v>SI</v>
      </c>
      <c r="DB141" s="73"/>
      <c r="DC141" s="368">
        <f t="shared" si="68"/>
        <v>0</v>
      </c>
      <c r="DD141" s="73">
        <f t="shared" si="69"/>
        <v>0</v>
      </c>
      <c r="DE141" s="73">
        <f t="shared" si="70"/>
        <v>0</v>
      </c>
      <c r="DF141" s="73">
        <f t="shared" si="71"/>
        <v>0</v>
      </c>
      <c r="DG141" s="73">
        <f t="shared" si="72"/>
        <v>0</v>
      </c>
      <c r="DH141" s="73">
        <f t="shared" si="73"/>
        <v>0</v>
      </c>
      <c r="DI141" s="73">
        <f t="shared" si="74"/>
        <v>0</v>
      </c>
      <c r="DJ141" s="73"/>
      <c r="DK141" s="73"/>
      <c r="DL141" s="73">
        <f t="shared" si="75"/>
        <v>0</v>
      </c>
      <c r="DM141" s="215">
        <f t="shared" si="76"/>
        <v>0</v>
      </c>
      <c r="DN141" s="73" t="str">
        <f t="shared" si="77"/>
        <v/>
      </c>
      <c r="DO141" s="73">
        <f t="shared" si="78"/>
        <v>0</v>
      </c>
      <c r="DP141" s="85" t="str">
        <f t="shared" si="79"/>
        <v/>
      </c>
      <c r="EB141" s="70" t="str">
        <f t="shared" si="118"/>
        <v>KHALDA_WELL</v>
      </c>
      <c r="EC141" s="71">
        <f t="shared" si="106"/>
        <v>46298</v>
      </c>
      <c r="ED141" s="72" t="str">
        <f t="shared" si="119"/>
        <v>SWAG-02</v>
      </c>
      <c r="EE141" s="73" t="str">
        <f t="shared" si="120"/>
        <v>NO P.CK</v>
      </c>
      <c r="EF141" s="73">
        <f t="shared" si="121"/>
        <v>0</v>
      </c>
      <c r="EG141" s="73">
        <f t="shared" si="122"/>
        <v>0</v>
      </c>
      <c r="EH141" s="73" t="str">
        <f t="shared" si="123"/>
        <v>SI</v>
      </c>
      <c r="EI141" s="73"/>
      <c r="EJ141" s="72"/>
      <c r="EK141" s="72" t="str">
        <f t="shared" si="124"/>
        <v/>
      </c>
      <c r="EL141" s="73">
        <f t="shared" si="125"/>
        <v>73</v>
      </c>
      <c r="EM141" s="213">
        <f t="shared" si="126"/>
        <v>0</v>
      </c>
      <c r="EN141" s="73"/>
      <c r="EO141" s="73"/>
      <c r="EQ141" s="73">
        <f t="shared" si="127"/>
        <v>0</v>
      </c>
      <c r="ER141" s="73">
        <f t="shared" si="128"/>
        <v>0</v>
      </c>
      <c r="ES141" s="73">
        <f t="shared" si="129"/>
        <v>0</v>
      </c>
      <c r="ET141" s="73">
        <f t="shared" si="130"/>
        <v>0</v>
      </c>
      <c r="EU141" s="73"/>
      <c r="EV141" s="73"/>
      <c r="EX141" s="3">
        <f t="shared" si="131"/>
        <v>0</v>
      </c>
      <c r="EY141" s="73"/>
      <c r="EZ141" s="73">
        <f t="shared" si="132"/>
        <v>0</v>
      </c>
      <c r="FA141" s="73">
        <f t="shared" si="133"/>
        <v>0</v>
      </c>
      <c r="FB141" s="73">
        <f t="shared" si="134"/>
        <v>0</v>
      </c>
      <c r="FC141" s="73"/>
      <c r="FD141" s="73">
        <f t="shared" si="135"/>
        <v>0</v>
      </c>
    </row>
    <row r="142" spans="2:160" s="3" customFormat="1" ht="16.5" customHeight="1">
      <c r="B142" s="316" t="s">
        <v>1409</v>
      </c>
      <c r="C142" s="317" t="s">
        <v>1307</v>
      </c>
      <c r="D142" s="317" t="s">
        <v>18</v>
      </c>
      <c r="E142" s="991">
        <v>0</v>
      </c>
      <c r="F142" s="951">
        <f t="shared" si="136"/>
        <v>0</v>
      </c>
      <c r="G142" s="48"/>
      <c r="H142" s="981">
        <v>0</v>
      </c>
      <c r="I142" s="48" t="s">
        <v>2335</v>
      </c>
      <c r="J142" s="48">
        <v>0</v>
      </c>
      <c r="K142" s="48">
        <v>0</v>
      </c>
      <c r="L142" s="48">
        <v>0</v>
      </c>
      <c r="M142" s="22"/>
      <c r="N142" s="140"/>
      <c r="O142" s="748"/>
      <c r="P142" s="48"/>
      <c r="Q142" s="48"/>
      <c r="R142" s="48"/>
      <c r="S142" s="886"/>
      <c r="T142" s="886"/>
      <c r="U142" s="886"/>
      <c r="V142" s="140"/>
      <c r="W142" s="140"/>
      <c r="X142" s="48"/>
      <c r="Y142" s="140"/>
      <c r="Z142" s="748"/>
      <c r="AA142" s="48"/>
      <c r="AB142" s="48"/>
      <c r="AC142" s="48"/>
      <c r="AD142" s="886"/>
      <c r="AE142" s="886"/>
      <c r="AF142" s="532">
        <f t="shared" si="104"/>
        <v>0</v>
      </c>
      <c r="AG142" s="531">
        <f t="shared" si="105"/>
        <v>0</v>
      </c>
      <c r="AH142" s="304">
        <v>45057</v>
      </c>
      <c r="AI142" s="13">
        <v>47</v>
      </c>
      <c r="AJ142" s="15">
        <v>0.5</v>
      </c>
      <c r="AK142" s="15">
        <v>1.2999999999999999E-2</v>
      </c>
      <c r="AL142" s="13"/>
      <c r="AM142" s="93">
        <f t="shared" si="0"/>
        <v>46.765000000000001</v>
      </c>
      <c r="AN142" s="148"/>
      <c r="AO142" s="213"/>
      <c r="CJ142" s="921">
        <f t="shared" si="62"/>
        <v>0</v>
      </c>
      <c r="CT142" s="35"/>
      <c r="CU142" s="70" t="s">
        <v>2112</v>
      </c>
      <c r="CV142" s="71">
        <f t="shared" si="1"/>
        <v>46298</v>
      </c>
      <c r="CW142" s="72" t="str">
        <f t="shared" si="63"/>
        <v>9SWAG-03</v>
      </c>
      <c r="CX142" s="73" t="str">
        <f t="shared" si="64"/>
        <v>NO P.CK</v>
      </c>
      <c r="CY142" s="73">
        <f t="shared" si="65"/>
        <v>0</v>
      </c>
      <c r="CZ142" s="73">
        <f t="shared" si="66"/>
        <v>0</v>
      </c>
      <c r="DA142" s="73" t="str">
        <f t="shared" si="67"/>
        <v>SI</v>
      </c>
      <c r="DB142" s="73"/>
      <c r="DC142" s="368">
        <f t="shared" si="68"/>
        <v>0</v>
      </c>
      <c r="DD142" s="73">
        <f t="shared" si="69"/>
        <v>0</v>
      </c>
      <c r="DE142" s="73">
        <f t="shared" si="70"/>
        <v>0</v>
      </c>
      <c r="DF142" s="73">
        <f t="shared" si="71"/>
        <v>0</v>
      </c>
      <c r="DG142" s="73">
        <f t="shared" si="72"/>
        <v>0</v>
      </c>
      <c r="DH142" s="73">
        <f t="shared" si="73"/>
        <v>0</v>
      </c>
      <c r="DI142" s="73">
        <f t="shared" si="74"/>
        <v>0</v>
      </c>
      <c r="DJ142" s="73"/>
      <c r="DK142" s="73"/>
      <c r="DL142" s="73">
        <f t="shared" si="75"/>
        <v>0</v>
      </c>
      <c r="DM142" s="215">
        <f t="shared" si="76"/>
        <v>0</v>
      </c>
      <c r="DN142" s="73" t="str">
        <f t="shared" si="77"/>
        <v/>
      </c>
      <c r="DO142" s="73">
        <f t="shared" si="78"/>
        <v>0</v>
      </c>
      <c r="DP142" s="85" t="str">
        <f t="shared" si="79"/>
        <v/>
      </c>
      <c r="EB142" s="70" t="str">
        <f t="shared" si="118"/>
        <v>KHALDA_WELL</v>
      </c>
      <c r="EC142" s="71">
        <f t="shared" si="106"/>
        <v>46298</v>
      </c>
      <c r="ED142" s="72" t="str">
        <f t="shared" si="119"/>
        <v>SWAG-03</v>
      </c>
      <c r="EE142" s="73" t="str">
        <f t="shared" si="120"/>
        <v>NO P.CK</v>
      </c>
      <c r="EF142" s="73">
        <f t="shared" si="121"/>
        <v>0</v>
      </c>
      <c r="EG142" s="73">
        <f t="shared" si="122"/>
        <v>0</v>
      </c>
      <c r="EH142" s="73" t="str">
        <f t="shared" si="123"/>
        <v>SI</v>
      </c>
      <c r="EI142" s="73"/>
      <c r="EJ142" s="72"/>
      <c r="EK142" s="72" t="str">
        <f t="shared" si="124"/>
        <v/>
      </c>
      <c r="EL142" s="73">
        <f t="shared" si="125"/>
        <v>0.5</v>
      </c>
      <c r="EM142" s="213">
        <f t="shared" si="126"/>
        <v>0</v>
      </c>
      <c r="EN142" s="73"/>
      <c r="EO142" s="73"/>
      <c r="EQ142" s="73">
        <f t="shared" si="127"/>
        <v>0</v>
      </c>
      <c r="ER142" s="73">
        <f t="shared" si="128"/>
        <v>0</v>
      </c>
      <c r="ES142" s="73">
        <f t="shared" si="129"/>
        <v>0</v>
      </c>
      <c r="ET142" s="73">
        <f t="shared" si="130"/>
        <v>0</v>
      </c>
      <c r="EU142" s="73"/>
      <c r="EV142" s="73"/>
      <c r="EX142" s="3">
        <f t="shared" si="131"/>
        <v>0</v>
      </c>
      <c r="EY142" s="73"/>
      <c r="EZ142" s="73">
        <f t="shared" si="132"/>
        <v>0</v>
      </c>
      <c r="FA142" s="73">
        <f t="shared" si="133"/>
        <v>0</v>
      </c>
      <c r="FB142" s="73">
        <f t="shared" si="134"/>
        <v>0</v>
      </c>
      <c r="FC142" s="73"/>
      <c r="FD142" s="73">
        <f t="shared" si="135"/>
        <v>0</v>
      </c>
    </row>
    <row r="143" spans="2:160" s="3" customFormat="1" ht="16.5" customHeight="1">
      <c r="B143" s="316" t="s">
        <v>1534</v>
      </c>
      <c r="C143" s="317" t="s">
        <v>1307</v>
      </c>
      <c r="D143" s="317" t="s">
        <v>18</v>
      </c>
      <c r="E143" s="991">
        <v>0</v>
      </c>
      <c r="F143" s="951">
        <f t="shared" si="136"/>
        <v>0</v>
      </c>
      <c r="G143" s="48"/>
      <c r="H143" s="981"/>
      <c r="I143" s="48">
        <v>32</v>
      </c>
      <c r="J143" s="48">
        <v>400</v>
      </c>
      <c r="K143" s="48">
        <v>200</v>
      </c>
      <c r="L143" s="48">
        <v>0</v>
      </c>
      <c r="M143" s="22"/>
      <c r="N143" s="140"/>
      <c r="O143" s="748"/>
      <c r="P143" s="48"/>
      <c r="Q143" s="48"/>
      <c r="R143" s="48"/>
      <c r="S143" s="886"/>
      <c r="T143" s="886"/>
      <c r="U143" s="886"/>
      <c r="V143" s="140"/>
      <c r="W143" s="140"/>
      <c r="X143" s="48"/>
      <c r="Y143" s="140"/>
      <c r="Z143" s="748"/>
      <c r="AA143" s="48"/>
      <c r="AB143" s="48"/>
      <c r="AC143" s="48"/>
      <c r="AD143" s="886"/>
      <c r="AE143" s="886"/>
      <c r="AF143" s="532">
        <f t="shared" si="104"/>
        <v>0</v>
      </c>
      <c r="AG143" s="531">
        <f t="shared" si="105"/>
        <v>0</v>
      </c>
      <c r="AH143" s="304">
        <v>44242</v>
      </c>
      <c r="AI143" s="13">
        <v>0</v>
      </c>
      <c r="AJ143" s="15">
        <v>0</v>
      </c>
      <c r="AK143" s="15">
        <v>0</v>
      </c>
      <c r="AL143" s="13"/>
      <c r="AM143" s="93">
        <f t="shared" si="0"/>
        <v>0</v>
      </c>
      <c r="AN143" s="522" t="s">
        <v>2145</v>
      </c>
      <c r="AO143" s="213"/>
      <c r="CJ143" s="921">
        <f t="shared" si="62"/>
        <v>0</v>
      </c>
      <c r="CT143" s="35"/>
      <c r="CU143" s="70" t="s">
        <v>2085</v>
      </c>
      <c r="CV143" s="71">
        <f t="shared" si="1"/>
        <v>46298</v>
      </c>
      <c r="CW143" s="72" t="str">
        <f t="shared" ref="CW143:CW153" si="137">$CT$3&amp;B143</f>
        <v>9SWAG-06</v>
      </c>
      <c r="CX143" s="73">
        <f t="shared" ref="CX143:CX153" si="138">I143</f>
        <v>32</v>
      </c>
      <c r="CY143" s="73">
        <f t="shared" ref="CY143:CY153" si="139">J143</f>
        <v>400</v>
      </c>
      <c r="CZ143" s="73">
        <f t="shared" ref="CZ143:CZ153" si="140">E143</f>
        <v>0</v>
      </c>
      <c r="DA143" s="73" t="str">
        <f t="shared" ref="DA143:DA153" si="141">IF(CZ143=0,"SI",D143)</f>
        <v>SI</v>
      </c>
      <c r="DB143" s="73"/>
      <c r="DC143" s="368">
        <f t="shared" ref="DC143:DC153" si="142">E143*((H143*1000)/24)</f>
        <v>0</v>
      </c>
      <c r="DD143" s="73">
        <f t="shared" ref="DD143:DD153" si="143">N143</f>
        <v>0</v>
      </c>
      <c r="DE143" s="73">
        <f t="shared" ref="DE143:DE153" si="144">V143</f>
        <v>0</v>
      </c>
      <c r="DF143" s="73">
        <f t="shared" ref="DF143:DF153" si="145">W143</f>
        <v>0</v>
      </c>
      <c r="DG143" s="73">
        <f t="shared" ref="DG143:DG153" si="146">X143</f>
        <v>0</v>
      </c>
      <c r="DH143" s="73">
        <f t="shared" ref="DH143:DH153" si="147">Z143</f>
        <v>0</v>
      </c>
      <c r="DI143" s="73">
        <f t="shared" ref="DI143:DI153" si="148">AD143</f>
        <v>0</v>
      </c>
      <c r="DJ143" s="73"/>
      <c r="DK143" s="73"/>
      <c r="DL143" s="73">
        <f t="shared" ref="DL143:DL153" si="149">AE143</f>
        <v>0</v>
      </c>
      <c r="DM143" s="215">
        <f t="shared" ref="DM143:DM153" si="150">AG143</f>
        <v>0</v>
      </c>
      <c r="DN143" s="73" t="str">
        <f t="shared" ref="DN143:DN149" si="151">IF(G143="","",G143)</f>
        <v/>
      </c>
      <c r="DO143" s="73">
        <f t="shared" ref="DO143:DO153" si="152">AM143/24*HOURS</f>
        <v>0</v>
      </c>
      <c r="DP143" s="85" t="str">
        <f t="shared" ref="DP143:DP159" si="153">IF(OR(D143="SI",B143="",D143="T&amp;A"),"",VLOOKUP(B143,WELL_FIELD,2))</f>
        <v/>
      </c>
      <c r="EB143" s="70" t="str">
        <f t="shared" si="118"/>
        <v>KHALDA_WELL</v>
      </c>
      <c r="EC143" s="71">
        <f t="shared" si="106"/>
        <v>46298</v>
      </c>
      <c r="ED143" s="72" t="str">
        <f t="shared" si="119"/>
        <v>SWAG-06</v>
      </c>
      <c r="EE143" s="73">
        <f t="shared" si="120"/>
        <v>32</v>
      </c>
      <c r="EF143" s="73">
        <f t="shared" si="121"/>
        <v>400</v>
      </c>
      <c r="EG143" s="73">
        <f t="shared" si="122"/>
        <v>0</v>
      </c>
      <c r="EH143" s="73" t="str">
        <f t="shared" si="123"/>
        <v>SI</v>
      </c>
      <c r="EI143" s="73"/>
      <c r="EJ143" s="72"/>
      <c r="EK143" s="72" t="str">
        <f t="shared" si="124"/>
        <v/>
      </c>
      <c r="EL143" s="73">
        <f t="shared" si="125"/>
        <v>0</v>
      </c>
      <c r="EM143" s="213">
        <f t="shared" si="126"/>
        <v>0</v>
      </c>
      <c r="EN143" s="73"/>
      <c r="EO143" s="73"/>
      <c r="EQ143" s="73">
        <f t="shared" si="127"/>
        <v>0</v>
      </c>
      <c r="ER143" s="73">
        <f t="shared" si="128"/>
        <v>0</v>
      </c>
      <c r="ES143" s="73">
        <f t="shared" si="129"/>
        <v>0</v>
      </c>
      <c r="ET143" s="73">
        <f t="shared" si="130"/>
        <v>0</v>
      </c>
      <c r="EU143" s="73"/>
      <c r="EV143" s="73"/>
      <c r="EX143" s="3">
        <f t="shared" si="131"/>
        <v>0</v>
      </c>
      <c r="EY143" s="73"/>
      <c r="EZ143" s="73">
        <f t="shared" si="132"/>
        <v>0</v>
      </c>
      <c r="FA143" s="73">
        <f t="shared" si="133"/>
        <v>0</v>
      </c>
      <c r="FB143" s="73">
        <f t="shared" si="134"/>
        <v>0</v>
      </c>
      <c r="FC143" s="73"/>
      <c r="FD143" s="73" t="str">
        <f t="shared" si="135"/>
        <v>Is considered as condensate at the GP report.</v>
      </c>
    </row>
    <row r="144" spans="2:160" s="3" customFormat="1" ht="16.5" customHeight="1">
      <c r="B144" s="316" t="s">
        <v>1533</v>
      </c>
      <c r="C144" s="317" t="s">
        <v>272</v>
      </c>
      <c r="D144" s="317" t="s">
        <v>1756</v>
      </c>
      <c r="E144" s="991">
        <v>24</v>
      </c>
      <c r="F144" s="951">
        <f t="shared" si="136"/>
        <v>0</v>
      </c>
      <c r="G144" s="48"/>
      <c r="H144" s="981"/>
      <c r="I144" s="48" t="s">
        <v>255</v>
      </c>
      <c r="J144" s="48">
        <v>240</v>
      </c>
      <c r="K144" s="48">
        <v>200</v>
      </c>
      <c r="L144" s="48">
        <v>0</v>
      </c>
      <c r="M144" s="22"/>
      <c r="N144" s="140"/>
      <c r="O144" s="748"/>
      <c r="P144" s="48"/>
      <c r="Q144" s="48"/>
      <c r="R144" s="48"/>
      <c r="S144" s="886"/>
      <c r="T144" s="886"/>
      <c r="U144" s="886"/>
      <c r="V144" s="140"/>
      <c r="W144" s="140"/>
      <c r="X144" s="48"/>
      <c r="Y144" s="140"/>
      <c r="Z144" s="748"/>
      <c r="AA144" s="48"/>
      <c r="AB144" s="48"/>
      <c r="AC144" s="48"/>
      <c r="AD144" s="886"/>
      <c r="AE144" s="886"/>
      <c r="AF144" s="532">
        <f t="shared" si="104"/>
        <v>1.21</v>
      </c>
      <c r="AG144" s="531">
        <f t="shared" si="105"/>
        <v>21.87</v>
      </c>
      <c r="AH144" s="304">
        <v>46293</v>
      </c>
      <c r="AI144" s="13">
        <v>27</v>
      </c>
      <c r="AJ144" s="15">
        <v>19</v>
      </c>
      <c r="AK144" s="15">
        <v>1.21</v>
      </c>
      <c r="AL144" s="13"/>
      <c r="AM144" s="93">
        <f t="shared" si="0"/>
        <v>21.87</v>
      </c>
      <c r="AN144" s="522" t="s">
        <v>2145</v>
      </c>
      <c r="AO144" s="213"/>
      <c r="CJ144" s="921">
        <f t="shared" si="62"/>
        <v>5.13</v>
      </c>
      <c r="CT144" s="35"/>
      <c r="CU144" s="70" t="s">
        <v>2086</v>
      </c>
      <c r="CV144" s="71">
        <f t="shared" si="1"/>
        <v>46298</v>
      </c>
      <c r="CW144" s="72" t="str">
        <f t="shared" si="137"/>
        <v>9SWAG-07</v>
      </c>
      <c r="CX144" s="73" t="str">
        <f t="shared" si="138"/>
        <v>OPEN</v>
      </c>
      <c r="CY144" s="73">
        <f t="shared" si="139"/>
        <v>240</v>
      </c>
      <c r="CZ144" s="73">
        <f t="shared" si="140"/>
        <v>24</v>
      </c>
      <c r="DA144" s="73" t="str">
        <f t="shared" si="141"/>
        <v>LIFT</v>
      </c>
      <c r="DB144" s="73"/>
      <c r="DC144" s="368">
        <f t="shared" si="142"/>
        <v>0</v>
      </c>
      <c r="DD144" s="73">
        <f t="shared" si="143"/>
        <v>0</v>
      </c>
      <c r="DE144" s="73">
        <f t="shared" si="144"/>
        <v>0</v>
      </c>
      <c r="DF144" s="73">
        <f t="shared" si="145"/>
        <v>0</v>
      </c>
      <c r="DG144" s="73">
        <f t="shared" si="146"/>
        <v>0</v>
      </c>
      <c r="DH144" s="73">
        <f t="shared" si="147"/>
        <v>0</v>
      </c>
      <c r="DI144" s="73">
        <f t="shared" si="148"/>
        <v>0</v>
      </c>
      <c r="DJ144" s="73"/>
      <c r="DK144" s="73"/>
      <c r="DL144" s="73">
        <f t="shared" si="149"/>
        <v>0</v>
      </c>
      <c r="DM144" s="215">
        <f t="shared" si="150"/>
        <v>21.87</v>
      </c>
      <c r="DN144" s="73" t="str">
        <f t="shared" si="151"/>
        <v/>
      </c>
      <c r="DO144" s="73">
        <f t="shared" si="152"/>
        <v>21.87</v>
      </c>
      <c r="DP144" s="85" t="str">
        <f t="shared" si="153"/>
        <v>SWAG</v>
      </c>
      <c r="EB144" s="70" t="str">
        <f t="shared" si="118"/>
        <v>KHALDA_WELL</v>
      </c>
      <c r="EC144" s="71">
        <f t="shared" si="106"/>
        <v>46298</v>
      </c>
      <c r="ED144" s="72" t="str">
        <f t="shared" si="119"/>
        <v>SWAG-07</v>
      </c>
      <c r="EE144" s="73" t="str">
        <f t="shared" si="120"/>
        <v>OPEN</v>
      </c>
      <c r="EF144" s="73">
        <f t="shared" si="121"/>
        <v>240</v>
      </c>
      <c r="EG144" s="73">
        <f t="shared" si="122"/>
        <v>24</v>
      </c>
      <c r="EH144" s="73" t="str">
        <f t="shared" si="123"/>
        <v>LIFT</v>
      </c>
      <c r="EI144" s="73"/>
      <c r="EJ144" s="72"/>
      <c r="EK144" s="72" t="str">
        <f t="shared" si="124"/>
        <v/>
      </c>
      <c r="EL144" s="73">
        <f t="shared" si="125"/>
        <v>19</v>
      </c>
      <c r="EM144" s="213">
        <f t="shared" si="126"/>
        <v>0</v>
      </c>
      <c r="EN144" s="73"/>
      <c r="EO144" s="73"/>
      <c r="EQ144" s="73">
        <f t="shared" si="127"/>
        <v>0</v>
      </c>
      <c r="ER144" s="73">
        <f t="shared" si="128"/>
        <v>0</v>
      </c>
      <c r="ES144" s="73">
        <f t="shared" si="129"/>
        <v>0</v>
      </c>
      <c r="ET144" s="73">
        <f t="shared" si="130"/>
        <v>0</v>
      </c>
      <c r="EU144" s="73"/>
      <c r="EV144" s="73"/>
      <c r="EX144" s="3">
        <f t="shared" si="131"/>
        <v>0</v>
      </c>
      <c r="EY144" s="73"/>
      <c r="EZ144" s="73">
        <f t="shared" si="132"/>
        <v>0</v>
      </c>
      <c r="FA144" s="73">
        <f t="shared" si="133"/>
        <v>0</v>
      </c>
      <c r="FB144" s="73">
        <f t="shared" si="134"/>
        <v>0</v>
      </c>
      <c r="FC144" s="73"/>
      <c r="FD144" s="73" t="str">
        <f t="shared" si="135"/>
        <v>Is considered as condensate at the GP report.</v>
      </c>
    </row>
    <row r="145" spans="2:160" s="3" customFormat="1" ht="15.75" customHeight="1">
      <c r="B145" s="316" t="s">
        <v>1530</v>
      </c>
      <c r="C145" s="317" t="s">
        <v>1315</v>
      </c>
      <c r="D145" s="317" t="s">
        <v>18</v>
      </c>
      <c r="E145" s="991">
        <v>0</v>
      </c>
      <c r="F145" s="951">
        <f t="shared" si="136"/>
        <v>0</v>
      </c>
      <c r="G145" s="48"/>
      <c r="H145" s="981"/>
      <c r="I145" s="48" t="s">
        <v>2335</v>
      </c>
      <c r="J145" s="48">
        <v>0</v>
      </c>
      <c r="K145" s="48">
        <v>0</v>
      </c>
      <c r="L145" s="48">
        <v>0</v>
      </c>
      <c r="M145" s="22"/>
      <c r="N145" s="140"/>
      <c r="O145" s="748"/>
      <c r="P145" s="48"/>
      <c r="Q145" s="48"/>
      <c r="R145" s="48"/>
      <c r="S145" s="886">
        <v>0</v>
      </c>
      <c r="T145" s="886">
        <v>0</v>
      </c>
      <c r="U145" s="886">
        <v>0</v>
      </c>
      <c r="V145" s="22"/>
      <c r="W145" s="140"/>
      <c r="X145" s="48"/>
      <c r="Y145" s="140"/>
      <c r="Z145" s="748"/>
      <c r="AA145" s="48"/>
      <c r="AB145" s="48"/>
      <c r="AC145" s="48"/>
      <c r="AD145" s="886"/>
      <c r="AE145" s="886"/>
      <c r="AF145" s="532">
        <f t="shared" si="104"/>
        <v>0</v>
      </c>
      <c r="AG145" s="531">
        <f t="shared" si="105"/>
        <v>0</v>
      </c>
      <c r="AH145" s="304">
        <v>43326</v>
      </c>
      <c r="AI145" s="13">
        <v>29</v>
      </c>
      <c r="AJ145" s="15">
        <v>94</v>
      </c>
      <c r="AK145" s="15">
        <v>0</v>
      </c>
      <c r="AL145" s="13"/>
      <c r="AM145" s="93">
        <f t="shared" si="0"/>
        <v>1.7400000000000015</v>
      </c>
      <c r="AN145" s="687"/>
      <c r="AO145" s="213"/>
      <c r="CJ145" s="921">
        <f t="shared" si="62"/>
        <v>0</v>
      </c>
      <c r="CT145" s="35"/>
      <c r="CU145" s="70" t="s">
        <v>2087</v>
      </c>
      <c r="CV145" s="71">
        <f t="shared" si="1"/>
        <v>46298</v>
      </c>
      <c r="CW145" s="72" t="str">
        <f t="shared" si="137"/>
        <v>9SWAG-08</v>
      </c>
      <c r="CX145" s="73" t="str">
        <f t="shared" si="138"/>
        <v>NO P.CK</v>
      </c>
      <c r="CY145" s="73">
        <f t="shared" si="139"/>
        <v>0</v>
      </c>
      <c r="CZ145" s="73">
        <f t="shared" si="140"/>
        <v>0</v>
      </c>
      <c r="DA145" s="73" t="str">
        <f t="shared" si="141"/>
        <v>SI</v>
      </c>
      <c r="DB145" s="73"/>
      <c r="DC145" s="368">
        <f t="shared" si="142"/>
        <v>0</v>
      </c>
      <c r="DD145" s="73">
        <f t="shared" si="143"/>
        <v>0</v>
      </c>
      <c r="DE145" s="73">
        <f t="shared" si="144"/>
        <v>0</v>
      </c>
      <c r="DF145" s="73">
        <f t="shared" si="145"/>
        <v>0</v>
      </c>
      <c r="DG145" s="73">
        <f t="shared" si="146"/>
        <v>0</v>
      </c>
      <c r="DH145" s="73">
        <f t="shared" si="147"/>
        <v>0</v>
      </c>
      <c r="DI145" s="73">
        <f t="shared" si="148"/>
        <v>0</v>
      </c>
      <c r="DJ145" s="73"/>
      <c r="DK145" s="73"/>
      <c r="DL145" s="73">
        <f t="shared" si="149"/>
        <v>0</v>
      </c>
      <c r="DM145" s="215">
        <f t="shared" si="150"/>
        <v>0</v>
      </c>
      <c r="DN145" s="73" t="str">
        <f t="shared" si="151"/>
        <v/>
      </c>
      <c r="DO145" s="73">
        <f t="shared" si="152"/>
        <v>0</v>
      </c>
      <c r="DP145" s="85" t="str">
        <f t="shared" si="153"/>
        <v/>
      </c>
      <c r="EB145" s="70" t="str">
        <f t="shared" si="118"/>
        <v>KHALDA_WELL</v>
      </c>
      <c r="EC145" s="71">
        <f t="shared" si="106"/>
        <v>46298</v>
      </c>
      <c r="ED145" s="72" t="str">
        <f t="shared" si="119"/>
        <v>SWAG-08</v>
      </c>
      <c r="EE145" s="73" t="str">
        <f t="shared" si="120"/>
        <v>NO P.CK</v>
      </c>
      <c r="EF145" s="73">
        <f t="shared" si="121"/>
        <v>0</v>
      </c>
      <c r="EG145" s="73">
        <f t="shared" si="122"/>
        <v>0</v>
      </c>
      <c r="EH145" s="73" t="str">
        <f t="shared" si="123"/>
        <v>SI</v>
      </c>
      <c r="EI145" s="73"/>
      <c r="EJ145" s="72"/>
      <c r="EK145" s="72" t="str">
        <f t="shared" si="124"/>
        <v/>
      </c>
      <c r="EL145" s="73">
        <f t="shared" si="125"/>
        <v>94</v>
      </c>
      <c r="EM145" s="213">
        <f t="shared" si="126"/>
        <v>0</v>
      </c>
      <c r="EN145" s="73"/>
      <c r="EO145" s="73"/>
      <c r="EQ145" s="73">
        <f t="shared" si="127"/>
        <v>0</v>
      </c>
      <c r="ER145" s="73">
        <f t="shared" si="128"/>
        <v>0</v>
      </c>
      <c r="ES145" s="73">
        <f t="shared" si="129"/>
        <v>0</v>
      </c>
      <c r="ET145" s="73">
        <f t="shared" si="130"/>
        <v>0</v>
      </c>
      <c r="EU145" s="73"/>
      <c r="EV145" s="73"/>
      <c r="EX145" s="3">
        <f t="shared" si="131"/>
        <v>0</v>
      </c>
      <c r="EY145" s="73"/>
      <c r="EZ145" s="73">
        <f t="shared" si="132"/>
        <v>0</v>
      </c>
      <c r="FA145" s="73">
        <f t="shared" si="133"/>
        <v>0</v>
      </c>
      <c r="FB145" s="73">
        <f t="shared" si="134"/>
        <v>0</v>
      </c>
      <c r="FC145" s="73"/>
      <c r="FD145" s="73">
        <f t="shared" si="135"/>
        <v>0</v>
      </c>
    </row>
    <row r="146" spans="2:160" s="3" customFormat="1" ht="16.5" customHeight="1">
      <c r="B146" s="316" t="s">
        <v>1679</v>
      </c>
      <c r="C146" s="317" t="s">
        <v>1307</v>
      </c>
      <c r="D146" s="317" t="s">
        <v>18</v>
      </c>
      <c r="E146" s="991">
        <v>0</v>
      </c>
      <c r="F146" s="951">
        <f t="shared" si="136"/>
        <v>0</v>
      </c>
      <c r="G146" s="48"/>
      <c r="H146" s="981"/>
      <c r="I146" s="48" t="s">
        <v>2335</v>
      </c>
      <c r="J146" s="48">
        <v>220</v>
      </c>
      <c r="K146" s="48">
        <v>200</v>
      </c>
      <c r="L146" s="48">
        <v>0</v>
      </c>
      <c r="M146" s="22"/>
      <c r="N146" s="140"/>
      <c r="O146" s="748"/>
      <c r="P146" s="48"/>
      <c r="Q146" s="48"/>
      <c r="R146" s="48"/>
      <c r="S146" s="886"/>
      <c r="T146" s="886"/>
      <c r="U146" s="886"/>
      <c r="V146" s="140"/>
      <c r="W146" s="140"/>
      <c r="X146" s="48"/>
      <c r="Y146" s="140"/>
      <c r="Z146" s="748"/>
      <c r="AA146" s="48"/>
      <c r="AB146" s="48"/>
      <c r="AC146" s="48"/>
      <c r="AD146" s="886"/>
      <c r="AE146" s="886"/>
      <c r="AF146" s="532">
        <f t="shared" si="104"/>
        <v>0</v>
      </c>
      <c r="AG146" s="531">
        <f t="shared" si="105"/>
        <v>0</v>
      </c>
      <c r="AH146" s="304">
        <v>46119</v>
      </c>
      <c r="AI146" s="13">
        <v>49</v>
      </c>
      <c r="AJ146" s="15">
        <v>2</v>
      </c>
      <c r="AK146" s="15">
        <v>7.4999999999999997E-2</v>
      </c>
      <c r="AL146" s="13"/>
      <c r="AM146" s="93">
        <f t="shared" si="0"/>
        <v>48.019999999999996</v>
      </c>
      <c r="AN146" s="148" t="s">
        <v>2681</v>
      </c>
      <c r="AO146" s="213"/>
      <c r="CJ146" s="921">
        <f t="shared" si="62"/>
        <v>0</v>
      </c>
      <c r="CT146" s="35"/>
      <c r="CU146" s="70" t="s">
        <v>2088</v>
      </c>
      <c r="CV146" s="71">
        <f t="shared" si="1"/>
        <v>46298</v>
      </c>
      <c r="CW146" s="72" t="str">
        <f t="shared" si="137"/>
        <v>9SWAG-09</v>
      </c>
      <c r="CX146" s="73" t="str">
        <f t="shared" si="138"/>
        <v>NO P.CK</v>
      </c>
      <c r="CY146" s="73">
        <f t="shared" si="139"/>
        <v>220</v>
      </c>
      <c r="CZ146" s="73">
        <f t="shared" si="140"/>
        <v>0</v>
      </c>
      <c r="DA146" s="73" t="str">
        <f t="shared" si="141"/>
        <v>SI</v>
      </c>
      <c r="DB146" s="73"/>
      <c r="DC146" s="368">
        <f t="shared" si="142"/>
        <v>0</v>
      </c>
      <c r="DD146" s="73">
        <f t="shared" si="143"/>
        <v>0</v>
      </c>
      <c r="DE146" s="73">
        <f t="shared" si="144"/>
        <v>0</v>
      </c>
      <c r="DF146" s="73">
        <f t="shared" si="145"/>
        <v>0</v>
      </c>
      <c r="DG146" s="73">
        <f t="shared" si="146"/>
        <v>0</v>
      </c>
      <c r="DH146" s="73">
        <f t="shared" si="147"/>
        <v>0</v>
      </c>
      <c r="DI146" s="73">
        <f t="shared" si="148"/>
        <v>0</v>
      </c>
      <c r="DJ146" s="73"/>
      <c r="DK146" s="73"/>
      <c r="DL146" s="73">
        <f t="shared" si="149"/>
        <v>0</v>
      </c>
      <c r="DM146" s="215">
        <f t="shared" si="150"/>
        <v>0</v>
      </c>
      <c r="DN146" s="73" t="str">
        <f t="shared" si="151"/>
        <v/>
      </c>
      <c r="DO146" s="73">
        <f t="shared" si="152"/>
        <v>0</v>
      </c>
      <c r="DP146" s="85" t="str">
        <f t="shared" si="153"/>
        <v/>
      </c>
      <c r="EB146" s="70" t="str">
        <f t="shared" si="118"/>
        <v>KHALDA_WELL</v>
      </c>
      <c r="EC146" s="71">
        <f t="shared" si="106"/>
        <v>46298</v>
      </c>
      <c r="ED146" s="72" t="str">
        <f t="shared" si="119"/>
        <v>SWAG-09</v>
      </c>
      <c r="EE146" s="73" t="str">
        <f t="shared" si="120"/>
        <v>NO P.CK</v>
      </c>
      <c r="EF146" s="73">
        <f t="shared" si="121"/>
        <v>220</v>
      </c>
      <c r="EG146" s="73">
        <f t="shared" si="122"/>
        <v>0</v>
      </c>
      <c r="EH146" s="73" t="str">
        <f t="shared" si="123"/>
        <v>SI</v>
      </c>
      <c r="EI146" s="73"/>
      <c r="EJ146" s="72"/>
      <c r="EK146" s="72" t="str">
        <f t="shared" si="124"/>
        <v/>
      </c>
      <c r="EL146" s="73">
        <f t="shared" si="125"/>
        <v>2</v>
      </c>
      <c r="EM146" s="213">
        <f t="shared" si="126"/>
        <v>0</v>
      </c>
      <c r="EN146" s="73"/>
      <c r="EO146" s="73"/>
      <c r="EQ146" s="73">
        <f t="shared" si="127"/>
        <v>0</v>
      </c>
      <c r="ER146" s="73">
        <f t="shared" si="128"/>
        <v>0</v>
      </c>
      <c r="ES146" s="73">
        <f t="shared" si="129"/>
        <v>0</v>
      </c>
      <c r="ET146" s="73">
        <f t="shared" si="130"/>
        <v>0</v>
      </c>
      <c r="EU146" s="73"/>
      <c r="EV146" s="73"/>
      <c r="EX146" s="3">
        <f t="shared" si="131"/>
        <v>0</v>
      </c>
      <c r="EY146" s="73"/>
      <c r="EZ146" s="73">
        <f t="shared" si="132"/>
        <v>0</v>
      </c>
      <c r="FA146" s="73">
        <f t="shared" si="133"/>
        <v>0</v>
      </c>
      <c r="FB146" s="73">
        <f t="shared" si="134"/>
        <v>0</v>
      </c>
      <c r="FC146" s="73"/>
      <c r="FD146" s="73" t="str">
        <f t="shared" si="135"/>
        <v>Test on min sep</v>
      </c>
    </row>
    <row r="147" spans="2:160" s="3" customFormat="1" ht="16.5" customHeight="1">
      <c r="B147" s="316" t="s">
        <v>1604</v>
      </c>
      <c r="C147" s="317" t="s">
        <v>1315</v>
      </c>
      <c r="D147" s="317" t="s">
        <v>18</v>
      </c>
      <c r="E147" s="991">
        <v>0</v>
      </c>
      <c r="F147" s="951">
        <f t="shared" si="136"/>
        <v>0</v>
      </c>
      <c r="G147" s="48"/>
      <c r="H147" s="981"/>
      <c r="I147" s="48" t="s">
        <v>2335</v>
      </c>
      <c r="J147" s="48">
        <v>540</v>
      </c>
      <c r="K147" s="48">
        <v>200</v>
      </c>
      <c r="L147" s="48">
        <v>0</v>
      </c>
      <c r="M147" s="22"/>
      <c r="N147" s="140"/>
      <c r="O147" s="748"/>
      <c r="P147" s="48"/>
      <c r="Q147" s="48"/>
      <c r="R147" s="48"/>
      <c r="S147" s="886"/>
      <c r="T147" s="886"/>
      <c r="U147" s="886"/>
      <c r="V147" s="140"/>
      <c r="W147" s="140"/>
      <c r="X147" s="48"/>
      <c r="Y147" s="140"/>
      <c r="Z147" s="748"/>
      <c r="AA147" s="48"/>
      <c r="AB147" s="48"/>
      <c r="AC147" s="48"/>
      <c r="AD147" s="886"/>
      <c r="AE147" s="886"/>
      <c r="AF147" s="532">
        <f t="shared" si="104"/>
        <v>0</v>
      </c>
      <c r="AG147" s="531">
        <f t="shared" si="105"/>
        <v>0</v>
      </c>
      <c r="AH147" s="304">
        <v>46119</v>
      </c>
      <c r="AI147" s="13">
        <v>0</v>
      </c>
      <c r="AJ147" s="15">
        <v>0</v>
      </c>
      <c r="AK147" s="15">
        <v>0.112</v>
      </c>
      <c r="AL147" s="13"/>
      <c r="AM147" s="93">
        <f t="shared" si="0"/>
        <v>0</v>
      </c>
      <c r="AN147" s="148"/>
      <c r="AO147" s="213"/>
      <c r="CJ147" s="921">
        <f t="shared" si="62"/>
        <v>0</v>
      </c>
      <c r="CT147" s="35"/>
      <c r="CU147" s="70" t="s">
        <v>2089</v>
      </c>
      <c r="CV147" s="71">
        <f t="shared" si="1"/>
        <v>46298</v>
      </c>
      <c r="CW147" s="72" t="str">
        <f t="shared" si="137"/>
        <v>9SWAG-10H</v>
      </c>
      <c r="CX147" s="73" t="str">
        <f t="shared" si="138"/>
        <v>NO P.CK</v>
      </c>
      <c r="CY147" s="73">
        <f t="shared" si="139"/>
        <v>540</v>
      </c>
      <c r="CZ147" s="73">
        <f t="shared" si="140"/>
        <v>0</v>
      </c>
      <c r="DA147" s="73" t="str">
        <f t="shared" si="141"/>
        <v>SI</v>
      </c>
      <c r="DB147" s="73"/>
      <c r="DC147" s="368">
        <f t="shared" si="142"/>
        <v>0</v>
      </c>
      <c r="DD147" s="73">
        <f t="shared" si="143"/>
        <v>0</v>
      </c>
      <c r="DE147" s="73">
        <f t="shared" si="144"/>
        <v>0</v>
      </c>
      <c r="DF147" s="73">
        <f t="shared" si="145"/>
        <v>0</v>
      </c>
      <c r="DG147" s="73">
        <f t="shared" si="146"/>
        <v>0</v>
      </c>
      <c r="DH147" s="73">
        <f t="shared" si="147"/>
        <v>0</v>
      </c>
      <c r="DI147" s="73">
        <f t="shared" si="148"/>
        <v>0</v>
      </c>
      <c r="DJ147" s="73"/>
      <c r="DK147" s="73"/>
      <c r="DL147" s="73">
        <f t="shared" si="149"/>
        <v>0</v>
      </c>
      <c r="DM147" s="215">
        <f t="shared" si="150"/>
        <v>0</v>
      </c>
      <c r="DN147" s="73" t="str">
        <f t="shared" si="151"/>
        <v/>
      </c>
      <c r="DO147" s="73">
        <f t="shared" si="152"/>
        <v>0</v>
      </c>
      <c r="DP147" s="85" t="str">
        <f t="shared" si="153"/>
        <v/>
      </c>
      <c r="EB147" s="70" t="str">
        <f t="shared" si="118"/>
        <v>KHALDA_WELL</v>
      </c>
      <c r="EC147" s="71">
        <f t="shared" si="106"/>
        <v>46298</v>
      </c>
      <c r="ED147" s="72" t="str">
        <f t="shared" si="119"/>
        <v>SWAG-10H</v>
      </c>
      <c r="EE147" s="73" t="str">
        <f t="shared" si="120"/>
        <v>NO P.CK</v>
      </c>
      <c r="EF147" s="73">
        <f t="shared" si="121"/>
        <v>540</v>
      </c>
      <c r="EG147" s="73">
        <f t="shared" si="122"/>
        <v>0</v>
      </c>
      <c r="EH147" s="73" t="str">
        <f t="shared" si="123"/>
        <v>SI</v>
      </c>
      <c r="EI147" s="73"/>
      <c r="EJ147" s="72"/>
      <c r="EK147" s="72" t="str">
        <f t="shared" si="124"/>
        <v/>
      </c>
      <c r="EL147" s="73">
        <f t="shared" si="125"/>
        <v>0</v>
      </c>
      <c r="EM147" s="213">
        <f t="shared" si="126"/>
        <v>0</v>
      </c>
      <c r="EN147" s="73"/>
      <c r="EO147" s="73"/>
      <c r="EQ147" s="73">
        <f t="shared" si="127"/>
        <v>0</v>
      </c>
      <c r="ER147" s="73">
        <f t="shared" si="128"/>
        <v>0</v>
      </c>
      <c r="ES147" s="73">
        <f t="shared" si="129"/>
        <v>0</v>
      </c>
      <c r="ET147" s="73">
        <f t="shared" si="130"/>
        <v>0</v>
      </c>
      <c r="EU147" s="73"/>
      <c r="EV147" s="73"/>
      <c r="EX147" s="3">
        <f t="shared" si="131"/>
        <v>0</v>
      </c>
      <c r="EY147" s="73"/>
      <c r="EZ147" s="73">
        <f t="shared" si="132"/>
        <v>0</v>
      </c>
      <c r="FA147" s="73">
        <f t="shared" si="133"/>
        <v>0</v>
      </c>
      <c r="FB147" s="73">
        <f t="shared" si="134"/>
        <v>0</v>
      </c>
      <c r="FC147" s="73"/>
      <c r="FD147" s="73">
        <f t="shared" si="135"/>
        <v>0</v>
      </c>
    </row>
    <row r="148" spans="2:160" s="3" customFormat="1" ht="16.5" customHeight="1">
      <c r="B148" s="316" t="s">
        <v>2138</v>
      </c>
      <c r="C148" s="317" t="s">
        <v>272</v>
      </c>
      <c r="D148" s="317" t="s">
        <v>1301</v>
      </c>
      <c r="E148" s="991">
        <v>24</v>
      </c>
      <c r="F148" s="951">
        <f t="shared" si="136"/>
        <v>0</v>
      </c>
      <c r="G148" s="48"/>
      <c r="H148" s="981">
        <v>1.4670938727566138</v>
      </c>
      <c r="I148" s="48" t="s">
        <v>2335</v>
      </c>
      <c r="J148" s="48">
        <v>300</v>
      </c>
      <c r="K148" s="48">
        <v>290</v>
      </c>
      <c r="L148" s="48">
        <v>820</v>
      </c>
      <c r="M148" s="22"/>
      <c r="N148" s="140"/>
      <c r="O148" s="748"/>
      <c r="P148" s="48"/>
      <c r="Q148" s="48"/>
      <c r="R148" s="48"/>
      <c r="S148" s="886"/>
      <c r="T148" s="886"/>
      <c r="U148" s="886"/>
      <c r="V148" s="140"/>
      <c r="W148" s="140"/>
      <c r="X148" s="48"/>
      <c r="Y148" s="140"/>
      <c r="Z148" s="748"/>
      <c r="AA148" s="48"/>
      <c r="AB148" s="48"/>
      <c r="AC148" s="48"/>
      <c r="AD148" s="886"/>
      <c r="AE148" s="886"/>
      <c r="AF148" s="532">
        <f>AK148/24*E148</f>
        <v>0.08</v>
      </c>
      <c r="AG148" s="531">
        <f>AM148/24*E148</f>
        <v>32.710662450294876</v>
      </c>
      <c r="AH148" s="304">
        <v>46279</v>
      </c>
      <c r="AI148" s="13">
        <v>272.58885375245728</v>
      </c>
      <c r="AJ148" s="15">
        <v>88</v>
      </c>
      <c r="AK148" s="15">
        <v>0.08</v>
      </c>
      <c r="AL148" s="13">
        <v>104000</v>
      </c>
      <c r="AM148" s="93">
        <f t="shared" si="0"/>
        <v>32.710662450294876</v>
      </c>
      <c r="AN148" s="148"/>
      <c r="AO148" s="213"/>
      <c r="CJ148" s="921">
        <f t="shared" si="62"/>
        <v>239.87819130216241</v>
      </c>
      <c r="CT148" s="35"/>
      <c r="CU148" s="70" t="s">
        <v>2113</v>
      </c>
      <c r="CV148" s="71">
        <f t="shared" si="1"/>
        <v>46298</v>
      </c>
      <c r="CW148" s="72" t="str">
        <f t="shared" si="137"/>
        <v>9SWAG-N01</v>
      </c>
      <c r="CX148" s="73" t="str">
        <f t="shared" si="138"/>
        <v>NO P.CK</v>
      </c>
      <c r="CY148" s="73">
        <f t="shared" si="139"/>
        <v>300</v>
      </c>
      <c r="CZ148" s="73">
        <f t="shared" si="140"/>
        <v>24</v>
      </c>
      <c r="DA148" s="73" t="str">
        <f t="shared" si="141"/>
        <v>G/L</v>
      </c>
      <c r="DB148" s="73"/>
      <c r="DC148" s="368">
        <f t="shared" si="142"/>
        <v>1467.0938727566138</v>
      </c>
      <c r="DD148" s="73">
        <f t="shared" si="143"/>
        <v>0</v>
      </c>
      <c r="DE148" s="73">
        <f t="shared" si="144"/>
        <v>0</v>
      </c>
      <c r="DF148" s="73">
        <f t="shared" si="145"/>
        <v>0</v>
      </c>
      <c r="DG148" s="73">
        <f t="shared" si="146"/>
        <v>0</v>
      </c>
      <c r="DH148" s="73">
        <f t="shared" si="147"/>
        <v>0</v>
      </c>
      <c r="DI148" s="73">
        <f t="shared" si="148"/>
        <v>0</v>
      </c>
      <c r="DJ148" s="73"/>
      <c r="DK148" s="73"/>
      <c r="DL148" s="73">
        <f t="shared" si="149"/>
        <v>0</v>
      </c>
      <c r="DM148" s="215">
        <f t="shared" si="150"/>
        <v>32.710662450294876</v>
      </c>
      <c r="DN148" s="73" t="str">
        <f t="shared" si="151"/>
        <v/>
      </c>
      <c r="DO148" s="73">
        <f t="shared" si="152"/>
        <v>32.710662450294876</v>
      </c>
      <c r="DP148" s="85" t="str">
        <f t="shared" si="153"/>
        <v>SWAG</v>
      </c>
      <c r="EB148" s="70" t="str">
        <f t="shared" si="118"/>
        <v>KHALDA_WELL</v>
      </c>
      <c r="EC148" s="71">
        <f t="shared" si="106"/>
        <v>46298</v>
      </c>
      <c r="ED148" s="72" t="str">
        <f t="shared" si="119"/>
        <v>SWAG-N01</v>
      </c>
      <c r="EE148" s="73" t="str">
        <f t="shared" si="120"/>
        <v>NO P.CK</v>
      </c>
      <c r="EF148" s="73">
        <f t="shared" si="121"/>
        <v>300</v>
      </c>
      <c r="EG148" s="73">
        <f t="shared" si="122"/>
        <v>24</v>
      </c>
      <c r="EH148" s="73" t="str">
        <f t="shared" si="123"/>
        <v>G/L</v>
      </c>
      <c r="EI148" s="73"/>
      <c r="EJ148" s="72"/>
      <c r="EK148" s="72" t="str">
        <f t="shared" si="124"/>
        <v/>
      </c>
      <c r="EL148" s="73">
        <f t="shared" si="125"/>
        <v>88</v>
      </c>
      <c r="EM148" s="213">
        <f t="shared" si="126"/>
        <v>0</v>
      </c>
      <c r="EN148" s="73"/>
      <c r="EO148" s="73"/>
      <c r="EQ148" s="73">
        <f t="shared" si="127"/>
        <v>0</v>
      </c>
      <c r="ER148" s="73">
        <f t="shared" si="128"/>
        <v>0</v>
      </c>
      <c r="ES148" s="73">
        <f t="shared" si="129"/>
        <v>0</v>
      </c>
      <c r="ET148" s="73">
        <f t="shared" si="130"/>
        <v>0</v>
      </c>
      <c r="EU148" s="73"/>
      <c r="EV148" s="73"/>
      <c r="EX148" s="3">
        <f t="shared" si="131"/>
        <v>0</v>
      </c>
      <c r="EY148" s="73"/>
      <c r="EZ148" s="73">
        <f t="shared" si="132"/>
        <v>0</v>
      </c>
      <c r="FA148" s="73">
        <f t="shared" si="133"/>
        <v>0</v>
      </c>
      <c r="FB148" s="73">
        <f t="shared" si="134"/>
        <v>0</v>
      </c>
      <c r="FC148" s="73"/>
      <c r="FD148" s="73">
        <f t="shared" si="135"/>
        <v>0</v>
      </c>
    </row>
    <row r="149" spans="2:160" s="3" customFormat="1" ht="16.5" customHeight="1">
      <c r="B149" s="316" t="s">
        <v>2199</v>
      </c>
      <c r="C149" s="317" t="s">
        <v>21</v>
      </c>
      <c r="D149" s="317" t="s">
        <v>1301</v>
      </c>
      <c r="E149" s="991">
        <v>24</v>
      </c>
      <c r="F149" s="951">
        <f t="shared" si="136"/>
        <v>0</v>
      </c>
      <c r="G149" s="48"/>
      <c r="H149" s="981">
        <v>1.07</v>
      </c>
      <c r="I149" s="48" t="s">
        <v>2335</v>
      </c>
      <c r="J149" s="48">
        <v>290</v>
      </c>
      <c r="K149" s="48">
        <v>280</v>
      </c>
      <c r="L149" s="48">
        <v>630</v>
      </c>
      <c r="M149" s="22"/>
      <c r="N149" s="140"/>
      <c r="O149" s="748"/>
      <c r="P149" s="48"/>
      <c r="Q149" s="48"/>
      <c r="R149" s="48"/>
      <c r="S149" s="886"/>
      <c r="T149" s="886"/>
      <c r="U149" s="886"/>
      <c r="V149" s="140"/>
      <c r="W149" s="140"/>
      <c r="X149" s="48"/>
      <c r="Y149" s="140"/>
      <c r="Z149" s="748"/>
      <c r="AA149" s="48"/>
      <c r="AB149" s="48"/>
      <c r="AC149" s="48"/>
      <c r="AD149" s="886"/>
      <c r="AE149" s="886"/>
      <c r="AF149" s="532">
        <f>AK149/24*E149</f>
        <v>3.8000000000000034E-2</v>
      </c>
      <c r="AG149" s="531">
        <f>AM149/24*E149</f>
        <v>23.04</v>
      </c>
      <c r="AH149" s="304">
        <v>46277</v>
      </c>
      <c r="AI149" s="13">
        <v>24</v>
      </c>
      <c r="AJ149" s="15">
        <v>4</v>
      </c>
      <c r="AK149" s="15">
        <v>3.8000000000000034E-2</v>
      </c>
      <c r="AL149" s="13">
        <v>36000</v>
      </c>
      <c r="AM149" s="93">
        <f t="shared" si="0"/>
        <v>23.04</v>
      </c>
      <c r="AN149" s="148"/>
      <c r="AO149" s="213"/>
      <c r="CJ149" s="921">
        <f t="shared" si="62"/>
        <v>0.96</v>
      </c>
      <c r="CT149" s="35"/>
      <c r="CU149" s="70" t="s">
        <v>2114</v>
      </c>
      <c r="CV149" s="71">
        <f t="shared" si="1"/>
        <v>46298</v>
      </c>
      <c r="CW149" s="72" t="str">
        <f t="shared" si="137"/>
        <v>9SWAG-N02</v>
      </c>
      <c r="CX149" s="73" t="str">
        <f t="shared" si="138"/>
        <v>NO P.CK</v>
      </c>
      <c r="CY149" s="73">
        <f t="shared" si="139"/>
        <v>290</v>
      </c>
      <c r="CZ149" s="73">
        <f t="shared" si="140"/>
        <v>24</v>
      </c>
      <c r="DA149" s="73" t="str">
        <f t="shared" si="141"/>
        <v>G/L</v>
      </c>
      <c r="DB149" s="73"/>
      <c r="DC149" s="368">
        <f t="shared" si="142"/>
        <v>1070</v>
      </c>
      <c r="DD149" s="73">
        <f t="shared" si="143"/>
        <v>0</v>
      </c>
      <c r="DE149" s="73">
        <f t="shared" si="144"/>
        <v>0</v>
      </c>
      <c r="DF149" s="73">
        <f t="shared" si="145"/>
        <v>0</v>
      </c>
      <c r="DG149" s="73">
        <f t="shared" si="146"/>
        <v>0</v>
      </c>
      <c r="DH149" s="73">
        <f t="shared" si="147"/>
        <v>0</v>
      </c>
      <c r="DI149" s="73">
        <f t="shared" si="148"/>
        <v>0</v>
      </c>
      <c r="DJ149" s="73"/>
      <c r="DK149" s="73"/>
      <c r="DL149" s="73">
        <f t="shared" si="149"/>
        <v>0</v>
      </c>
      <c r="DM149" s="215">
        <f t="shared" si="150"/>
        <v>23.04</v>
      </c>
      <c r="DN149" s="73" t="str">
        <f t="shared" si="151"/>
        <v/>
      </c>
      <c r="DO149" s="73">
        <f t="shared" si="152"/>
        <v>23.04</v>
      </c>
      <c r="DP149" s="85" t="str">
        <f t="shared" si="153"/>
        <v>SWAG</v>
      </c>
      <c r="EB149" s="70" t="str">
        <f t="shared" si="118"/>
        <v>KHALDA_WELL</v>
      </c>
      <c r="EC149" s="71">
        <f t="shared" si="106"/>
        <v>46298</v>
      </c>
      <c r="ED149" s="72" t="str">
        <f t="shared" si="119"/>
        <v>SWAG-N02</v>
      </c>
      <c r="EE149" s="73" t="str">
        <f t="shared" si="120"/>
        <v>NO P.CK</v>
      </c>
      <c r="EF149" s="73">
        <f t="shared" si="121"/>
        <v>290</v>
      </c>
      <c r="EG149" s="73">
        <f t="shared" si="122"/>
        <v>24</v>
      </c>
      <c r="EH149" s="73" t="str">
        <f t="shared" si="123"/>
        <v>G/L</v>
      </c>
      <c r="EI149" s="73"/>
      <c r="EJ149" s="72"/>
      <c r="EK149" s="72" t="str">
        <f t="shared" si="124"/>
        <v/>
      </c>
      <c r="EL149" s="73">
        <f t="shared" si="125"/>
        <v>4</v>
      </c>
      <c r="EM149" s="213">
        <f t="shared" si="126"/>
        <v>0</v>
      </c>
      <c r="EN149" s="73"/>
      <c r="EO149" s="73"/>
      <c r="EQ149" s="73">
        <f t="shared" si="127"/>
        <v>0</v>
      </c>
      <c r="ER149" s="73">
        <f t="shared" si="128"/>
        <v>0</v>
      </c>
      <c r="ES149" s="73">
        <f t="shared" si="129"/>
        <v>0</v>
      </c>
      <c r="ET149" s="73">
        <f t="shared" si="130"/>
        <v>0</v>
      </c>
      <c r="EU149" s="73"/>
      <c r="EV149" s="73"/>
      <c r="EX149" s="3">
        <f t="shared" si="131"/>
        <v>0</v>
      </c>
      <c r="EY149" s="73"/>
      <c r="EZ149" s="73">
        <f t="shared" si="132"/>
        <v>0</v>
      </c>
      <c r="FA149" s="73">
        <f t="shared" si="133"/>
        <v>0</v>
      </c>
      <c r="FB149" s="73">
        <f t="shared" si="134"/>
        <v>0</v>
      </c>
      <c r="FC149" s="73"/>
      <c r="FD149" s="73">
        <f t="shared" si="135"/>
        <v>0</v>
      </c>
    </row>
    <row r="150" spans="2:160" s="3" customFormat="1" ht="15" customHeight="1">
      <c r="B150" s="316" t="s">
        <v>1321</v>
      </c>
      <c r="C150" s="317" t="s">
        <v>272</v>
      </c>
      <c r="D150" s="317" t="s">
        <v>286</v>
      </c>
      <c r="E150" s="991">
        <v>12</v>
      </c>
      <c r="F150" s="951">
        <f>IF(E150=0,0,((AI150*(1-(AJ150/100)))/24)*(24-HOURS))</f>
        <v>0</v>
      </c>
      <c r="G150" s="48" t="s">
        <v>2516</v>
      </c>
      <c r="H150" s="981"/>
      <c r="I150" s="48">
        <v>24</v>
      </c>
      <c r="J150" s="48">
        <v>250</v>
      </c>
      <c r="K150" s="48">
        <v>180</v>
      </c>
      <c r="L150" s="48">
        <v>0</v>
      </c>
      <c r="M150" s="22"/>
      <c r="N150" s="140"/>
      <c r="O150" s="748"/>
      <c r="P150" s="48"/>
      <c r="Q150" s="48"/>
      <c r="R150" s="48"/>
      <c r="S150" s="886"/>
      <c r="T150" s="886"/>
      <c r="U150" s="886"/>
      <c r="V150" s="140"/>
      <c r="W150" s="140"/>
      <c r="X150" s="48"/>
      <c r="Y150" s="140"/>
      <c r="Z150" s="748"/>
      <c r="AA150" s="48"/>
      <c r="AB150" s="48"/>
      <c r="AC150" s="48"/>
      <c r="AD150" s="886"/>
      <c r="AE150" s="886"/>
      <c r="AF150" s="532">
        <f>AK150/24*E150</f>
        <v>0.14799999999999999</v>
      </c>
      <c r="AG150" s="531">
        <f>AM150/24*E150</f>
        <v>0</v>
      </c>
      <c r="AH150" s="304">
        <v>45845</v>
      </c>
      <c r="AI150" s="13">
        <v>0</v>
      </c>
      <c r="AJ150" s="15">
        <v>0</v>
      </c>
      <c r="AK150" s="15">
        <v>0.29599999999999999</v>
      </c>
      <c r="AL150" s="13"/>
      <c r="AM150" s="93">
        <f t="shared" si="0"/>
        <v>0</v>
      </c>
      <c r="AN150" s="148"/>
      <c r="AO150" s="213"/>
      <c r="CJ150" s="921">
        <f t="shared" si="62"/>
        <v>0</v>
      </c>
      <c r="CT150" s="35"/>
      <c r="CU150" s="70" t="s">
        <v>2115</v>
      </c>
      <c r="CV150" s="71">
        <f t="shared" si="1"/>
        <v>46298</v>
      </c>
      <c r="CW150" s="72" t="str">
        <f t="shared" si="137"/>
        <v>9SPYGLASS-01</v>
      </c>
      <c r="CX150" s="73">
        <f t="shared" si="138"/>
        <v>24</v>
      </c>
      <c r="CY150" s="73">
        <f t="shared" si="139"/>
        <v>250</v>
      </c>
      <c r="CZ150" s="73">
        <f t="shared" si="140"/>
        <v>12</v>
      </c>
      <c r="DA150" s="73" t="str">
        <f t="shared" si="141"/>
        <v>NF</v>
      </c>
      <c r="DB150" s="73"/>
      <c r="DC150" s="368">
        <f t="shared" si="142"/>
        <v>0</v>
      </c>
      <c r="DD150" s="73">
        <f t="shared" si="143"/>
        <v>0</v>
      </c>
      <c r="DE150" s="73">
        <f t="shared" si="144"/>
        <v>0</v>
      </c>
      <c r="DF150" s="73">
        <f t="shared" si="145"/>
        <v>0</v>
      </c>
      <c r="DG150" s="73">
        <f t="shared" si="146"/>
        <v>0</v>
      </c>
      <c r="DH150" s="73">
        <f t="shared" si="147"/>
        <v>0</v>
      </c>
      <c r="DI150" s="73">
        <f t="shared" si="148"/>
        <v>0</v>
      </c>
      <c r="DJ150" s="73"/>
      <c r="DK150" s="73"/>
      <c r="DL150" s="73">
        <f t="shared" si="149"/>
        <v>0</v>
      </c>
      <c r="DM150" s="215">
        <f t="shared" si="150"/>
        <v>0</v>
      </c>
      <c r="DN150" s="73" t="e">
        <f>IF(#REF!="","",#REF!)</f>
        <v>#REF!</v>
      </c>
      <c r="DO150" s="73">
        <f t="shared" si="152"/>
        <v>0</v>
      </c>
      <c r="DP150" s="85" t="str">
        <f t="shared" si="153"/>
        <v>SPYGLASS</v>
      </c>
      <c r="EB150" s="70" t="str">
        <f t="shared" si="118"/>
        <v>KHALDA_WELL</v>
      </c>
      <c r="EC150" s="71">
        <f t="shared" si="106"/>
        <v>46298</v>
      </c>
      <c r="ED150" s="72" t="str">
        <f t="shared" si="119"/>
        <v>SPYGLASS-01</v>
      </c>
      <c r="EE150" s="73">
        <f t="shared" si="120"/>
        <v>24</v>
      </c>
      <c r="EF150" s="73">
        <f t="shared" si="121"/>
        <v>250</v>
      </c>
      <c r="EG150" s="73">
        <f t="shared" si="122"/>
        <v>12</v>
      </c>
      <c r="EH150" s="73" t="str">
        <f t="shared" si="123"/>
        <v>NF</v>
      </c>
      <c r="EI150" s="73"/>
      <c r="EJ150" s="72"/>
      <c r="EK150" s="72" t="str">
        <f t="shared" si="124"/>
        <v>Low Reservoir Pressure/Depleted</v>
      </c>
      <c r="EL150" s="73">
        <f t="shared" si="125"/>
        <v>0</v>
      </c>
      <c r="EM150" s="213">
        <f t="shared" si="126"/>
        <v>0</v>
      </c>
      <c r="EN150" s="73"/>
      <c r="EO150" s="73"/>
      <c r="EQ150" s="73">
        <f t="shared" si="127"/>
        <v>0</v>
      </c>
      <c r="ER150" s="73">
        <f t="shared" si="128"/>
        <v>0</v>
      </c>
      <c r="ES150" s="73">
        <f t="shared" si="129"/>
        <v>0</v>
      </c>
      <c r="ET150" s="73">
        <f t="shared" si="130"/>
        <v>0</v>
      </c>
      <c r="EU150" s="73"/>
      <c r="EV150" s="73"/>
      <c r="EX150" s="3">
        <f t="shared" si="131"/>
        <v>0</v>
      </c>
      <c r="EY150" s="73"/>
      <c r="EZ150" s="73">
        <f t="shared" si="132"/>
        <v>0</v>
      </c>
      <c r="FA150" s="73">
        <f t="shared" si="133"/>
        <v>0</v>
      </c>
      <c r="FB150" s="73">
        <f t="shared" si="134"/>
        <v>0</v>
      </c>
      <c r="FC150" s="73"/>
      <c r="FD150" s="73">
        <f t="shared" si="135"/>
        <v>0</v>
      </c>
    </row>
    <row r="151" spans="2:160" s="3" customFormat="1" ht="16.5" customHeight="1">
      <c r="B151" s="316" t="s">
        <v>1456</v>
      </c>
      <c r="C151" s="317" t="s">
        <v>272</v>
      </c>
      <c r="D151" s="317" t="s">
        <v>286</v>
      </c>
      <c r="E151" s="991">
        <v>24</v>
      </c>
      <c r="F151" s="951">
        <f>IF(E151=0,0,((AI151*(1-(AJ151/100)))/24)*(24-HOURS))</f>
        <v>0</v>
      </c>
      <c r="G151" s="48"/>
      <c r="H151" s="981"/>
      <c r="I151" s="48">
        <v>64</v>
      </c>
      <c r="J151" s="48">
        <v>1930</v>
      </c>
      <c r="K151" s="48">
        <v>0</v>
      </c>
      <c r="L151" s="48">
        <v>0</v>
      </c>
      <c r="M151" s="22"/>
      <c r="N151" s="140"/>
      <c r="O151" s="748"/>
      <c r="P151" s="48"/>
      <c r="Q151" s="48"/>
      <c r="R151" s="48"/>
      <c r="S151" s="886"/>
      <c r="T151" s="886"/>
      <c r="U151" s="886"/>
      <c r="V151" s="140"/>
      <c r="W151" s="140"/>
      <c r="X151" s="48"/>
      <c r="Y151" s="140"/>
      <c r="Z151" s="748"/>
      <c r="AA151" s="48"/>
      <c r="AB151" s="48"/>
      <c r="AC151" s="48"/>
      <c r="AD151" s="886"/>
      <c r="AE151" s="886"/>
      <c r="AF151" s="532">
        <f t="shared" si="104"/>
        <v>0.39200000000000002</v>
      </c>
      <c r="AG151" s="531">
        <f t="shared" si="105"/>
        <v>108.47799999999998</v>
      </c>
      <c r="AH151" s="304">
        <v>46298</v>
      </c>
      <c r="AI151" s="13">
        <v>146</v>
      </c>
      <c r="AJ151" s="15">
        <v>25.7</v>
      </c>
      <c r="AK151" s="15">
        <v>0.39200000000000002</v>
      </c>
      <c r="AL151" s="13">
        <v>53000</v>
      </c>
      <c r="AM151" s="93">
        <f t="shared" si="0"/>
        <v>108.47799999999999</v>
      </c>
      <c r="AN151" s="148"/>
      <c r="AO151" s="213"/>
      <c r="CJ151" s="921">
        <f t="shared" si="62"/>
        <v>37.521999999999998</v>
      </c>
      <c r="CT151" s="35"/>
      <c r="CU151" s="70" t="s">
        <v>2181</v>
      </c>
      <c r="CV151" s="71">
        <f t="shared" si="1"/>
        <v>46298</v>
      </c>
      <c r="CW151" s="72" t="str">
        <f t="shared" si="137"/>
        <v>9SPYGLASS-02</v>
      </c>
      <c r="CX151" s="73">
        <f t="shared" si="138"/>
        <v>64</v>
      </c>
      <c r="CY151" s="73">
        <f t="shared" si="139"/>
        <v>1930</v>
      </c>
      <c r="CZ151" s="73">
        <f t="shared" si="140"/>
        <v>24</v>
      </c>
      <c r="DA151" s="73" t="str">
        <f t="shared" si="141"/>
        <v>NF</v>
      </c>
      <c r="DB151" s="73"/>
      <c r="DC151" s="368">
        <f t="shared" si="142"/>
        <v>0</v>
      </c>
      <c r="DD151" s="73">
        <f t="shared" si="143"/>
        <v>0</v>
      </c>
      <c r="DE151" s="73">
        <f t="shared" si="144"/>
        <v>0</v>
      </c>
      <c r="DF151" s="73">
        <f t="shared" si="145"/>
        <v>0</v>
      </c>
      <c r="DG151" s="73">
        <f t="shared" si="146"/>
        <v>0</v>
      </c>
      <c r="DH151" s="73">
        <f t="shared" si="147"/>
        <v>0</v>
      </c>
      <c r="DI151" s="73">
        <f t="shared" si="148"/>
        <v>0</v>
      </c>
      <c r="DJ151" s="73"/>
      <c r="DK151" s="73"/>
      <c r="DL151" s="73">
        <f t="shared" si="149"/>
        <v>0</v>
      </c>
      <c r="DM151" s="215">
        <f t="shared" si="150"/>
        <v>108.47799999999998</v>
      </c>
      <c r="DN151" s="73" t="str">
        <f t="shared" ref="DN151:DN159" si="154">IF(G151="","",G151)</f>
        <v/>
      </c>
      <c r="DO151" s="73">
        <f t="shared" si="152"/>
        <v>108.47799999999998</v>
      </c>
      <c r="DP151" s="85" t="str">
        <f t="shared" si="153"/>
        <v>SPYGLASS</v>
      </c>
      <c r="EB151" s="70" t="str">
        <f t="shared" si="118"/>
        <v>KHALDA_WELL</v>
      </c>
      <c r="EC151" s="71">
        <f t="shared" si="106"/>
        <v>46298</v>
      </c>
      <c r="ED151" s="72" t="str">
        <f t="shared" si="119"/>
        <v>SPYGLASS-02</v>
      </c>
      <c r="EE151" s="73">
        <f t="shared" si="120"/>
        <v>64</v>
      </c>
      <c r="EF151" s="73">
        <f t="shared" si="121"/>
        <v>1930</v>
      </c>
      <c r="EG151" s="73">
        <f t="shared" si="122"/>
        <v>24</v>
      </c>
      <c r="EH151" s="73" t="str">
        <f t="shared" si="123"/>
        <v>NF</v>
      </c>
      <c r="EI151" s="73"/>
      <c r="EJ151" s="72"/>
      <c r="EK151" s="72" t="str">
        <f t="shared" si="124"/>
        <v/>
      </c>
      <c r="EL151" s="73">
        <f t="shared" si="125"/>
        <v>25.7</v>
      </c>
      <c r="EM151" s="213">
        <f t="shared" si="126"/>
        <v>0</v>
      </c>
      <c r="EN151" s="73"/>
      <c r="EO151" s="73"/>
      <c r="EQ151" s="73">
        <f t="shared" si="127"/>
        <v>0</v>
      </c>
      <c r="ER151" s="73">
        <f t="shared" si="128"/>
        <v>0</v>
      </c>
      <c r="ES151" s="73">
        <f t="shared" si="129"/>
        <v>0</v>
      </c>
      <c r="ET151" s="73">
        <f t="shared" si="130"/>
        <v>0</v>
      </c>
      <c r="EU151" s="73"/>
      <c r="EV151" s="73"/>
      <c r="EX151" s="3">
        <f t="shared" si="131"/>
        <v>0</v>
      </c>
      <c r="EY151" s="73"/>
      <c r="EZ151" s="73">
        <f t="shared" si="132"/>
        <v>0</v>
      </c>
      <c r="FA151" s="73">
        <f t="shared" si="133"/>
        <v>0</v>
      </c>
      <c r="FB151" s="73">
        <f t="shared" si="134"/>
        <v>0</v>
      </c>
      <c r="FC151" s="73"/>
      <c r="FD151" s="73">
        <f t="shared" si="135"/>
        <v>0</v>
      </c>
    </row>
    <row r="152" spans="2:160" s="3" customFormat="1" ht="16.5" customHeight="1">
      <c r="B152" s="316" t="s">
        <v>2251</v>
      </c>
      <c r="C152" s="317" t="s">
        <v>21</v>
      </c>
      <c r="D152" s="317" t="s">
        <v>18</v>
      </c>
      <c r="E152" s="991">
        <v>0</v>
      </c>
      <c r="F152" s="951">
        <f>IF(E152=0,0,((AI152*(1-(AJ152/100)))/24)*(24-HOURS))</f>
        <v>0</v>
      </c>
      <c r="G152" s="48"/>
      <c r="H152" s="981">
        <v>0</v>
      </c>
      <c r="I152" s="48" t="s">
        <v>2335</v>
      </c>
      <c r="J152" s="48">
        <v>540</v>
      </c>
      <c r="K152" s="48">
        <v>0</v>
      </c>
      <c r="L152" s="48">
        <v>0</v>
      </c>
      <c r="M152" s="22"/>
      <c r="N152" s="140"/>
      <c r="O152" s="748"/>
      <c r="P152" s="48"/>
      <c r="Q152" s="48"/>
      <c r="R152" s="48"/>
      <c r="S152" s="886"/>
      <c r="T152" s="886"/>
      <c r="U152" s="886"/>
      <c r="V152" s="140"/>
      <c r="W152" s="140"/>
      <c r="X152" s="48"/>
      <c r="Y152" s="140"/>
      <c r="Z152" s="748"/>
      <c r="AA152" s="48"/>
      <c r="AB152" s="48"/>
      <c r="AC152" s="48"/>
      <c r="AD152" s="886"/>
      <c r="AE152" s="886"/>
      <c r="AF152" s="532">
        <f t="shared" si="104"/>
        <v>0</v>
      </c>
      <c r="AG152" s="531">
        <f t="shared" si="105"/>
        <v>0</v>
      </c>
      <c r="AH152" s="304">
        <v>45841</v>
      </c>
      <c r="AI152" s="13">
        <v>0</v>
      </c>
      <c r="AJ152" s="15">
        <v>0</v>
      </c>
      <c r="AK152" s="15">
        <v>3.1999999999999917E-2</v>
      </c>
      <c r="AL152" s="13"/>
      <c r="AM152" s="93">
        <f t="shared" si="0"/>
        <v>0</v>
      </c>
      <c r="AN152" s="148"/>
      <c r="AO152" s="213"/>
      <c r="CJ152" s="921"/>
      <c r="CT152" s="35"/>
      <c r="CU152" s="70" t="s">
        <v>2182</v>
      </c>
      <c r="CV152" s="71">
        <f t="shared" si="1"/>
        <v>46298</v>
      </c>
      <c r="CW152" s="72" t="str">
        <f t="shared" si="137"/>
        <v>9SPYGLASS-W01</v>
      </c>
      <c r="CX152" s="73" t="str">
        <f t="shared" si="138"/>
        <v>NO P.CK</v>
      </c>
      <c r="CY152" s="73">
        <f t="shared" si="139"/>
        <v>540</v>
      </c>
      <c r="CZ152" s="73">
        <f t="shared" si="140"/>
        <v>0</v>
      </c>
      <c r="DA152" s="73" t="str">
        <f t="shared" si="141"/>
        <v>SI</v>
      </c>
      <c r="DB152" s="73"/>
      <c r="DC152" s="368">
        <f t="shared" si="142"/>
        <v>0</v>
      </c>
      <c r="DD152" s="73">
        <f t="shared" si="143"/>
        <v>0</v>
      </c>
      <c r="DE152" s="73">
        <f t="shared" si="144"/>
        <v>0</v>
      </c>
      <c r="DF152" s="73">
        <f t="shared" si="145"/>
        <v>0</v>
      </c>
      <c r="DG152" s="73">
        <f t="shared" si="146"/>
        <v>0</v>
      </c>
      <c r="DH152" s="73">
        <f t="shared" si="147"/>
        <v>0</v>
      </c>
      <c r="DI152" s="73">
        <f t="shared" si="148"/>
        <v>0</v>
      </c>
      <c r="DJ152" s="73"/>
      <c r="DK152" s="73"/>
      <c r="DL152" s="73">
        <f t="shared" si="149"/>
        <v>0</v>
      </c>
      <c r="DM152" s="215">
        <f t="shared" si="150"/>
        <v>0</v>
      </c>
      <c r="DN152" s="73" t="str">
        <f t="shared" si="154"/>
        <v/>
      </c>
      <c r="DO152" s="73">
        <f t="shared" si="152"/>
        <v>0</v>
      </c>
      <c r="DP152" s="85" t="str">
        <f t="shared" si="153"/>
        <v/>
      </c>
      <c r="EB152" s="70" t="str">
        <f t="shared" si="118"/>
        <v>KHALDA_WELL</v>
      </c>
      <c r="EC152" s="71">
        <f t="shared" si="106"/>
        <v>46298</v>
      </c>
      <c r="ED152" s="72" t="str">
        <f t="shared" si="119"/>
        <v>SPYGLASS-W01</v>
      </c>
      <c r="EE152" s="73" t="str">
        <f t="shared" si="120"/>
        <v>NO P.CK</v>
      </c>
      <c r="EF152" s="73">
        <f t="shared" si="121"/>
        <v>540</v>
      </c>
      <c r="EG152" s="73">
        <f t="shared" si="122"/>
        <v>0</v>
      </c>
      <c r="EH152" s="73" t="str">
        <f t="shared" si="123"/>
        <v>SI</v>
      </c>
      <c r="EI152" s="73"/>
      <c r="EJ152" s="72"/>
      <c r="EK152" s="72" t="str">
        <f t="shared" si="124"/>
        <v/>
      </c>
      <c r="EL152" s="73">
        <f t="shared" si="125"/>
        <v>0</v>
      </c>
      <c r="EM152" s="213">
        <f t="shared" si="126"/>
        <v>0</v>
      </c>
      <c r="EN152" s="73"/>
      <c r="EO152" s="73"/>
      <c r="EQ152" s="73">
        <f t="shared" si="127"/>
        <v>0</v>
      </c>
      <c r="ER152" s="73">
        <f t="shared" si="128"/>
        <v>0</v>
      </c>
      <c r="ES152" s="73">
        <f t="shared" si="129"/>
        <v>0</v>
      </c>
      <c r="ET152" s="73">
        <f t="shared" si="130"/>
        <v>0</v>
      </c>
      <c r="EU152" s="73"/>
      <c r="EV152" s="73"/>
      <c r="EX152" s="3">
        <f t="shared" si="131"/>
        <v>0</v>
      </c>
      <c r="EY152" s="73"/>
      <c r="EZ152" s="73">
        <f t="shared" si="132"/>
        <v>0</v>
      </c>
      <c r="FA152" s="73">
        <f t="shared" si="133"/>
        <v>0</v>
      </c>
      <c r="FB152" s="73">
        <f t="shared" si="134"/>
        <v>0</v>
      </c>
      <c r="FC152" s="73"/>
      <c r="FD152" s="73">
        <f t="shared" si="135"/>
        <v>0</v>
      </c>
    </row>
    <row r="153" spans="2:160" s="3" customFormat="1" ht="16.5" customHeight="1">
      <c r="B153" s="316" t="s">
        <v>2376</v>
      </c>
      <c r="C153" s="317" t="s">
        <v>1307</v>
      </c>
      <c r="D153" s="317" t="s">
        <v>2</v>
      </c>
      <c r="E153" s="991">
        <v>24</v>
      </c>
      <c r="F153" s="951">
        <f t="shared" ref="F153:F190" si="155">IF(E153=0,0,((AI153*(1-(AJ153/100)))/24)*(24-HOURS))</f>
        <v>0</v>
      </c>
      <c r="G153" s="48"/>
      <c r="H153" s="981"/>
      <c r="I153" s="48" t="s">
        <v>2335</v>
      </c>
      <c r="J153" s="48">
        <v>280</v>
      </c>
      <c r="K153" s="48">
        <v>280</v>
      </c>
      <c r="L153" s="48">
        <v>0</v>
      </c>
      <c r="M153" s="22"/>
      <c r="N153" s="140"/>
      <c r="O153" s="748">
        <v>46138</v>
      </c>
      <c r="P153" s="48">
        <v>2660</v>
      </c>
      <c r="Q153" s="48">
        <v>5760</v>
      </c>
      <c r="R153" s="48">
        <v>8465</v>
      </c>
      <c r="S153" s="886">
        <v>100</v>
      </c>
      <c r="T153" s="886">
        <v>346</v>
      </c>
      <c r="U153" s="886">
        <v>100</v>
      </c>
      <c r="V153" s="140"/>
      <c r="W153" s="140"/>
      <c r="X153" s="48">
        <v>168</v>
      </c>
      <c r="Y153" s="140">
        <v>6.2</v>
      </c>
      <c r="Z153" s="748">
        <v>43978</v>
      </c>
      <c r="AA153" s="48"/>
      <c r="AB153" s="48"/>
      <c r="AC153" s="48"/>
      <c r="AD153" s="886"/>
      <c r="AE153" s="886"/>
      <c r="AF153" s="532">
        <f t="shared" ref="AF153:AF161" si="156">AK153/24*E153</f>
        <v>0</v>
      </c>
      <c r="AG153" s="531">
        <f t="shared" ref="AG153:AG165" si="157">AM153/24*E153</f>
        <v>318.77999999999997</v>
      </c>
      <c r="AH153" s="304">
        <v>46266</v>
      </c>
      <c r="AI153" s="13">
        <v>322</v>
      </c>
      <c r="AJ153" s="15">
        <v>1</v>
      </c>
      <c r="AK153" s="15">
        <v>0</v>
      </c>
      <c r="AL153" s="13"/>
      <c r="AM153" s="93">
        <f t="shared" si="0"/>
        <v>318.77999999999997</v>
      </c>
      <c r="AN153" s="148"/>
      <c r="AO153" s="213"/>
      <c r="CJ153" s="921">
        <f t="shared" si="62"/>
        <v>3.22</v>
      </c>
      <c r="CT153" s="35"/>
      <c r="CU153" s="70" t="s">
        <v>2182</v>
      </c>
      <c r="CV153" s="71">
        <f t="shared" si="1"/>
        <v>46298</v>
      </c>
      <c r="CW153" s="72" t="str">
        <f t="shared" si="137"/>
        <v>9WD09-A-01</v>
      </c>
      <c r="CX153" s="73" t="str">
        <f t="shared" si="138"/>
        <v>NO P.CK</v>
      </c>
      <c r="CY153" s="73">
        <f t="shared" si="139"/>
        <v>280</v>
      </c>
      <c r="CZ153" s="73">
        <f t="shared" si="140"/>
        <v>24</v>
      </c>
      <c r="DA153" s="73" t="str">
        <f t="shared" si="141"/>
        <v>SRP</v>
      </c>
      <c r="DB153" s="73"/>
      <c r="DC153" s="368">
        <f t="shared" si="142"/>
        <v>0</v>
      </c>
      <c r="DD153" s="73">
        <f t="shared" si="143"/>
        <v>0</v>
      </c>
      <c r="DE153" s="73">
        <f t="shared" si="144"/>
        <v>0</v>
      </c>
      <c r="DF153" s="73">
        <f t="shared" si="145"/>
        <v>0</v>
      </c>
      <c r="DG153" s="73">
        <f t="shared" si="146"/>
        <v>168</v>
      </c>
      <c r="DH153" s="73">
        <f t="shared" si="147"/>
        <v>43978</v>
      </c>
      <c r="DI153" s="73">
        <f t="shared" si="148"/>
        <v>0</v>
      </c>
      <c r="DJ153" s="73"/>
      <c r="DK153" s="73"/>
      <c r="DL153" s="73">
        <f t="shared" si="149"/>
        <v>0</v>
      </c>
      <c r="DM153" s="215">
        <f t="shared" si="150"/>
        <v>318.77999999999997</v>
      </c>
      <c r="DN153" s="73" t="str">
        <f t="shared" si="154"/>
        <v/>
      </c>
      <c r="DO153" s="73">
        <f t="shared" si="152"/>
        <v>318.77999999999997</v>
      </c>
      <c r="DP153" s="85" t="str">
        <f t="shared" si="153"/>
        <v>WD09-A</v>
      </c>
      <c r="EB153" s="70" t="str">
        <f t="shared" si="118"/>
        <v>KHALDA_WELL</v>
      </c>
      <c r="EC153" s="71">
        <f t="shared" si="106"/>
        <v>46298</v>
      </c>
      <c r="ED153" s="72" t="str">
        <f t="shared" si="119"/>
        <v>WD09-A-01</v>
      </c>
      <c r="EE153" s="73" t="str">
        <f t="shared" si="120"/>
        <v>NO P.CK</v>
      </c>
      <c r="EF153" s="73">
        <f t="shared" si="121"/>
        <v>280</v>
      </c>
      <c r="EG153" s="73">
        <f t="shared" si="122"/>
        <v>24</v>
      </c>
      <c r="EH153" s="73" t="str">
        <f t="shared" si="123"/>
        <v>SRP</v>
      </c>
      <c r="EI153" s="73"/>
      <c r="EJ153" s="72"/>
      <c r="EK153" s="72" t="str">
        <f t="shared" si="124"/>
        <v/>
      </c>
      <c r="EL153" s="73">
        <f t="shared" si="125"/>
        <v>1</v>
      </c>
      <c r="EM153" s="213">
        <f t="shared" si="126"/>
        <v>0</v>
      </c>
      <c r="EN153" s="73"/>
      <c r="EO153" s="73"/>
      <c r="EQ153" s="73">
        <f t="shared" si="127"/>
        <v>6.2</v>
      </c>
      <c r="ER153" s="73">
        <f t="shared" si="128"/>
        <v>43978</v>
      </c>
      <c r="ES153" s="73">
        <f t="shared" si="129"/>
        <v>168</v>
      </c>
      <c r="ET153" s="73">
        <f t="shared" si="130"/>
        <v>0</v>
      </c>
      <c r="EU153" s="73"/>
      <c r="EV153" s="73"/>
      <c r="EX153" s="3">
        <f t="shared" si="131"/>
        <v>0</v>
      </c>
      <c r="EY153" s="73"/>
      <c r="EZ153" s="73">
        <f t="shared" si="132"/>
        <v>100</v>
      </c>
      <c r="FA153" s="73">
        <f t="shared" si="133"/>
        <v>346</v>
      </c>
      <c r="FB153" s="73">
        <f t="shared" si="134"/>
        <v>100</v>
      </c>
      <c r="FC153" s="73"/>
      <c r="FD153" s="73">
        <f t="shared" si="135"/>
        <v>0</v>
      </c>
    </row>
    <row r="154" spans="2:160" s="3" customFormat="1" ht="16.5" customHeight="1">
      <c r="B154" s="316" t="s">
        <v>2377</v>
      </c>
      <c r="C154" s="317" t="s">
        <v>1307</v>
      </c>
      <c r="D154" s="317" t="s">
        <v>18</v>
      </c>
      <c r="E154" s="991">
        <v>0</v>
      </c>
      <c r="F154" s="951">
        <f>IF(E154=0,0,((AI154*(1-(AJ154/100)))/24)*(24-HOURS))</f>
        <v>0</v>
      </c>
      <c r="G154" s="48"/>
      <c r="H154" s="981"/>
      <c r="I154" s="48" t="s">
        <v>2335</v>
      </c>
      <c r="J154" s="48">
        <v>0</v>
      </c>
      <c r="K154" s="48">
        <v>0</v>
      </c>
      <c r="L154" s="48">
        <v>0</v>
      </c>
      <c r="M154" s="22"/>
      <c r="N154" s="140"/>
      <c r="O154" s="748">
        <v>45542</v>
      </c>
      <c r="P154" s="48">
        <v>6910</v>
      </c>
      <c r="Q154" s="48">
        <v>4001</v>
      </c>
      <c r="R154" s="48">
        <v>10969</v>
      </c>
      <c r="S154" s="886"/>
      <c r="T154" s="886"/>
      <c r="U154" s="886"/>
      <c r="V154" s="140"/>
      <c r="W154" s="140"/>
      <c r="X154" s="48"/>
      <c r="Y154" s="140"/>
      <c r="Z154" s="748"/>
      <c r="AA154" s="48"/>
      <c r="AB154" s="941"/>
      <c r="AC154" s="941"/>
      <c r="AD154" s="886">
        <v>0</v>
      </c>
      <c r="AE154" s="886">
        <v>0</v>
      </c>
      <c r="AF154" s="532">
        <f>AK154/24*E154</f>
        <v>0</v>
      </c>
      <c r="AG154" s="531">
        <f>AM154/24*E154</f>
        <v>0</v>
      </c>
      <c r="AH154" s="304">
        <v>46171</v>
      </c>
      <c r="AI154" s="13">
        <v>166</v>
      </c>
      <c r="AJ154" s="15">
        <v>2</v>
      </c>
      <c r="AK154" s="15">
        <v>0</v>
      </c>
      <c r="AL154" s="13"/>
      <c r="AM154" s="93">
        <f>IF(BFPD=0,0,BFPD*(1-BSW/100))</f>
        <v>162.68</v>
      </c>
      <c r="AN154" s="945"/>
      <c r="AO154" s="213"/>
      <c r="CJ154" s="921"/>
      <c r="CT154" s="35"/>
      <c r="CU154" s="70" t="s">
        <v>2277</v>
      </c>
      <c r="CV154" s="71">
        <f t="shared" si="1"/>
        <v>46298</v>
      </c>
      <c r="CW154" s="72" t="str">
        <f t="shared" ref="CW154:CW159" si="158">$CT$3&amp;B154</f>
        <v>9WD09-A-02</v>
      </c>
      <c r="CX154" s="73" t="str">
        <f t="shared" ref="CX154:CY156" si="159">I154</f>
        <v>NO P.CK</v>
      </c>
      <c r="CY154" s="73">
        <f t="shared" si="159"/>
        <v>0</v>
      </c>
      <c r="CZ154" s="73">
        <f t="shared" ref="CZ154:CZ159" si="160">E154</f>
        <v>0</v>
      </c>
      <c r="DA154" s="73" t="str">
        <f t="shared" ref="DA154:DA159" si="161">IF(CZ154=0,"SI",D154)</f>
        <v>SI</v>
      </c>
      <c r="DB154" s="73"/>
      <c r="DC154" s="368">
        <f t="shared" ref="DC154:DC159" si="162">E154*((H154*1000)/24)</f>
        <v>0</v>
      </c>
      <c r="DD154" s="73">
        <f t="shared" ref="DD154:DD159" si="163">N154</f>
        <v>0</v>
      </c>
      <c r="DE154" s="73">
        <f t="shared" ref="DE154:DG155" si="164">V154</f>
        <v>0</v>
      </c>
      <c r="DF154" s="73">
        <f t="shared" si="164"/>
        <v>0</v>
      </c>
      <c r="DG154" s="73">
        <f t="shared" si="164"/>
        <v>0</v>
      </c>
      <c r="DH154" s="73">
        <f t="shared" ref="DH154:DH159" si="165">Z154</f>
        <v>0</v>
      </c>
      <c r="DI154" s="73">
        <f t="shared" ref="DI154:DI159" si="166">AD154</f>
        <v>0</v>
      </c>
      <c r="DJ154" s="73"/>
      <c r="DK154" s="73"/>
      <c r="DL154" s="73">
        <f t="shared" ref="DL154:DL159" si="167">AE154</f>
        <v>0</v>
      </c>
      <c r="DM154" s="215">
        <f t="shared" ref="DM154:DM159" si="168">AG154</f>
        <v>0</v>
      </c>
      <c r="DN154" s="73" t="str">
        <f>IF(G154="","",G154)</f>
        <v/>
      </c>
      <c r="DO154" s="73">
        <f t="shared" ref="DO154:DO174" si="169">AM154/24*HOURS</f>
        <v>0</v>
      </c>
      <c r="DP154" s="85" t="str">
        <f>IF(OR(D154="SI",B154="",D154="T&amp;A"),"",VLOOKUP(B154,WELL_FIELD,2))</f>
        <v/>
      </c>
      <c r="EB154" s="70" t="str">
        <f t="shared" ref="EB154:EB159" si="170">IF(B154="","","KHALDA_WELL")</f>
        <v>KHALDA_WELL</v>
      </c>
      <c r="EC154" s="71">
        <f t="shared" si="106"/>
        <v>46298</v>
      </c>
      <c r="ED154" s="72" t="str">
        <f t="shared" ref="ED154:ED159" si="171">B154</f>
        <v>WD09-A-02</v>
      </c>
      <c r="EE154" s="73" t="str">
        <f t="shared" ref="EE154:EF159" si="172">I154</f>
        <v>NO P.CK</v>
      </c>
      <c r="EF154" s="73">
        <f t="shared" si="172"/>
        <v>0</v>
      </c>
      <c r="EG154" s="73">
        <f t="shared" ref="EG154:EG159" si="173">E154</f>
        <v>0</v>
      </c>
      <c r="EH154" s="73" t="str">
        <f t="shared" ref="EH154:EH159" si="174">IF(CZ154=0,"SI",D154)</f>
        <v>SI</v>
      </c>
      <c r="EI154" s="73"/>
      <c r="EJ154" s="72"/>
      <c r="EK154" s="72" t="str">
        <f t="shared" ref="EK154:EK159" si="175">IF(G154="","",G154)</f>
        <v/>
      </c>
      <c r="EL154" s="73">
        <f t="shared" ref="EL154:EL159" si="176">AJ154</f>
        <v>2</v>
      </c>
      <c r="EM154" s="213">
        <f t="shared" ref="EM154:EM159" si="177">W154</f>
        <v>0</v>
      </c>
      <c r="EN154" s="73"/>
      <c r="EO154" s="73"/>
      <c r="EQ154" s="73">
        <f t="shared" ref="EQ154:ER159" si="178">Y154</f>
        <v>0</v>
      </c>
      <c r="ER154" s="73">
        <f t="shared" si="178"/>
        <v>0</v>
      </c>
      <c r="ES154" s="73">
        <f t="shared" ref="ES154:ES159" si="179">X154</f>
        <v>0</v>
      </c>
      <c r="ET154" s="73">
        <f t="shared" ref="ET154:ET159" si="180">AD154</f>
        <v>0</v>
      </c>
      <c r="EU154" s="73"/>
      <c r="EV154" s="73"/>
      <c r="EX154" s="3">
        <f t="shared" ref="EX154:EX159" si="181">AE154</f>
        <v>0</v>
      </c>
      <c r="EY154" s="73"/>
      <c r="EZ154" s="73">
        <f t="shared" ref="EZ154:FB155" si="182">S154</f>
        <v>0</v>
      </c>
      <c r="FA154" s="73">
        <f t="shared" si="182"/>
        <v>0</v>
      </c>
      <c r="FB154" s="73">
        <f t="shared" si="182"/>
        <v>0</v>
      </c>
      <c r="FC154" s="73"/>
      <c r="FD154" s="73">
        <f t="shared" ref="FD154:FD159" si="183">AN154</f>
        <v>0</v>
      </c>
    </row>
    <row r="155" spans="2:160" s="3" customFormat="1" ht="16.5" customHeight="1">
      <c r="B155" s="316" t="s">
        <v>2378</v>
      </c>
      <c r="C155" s="317" t="s">
        <v>1305</v>
      </c>
      <c r="D155" s="317" t="s">
        <v>286</v>
      </c>
      <c r="E155" s="991">
        <v>24</v>
      </c>
      <c r="F155" s="951">
        <f>IF(E155=0,0,((AI155*(1-(AJ155/100)))/24)*(24-HOURS))</f>
        <v>0</v>
      </c>
      <c r="G155" s="48"/>
      <c r="H155" s="981"/>
      <c r="I155" s="48">
        <v>46</v>
      </c>
      <c r="J155" s="48">
        <v>350</v>
      </c>
      <c r="K155" s="48">
        <v>200</v>
      </c>
      <c r="L155" s="48">
        <v>0</v>
      </c>
      <c r="M155" s="22"/>
      <c r="N155" s="140"/>
      <c r="O155" s="748"/>
      <c r="P155" s="48"/>
      <c r="Q155" s="48"/>
      <c r="R155" s="48"/>
      <c r="S155" s="886"/>
      <c r="T155" s="886"/>
      <c r="U155" s="886"/>
      <c r="V155" s="140"/>
      <c r="W155" s="140"/>
      <c r="X155" s="48"/>
      <c r="Y155" s="140"/>
      <c r="Z155" s="748"/>
      <c r="AA155" s="48"/>
      <c r="AB155" s="941"/>
      <c r="AC155" s="941"/>
      <c r="AD155" s="886"/>
      <c r="AE155" s="886"/>
      <c r="AF155" s="532">
        <f>AK155/24*E155</f>
        <v>0.7429081989030043</v>
      </c>
      <c r="AG155" s="531">
        <f>AM155/24*E155</f>
        <v>1234.7811080077506</v>
      </c>
      <c r="AH155" s="304">
        <v>46129</v>
      </c>
      <c r="AI155" s="13">
        <v>1247.2536444522734</v>
      </c>
      <c r="AJ155" s="15">
        <v>1</v>
      </c>
      <c r="AK155" s="15">
        <v>0.7429081989030043</v>
      </c>
      <c r="AL155" s="13"/>
      <c r="AM155" s="93">
        <f>IF(BFPD=0,0,BFPD*(1-BSW/100))</f>
        <v>1234.7811080077506</v>
      </c>
      <c r="AN155" s="945"/>
      <c r="AO155" s="213"/>
      <c r="CJ155" s="921"/>
      <c r="CT155" s="35"/>
      <c r="CU155" s="70" t="s">
        <v>2183</v>
      </c>
      <c r="CV155" s="71">
        <f t="shared" si="1"/>
        <v>46298</v>
      </c>
      <c r="CW155" s="72" t="str">
        <f t="shared" si="158"/>
        <v>9WD09-A-03</v>
      </c>
      <c r="CX155" s="73">
        <f t="shared" si="159"/>
        <v>46</v>
      </c>
      <c r="CY155" s="73">
        <f t="shared" si="159"/>
        <v>350</v>
      </c>
      <c r="CZ155" s="73">
        <f t="shared" si="160"/>
        <v>24</v>
      </c>
      <c r="DA155" s="73" t="str">
        <f t="shared" si="161"/>
        <v>NF</v>
      </c>
      <c r="DB155" s="73"/>
      <c r="DC155" s="368">
        <f t="shared" si="162"/>
        <v>0</v>
      </c>
      <c r="DD155" s="73">
        <f t="shared" si="163"/>
        <v>0</v>
      </c>
      <c r="DE155" s="73">
        <f t="shared" si="164"/>
        <v>0</v>
      </c>
      <c r="DF155" s="73">
        <f t="shared" si="164"/>
        <v>0</v>
      </c>
      <c r="DG155" s="73">
        <f t="shared" si="164"/>
        <v>0</v>
      </c>
      <c r="DH155" s="73">
        <f t="shared" si="165"/>
        <v>0</v>
      </c>
      <c r="DI155" s="73">
        <f t="shared" si="166"/>
        <v>0</v>
      </c>
      <c r="DJ155" s="73"/>
      <c r="DK155" s="73"/>
      <c r="DL155" s="73">
        <f t="shared" si="167"/>
        <v>0</v>
      </c>
      <c r="DM155" s="215">
        <f t="shared" si="168"/>
        <v>1234.7811080077506</v>
      </c>
      <c r="DN155" s="73" t="str">
        <f>IF(G155="","",G155)</f>
        <v/>
      </c>
      <c r="DO155" s="73">
        <f t="shared" si="169"/>
        <v>1234.7811080077506</v>
      </c>
      <c r="DP155" s="85" t="str">
        <f>IF(OR(D155="SI",B155="",D155="T&amp;A"),"",VLOOKUP(B155,WELL_FIELD,2))</f>
        <v>WD09-A</v>
      </c>
      <c r="EB155" s="70" t="str">
        <f t="shared" si="170"/>
        <v>KHALDA_WELL</v>
      </c>
      <c r="EC155" s="71">
        <f t="shared" si="106"/>
        <v>46298</v>
      </c>
      <c r="ED155" s="72" t="str">
        <f t="shared" si="171"/>
        <v>WD09-A-03</v>
      </c>
      <c r="EE155" s="73">
        <f t="shared" si="172"/>
        <v>46</v>
      </c>
      <c r="EF155" s="73">
        <f t="shared" si="172"/>
        <v>350</v>
      </c>
      <c r="EG155" s="73">
        <f t="shared" si="173"/>
        <v>24</v>
      </c>
      <c r="EH155" s="73" t="str">
        <f t="shared" si="174"/>
        <v>NF</v>
      </c>
      <c r="EI155" s="73"/>
      <c r="EJ155" s="72"/>
      <c r="EK155" s="72" t="str">
        <f t="shared" si="175"/>
        <v/>
      </c>
      <c r="EL155" s="73">
        <f t="shared" si="176"/>
        <v>1</v>
      </c>
      <c r="EM155" s="213">
        <f t="shared" si="177"/>
        <v>0</v>
      </c>
      <c r="EN155" s="73"/>
      <c r="EO155" s="73"/>
      <c r="EQ155" s="73">
        <f t="shared" si="178"/>
        <v>0</v>
      </c>
      <c r="ER155" s="73">
        <f t="shared" si="178"/>
        <v>0</v>
      </c>
      <c r="ES155" s="73">
        <f t="shared" si="179"/>
        <v>0</v>
      </c>
      <c r="ET155" s="73">
        <f t="shared" si="180"/>
        <v>0</v>
      </c>
      <c r="EU155" s="73"/>
      <c r="EV155" s="73"/>
      <c r="EX155" s="3">
        <f t="shared" si="181"/>
        <v>0</v>
      </c>
      <c r="EY155" s="73"/>
      <c r="EZ155" s="73">
        <f t="shared" si="182"/>
        <v>0</v>
      </c>
      <c r="FA155" s="73">
        <f t="shared" si="182"/>
        <v>0</v>
      </c>
      <c r="FB155" s="73">
        <f t="shared" si="182"/>
        <v>0</v>
      </c>
      <c r="FC155" s="73"/>
      <c r="FD155" s="73">
        <f t="shared" si="183"/>
        <v>0</v>
      </c>
    </row>
    <row r="156" spans="2:160" s="3" customFormat="1" ht="16.5" customHeight="1">
      <c r="B156" s="316" t="s">
        <v>2380</v>
      </c>
      <c r="C156" s="317" t="s">
        <v>272</v>
      </c>
      <c r="D156" s="317" t="s">
        <v>1301</v>
      </c>
      <c r="E156" s="991">
        <v>24</v>
      </c>
      <c r="F156" s="951">
        <f t="shared" si="155"/>
        <v>0</v>
      </c>
      <c r="G156" s="48"/>
      <c r="H156" s="981">
        <v>1</v>
      </c>
      <c r="I156" s="48"/>
      <c r="J156" s="48">
        <v>260</v>
      </c>
      <c r="K156" s="48">
        <v>260</v>
      </c>
      <c r="L156" s="48">
        <v>560</v>
      </c>
      <c r="M156" s="22"/>
      <c r="N156" s="140"/>
      <c r="O156" s="748"/>
      <c r="P156" s="48"/>
      <c r="Q156" s="48"/>
      <c r="R156" s="48"/>
      <c r="S156" s="886"/>
      <c r="T156" s="886"/>
      <c r="U156" s="886"/>
      <c r="V156" s="140"/>
      <c r="W156" s="140"/>
      <c r="X156" s="48"/>
      <c r="Y156" s="140"/>
      <c r="Z156" s="748"/>
      <c r="AA156" s="48"/>
      <c r="AB156" s="941"/>
      <c r="AC156" s="941"/>
      <c r="AD156" s="886"/>
      <c r="AE156" s="886"/>
      <c r="AF156" s="532">
        <f t="shared" si="156"/>
        <v>0.14700000000000002</v>
      </c>
      <c r="AG156" s="531">
        <f t="shared" si="157"/>
        <v>35.747999999999998</v>
      </c>
      <c r="AH156" s="304">
        <v>46281</v>
      </c>
      <c r="AI156" s="13">
        <v>36</v>
      </c>
      <c r="AJ156" s="15">
        <v>0.7</v>
      </c>
      <c r="AK156" s="15">
        <v>0.14700000000000002</v>
      </c>
      <c r="AL156" s="13"/>
      <c r="AM156" s="93">
        <f t="shared" si="0"/>
        <v>35.747999999999998</v>
      </c>
      <c r="AN156" s="148"/>
      <c r="AO156" s="213"/>
      <c r="CJ156" s="921"/>
      <c r="CT156" s="35"/>
      <c r="CU156" s="70" t="s">
        <v>2277</v>
      </c>
      <c r="CV156" s="71">
        <f t="shared" si="1"/>
        <v>46298</v>
      </c>
      <c r="CW156" s="72" t="str">
        <f t="shared" si="158"/>
        <v>9WD09-B-01</v>
      </c>
      <c r="CX156" s="73">
        <f t="shared" si="159"/>
        <v>0</v>
      </c>
      <c r="CY156" s="73">
        <f t="shared" si="159"/>
        <v>260</v>
      </c>
      <c r="CZ156" s="73">
        <f t="shared" si="160"/>
        <v>24</v>
      </c>
      <c r="DA156" s="73" t="str">
        <f t="shared" si="161"/>
        <v>G/L</v>
      </c>
      <c r="DB156" s="73"/>
      <c r="DC156" s="368">
        <f t="shared" si="162"/>
        <v>1000</v>
      </c>
      <c r="DD156" s="73">
        <f t="shared" si="163"/>
        <v>0</v>
      </c>
      <c r="DE156" s="73">
        <f t="shared" ref="DE156:DG157" si="184">V156</f>
        <v>0</v>
      </c>
      <c r="DF156" s="73">
        <f t="shared" si="184"/>
        <v>0</v>
      </c>
      <c r="DG156" s="73">
        <f t="shared" si="184"/>
        <v>0</v>
      </c>
      <c r="DH156" s="73">
        <f t="shared" si="165"/>
        <v>0</v>
      </c>
      <c r="DI156" s="73">
        <f t="shared" si="166"/>
        <v>0</v>
      </c>
      <c r="DJ156" s="73"/>
      <c r="DK156" s="73"/>
      <c r="DL156" s="73">
        <f t="shared" si="167"/>
        <v>0</v>
      </c>
      <c r="DM156" s="215">
        <f t="shared" si="168"/>
        <v>35.747999999999998</v>
      </c>
      <c r="DN156" s="73" t="str">
        <f t="shared" si="154"/>
        <v/>
      </c>
      <c r="DO156" s="73">
        <f t="shared" si="169"/>
        <v>35.747999999999998</v>
      </c>
      <c r="DP156" s="85" t="str">
        <f t="shared" si="153"/>
        <v>WD09-B</v>
      </c>
      <c r="EB156" s="70" t="str">
        <f t="shared" si="170"/>
        <v>KHALDA_WELL</v>
      </c>
      <c r="EC156" s="71">
        <f t="shared" si="106"/>
        <v>46298</v>
      </c>
      <c r="ED156" s="72" t="str">
        <f t="shared" si="171"/>
        <v>WD09-B-01</v>
      </c>
      <c r="EE156" s="73">
        <f t="shared" si="172"/>
        <v>0</v>
      </c>
      <c r="EF156" s="73">
        <f t="shared" si="172"/>
        <v>260</v>
      </c>
      <c r="EG156" s="73">
        <f t="shared" si="173"/>
        <v>24</v>
      </c>
      <c r="EH156" s="73" t="str">
        <f t="shared" si="174"/>
        <v>G/L</v>
      </c>
      <c r="EI156" s="73"/>
      <c r="EJ156" s="72"/>
      <c r="EK156" s="72" t="str">
        <f t="shared" si="175"/>
        <v/>
      </c>
      <c r="EL156" s="73">
        <f t="shared" si="176"/>
        <v>0.7</v>
      </c>
      <c r="EM156" s="213">
        <f t="shared" si="177"/>
        <v>0</v>
      </c>
      <c r="EN156" s="73"/>
      <c r="EO156" s="73"/>
      <c r="EQ156" s="73">
        <f t="shared" si="178"/>
        <v>0</v>
      </c>
      <c r="ER156" s="73">
        <f t="shared" si="178"/>
        <v>0</v>
      </c>
      <c r="ES156" s="73">
        <f t="shared" si="179"/>
        <v>0</v>
      </c>
      <c r="ET156" s="73">
        <f t="shared" si="180"/>
        <v>0</v>
      </c>
      <c r="EU156" s="73"/>
      <c r="EV156" s="73"/>
      <c r="EX156" s="3">
        <f t="shared" si="181"/>
        <v>0</v>
      </c>
      <c r="EY156" s="73"/>
      <c r="EZ156" s="73">
        <f t="shared" ref="EZ156:FB159" si="185">S156</f>
        <v>0</v>
      </c>
      <c r="FA156" s="73">
        <f t="shared" si="185"/>
        <v>0</v>
      </c>
      <c r="FB156" s="73">
        <f t="shared" si="185"/>
        <v>0</v>
      </c>
      <c r="FC156" s="73"/>
      <c r="FD156" s="73">
        <f t="shared" si="183"/>
        <v>0</v>
      </c>
    </row>
    <row r="157" spans="2:160" s="3" customFormat="1" ht="16.5" customHeight="1">
      <c r="B157" s="316" t="s">
        <v>2685</v>
      </c>
      <c r="C157" s="317" t="s">
        <v>1305</v>
      </c>
      <c r="D157" s="317" t="s">
        <v>1301</v>
      </c>
      <c r="E157" s="991">
        <v>24</v>
      </c>
      <c r="F157" s="951">
        <f t="shared" si="155"/>
        <v>0</v>
      </c>
      <c r="G157" s="48"/>
      <c r="H157" s="981">
        <v>1.8</v>
      </c>
      <c r="I157" s="48"/>
      <c r="J157" s="48">
        <v>280</v>
      </c>
      <c r="K157" s="48">
        <v>280</v>
      </c>
      <c r="L157" s="48">
        <v>788</v>
      </c>
      <c r="M157" s="22"/>
      <c r="N157" s="140"/>
      <c r="O157" s="748"/>
      <c r="P157" s="48"/>
      <c r="Q157" s="48"/>
      <c r="R157" s="48"/>
      <c r="S157" s="886"/>
      <c r="T157" s="886"/>
      <c r="U157" s="886"/>
      <c r="V157" s="140"/>
      <c r="W157" s="140"/>
      <c r="X157" s="48"/>
      <c r="Y157" s="140"/>
      <c r="Z157" s="748"/>
      <c r="AA157" s="48"/>
      <c r="AB157" s="941"/>
      <c r="AC157" s="941"/>
      <c r="AD157" s="886"/>
      <c r="AE157" s="886"/>
      <c r="AF157" s="532">
        <f>AK157/24*E157</f>
        <v>0.70099999999999985</v>
      </c>
      <c r="AG157" s="531">
        <f>AM157/24*E157</f>
        <v>653.4</v>
      </c>
      <c r="AH157" s="304">
        <v>46297</v>
      </c>
      <c r="AI157" s="13">
        <v>660</v>
      </c>
      <c r="AJ157" s="15">
        <v>1</v>
      </c>
      <c r="AK157" s="15">
        <v>0.70099999999999985</v>
      </c>
      <c r="AL157" s="13"/>
      <c r="AM157" s="93">
        <f t="shared" si="0"/>
        <v>653.4</v>
      </c>
      <c r="AN157" s="148"/>
      <c r="AO157" s="213"/>
      <c r="CJ157" s="921"/>
      <c r="CT157" s="35"/>
      <c r="CU157" s="70" t="s">
        <v>2183</v>
      </c>
      <c r="CV157" s="71">
        <f t="shared" si="1"/>
        <v>46298</v>
      </c>
      <c r="CW157" s="72" t="str">
        <f t="shared" si="158"/>
        <v>9WD09-B-02</v>
      </c>
      <c r="CX157" s="73">
        <f t="shared" ref="CX157:CY159" si="186">I157</f>
        <v>0</v>
      </c>
      <c r="CY157" s="73">
        <f t="shared" si="186"/>
        <v>280</v>
      </c>
      <c r="CZ157" s="73">
        <f t="shared" si="160"/>
        <v>24</v>
      </c>
      <c r="DA157" s="73" t="str">
        <f t="shared" si="161"/>
        <v>G/L</v>
      </c>
      <c r="DB157" s="73"/>
      <c r="DC157" s="368">
        <f t="shared" si="162"/>
        <v>1800</v>
      </c>
      <c r="DD157" s="73">
        <f t="shared" si="163"/>
        <v>0</v>
      </c>
      <c r="DE157" s="73">
        <f t="shared" si="184"/>
        <v>0</v>
      </c>
      <c r="DF157" s="73">
        <f t="shared" si="184"/>
        <v>0</v>
      </c>
      <c r="DG157" s="73">
        <f t="shared" si="184"/>
        <v>0</v>
      </c>
      <c r="DH157" s="73">
        <f t="shared" si="165"/>
        <v>0</v>
      </c>
      <c r="DI157" s="73">
        <f t="shared" si="166"/>
        <v>0</v>
      </c>
      <c r="DJ157" s="73"/>
      <c r="DK157" s="73"/>
      <c r="DL157" s="73">
        <f t="shared" si="167"/>
        <v>0</v>
      </c>
      <c r="DM157" s="215">
        <f t="shared" si="168"/>
        <v>653.4</v>
      </c>
      <c r="DN157" s="73" t="str">
        <f>IF(G157="","",G157)</f>
        <v/>
      </c>
      <c r="DO157" s="73">
        <f t="shared" si="169"/>
        <v>653.4</v>
      </c>
      <c r="DP157" s="85" t="str">
        <f>IF(OR(D157="SI",B157="",D157="T&amp;A"),"",VLOOKUP(B157,WELL_FIELD,2))</f>
        <v>WD09-B</v>
      </c>
      <c r="EB157" s="70" t="str">
        <f t="shared" si="170"/>
        <v>KHALDA_WELL</v>
      </c>
      <c r="EC157" s="71">
        <f t="shared" si="106"/>
        <v>46298</v>
      </c>
      <c r="ED157" s="72" t="str">
        <f t="shared" si="171"/>
        <v>WD09-B-02</v>
      </c>
      <c r="EE157" s="73">
        <f t="shared" si="172"/>
        <v>0</v>
      </c>
      <c r="EF157" s="73">
        <f t="shared" si="172"/>
        <v>280</v>
      </c>
      <c r="EG157" s="73">
        <f t="shared" si="173"/>
        <v>24</v>
      </c>
      <c r="EH157" s="73" t="str">
        <f t="shared" si="174"/>
        <v>G/L</v>
      </c>
      <c r="EI157" s="73"/>
      <c r="EJ157" s="72"/>
      <c r="EK157" s="72" t="str">
        <f t="shared" si="175"/>
        <v/>
      </c>
      <c r="EL157" s="73">
        <f t="shared" si="176"/>
        <v>1</v>
      </c>
      <c r="EM157" s="213">
        <f t="shared" si="177"/>
        <v>0</v>
      </c>
      <c r="EN157" s="73"/>
      <c r="EO157" s="73"/>
      <c r="EQ157" s="73">
        <f t="shared" si="178"/>
        <v>0</v>
      </c>
      <c r="ER157" s="73">
        <f t="shared" si="178"/>
        <v>0</v>
      </c>
      <c r="ES157" s="73">
        <f t="shared" si="179"/>
        <v>0</v>
      </c>
      <c r="ET157" s="73">
        <f t="shared" si="180"/>
        <v>0</v>
      </c>
      <c r="EU157" s="73"/>
      <c r="EV157" s="73"/>
      <c r="EX157" s="3">
        <f t="shared" si="181"/>
        <v>0</v>
      </c>
      <c r="EY157" s="73"/>
      <c r="EZ157" s="73">
        <f t="shared" si="185"/>
        <v>0</v>
      </c>
      <c r="FA157" s="73">
        <f t="shared" si="185"/>
        <v>0</v>
      </c>
      <c r="FB157" s="73">
        <f t="shared" si="185"/>
        <v>0</v>
      </c>
      <c r="FC157" s="73"/>
      <c r="FD157" s="73">
        <f t="shared" si="183"/>
        <v>0</v>
      </c>
    </row>
    <row r="158" spans="2:160" s="3" customFormat="1" ht="16.5" customHeight="1">
      <c r="B158" s="316" t="s">
        <v>2634</v>
      </c>
      <c r="C158" s="317" t="s">
        <v>1305</v>
      </c>
      <c r="D158" s="317" t="s">
        <v>1301</v>
      </c>
      <c r="E158" s="991">
        <v>24</v>
      </c>
      <c r="F158" s="951">
        <f t="shared" si="155"/>
        <v>0</v>
      </c>
      <c r="G158" s="48"/>
      <c r="H158" s="981">
        <v>1.83</v>
      </c>
      <c r="I158" s="48">
        <v>46</v>
      </c>
      <c r="J158" s="48">
        <v>270</v>
      </c>
      <c r="K158" s="48">
        <v>270</v>
      </c>
      <c r="L158" s="48">
        <v>696</v>
      </c>
      <c r="M158" s="22"/>
      <c r="N158" s="140"/>
      <c r="O158" s="748"/>
      <c r="P158" s="48"/>
      <c r="Q158" s="48"/>
      <c r="R158" s="48"/>
      <c r="S158" s="886"/>
      <c r="T158" s="886"/>
      <c r="U158" s="886"/>
      <c r="V158" s="140"/>
      <c r="W158" s="140"/>
      <c r="X158" s="48"/>
      <c r="Y158" s="140"/>
      <c r="Z158" s="748"/>
      <c r="AA158" s="48"/>
      <c r="AB158" s="941"/>
      <c r="AC158" s="941"/>
      <c r="AD158" s="886"/>
      <c r="AE158" s="886"/>
      <c r="AF158" s="532">
        <f t="shared" si="156"/>
        <v>0.17799999999999999</v>
      </c>
      <c r="AG158" s="531">
        <f t="shared" si="157"/>
        <v>357.39</v>
      </c>
      <c r="AH158" s="304">
        <v>46287</v>
      </c>
      <c r="AI158" s="13">
        <v>361</v>
      </c>
      <c r="AJ158" s="15">
        <v>1</v>
      </c>
      <c r="AK158" s="15">
        <v>0.17799999999999999</v>
      </c>
      <c r="AL158" s="13"/>
      <c r="AM158" s="93">
        <f t="shared" si="0"/>
        <v>357.39</v>
      </c>
      <c r="AN158" s="148"/>
      <c r="AO158" s="213"/>
      <c r="CJ158" s="921"/>
      <c r="CT158" s="35"/>
      <c r="CU158" s="70" t="s">
        <v>2183</v>
      </c>
      <c r="CV158" s="71">
        <f t="shared" si="1"/>
        <v>46298</v>
      </c>
      <c r="CW158" s="72" t="str">
        <f t="shared" si="158"/>
        <v>9WD09-B-05</v>
      </c>
      <c r="CX158" s="73">
        <f t="shared" si="186"/>
        <v>46</v>
      </c>
      <c r="CY158" s="73">
        <f t="shared" si="186"/>
        <v>270</v>
      </c>
      <c r="CZ158" s="73">
        <f t="shared" si="160"/>
        <v>24</v>
      </c>
      <c r="DA158" s="73" t="str">
        <f t="shared" si="161"/>
        <v>G/L</v>
      </c>
      <c r="DB158" s="73"/>
      <c r="DC158" s="368">
        <f t="shared" si="162"/>
        <v>1830</v>
      </c>
      <c r="DD158" s="73">
        <f t="shared" si="163"/>
        <v>0</v>
      </c>
      <c r="DE158" s="73">
        <f t="shared" ref="DE158:DG159" si="187">V158</f>
        <v>0</v>
      </c>
      <c r="DF158" s="73">
        <f t="shared" si="187"/>
        <v>0</v>
      </c>
      <c r="DG158" s="73">
        <f t="shared" si="187"/>
        <v>0</v>
      </c>
      <c r="DH158" s="73">
        <f t="shared" si="165"/>
        <v>0</v>
      </c>
      <c r="DI158" s="73">
        <f t="shared" si="166"/>
        <v>0</v>
      </c>
      <c r="DJ158" s="73"/>
      <c r="DK158" s="73"/>
      <c r="DL158" s="73">
        <f t="shared" si="167"/>
        <v>0</v>
      </c>
      <c r="DM158" s="215">
        <f t="shared" si="168"/>
        <v>357.39</v>
      </c>
      <c r="DN158" s="73" t="str">
        <f t="shared" si="154"/>
        <v/>
      </c>
      <c r="DO158" s="73">
        <f t="shared" si="169"/>
        <v>357.39</v>
      </c>
      <c r="DP158" s="85" t="str">
        <f t="shared" si="153"/>
        <v>WD09-B</v>
      </c>
      <c r="EB158" s="70" t="str">
        <f t="shared" si="170"/>
        <v>KHALDA_WELL</v>
      </c>
      <c r="EC158" s="71">
        <f t="shared" si="106"/>
        <v>46298</v>
      </c>
      <c r="ED158" s="72" t="str">
        <f t="shared" si="171"/>
        <v>WD09-B-05</v>
      </c>
      <c r="EE158" s="73">
        <f t="shared" si="172"/>
        <v>46</v>
      </c>
      <c r="EF158" s="73">
        <f t="shared" si="172"/>
        <v>270</v>
      </c>
      <c r="EG158" s="73">
        <f t="shared" si="173"/>
        <v>24</v>
      </c>
      <c r="EH158" s="73" t="str">
        <f t="shared" si="174"/>
        <v>G/L</v>
      </c>
      <c r="EI158" s="73"/>
      <c r="EJ158" s="72"/>
      <c r="EK158" s="72" t="str">
        <f t="shared" si="175"/>
        <v/>
      </c>
      <c r="EL158" s="73">
        <f t="shared" si="176"/>
        <v>1</v>
      </c>
      <c r="EM158" s="213">
        <f t="shared" si="177"/>
        <v>0</v>
      </c>
      <c r="EN158" s="73"/>
      <c r="EO158" s="73"/>
      <c r="EQ158" s="73">
        <f t="shared" si="178"/>
        <v>0</v>
      </c>
      <c r="ER158" s="73">
        <f t="shared" si="178"/>
        <v>0</v>
      </c>
      <c r="ES158" s="73">
        <f t="shared" si="179"/>
        <v>0</v>
      </c>
      <c r="ET158" s="73">
        <f t="shared" si="180"/>
        <v>0</v>
      </c>
      <c r="EU158" s="73"/>
      <c r="EV158" s="73"/>
      <c r="EX158" s="3">
        <f t="shared" si="181"/>
        <v>0</v>
      </c>
      <c r="EY158" s="73"/>
      <c r="EZ158" s="73">
        <f t="shared" si="185"/>
        <v>0</v>
      </c>
      <c r="FA158" s="73">
        <f t="shared" si="185"/>
        <v>0</v>
      </c>
      <c r="FB158" s="73">
        <f t="shared" si="185"/>
        <v>0</v>
      </c>
      <c r="FC158" s="73"/>
      <c r="FD158" s="73">
        <f t="shared" si="183"/>
        <v>0</v>
      </c>
    </row>
    <row r="159" spans="2:160" s="3" customFormat="1" ht="16.5" customHeight="1">
      <c r="B159" s="316" t="s">
        <v>2660</v>
      </c>
      <c r="C159" s="317" t="s">
        <v>1305</v>
      </c>
      <c r="D159" s="317" t="s">
        <v>1301</v>
      </c>
      <c r="E159" s="991">
        <v>24</v>
      </c>
      <c r="F159" s="951">
        <f t="shared" si="155"/>
        <v>0</v>
      </c>
      <c r="G159" s="48"/>
      <c r="H159" s="981">
        <v>1.2</v>
      </c>
      <c r="I159" s="48"/>
      <c r="J159" s="48">
        <v>260</v>
      </c>
      <c r="K159" s="48">
        <v>260</v>
      </c>
      <c r="L159" s="48">
        <v>618</v>
      </c>
      <c r="M159" s="22"/>
      <c r="N159" s="140"/>
      <c r="O159" s="748"/>
      <c r="P159" s="48"/>
      <c r="Q159" s="48"/>
      <c r="R159" s="48"/>
      <c r="S159" s="886"/>
      <c r="T159" s="886"/>
      <c r="U159" s="886"/>
      <c r="V159" s="140"/>
      <c r="W159" s="140"/>
      <c r="X159" s="48"/>
      <c r="Y159" s="140"/>
      <c r="Z159" s="748"/>
      <c r="AA159" s="48"/>
      <c r="AB159" s="941"/>
      <c r="AC159" s="941"/>
      <c r="AD159" s="886"/>
      <c r="AE159" s="886"/>
      <c r="AF159" s="532">
        <f t="shared" si="156"/>
        <v>0.128</v>
      </c>
      <c r="AG159" s="531">
        <f t="shared" si="157"/>
        <v>171.27</v>
      </c>
      <c r="AH159" s="304">
        <v>46287</v>
      </c>
      <c r="AI159" s="13">
        <v>173</v>
      </c>
      <c r="AJ159" s="15">
        <v>1</v>
      </c>
      <c r="AK159" s="15">
        <v>0.128</v>
      </c>
      <c r="AL159" s="13"/>
      <c r="AM159" s="93">
        <f t="shared" si="0"/>
        <v>171.27</v>
      </c>
      <c r="AN159" s="148"/>
      <c r="AO159" s="213"/>
      <c r="CJ159" s="921"/>
      <c r="CT159" s="35"/>
      <c r="CU159" s="70" t="s">
        <v>2184</v>
      </c>
      <c r="CV159" s="71">
        <f t="shared" si="1"/>
        <v>46298</v>
      </c>
      <c r="CW159" s="72" t="str">
        <f t="shared" si="158"/>
        <v>9WD09-B-05-01 ST1</v>
      </c>
      <c r="CX159" s="73">
        <f t="shared" si="186"/>
        <v>0</v>
      </c>
      <c r="CY159" s="73">
        <f t="shared" si="186"/>
        <v>260</v>
      </c>
      <c r="CZ159" s="73">
        <f t="shared" si="160"/>
        <v>24</v>
      </c>
      <c r="DA159" s="73" t="str">
        <f t="shared" si="161"/>
        <v>G/L</v>
      </c>
      <c r="DB159" s="73"/>
      <c r="DC159" s="368">
        <f t="shared" si="162"/>
        <v>1200</v>
      </c>
      <c r="DD159" s="73">
        <f t="shared" si="163"/>
        <v>0</v>
      </c>
      <c r="DE159" s="73">
        <f t="shared" si="187"/>
        <v>0</v>
      </c>
      <c r="DF159" s="73">
        <f t="shared" si="187"/>
        <v>0</v>
      </c>
      <c r="DG159" s="73">
        <f t="shared" si="187"/>
        <v>0</v>
      </c>
      <c r="DH159" s="73">
        <f t="shared" si="165"/>
        <v>0</v>
      </c>
      <c r="DI159" s="73">
        <f t="shared" si="166"/>
        <v>0</v>
      </c>
      <c r="DJ159" s="73"/>
      <c r="DK159" s="73"/>
      <c r="DL159" s="73">
        <f t="shared" si="167"/>
        <v>0</v>
      </c>
      <c r="DM159" s="215">
        <f t="shared" si="168"/>
        <v>171.27</v>
      </c>
      <c r="DN159" s="73" t="str">
        <f t="shared" si="154"/>
        <v/>
      </c>
      <c r="DO159" s="73">
        <f t="shared" si="169"/>
        <v>171.27</v>
      </c>
      <c r="DP159" s="85" t="str">
        <f t="shared" si="153"/>
        <v>WD09-B</v>
      </c>
      <c r="EB159" s="70" t="str">
        <f t="shared" si="170"/>
        <v>KHALDA_WELL</v>
      </c>
      <c r="EC159" s="71">
        <f t="shared" si="106"/>
        <v>46298</v>
      </c>
      <c r="ED159" s="72" t="str">
        <f t="shared" si="171"/>
        <v>WD09-B-05-01 ST1</v>
      </c>
      <c r="EE159" s="73">
        <f t="shared" si="172"/>
        <v>0</v>
      </c>
      <c r="EF159" s="73">
        <f t="shared" si="172"/>
        <v>260</v>
      </c>
      <c r="EG159" s="73">
        <f t="shared" si="173"/>
        <v>24</v>
      </c>
      <c r="EH159" s="73" t="str">
        <f t="shared" si="174"/>
        <v>G/L</v>
      </c>
      <c r="EI159" s="73"/>
      <c r="EJ159" s="72"/>
      <c r="EK159" s="72" t="str">
        <f t="shared" si="175"/>
        <v/>
      </c>
      <c r="EL159" s="73">
        <f t="shared" si="176"/>
        <v>1</v>
      </c>
      <c r="EM159" s="213">
        <f t="shared" si="177"/>
        <v>0</v>
      </c>
      <c r="EN159" s="73"/>
      <c r="EO159" s="73"/>
      <c r="EQ159" s="73">
        <f t="shared" si="178"/>
        <v>0</v>
      </c>
      <c r="ER159" s="73">
        <f t="shared" si="178"/>
        <v>0</v>
      </c>
      <c r="ES159" s="73">
        <f t="shared" si="179"/>
        <v>0</v>
      </c>
      <c r="ET159" s="73">
        <f t="shared" si="180"/>
        <v>0</v>
      </c>
      <c r="EU159" s="73"/>
      <c r="EV159" s="73"/>
      <c r="EX159" s="3">
        <f t="shared" si="181"/>
        <v>0</v>
      </c>
      <c r="EY159" s="73"/>
      <c r="EZ159" s="73">
        <f t="shared" si="185"/>
        <v>0</v>
      </c>
      <c r="FA159" s="73">
        <f t="shared" si="185"/>
        <v>0</v>
      </c>
      <c r="FB159" s="73">
        <f t="shared" si="185"/>
        <v>0</v>
      </c>
      <c r="FC159" s="73"/>
      <c r="FD159" s="73">
        <f t="shared" si="183"/>
        <v>0</v>
      </c>
    </row>
    <row r="160" spans="2:160" s="3" customFormat="1" ht="16.5" customHeight="1">
      <c r="B160" s="316" t="s">
        <v>2702</v>
      </c>
      <c r="C160" s="317" t="s">
        <v>1305</v>
      </c>
      <c r="D160" s="317" t="s">
        <v>1301</v>
      </c>
      <c r="E160" s="991">
        <v>24</v>
      </c>
      <c r="F160" s="951">
        <f t="shared" si="155"/>
        <v>0</v>
      </c>
      <c r="G160" s="48"/>
      <c r="H160" s="981">
        <v>1.41</v>
      </c>
      <c r="I160" s="48"/>
      <c r="J160" s="48">
        <v>280</v>
      </c>
      <c r="K160" s="48">
        <v>280</v>
      </c>
      <c r="L160" s="48">
        <v>650</v>
      </c>
      <c r="M160" s="22"/>
      <c r="N160" s="140"/>
      <c r="O160" s="748"/>
      <c r="P160" s="48"/>
      <c r="Q160" s="48"/>
      <c r="R160" s="48"/>
      <c r="S160" s="886"/>
      <c r="T160" s="886"/>
      <c r="U160" s="886"/>
      <c r="V160" s="140"/>
      <c r="W160" s="140"/>
      <c r="X160" s="48"/>
      <c r="Y160" s="140"/>
      <c r="Z160" s="748"/>
      <c r="AA160" s="48"/>
      <c r="AB160" s="941"/>
      <c r="AC160" s="941"/>
      <c r="AD160" s="886"/>
      <c r="AE160" s="886"/>
      <c r="AF160" s="532">
        <f>AK160/24*E160</f>
        <v>0.41599999999999993</v>
      </c>
      <c r="AG160" s="531">
        <f>AM160/24*E160</f>
        <v>316.8</v>
      </c>
      <c r="AH160" s="304">
        <v>46285</v>
      </c>
      <c r="AI160" s="13">
        <v>320</v>
      </c>
      <c r="AJ160" s="15">
        <v>1</v>
      </c>
      <c r="AK160" s="15">
        <v>0.41599999999999993</v>
      </c>
      <c r="AL160" s="13"/>
      <c r="AM160" s="93">
        <f t="shared" si="0"/>
        <v>316.8</v>
      </c>
      <c r="AN160" s="148"/>
      <c r="AO160" s="213"/>
      <c r="CJ160" s="921"/>
      <c r="CT160" s="35"/>
      <c r="CU160" s="70" t="s">
        <v>2185</v>
      </c>
      <c r="CV160" s="71">
        <f t="shared" si="1"/>
        <v>46298</v>
      </c>
      <c r="CW160" s="72" t="str">
        <f t="shared" ref="CW160:CW174" si="188">$CT$3&amp;B160</f>
        <v>9WD09-B-06</v>
      </c>
      <c r="CX160" s="73">
        <f t="shared" ref="CX160:CX174" si="189">I160</f>
        <v>0</v>
      </c>
      <c r="CY160" s="73">
        <f t="shared" ref="CY160:CY174" si="190">J160</f>
        <v>280</v>
      </c>
      <c r="CZ160" s="73">
        <f t="shared" ref="CZ160:CZ174" si="191">E160</f>
        <v>24</v>
      </c>
      <c r="DA160" s="73" t="str">
        <f t="shared" ref="DA160:DA174" si="192">IF(CZ160=0,"SI",D160)</f>
        <v>G/L</v>
      </c>
      <c r="DB160" s="73"/>
      <c r="DC160" s="368">
        <f t="shared" ref="DC160:DC174" si="193">E160*((H160*1000)/24)</f>
        <v>1410</v>
      </c>
      <c r="DD160" s="73">
        <f t="shared" ref="DD160:DD174" si="194">N160</f>
        <v>0</v>
      </c>
      <c r="DE160" s="73">
        <f t="shared" ref="DE160:DE174" si="195">V160</f>
        <v>0</v>
      </c>
      <c r="DF160" s="73">
        <f t="shared" ref="DF160:DF174" si="196">W160</f>
        <v>0</v>
      </c>
      <c r="DG160" s="73">
        <f t="shared" ref="DG160:DG174" si="197">X160</f>
        <v>0</v>
      </c>
      <c r="DH160" s="73">
        <f t="shared" ref="DH160:DH174" si="198">Z160</f>
        <v>0</v>
      </c>
      <c r="DI160" s="73">
        <f t="shared" ref="DI160:DI174" si="199">AD160</f>
        <v>0</v>
      </c>
      <c r="DJ160" s="73"/>
      <c r="DK160" s="73"/>
      <c r="DL160" s="73">
        <f t="shared" ref="DL160:DL174" si="200">AE160</f>
        <v>0</v>
      </c>
      <c r="DM160" s="215">
        <f t="shared" ref="DM160:DM174" si="201">AG160</f>
        <v>316.8</v>
      </c>
      <c r="DN160" s="73" t="str">
        <f t="shared" ref="DN160:DN174" si="202">IF(G160="","",G160)</f>
        <v/>
      </c>
      <c r="DO160" s="73">
        <f t="shared" si="169"/>
        <v>316.8</v>
      </c>
      <c r="DP160" s="85" t="str">
        <f t="shared" ref="DP160:DP173" si="203">IF(OR(D160="SI",B160="",D160="T&amp;A"),"",VLOOKUP(B160,WELL_FIELD,2))</f>
        <v>WD09-B</v>
      </c>
      <c r="EB160" s="70" t="str">
        <f t="shared" ref="EB160:EB169" si="204">IF(B160="","","KHALDA_WELL")</f>
        <v>KHALDA_WELL</v>
      </c>
      <c r="EC160" s="71">
        <f t="shared" si="106"/>
        <v>46298</v>
      </c>
      <c r="ED160" s="72" t="str">
        <f t="shared" ref="ED160:ED169" si="205">B160</f>
        <v>WD09-B-06</v>
      </c>
      <c r="EE160" s="73">
        <f t="shared" ref="EE160:EE169" si="206">I160</f>
        <v>0</v>
      </c>
      <c r="EF160" s="73">
        <f t="shared" ref="EF160:EF169" si="207">J160</f>
        <v>280</v>
      </c>
      <c r="EG160" s="73">
        <f t="shared" ref="EG160:EG169" si="208">E160</f>
        <v>24</v>
      </c>
      <c r="EH160" s="73" t="str">
        <f t="shared" ref="EH160:EH169" si="209">IF(CZ160=0,"SI",D160)</f>
        <v>G/L</v>
      </c>
      <c r="EI160" s="73"/>
      <c r="EJ160" s="72"/>
      <c r="EK160" s="72" t="str">
        <f t="shared" ref="EK160:EK169" si="210">IF(G160="","",G160)</f>
        <v/>
      </c>
      <c r="EL160" s="73">
        <f t="shared" ref="EL160:EL169" si="211">AJ160</f>
        <v>1</v>
      </c>
      <c r="EM160" s="213">
        <f t="shared" ref="EM160:EM169" si="212">W160</f>
        <v>0</v>
      </c>
      <c r="EN160" s="73"/>
      <c r="EO160" s="73"/>
      <c r="EQ160" s="73">
        <f t="shared" ref="EQ160:EQ169" si="213">Y160</f>
        <v>0</v>
      </c>
      <c r="ER160" s="73">
        <f t="shared" ref="ER160:ER169" si="214">Z160</f>
        <v>0</v>
      </c>
      <c r="ES160" s="73">
        <f t="shared" ref="ES160:ES169" si="215">X160</f>
        <v>0</v>
      </c>
      <c r="ET160" s="73">
        <f t="shared" ref="ET160:ET169" si="216">AD160</f>
        <v>0</v>
      </c>
      <c r="EU160" s="73"/>
      <c r="EV160" s="73"/>
      <c r="EX160" s="3">
        <f t="shared" ref="EX160:EX169" si="217">AE160</f>
        <v>0</v>
      </c>
      <c r="EY160" s="73"/>
      <c r="EZ160" s="73">
        <f t="shared" ref="EZ160:EZ169" si="218">S160</f>
        <v>0</v>
      </c>
      <c r="FA160" s="73">
        <f t="shared" ref="FA160:FA169" si="219">T160</f>
        <v>0</v>
      </c>
      <c r="FB160" s="73">
        <f t="shared" ref="FB160:FB169" si="220">U160</f>
        <v>0</v>
      </c>
      <c r="FC160" s="73"/>
      <c r="FD160" s="73">
        <f t="shared" ref="FD160:FD169" si="221">AN160</f>
        <v>0</v>
      </c>
    </row>
    <row r="161" spans="2:160" s="3" customFormat="1" ht="16.5" customHeight="1">
      <c r="B161" s="316" t="s">
        <v>2679</v>
      </c>
      <c r="C161" s="317" t="s">
        <v>1305</v>
      </c>
      <c r="D161" s="317" t="s">
        <v>18</v>
      </c>
      <c r="E161" s="991">
        <v>0</v>
      </c>
      <c r="F161" s="951">
        <f t="shared" si="155"/>
        <v>0</v>
      </c>
      <c r="G161" s="48"/>
      <c r="H161" s="981">
        <v>0</v>
      </c>
      <c r="I161" s="48"/>
      <c r="J161" s="48">
        <v>0</v>
      </c>
      <c r="K161" s="48">
        <v>0</v>
      </c>
      <c r="L161" s="48">
        <v>0</v>
      </c>
      <c r="M161" s="22"/>
      <c r="N161" s="140"/>
      <c r="O161" s="748">
        <v>45739</v>
      </c>
      <c r="P161" s="48">
        <v>9346</v>
      </c>
      <c r="Q161" s="48">
        <v>159</v>
      </c>
      <c r="R161" s="48">
        <v>9508</v>
      </c>
      <c r="S161" s="886"/>
      <c r="T161" s="886"/>
      <c r="U161" s="886"/>
      <c r="V161" s="140"/>
      <c r="W161" s="140"/>
      <c r="X161" s="48"/>
      <c r="Y161" s="140"/>
      <c r="Z161" s="748"/>
      <c r="AA161" s="48"/>
      <c r="AB161" s="941"/>
      <c r="AC161" s="941"/>
      <c r="AD161" s="886"/>
      <c r="AE161" s="886"/>
      <c r="AF161" s="532">
        <f t="shared" si="156"/>
        <v>0</v>
      </c>
      <c r="AG161" s="531">
        <f t="shared" si="157"/>
        <v>0</v>
      </c>
      <c r="AH161" s="304">
        <v>46129</v>
      </c>
      <c r="AI161" s="13">
        <v>197</v>
      </c>
      <c r="AJ161" s="15">
        <v>100</v>
      </c>
      <c r="AK161" s="15">
        <v>2.2999999999999909E-2</v>
      </c>
      <c r="AL161" s="13">
        <v>48000</v>
      </c>
      <c r="AM161" s="93">
        <f t="shared" si="0"/>
        <v>0</v>
      </c>
      <c r="AN161" s="148"/>
      <c r="AO161" s="213"/>
      <c r="CJ161" s="921"/>
      <c r="CT161" s="35"/>
      <c r="CU161" s="70" t="s">
        <v>2186</v>
      </c>
      <c r="CV161" s="71">
        <f t="shared" si="1"/>
        <v>46298</v>
      </c>
      <c r="CW161" s="72" t="str">
        <f t="shared" si="188"/>
        <v>9WD09-D-01 ST2</v>
      </c>
      <c r="CX161" s="73">
        <f t="shared" si="189"/>
        <v>0</v>
      </c>
      <c r="CY161" s="73">
        <f t="shared" si="190"/>
        <v>0</v>
      </c>
      <c r="CZ161" s="73">
        <f t="shared" si="191"/>
        <v>0</v>
      </c>
      <c r="DA161" s="73" t="str">
        <f t="shared" si="192"/>
        <v>SI</v>
      </c>
      <c r="DB161" s="73"/>
      <c r="DC161" s="368">
        <f t="shared" si="193"/>
        <v>0</v>
      </c>
      <c r="DD161" s="73">
        <f t="shared" si="194"/>
        <v>0</v>
      </c>
      <c r="DE161" s="73">
        <f t="shared" si="195"/>
        <v>0</v>
      </c>
      <c r="DF161" s="73">
        <f t="shared" si="196"/>
        <v>0</v>
      </c>
      <c r="DG161" s="73">
        <f t="shared" si="197"/>
        <v>0</v>
      </c>
      <c r="DH161" s="73">
        <f t="shared" si="198"/>
        <v>0</v>
      </c>
      <c r="DI161" s="73">
        <f t="shared" si="199"/>
        <v>0</v>
      </c>
      <c r="DJ161" s="73"/>
      <c r="DK161" s="73"/>
      <c r="DL161" s="73">
        <f t="shared" si="200"/>
        <v>0</v>
      </c>
      <c r="DM161" s="215">
        <f t="shared" si="201"/>
        <v>0</v>
      </c>
      <c r="DN161" s="73" t="str">
        <f t="shared" si="202"/>
        <v/>
      </c>
      <c r="DO161" s="73">
        <f t="shared" si="169"/>
        <v>0</v>
      </c>
      <c r="DP161" s="85" t="str">
        <f t="shared" si="203"/>
        <v/>
      </c>
      <c r="EB161" s="70" t="str">
        <f t="shared" si="204"/>
        <v>KHALDA_WELL</v>
      </c>
      <c r="EC161" s="71">
        <f t="shared" si="106"/>
        <v>46298</v>
      </c>
      <c r="ED161" s="72" t="str">
        <f t="shared" si="205"/>
        <v>WD09-D-01 ST2</v>
      </c>
      <c r="EE161" s="73">
        <f t="shared" si="206"/>
        <v>0</v>
      </c>
      <c r="EF161" s="73">
        <f t="shared" si="207"/>
        <v>0</v>
      </c>
      <c r="EG161" s="73">
        <f t="shared" si="208"/>
        <v>0</v>
      </c>
      <c r="EH161" s="73" t="str">
        <f t="shared" si="209"/>
        <v>SI</v>
      </c>
      <c r="EI161" s="73"/>
      <c r="EJ161" s="72"/>
      <c r="EK161" s="72" t="str">
        <f t="shared" si="210"/>
        <v/>
      </c>
      <c r="EL161" s="73">
        <f t="shared" si="211"/>
        <v>100</v>
      </c>
      <c r="EM161" s="213">
        <f t="shared" si="212"/>
        <v>0</v>
      </c>
      <c r="EN161" s="73"/>
      <c r="EO161" s="73"/>
      <c r="EQ161" s="73">
        <f t="shared" si="213"/>
        <v>0</v>
      </c>
      <c r="ER161" s="73">
        <f t="shared" si="214"/>
        <v>0</v>
      </c>
      <c r="ES161" s="73">
        <f t="shared" si="215"/>
        <v>0</v>
      </c>
      <c r="ET161" s="73">
        <f t="shared" si="216"/>
        <v>0</v>
      </c>
      <c r="EU161" s="73"/>
      <c r="EV161" s="73"/>
      <c r="EX161" s="3">
        <f t="shared" si="217"/>
        <v>0</v>
      </c>
      <c r="EY161" s="73"/>
      <c r="EZ161" s="73">
        <f t="shared" si="218"/>
        <v>0</v>
      </c>
      <c r="FA161" s="73">
        <f t="shared" si="219"/>
        <v>0</v>
      </c>
      <c r="FB161" s="73">
        <f t="shared" si="220"/>
        <v>0</v>
      </c>
      <c r="FC161" s="73"/>
      <c r="FD161" s="73">
        <f t="shared" si="221"/>
        <v>0</v>
      </c>
    </row>
    <row r="162" spans="2:160" s="3" customFormat="1" ht="16.5" customHeight="1">
      <c r="B162" s="316" t="s">
        <v>2716</v>
      </c>
      <c r="C162" s="317" t="s">
        <v>1305</v>
      </c>
      <c r="D162" s="317" t="s">
        <v>1301</v>
      </c>
      <c r="E162" s="991">
        <v>24</v>
      </c>
      <c r="F162" s="951">
        <f t="shared" si="155"/>
        <v>0</v>
      </c>
      <c r="G162" s="48"/>
      <c r="H162" s="981">
        <v>1.38</v>
      </c>
      <c r="I162" s="48"/>
      <c r="J162" s="48">
        <v>250</v>
      </c>
      <c r="K162" s="48">
        <v>250</v>
      </c>
      <c r="L162" s="48">
        <v>755</v>
      </c>
      <c r="M162" s="22"/>
      <c r="N162" s="140"/>
      <c r="O162" s="748"/>
      <c r="P162" s="48"/>
      <c r="Q162" s="48"/>
      <c r="R162" s="48"/>
      <c r="S162" s="886"/>
      <c r="T162" s="886"/>
      <c r="U162" s="886"/>
      <c r="V162" s="140"/>
      <c r="W162" s="140"/>
      <c r="X162" s="48"/>
      <c r="Y162" s="140"/>
      <c r="Z162" s="748"/>
      <c r="AA162" s="48"/>
      <c r="AB162" s="941"/>
      <c r="AC162" s="941"/>
      <c r="AD162" s="886"/>
      <c r="AE162" s="886"/>
      <c r="AF162" s="532">
        <f>AK162/24*E162</f>
        <v>8.3000000000000185E-2</v>
      </c>
      <c r="AG162" s="531">
        <f>AM162/24*E162</f>
        <v>543.51</v>
      </c>
      <c r="AH162" s="304">
        <v>46293</v>
      </c>
      <c r="AI162" s="13">
        <v>549</v>
      </c>
      <c r="AJ162" s="15">
        <v>1</v>
      </c>
      <c r="AK162" s="15">
        <v>8.3000000000000185E-2</v>
      </c>
      <c r="AL162" s="13"/>
      <c r="AM162" s="93">
        <f t="shared" si="0"/>
        <v>543.51</v>
      </c>
      <c r="AN162" s="148"/>
      <c r="AO162" s="213"/>
      <c r="CJ162" s="921"/>
      <c r="CT162" s="35"/>
      <c r="CU162" s="70" t="s">
        <v>2187</v>
      </c>
      <c r="CV162" s="71">
        <f t="shared" si="1"/>
        <v>46298</v>
      </c>
      <c r="CW162" s="72" t="str">
        <f>$CT$3&amp;B162</f>
        <v>9WD09-A-08</v>
      </c>
      <c r="CX162" s="73">
        <f>I162</f>
        <v>0</v>
      </c>
      <c r="CY162" s="73">
        <f>J162</f>
        <v>250</v>
      </c>
      <c r="CZ162" s="73">
        <f>E162</f>
        <v>24</v>
      </c>
      <c r="DA162" s="73" t="str">
        <f>IF(CZ162=0,"SI",D162)</f>
        <v>G/L</v>
      </c>
      <c r="DB162" s="73"/>
      <c r="DC162" s="368">
        <f>E162*((H162*1000)/24)</f>
        <v>1380</v>
      </c>
      <c r="DD162" s="73">
        <f>N162</f>
        <v>0</v>
      </c>
      <c r="DE162" s="73">
        <f t="shared" ref="DE162:DG163" si="222">V162</f>
        <v>0</v>
      </c>
      <c r="DF162" s="73">
        <f t="shared" si="222"/>
        <v>0</v>
      </c>
      <c r="DG162" s="73">
        <f t="shared" si="222"/>
        <v>0</v>
      </c>
      <c r="DH162" s="73">
        <f>Z162</f>
        <v>0</v>
      </c>
      <c r="DI162" s="73">
        <f>AD162</f>
        <v>0</v>
      </c>
      <c r="DJ162" s="73"/>
      <c r="DK162" s="73"/>
      <c r="DL162" s="73">
        <f>AE162</f>
        <v>0</v>
      </c>
      <c r="DM162" s="215">
        <f>AG162</f>
        <v>543.51</v>
      </c>
      <c r="DN162" s="73" t="str">
        <f>IF(G162="","",G162)</f>
        <v/>
      </c>
      <c r="DO162" s="73">
        <f>AM162/24*HOURS</f>
        <v>543.51</v>
      </c>
      <c r="DP162" s="85" t="str">
        <f>IF(OR(D162="SI",B162="",D162="T&amp;A"),"",VLOOKUP(B162,WELL_FIELD,2))</f>
        <v>WD09-A</v>
      </c>
      <c r="EB162" s="70" t="str">
        <f>IF(B162="","","KHALDA_WELL")</f>
        <v>KHALDA_WELL</v>
      </c>
      <c r="EC162" s="71">
        <f t="shared" si="106"/>
        <v>46298</v>
      </c>
      <c r="ED162" s="72" t="str">
        <f>B162</f>
        <v>WD09-A-08</v>
      </c>
      <c r="EE162" s="73">
        <f>I162</f>
        <v>0</v>
      </c>
      <c r="EF162" s="73">
        <f>J162</f>
        <v>250</v>
      </c>
      <c r="EG162" s="73">
        <f>E162</f>
        <v>24</v>
      </c>
      <c r="EH162" s="73" t="str">
        <f>IF(CZ162=0,"SI",D162)</f>
        <v>G/L</v>
      </c>
      <c r="EI162" s="73"/>
      <c r="EJ162" s="72"/>
      <c r="EK162" s="72" t="str">
        <f>IF(G162="","",G162)</f>
        <v/>
      </c>
      <c r="EL162" s="73">
        <f>AJ162</f>
        <v>1</v>
      </c>
      <c r="EM162" s="213">
        <f>W162</f>
        <v>0</v>
      </c>
      <c r="EN162" s="73"/>
      <c r="EO162" s="73"/>
      <c r="EQ162" s="73">
        <f>Y162</f>
        <v>0</v>
      </c>
      <c r="ER162" s="73">
        <f>Z162</f>
        <v>0</v>
      </c>
      <c r="ES162" s="73">
        <f>X162</f>
        <v>0</v>
      </c>
      <c r="ET162" s="73">
        <f>AD162</f>
        <v>0</v>
      </c>
      <c r="EU162" s="73"/>
      <c r="EV162" s="73"/>
      <c r="EX162" s="3">
        <f>AE162</f>
        <v>0</v>
      </c>
      <c r="EY162" s="73"/>
      <c r="EZ162" s="73">
        <f t="shared" ref="EZ162:FB163" si="223">S162</f>
        <v>0</v>
      </c>
      <c r="FA162" s="73">
        <f t="shared" si="223"/>
        <v>0</v>
      </c>
      <c r="FB162" s="73">
        <f t="shared" si="223"/>
        <v>0</v>
      </c>
      <c r="FC162" s="73"/>
      <c r="FD162" s="73">
        <f>AN162</f>
        <v>0</v>
      </c>
    </row>
    <row r="163" spans="2:160" s="3" customFormat="1" ht="16.5" customHeight="1">
      <c r="B163" s="316" t="s">
        <v>2407</v>
      </c>
      <c r="C163" s="317" t="s">
        <v>1305</v>
      </c>
      <c r="D163" s="317" t="s">
        <v>1301</v>
      </c>
      <c r="E163" s="991">
        <v>24</v>
      </c>
      <c r="F163" s="951">
        <f>IF(E163=0,0,((AI163*(1-(AJ163/100)))/24)*(24-HOURS))</f>
        <v>0</v>
      </c>
      <c r="G163" s="48"/>
      <c r="H163" s="981">
        <v>1.3474691536833043</v>
      </c>
      <c r="I163" s="48"/>
      <c r="J163" s="48">
        <v>250</v>
      </c>
      <c r="K163" s="48">
        <v>250</v>
      </c>
      <c r="L163" s="48">
        <v>640</v>
      </c>
      <c r="M163" s="22"/>
      <c r="N163" s="140"/>
      <c r="O163" s="748"/>
      <c r="P163" s="48"/>
      <c r="Q163" s="48"/>
      <c r="R163" s="48"/>
      <c r="S163" s="886"/>
      <c r="T163" s="886"/>
      <c r="U163" s="886"/>
      <c r="V163" s="140"/>
      <c r="W163" s="140"/>
      <c r="X163" s="48"/>
      <c r="Y163" s="140"/>
      <c r="Z163" s="748"/>
      <c r="AA163" s="48"/>
      <c r="AB163" s="941"/>
      <c r="AC163" s="941"/>
      <c r="AD163" s="886"/>
      <c r="AE163" s="886"/>
      <c r="AF163" s="532"/>
      <c r="AG163" s="531">
        <f t="shared" si="157"/>
        <v>132.66</v>
      </c>
      <c r="AH163" s="304">
        <v>46282</v>
      </c>
      <c r="AI163" s="13">
        <v>134</v>
      </c>
      <c r="AJ163" s="15">
        <v>1</v>
      </c>
      <c r="AK163" s="15">
        <v>0.14999999999999991</v>
      </c>
      <c r="AL163" s="13"/>
      <c r="AM163" s="93">
        <f t="shared" si="0"/>
        <v>132.66</v>
      </c>
      <c r="AN163" s="945"/>
      <c r="AO163" s="213"/>
      <c r="CJ163" s="921"/>
      <c r="CT163" s="35"/>
      <c r="CU163" s="70" t="s">
        <v>2188</v>
      </c>
      <c r="CV163" s="71">
        <f t="shared" si="1"/>
        <v>46298</v>
      </c>
      <c r="CW163" s="72" t="str">
        <f>$CT$3&amp;B163</f>
        <v>9WD09-A-09</v>
      </c>
      <c r="CX163" s="73">
        <f>I163</f>
        <v>0</v>
      </c>
      <c r="CY163" s="73">
        <f>J163</f>
        <v>250</v>
      </c>
      <c r="CZ163" s="73">
        <f>E163</f>
        <v>24</v>
      </c>
      <c r="DA163" s="73" t="str">
        <f>IF(CZ163=0,"SI",D163)</f>
        <v>G/L</v>
      </c>
      <c r="DB163" s="73"/>
      <c r="DC163" s="368">
        <f>E163*((H163*1000)/24)</f>
        <v>1347.4691536833043</v>
      </c>
      <c r="DD163" s="73">
        <f>N163</f>
        <v>0</v>
      </c>
      <c r="DE163" s="73">
        <f t="shared" si="222"/>
        <v>0</v>
      </c>
      <c r="DF163" s="73">
        <f t="shared" si="222"/>
        <v>0</v>
      </c>
      <c r="DG163" s="73">
        <f t="shared" si="222"/>
        <v>0</v>
      </c>
      <c r="DH163" s="73">
        <f>Z163</f>
        <v>0</v>
      </c>
      <c r="DI163" s="73">
        <f>AD163</f>
        <v>0</v>
      </c>
      <c r="DJ163" s="73"/>
      <c r="DK163" s="73"/>
      <c r="DL163" s="73">
        <f>AE163</f>
        <v>0</v>
      </c>
      <c r="DM163" s="215">
        <f>AG163</f>
        <v>132.66</v>
      </c>
      <c r="DN163" s="73" t="str">
        <f>IF(G163="","",G163)</f>
        <v/>
      </c>
      <c r="DO163" s="73">
        <f>AM163/24*HOURS</f>
        <v>132.66</v>
      </c>
      <c r="DP163" s="85" t="str">
        <f>IF(OR(D163="SI",B163="",D163="T&amp;A"),"",VLOOKUP(B163,WELL_FIELD,2))</f>
        <v>WD09-A</v>
      </c>
      <c r="EB163" s="70" t="str">
        <f>IF(B163="","","KHALDA_WELL")</f>
        <v>KHALDA_WELL</v>
      </c>
      <c r="EC163" s="71">
        <f t="shared" si="106"/>
        <v>46298</v>
      </c>
      <c r="ED163" s="72" t="str">
        <f>B163</f>
        <v>WD09-A-09</v>
      </c>
      <c r="EE163" s="73">
        <f>I163</f>
        <v>0</v>
      </c>
      <c r="EF163" s="73">
        <f>J163</f>
        <v>250</v>
      </c>
      <c r="EG163" s="73">
        <f>E163</f>
        <v>24</v>
      </c>
      <c r="EH163" s="73" t="str">
        <f>IF(CZ163=0,"SI",D163)</f>
        <v>G/L</v>
      </c>
      <c r="EI163" s="73"/>
      <c r="EJ163" s="72"/>
      <c r="EK163" s="72" t="str">
        <f>IF(G163="","",G163)</f>
        <v/>
      </c>
      <c r="EL163" s="73">
        <f>AJ163</f>
        <v>1</v>
      </c>
      <c r="EM163" s="213">
        <f>W163</f>
        <v>0</v>
      </c>
      <c r="EN163" s="73"/>
      <c r="EO163" s="73"/>
      <c r="EQ163" s="73">
        <f>Y163</f>
        <v>0</v>
      </c>
      <c r="ER163" s="73">
        <f>Z163</f>
        <v>0</v>
      </c>
      <c r="ES163" s="73">
        <f>X163</f>
        <v>0</v>
      </c>
      <c r="ET163" s="73">
        <f>AD163</f>
        <v>0</v>
      </c>
      <c r="EU163" s="73"/>
      <c r="EV163" s="73"/>
      <c r="EX163" s="3">
        <f>AE163</f>
        <v>0</v>
      </c>
      <c r="EY163" s="73"/>
      <c r="EZ163" s="73">
        <f t="shared" si="223"/>
        <v>0</v>
      </c>
      <c r="FA163" s="73">
        <f t="shared" si="223"/>
        <v>0</v>
      </c>
      <c r="FB163" s="73">
        <f t="shared" si="223"/>
        <v>0</v>
      </c>
      <c r="FC163" s="73"/>
      <c r="FD163" s="73">
        <f>AN163</f>
        <v>0</v>
      </c>
    </row>
    <row r="164" spans="2:160" s="3" customFormat="1" ht="16.5" customHeight="1">
      <c r="B164" s="980" t="s">
        <v>2418</v>
      </c>
      <c r="C164" s="317" t="s">
        <v>1307</v>
      </c>
      <c r="D164" s="317" t="s">
        <v>3</v>
      </c>
      <c r="E164" s="991">
        <v>24</v>
      </c>
      <c r="F164" s="951">
        <f>IF(E164=0,0,((AI164*(1-(AJ164/100)))/24)*(24-HOURS))</f>
        <v>0</v>
      </c>
      <c r="G164" s="48"/>
      <c r="H164" s="981"/>
      <c r="I164" s="48"/>
      <c r="J164" s="48">
        <v>300</v>
      </c>
      <c r="K164" s="48">
        <v>280</v>
      </c>
      <c r="L164" s="48">
        <v>0</v>
      </c>
      <c r="M164" s="22"/>
      <c r="N164" s="140"/>
      <c r="O164" s="748"/>
      <c r="P164" s="48"/>
      <c r="Q164" s="48"/>
      <c r="R164" s="48"/>
      <c r="S164" s="886"/>
      <c r="T164" s="886"/>
      <c r="U164" s="886"/>
      <c r="V164" s="140"/>
      <c r="W164" s="140"/>
      <c r="X164" s="48"/>
      <c r="Y164" s="140"/>
      <c r="Z164" s="748"/>
      <c r="AA164" s="48"/>
      <c r="AB164" s="941"/>
      <c r="AC164" s="941"/>
      <c r="AD164" s="886">
        <v>28.1</v>
      </c>
      <c r="AE164" s="886">
        <v>60</v>
      </c>
      <c r="AF164" s="532"/>
      <c r="AG164" s="531">
        <f t="shared" si="157"/>
        <v>378.18</v>
      </c>
      <c r="AH164" s="304">
        <v>46296</v>
      </c>
      <c r="AI164" s="13">
        <v>382</v>
      </c>
      <c r="AJ164" s="15">
        <v>1</v>
      </c>
      <c r="AK164" s="15">
        <v>0</v>
      </c>
      <c r="AL164" s="13"/>
      <c r="AM164" s="93">
        <f t="shared" si="0"/>
        <v>378.18</v>
      </c>
      <c r="AN164" s="945"/>
      <c r="AO164" s="213"/>
      <c r="CJ164" s="921"/>
      <c r="CT164" s="35"/>
      <c r="CU164" s="70" t="s">
        <v>2188</v>
      </c>
      <c r="CV164" s="71">
        <f t="shared" si="1"/>
        <v>46298</v>
      </c>
      <c r="CW164" s="72" t="str">
        <f t="shared" si="188"/>
        <v>9WD09-E-01X(A)</v>
      </c>
      <c r="CX164" s="73">
        <f t="shared" si="189"/>
        <v>0</v>
      </c>
      <c r="CY164" s="73">
        <f t="shared" si="190"/>
        <v>300</v>
      </c>
      <c r="CZ164" s="73">
        <f t="shared" si="191"/>
        <v>24</v>
      </c>
      <c r="DA164" s="73" t="str">
        <f t="shared" si="192"/>
        <v>ESP</v>
      </c>
      <c r="DB164" s="73"/>
      <c r="DC164" s="368">
        <f t="shared" si="193"/>
        <v>0</v>
      </c>
      <c r="DD164" s="73">
        <f t="shared" si="194"/>
        <v>0</v>
      </c>
      <c r="DE164" s="73">
        <f t="shared" si="195"/>
        <v>0</v>
      </c>
      <c r="DF164" s="73">
        <f t="shared" si="196"/>
        <v>0</v>
      </c>
      <c r="DG164" s="73">
        <f t="shared" si="197"/>
        <v>0</v>
      </c>
      <c r="DH164" s="73">
        <f t="shared" si="198"/>
        <v>0</v>
      </c>
      <c r="DI164" s="73">
        <f t="shared" si="199"/>
        <v>28.1</v>
      </c>
      <c r="DJ164" s="73"/>
      <c r="DK164" s="73"/>
      <c r="DL164" s="73">
        <f t="shared" si="200"/>
        <v>60</v>
      </c>
      <c r="DM164" s="215">
        <f t="shared" si="201"/>
        <v>378.18</v>
      </c>
      <c r="DN164" s="73" t="str">
        <f t="shared" si="202"/>
        <v/>
      </c>
      <c r="DO164" s="73">
        <f t="shared" si="169"/>
        <v>378.18</v>
      </c>
      <c r="DP164" s="85" t="str">
        <f t="shared" si="203"/>
        <v>WD09-E</v>
      </c>
      <c r="EB164" s="70" t="str">
        <f t="shared" si="204"/>
        <v>KHALDA_WELL</v>
      </c>
      <c r="EC164" s="71">
        <f t="shared" si="106"/>
        <v>46298</v>
      </c>
      <c r="ED164" s="72" t="str">
        <f t="shared" si="205"/>
        <v>WD09-E-01X(A)</v>
      </c>
      <c r="EE164" s="73">
        <f t="shared" si="206"/>
        <v>0</v>
      </c>
      <c r="EF164" s="73">
        <f t="shared" si="207"/>
        <v>300</v>
      </c>
      <c r="EG164" s="73">
        <f t="shared" si="208"/>
        <v>24</v>
      </c>
      <c r="EH164" s="73" t="str">
        <f t="shared" si="209"/>
        <v>ESP</v>
      </c>
      <c r="EI164" s="73"/>
      <c r="EJ164" s="72"/>
      <c r="EK164" s="72" t="str">
        <f t="shared" si="210"/>
        <v/>
      </c>
      <c r="EL164" s="73">
        <f t="shared" si="211"/>
        <v>1</v>
      </c>
      <c r="EM164" s="213">
        <f t="shared" si="212"/>
        <v>0</v>
      </c>
      <c r="EN164" s="73"/>
      <c r="EO164" s="73"/>
      <c r="EQ164" s="73">
        <f t="shared" si="213"/>
        <v>0</v>
      </c>
      <c r="ER164" s="73">
        <f t="shared" si="214"/>
        <v>0</v>
      </c>
      <c r="ES164" s="73">
        <f t="shared" si="215"/>
        <v>0</v>
      </c>
      <c r="ET164" s="73">
        <f t="shared" si="216"/>
        <v>28.1</v>
      </c>
      <c r="EU164" s="73"/>
      <c r="EV164" s="73"/>
      <c r="EX164" s="3">
        <f t="shared" si="217"/>
        <v>60</v>
      </c>
      <c r="EY164" s="73"/>
      <c r="EZ164" s="73">
        <f t="shared" si="218"/>
        <v>0</v>
      </c>
      <c r="FA164" s="73">
        <f t="shared" si="219"/>
        <v>0</v>
      </c>
      <c r="FB164" s="73">
        <f t="shared" si="220"/>
        <v>0</v>
      </c>
      <c r="FC164" s="73"/>
      <c r="FD164" s="73">
        <f t="shared" si="221"/>
        <v>0</v>
      </c>
    </row>
    <row r="165" spans="2:160" s="3" customFormat="1" ht="16.5" customHeight="1">
      <c r="B165" s="980" t="s">
        <v>2657</v>
      </c>
      <c r="C165" s="317" t="s">
        <v>1307</v>
      </c>
      <c r="D165" s="317" t="s">
        <v>18</v>
      </c>
      <c r="E165" s="991">
        <v>0</v>
      </c>
      <c r="F165" s="951">
        <f>IF(E165=0,0,((AI165*(1-(AJ165/100)))/24)*(24-HOURS))</f>
        <v>0</v>
      </c>
      <c r="G165" s="48"/>
      <c r="H165" s="981"/>
      <c r="I165" s="48"/>
      <c r="J165" s="48">
        <v>0</v>
      </c>
      <c r="K165" s="48">
        <v>0</v>
      </c>
      <c r="L165" s="48">
        <v>0</v>
      </c>
      <c r="M165" s="22"/>
      <c r="N165" s="140"/>
      <c r="O165" s="748"/>
      <c r="P165" s="48"/>
      <c r="Q165" s="48"/>
      <c r="R165" s="48"/>
      <c r="S165" s="886"/>
      <c r="T165" s="886"/>
      <c r="U165" s="886"/>
      <c r="V165" s="140"/>
      <c r="W165" s="140"/>
      <c r="X165" s="48"/>
      <c r="Y165" s="140"/>
      <c r="Z165" s="748"/>
      <c r="AA165" s="48"/>
      <c r="AB165" s="941"/>
      <c r="AC165" s="941"/>
      <c r="AD165" s="886">
        <v>0</v>
      </c>
      <c r="AE165" s="886">
        <v>0</v>
      </c>
      <c r="AF165" s="532"/>
      <c r="AG165" s="531">
        <f t="shared" si="157"/>
        <v>0</v>
      </c>
      <c r="AH165" s="304">
        <v>46180</v>
      </c>
      <c r="AI165" s="13">
        <v>236</v>
      </c>
      <c r="AJ165" s="15">
        <v>1</v>
      </c>
      <c r="AK165" s="15">
        <v>0</v>
      </c>
      <c r="AL165" s="13"/>
      <c r="AM165" s="93">
        <f t="shared" si="0"/>
        <v>233.64</v>
      </c>
      <c r="AN165" s="945"/>
      <c r="AO165" s="213"/>
      <c r="CJ165" s="921"/>
      <c r="CT165" s="35"/>
      <c r="CU165" s="70" t="s">
        <v>2189</v>
      </c>
      <c r="CV165" s="71">
        <f t="shared" si="1"/>
        <v>46298</v>
      </c>
      <c r="CW165" s="72" t="str">
        <f t="shared" si="188"/>
        <v>9WD09-E-03</v>
      </c>
      <c r="CX165" s="73">
        <f t="shared" si="189"/>
        <v>0</v>
      </c>
      <c r="CY165" s="73">
        <f t="shared" si="190"/>
        <v>0</v>
      </c>
      <c r="CZ165" s="73">
        <f t="shared" si="191"/>
        <v>0</v>
      </c>
      <c r="DA165" s="73" t="str">
        <f t="shared" si="192"/>
        <v>SI</v>
      </c>
      <c r="DB165" s="73"/>
      <c r="DC165" s="368">
        <f t="shared" si="193"/>
        <v>0</v>
      </c>
      <c r="DD165" s="73">
        <f t="shared" si="194"/>
        <v>0</v>
      </c>
      <c r="DE165" s="73">
        <f t="shared" si="195"/>
        <v>0</v>
      </c>
      <c r="DF165" s="73">
        <f t="shared" si="196"/>
        <v>0</v>
      </c>
      <c r="DG165" s="73">
        <f t="shared" si="197"/>
        <v>0</v>
      </c>
      <c r="DH165" s="73">
        <f t="shared" si="198"/>
        <v>0</v>
      </c>
      <c r="DI165" s="73">
        <f t="shared" si="199"/>
        <v>0</v>
      </c>
      <c r="DJ165" s="73"/>
      <c r="DK165" s="73"/>
      <c r="DL165" s="73">
        <f t="shared" si="200"/>
        <v>0</v>
      </c>
      <c r="DM165" s="215">
        <f t="shared" si="201"/>
        <v>0</v>
      </c>
      <c r="DN165" s="73" t="str">
        <f t="shared" si="202"/>
        <v/>
      </c>
      <c r="DO165" s="73">
        <f t="shared" si="169"/>
        <v>0</v>
      </c>
      <c r="DP165" s="85" t="str">
        <f t="shared" si="203"/>
        <v/>
      </c>
      <c r="EB165" s="70" t="str">
        <f t="shared" si="204"/>
        <v>KHALDA_WELL</v>
      </c>
      <c r="EC165" s="71">
        <f t="shared" si="106"/>
        <v>46298</v>
      </c>
      <c r="ED165" s="72" t="str">
        <f t="shared" si="205"/>
        <v>WD09-E-03</v>
      </c>
      <c r="EE165" s="73">
        <f t="shared" si="206"/>
        <v>0</v>
      </c>
      <c r="EF165" s="73">
        <f t="shared" si="207"/>
        <v>0</v>
      </c>
      <c r="EG165" s="73">
        <f t="shared" si="208"/>
        <v>0</v>
      </c>
      <c r="EH165" s="73" t="str">
        <f t="shared" si="209"/>
        <v>SI</v>
      </c>
      <c r="EI165" s="73"/>
      <c r="EJ165" s="72"/>
      <c r="EK165" s="72" t="str">
        <f t="shared" si="210"/>
        <v/>
      </c>
      <c r="EL165" s="73">
        <f t="shared" si="211"/>
        <v>1</v>
      </c>
      <c r="EM165" s="213">
        <f t="shared" si="212"/>
        <v>0</v>
      </c>
      <c r="EN165" s="73"/>
      <c r="EO165" s="73"/>
      <c r="EQ165" s="73">
        <f t="shared" si="213"/>
        <v>0</v>
      </c>
      <c r="ER165" s="73">
        <f t="shared" si="214"/>
        <v>0</v>
      </c>
      <c r="ES165" s="73">
        <f t="shared" si="215"/>
        <v>0</v>
      </c>
      <c r="ET165" s="73">
        <f t="shared" si="216"/>
        <v>0</v>
      </c>
      <c r="EU165" s="73"/>
      <c r="EV165" s="73"/>
      <c r="EX165" s="3">
        <f t="shared" si="217"/>
        <v>0</v>
      </c>
      <c r="EY165" s="73"/>
      <c r="EZ165" s="73">
        <f t="shared" si="218"/>
        <v>0</v>
      </c>
      <c r="FA165" s="73">
        <f t="shared" si="219"/>
        <v>0</v>
      </c>
      <c r="FB165" s="73">
        <f t="shared" si="220"/>
        <v>0</v>
      </c>
      <c r="FC165" s="73"/>
      <c r="FD165" s="73">
        <f t="shared" si="221"/>
        <v>0</v>
      </c>
    </row>
    <row r="166" spans="2:160" s="3" customFormat="1" ht="16.5" customHeight="1">
      <c r="B166" s="316" t="s">
        <v>1470</v>
      </c>
      <c r="C166" s="317" t="s">
        <v>1305</v>
      </c>
      <c r="D166" s="317" t="s">
        <v>18</v>
      </c>
      <c r="E166" s="991">
        <v>0</v>
      </c>
      <c r="F166" s="951">
        <f>IF(E166=0,0,((AI166*(1-(AJ166/100)))/24)*(24-HOURS))</f>
        <v>0</v>
      </c>
      <c r="G166" s="48"/>
      <c r="H166" s="981"/>
      <c r="I166" s="48" t="s">
        <v>2335</v>
      </c>
      <c r="J166" s="48">
        <v>0</v>
      </c>
      <c r="K166" s="48">
        <v>0</v>
      </c>
      <c r="L166" s="48">
        <v>0</v>
      </c>
      <c r="M166" s="22"/>
      <c r="N166" s="140"/>
      <c r="O166" s="748">
        <v>1</v>
      </c>
      <c r="P166" s="48">
        <v>184</v>
      </c>
      <c r="Q166" s="48">
        <v>0.93</v>
      </c>
      <c r="R166" s="48">
        <v>8476</v>
      </c>
      <c r="S166" s="886">
        <v>0</v>
      </c>
      <c r="T166" s="886">
        <v>0</v>
      </c>
      <c r="U166" s="886">
        <v>0</v>
      </c>
      <c r="V166" s="140"/>
      <c r="W166" s="140"/>
      <c r="X166" s="48"/>
      <c r="Y166" s="140"/>
      <c r="Z166" s="748"/>
      <c r="AA166" s="48"/>
      <c r="AB166" s="710">
        <v>52</v>
      </c>
      <c r="AC166" s="710">
        <v>17.5</v>
      </c>
      <c r="AD166" s="886"/>
      <c r="AE166" s="886"/>
      <c r="AF166" s="532">
        <f t="shared" si="104"/>
        <v>0</v>
      </c>
      <c r="AG166" s="531">
        <f t="shared" si="105"/>
        <v>0</v>
      </c>
      <c r="AH166" s="304">
        <v>45012</v>
      </c>
      <c r="AI166" s="13">
        <v>151</v>
      </c>
      <c r="AJ166" s="15">
        <v>90</v>
      </c>
      <c r="AK166" s="15"/>
      <c r="AL166" s="13"/>
      <c r="AM166" s="93">
        <f t="shared" si="0"/>
        <v>15.099999999999996</v>
      </c>
      <c r="AN166" s="148"/>
      <c r="AO166" s="213"/>
      <c r="CJ166" s="921">
        <f t="shared" si="62"/>
        <v>0</v>
      </c>
      <c r="CT166" s="35"/>
      <c r="CU166" s="70" t="s">
        <v>2190</v>
      </c>
      <c r="CV166" s="71">
        <f t="shared" si="1"/>
        <v>46298</v>
      </c>
      <c r="CW166" s="72" t="str">
        <f t="shared" si="188"/>
        <v>9WD33-05</v>
      </c>
      <c r="CX166" s="73" t="str">
        <f t="shared" si="189"/>
        <v>NO P.CK</v>
      </c>
      <c r="CY166" s="73">
        <f t="shared" si="190"/>
        <v>0</v>
      </c>
      <c r="CZ166" s="73">
        <f t="shared" si="191"/>
        <v>0</v>
      </c>
      <c r="DA166" s="73" t="str">
        <f t="shared" si="192"/>
        <v>SI</v>
      </c>
      <c r="DB166" s="73"/>
      <c r="DC166" s="368">
        <f t="shared" si="193"/>
        <v>0</v>
      </c>
      <c r="DD166" s="73">
        <f t="shared" si="194"/>
        <v>0</v>
      </c>
      <c r="DE166" s="73">
        <f t="shared" si="195"/>
        <v>0</v>
      </c>
      <c r="DF166" s="73">
        <f t="shared" si="196"/>
        <v>0</v>
      </c>
      <c r="DG166" s="73">
        <f t="shared" si="197"/>
        <v>0</v>
      </c>
      <c r="DH166" s="73">
        <f t="shared" si="198"/>
        <v>0</v>
      </c>
      <c r="DI166" s="73">
        <f t="shared" si="199"/>
        <v>0</v>
      </c>
      <c r="DJ166" s="73"/>
      <c r="DK166" s="73"/>
      <c r="DL166" s="73">
        <f t="shared" si="200"/>
        <v>0</v>
      </c>
      <c r="DM166" s="215">
        <f t="shared" si="201"/>
        <v>0</v>
      </c>
      <c r="DN166" s="73" t="str">
        <f t="shared" si="202"/>
        <v/>
      </c>
      <c r="DO166" s="73">
        <f t="shared" si="169"/>
        <v>0</v>
      </c>
      <c r="DP166" s="85" t="str">
        <f t="shared" si="203"/>
        <v/>
      </c>
      <c r="EB166" s="70" t="str">
        <f t="shared" si="204"/>
        <v>KHALDA_WELL</v>
      </c>
      <c r="EC166" s="71">
        <f t="shared" si="106"/>
        <v>46298</v>
      </c>
      <c r="ED166" s="72" t="str">
        <f t="shared" si="205"/>
        <v>WD33-05</v>
      </c>
      <c r="EE166" s="73" t="str">
        <f t="shared" si="206"/>
        <v>NO P.CK</v>
      </c>
      <c r="EF166" s="73">
        <f t="shared" si="207"/>
        <v>0</v>
      </c>
      <c r="EG166" s="73">
        <f t="shared" si="208"/>
        <v>0</v>
      </c>
      <c r="EH166" s="73" t="str">
        <f t="shared" si="209"/>
        <v>SI</v>
      </c>
      <c r="EI166" s="73"/>
      <c r="EJ166" s="72"/>
      <c r="EK166" s="72" t="str">
        <f t="shared" si="210"/>
        <v/>
      </c>
      <c r="EL166" s="73">
        <f t="shared" si="211"/>
        <v>90</v>
      </c>
      <c r="EM166" s="213">
        <f t="shared" si="212"/>
        <v>0</v>
      </c>
      <c r="EN166" s="73"/>
      <c r="EO166" s="73"/>
      <c r="EQ166" s="73">
        <f t="shared" si="213"/>
        <v>0</v>
      </c>
      <c r="ER166" s="73">
        <f t="shared" si="214"/>
        <v>0</v>
      </c>
      <c r="ES166" s="73">
        <f t="shared" si="215"/>
        <v>0</v>
      </c>
      <c r="ET166" s="73">
        <f t="shared" si="216"/>
        <v>0</v>
      </c>
      <c r="EU166" s="73"/>
      <c r="EV166" s="73"/>
      <c r="EX166" s="3">
        <f t="shared" si="217"/>
        <v>0</v>
      </c>
      <c r="EY166" s="73"/>
      <c r="EZ166" s="73">
        <f t="shared" si="218"/>
        <v>0</v>
      </c>
      <c r="FA166" s="73">
        <f t="shared" si="219"/>
        <v>0</v>
      </c>
      <c r="FB166" s="73">
        <f t="shared" si="220"/>
        <v>0</v>
      </c>
      <c r="FC166" s="73"/>
      <c r="FD166" s="73">
        <f t="shared" si="221"/>
        <v>0</v>
      </c>
    </row>
    <row r="167" spans="2:160" s="3" customFormat="1" ht="16.5" customHeight="1">
      <c r="B167" s="316" t="s">
        <v>1521</v>
      </c>
      <c r="C167" s="317" t="s">
        <v>1305</v>
      </c>
      <c r="D167" s="317" t="s">
        <v>18</v>
      </c>
      <c r="E167" s="991">
        <v>0</v>
      </c>
      <c r="F167" s="951">
        <f>IF(E167=0,0,((AI167*(1-(AJ167/100)))/24)*(24-HOURS))</f>
        <v>0</v>
      </c>
      <c r="G167" s="48"/>
      <c r="H167" s="981"/>
      <c r="I167" s="48" t="s">
        <v>2335</v>
      </c>
      <c r="J167" s="48">
        <v>0</v>
      </c>
      <c r="K167" s="48">
        <v>0</v>
      </c>
      <c r="L167" s="48">
        <v>0</v>
      </c>
      <c r="M167" s="22"/>
      <c r="N167" s="140"/>
      <c r="O167" s="48">
        <v>0</v>
      </c>
      <c r="P167" s="48">
        <v>0</v>
      </c>
      <c r="Q167" s="48">
        <v>0</v>
      </c>
      <c r="R167" s="48">
        <v>9388</v>
      </c>
      <c r="S167" s="886"/>
      <c r="T167" s="886"/>
      <c r="U167" s="886"/>
      <c r="V167" s="140"/>
      <c r="W167" s="140"/>
      <c r="X167" s="48"/>
      <c r="Y167" s="140"/>
      <c r="Z167" s="748"/>
      <c r="AA167" s="48"/>
      <c r="AB167" s="48"/>
      <c r="AC167" s="48"/>
      <c r="AD167" s="886"/>
      <c r="AE167" s="886"/>
      <c r="AF167" s="532">
        <f t="shared" si="104"/>
        <v>0</v>
      </c>
      <c r="AG167" s="531">
        <f t="shared" si="105"/>
        <v>0</v>
      </c>
      <c r="AH167" s="304">
        <v>43068</v>
      </c>
      <c r="AI167" s="13">
        <v>0</v>
      </c>
      <c r="AJ167" s="15">
        <v>0</v>
      </c>
      <c r="AK167" s="15">
        <v>2.29E-2</v>
      </c>
      <c r="AL167" s="13"/>
      <c r="AM167" s="93">
        <f t="shared" si="0"/>
        <v>0</v>
      </c>
      <c r="AN167" s="148"/>
      <c r="AO167" s="213"/>
      <c r="CJ167" s="921">
        <f t="shared" si="62"/>
        <v>0</v>
      </c>
      <c r="CT167" s="35"/>
      <c r="CU167" s="70" t="s">
        <v>2208</v>
      </c>
      <c r="CV167" s="71">
        <f t="shared" si="1"/>
        <v>46298</v>
      </c>
      <c r="CW167" s="72" t="str">
        <f t="shared" si="188"/>
        <v>9WD33-06</v>
      </c>
      <c r="CX167" s="73" t="str">
        <f t="shared" si="189"/>
        <v>NO P.CK</v>
      </c>
      <c r="CY167" s="73">
        <f t="shared" si="190"/>
        <v>0</v>
      </c>
      <c r="CZ167" s="73">
        <f t="shared" si="191"/>
        <v>0</v>
      </c>
      <c r="DA167" s="73" t="str">
        <f t="shared" si="192"/>
        <v>SI</v>
      </c>
      <c r="DB167" s="73"/>
      <c r="DC167" s="368">
        <f t="shared" si="193"/>
        <v>0</v>
      </c>
      <c r="DD167" s="73">
        <f t="shared" si="194"/>
        <v>0</v>
      </c>
      <c r="DE167" s="73">
        <f t="shared" si="195"/>
        <v>0</v>
      </c>
      <c r="DF167" s="73">
        <f t="shared" si="196"/>
        <v>0</v>
      </c>
      <c r="DG167" s="73">
        <f t="shared" si="197"/>
        <v>0</v>
      </c>
      <c r="DH167" s="73">
        <f t="shared" si="198"/>
        <v>0</v>
      </c>
      <c r="DI167" s="73">
        <f t="shared" si="199"/>
        <v>0</v>
      </c>
      <c r="DJ167" s="73"/>
      <c r="DK167" s="73"/>
      <c r="DL167" s="73">
        <f t="shared" si="200"/>
        <v>0</v>
      </c>
      <c r="DM167" s="215">
        <f t="shared" si="201"/>
        <v>0</v>
      </c>
      <c r="DN167" s="73" t="str">
        <f t="shared" si="202"/>
        <v/>
      </c>
      <c r="DO167" s="73">
        <f t="shared" si="169"/>
        <v>0</v>
      </c>
      <c r="DP167" s="85" t="str">
        <f t="shared" si="203"/>
        <v/>
      </c>
      <c r="EB167" s="70" t="str">
        <f t="shared" si="204"/>
        <v>KHALDA_WELL</v>
      </c>
      <c r="EC167" s="71">
        <f t="shared" si="106"/>
        <v>46298</v>
      </c>
      <c r="ED167" s="72" t="str">
        <f t="shared" si="205"/>
        <v>WD33-06</v>
      </c>
      <c r="EE167" s="73" t="str">
        <f t="shared" si="206"/>
        <v>NO P.CK</v>
      </c>
      <c r="EF167" s="73">
        <f t="shared" si="207"/>
        <v>0</v>
      </c>
      <c r="EG167" s="73">
        <f t="shared" si="208"/>
        <v>0</v>
      </c>
      <c r="EH167" s="73" t="str">
        <f t="shared" si="209"/>
        <v>SI</v>
      </c>
      <c r="EI167" s="73"/>
      <c r="EJ167" s="72"/>
      <c r="EK167" s="72" t="str">
        <f t="shared" si="210"/>
        <v/>
      </c>
      <c r="EL167" s="73">
        <f t="shared" si="211"/>
        <v>0</v>
      </c>
      <c r="EM167" s="213">
        <f t="shared" si="212"/>
        <v>0</v>
      </c>
      <c r="EN167" s="73"/>
      <c r="EO167" s="73"/>
      <c r="EQ167" s="73">
        <f t="shared" si="213"/>
        <v>0</v>
      </c>
      <c r="ER167" s="73">
        <f t="shared" si="214"/>
        <v>0</v>
      </c>
      <c r="ES167" s="73">
        <f t="shared" si="215"/>
        <v>0</v>
      </c>
      <c r="ET167" s="73">
        <f t="shared" si="216"/>
        <v>0</v>
      </c>
      <c r="EU167" s="73"/>
      <c r="EV167" s="73"/>
      <c r="EX167" s="3">
        <f t="shared" si="217"/>
        <v>0</v>
      </c>
      <c r="EY167" s="73"/>
      <c r="EZ167" s="73">
        <f t="shared" si="218"/>
        <v>0</v>
      </c>
      <c r="FA167" s="73">
        <f t="shared" si="219"/>
        <v>0</v>
      </c>
      <c r="FB167" s="73">
        <f t="shared" si="220"/>
        <v>0</v>
      </c>
      <c r="FC167" s="73"/>
      <c r="FD167" s="73">
        <f t="shared" si="221"/>
        <v>0</v>
      </c>
    </row>
    <row r="168" spans="2:160" s="3" customFormat="1" ht="16.5" customHeight="1">
      <c r="B168" s="316" t="s">
        <v>1591</v>
      </c>
      <c r="C168" s="317" t="s">
        <v>1305</v>
      </c>
      <c r="D168" s="317" t="s">
        <v>3</v>
      </c>
      <c r="E168" s="991">
        <v>24</v>
      </c>
      <c r="F168" s="951">
        <f t="shared" si="155"/>
        <v>0</v>
      </c>
      <c r="G168" s="48"/>
      <c r="H168" s="981"/>
      <c r="I168" s="48" t="s">
        <v>2338</v>
      </c>
      <c r="J168" s="48">
        <v>100</v>
      </c>
      <c r="K168" s="48">
        <v>80</v>
      </c>
      <c r="L168" s="48">
        <v>0</v>
      </c>
      <c r="M168" s="22"/>
      <c r="N168" s="140"/>
      <c r="O168" s="748"/>
      <c r="P168" s="48"/>
      <c r="Q168" s="48"/>
      <c r="R168" s="48">
        <v>9583</v>
      </c>
      <c r="S168" s="886"/>
      <c r="T168" s="886"/>
      <c r="U168" s="886"/>
      <c r="V168" s="140"/>
      <c r="W168" s="140"/>
      <c r="X168" s="48"/>
      <c r="Y168" s="140"/>
      <c r="Z168" s="748" t="s">
        <v>2147</v>
      </c>
      <c r="AA168" s="910" t="s">
        <v>2231</v>
      </c>
      <c r="AB168" s="48"/>
      <c r="AC168" s="48"/>
      <c r="AD168" s="886">
        <v>26.1</v>
      </c>
      <c r="AE168" s="886">
        <v>50</v>
      </c>
      <c r="AF168" s="532">
        <f t="shared" si="104"/>
        <v>0</v>
      </c>
      <c r="AG168" s="531">
        <f t="shared" si="105"/>
        <v>126.5</v>
      </c>
      <c r="AH168" s="304">
        <v>46295</v>
      </c>
      <c r="AI168" s="13">
        <v>506</v>
      </c>
      <c r="AJ168" s="15">
        <v>75</v>
      </c>
      <c r="AK168" s="15">
        <v>0</v>
      </c>
      <c r="AL168" s="13">
        <v>52000</v>
      </c>
      <c r="AM168" s="93">
        <f t="shared" si="0"/>
        <v>126.5</v>
      </c>
      <c r="AN168" s="148"/>
      <c r="AO168" s="213"/>
      <c r="CJ168" s="921">
        <f t="shared" ref="CJ168:CJ173" si="224">+IF(D168="SI",0,AI168*AJ168/100)</f>
        <v>379.5</v>
      </c>
      <c r="CT168" s="35"/>
      <c r="CU168" s="70" t="s">
        <v>2270</v>
      </c>
      <c r="CV168" s="71">
        <f t="shared" si="1"/>
        <v>46298</v>
      </c>
      <c r="CW168" s="72" t="str">
        <f t="shared" si="188"/>
        <v>9WD33-10</v>
      </c>
      <c r="CX168" s="73" t="str">
        <f t="shared" si="189"/>
        <v>0PEN</v>
      </c>
      <c r="CY168" s="73">
        <f t="shared" si="190"/>
        <v>100</v>
      </c>
      <c r="CZ168" s="73">
        <f t="shared" si="191"/>
        <v>24</v>
      </c>
      <c r="DA168" s="73" t="str">
        <f t="shared" si="192"/>
        <v>ESP</v>
      </c>
      <c r="DB168" s="73"/>
      <c r="DC168" s="368">
        <f t="shared" si="193"/>
        <v>0</v>
      </c>
      <c r="DD168" s="73">
        <f t="shared" si="194"/>
        <v>0</v>
      </c>
      <c r="DE168" s="73">
        <f t="shared" si="195"/>
        <v>0</v>
      </c>
      <c r="DF168" s="73">
        <f t="shared" si="196"/>
        <v>0</v>
      </c>
      <c r="DG168" s="73">
        <f t="shared" si="197"/>
        <v>0</v>
      </c>
      <c r="DH168" s="73" t="str">
        <f t="shared" si="198"/>
        <v>22/7/2020</v>
      </c>
      <c r="DI168" s="73">
        <f t="shared" si="199"/>
        <v>26.1</v>
      </c>
      <c r="DJ168" s="73"/>
      <c r="DK168" s="73"/>
      <c r="DL168" s="73">
        <f t="shared" si="200"/>
        <v>50</v>
      </c>
      <c r="DM168" s="215">
        <f t="shared" si="201"/>
        <v>126.5</v>
      </c>
      <c r="DN168" s="73" t="str">
        <f t="shared" si="202"/>
        <v/>
      </c>
      <c r="DO168" s="73">
        <f t="shared" si="169"/>
        <v>126.5</v>
      </c>
      <c r="DP168" s="85" t="str">
        <f t="shared" si="203"/>
        <v>WD33</v>
      </c>
      <c r="EB168" s="70" t="str">
        <f t="shared" si="204"/>
        <v>KHALDA_WELL</v>
      </c>
      <c r="EC168" s="71">
        <f>REPORTDATE-1</f>
        <v>46298</v>
      </c>
      <c r="ED168" s="72" t="str">
        <f t="shared" si="205"/>
        <v>WD33-10</v>
      </c>
      <c r="EE168" s="73" t="str">
        <f t="shared" si="206"/>
        <v>0PEN</v>
      </c>
      <c r="EF168" s="73">
        <f t="shared" si="207"/>
        <v>100</v>
      </c>
      <c r="EG168" s="73">
        <f t="shared" si="208"/>
        <v>24</v>
      </c>
      <c r="EH168" s="73" t="str">
        <f t="shared" si="209"/>
        <v>ESP</v>
      </c>
      <c r="EI168" s="73"/>
      <c r="EJ168" s="72"/>
      <c r="EK168" s="72" t="str">
        <f t="shared" si="210"/>
        <v/>
      </c>
      <c r="EL168" s="73">
        <f t="shared" si="211"/>
        <v>75</v>
      </c>
      <c r="EM168" s="213">
        <f t="shared" si="212"/>
        <v>0</v>
      </c>
      <c r="EN168" s="73"/>
      <c r="EO168" s="73"/>
      <c r="EQ168" s="73">
        <f t="shared" si="213"/>
        <v>0</v>
      </c>
      <c r="ER168" s="73" t="str">
        <f t="shared" si="214"/>
        <v>22/7/2020</v>
      </c>
      <c r="ES168" s="73">
        <f t="shared" si="215"/>
        <v>0</v>
      </c>
      <c r="ET168" s="73">
        <f t="shared" si="216"/>
        <v>26.1</v>
      </c>
      <c r="EU168" s="73"/>
      <c r="EV168" s="73"/>
      <c r="EX168" s="3">
        <f t="shared" si="217"/>
        <v>50</v>
      </c>
      <c r="EY168" s="73"/>
      <c r="EZ168" s="73">
        <f t="shared" si="218"/>
        <v>0</v>
      </c>
      <c r="FA168" s="73">
        <f t="shared" si="219"/>
        <v>0</v>
      </c>
      <c r="FB168" s="73">
        <f t="shared" si="220"/>
        <v>0</v>
      </c>
      <c r="FC168" s="73"/>
      <c r="FD168" s="73">
        <f t="shared" si="221"/>
        <v>0</v>
      </c>
    </row>
    <row r="169" spans="2:160" s="3" customFormat="1" ht="16.5" customHeight="1">
      <c r="B169" s="316" t="s">
        <v>1668</v>
      </c>
      <c r="C169" s="317" t="s">
        <v>1315</v>
      </c>
      <c r="D169" s="317" t="s">
        <v>18</v>
      </c>
      <c r="E169" s="991">
        <v>0</v>
      </c>
      <c r="F169" s="951">
        <f t="shared" si="155"/>
        <v>0</v>
      </c>
      <c r="G169" s="48" t="s">
        <v>2527</v>
      </c>
      <c r="H169" s="981"/>
      <c r="I169" s="48" t="s">
        <v>2335</v>
      </c>
      <c r="J169" s="48">
        <v>40</v>
      </c>
      <c r="K169" s="48">
        <v>40</v>
      </c>
      <c r="L169" s="48">
        <v>0</v>
      </c>
      <c r="M169" s="22"/>
      <c r="N169" s="140"/>
      <c r="O169" s="748">
        <v>46291</v>
      </c>
      <c r="P169" s="48">
        <v>9920</v>
      </c>
      <c r="Q169" s="48">
        <v>166</v>
      </c>
      <c r="R169" s="48">
        <v>10086</v>
      </c>
      <c r="S169" s="886">
        <v>20</v>
      </c>
      <c r="T169" s="886">
        <v>14</v>
      </c>
      <c r="U169" s="886">
        <v>78</v>
      </c>
      <c r="V169" s="140"/>
      <c r="W169" s="140"/>
      <c r="X169" s="48"/>
      <c r="Y169" s="140">
        <v>5.48</v>
      </c>
      <c r="Z169" s="748"/>
      <c r="AA169" s="910"/>
      <c r="AB169" s="48"/>
      <c r="AC169" s="48"/>
      <c r="AD169" s="886"/>
      <c r="AE169" s="886"/>
      <c r="AF169" s="532">
        <f t="shared" si="104"/>
        <v>0</v>
      </c>
      <c r="AG169" s="531">
        <f t="shared" si="105"/>
        <v>0</v>
      </c>
      <c r="AH169" s="304">
        <v>45005</v>
      </c>
      <c r="AI169" s="13">
        <v>9</v>
      </c>
      <c r="AJ169" s="15">
        <v>82.5</v>
      </c>
      <c r="AK169" s="15">
        <v>0</v>
      </c>
      <c r="AL169" s="13"/>
      <c r="AM169" s="93">
        <f t="shared" si="0"/>
        <v>1.5750000000000004</v>
      </c>
      <c r="AN169" s="148"/>
      <c r="AO169" s="213"/>
      <c r="CJ169" s="921">
        <f t="shared" si="224"/>
        <v>0</v>
      </c>
      <c r="CT169" s="35"/>
      <c r="CU169" s="70" t="s">
        <v>2371</v>
      </c>
      <c r="CV169" s="71">
        <f t="shared" si="1"/>
        <v>46298</v>
      </c>
      <c r="CW169" s="72" t="str">
        <f t="shared" si="188"/>
        <v>9WD33-16</v>
      </c>
      <c r="CX169" s="73" t="str">
        <f t="shared" si="189"/>
        <v>NO P.CK</v>
      </c>
      <c r="CY169" s="73">
        <f t="shared" si="190"/>
        <v>40</v>
      </c>
      <c r="CZ169" s="73">
        <f t="shared" si="191"/>
        <v>0</v>
      </c>
      <c r="DA169" s="73" t="str">
        <f t="shared" si="192"/>
        <v>SI</v>
      </c>
      <c r="DB169" s="73"/>
      <c r="DC169" s="368">
        <f t="shared" si="193"/>
        <v>0</v>
      </c>
      <c r="DD169" s="73">
        <f t="shared" si="194"/>
        <v>0</v>
      </c>
      <c r="DE169" s="73">
        <f t="shared" si="195"/>
        <v>0</v>
      </c>
      <c r="DF169" s="73">
        <f t="shared" si="196"/>
        <v>0</v>
      </c>
      <c r="DG169" s="73">
        <f t="shared" si="197"/>
        <v>0</v>
      </c>
      <c r="DH169" s="73">
        <f t="shared" si="198"/>
        <v>0</v>
      </c>
      <c r="DI169" s="73">
        <f t="shared" si="199"/>
        <v>0</v>
      </c>
      <c r="DJ169" s="73"/>
      <c r="DK169" s="73"/>
      <c r="DL169" s="73">
        <f t="shared" si="200"/>
        <v>0</v>
      </c>
      <c r="DM169" s="215">
        <f t="shared" si="201"/>
        <v>0</v>
      </c>
      <c r="DN169" s="73" t="str">
        <f t="shared" si="202"/>
        <v>No Production</v>
      </c>
      <c r="DO169" s="73">
        <f t="shared" si="169"/>
        <v>0</v>
      </c>
      <c r="DP169" s="85" t="str">
        <f t="shared" si="203"/>
        <v/>
      </c>
      <c r="EB169" s="70" t="str">
        <f t="shared" si="204"/>
        <v>KHALDA_WELL</v>
      </c>
      <c r="EC169" s="71">
        <f>REPORTDATE-1</f>
        <v>46298</v>
      </c>
      <c r="ED169" s="72" t="str">
        <f t="shared" si="205"/>
        <v>WD33-16</v>
      </c>
      <c r="EE169" s="73" t="str">
        <f t="shared" si="206"/>
        <v>NO P.CK</v>
      </c>
      <c r="EF169" s="73">
        <f t="shared" si="207"/>
        <v>40</v>
      </c>
      <c r="EG169" s="73">
        <f t="shared" si="208"/>
        <v>0</v>
      </c>
      <c r="EH169" s="73" t="str">
        <f t="shared" si="209"/>
        <v>SI</v>
      </c>
      <c r="EI169" s="73"/>
      <c r="EJ169" s="72"/>
      <c r="EK169" s="72" t="str">
        <f t="shared" si="210"/>
        <v>No Production</v>
      </c>
      <c r="EL169" s="73">
        <f t="shared" si="211"/>
        <v>82.5</v>
      </c>
      <c r="EM169" s="213">
        <f t="shared" si="212"/>
        <v>0</v>
      </c>
      <c r="EN169" s="73"/>
      <c r="EO169" s="73"/>
      <c r="EQ169" s="73">
        <f t="shared" si="213"/>
        <v>5.48</v>
      </c>
      <c r="ER169" s="73">
        <f t="shared" si="214"/>
        <v>0</v>
      </c>
      <c r="ES169" s="73">
        <f t="shared" si="215"/>
        <v>0</v>
      </c>
      <c r="ET169" s="73">
        <f t="shared" si="216"/>
        <v>0</v>
      </c>
      <c r="EU169" s="73"/>
      <c r="EV169" s="73"/>
      <c r="EX169" s="3">
        <f t="shared" si="217"/>
        <v>0</v>
      </c>
      <c r="EY169" s="73"/>
      <c r="EZ169" s="73">
        <f t="shared" si="218"/>
        <v>20</v>
      </c>
      <c r="FA169" s="73">
        <f t="shared" si="219"/>
        <v>14</v>
      </c>
      <c r="FB169" s="73">
        <f t="shared" si="220"/>
        <v>78</v>
      </c>
      <c r="FC169" s="73"/>
      <c r="FD169" s="73">
        <f t="shared" si="221"/>
        <v>0</v>
      </c>
    </row>
    <row r="170" spans="2:160" s="3" customFormat="1" ht="16.5" customHeight="1">
      <c r="B170" s="316" t="s">
        <v>1680</v>
      </c>
      <c r="C170" s="317" t="s">
        <v>1307</v>
      </c>
      <c r="D170" s="317" t="s">
        <v>18</v>
      </c>
      <c r="E170" s="991">
        <v>0</v>
      </c>
      <c r="F170" s="951">
        <f t="shared" si="155"/>
        <v>0</v>
      </c>
      <c r="G170" s="48"/>
      <c r="H170" s="981"/>
      <c r="I170" s="48" t="s">
        <v>2335</v>
      </c>
      <c r="J170" s="48">
        <v>0</v>
      </c>
      <c r="K170" s="48">
        <v>0</v>
      </c>
      <c r="L170" s="48">
        <v>0</v>
      </c>
      <c r="M170" s="22"/>
      <c r="N170" s="140"/>
      <c r="O170" s="748"/>
      <c r="P170" s="48"/>
      <c r="Q170" s="48"/>
      <c r="R170" s="48">
        <v>9491</v>
      </c>
      <c r="S170" s="886"/>
      <c r="T170" s="886"/>
      <c r="U170" s="886"/>
      <c r="V170" s="140"/>
      <c r="W170" s="140"/>
      <c r="X170" s="48">
        <v>124</v>
      </c>
      <c r="Y170" s="140">
        <v>5.4</v>
      </c>
      <c r="Z170" s="748">
        <v>42890</v>
      </c>
      <c r="AA170" s="48" t="s">
        <v>2117</v>
      </c>
      <c r="AB170" s="48"/>
      <c r="AC170" s="48"/>
      <c r="AD170" s="886">
        <v>0</v>
      </c>
      <c r="AE170" s="886">
        <v>0</v>
      </c>
      <c r="AF170" s="532">
        <f t="shared" si="104"/>
        <v>0</v>
      </c>
      <c r="AG170" s="531">
        <f t="shared" si="105"/>
        <v>0</v>
      </c>
      <c r="AH170" s="304">
        <v>43993</v>
      </c>
      <c r="AI170" s="13">
        <v>1514</v>
      </c>
      <c r="AJ170" s="15">
        <v>98</v>
      </c>
      <c r="AK170" s="15">
        <v>0</v>
      </c>
      <c r="AL170" s="13"/>
      <c r="AM170" s="93">
        <f t="shared" si="0"/>
        <v>30.280000000000026</v>
      </c>
      <c r="AN170" s="148"/>
      <c r="AO170" s="213"/>
      <c r="CJ170" s="921">
        <f t="shared" si="224"/>
        <v>0</v>
      </c>
      <c r="CT170" s="35"/>
      <c r="CU170" s="70" t="s">
        <v>2411</v>
      </c>
      <c r="CV170" s="71">
        <f t="shared" si="1"/>
        <v>46298</v>
      </c>
      <c r="CW170" s="72" t="str">
        <f t="shared" si="188"/>
        <v>9WD33-19</v>
      </c>
      <c r="CX170" s="73" t="str">
        <f t="shared" si="189"/>
        <v>NO P.CK</v>
      </c>
      <c r="CY170" s="73">
        <f t="shared" si="190"/>
        <v>0</v>
      </c>
      <c r="CZ170" s="73">
        <f t="shared" si="191"/>
        <v>0</v>
      </c>
      <c r="DA170" s="73" t="str">
        <f t="shared" si="192"/>
        <v>SI</v>
      </c>
      <c r="DB170" s="73"/>
      <c r="DC170" s="368">
        <f t="shared" si="193"/>
        <v>0</v>
      </c>
      <c r="DD170" s="73">
        <f t="shared" si="194"/>
        <v>0</v>
      </c>
      <c r="DE170" s="73">
        <f t="shared" si="195"/>
        <v>0</v>
      </c>
      <c r="DF170" s="73">
        <f t="shared" si="196"/>
        <v>0</v>
      </c>
      <c r="DG170" s="73">
        <f t="shared" si="197"/>
        <v>124</v>
      </c>
      <c r="DH170" s="73">
        <f t="shared" si="198"/>
        <v>42890</v>
      </c>
      <c r="DI170" s="73">
        <f t="shared" si="199"/>
        <v>0</v>
      </c>
      <c r="DJ170" s="73"/>
      <c r="DK170" s="73"/>
      <c r="DL170" s="73">
        <f t="shared" si="200"/>
        <v>0</v>
      </c>
      <c r="DM170" s="215">
        <f t="shared" si="201"/>
        <v>0</v>
      </c>
      <c r="DN170" s="73" t="str">
        <f t="shared" si="202"/>
        <v/>
      </c>
      <c r="DO170" s="73">
        <f t="shared" si="169"/>
        <v>0</v>
      </c>
      <c r="DP170" s="85" t="str">
        <f t="shared" si="203"/>
        <v/>
      </c>
      <c r="EB170" s="70" t="str">
        <f>IF(B170="","","KHALDA_WELL")</f>
        <v>KHALDA_WELL</v>
      </c>
      <c r="EC170" s="71">
        <f t="shared" ref="EC170:EC190" si="225">REPORTDATE-1</f>
        <v>46298</v>
      </c>
      <c r="ED170" s="72" t="str">
        <f>B170</f>
        <v>WD33-19</v>
      </c>
      <c r="EE170" s="73" t="str">
        <f t="shared" ref="EE170:EF173" si="226">I170</f>
        <v>NO P.CK</v>
      </c>
      <c r="EF170" s="73">
        <f t="shared" si="226"/>
        <v>0</v>
      </c>
      <c r="EG170" s="73">
        <f>E170</f>
        <v>0</v>
      </c>
      <c r="EH170" s="73" t="str">
        <f>IF(CZ170=0,"SI",D170)</f>
        <v>SI</v>
      </c>
      <c r="EI170" s="73"/>
      <c r="EJ170" s="72"/>
      <c r="EK170" s="72" t="str">
        <f>IF(G170="","",G170)</f>
        <v/>
      </c>
      <c r="EL170" s="73">
        <f>AJ170</f>
        <v>98</v>
      </c>
      <c r="EM170" s="213">
        <f>W170</f>
        <v>0</v>
      </c>
      <c r="EN170" s="73"/>
      <c r="EO170" s="73"/>
      <c r="EQ170" s="73">
        <f t="shared" ref="EQ170:ER173" si="227">Y170</f>
        <v>5.4</v>
      </c>
      <c r="ER170" s="73">
        <f t="shared" si="227"/>
        <v>42890</v>
      </c>
      <c r="ES170" s="73">
        <f>X170</f>
        <v>124</v>
      </c>
      <c r="ET170" s="73">
        <f>AD170</f>
        <v>0</v>
      </c>
      <c r="EU170" s="73"/>
      <c r="EV170" s="73"/>
      <c r="EX170" s="3">
        <f>AE170</f>
        <v>0</v>
      </c>
      <c r="EY170" s="73"/>
      <c r="EZ170" s="73">
        <f t="shared" ref="EZ170:FB173" si="228">S170</f>
        <v>0</v>
      </c>
      <c r="FA170" s="73">
        <f t="shared" si="228"/>
        <v>0</v>
      </c>
      <c r="FB170" s="73">
        <f t="shared" si="228"/>
        <v>0</v>
      </c>
      <c r="FC170" s="73"/>
      <c r="FD170" s="73">
        <f>AN170</f>
        <v>0</v>
      </c>
    </row>
    <row r="171" spans="2:160" s="3" customFormat="1" ht="16.5" customHeight="1">
      <c r="B171" s="316" t="s">
        <v>1718</v>
      </c>
      <c r="C171" s="317" t="s">
        <v>21</v>
      </c>
      <c r="D171" s="317" t="s">
        <v>2</v>
      </c>
      <c r="E171" s="991">
        <v>24</v>
      </c>
      <c r="F171" s="951">
        <f t="shared" si="155"/>
        <v>0</v>
      </c>
      <c r="G171" s="48"/>
      <c r="H171" s="981"/>
      <c r="I171" s="48" t="s">
        <v>2335</v>
      </c>
      <c r="J171" s="48">
        <v>80</v>
      </c>
      <c r="K171" s="48">
        <v>70</v>
      </c>
      <c r="L171" s="48">
        <v>0</v>
      </c>
      <c r="M171" s="22"/>
      <c r="N171" s="140"/>
      <c r="O171" s="748">
        <v>46291</v>
      </c>
      <c r="P171" s="48"/>
      <c r="Q171" s="48"/>
      <c r="R171" s="48"/>
      <c r="S171" s="886">
        <v>34</v>
      </c>
      <c r="T171" s="886">
        <v>39</v>
      </c>
      <c r="U171" s="886">
        <v>77</v>
      </c>
      <c r="V171" s="140"/>
      <c r="W171" s="140"/>
      <c r="X171" s="48"/>
      <c r="Y171" s="140"/>
      <c r="Z171" s="748"/>
      <c r="AA171" s="48"/>
      <c r="AB171" s="48"/>
      <c r="AC171" s="48"/>
      <c r="AD171" s="886"/>
      <c r="AE171" s="886"/>
      <c r="AF171" s="532">
        <f t="shared" si="104"/>
        <v>0</v>
      </c>
      <c r="AG171" s="531">
        <f t="shared" si="105"/>
        <v>26.73</v>
      </c>
      <c r="AH171" s="304">
        <v>46274</v>
      </c>
      <c r="AI171" s="13">
        <v>27</v>
      </c>
      <c r="AJ171" s="15">
        <v>1</v>
      </c>
      <c r="AK171" s="15">
        <v>0</v>
      </c>
      <c r="AL171" s="13"/>
      <c r="AM171" s="93">
        <f>IF(BFPD=0,0,BFPD*(1-BSW/100))</f>
        <v>26.73</v>
      </c>
      <c r="AN171" s="148"/>
      <c r="AO171" s="213"/>
      <c r="CJ171" s="921">
        <f t="shared" si="224"/>
        <v>0.27</v>
      </c>
      <c r="CT171" s="35"/>
      <c r="CU171" s="70" t="s">
        <v>2412</v>
      </c>
      <c r="CV171" s="71">
        <f t="shared" si="1"/>
        <v>46298</v>
      </c>
      <c r="CW171" s="72" t="str">
        <f t="shared" si="188"/>
        <v>9WD33-20</v>
      </c>
      <c r="CX171" s="73" t="str">
        <f t="shared" si="189"/>
        <v>NO P.CK</v>
      </c>
      <c r="CY171" s="73">
        <f t="shared" si="190"/>
        <v>80</v>
      </c>
      <c r="CZ171" s="73">
        <f t="shared" si="191"/>
        <v>24</v>
      </c>
      <c r="DA171" s="73" t="str">
        <f t="shared" si="192"/>
        <v>SRP</v>
      </c>
      <c r="DB171" s="73"/>
      <c r="DC171" s="368">
        <f t="shared" si="193"/>
        <v>0</v>
      </c>
      <c r="DD171" s="73">
        <f t="shared" si="194"/>
        <v>0</v>
      </c>
      <c r="DE171" s="73">
        <f t="shared" si="195"/>
        <v>0</v>
      </c>
      <c r="DF171" s="73">
        <f t="shared" si="196"/>
        <v>0</v>
      </c>
      <c r="DG171" s="73">
        <f t="shared" si="197"/>
        <v>0</v>
      </c>
      <c r="DH171" s="73">
        <f t="shared" si="198"/>
        <v>0</v>
      </c>
      <c r="DI171" s="73">
        <f t="shared" si="199"/>
        <v>0</v>
      </c>
      <c r="DJ171" s="73"/>
      <c r="DK171" s="73"/>
      <c r="DL171" s="73">
        <f t="shared" si="200"/>
        <v>0</v>
      </c>
      <c r="DM171" s="215">
        <f t="shared" si="201"/>
        <v>26.73</v>
      </c>
      <c r="DN171" s="73" t="str">
        <f t="shared" si="202"/>
        <v/>
      </c>
      <c r="DO171" s="73">
        <f t="shared" si="169"/>
        <v>26.73</v>
      </c>
      <c r="DP171" s="85" t="str">
        <f t="shared" si="203"/>
        <v>WD33-15</v>
      </c>
      <c r="EB171" s="70" t="str">
        <f>IF(B171="","","KHALDA_WELL")</f>
        <v>KHALDA_WELL</v>
      </c>
      <c r="EC171" s="71">
        <f t="shared" si="225"/>
        <v>46298</v>
      </c>
      <c r="ED171" s="72" t="str">
        <f>B171</f>
        <v>WD33-20</v>
      </c>
      <c r="EE171" s="73" t="str">
        <f t="shared" si="226"/>
        <v>NO P.CK</v>
      </c>
      <c r="EF171" s="73">
        <f t="shared" si="226"/>
        <v>80</v>
      </c>
      <c r="EG171" s="73">
        <f>E171</f>
        <v>24</v>
      </c>
      <c r="EH171" s="73" t="str">
        <f>IF(CZ171=0,"SI",D171)</f>
        <v>SRP</v>
      </c>
      <c r="EI171" s="73"/>
      <c r="EJ171" s="72"/>
      <c r="EK171" s="72" t="str">
        <f>IF(G171="","",G171)</f>
        <v/>
      </c>
      <c r="EL171" s="73">
        <f>AJ171</f>
        <v>1</v>
      </c>
      <c r="EM171" s="213">
        <f>W171</f>
        <v>0</v>
      </c>
      <c r="EN171" s="73"/>
      <c r="EO171" s="73"/>
      <c r="EQ171" s="73">
        <f t="shared" si="227"/>
        <v>0</v>
      </c>
      <c r="ER171" s="73">
        <f t="shared" si="227"/>
        <v>0</v>
      </c>
      <c r="ES171" s="73">
        <f>X171</f>
        <v>0</v>
      </c>
      <c r="ET171" s="73">
        <f>AD171</f>
        <v>0</v>
      </c>
      <c r="EU171" s="73"/>
      <c r="EV171" s="73"/>
      <c r="EX171" s="3">
        <f>AE171</f>
        <v>0</v>
      </c>
      <c r="EY171" s="73"/>
      <c r="EZ171" s="73">
        <f t="shared" si="228"/>
        <v>34</v>
      </c>
      <c r="FA171" s="73">
        <f t="shared" si="228"/>
        <v>39</v>
      </c>
      <c r="FB171" s="73">
        <f t="shared" si="228"/>
        <v>77</v>
      </c>
      <c r="FC171" s="73"/>
      <c r="FD171" s="73">
        <f>AN171</f>
        <v>0</v>
      </c>
    </row>
    <row r="172" spans="2:160" s="3" customFormat="1" ht="16.5" customHeight="1">
      <c r="B172" s="316" t="s">
        <v>1715</v>
      </c>
      <c r="C172" s="317" t="s">
        <v>1305</v>
      </c>
      <c r="D172" s="317" t="s">
        <v>2</v>
      </c>
      <c r="E172" s="991">
        <v>24</v>
      </c>
      <c r="F172" s="951">
        <f t="shared" si="155"/>
        <v>0</v>
      </c>
      <c r="G172" s="48"/>
      <c r="H172" s="981"/>
      <c r="I172" s="48" t="s">
        <v>2335</v>
      </c>
      <c r="J172" s="48">
        <v>70</v>
      </c>
      <c r="K172" s="48">
        <v>60</v>
      </c>
      <c r="L172" s="48">
        <v>0</v>
      </c>
      <c r="M172" s="22"/>
      <c r="N172" s="140"/>
      <c r="O172" s="748">
        <v>46291</v>
      </c>
      <c r="P172" s="48">
        <v>6929</v>
      </c>
      <c r="Q172" s="48">
        <v>1592</v>
      </c>
      <c r="R172" s="48">
        <v>8677</v>
      </c>
      <c r="S172" s="886">
        <v>100</v>
      </c>
      <c r="T172" s="886">
        <v>118</v>
      </c>
      <c r="U172" s="886">
        <v>98</v>
      </c>
      <c r="V172" s="140"/>
      <c r="W172" s="140"/>
      <c r="X172" s="48">
        <v>124</v>
      </c>
      <c r="Y172" s="140">
        <v>5.6</v>
      </c>
      <c r="Z172" s="748">
        <v>45176</v>
      </c>
      <c r="AA172" s="48"/>
      <c r="AB172" s="48"/>
      <c r="AC172" s="48"/>
      <c r="AD172" s="886"/>
      <c r="AE172" s="886"/>
      <c r="AF172" s="532">
        <f t="shared" si="104"/>
        <v>0</v>
      </c>
      <c r="AG172" s="531">
        <f t="shared" si="105"/>
        <v>96</v>
      </c>
      <c r="AH172" s="304">
        <v>46294</v>
      </c>
      <c r="AI172" s="13">
        <v>100</v>
      </c>
      <c r="AJ172" s="15">
        <v>4</v>
      </c>
      <c r="AK172" s="15">
        <v>0</v>
      </c>
      <c r="AL172" s="13">
        <v>60000</v>
      </c>
      <c r="AM172" s="93">
        <f t="shared" si="0"/>
        <v>96</v>
      </c>
      <c r="AN172" s="148"/>
      <c r="AO172" s="213"/>
      <c r="CJ172" s="921">
        <f t="shared" si="224"/>
        <v>4</v>
      </c>
      <c r="CT172" s="35"/>
      <c r="CU172" s="70" t="s">
        <v>2642</v>
      </c>
      <c r="CV172" s="71">
        <f t="shared" si="1"/>
        <v>46298</v>
      </c>
      <c r="CW172" s="72" t="str">
        <f t="shared" si="188"/>
        <v>9WD33-21</v>
      </c>
      <c r="CX172" s="73" t="str">
        <f t="shared" si="189"/>
        <v>NO P.CK</v>
      </c>
      <c r="CY172" s="73">
        <f t="shared" si="190"/>
        <v>70</v>
      </c>
      <c r="CZ172" s="73">
        <f t="shared" si="191"/>
        <v>24</v>
      </c>
      <c r="DA172" s="73" t="str">
        <f t="shared" si="192"/>
        <v>SRP</v>
      </c>
      <c r="DB172" s="73"/>
      <c r="DC172" s="368">
        <f t="shared" si="193"/>
        <v>0</v>
      </c>
      <c r="DD172" s="73">
        <f t="shared" si="194"/>
        <v>0</v>
      </c>
      <c r="DE172" s="73">
        <f t="shared" si="195"/>
        <v>0</v>
      </c>
      <c r="DF172" s="73">
        <f t="shared" si="196"/>
        <v>0</v>
      </c>
      <c r="DG172" s="73">
        <f t="shared" si="197"/>
        <v>124</v>
      </c>
      <c r="DH172" s="73">
        <f t="shared" si="198"/>
        <v>45176</v>
      </c>
      <c r="DI172" s="73">
        <f t="shared" si="199"/>
        <v>0</v>
      </c>
      <c r="DJ172" s="73"/>
      <c r="DK172" s="73"/>
      <c r="DL172" s="73">
        <f t="shared" si="200"/>
        <v>0</v>
      </c>
      <c r="DM172" s="215">
        <f t="shared" si="201"/>
        <v>96</v>
      </c>
      <c r="DN172" s="73" t="str">
        <f t="shared" si="202"/>
        <v/>
      </c>
      <c r="DO172" s="73">
        <f t="shared" si="169"/>
        <v>96</v>
      </c>
      <c r="DP172" s="85" t="str">
        <f t="shared" si="203"/>
        <v>WD33-15</v>
      </c>
      <c r="EB172" s="70" t="str">
        <f>IF(B172="","","KHALDA_WELL")</f>
        <v>KHALDA_WELL</v>
      </c>
      <c r="EC172" s="71">
        <f t="shared" si="225"/>
        <v>46298</v>
      </c>
      <c r="ED172" s="72" t="str">
        <f>B172</f>
        <v>WD33-21</v>
      </c>
      <c r="EE172" s="73" t="str">
        <f t="shared" si="226"/>
        <v>NO P.CK</v>
      </c>
      <c r="EF172" s="73">
        <f t="shared" si="226"/>
        <v>70</v>
      </c>
      <c r="EG172" s="73">
        <f>E172</f>
        <v>24</v>
      </c>
      <c r="EH172" s="73" t="str">
        <f>IF(CZ172=0,"SI",D172)</f>
        <v>SRP</v>
      </c>
      <c r="EI172" s="73"/>
      <c r="EJ172" s="72"/>
      <c r="EK172" s="72" t="str">
        <f>IF(G172="","",G172)</f>
        <v/>
      </c>
      <c r="EL172" s="73">
        <f>AJ172</f>
        <v>4</v>
      </c>
      <c r="EM172" s="213">
        <f>W172</f>
        <v>0</v>
      </c>
      <c r="EN172" s="73"/>
      <c r="EO172" s="73"/>
      <c r="EQ172" s="73">
        <f t="shared" si="227"/>
        <v>5.6</v>
      </c>
      <c r="ER172" s="73">
        <f t="shared" si="227"/>
        <v>45176</v>
      </c>
      <c r="ES172" s="73">
        <f>X172</f>
        <v>124</v>
      </c>
      <c r="ET172" s="73">
        <f>AD172</f>
        <v>0</v>
      </c>
      <c r="EU172" s="73"/>
      <c r="EV172" s="73"/>
      <c r="EX172" s="3">
        <f>AE172</f>
        <v>0</v>
      </c>
      <c r="EY172" s="73"/>
      <c r="EZ172" s="73">
        <f t="shared" si="228"/>
        <v>100</v>
      </c>
      <c r="FA172" s="73">
        <f t="shared" si="228"/>
        <v>118</v>
      </c>
      <c r="FB172" s="73">
        <f t="shared" si="228"/>
        <v>98</v>
      </c>
      <c r="FC172" s="73"/>
      <c r="FD172" s="73">
        <f>AN172</f>
        <v>0</v>
      </c>
    </row>
    <row r="173" spans="2:160" s="3" customFormat="1" ht="15.75" customHeight="1">
      <c r="B173" s="316" t="s">
        <v>2697</v>
      </c>
      <c r="C173" s="317" t="s">
        <v>1307</v>
      </c>
      <c r="D173" s="317" t="s">
        <v>18</v>
      </c>
      <c r="E173" s="991">
        <v>0</v>
      </c>
      <c r="F173" s="951">
        <f t="shared" si="155"/>
        <v>0</v>
      </c>
      <c r="G173" s="48"/>
      <c r="H173" s="981"/>
      <c r="I173" s="48">
        <v>32</v>
      </c>
      <c r="J173" s="48">
        <v>560</v>
      </c>
      <c r="K173" s="48">
        <v>0</v>
      </c>
      <c r="L173" s="48">
        <v>0</v>
      </c>
      <c r="M173" s="22"/>
      <c r="N173" s="140"/>
      <c r="O173" s="748"/>
      <c r="P173" s="48"/>
      <c r="Q173" s="48"/>
      <c r="R173" s="48"/>
      <c r="S173" s="886"/>
      <c r="T173" s="886"/>
      <c r="U173" s="886"/>
      <c r="V173" s="140"/>
      <c r="W173" s="140"/>
      <c r="X173" s="48"/>
      <c r="Y173" s="140"/>
      <c r="Z173" s="748"/>
      <c r="AA173" s="48"/>
      <c r="AB173" s="48"/>
      <c r="AC173" s="48"/>
      <c r="AD173" s="886"/>
      <c r="AE173" s="886"/>
      <c r="AF173" s="532">
        <f t="shared" si="104"/>
        <v>0</v>
      </c>
      <c r="AG173" s="531">
        <f t="shared" si="105"/>
        <v>0</v>
      </c>
      <c r="AH173" s="304">
        <v>46260</v>
      </c>
      <c r="AI173" s="13">
        <v>25</v>
      </c>
      <c r="AJ173" s="15">
        <v>1</v>
      </c>
      <c r="AK173" s="15">
        <v>0</v>
      </c>
      <c r="AL173" s="13">
        <v>72000</v>
      </c>
      <c r="AM173" s="93">
        <f t="shared" si="0"/>
        <v>24.75</v>
      </c>
      <c r="AN173" s="148"/>
      <c r="AO173" s="213"/>
      <c r="CJ173" s="921">
        <f t="shared" si="224"/>
        <v>0</v>
      </c>
      <c r="CT173" s="35"/>
      <c r="CU173" s="70" t="s">
        <v>2687</v>
      </c>
      <c r="CV173" s="71">
        <f t="shared" si="1"/>
        <v>46298</v>
      </c>
      <c r="CW173" s="72" t="str">
        <f t="shared" si="188"/>
        <v>9WD33-24</v>
      </c>
      <c r="CX173" s="73">
        <f t="shared" si="189"/>
        <v>32</v>
      </c>
      <c r="CY173" s="73">
        <f t="shared" si="190"/>
        <v>560</v>
      </c>
      <c r="CZ173" s="73">
        <f t="shared" si="191"/>
        <v>0</v>
      </c>
      <c r="DA173" s="73" t="str">
        <f t="shared" si="192"/>
        <v>SI</v>
      </c>
      <c r="DB173" s="73"/>
      <c r="DC173" s="368">
        <f t="shared" si="193"/>
        <v>0</v>
      </c>
      <c r="DD173" s="73">
        <f t="shared" si="194"/>
        <v>0</v>
      </c>
      <c r="DE173" s="73">
        <f t="shared" si="195"/>
        <v>0</v>
      </c>
      <c r="DF173" s="73">
        <f t="shared" si="196"/>
        <v>0</v>
      </c>
      <c r="DG173" s="73">
        <f t="shared" si="197"/>
        <v>0</v>
      </c>
      <c r="DH173" s="73">
        <f t="shared" si="198"/>
        <v>0</v>
      </c>
      <c r="DI173" s="73">
        <f t="shared" si="199"/>
        <v>0</v>
      </c>
      <c r="DJ173" s="73"/>
      <c r="DK173" s="73"/>
      <c r="DL173" s="73">
        <f t="shared" si="200"/>
        <v>0</v>
      </c>
      <c r="DM173" s="215">
        <f t="shared" si="201"/>
        <v>0</v>
      </c>
      <c r="DN173" s="73" t="str">
        <f t="shared" si="202"/>
        <v/>
      </c>
      <c r="DO173" s="73">
        <f t="shared" si="169"/>
        <v>0</v>
      </c>
      <c r="DP173" s="85" t="str">
        <f t="shared" si="203"/>
        <v/>
      </c>
      <c r="EB173" s="70" t="str">
        <f>IF(B173="","","KHALDA_WELL")</f>
        <v>KHALDA_WELL</v>
      </c>
      <c r="EC173" s="71">
        <f t="shared" si="225"/>
        <v>46298</v>
      </c>
      <c r="ED173" s="72" t="str">
        <f>B173</f>
        <v>WD33-24</v>
      </c>
      <c r="EE173" s="73">
        <f t="shared" si="226"/>
        <v>32</v>
      </c>
      <c r="EF173" s="73">
        <f t="shared" si="226"/>
        <v>560</v>
      </c>
      <c r="EG173" s="73">
        <f>E173</f>
        <v>0</v>
      </c>
      <c r="EH173" s="73" t="str">
        <f>IF(CZ173=0,"SI",D173)</f>
        <v>SI</v>
      </c>
      <c r="EI173" s="73"/>
      <c r="EJ173" s="72"/>
      <c r="EK173" s="72" t="str">
        <f>IF(G173="","",G173)</f>
        <v/>
      </c>
      <c r="EL173" s="73">
        <f>AJ173</f>
        <v>1</v>
      </c>
      <c r="EM173" s="213">
        <f>W173</f>
        <v>0</v>
      </c>
      <c r="EN173" s="73"/>
      <c r="EO173" s="73"/>
      <c r="EQ173" s="73">
        <f t="shared" si="227"/>
        <v>0</v>
      </c>
      <c r="ER173" s="73">
        <f t="shared" si="227"/>
        <v>0</v>
      </c>
      <c r="ES173" s="73">
        <f>X173</f>
        <v>0</v>
      </c>
      <c r="ET173" s="73">
        <f>AD173</f>
        <v>0</v>
      </c>
      <c r="EU173" s="73"/>
      <c r="EV173" s="73"/>
      <c r="EX173" s="3">
        <f>AE173</f>
        <v>0</v>
      </c>
      <c r="EY173" s="73"/>
      <c r="EZ173" s="73">
        <f t="shared" si="228"/>
        <v>0</v>
      </c>
      <c r="FA173" s="73">
        <f t="shared" si="228"/>
        <v>0</v>
      </c>
      <c r="FB173" s="73">
        <f t="shared" si="228"/>
        <v>0</v>
      </c>
      <c r="FC173" s="73"/>
      <c r="FD173" s="73">
        <f>AN173</f>
        <v>0</v>
      </c>
    </row>
    <row r="174" spans="2:160" s="3" customFormat="1" ht="15.75" customHeight="1">
      <c r="B174" s="316" t="s">
        <v>2638</v>
      </c>
      <c r="C174" s="317" t="s">
        <v>21</v>
      </c>
      <c r="D174" s="317" t="s">
        <v>2</v>
      </c>
      <c r="E174" s="991">
        <v>24</v>
      </c>
      <c r="F174" s="951">
        <f t="shared" si="155"/>
        <v>0</v>
      </c>
      <c r="G174" s="48"/>
      <c r="H174" s="981"/>
      <c r="I174" s="48"/>
      <c r="J174" s="48">
        <v>90</v>
      </c>
      <c r="K174" s="48">
        <v>80</v>
      </c>
      <c r="L174" s="48">
        <v>0</v>
      </c>
      <c r="M174" s="22"/>
      <c r="N174" s="140"/>
      <c r="O174" s="748">
        <v>46291</v>
      </c>
      <c r="P174" s="48">
        <v>9416</v>
      </c>
      <c r="Q174" s="48">
        <v>443</v>
      </c>
      <c r="R174" s="48">
        <v>9890</v>
      </c>
      <c r="S174" s="886">
        <v>100</v>
      </c>
      <c r="T174" s="886">
        <v>54</v>
      </c>
      <c r="U174" s="886">
        <v>98</v>
      </c>
      <c r="V174" s="140"/>
      <c r="W174" s="140">
        <v>1.5</v>
      </c>
      <c r="X174" s="48">
        <v>146</v>
      </c>
      <c r="Y174" s="140">
        <v>4.5</v>
      </c>
      <c r="Z174" s="748"/>
      <c r="AA174" s="48"/>
      <c r="AB174" s="48"/>
      <c r="AC174" s="48"/>
      <c r="AD174" s="886"/>
      <c r="AE174" s="886"/>
      <c r="AF174" s="532">
        <f t="shared" si="104"/>
        <v>0</v>
      </c>
      <c r="AG174" s="531">
        <f t="shared" si="105"/>
        <v>6.8999999999999995</v>
      </c>
      <c r="AH174" s="304">
        <v>46295</v>
      </c>
      <c r="AI174" s="13">
        <v>15</v>
      </c>
      <c r="AJ174" s="15">
        <v>54</v>
      </c>
      <c r="AK174" s="15">
        <v>0</v>
      </c>
      <c r="AL174" s="13">
        <v>71000</v>
      </c>
      <c r="AM174" s="93">
        <f t="shared" si="0"/>
        <v>6.8999999999999995</v>
      </c>
      <c r="AN174" s="148"/>
      <c r="AO174" s="213"/>
      <c r="CJ174" s="921"/>
      <c r="CT174" s="35"/>
      <c r="CU174" s="70" t="s">
        <v>2703</v>
      </c>
      <c r="CV174" s="71">
        <f t="shared" si="1"/>
        <v>46298</v>
      </c>
      <c r="CW174" s="72" t="str">
        <f t="shared" si="188"/>
        <v>9WD33 V-05</v>
      </c>
      <c r="CX174" s="73">
        <f t="shared" si="189"/>
        <v>0</v>
      </c>
      <c r="CY174" s="73">
        <f t="shared" si="190"/>
        <v>90</v>
      </c>
      <c r="CZ174" s="73">
        <f t="shared" si="191"/>
        <v>24</v>
      </c>
      <c r="DA174" s="73" t="str">
        <f t="shared" si="192"/>
        <v>SRP</v>
      </c>
      <c r="DB174" s="73"/>
      <c r="DC174" s="368">
        <f t="shared" si="193"/>
        <v>0</v>
      </c>
      <c r="DD174" s="73">
        <f t="shared" si="194"/>
        <v>0</v>
      </c>
      <c r="DE174" s="73">
        <f t="shared" si="195"/>
        <v>0</v>
      </c>
      <c r="DF174" s="73">
        <f t="shared" si="196"/>
        <v>1.5</v>
      </c>
      <c r="DG174" s="73">
        <f t="shared" si="197"/>
        <v>146</v>
      </c>
      <c r="DH174" s="73">
        <f t="shared" si="198"/>
        <v>0</v>
      </c>
      <c r="DI174" s="73">
        <f t="shared" si="199"/>
        <v>0</v>
      </c>
      <c r="DJ174" s="73"/>
      <c r="DK174" s="73"/>
      <c r="DL174" s="73">
        <f t="shared" si="200"/>
        <v>0</v>
      </c>
      <c r="DM174" s="215">
        <f t="shared" si="201"/>
        <v>6.8999999999999995</v>
      </c>
      <c r="DN174" s="73" t="str">
        <f t="shared" si="202"/>
        <v/>
      </c>
      <c r="DO174" s="73">
        <f t="shared" si="169"/>
        <v>6.8999999999999995</v>
      </c>
      <c r="DP174" s="85" t="str">
        <f>IF(OR(D174="SI",B174="",D174="T&amp;A"),"",VLOOKUP(B174,WELL_FIELD,2,FALSE))</f>
        <v>WD33 V</v>
      </c>
      <c r="EB174" s="70" t="str">
        <f t="shared" ref="EB174:EB183" si="229">IF(B174="","","KHALDA_WELL")</f>
        <v>KHALDA_WELL</v>
      </c>
      <c r="EC174" s="71">
        <f t="shared" si="225"/>
        <v>46298</v>
      </c>
      <c r="ED174" s="72" t="str">
        <f t="shared" ref="ED174:ED183" si="230">B174</f>
        <v>WD33 V-05</v>
      </c>
      <c r="EE174" s="73">
        <f t="shared" ref="EE174:EE183" si="231">I174</f>
        <v>0</v>
      </c>
      <c r="EF174" s="73">
        <f t="shared" ref="EF174:EF183" si="232">J174</f>
        <v>90</v>
      </c>
      <c r="EG174" s="73">
        <f t="shared" ref="EG174:EG183" si="233">E174</f>
        <v>24</v>
      </c>
      <c r="EH174" s="73" t="str">
        <f t="shared" ref="EH174:EH183" si="234">IF(CZ174=0,"SI",D174)</f>
        <v>SRP</v>
      </c>
      <c r="EI174" s="73"/>
      <c r="EJ174" s="72"/>
      <c r="EK174" s="72" t="str">
        <f t="shared" ref="EK174:EK183" si="235">IF(G174="","",G174)</f>
        <v/>
      </c>
      <c r="EL174" s="73">
        <f t="shared" ref="EL174:EL183" si="236">AJ174</f>
        <v>54</v>
      </c>
      <c r="EM174" s="213">
        <f t="shared" ref="EM174:EM183" si="237">W174</f>
        <v>1.5</v>
      </c>
      <c r="EN174" s="73"/>
      <c r="EO174" s="73"/>
      <c r="EQ174" s="73">
        <f t="shared" ref="EQ174:EQ183" si="238">Y174</f>
        <v>4.5</v>
      </c>
      <c r="ER174" s="73">
        <f t="shared" ref="ER174:ER183" si="239">Z174</f>
        <v>0</v>
      </c>
      <c r="ES174" s="73">
        <f t="shared" ref="ES174:ES183" si="240">X174</f>
        <v>146</v>
      </c>
      <c r="ET174" s="73">
        <f t="shared" ref="ET174:ET183" si="241">AD174</f>
        <v>0</v>
      </c>
      <c r="EU174" s="73"/>
      <c r="EV174" s="73"/>
      <c r="EX174" s="3">
        <f t="shared" ref="EX174:EX183" si="242">AE174</f>
        <v>0</v>
      </c>
      <c r="EY174" s="73"/>
      <c r="EZ174" s="73">
        <f t="shared" ref="EZ174:EZ183" si="243">S174</f>
        <v>100</v>
      </c>
      <c r="FA174" s="73">
        <f t="shared" ref="FA174:FA183" si="244">T174</f>
        <v>54</v>
      </c>
      <c r="FB174" s="73">
        <f t="shared" ref="FB174:FB183" si="245">U174</f>
        <v>98</v>
      </c>
      <c r="FC174" s="73"/>
      <c r="FD174" s="73">
        <f t="shared" ref="FD174:FD183" si="246">AN174</f>
        <v>0</v>
      </c>
    </row>
    <row r="175" spans="2:160" s="3" customFormat="1" ht="16.5" customHeight="1">
      <c r="B175" s="316" t="s">
        <v>2271</v>
      </c>
      <c r="C175" s="317" t="s">
        <v>1307</v>
      </c>
      <c r="D175" s="317" t="s">
        <v>3</v>
      </c>
      <c r="E175" s="991">
        <v>24</v>
      </c>
      <c r="F175" s="951">
        <f t="shared" si="155"/>
        <v>0</v>
      </c>
      <c r="G175" s="48"/>
      <c r="H175" s="981"/>
      <c r="I175" s="48"/>
      <c r="J175" s="48">
        <v>200</v>
      </c>
      <c r="K175" s="48">
        <v>180</v>
      </c>
      <c r="L175" s="48">
        <v>0</v>
      </c>
      <c r="M175" s="22"/>
      <c r="N175" s="140"/>
      <c r="O175" s="748"/>
      <c r="P175" s="48"/>
      <c r="Q175" s="48"/>
      <c r="R175" s="48"/>
      <c r="S175" s="886"/>
      <c r="T175" s="886"/>
      <c r="U175" s="886"/>
      <c r="V175" s="140"/>
      <c r="W175" s="140"/>
      <c r="X175" s="48"/>
      <c r="Y175" s="140"/>
      <c r="Z175" s="748"/>
      <c r="AA175" s="48" t="s">
        <v>2662</v>
      </c>
      <c r="AB175" s="48"/>
      <c r="AC175" s="48"/>
      <c r="AD175" s="886">
        <v>31</v>
      </c>
      <c r="AE175" s="886">
        <v>55</v>
      </c>
      <c r="AF175" s="532">
        <f t="shared" ref="AF175:AF181" si="247">AK175/24*E175</f>
        <v>0.19900000000000001</v>
      </c>
      <c r="AG175" s="531">
        <f t="shared" ref="AG175:AG181" si="248">AM175/24*E175</f>
        <v>906.84000000000015</v>
      </c>
      <c r="AH175" s="304">
        <v>46290</v>
      </c>
      <c r="AI175" s="13">
        <v>916</v>
      </c>
      <c r="AJ175" s="15">
        <v>1</v>
      </c>
      <c r="AK175" s="15">
        <v>0.19900000000000001</v>
      </c>
      <c r="AL175" s="13">
        <v>42420</v>
      </c>
      <c r="AM175" s="93">
        <f t="shared" si="0"/>
        <v>906.84</v>
      </c>
      <c r="AN175" s="148"/>
      <c r="AO175" s="213"/>
      <c r="CJ175" s="921"/>
      <c r="CT175" s="35"/>
      <c r="CU175" s="70" t="s">
        <v>2208</v>
      </c>
      <c r="CV175" s="71">
        <f t="shared" si="1"/>
        <v>46298</v>
      </c>
      <c r="CW175" s="72" t="str">
        <f>$CT$3&amp;B175</f>
        <v>9WD33-C01</v>
      </c>
      <c r="CX175" s="73">
        <f t="shared" ref="CX175:CY178" si="249">I175</f>
        <v>0</v>
      </c>
      <c r="CY175" s="73">
        <f t="shared" si="249"/>
        <v>200</v>
      </c>
      <c r="CZ175" s="73">
        <f>E175</f>
        <v>24</v>
      </c>
      <c r="DA175" s="73" t="str">
        <f>IF(CZ175=0,"SI",D175)</f>
        <v>ESP</v>
      </c>
      <c r="DB175" s="73"/>
      <c r="DC175" s="368">
        <f>E175*((H175*1000)/24)</f>
        <v>0</v>
      </c>
      <c r="DD175" s="73">
        <f>N175</f>
        <v>0</v>
      </c>
      <c r="DE175" s="73">
        <f t="shared" ref="DE175:DG178" si="250">V175</f>
        <v>0</v>
      </c>
      <c r="DF175" s="73">
        <f t="shared" si="250"/>
        <v>0</v>
      </c>
      <c r="DG175" s="73">
        <f t="shared" si="250"/>
        <v>0</v>
      </c>
      <c r="DH175" s="73">
        <f>Z175</f>
        <v>0</v>
      </c>
      <c r="DI175" s="73">
        <f>AD175</f>
        <v>31</v>
      </c>
      <c r="DJ175" s="73"/>
      <c r="DK175" s="73"/>
      <c r="DL175" s="73">
        <f>AE175</f>
        <v>55</v>
      </c>
      <c r="DM175" s="215">
        <f>AG175</f>
        <v>906.84000000000015</v>
      </c>
      <c r="DN175" s="73" t="str">
        <f t="shared" ref="DN175:DN181" si="251">IF(G175="","",G175)</f>
        <v/>
      </c>
      <c r="DO175" s="73">
        <f>AM175/24*HOURS</f>
        <v>906.84000000000015</v>
      </c>
      <c r="DP175" s="85" t="str">
        <f t="shared" ref="DP175:DP181" si="252">IF(OR(D175="SI",B175="",D175="T&amp;A"),"",VLOOKUP(B175,WELL_FIELD,2,FALSE))</f>
        <v>WD33-C</v>
      </c>
      <c r="EB175" s="70" t="str">
        <f t="shared" si="229"/>
        <v>KHALDA_WELL</v>
      </c>
      <c r="EC175" s="71">
        <f t="shared" si="225"/>
        <v>46298</v>
      </c>
      <c r="ED175" s="72" t="str">
        <f t="shared" si="230"/>
        <v>WD33-C01</v>
      </c>
      <c r="EE175" s="73">
        <f t="shared" si="231"/>
        <v>0</v>
      </c>
      <c r="EF175" s="73">
        <f t="shared" si="232"/>
        <v>200</v>
      </c>
      <c r="EG175" s="73">
        <f t="shared" si="233"/>
        <v>24</v>
      </c>
      <c r="EH175" s="73" t="str">
        <f t="shared" si="234"/>
        <v>ESP</v>
      </c>
      <c r="EI175" s="73"/>
      <c r="EJ175" s="72"/>
      <c r="EK175" s="72" t="str">
        <f t="shared" si="235"/>
        <v/>
      </c>
      <c r="EL175" s="73">
        <f t="shared" si="236"/>
        <v>1</v>
      </c>
      <c r="EM175" s="213">
        <f t="shared" si="237"/>
        <v>0</v>
      </c>
      <c r="EN175" s="73"/>
      <c r="EO175" s="73"/>
      <c r="EQ175" s="73">
        <f t="shared" si="238"/>
        <v>0</v>
      </c>
      <c r="ER175" s="73">
        <f t="shared" si="239"/>
        <v>0</v>
      </c>
      <c r="ES175" s="73">
        <f t="shared" si="240"/>
        <v>0</v>
      </c>
      <c r="ET175" s="73">
        <f t="shared" si="241"/>
        <v>31</v>
      </c>
      <c r="EU175" s="73"/>
      <c r="EV175" s="73"/>
      <c r="EX175" s="3">
        <f t="shared" si="242"/>
        <v>55</v>
      </c>
      <c r="EY175" s="73"/>
      <c r="EZ175" s="73">
        <f t="shared" si="243"/>
        <v>0</v>
      </c>
      <c r="FA175" s="73">
        <f t="shared" si="244"/>
        <v>0</v>
      </c>
      <c r="FB175" s="73">
        <f t="shared" si="245"/>
        <v>0</v>
      </c>
      <c r="FC175" s="73"/>
      <c r="FD175" s="73">
        <f t="shared" si="246"/>
        <v>0</v>
      </c>
    </row>
    <row r="176" spans="2:160" s="3" customFormat="1" ht="16.5" customHeight="1">
      <c r="B176" s="316" t="s">
        <v>2395</v>
      </c>
      <c r="C176" s="317" t="s">
        <v>1307</v>
      </c>
      <c r="D176" s="317" t="s">
        <v>3</v>
      </c>
      <c r="E176" s="991">
        <v>24</v>
      </c>
      <c r="F176" s="951">
        <f t="shared" si="155"/>
        <v>0</v>
      </c>
      <c r="G176" s="48"/>
      <c r="H176" s="981"/>
      <c r="I176" s="48"/>
      <c r="J176" s="48">
        <v>190</v>
      </c>
      <c r="K176" s="48">
        <v>170</v>
      </c>
      <c r="L176" s="48">
        <v>0</v>
      </c>
      <c r="M176" s="22"/>
      <c r="N176" s="140"/>
      <c r="O176" s="748"/>
      <c r="P176" s="48"/>
      <c r="Q176" s="48"/>
      <c r="R176" s="48"/>
      <c r="S176" s="886"/>
      <c r="T176" s="886"/>
      <c r="U176" s="886"/>
      <c r="V176" s="140"/>
      <c r="W176" s="140"/>
      <c r="X176" s="48"/>
      <c r="Y176" s="140"/>
      <c r="Z176" s="748"/>
      <c r="AA176" s="48"/>
      <c r="AB176" s="48"/>
      <c r="AC176" s="48"/>
      <c r="AD176" s="886">
        <v>28</v>
      </c>
      <c r="AE176" s="886">
        <v>57</v>
      </c>
      <c r="AF176" s="532">
        <f t="shared" si="247"/>
        <v>0.14599999999999999</v>
      </c>
      <c r="AG176" s="531">
        <f t="shared" si="248"/>
        <v>841.5</v>
      </c>
      <c r="AH176" s="304">
        <v>46296</v>
      </c>
      <c r="AI176" s="13">
        <v>850</v>
      </c>
      <c r="AJ176" s="15">
        <v>1</v>
      </c>
      <c r="AK176" s="15">
        <v>0.14599999999999999</v>
      </c>
      <c r="AL176" s="13"/>
      <c r="AM176" s="93">
        <f t="shared" si="0"/>
        <v>841.5</v>
      </c>
      <c r="AN176" s="148"/>
      <c r="AO176" s="213"/>
      <c r="CJ176" s="921"/>
      <c r="CT176" s="35"/>
      <c r="CU176" s="70" t="s">
        <v>2270</v>
      </c>
      <c r="CV176" s="71">
        <f t="shared" si="1"/>
        <v>46298</v>
      </c>
      <c r="CW176" s="72" t="str">
        <f>$CT$3&amp;B176</f>
        <v>9WD33-C03</v>
      </c>
      <c r="CX176" s="73">
        <f t="shared" si="249"/>
        <v>0</v>
      </c>
      <c r="CY176" s="73">
        <f t="shared" si="249"/>
        <v>190</v>
      </c>
      <c r="CZ176" s="73">
        <f>E176</f>
        <v>24</v>
      </c>
      <c r="DA176" s="73" t="str">
        <f>IF(CZ176=0,"SI",D176)</f>
        <v>ESP</v>
      </c>
      <c r="DB176" s="73"/>
      <c r="DC176" s="368">
        <f>E176*((H176*1000)/24)</f>
        <v>0</v>
      </c>
      <c r="DD176" s="73">
        <f>N176</f>
        <v>0</v>
      </c>
      <c r="DE176" s="73">
        <f t="shared" si="250"/>
        <v>0</v>
      </c>
      <c r="DF176" s="73">
        <f t="shared" si="250"/>
        <v>0</v>
      </c>
      <c r="DG176" s="73">
        <f t="shared" si="250"/>
        <v>0</v>
      </c>
      <c r="DH176" s="73">
        <f>Z176</f>
        <v>0</v>
      </c>
      <c r="DI176" s="73">
        <f>AD176</f>
        <v>28</v>
      </c>
      <c r="DJ176" s="73"/>
      <c r="DK176" s="73"/>
      <c r="DL176" s="73">
        <f>AE176</f>
        <v>57</v>
      </c>
      <c r="DM176" s="215">
        <f>AG176</f>
        <v>841.5</v>
      </c>
      <c r="DN176" s="73" t="str">
        <f t="shared" si="251"/>
        <v/>
      </c>
      <c r="DO176" s="73">
        <f>AM176/24*HOURS</f>
        <v>841.5</v>
      </c>
      <c r="DP176" s="85" t="str">
        <f t="shared" si="252"/>
        <v>WD33-C</v>
      </c>
      <c r="EB176" s="70" t="str">
        <f t="shared" si="229"/>
        <v>KHALDA_WELL</v>
      </c>
      <c r="EC176" s="71">
        <f t="shared" si="225"/>
        <v>46298</v>
      </c>
      <c r="ED176" s="72" t="str">
        <f t="shared" si="230"/>
        <v>WD33-C03</v>
      </c>
      <c r="EE176" s="73">
        <f t="shared" si="231"/>
        <v>0</v>
      </c>
      <c r="EF176" s="73">
        <f t="shared" si="232"/>
        <v>190</v>
      </c>
      <c r="EG176" s="73">
        <f t="shared" si="233"/>
        <v>24</v>
      </c>
      <c r="EH176" s="73" t="str">
        <f t="shared" si="234"/>
        <v>ESP</v>
      </c>
      <c r="EI176" s="73"/>
      <c r="EJ176" s="72"/>
      <c r="EK176" s="72" t="str">
        <f t="shared" si="235"/>
        <v/>
      </c>
      <c r="EL176" s="73">
        <f t="shared" si="236"/>
        <v>1</v>
      </c>
      <c r="EM176" s="213">
        <f t="shared" si="237"/>
        <v>0</v>
      </c>
      <c r="EN176" s="73"/>
      <c r="EO176" s="73"/>
      <c r="EQ176" s="73">
        <f t="shared" si="238"/>
        <v>0</v>
      </c>
      <c r="ER176" s="73">
        <f t="shared" si="239"/>
        <v>0</v>
      </c>
      <c r="ES176" s="73">
        <f t="shared" si="240"/>
        <v>0</v>
      </c>
      <c r="ET176" s="73">
        <f t="shared" si="241"/>
        <v>28</v>
      </c>
      <c r="EU176" s="73"/>
      <c r="EV176" s="73"/>
      <c r="EX176" s="3">
        <f t="shared" si="242"/>
        <v>57</v>
      </c>
      <c r="EY176" s="73"/>
      <c r="EZ176" s="73">
        <f t="shared" si="243"/>
        <v>0</v>
      </c>
      <c r="FA176" s="73">
        <f t="shared" si="244"/>
        <v>0</v>
      </c>
      <c r="FB176" s="73">
        <f t="shared" si="245"/>
        <v>0</v>
      </c>
      <c r="FC176" s="73"/>
      <c r="FD176" s="73">
        <f t="shared" si="246"/>
        <v>0</v>
      </c>
    </row>
    <row r="177" spans="2:160" s="3" customFormat="1" ht="16.5" customHeight="1">
      <c r="B177" s="316" t="s">
        <v>2613</v>
      </c>
      <c r="C177" s="317" t="s">
        <v>1307</v>
      </c>
      <c r="D177" s="317" t="s">
        <v>3</v>
      </c>
      <c r="E177" s="991">
        <v>24</v>
      </c>
      <c r="F177" s="951">
        <f t="shared" si="155"/>
        <v>0</v>
      </c>
      <c r="G177" s="48"/>
      <c r="H177" s="981"/>
      <c r="I177" s="48"/>
      <c r="J177" s="48">
        <v>180</v>
      </c>
      <c r="K177" s="48">
        <v>170</v>
      </c>
      <c r="L177" s="48">
        <v>165</v>
      </c>
      <c r="M177" s="22"/>
      <c r="N177" s="140"/>
      <c r="O177" s="748"/>
      <c r="P177" s="48"/>
      <c r="Q177" s="48"/>
      <c r="R177" s="48"/>
      <c r="S177" s="886"/>
      <c r="T177" s="886"/>
      <c r="U177" s="886"/>
      <c r="V177" s="140"/>
      <c r="W177" s="140"/>
      <c r="X177" s="48"/>
      <c r="Y177" s="140"/>
      <c r="Z177" s="748"/>
      <c r="AA177" s="48"/>
      <c r="AB177" s="48"/>
      <c r="AC177" s="48"/>
      <c r="AD177" s="886">
        <v>43.6</v>
      </c>
      <c r="AE177" s="886">
        <v>50</v>
      </c>
      <c r="AF177" s="532">
        <f t="shared" si="247"/>
        <v>0.10900000000000001</v>
      </c>
      <c r="AG177" s="531">
        <f t="shared" si="248"/>
        <v>532.62</v>
      </c>
      <c r="AH177" s="304">
        <v>46296</v>
      </c>
      <c r="AI177" s="13">
        <v>538</v>
      </c>
      <c r="AJ177" s="15">
        <v>1</v>
      </c>
      <c r="AK177" s="15">
        <v>0.109</v>
      </c>
      <c r="AL177" s="13"/>
      <c r="AM177" s="93">
        <f t="shared" si="0"/>
        <v>532.62</v>
      </c>
      <c r="AN177" s="148"/>
      <c r="AO177" s="213"/>
      <c r="CJ177" s="921"/>
      <c r="CT177" s="35"/>
      <c r="CU177" s="70" t="s">
        <v>2371</v>
      </c>
      <c r="CV177" s="71">
        <f t="shared" si="1"/>
        <v>46298</v>
      </c>
      <c r="CW177" s="72" t="str">
        <f>$CT$3&amp;B177</f>
        <v>9WD33-C05</v>
      </c>
      <c r="CX177" s="73">
        <f t="shared" si="249"/>
        <v>0</v>
      </c>
      <c r="CY177" s="73">
        <f t="shared" si="249"/>
        <v>180</v>
      </c>
      <c r="CZ177" s="73">
        <f>E177</f>
        <v>24</v>
      </c>
      <c r="DA177" s="73" t="str">
        <f>IF(CZ177=0,"SI",D177)</f>
        <v>ESP</v>
      </c>
      <c r="DB177" s="73"/>
      <c r="DC177" s="368">
        <f>E177*((H177*1000)/24)</f>
        <v>0</v>
      </c>
      <c r="DD177" s="73">
        <f>N177</f>
        <v>0</v>
      </c>
      <c r="DE177" s="73">
        <f t="shared" si="250"/>
        <v>0</v>
      </c>
      <c r="DF177" s="73">
        <f t="shared" si="250"/>
        <v>0</v>
      </c>
      <c r="DG177" s="73">
        <f t="shared" si="250"/>
        <v>0</v>
      </c>
      <c r="DH177" s="73">
        <f>Z177</f>
        <v>0</v>
      </c>
      <c r="DI177" s="73">
        <f>AD177</f>
        <v>43.6</v>
      </c>
      <c r="DJ177" s="73"/>
      <c r="DK177" s="73"/>
      <c r="DL177" s="73">
        <f>AE177</f>
        <v>50</v>
      </c>
      <c r="DM177" s="215">
        <f>AG177</f>
        <v>532.62</v>
      </c>
      <c r="DN177" s="73" t="str">
        <f t="shared" si="251"/>
        <v/>
      </c>
      <c r="DO177" s="73">
        <f>AM177/24*HOURS</f>
        <v>532.62</v>
      </c>
      <c r="DP177" s="85" t="str">
        <f t="shared" si="252"/>
        <v>WD33-C</v>
      </c>
      <c r="EB177" s="70" t="str">
        <f t="shared" si="229"/>
        <v>KHALDA_WELL</v>
      </c>
      <c r="EC177" s="71">
        <f t="shared" si="225"/>
        <v>46298</v>
      </c>
      <c r="ED177" s="72" t="str">
        <f t="shared" si="230"/>
        <v>WD33-C05</v>
      </c>
      <c r="EE177" s="73">
        <f t="shared" si="231"/>
        <v>0</v>
      </c>
      <c r="EF177" s="73">
        <f t="shared" si="232"/>
        <v>180</v>
      </c>
      <c r="EG177" s="73">
        <f t="shared" si="233"/>
        <v>24</v>
      </c>
      <c r="EH177" s="73" t="str">
        <f t="shared" si="234"/>
        <v>ESP</v>
      </c>
      <c r="EI177" s="73"/>
      <c r="EJ177" s="72"/>
      <c r="EK177" s="72" t="str">
        <f t="shared" si="235"/>
        <v/>
      </c>
      <c r="EL177" s="73">
        <f t="shared" si="236"/>
        <v>1</v>
      </c>
      <c r="EM177" s="213">
        <f t="shared" si="237"/>
        <v>0</v>
      </c>
      <c r="EN177" s="73"/>
      <c r="EO177" s="73"/>
      <c r="EQ177" s="73">
        <f t="shared" si="238"/>
        <v>0</v>
      </c>
      <c r="ER177" s="73">
        <f t="shared" si="239"/>
        <v>0</v>
      </c>
      <c r="ES177" s="73">
        <f t="shared" si="240"/>
        <v>0</v>
      </c>
      <c r="ET177" s="73">
        <f t="shared" si="241"/>
        <v>43.6</v>
      </c>
      <c r="EU177" s="73"/>
      <c r="EV177" s="73"/>
      <c r="EX177" s="3">
        <f t="shared" si="242"/>
        <v>50</v>
      </c>
      <c r="EY177" s="73"/>
      <c r="EZ177" s="73">
        <f t="shared" si="243"/>
        <v>0</v>
      </c>
      <c r="FA177" s="73">
        <f t="shared" si="244"/>
        <v>0</v>
      </c>
      <c r="FB177" s="73">
        <f t="shared" si="245"/>
        <v>0</v>
      </c>
      <c r="FC177" s="73"/>
      <c r="FD177" s="73">
        <f t="shared" si="246"/>
        <v>0</v>
      </c>
    </row>
    <row r="178" spans="2:160" s="3" customFormat="1" ht="16.5" customHeight="1">
      <c r="B178" s="316" t="s">
        <v>2427</v>
      </c>
      <c r="C178" s="317" t="s">
        <v>21</v>
      </c>
      <c r="D178" s="317" t="s">
        <v>2</v>
      </c>
      <c r="E178" s="991">
        <v>24</v>
      </c>
      <c r="F178" s="951">
        <f t="shared" si="155"/>
        <v>0</v>
      </c>
      <c r="G178" s="48"/>
      <c r="H178" s="981"/>
      <c r="I178" s="48"/>
      <c r="J178" s="48">
        <v>180</v>
      </c>
      <c r="K178" s="48">
        <v>180</v>
      </c>
      <c r="L178" s="48">
        <v>0</v>
      </c>
      <c r="M178" s="22"/>
      <c r="N178" s="140"/>
      <c r="O178" s="748">
        <v>46199</v>
      </c>
      <c r="P178" s="48">
        <v>8272</v>
      </c>
      <c r="Q178" s="48">
        <v>504</v>
      </c>
      <c r="R178" s="48">
        <v>10272</v>
      </c>
      <c r="S178" s="886">
        <v>83</v>
      </c>
      <c r="T178" s="886">
        <v>97</v>
      </c>
      <c r="U178" s="886">
        <v>91</v>
      </c>
      <c r="V178" s="140"/>
      <c r="W178" s="140"/>
      <c r="X178" s="48"/>
      <c r="Y178" s="140"/>
      <c r="Z178" s="748"/>
      <c r="AA178" s="48"/>
      <c r="AB178" s="48"/>
      <c r="AC178" s="48"/>
      <c r="AD178" s="886"/>
      <c r="AE178" s="886"/>
      <c r="AF178" s="532">
        <f t="shared" si="247"/>
        <v>0</v>
      </c>
      <c r="AG178" s="531">
        <f t="shared" si="248"/>
        <v>82.17</v>
      </c>
      <c r="AH178" s="304">
        <v>46295</v>
      </c>
      <c r="AI178" s="13">
        <v>83</v>
      </c>
      <c r="AJ178" s="15">
        <v>1</v>
      </c>
      <c r="AK178" s="15">
        <v>0</v>
      </c>
      <c r="AL178" s="13"/>
      <c r="AM178" s="93">
        <f t="shared" si="0"/>
        <v>82.17</v>
      </c>
      <c r="AN178" s="148"/>
      <c r="AO178" s="213"/>
      <c r="CJ178" s="921"/>
      <c r="CT178" s="35"/>
      <c r="CU178" s="70" t="s">
        <v>2411</v>
      </c>
      <c r="CV178" s="71">
        <f t="shared" si="1"/>
        <v>46298</v>
      </c>
      <c r="CW178" s="72" t="str">
        <f>$CT$3&amp;B178</f>
        <v>9WD33 H-01X</v>
      </c>
      <c r="CX178" s="73">
        <f t="shared" si="249"/>
        <v>0</v>
      </c>
      <c r="CY178" s="73">
        <f t="shared" si="249"/>
        <v>180</v>
      </c>
      <c r="CZ178" s="73">
        <f>E178</f>
        <v>24</v>
      </c>
      <c r="DA178" s="73" t="str">
        <f>IF(CZ178=0,"SI",D178)</f>
        <v>SRP</v>
      </c>
      <c r="DB178" s="73"/>
      <c r="DC178" s="368">
        <f>E178*((H178*1000)/24)</f>
        <v>0</v>
      </c>
      <c r="DD178" s="73">
        <f>N178</f>
        <v>0</v>
      </c>
      <c r="DE178" s="73">
        <f t="shared" si="250"/>
        <v>0</v>
      </c>
      <c r="DF178" s="73">
        <f t="shared" si="250"/>
        <v>0</v>
      </c>
      <c r="DG178" s="73">
        <f t="shared" si="250"/>
        <v>0</v>
      </c>
      <c r="DH178" s="73">
        <f>Z178</f>
        <v>0</v>
      </c>
      <c r="DI178" s="73">
        <f>AD178</f>
        <v>0</v>
      </c>
      <c r="DJ178" s="73"/>
      <c r="DK178" s="73"/>
      <c r="DL178" s="73">
        <f>AE178</f>
        <v>0</v>
      </c>
      <c r="DM178" s="215">
        <f>AG178</f>
        <v>82.17</v>
      </c>
      <c r="DN178" s="73" t="str">
        <f t="shared" si="251"/>
        <v/>
      </c>
      <c r="DO178" s="73">
        <f>AM178/24*HOURS</f>
        <v>82.17</v>
      </c>
      <c r="DP178" s="85" t="str">
        <f t="shared" si="252"/>
        <v>WD33 H</v>
      </c>
      <c r="EB178" s="70" t="str">
        <f t="shared" si="229"/>
        <v>KHALDA_WELL</v>
      </c>
      <c r="EC178" s="71">
        <f t="shared" si="225"/>
        <v>46298</v>
      </c>
      <c r="ED178" s="72" t="str">
        <f t="shared" si="230"/>
        <v>WD33 H-01X</v>
      </c>
      <c r="EE178" s="73">
        <f t="shared" si="231"/>
        <v>0</v>
      </c>
      <c r="EF178" s="73">
        <f t="shared" si="232"/>
        <v>180</v>
      </c>
      <c r="EG178" s="73">
        <f t="shared" si="233"/>
        <v>24</v>
      </c>
      <c r="EH178" s="73" t="str">
        <f t="shared" si="234"/>
        <v>SRP</v>
      </c>
      <c r="EI178" s="73"/>
      <c r="EJ178" s="72"/>
      <c r="EK178" s="72" t="str">
        <f t="shared" si="235"/>
        <v/>
      </c>
      <c r="EL178" s="73">
        <f t="shared" si="236"/>
        <v>1</v>
      </c>
      <c r="EM178" s="213">
        <f t="shared" si="237"/>
        <v>0</v>
      </c>
      <c r="EN178" s="73"/>
      <c r="EO178" s="73"/>
      <c r="EQ178" s="73">
        <f t="shared" si="238"/>
        <v>0</v>
      </c>
      <c r="ER178" s="73">
        <f t="shared" si="239"/>
        <v>0</v>
      </c>
      <c r="ES178" s="73">
        <f t="shared" si="240"/>
        <v>0</v>
      </c>
      <c r="ET178" s="73">
        <f t="shared" si="241"/>
        <v>0</v>
      </c>
      <c r="EU178" s="73"/>
      <c r="EV178" s="73"/>
      <c r="EX178" s="3">
        <f t="shared" si="242"/>
        <v>0</v>
      </c>
      <c r="EY178" s="73"/>
      <c r="EZ178" s="73">
        <f t="shared" si="243"/>
        <v>83</v>
      </c>
      <c r="FA178" s="73">
        <f t="shared" si="244"/>
        <v>97</v>
      </c>
      <c r="FB178" s="73">
        <f t="shared" si="245"/>
        <v>91</v>
      </c>
      <c r="FC178" s="73"/>
      <c r="FD178" s="73">
        <f t="shared" si="246"/>
        <v>0</v>
      </c>
    </row>
    <row r="179" spans="2:160" s="3" customFormat="1" ht="16.5" customHeight="1">
      <c r="B179" s="316" t="s">
        <v>2639</v>
      </c>
      <c r="C179" s="317" t="s">
        <v>1307</v>
      </c>
      <c r="D179" s="317" t="s">
        <v>3</v>
      </c>
      <c r="E179" s="991">
        <v>24</v>
      </c>
      <c r="F179" s="951">
        <f t="shared" si="155"/>
        <v>0</v>
      </c>
      <c r="G179" s="48"/>
      <c r="H179" s="981"/>
      <c r="I179" s="48">
        <v>32</v>
      </c>
      <c r="J179" s="48">
        <v>260</v>
      </c>
      <c r="K179" s="48">
        <v>200</v>
      </c>
      <c r="L179" s="48">
        <v>0</v>
      </c>
      <c r="M179" s="22"/>
      <c r="N179" s="140"/>
      <c r="O179" s="748"/>
      <c r="P179" s="48"/>
      <c r="Q179" s="48"/>
      <c r="R179" s="48"/>
      <c r="S179" s="886"/>
      <c r="T179" s="886"/>
      <c r="U179" s="886"/>
      <c r="V179" s="140"/>
      <c r="W179" s="140"/>
      <c r="X179" s="48"/>
      <c r="Y179" s="140"/>
      <c r="Z179" s="748"/>
      <c r="AA179" s="48"/>
      <c r="AB179" s="48"/>
      <c r="AC179" s="48"/>
      <c r="AD179" s="886">
        <v>38</v>
      </c>
      <c r="AE179" s="886">
        <v>60</v>
      </c>
      <c r="AF179" s="532">
        <f t="shared" si="247"/>
        <v>0.44999999999999996</v>
      </c>
      <c r="AG179" s="531">
        <f t="shared" si="248"/>
        <v>1556.1</v>
      </c>
      <c r="AH179" s="304">
        <v>46294</v>
      </c>
      <c r="AI179" s="13">
        <v>1638</v>
      </c>
      <c r="AJ179" s="15">
        <v>5</v>
      </c>
      <c r="AK179" s="15">
        <v>0.45</v>
      </c>
      <c r="AL179" s="13"/>
      <c r="AM179" s="93">
        <f t="shared" si="0"/>
        <v>1556.1</v>
      </c>
      <c r="AN179" s="148"/>
      <c r="AO179" s="213"/>
      <c r="CJ179" s="921"/>
      <c r="CT179" s="35"/>
      <c r="CU179" s="70" t="s">
        <v>2412</v>
      </c>
      <c r="CV179" s="71">
        <f t="shared" si="1"/>
        <v>46298</v>
      </c>
      <c r="CW179" s="72" t="str">
        <f>$CT$3&amp;B179</f>
        <v>9WD33 J-01X</v>
      </c>
      <c r="CX179" s="73">
        <f t="shared" ref="CX179:CY183" si="253">I179</f>
        <v>32</v>
      </c>
      <c r="CY179" s="73">
        <f t="shared" si="253"/>
        <v>260</v>
      </c>
      <c r="CZ179" s="73">
        <f>E179</f>
        <v>24</v>
      </c>
      <c r="DA179" s="73" t="str">
        <f>IF(CZ179=0,"SI",D179)</f>
        <v>ESP</v>
      </c>
      <c r="DB179" s="73"/>
      <c r="DC179" s="368">
        <f>E179*((H179*1000)/24)</f>
        <v>0</v>
      </c>
      <c r="DD179" s="73">
        <f>N179</f>
        <v>0</v>
      </c>
      <c r="DE179" s="73">
        <f t="shared" ref="DE179:DG181" si="254">V179</f>
        <v>0</v>
      </c>
      <c r="DF179" s="73">
        <f t="shared" si="254"/>
        <v>0</v>
      </c>
      <c r="DG179" s="73">
        <f t="shared" si="254"/>
        <v>0</v>
      </c>
      <c r="DH179" s="73">
        <f>Z179</f>
        <v>0</v>
      </c>
      <c r="DI179" s="73">
        <f>AD179</f>
        <v>38</v>
      </c>
      <c r="DJ179" s="73"/>
      <c r="DK179" s="73"/>
      <c r="DL179" s="73">
        <f>AE179</f>
        <v>60</v>
      </c>
      <c r="DM179" s="215">
        <f>AG179</f>
        <v>1556.1</v>
      </c>
      <c r="DN179" s="73" t="str">
        <f t="shared" si="251"/>
        <v/>
      </c>
      <c r="DO179" s="73">
        <f>AM179/24*HOURS</f>
        <v>1556.1</v>
      </c>
      <c r="DP179" s="85" t="str">
        <f t="shared" si="252"/>
        <v>WD33 J</v>
      </c>
      <c r="EB179" s="70" t="str">
        <f>IF(B179="","","KHALDA_WELL")</f>
        <v>KHALDA_WELL</v>
      </c>
      <c r="EC179" s="71">
        <f t="shared" si="225"/>
        <v>46298</v>
      </c>
      <c r="ED179" s="72" t="str">
        <f>B179</f>
        <v>WD33 J-01X</v>
      </c>
      <c r="EE179" s="73">
        <f t="shared" ref="EE179:EF181" si="255">I179</f>
        <v>32</v>
      </c>
      <c r="EF179" s="73">
        <f t="shared" si="255"/>
        <v>260</v>
      </c>
      <c r="EG179" s="73">
        <f>E179</f>
        <v>24</v>
      </c>
      <c r="EH179" s="73" t="str">
        <f>IF(CZ179=0,"SI",D179)</f>
        <v>ESP</v>
      </c>
      <c r="EI179" s="73"/>
      <c r="EJ179" s="72"/>
      <c r="EK179" s="72" t="str">
        <f>IF(G179="","",G179)</f>
        <v/>
      </c>
      <c r="EL179" s="73">
        <f>AJ179</f>
        <v>5</v>
      </c>
      <c r="EM179" s="213">
        <f>W179</f>
        <v>0</v>
      </c>
      <c r="EN179" s="73"/>
      <c r="EO179" s="73"/>
      <c r="EQ179" s="73">
        <f t="shared" ref="EQ179:ER181" si="256">Y179</f>
        <v>0</v>
      </c>
      <c r="ER179" s="73">
        <f t="shared" si="256"/>
        <v>0</v>
      </c>
      <c r="ES179" s="73">
        <f>X179</f>
        <v>0</v>
      </c>
      <c r="ET179" s="73">
        <f>AD179</f>
        <v>38</v>
      </c>
      <c r="EU179" s="73"/>
      <c r="EV179" s="73"/>
      <c r="EX179" s="3">
        <f>AE179</f>
        <v>60</v>
      </c>
      <c r="EY179" s="73"/>
      <c r="EZ179" s="73">
        <f t="shared" ref="EZ179:FB181" si="257">S179</f>
        <v>0</v>
      </c>
      <c r="FA179" s="73">
        <f t="shared" si="257"/>
        <v>0</v>
      </c>
      <c r="FB179" s="73">
        <f t="shared" si="257"/>
        <v>0</v>
      </c>
      <c r="FC179" s="73"/>
      <c r="FD179" s="73">
        <f>AN179</f>
        <v>0</v>
      </c>
    </row>
    <row r="180" spans="2:160" s="3" customFormat="1" ht="16.5" customHeight="1">
      <c r="B180" s="316" t="s">
        <v>2686</v>
      </c>
      <c r="C180" s="317" t="s">
        <v>1307</v>
      </c>
      <c r="D180" s="317" t="s">
        <v>18</v>
      </c>
      <c r="E180" s="991">
        <v>0</v>
      </c>
      <c r="F180" s="951">
        <f t="shared" si="155"/>
        <v>0</v>
      </c>
      <c r="G180" s="48"/>
      <c r="H180" s="981"/>
      <c r="I180" s="48"/>
      <c r="J180" s="48"/>
      <c r="K180" s="48"/>
      <c r="L180" s="48"/>
      <c r="M180" s="22"/>
      <c r="N180" s="140"/>
      <c r="O180" s="748"/>
      <c r="P180" s="48"/>
      <c r="Q180" s="48"/>
      <c r="R180" s="48"/>
      <c r="S180" s="886"/>
      <c r="T180" s="886"/>
      <c r="U180" s="886"/>
      <c r="V180" s="140"/>
      <c r="W180" s="140"/>
      <c r="X180" s="48"/>
      <c r="Y180" s="140"/>
      <c r="Z180" s="748"/>
      <c r="AA180" s="48"/>
      <c r="AB180" s="48"/>
      <c r="AC180" s="48"/>
      <c r="AD180" s="886"/>
      <c r="AE180" s="886"/>
      <c r="AF180" s="532">
        <f>AK180/24*E180</f>
        <v>0</v>
      </c>
      <c r="AG180" s="531">
        <f>AM180/24*E180</f>
        <v>0</v>
      </c>
      <c r="AH180" s="304"/>
      <c r="AI180" s="13"/>
      <c r="AJ180" s="15"/>
      <c r="AK180" s="15"/>
      <c r="AL180" s="13"/>
      <c r="AM180" s="93">
        <f t="shared" si="0"/>
        <v>0</v>
      </c>
      <c r="AN180" s="148"/>
      <c r="AO180" s="213"/>
      <c r="CJ180" s="921"/>
      <c r="CT180" s="35"/>
      <c r="CU180" s="70" t="s">
        <v>2642</v>
      </c>
      <c r="CV180" s="71">
        <f t="shared" si="1"/>
        <v>46298</v>
      </c>
      <c r="CW180" s="72" t="str">
        <f t="shared" ref="CW180:CW190" si="258">$CT$3&amp;B180</f>
        <v>9WD33 J-03</v>
      </c>
      <c r="CX180" s="73">
        <f>I180</f>
        <v>0</v>
      </c>
      <c r="CY180" s="73">
        <f>J180</f>
        <v>0</v>
      </c>
      <c r="CZ180" s="73">
        <f t="shared" ref="CZ180:CZ190" si="259">E180</f>
        <v>0</v>
      </c>
      <c r="DA180" s="73" t="str">
        <f t="shared" ref="DA180:DA190" si="260">IF(CZ180=0,"SI",D180)</f>
        <v>SI</v>
      </c>
      <c r="DB180" s="73"/>
      <c r="DC180" s="368">
        <f t="shared" ref="DC180:DC190" si="261">E180*((H180*1000)/24)</f>
        <v>0</v>
      </c>
      <c r="DD180" s="73">
        <f t="shared" ref="DD180:DD190" si="262">N180</f>
        <v>0</v>
      </c>
      <c r="DE180" s="73">
        <f t="shared" si="254"/>
        <v>0</v>
      </c>
      <c r="DF180" s="73">
        <f t="shared" si="254"/>
        <v>0</v>
      </c>
      <c r="DG180" s="73">
        <f t="shared" si="254"/>
        <v>0</v>
      </c>
      <c r="DH180" s="73">
        <f t="shared" ref="DH180:DH190" si="263">Z180</f>
        <v>0</v>
      </c>
      <c r="DI180" s="73">
        <f t="shared" ref="DI180:DI190" si="264">AD180</f>
        <v>0</v>
      </c>
      <c r="DJ180" s="73"/>
      <c r="DK180" s="73"/>
      <c r="DL180" s="73">
        <f t="shared" ref="DL180:DL190" si="265">AE180</f>
        <v>0</v>
      </c>
      <c r="DM180" s="215">
        <f t="shared" ref="DM180:DM190" si="266">AG180</f>
        <v>0</v>
      </c>
      <c r="DN180" s="73" t="str">
        <f t="shared" si="251"/>
        <v/>
      </c>
      <c r="DO180" s="73">
        <f t="shared" ref="DO180:DO190" si="267">AM180/24*HOURS</f>
        <v>0</v>
      </c>
      <c r="DP180" s="85" t="str">
        <f t="shared" si="252"/>
        <v/>
      </c>
      <c r="EB180" s="70" t="str">
        <f>IF(B180="","","KHALDA_WELL")</f>
        <v>KHALDA_WELL</v>
      </c>
      <c r="EC180" s="71">
        <f t="shared" si="225"/>
        <v>46298</v>
      </c>
      <c r="ED180" s="72" t="str">
        <f>B180</f>
        <v>WD33 J-03</v>
      </c>
      <c r="EE180" s="73">
        <f t="shared" si="255"/>
        <v>0</v>
      </c>
      <c r="EF180" s="73">
        <f t="shared" si="255"/>
        <v>0</v>
      </c>
      <c r="EG180" s="73">
        <f>E180</f>
        <v>0</v>
      </c>
      <c r="EH180" s="73" t="str">
        <f>IF(CZ180=0,"SI",D180)</f>
        <v>SI</v>
      </c>
      <c r="EI180" s="73"/>
      <c r="EJ180" s="72"/>
      <c r="EK180" s="72" t="str">
        <f>IF(G180="","",G180)</f>
        <v/>
      </c>
      <c r="EL180" s="73">
        <f>AJ180</f>
        <v>0</v>
      </c>
      <c r="EM180" s="213">
        <f>W180</f>
        <v>0</v>
      </c>
      <c r="EN180" s="73"/>
      <c r="EO180" s="73"/>
      <c r="EQ180" s="73">
        <f t="shared" si="256"/>
        <v>0</v>
      </c>
      <c r="ER180" s="73">
        <f t="shared" si="256"/>
        <v>0</v>
      </c>
      <c r="ES180" s="73">
        <f>X180</f>
        <v>0</v>
      </c>
      <c r="ET180" s="73">
        <f>AD180</f>
        <v>0</v>
      </c>
      <c r="EU180" s="73"/>
      <c r="EV180" s="73"/>
      <c r="EX180" s="3">
        <f>AE180</f>
        <v>0</v>
      </c>
      <c r="EY180" s="73"/>
      <c r="EZ180" s="73">
        <f t="shared" si="257"/>
        <v>0</v>
      </c>
      <c r="FA180" s="73">
        <f t="shared" si="257"/>
        <v>0</v>
      </c>
      <c r="FB180" s="73">
        <f t="shared" si="257"/>
        <v>0</v>
      </c>
      <c r="FC180" s="73"/>
      <c r="FD180" s="73">
        <f>AN180</f>
        <v>0</v>
      </c>
    </row>
    <row r="181" spans="2:160" s="3" customFormat="1" ht="16.5" customHeight="1">
      <c r="B181" s="316" t="s">
        <v>2382</v>
      </c>
      <c r="C181" s="317" t="s">
        <v>1305</v>
      </c>
      <c r="D181" s="317" t="s">
        <v>18</v>
      </c>
      <c r="E181" s="991">
        <v>0</v>
      </c>
      <c r="F181" s="951">
        <f t="shared" si="155"/>
        <v>0</v>
      </c>
      <c r="G181" s="48"/>
      <c r="H181" s="981"/>
      <c r="I181" s="48" t="s">
        <v>2335</v>
      </c>
      <c r="J181" s="48">
        <v>0</v>
      </c>
      <c r="K181" s="48">
        <v>0</v>
      </c>
      <c r="L181" s="48">
        <v>0</v>
      </c>
      <c r="M181" s="22"/>
      <c r="N181" s="140"/>
      <c r="O181" s="748">
        <v>46064</v>
      </c>
      <c r="P181" s="48">
        <v>2734</v>
      </c>
      <c r="Q181" s="48">
        <v>7444</v>
      </c>
      <c r="R181" s="48">
        <v>10178</v>
      </c>
      <c r="S181" s="886">
        <v>0</v>
      </c>
      <c r="T181" s="886">
        <v>0</v>
      </c>
      <c r="U181" s="886">
        <v>0</v>
      </c>
      <c r="V181" s="140"/>
      <c r="W181" s="140"/>
      <c r="X181" s="48"/>
      <c r="Y181" s="140"/>
      <c r="Z181" s="748"/>
      <c r="AA181" s="48"/>
      <c r="AB181" s="48"/>
      <c r="AC181" s="48"/>
      <c r="AD181" s="886"/>
      <c r="AE181" s="886"/>
      <c r="AF181" s="532">
        <f t="shared" si="247"/>
        <v>0</v>
      </c>
      <c r="AG181" s="531">
        <f t="shared" si="248"/>
        <v>0</v>
      </c>
      <c r="AH181" s="304">
        <v>45838</v>
      </c>
      <c r="AI181" s="13">
        <v>40</v>
      </c>
      <c r="AJ181" s="15">
        <v>63</v>
      </c>
      <c r="AK181" s="15">
        <v>0</v>
      </c>
      <c r="AL181" s="13"/>
      <c r="AM181" s="93">
        <f>IF(BFPD=0,0,BFPD*(1-BSW/100))</f>
        <v>14.8</v>
      </c>
      <c r="AN181" s="522"/>
      <c r="AO181" s="213"/>
      <c r="CJ181" s="921"/>
      <c r="CT181" s="35"/>
      <c r="CU181" s="70" t="s">
        <v>2687</v>
      </c>
      <c r="CV181" s="71">
        <f t="shared" si="1"/>
        <v>46298</v>
      </c>
      <c r="CW181" s="72" t="str">
        <f t="shared" si="258"/>
        <v>9WD33-K-01</v>
      </c>
      <c r="CX181" s="73" t="str">
        <f>I181</f>
        <v>NO P.CK</v>
      </c>
      <c r="CY181" s="73">
        <f>J181</f>
        <v>0</v>
      </c>
      <c r="CZ181" s="73">
        <f t="shared" si="259"/>
        <v>0</v>
      </c>
      <c r="DA181" s="73" t="str">
        <f t="shared" si="260"/>
        <v>SI</v>
      </c>
      <c r="DB181" s="73"/>
      <c r="DC181" s="368">
        <f t="shared" si="261"/>
        <v>0</v>
      </c>
      <c r="DD181" s="73">
        <f t="shared" si="262"/>
        <v>0</v>
      </c>
      <c r="DE181" s="73">
        <f t="shared" si="254"/>
        <v>0</v>
      </c>
      <c r="DF181" s="73">
        <f t="shared" si="254"/>
        <v>0</v>
      </c>
      <c r="DG181" s="73">
        <f t="shared" si="254"/>
        <v>0</v>
      </c>
      <c r="DH181" s="73">
        <f t="shared" si="263"/>
        <v>0</v>
      </c>
      <c r="DI181" s="73">
        <f t="shared" si="264"/>
        <v>0</v>
      </c>
      <c r="DJ181" s="73"/>
      <c r="DK181" s="73"/>
      <c r="DL181" s="73">
        <f t="shared" si="265"/>
        <v>0</v>
      </c>
      <c r="DM181" s="215">
        <f t="shared" si="266"/>
        <v>0</v>
      </c>
      <c r="DN181" s="73" t="str">
        <f t="shared" si="251"/>
        <v/>
      </c>
      <c r="DO181" s="73">
        <f t="shared" si="267"/>
        <v>0</v>
      </c>
      <c r="DP181" s="85" t="str">
        <f t="shared" si="252"/>
        <v/>
      </c>
      <c r="EB181" s="70" t="str">
        <f>IF(B181="","","KHALDA_WELL")</f>
        <v>KHALDA_WELL</v>
      </c>
      <c r="EC181" s="71">
        <f t="shared" si="225"/>
        <v>46298</v>
      </c>
      <c r="ED181" s="72" t="str">
        <f>B181</f>
        <v>WD33-K-01</v>
      </c>
      <c r="EE181" s="73" t="str">
        <f t="shared" si="255"/>
        <v>NO P.CK</v>
      </c>
      <c r="EF181" s="73">
        <f t="shared" si="255"/>
        <v>0</v>
      </c>
      <c r="EG181" s="73">
        <f>E181</f>
        <v>0</v>
      </c>
      <c r="EH181" s="73" t="str">
        <f>IF(CZ181=0,"SI",D181)</f>
        <v>SI</v>
      </c>
      <c r="EI181" s="73"/>
      <c r="EJ181" s="72"/>
      <c r="EK181" s="72" t="str">
        <f>IF(G181="","",G181)</f>
        <v/>
      </c>
      <c r="EL181" s="73">
        <f>AJ181</f>
        <v>63</v>
      </c>
      <c r="EM181" s="213">
        <f>W181</f>
        <v>0</v>
      </c>
      <c r="EN181" s="73"/>
      <c r="EO181" s="73"/>
      <c r="EQ181" s="73">
        <f t="shared" si="256"/>
        <v>0</v>
      </c>
      <c r="ER181" s="73">
        <f t="shared" si="256"/>
        <v>0</v>
      </c>
      <c r="ES181" s="73">
        <f>X181</f>
        <v>0</v>
      </c>
      <c r="ET181" s="73">
        <f>AD181</f>
        <v>0</v>
      </c>
      <c r="EU181" s="73"/>
      <c r="EV181" s="73"/>
      <c r="EX181" s="3">
        <f>AE181</f>
        <v>0</v>
      </c>
      <c r="EY181" s="73"/>
      <c r="EZ181" s="73">
        <f t="shared" si="257"/>
        <v>0</v>
      </c>
      <c r="FA181" s="73">
        <f t="shared" si="257"/>
        <v>0</v>
      </c>
      <c r="FB181" s="73">
        <f t="shared" si="257"/>
        <v>0</v>
      </c>
      <c r="FC181" s="73"/>
      <c r="FD181" s="73">
        <f>AN181</f>
        <v>0</v>
      </c>
    </row>
    <row r="182" spans="2:160" s="3" customFormat="1" ht="16.5" customHeight="1">
      <c r="B182" s="316" t="s">
        <v>2066</v>
      </c>
      <c r="C182" s="317" t="s">
        <v>1305</v>
      </c>
      <c r="D182" s="317" t="s">
        <v>18</v>
      </c>
      <c r="E182" s="991">
        <v>0</v>
      </c>
      <c r="F182" s="951">
        <f t="shared" si="155"/>
        <v>0</v>
      </c>
      <c r="G182" s="48"/>
      <c r="H182" s="981"/>
      <c r="I182" s="48" t="s">
        <v>2335</v>
      </c>
      <c r="J182" s="48">
        <v>0</v>
      </c>
      <c r="K182" s="48">
        <v>0</v>
      </c>
      <c r="L182" s="48">
        <v>0</v>
      </c>
      <c r="M182" s="22"/>
      <c r="N182" s="140"/>
      <c r="O182" s="748">
        <v>0</v>
      </c>
      <c r="P182" s="48">
        <v>0</v>
      </c>
      <c r="Q182" s="48">
        <v>0</v>
      </c>
      <c r="R182" s="48">
        <v>8677</v>
      </c>
      <c r="S182" s="886">
        <v>0</v>
      </c>
      <c r="T182" s="886">
        <v>0</v>
      </c>
      <c r="U182" s="886">
        <v>0</v>
      </c>
      <c r="V182" s="140"/>
      <c r="W182" s="140"/>
      <c r="X182" s="140">
        <v>146</v>
      </c>
      <c r="Y182" s="140">
        <v>6.36</v>
      </c>
      <c r="Z182" s="748">
        <v>42226</v>
      </c>
      <c r="AA182" s="48"/>
      <c r="AB182" s="48"/>
      <c r="AC182" s="48"/>
      <c r="AD182" s="886"/>
      <c r="AE182" s="886"/>
      <c r="AF182" s="532">
        <f t="shared" si="104"/>
        <v>0</v>
      </c>
      <c r="AG182" s="531">
        <f t="shared" si="105"/>
        <v>0</v>
      </c>
      <c r="AH182" s="304">
        <v>42284</v>
      </c>
      <c r="AI182" s="13">
        <v>62</v>
      </c>
      <c r="AJ182" s="15">
        <v>62.3</v>
      </c>
      <c r="AK182" s="15">
        <v>3.61E-2</v>
      </c>
      <c r="AL182" s="13"/>
      <c r="AM182" s="93">
        <f t="shared" si="0"/>
        <v>23.373999999999999</v>
      </c>
      <c r="AN182" s="148"/>
      <c r="AO182" s="213"/>
      <c r="CJ182" s="921">
        <f>+IF(D182="SI",0,AI182*AJ182/100)</f>
        <v>0</v>
      </c>
      <c r="CT182" s="35"/>
      <c r="CU182" s="70" t="s">
        <v>2189</v>
      </c>
      <c r="CV182" s="71">
        <f t="shared" si="1"/>
        <v>46298</v>
      </c>
      <c r="CW182" s="72" t="str">
        <f t="shared" si="258"/>
        <v>9WD33-NE05</v>
      </c>
      <c r="CX182" s="73" t="str">
        <f t="shared" si="253"/>
        <v>NO P.CK</v>
      </c>
      <c r="CY182" s="73">
        <f t="shared" si="253"/>
        <v>0</v>
      </c>
      <c r="CZ182" s="73">
        <f t="shared" si="259"/>
        <v>0</v>
      </c>
      <c r="DA182" s="73" t="str">
        <f t="shared" si="260"/>
        <v>SI</v>
      </c>
      <c r="DB182" s="73"/>
      <c r="DC182" s="368">
        <f t="shared" si="261"/>
        <v>0</v>
      </c>
      <c r="DD182" s="73">
        <f t="shared" si="262"/>
        <v>0</v>
      </c>
      <c r="DE182" s="73">
        <f t="shared" ref="DE182:DG183" si="268">V182</f>
        <v>0</v>
      </c>
      <c r="DF182" s="73">
        <f t="shared" si="268"/>
        <v>0</v>
      </c>
      <c r="DG182" s="73">
        <f t="shared" si="268"/>
        <v>146</v>
      </c>
      <c r="DH182" s="73">
        <f t="shared" si="263"/>
        <v>42226</v>
      </c>
      <c r="DI182" s="73">
        <f t="shared" si="264"/>
        <v>0</v>
      </c>
      <c r="DJ182" s="73"/>
      <c r="DK182" s="73"/>
      <c r="DL182" s="73">
        <f t="shared" si="265"/>
        <v>0</v>
      </c>
      <c r="DM182" s="215">
        <f t="shared" si="266"/>
        <v>0</v>
      </c>
      <c r="DN182" s="73" t="str">
        <f t="shared" ref="DN182:DN190" si="269">IF(G182="","",G182)</f>
        <v/>
      </c>
      <c r="DO182" s="73">
        <f t="shared" si="267"/>
        <v>0</v>
      </c>
      <c r="DP182" s="85" t="str">
        <f>IF(OR(D182="SI",B182="",D182="T&amp;A"),"",VLOOKUP(B182,WELL_FIELD,2))</f>
        <v/>
      </c>
      <c r="EB182" s="70" t="str">
        <f t="shared" si="229"/>
        <v>KHALDA_WELL</v>
      </c>
      <c r="EC182" s="71">
        <f t="shared" si="225"/>
        <v>46298</v>
      </c>
      <c r="ED182" s="72" t="str">
        <f t="shared" si="230"/>
        <v>WD33-NE05</v>
      </c>
      <c r="EE182" s="73" t="str">
        <f t="shared" si="231"/>
        <v>NO P.CK</v>
      </c>
      <c r="EF182" s="73">
        <f t="shared" si="232"/>
        <v>0</v>
      </c>
      <c r="EG182" s="73">
        <f t="shared" si="233"/>
        <v>0</v>
      </c>
      <c r="EH182" s="73" t="str">
        <f t="shared" si="234"/>
        <v>SI</v>
      </c>
      <c r="EI182" s="73"/>
      <c r="EJ182" s="72"/>
      <c r="EK182" s="72" t="str">
        <f t="shared" si="235"/>
        <v/>
      </c>
      <c r="EL182" s="73">
        <f t="shared" si="236"/>
        <v>62.3</v>
      </c>
      <c r="EM182" s="213">
        <f t="shared" si="237"/>
        <v>0</v>
      </c>
      <c r="EN182" s="73"/>
      <c r="EO182" s="73"/>
      <c r="EQ182" s="73">
        <f t="shared" si="238"/>
        <v>6.36</v>
      </c>
      <c r="ER182" s="73">
        <f t="shared" si="239"/>
        <v>42226</v>
      </c>
      <c r="ES182" s="73">
        <f t="shared" si="240"/>
        <v>146</v>
      </c>
      <c r="ET182" s="73">
        <f t="shared" si="241"/>
        <v>0</v>
      </c>
      <c r="EU182" s="73"/>
      <c r="EV182" s="73"/>
      <c r="EX182" s="3">
        <f t="shared" si="242"/>
        <v>0</v>
      </c>
      <c r="EY182" s="73"/>
      <c r="EZ182" s="73">
        <f t="shared" si="243"/>
        <v>0</v>
      </c>
      <c r="FA182" s="73">
        <f t="shared" si="244"/>
        <v>0</v>
      </c>
      <c r="FB182" s="73">
        <f t="shared" si="245"/>
        <v>0</v>
      </c>
      <c r="FC182" s="73"/>
      <c r="FD182" s="73">
        <f t="shared" si="246"/>
        <v>0</v>
      </c>
    </row>
    <row r="183" spans="2:160" s="3" customFormat="1" ht="15.75" customHeight="1">
      <c r="B183" s="316" t="s">
        <v>1326</v>
      </c>
      <c r="C183" s="317" t="s">
        <v>1307</v>
      </c>
      <c r="D183" s="317" t="s">
        <v>18</v>
      </c>
      <c r="E183" s="991">
        <v>0</v>
      </c>
      <c r="F183" s="951">
        <f t="shared" si="155"/>
        <v>0</v>
      </c>
      <c r="G183" s="48"/>
      <c r="H183" s="981"/>
      <c r="I183" s="48" t="s">
        <v>2335</v>
      </c>
      <c r="J183" s="48">
        <v>0</v>
      </c>
      <c r="K183" s="48">
        <v>0</v>
      </c>
      <c r="L183" s="48">
        <v>0</v>
      </c>
      <c r="M183" s="22"/>
      <c r="N183" s="140"/>
      <c r="O183" s="748">
        <v>0</v>
      </c>
      <c r="P183" s="48">
        <v>0</v>
      </c>
      <c r="Q183" s="48">
        <v>0</v>
      </c>
      <c r="R183" s="48"/>
      <c r="S183" s="886">
        <v>0</v>
      </c>
      <c r="T183" s="886">
        <v>0</v>
      </c>
      <c r="U183" s="886">
        <v>0</v>
      </c>
      <c r="V183" s="140"/>
      <c r="W183" s="140"/>
      <c r="X183" s="48"/>
      <c r="Y183" s="140"/>
      <c r="Z183" s="748"/>
      <c r="AA183" s="48"/>
      <c r="AB183" s="48"/>
      <c r="AC183" s="48"/>
      <c r="AD183" s="886"/>
      <c r="AE183" s="886"/>
      <c r="AF183" s="532">
        <f t="shared" si="104"/>
        <v>0</v>
      </c>
      <c r="AG183" s="531">
        <f t="shared" si="105"/>
        <v>0</v>
      </c>
      <c r="AH183" s="304">
        <v>45642</v>
      </c>
      <c r="AI183" s="13">
        <v>136</v>
      </c>
      <c r="AJ183" s="15">
        <v>71</v>
      </c>
      <c r="AK183" s="15">
        <v>0</v>
      </c>
      <c r="AL183" s="13"/>
      <c r="AM183" s="93">
        <f t="shared" si="0"/>
        <v>39.440000000000005</v>
      </c>
      <c r="AN183" s="148"/>
      <c r="AO183" s="213"/>
      <c r="CJ183" s="921">
        <f>+IF(D183="SI",0,AI183*AJ183/100)</f>
        <v>0</v>
      </c>
      <c r="CT183" s="35"/>
      <c r="CU183" s="70" t="s">
        <v>2190</v>
      </c>
      <c r="CV183" s="71">
        <f t="shared" si="1"/>
        <v>46298</v>
      </c>
      <c r="CW183" s="72" t="str">
        <f t="shared" si="258"/>
        <v>9WD33-15-4</v>
      </c>
      <c r="CX183" s="73" t="str">
        <f t="shared" si="253"/>
        <v>NO P.CK</v>
      </c>
      <c r="CY183" s="73">
        <f t="shared" si="253"/>
        <v>0</v>
      </c>
      <c r="CZ183" s="73">
        <f t="shared" si="259"/>
        <v>0</v>
      </c>
      <c r="DA183" s="73" t="str">
        <f t="shared" si="260"/>
        <v>SI</v>
      </c>
      <c r="DB183" s="73"/>
      <c r="DC183" s="368">
        <f t="shared" si="261"/>
        <v>0</v>
      </c>
      <c r="DD183" s="73">
        <f t="shared" si="262"/>
        <v>0</v>
      </c>
      <c r="DE183" s="73">
        <f t="shared" si="268"/>
        <v>0</v>
      </c>
      <c r="DF183" s="73">
        <f t="shared" si="268"/>
        <v>0</v>
      </c>
      <c r="DG183" s="73">
        <f t="shared" si="268"/>
        <v>0</v>
      </c>
      <c r="DH183" s="73">
        <f t="shared" si="263"/>
        <v>0</v>
      </c>
      <c r="DI183" s="73">
        <f t="shared" si="264"/>
        <v>0</v>
      </c>
      <c r="DJ183" s="73"/>
      <c r="DK183" s="73"/>
      <c r="DL183" s="73">
        <f t="shared" si="265"/>
        <v>0</v>
      </c>
      <c r="DM183" s="215">
        <f t="shared" si="266"/>
        <v>0</v>
      </c>
      <c r="DN183" s="73" t="str">
        <f t="shared" si="269"/>
        <v/>
      </c>
      <c r="DO183" s="73">
        <f t="shared" si="267"/>
        <v>0</v>
      </c>
      <c r="DP183" s="85" t="str">
        <f>IF(OR(D183="SI",B183="",D183="T&amp;A"),"",VLOOKUP(B183,WELL_FIELD,2))</f>
        <v/>
      </c>
      <c r="EB183" s="70" t="str">
        <f t="shared" si="229"/>
        <v>KHALDA_WELL</v>
      </c>
      <c r="EC183" s="71">
        <f t="shared" si="225"/>
        <v>46298</v>
      </c>
      <c r="ED183" s="72" t="str">
        <f t="shared" si="230"/>
        <v>WD33-15-4</v>
      </c>
      <c r="EE183" s="73" t="str">
        <f t="shared" si="231"/>
        <v>NO P.CK</v>
      </c>
      <c r="EF183" s="73">
        <f t="shared" si="232"/>
        <v>0</v>
      </c>
      <c r="EG183" s="73">
        <f t="shared" si="233"/>
        <v>0</v>
      </c>
      <c r="EH183" s="73" t="str">
        <f t="shared" si="234"/>
        <v>SI</v>
      </c>
      <c r="EI183" s="73"/>
      <c r="EJ183" s="72"/>
      <c r="EK183" s="72" t="str">
        <f t="shared" si="235"/>
        <v/>
      </c>
      <c r="EL183" s="73">
        <f t="shared" si="236"/>
        <v>71</v>
      </c>
      <c r="EM183" s="213">
        <f t="shared" si="237"/>
        <v>0</v>
      </c>
      <c r="EN183" s="73"/>
      <c r="EO183" s="73"/>
      <c r="EQ183" s="73">
        <f t="shared" si="238"/>
        <v>0</v>
      </c>
      <c r="ER183" s="73">
        <f t="shared" si="239"/>
        <v>0</v>
      </c>
      <c r="ES183" s="73">
        <f t="shared" si="240"/>
        <v>0</v>
      </c>
      <c r="ET183" s="73">
        <f t="shared" si="241"/>
        <v>0</v>
      </c>
      <c r="EU183" s="73"/>
      <c r="EV183" s="73"/>
      <c r="EX183" s="3">
        <f t="shared" si="242"/>
        <v>0</v>
      </c>
      <c r="EY183" s="73"/>
      <c r="EZ183" s="73">
        <f t="shared" si="243"/>
        <v>0</v>
      </c>
      <c r="FA183" s="73">
        <f t="shared" si="244"/>
        <v>0</v>
      </c>
      <c r="FB183" s="73">
        <f t="shared" si="245"/>
        <v>0</v>
      </c>
      <c r="FC183" s="73"/>
      <c r="FD183" s="73">
        <f t="shared" si="246"/>
        <v>0</v>
      </c>
    </row>
    <row r="184" spans="2:160" s="3" customFormat="1" ht="15.75" customHeight="1">
      <c r="B184" s="316" t="s">
        <v>2670</v>
      </c>
      <c r="C184" s="317" t="s">
        <v>21</v>
      </c>
      <c r="D184" s="317" t="s">
        <v>3</v>
      </c>
      <c r="E184" s="991">
        <v>24</v>
      </c>
      <c r="F184" s="951">
        <f t="shared" si="155"/>
        <v>0</v>
      </c>
      <c r="G184" s="48"/>
      <c r="H184" s="981"/>
      <c r="I184" s="48"/>
      <c r="J184" s="48">
        <v>80</v>
      </c>
      <c r="K184" s="48">
        <v>70</v>
      </c>
      <c r="L184" s="48">
        <v>0</v>
      </c>
      <c r="M184" s="22"/>
      <c r="N184" s="140"/>
      <c r="O184" s="748"/>
      <c r="P184" s="48"/>
      <c r="Q184" s="48"/>
      <c r="R184" s="48"/>
      <c r="S184" s="886"/>
      <c r="T184" s="886"/>
      <c r="U184" s="886"/>
      <c r="V184" s="140"/>
      <c r="W184" s="140"/>
      <c r="X184" s="48"/>
      <c r="Y184" s="140"/>
      <c r="Z184" s="748"/>
      <c r="AA184" s="48"/>
      <c r="AB184" s="48"/>
      <c r="AC184" s="48"/>
      <c r="AD184" s="886">
        <v>33</v>
      </c>
      <c r="AE184" s="886">
        <v>50</v>
      </c>
      <c r="AF184" s="532">
        <f>AK184/24*E184</f>
        <v>7.2999999999999995E-2</v>
      </c>
      <c r="AG184" s="531">
        <f t="shared" ref="AG184:AG189" si="270">AM184/24*E184</f>
        <v>486.41999999999996</v>
      </c>
      <c r="AH184" s="304">
        <v>46292</v>
      </c>
      <c r="AI184" s="13">
        <v>737</v>
      </c>
      <c r="AJ184" s="15">
        <v>34</v>
      </c>
      <c r="AK184" s="15">
        <v>7.2999999999999995E-2</v>
      </c>
      <c r="AL184" s="13">
        <v>66000</v>
      </c>
      <c r="AM184" s="93">
        <f t="shared" si="0"/>
        <v>486.41999999999996</v>
      </c>
      <c r="AN184" s="148"/>
      <c r="AO184" s="213"/>
      <c r="CJ184" s="921"/>
      <c r="CT184" s="35"/>
      <c r="CU184" s="70" t="s">
        <v>2208</v>
      </c>
      <c r="CV184" s="71">
        <f t="shared" si="1"/>
        <v>46298</v>
      </c>
      <c r="CW184" s="72" t="str">
        <f t="shared" si="258"/>
        <v>9WD33-15-10 ST1</v>
      </c>
      <c r="CX184" s="73">
        <f t="shared" ref="CX184:CY187" si="271">I184</f>
        <v>0</v>
      </c>
      <c r="CY184" s="73">
        <f t="shared" si="271"/>
        <v>80</v>
      </c>
      <c r="CZ184" s="73">
        <f t="shared" si="259"/>
        <v>24</v>
      </c>
      <c r="DA184" s="73" t="str">
        <f t="shared" si="260"/>
        <v>ESP</v>
      </c>
      <c r="DB184" s="73"/>
      <c r="DC184" s="368">
        <f t="shared" si="261"/>
        <v>0</v>
      </c>
      <c r="DD184" s="73">
        <f t="shared" si="262"/>
        <v>0</v>
      </c>
      <c r="DE184" s="73">
        <f t="shared" ref="DE184:DG186" si="272">V184</f>
        <v>0</v>
      </c>
      <c r="DF184" s="73">
        <f t="shared" si="272"/>
        <v>0</v>
      </c>
      <c r="DG184" s="73">
        <f t="shared" si="272"/>
        <v>0</v>
      </c>
      <c r="DH184" s="73">
        <f t="shared" si="263"/>
        <v>0</v>
      </c>
      <c r="DI184" s="73">
        <f t="shared" si="264"/>
        <v>33</v>
      </c>
      <c r="DJ184" s="73"/>
      <c r="DK184" s="73"/>
      <c r="DL184" s="73">
        <f t="shared" si="265"/>
        <v>50</v>
      </c>
      <c r="DM184" s="215">
        <f t="shared" si="266"/>
        <v>486.41999999999996</v>
      </c>
      <c r="DN184" s="73" t="str">
        <f t="shared" si="269"/>
        <v/>
      </c>
      <c r="DO184" s="73">
        <f t="shared" si="267"/>
        <v>486.41999999999996</v>
      </c>
      <c r="DP184" s="85" t="str">
        <f>IF(OR(D184="SI",B184="",D184="T&amp;A"),"",VLOOKUP(B184,WELL_FIELD,2))</f>
        <v>WD33</v>
      </c>
      <c r="EB184" s="70" t="str">
        <f t="shared" ref="EB184:EB190" si="273">IF(B184="","","KHALDA_WELL")</f>
        <v>KHALDA_WELL</v>
      </c>
      <c r="EC184" s="71">
        <f t="shared" si="225"/>
        <v>46298</v>
      </c>
      <c r="ED184" s="72" t="str">
        <f t="shared" ref="ED184:ED190" si="274">B184</f>
        <v>WD33-15-10 ST1</v>
      </c>
      <c r="EE184" s="73">
        <f t="shared" ref="EE184:EF187" si="275">I184</f>
        <v>0</v>
      </c>
      <c r="EF184" s="73">
        <f t="shared" si="275"/>
        <v>80</v>
      </c>
      <c r="EG184" s="73">
        <f t="shared" ref="EG184:EG190" si="276">E184</f>
        <v>24</v>
      </c>
      <c r="EH184" s="73" t="str">
        <f t="shared" ref="EH184:EH190" si="277">IF(CZ184=0,"SI",D184)</f>
        <v>ESP</v>
      </c>
      <c r="EI184" s="73"/>
      <c r="EJ184" s="72"/>
      <c r="EK184" s="72" t="str">
        <f t="shared" ref="EK184:EK190" si="278">IF(G184="","",G184)</f>
        <v/>
      </c>
      <c r="EL184" s="73">
        <f t="shared" ref="EL184:EL190" si="279">AJ184</f>
        <v>34</v>
      </c>
      <c r="EM184" s="213">
        <f t="shared" ref="EM184:EM190" si="280">W184</f>
        <v>0</v>
      </c>
      <c r="EN184" s="73"/>
      <c r="EO184" s="73"/>
      <c r="EQ184" s="73">
        <f t="shared" ref="EQ184:ER187" si="281">Y184</f>
        <v>0</v>
      </c>
      <c r="ER184" s="73">
        <f t="shared" si="281"/>
        <v>0</v>
      </c>
      <c r="ES184" s="73">
        <f t="shared" ref="ES184:ES190" si="282">X184</f>
        <v>0</v>
      </c>
      <c r="ET184" s="73">
        <f t="shared" ref="ET184:ET190" si="283">AD184</f>
        <v>33</v>
      </c>
      <c r="EU184" s="73"/>
      <c r="EV184" s="73"/>
      <c r="EX184" s="3">
        <f t="shared" ref="EX184:EX190" si="284">AE184</f>
        <v>50</v>
      </c>
      <c r="EY184" s="73"/>
      <c r="EZ184" s="73">
        <f t="shared" ref="EZ184:FB187" si="285">S184</f>
        <v>0</v>
      </c>
      <c r="FA184" s="73">
        <f t="shared" si="285"/>
        <v>0</v>
      </c>
      <c r="FB184" s="73">
        <f t="shared" si="285"/>
        <v>0</v>
      </c>
      <c r="FC184" s="73"/>
      <c r="FD184" s="73">
        <f t="shared" ref="FD184:FD190" si="286">AN184</f>
        <v>0</v>
      </c>
    </row>
    <row r="185" spans="2:160" s="3" customFormat="1" ht="15" customHeight="1">
      <c r="B185" s="316" t="s">
        <v>2266</v>
      </c>
      <c r="C185" s="317" t="s">
        <v>1307</v>
      </c>
      <c r="D185" s="317" t="s">
        <v>3</v>
      </c>
      <c r="E185" s="991">
        <v>18</v>
      </c>
      <c r="F185" s="951">
        <f t="shared" si="155"/>
        <v>139.78250000000003</v>
      </c>
      <c r="G185" s="48" t="s">
        <v>2583</v>
      </c>
      <c r="H185" s="981"/>
      <c r="I185" s="48" t="s">
        <v>255</v>
      </c>
      <c r="J185" s="48">
        <v>180</v>
      </c>
      <c r="K185" s="48">
        <v>170</v>
      </c>
      <c r="L185" s="48">
        <v>0</v>
      </c>
      <c r="M185" s="22"/>
      <c r="N185" s="140"/>
      <c r="O185" s="748"/>
      <c r="P185" s="48"/>
      <c r="Q185" s="48"/>
      <c r="R185" s="48"/>
      <c r="S185" s="886"/>
      <c r="T185" s="886"/>
      <c r="U185" s="886"/>
      <c r="V185" s="140"/>
      <c r="W185" s="140"/>
      <c r="X185" s="48"/>
      <c r="Y185" s="140"/>
      <c r="Z185" s="748"/>
      <c r="AA185" s="48" t="s">
        <v>2720</v>
      </c>
      <c r="AB185" s="48"/>
      <c r="AC185" s="48"/>
      <c r="AD185" s="886">
        <v>61.6</v>
      </c>
      <c r="AE185" s="886">
        <v>55</v>
      </c>
      <c r="AF185" s="532">
        <f t="shared" si="104"/>
        <v>0</v>
      </c>
      <c r="AG185" s="531">
        <f t="shared" si="270"/>
        <v>419.34750000000008</v>
      </c>
      <c r="AH185" s="304">
        <v>46298</v>
      </c>
      <c r="AI185" s="13">
        <v>3289</v>
      </c>
      <c r="AJ185" s="15">
        <v>83</v>
      </c>
      <c r="AK185" s="15">
        <v>0</v>
      </c>
      <c r="AL185" s="13"/>
      <c r="AM185" s="93">
        <f t="shared" si="0"/>
        <v>559.13000000000011</v>
      </c>
      <c r="AN185" s="148"/>
      <c r="AO185" s="213"/>
      <c r="CJ185" s="921"/>
      <c r="CT185" s="35"/>
      <c r="CU185" s="70" t="s">
        <v>2270</v>
      </c>
      <c r="CV185" s="71">
        <f t="shared" si="1"/>
        <v>46298</v>
      </c>
      <c r="CW185" s="72" t="str">
        <f t="shared" si="258"/>
        <v>9WD33-15-11</v>
      </c>
      <c r="CX185" s="73" t="str">
        <f t="shared" si="271"/>
        <v>OPEN</v>
      </c>
      <c r="CY185" s="73">
        <f t="shared" si="271"/>
        <v>180</v>
      </c>
      <c r="CZ185" s="73">
        <f t="shared" si="259"/>
        <v>18</v>
      </c>
      <c r="DA185" s="73" t="str">
        <f t="shared" si="260"/>
        <v>ESP</v>
      </c>
      <c r="DB185" s="73"/>
      <c r="DC185" s="368">
        <f t="shared" si="261"/>
        <v>0</v>
      </c>
      <c r="DD185" s="73">
        <f t="shared" si="262"/>
        <v>0</v>
      </c>
      <c r="DE185" s="73">
        <f t="shared" si="272"/>
        <v>0</v>
      </c>
      <c r="DF185" s="73">
        <f t="shared" si="272"/>
        <v>0</v>
      </c>
      <c r="DG185" s="73">
        <f t="shared" si="272"/>
        <v>0</v>
      </c>
      <c r="DH185" s="73">
        <f t="shared" si="263"/>
        <v>0</v>
      </c>
      <c r="DI185" s="73">
        <f t="shared" si="264"/>
        <v>61.6</v>
      </c>
      <c r="DJ185" s="73"/>
      <c r="DK185" s="73"/>
      <c r="DL185" s="73">
        <f t="shared" si="265"/>
        <v>55</v>
      </c>
      <c r="DM185" s="215">
        <f t="shared" si="266"/>
        <v>419.34750000000008</v>
      </c>
      <c r="DN185" s="73" t="str">
        <f t="shared" si="269"/>
        <v>Under Load/Current (ESP Power Related)</v>
      </c>
      <c r="DO185" s="73">
        <f t="shared" si="267"/>
        <v>419.34750000000008</v>
      </c>
      <c r="DP185" s="85" t="str">
        <f>IF(OR(D185="SI",B185="",D185="T&amp;A"),"",VLOOKUP(B185,WELL_FIELD,2))</f>
        <v>WD33</v>
      </c>
      <c r="EB185" s="70" t="str">
        <f t="shared" si="273"/>
        <v>KHALDA_WELL</v>
      </c>
      <c r="EC185" s="71">
        <f t="shared" si="225"/>
        <v>46298</v>
      </c>
      <c r="ED185" s="72" t="str">
        <f t="shared" si="274"/>
        <v>WD33-15-11</v>
      </c>
      <c r="EE185" s="73" t="str">
        <f t="shared" si="275"/>
        <v>OPEN</v>
      </c>
      <c r="EF185" s="73">
        <f t="shared" si="275"/>
        <v>180</v>
      </c>
      <c r="EG185" s="73">
        <f t="shared" si="276"/>
        <v>18</v>
      </c>
      <c r="EH185" s="73" t="str">
        <f t="shared" si="277"/>
        <v>ESP</v>
      </c>
      <c r="EI185" s="73"/>
      <c r="EJ185" s="72"/>
      <c r="EK185" s="72" t="str">
        <f t="shared" si="278"/>
        <v>Under Load/Current (ESP Power Related)</v>
      </c>
      <c r="EL185" s="73">
        <f t="shared" si="279"/>
        <v>83</v>
      </c>
      <c r="EM185" s="213">
        <f t="shared" si="280"/>
        <v>0</v>
      </c>
      <c r="EN185" s="73"/>
      <c r="EO185" s="73"/>
      <c r="EQ185" s="73">
        <f t="shared" si="281"/>
        <v>0</v>
      </c>
      <c r="ER185" s="73">
        <f t="shared" si="281"/>
        <v>0</v>
      </c>
      <c r="ES185" s="73">
        <f t="shared" si="282"/>
        <v>0</v>
      </c>
      <c r="ET185" s="73">
        <f t="shared" si="283"/>
        <v>61.6</v>
      </c>
      <c r="EU185" s="73"/>
      <c r="EV185" s="73"/>
      <c r="EX185" s="3">
        <f t="shared" si="284"/>
        <v>55</v>
      </c>
      <c r="EY185" s="73"/>
      <c r="EZ185" s="73">
        <f t="shared" si="285"/>
        <v>0</v>
      </c>
      <c r="FA185" s="73">
        <f t="shared" si="285"/>
        <v>0</v>
      </c>
      <c r="FB185" s="73">
        <f t="shared" si="285"/>
        <v>0</v>
      </c>
      <c r="FC185" s="73"/>
      <c r="FD185" s="73">
        <f t="shared" si="286"/>
        <v>0</v>
      </c>
    </row>
    <row r="186" spans="2:160" s="3" customFormat="1" ht="15" customHeight="1">
      <c r="B186" s="316" t="s">
        <v>2269</v>
      </c>
      <c r="C186" s="317" t="s">
        <v>1305</v>
      </c>
      <c r="D186" s="317" t="s">
        <v>2</v>
      </c>
      <c r="E186" s="991">
        <v>24</v>
      </c>
      <c r="F186" s="951">
        <f t="shared" si="155"/>
        <v>0</v>
      </c>
      <c r="G186" s="48"/>
      <c r="H186" s="981"/>
      <c r="I186" s="48" t="s">
        <v>2335</v>
      </c>
      <c r="J186" s="48">
        <v>90</v>
      </c>
      <c r="K186" s="48">
        <v>80</v>
      </c>
      <c r="L186" s="48">
        <v>0</v>
      </c>
      <c r="M186" s="22"/>
      <c r="N186" s="140"/>
      <c r="O186" s="748">
        <v>46258</v>
      </c>
      <c r="P186" s="48">
        <v>4222</v>
      </c>
      <c r="Q186" s="48">
        <v>400</v>
      </c>
      <c r="R186" s="48">
        <v>4633</v>
      </c>
      <c r="S186" s="886">
        <v>44</v>
      </c>
      <c r="T186" s="886">
        <v>96</v>
      </c>
      <c r="U186" s="886">
        <v>79</v>
      </c>
      <c r="V186" s="140"/>
      <c r="W186" s="140"/>
      <c r="X186" s="48"/>
      <c r="Y186" s="140">
        <v>5.63</v>
      </c>
      <c r="Z186" s="748"/>
      <c r="AA186" s="48"/>
      <c r="AB186" s="48"/>
      <c r="AC186" s="48"/>
      <c r="AD186" s="886"/>
      <c r="AE186" s="886"/>
      <c r="AF186" s="532">
        <f t="shared" si="104"/>
        <v>0</v>
      </c>
      <c r="AG186" s="531">
        <f t="shared" si="270"/>
        <v>100.98000000000002</v>
      </c>
      <c r="AH186" s="304">
        <v>46269</v>
      </c>
      <c r="AI186" s="13">
        <v>102</v>
      </c>
      <c r="AJ186" s="15">
        <v>1</v>
      </c>
      <c r="AK186" s="15">
        <v>0</v>
      </c>
      <c r="AL186" s="13"/>
      <c r="AM186" s="93">
        <f t="shared" si="0"/>
        <v>100.98</v>
      </c>
      <c r="AN186" s="148"/>
      <c r="AO186" s="213"/>
      <c r="CJ186" s="921"/>
      <c r="CT186" s="35"/>
      <c r="CU186" s="70" t="s">
        <v>2371</v>
      </c>
      <c r="CV186" s="71">
        <f t="shared" si="1"/>
        <v>46298</v>
      </c>
      <c r="CW186" s="72" t="str">
        <f t="shared" si="258"/>
        <v>9WD33-15-12</v>
      </c>
      <c r="CX186" s="73" t="str">
        <f t="shared" si="271"/>
        <v>NO P.CK</v>
      </c>
      <c r="CY186" s="73">
        <f t="shared" si="271"/>
        <v>90</v>
      </c>
      <c r="CZ186" s="73">
        <f t="shared" si="259"/>
        <v>24</v>
      </c>
      <c r="DA186" s="73" t="str">
        <f t="shared" si="260"/>
        <v>SRP</v>
      </c>
      <c r="DB186" s="73"/>
      <c r="DC186" s="368">
        <f t="shared" si="261"/>
        <v>0</v>
      </c>
      <c r="DD186" s="73">
        <f t="shared" si="262"/>
        <v>0</v>
      </c>
      <c r="DE186" s="73">
        <f t="shared" si="272"/>
        <v>0</v>
      </c>
      <c r="DF186" s="73">
        <f t="shared" si="272"/>
        <v>0</v>
      </c>
      <c r="DG186" s="73">
        <f t="shared" si="272"/>
        <v>0</v>
      </c>
      <c r="DH186" s="73">
        <f t="shared" si="263"/>
        <v>0</v>
      </c>
      <c r="DI186" s="73">
        <f t="shared" si="264"/>
        <v>0</v>
      </c>
      <c r="DJ186" s="73"/>
      <c r="DK186" s="73"/>
      <c r="DL186" s="73">
        <f t="shared" si="265"/>
        <v>0</v>
      </c>
      <c r="DM186" s="215">
        <f t="shared" si="266"/>
        <v>100.98000000000002</v>
      </c>
      <c r="DN186" s="73" t="str">
        <f t="shared" si="269"/>
        <v/>
      </c>
      <c r="DO186" s="73">
        <f t="shared" si="267"/>
        <v>100.98000000000002</v>
      </c>
      <c r="DP186" s="85" t="str">
        <f>IF(OR(D186="SI",B186="",D186="T&amp;A"),"",VLOOKUP(B186,WELL_FIELD,2))</f>
        <v>WD33</v>
      </c>
      <c r="EB186" s="70" t="str">
        <f t="shared" si="273"/>
        <v>KHALDA_WELL</v>
      </c>
      <c r="EC186" s="71">
        <f t="shared" si="225"/>
        <v>46298</v>
      </c>
      <c r="ED186" s="72" t="str">
        <f t="shared" si="274"/>
        <v>WD33-15-12</v>
      </c>
      <c r="EE186" s="73" t="str">
        <f t="shared" si="275"/>
        <v>NO P.CK</v>
      </c>
      <c r="EF186" s="73">
        <f t="shared" si="275"/>
        <v>90</v>
      </c>
      <c r="EG186" s="73">
        <f t="shared" si="276"/>
        <v>24</v>
      </c>
      <c r="EH186" s="73" t="str">
        <f t="shared" si="277"/>
        <v>SRP</v>
      </c>
      <c r="EI186" s="73"/>
      <c r="EJ186" s="72"/>
      <c r="EK186" s="72" t="str">
        <f t="shared" si="278"/>
        <v/>
      </c>
      <c r="EL186" s="73">
        <f t="shared" si="279"/>
        <v>1</v>
      </c>
      <c r="EM186" s="213">
        <f t="shared" si="280"/>
        <v>0</v>
      </c>
      <c r="EN186" s="73"/>
      <c r="EO186" s="73"/>
      <c r="EQ186" s="73">
        <f t="shared" si="281"/>
        <v>5.63</v>
      </c>
      <c r="ER186" s="73">
        <f t="shared" si="281"/>
        <v>0</v>
      </c>
      <c r="ES186" s="73">
        <f t="shared" si="282"/>
        <v>0</v>
      </c>
      <c r="ET186" s="73">
        <f t="shared" si="283"/>
        <v>0</v>
      </c>
      <c r="EU186" s="73"/>
      <c r="EV186" s="73"/>
      <c r="EX186" s="3">
        <f t="shared" si="284"/>
        <v>0</v>
      </c>
      <c r="EY186" s="73"/>
      <c r="EZ186" s="73">
        <f t="shared" si="285"/>
        <v>44</v>
      </c>
      <c r="FA186" s="73">
        <f t="shared" si="285"/>
        <v>96</v>
      </c>
      <c r="FB186" s="73">
        <f t="shared" si="285"/>
        <v>79</v>
      </c>
      <c r="FC186" s="73"/>
      <c r="FD186" s="73">
        <f t="shared" si="286"/>
        <v>0</v>
      </c>
    </row>
    <row r="187" spans="2:160" s="3" customFormat="1" ht="15" customHeight="1">
      <c r="B187" s="316" t="s">
        <v>2370</v>
      </c>
      <c r="C187" s="317" t="s">
        <v>1305</v>
      </c>
      <c r="D187" s="317" t="s">
        <v>18</v>
      </c>
      <c r="E187" s="991">
        <v>0</v>
      </c>
      <c r="F187" s="951">
        <f t="shared" si="155"/>
        <v>0</v>
      </c>
      <c r="G187" s="48"/>
      <c r="H187" s="981"/>
      <c r="I187" s="48"/>
      <c r="J187" s="48">
        <v>0</v>
      </c>
      <c r="K187" s="48">
        <v>0</v>
      </c>
      <c r="L187" s="48">
        <v>0</v>
      </c>
      <c r="M187" s="22"/>
      <c r="N187" s="140"/>
      <c r="O187" s="748">
        <v>46199</v>
      </c>
      <c r="P187" s="48">
        <v>5937</v>
      </c>
      <c r="Q187" s="48">
        <v>26</v>
      </c>
      <c r="R187" s="576">
        <v>5956</v>
      </c>
      <c r="S187" s="886">
        <v>0</v>
      </c>
      <c r="T187" s="886">
        <v>0</v>
      </c>
      <c r="U187" s="886">
        <v>0</v>
      </c>
      <c r="V187"/>
      <c r="W187" s="140"/>
      <c r="X187" s="48">
        <v>144</v>
      </c>
      <c r="Y187" s="140">
        <v>6</v>
      </c>
      <c r="Z187" s="748"/>
      <c r="AA187" s="48"/>
      <c r="AB187" s="48"/>
      <c r="AC187" s="48"/>
      <c r="AD187" s="886"/>
      <c r="AE187" s="886"/>
      <c r="AF187" s="532">
        <f t="shared" si="104"/>
        <v>0</v>
      </c>
      <c r="AG187" s="531">
        <f t="shared" si="270"/>
        <v>0</v>
      </c>
      <c r="AH187" s="304">
        <v>46232</v>
      </c>
      <c r="AI187" s="13">
        <v>128</v>
      </c>
      <c r="AJ187" s="15">
        <v>95</v>
      </c>
      <c r="AK187" s="15">
        <v>0</v>
      </c>
      <c r="AL187" s="13">
        <v>68000</v>
      </c>
      <c r="AM187" s="93">
        <f t="shared" si="0"/>
        <v>6.4000000000000057</v>
      </c>
      <c r="AN187" s="148"/>
      <c r="AO187" s="213"/>
      <c r="CJ187" s="921"/>
      <c r="CT187" s="35"/>
      <c r="CU187" s="70" t="s">
        <v>2371</v>
      </c>
      <c r="CV187" s="71">
        <f t="shared" si="1"/>
        <v>46298</v>
      </c>
      <c r="CW187" s="72" t="str">
        <f t="shared" si="258"/>
        <v>9WD33-15-19</v>
      </c>
      <c r="CX187" s="73">
        <f t="shared" si="271"/>
        <v>0</v>
      </c>
      <c r="CY187" s="73">
        <f t="shared" si="271"/>
        <v>0</v>
      </c>
      <c r="CZ187" s="73">
        <f t="shared" si="259"/>
        <v>0</v>
      </c>
      <c r="DA187" s="73" t="str">
        <f t="shared" si="260"/>
        <v>SI</v>
      </c>
      <c r="DB187" s="73"/>
      <c r="DC187" s="368">
        <f t="shared" si="261"/>
        <v>0</v>
      </c>
      <c r="DD187" s="73">
        <f t="shared" si="262"/>
        <v>0</v>
      </c>
      <c r="DE187" s="73">
        <f t="shared" ref="DE187:DG189" si="287">V187</f>
        <v>0</v>
      </c>
      <c r="DF187" s="73">
        <f t="shared" si="287"/>
        <v>0</v>
      </c>
      <c r="DG187" s="73">
        <f t="shared" si="287"/>
        <v>144</v>
      </c>
      <c r="DH187" s="73">
        <f t="shared" si="263"/>
        <v>0</v>
      </c>
      <c r="DI187" s="73">
        <f t="shared" si="264"/>
        <v>0</v>
      </c>
      <c r="DJ187" s="73"/>
      <c r="DK187" s="73"/>
      <c r="DL187" s="73">
        <f t="shared" si="265"/>
        <v>0</v>
      </c>
      <c r="DM187" s="215">
        <f t="shared" si="266"/>
        <v>0</v>
      </c>
      <c r="DN187" s="73" t="str">
        <f t="shared" si="269"/>
        <v/>
      </c>
      <c r="DO187" s="73">
        <f t="shared" si="267"/>
        <v>0</v>
      </c>
      <c r="DP187" s="85" t="str">
        <f>IF(OR(D187="SI",B187="",D187="T&amp;A"),"",VLOOKUP(B187,WELL_FIELD,2,FALSE))</f>
        <v/>
      </c>
      <c r="EB187" s="70" t="str">
        <f t="shared" si="273"/>
        <v>KHALDA_WELL</v>
      </c>
      <c r="EC187" s="71">
        <f t="shared" si="225"/>
        <v>46298</v>
      </c>
      <c r="ED187" s="72" t="str">
        <f t="shared" si="274"/>
        <v>WD33-15-19</v>
      </c>
      <c r="EE187" s="73">
        <f t="shared" si="275"/>
        <v>0</v>
      </c>
      <c r="EF187" s="73">
        <f t="shared" si="275"/>
        <v>0</v>
      </c>
      <c r="EG187" s="73">
        <f t="shared" si="276"/>
        <v>0</v>
      </c>
      <c r="EH187" s="73" t="str">
        <f t="shared" si="277"/>
        <v>SI</v>
      </c>
      <c r="EI187" s="73"/>
      <c r="EJ187" s="72"/>
      <c r="EK187" s="72" t="str">
        <f t="shared" si="278"/>
        <v/>
      </c>
      <c r="EL187" s="73">
        <f t="shared" si="279"/>
        <v>95</v>
      </c>
      <c r="EM187" s="213">
        <f t="shared" si="280"/>
        <v>0</v>
      </c>
      <c r="EN187" s="73"/>
      <c r="EO187" s="73"/>
      <c r="EQ187" s="73">
        <f t="shared" si="281"/>
        <v>6</v>
      </c>
      <c r="ER187" s="73">
        <f t="shared" si="281"/>
        <v>0</v>
      </c>
      <c r="ES187" s="73">
        <f t="shared" si="282"/>
        <v>144</v>
      </c>
      <c r="ET187" s="73">
        <f t="shared" si="283"/>
        <v>0</v>
      </c>
      <c r="EU187" s="73"/>
      <c r="EV187" s="73"/>
      <c r="EX187" s="3">
        <f t="shared" si="284"/>
        <v>0</v>
      </c>
      <c r="EY187" s="73"/>
      <c r="EZ187" s="73">
        <f t="shared" si="285"/>
        <v>0</v>
      </c>
      <c r="FA187" s="73">
        <f t="shared" si="285"/>
        <v>0</v>
      </c>
      <c r="FB187" s="73">
        <f t="shared" si="285"/>
        <v>0</v>
      </c>
      <c r="FC187" s="73"/>
      <c r="FD187" s="73">
        <f t="shared" si="286"/>
        <v>0</v>
      </c>
    </row>
    <row r="188" spans="2:160" s="3" customFormat="1" ht="15" customHeight="1">
      <c r="B188" s="316" t="s">
        <v>2409</v>
      </c>
      <c r="C188" s="317" t="s">
        <v>1307</v>
      </c>
      <c r="D188" s="317" t="s">
        <v>2</v>
      </c>
      <c r="E188" s="991">
        <v>24</v>
      </c>
      <c r="F188" s="951">
        <f t="shared" si="155"/>
        <v>0</v>
      </c>
      <c r="G188" s="48"/>
      <c r="H188" s="981"/>
      <c r="I188" s="48"/>
      <c r="J188" s="48">
        <v>110</v>
      </c>
      <c r="K188" s="48">
        <v>100</v>
      </c>
      <c r="L188" s="48">
        <v>100</v>
      </c>
      <c r="M188" s="22"/>
      <c r="N188" s="140"/>
      <c r="O188" s="748">
        <v>46258</v>
      </c>
      <c r="P188" s="48">
        <v>5219</v>
      </c>
      <c r="Q188" s="48">
        <v>583</v>
      </c>
      <c r="R188" s="576">
        <v>5803</v>
      </c>
      <c r="S188" s="886">
        <v>100</v>
      </c>
      <c r="T188" s="886">
        <v>701</v>
      </c>
      <c r="U188" s="886">
        <v>98</v>
      </c>
      <c r="V188"/>
      <c r="W188" s="140">
        <v>2.25</v>
      </c>
      <c r="X188" s="48">
        <v>168</v>
      </c>
      <c r="Y188" s="140">
        <v>6.5</v>
      </c>
      <c r="Z188" s="748"/>
      <c r="AA188" s="48"/>
      <c r="AB188" s="48"/>
      <c r="AC188" s="48"/>
      <c r="AD188" s="886"/>
      <c r="AE188" s="886"/>
      <c r="AF188" s="532"/>
      <c r="AG188" s="531">
        <f t="shared" si="270"/>
        <v>409.5</v>
      </c>
      <c r="AH188" s="304">
        <v>46292</v>
      </c>
      <c r="AI188" s="13">
        <v>650</v>
      </c>
      <c r="AJ188" s="15">
        <v>37</v>
      </c>
      <c r="AK188" s="15">
        <v>0</v>
      </c>
      <c r="AL188" s="13">
        <v>79000</v>
      </c>
      <c r="AM188" s="93">
        <f t="shared" si="0"/>
        <v>409.5</v>
      </c>
      <c r="AN188" s="148"/>
      <c r="AO188" s="213"/>
      <c r="CJ188" s="921"/>
      <c r="CT188" s="35"/>
      <c r="CU188" s="70" t="s">
        <v>2411</v>
      </c>
      <c r="CV188" s="71">
        <f t="shared" si="1"/>
        <v>46298</v>
      </c>
      <c r="CW188" s="72" t="str">
        <f t="shared" si="258"/>
        <v>9WD33-15-20</v>
      </c>
      <c r="CX188" s="73">
        <f t="shared" ref="CX188:CY190" si="288">I188</f>
        <v>0</v>
      </c>
      <c r="CY188" s="73">
        <f t="shared" si="288"/>
        <v>110</v>
      </c>
      <c r="CZ188" s="73">
        <f t="shared" si="259"/>
        <v>24</v>
      </c>
      <c r="DA188" s="73" t="str">
        <f t="shared" si="260"/>
        <v>SRP</v>
      </c>
      <c r="DB188" s="73"/>
      <c r="DC188" s="368">
        <f t="shared" si="261"/>
        <v>0</v>
      </c>
      <c r="DD188" s="73">
        <f t="shared" si="262"/>
        <v>0</v>
      </c>
      <c r="DE188" s="73">
        <f t="shared" si="287"/>
        <v>0</v>
      </c>
      <c r="DF188" s="73">
        <f t="shared" si="287"/>
        <v>2.25</v>
      </c>
      <c r="DG188" s="73">
        <f t="shared" si="287"/>
        <v>168</v>
      </c>
      <c r="DH188" s="73">
        <f t="shared" si="263"/>
        <v>0</v>
      </c>
      <c r="DI188" s="73">
        <f t="shared" si="264"/>
        <v>0</v>
      </c>
      <c r="DJ188" s="73"/>
      <c r="DK188" s="73"/>
      <c r="DL188" s="73">
        <f t="shared" si="265"/>
        <v>0</v>
      </c>
      <c r="DM188" s="215">
        <f t="shared" si="266"/>
        <v>409.5</v>
      </c>
      <c r="DN188" s="73" t="str">
        <f t="shared" si="269"/>
        <v/>
      </c>
      <c r="DO188" s="73">
        <f t="shared" si="267"/>
        <v>409.5</v>
      </c>
      <c r="DP188" s="85" t="str">
        <f>IF(OR(D188="SI",B188="",D188="T&amp;A"),"",VLOOKUP(B188,WELL_FIELD,2,FALSE))</f>
        <v>WD33-15</v>
      </c>
      <c r="EB188" s="70" t="str">
        <f t="shared" si="273"/>
        <v>KHALDA_WELL</v>
      </c>
      <c r="EC188" s="71">
        <f t="shared" si="225"/>
        <v>46298</v>
      </c>
      <c r="ED188" s="72" t="str">
        <f t="shared" si="274"/>
        <v>WD33-15-20</v>
      </c>
      <c r="EE188" s="73">
        <f t="shared" ref="EE188:EF190" si="289">I188</f>
        <v>0</v>
      </c>
      <c r="EF188" s="73">
        <f t="shared" si="289"/>
        <v>110</v>
      </c>
      <c r="EG188" s="73">
        <f t="shared" si="276"/>
        <v>24</v>
      </c>
      <c r="EH188" s="73" t="str">
        <f t="shared" si="277"/>
        <v>SRP</v>
      </c>
      <c r="EI188" s="73"/>
      <c r="EJ188" s="72"/>
      <c r="EK188" s="72" t="str">
        <f t="shared" si="278"/>
        <v/>
      </c>
      <c r="EL188" s="73">
        <f t="shared" si="279"/>
        <v>37</v>
      </c>
      <c r="EM188" s="213">
        <f t="shared" si="280"/>
        <v>2.25</v>
      </c>
      <c r="EN188" s="73"/>
      <c r="EO188" s="73"/>
      <c r="EQ188" s="73">
        <f t="shared" ref="EQ188:ER190" si="290">Y188</f>
        <v>6.5</v>
      </c>
      <c r="ER188" s="73">
        <f t="shared" si="290"/>
        <v>0</v>
      </c>
      <c r="ES188" s="73">
        <f t="shared" si="282"/>
        <v>168</v>
      </c>
      <c r="ET188" s="73">
        <f t="shared" si="283"/>
        <v>0</v>
      </c>
      <c r="EU188" s="73"/>
      <c r="EV188" s="73"/>
      <c r="EX188" s="3">
        <f t="shared" si="284"/>
        <v>0</v>
      </c>
      <c r="EY188" s="73"/>
      <c r="EZ188" s="73">
        <f t="shared" ref="EZ188:FB190" si="291">S188</f>
        <v>100</v>
      </c>
      <c r="FA188" s="73">
        <f t="shared" si="291"/>
        <v>701</v>
      </c>
      <c r="FB188" s="73">
        <f t="shared" si="291"/>
        <v>98</v>
      </c>
      <c r="FC188" s="73"/>
      <c r="FD188" s="73">
        <f t="shared" si="286"/>
        <v>0</v>
      </c>
    </row>
    <row r="189" spans="2:160" s="3" customFormat="1" ht="15.75" customHeight="1">
      <c r="B189" s="316" t="s">
        <v>2410</v>
      </c>
      <c r="C189" s="317" t="s">
        <v>1307</v>
      </c>
      <c r="D189" s="317" t="s">
        <v>3</v>
      </c>
      <c r="E189" s="991">
        <v>24</v>
      </c>
      <c r="F189" s="951">
        <f t="shared" si="155"/>
        <v>0</v>
      </c>
      <c r="G189" s="48"/>
      <c r="H189" s="981"/>
      <c r="I189" s="48"/>
      <c r="J189" s="48">
        <v>100</v>
      </c>
      <c r="K189" s="48">
        <v>90</v>
      </c>
      <c r="L189" s="48">
        <v>20</v>
      </c>
      <c r="M189" s="22"/>
      <c r="N189" s="140"/>
      <c r="O189" s="748"/>
      <c r="P189" s="48"/>
      <c r="Q189" s="48"/>
      <c r="R189" s="576"/>
      <c r="S189" s="886"/>
      <c r="T189" s="886"/>
      <c r="U189" s="886"/>
      <c r="V189"/>
      <c r="W189" s="140"/>
      <c r="X189" s="48"/>
      <c r="Y189" s="140"/>
      <c r="Z189" s="748"/>
      <c r="AA189" s="48"/>
      <c r="AB189" s="48"/>
      <c r="AC189" s="48"/>
      <c r="AD189" s="886">
        <v>57</v>
      </c>
      <c r="AE189" s="886">
        <v>104</v>
      </c>
      <c r="AF189" s="532"/>
      <c r="AG189" s="531">
        <f t="shared" si="270"/>
        <v>197.95999999999987</v>
      </c>
      <c r="AH189" s="304">
        <v>46292</v>
      </c>
      <c r="AI189" s="13">
        <v>2828</v>
      </c>
      <c r="AJ189" s="15">
        <v>93</v>
      </c>
      <c r="AK189" s="15">
        <v>0</v>
      </c>
      <c r="AL189" s="13">
        <v>73000</v>
      </c>
      <c r="AM189" s="93">
        <f t="shared" si="0"/>
        <v>197.95999999999987</v>
      </c>
      <c r="AN189" s="148"/>
      <c r="AO189" s="213"/>
      <c r="CJ189" s="921"/>
      <c r="CT189" s="35"/>
      <c r="CU189" s="70" t="s">
        <v>2412</v>
      </c>
      <c r="CV189" s="71">
        <f t="shared" si="1"/>
        <v>46298</v>
      </c>
      <c r="CW189" s="72" t="str">
        <f t="shared" si="258"/>
        <v>9WD33-15-22</v>
      </c>
      <c r="CX189" s="73">
        <f t="shared" si="288"/>
        <v>0</v>
      </c>
      <c r="CY189" s="73">
        <f t="shared" si="288"/>
        <v>100</v>
      </c>
      <c r="CZ189" s="73">
        <f t="shared" si="259"/>
        <v>24</v>
      </c>
      <c r="DA189" s="73" t="str">
        <f t="shared" si="260"/>
        <v>ESP</v>
      </c>
      <c r="DB189" s="73"/>
      <c r="DC189" s="368">
        <f t="shared" si="261"/>
        <v>0</v>
      </c>
      <c r="DD189" s="73">
        <f t="shared" si="262"/>
        <v>0</v>
      </c>
      <c r="DE189" s="73">
        <f t="shared" si="287"/>
        <v>0</v>
      </c>
      <c r="DF189" s="73">
        <f t="shared" si="287"/>
        <v>0</v>
      </c>
      <c r="DG189" s="73">
        <f t="shared" si="287"/>
        <v>0</v>
      </c>
      <c r="DH189" s="73">
        <f t="shared" si="263"/>
        <v>0</v>
      </c>
      <c r="DI189" s="73">
        <f t="shared" si="264"/>
        <v>57</v>
      </c>
      <c r="DJ189" s="73"/>
      <c r="DK189" s="73"/>
      <c r="DL189" s="73">
        <f t="shared" si="265"/>
        <v>104</v>
      </c>
      <c r="DM189" s="215">
        <f t="shared" si="266"/>
        <v>197.95999999999987</v>
      </c>
      <c r="DN189" s="73" t="str">
        <f t="shared" si="269"/>
        <v/>
      </c>
      <c r="DO189" s="73">
        <f t="shared" si="267"/>
        <v>197.95999999999987</v>
      </c>
      <c r="DP189" s="85" t="str">
        <f>IF(OR(D189="SI",B189="",D189="T&amp;A"),"",VLOOKUP(B189,WELL_FIELD,2,FALSE))</f>
        <v>WD33-15</v>
      </c>
      <c r="EB189" s="70" t="str">
        <f t="shared" si="273"/>
        <v>KHALDA_WELL</v>
      </c>
      <c r="EC189" s="71">
        <f t="shared" si="225"/>
        <v>46298</v>
      </c>
      <c r="ED189" s="72" t="str">
        <f t="shared" si="274"/>
        <v>WD33-15-22</v>
      </c>
      <c r="EE189" s="73">
        <f t="shared" si="289"/>
        <v>0</v>
      </c>
      <c r="EF189" s="73">
        <f t="shared" si="289"/>
        <v>100</v>
      </c>
      <c r="EG189" s="73">
        <f t="shared" si="276"/>
        <v>24</v>
      </c>
      <c r="EH189" s="73" t="str">
        <f t="shared" si="277"/>
        <v>ESP</v>
      </c>
      <c r="EI189" s="73"/>
      <c r="EJ189" s="72"/>
      <c r="EK189" s="72" t="str">
        <f t="shared" si="278"/>
        <v/>
      </c>
      <c r="EL189" s="73">
        <f t="shared" si="279"/>
        <v>93</v>
      </c>
      <c r="EM189" s="213">
        <f t="shared" si="280"/>
        <v>0</v>
      </c>
      <c r="EN189" s="73"/>
      <c r="EO189" s="73"/>
      <c r="EQ189" s="73">
        <f t="shared" si="290"/>
        <v>0</v>
      </c>
      <c r="ER189" s="73">
        <f t="shared" si="290"/>
        <v>0</v>
      </c>
      <c r="ES189" s="73">
        <f t="shared" si="282"/>
        <v>0</v>
      </c>
      <c r="ET189" s="73">
        <f t="shared" si="283"/>
        <v>57</v>
      </c>
      <c r="EU189" s="73"/>
      <c r="EV189" s="73"/>
      <c r="EX189" s="3">
        <f t="shared" si="284"/>
        <v>104</v>
      </c>
      <c r="EY189" s="73"/>
      <c r="EZ189" s="73">
        <f t="shared" si="291"/>
        <v>0</v>
      </c>
      <c r="FA189" s="73">
        <f t="shared" si="291"/>
        <v>0</v>
      </c>
      <c r="FB189" s="73">
        <f t="shared" si="291"/>
        <v>0</v>
      </c>
      <c r="FC189" s="73"/>
      <c r="FD189" s="73">
        <f t="shared" si="286"/>
        <v>0</v>
      </c>
    </row>
    <row r="190" spans="2:160" s="3" customFormat="1" ht="16.5" customHeight="1">
      <c r="B190" s="316" t="s">
        <v>1324</v>
      </c>
      <c r="C190" s="317" t="s">
        <v>272</v>
      </c>
      <c r="D190" s="317" t="s">
        <v>3</v>
      </c>
      <c r="E190" s="991">
        <v>24</v>
      </c>
      <c r="F190" s="951">
        <f t="shared" si="155"/>
        <v>0</v>
      </c>
      <c r="G190" s="48"/>
      <c r="H190" s="981"/>
      <c r="I190" s="48">
        <v>128</v>
      </c>
      <c r="J190" s="48">
        <v>100</v>
      </c>
      <c r="K190" s="48">
        <v>90</v>
      </c>
      <c r="L190" s="48">
        <v>0</v>
      </c>
      <c r="M190" s="22"/>
      <c r="N190" s="140"/>
      <c r="O190" s="748"/>
      <c r="P190" s="48"/>
      <c r="Q190" s="48"/>
      <c r="R190" s="576">
        <v>4969</v>
      </c>
      <c r="S190" s="886"/>
      <c r="T190" s="886"/>
      <c r="U190" s="886"/>
      <c r="V190"/>
      <c r="W190" s="140"/>
      <c r="X190" s="48"/>
      <c r="Y190" s="140"/>
      <c r="Z190" s="748" t="s">
        <v>2148</v>
      </c>
      <c r="AA190" s="48" t="s">
        <v>1597</v>
      </c>
      <c r="AB190" s="48">
        <v>57</v>
      </c>
      <c r="AC190" s="48"/>
      <c r="AD190" s="886">
        <v>57.7</v>
      </c>
      <c r="AE190" s="886">
        <v>50</v>
      </c>
      <c r="AF190" s="532">
        <f t="shared" si="104"/>
        <v>0</v>
      </c>
      <c r="AG190" s="531">
        <f t="shared" si="105"/>
        <v>220.27499999999986</v>
      </c>
      <c r="AH190" s="304">
        <v>46290</v>
      </c>
      <c r="AI190" s="13">
        <v>2937</v>
      </c>
      <c r="AJ190" s="15">
        <v>92.5</v>
      </c>
      <c r="AK190" s="15">
        <v>0</v>
      </c>
      <c r="AL190" s="13">
        <v>75000</v>
      </c>
      <c r="AM190" s="93">
        <f t="shared" si="0"/>
        <v>220.27499999999986</v>
      </c>
      <c r="AN190" s="148"/>
      <c r="AO190" s="213"/>
      <c r="CJ190" s="921">
        <f>+IF(D190="SI",0,AI190*AJ190/100)</f>
        <v>2716.7249999999999</v>
      </c>
      <c r="CT190" s="35"/>
      <c r="CU190" s="70" t="s">
        <v>2208</v>
      </c>
      <c r="CV190" s="71">
        <f t="shared" si="1"/>
        <v>46298</v>
      </c>
      <c r="CW190" s="72" t="str">
        <f t="shared" si="258"/>
        <v>9WD33-15-5</v>
      </c>
      <c r="CX190" s="73">
        <f t="shared" si="288"/>
        <v>128</v>
      </c>
      <c r="CY190" s="73">
        <f t="shared" si="288"/>
        <v>100</v>
      </c>
      <c r="CZ190" s="73">
        <f t="shared" si="259"/>
        <v>24</v>
      </c>
      <c r="DA190" s="73" t="str">
        <f t="shared" si="260"/>
        <v>ESP</v>
      </c>
      <c r="DB190" s="73"/>
      <c r="DC190" s="368">
        <f t="shared" si="261"/>
        <v>0</v>
      </c>
      <c r="DD190" s="73">
        <f t="shared" si="262"/>
        <v>0</v>
      </c>
      <c r="DE190" s="73">
        <f>V190</f>
        <v>0</v>
      </c>
      <c r="DF190" s="73">
        <f>W190</f>
        <v>0</v>
      </c>
      <c r="DG190" s="73">
        <f>X190</f>
        <v>0</v>
      </c>
      <c r="DH190" s="73" t="str">
        <f t="shared" si="263"/>
        <v>23/7/2020</v>
      </c>
      <c r="DI190" s="73">
        <f t="shared" si="264"/>
        <v>57.7</v>
      </c>
      <c r="DJ190" s="73"/>
      <c r="DK190" s="73"/>
      <c r="DL190" s="73">
        <f t="shared" si="265"/>
        <v>50</v>
      </c>
      <c r="DM190" s="215">
        <f t="shared" si="266"/>
        <v>220.27499999999986</v>
      </c>
      <c r="DN190" s="73" t="str">
        <f t="shared" si="269"/>
        <v/>
      </c>
      <c r="DO190" s="73">
        <f t="shared" si="267"/>
        <v>220.27499999999986</v>
      </c>
      <c r="DP190" s="85" t="str">
        <f>IF(OR(D190="SI",B190="",D190="T&amp;A"),"",VLOOKUP(B190,WELL_FIELD,2,FALSE))</f>
        <v>WD33-15</v>
      </c>
      <c r="EB190" s="70" t="str">
        <f t="shared" si="273"/>
        <v>KHALDA_WELL</v>
      </c>
      <c r="EC190" s="71">
        <f t="shared" si="225"/>
        <v>46298</v>
      </c>
      <c r="ED190" s="72" t="str">
        <f t="shared" si="274"/>
        <v>WD33-15-5</v>
      </c>
      <c r="EE190" s="73">
        <f t="shared" si="289"/>
        <v>128</v>
      </c>
      <c r="EF190" s="73">
        <f t="shared" si="289"/>
        <v>100</v>
      </c>
      <c r="EG190" s="73">
        <f t="shared" si="276"/>
        <v>24</v>
      </c>
      <c r="EH190" s="73" t="str">
        <f t="shared" si="277"/>
        <v>ESP</v>
      </c>
      <c r="EI190" s="73"/>
      <c r="EJ190" s="72"/>
      <c r="EK190" s="72" t="str">
        <f t="shared" si="278"/>
        <v/>
      </c>
      <c r="EL190" s="73">
        <f t="shared" si="279"/>
        <v>92.5</v>
      </c>
      <c r="EM190" s="213">
        <f t="shared" si="280"/>
        <v>0</v>
      </c>
      <c r="EN190" s="73"/>
      <c r="EO190" s="73"/>
      <c r="EQ190" s="73">
        <f t="shared" si="290"/>
        <v>0</v>
      </c>
      <c r="ER190" s="73" t="str">
        <f t="shared" si="290"/>
        <v>23/7/2020</v>
      </c>
      <c r="ES190" s="73">
        <f t="shared" si="282"/>
        <v>0</v>
      </c>
      <c r="ET190" s="73">
        <f t="shared" si="283"/>
        <v>57.7</v>
      </c>
      <c r="EU190" s="73"/>
      <c r="EV190" s="73"/>
      <c r="EX190" s="3">
        <f t="shared" si="284"/>
        <v>50</v>
      </c>
      <c r="EY190" s="73"/>
      <c r="EZ190" s="73">
        <f t="shared" si="291"/>
        <v>0</v>
      </c>
      <c r="FA190" s="73">
        <f t="shared" si="291"/>
        <v>0</v>
      </c>
      <c r="FB190" s="73">
        <f t="shared" si="291"/>
        <v>0</v>
      </c>
      <c r="FC190" s="73"/>
      <c r="FD190" s="73">
        <f t="shared" si="286"/>
        <v>0</v>
      </c>
    </row>
    <row r="191" spans="2:160" s="1" customFormat="1" ht="16.5" customHeight="1">
      <c r="B191" s="149"/>
      <c r="C191" s="149"/>
      <c r="D191" s="150"/>
      <c r="E191" s="151"/>
      <c r="F191" s="152"/>
      <c r="G191" s="152"/>
      <c r="H191" s="152"/>
      <c r="I191" s="153"/>
      <c r="J191" s="153"/>
      <c r="K191" s="153"/>
      <c r="L191" s="153"/>
      <c r="M191" s="153"/>
      <c r="N191" s="153"/>
      <c r="O191" s="153"/>
      <c r="P191" s="153"/>
      <c r="Q191" s="153"/>
      <c r="R191" s="153"/>
      <c r="S191"/>
      <c r="T191"/>
      <c r="U191"/>
      <c r="V191" s="153"/>
      <c r="W191" s="153"/>
      <c r="X191" s="153"/>
      <c r="Y191" s="153"/>
      <c r="Z191" s="153"/>
      <c r="AA191" s="153"/>
      <c r="AB191" s="153"/>
      <c r="AC191" s="153"/>
      <c r="AD191" s="150"/>
      <c r="AE191" s="150"/>
      <c r="AF191" s="150"/>
      <c r="AG191" s="153"/>
      <c r="AH191" s="150"/>
      <c r="AI191" s="150"/>
      <c r="AJ191" s="150"/>
      <c r="AK191" s="150"/>
      <c r="AL191" s="150"/>
      <c r="AM191" s="150"/>
      <c r="AN191" s="154"/>
      <c r="CJ191" s="922">
        <f>SUM(CJ5:CJ190)</f>
        <v>6081.4011913021623</v>
      </c>
      <c r="CU191" s="74"/>
      <c r="CV191" s="75"/>
      <c r="CW191" s="76"/>
      <c r="CX191" s="77"/>
      <c r="CY191" s="77"/>
      <c r="CZ191" s="77"/>
      <c r="DA191" s="77"/>
      <c r="DB191" s="77"/>
      <c r="DC191" s="77"/>
      <c r="DD191" s="77"/>
      <c r="DE191" s="77"/>
      <c r="DF191" s="77"/>
      <c r="DG191" s="77"/>
      <c r="DH191" s="77"/>
      <c r="DI191" s="77"/>
      <c r="DJ191" s="77"/>
      <c r="DK191" s="77"/>
      <c r="DL191" s="77"/>
      <c r="DM191" s="77"/>
      <c r="DN191" s="77"/>
      <c r="DO191" s="77"/>
      <c r="DP191" s="85"/>
    </row>
    <row r="192" spans="2:160" s="1" customFormat="1" ht="16.5" customHeight="1">
      <c r="B192" s="2"/>
      <c r="C192" s="2"/>
      <c r="D192" s="16"/>
      <c r="E192" s="138"/>
      <c r="F192" s="17"/>
      <c r="G192" s="17"/>
      <c r="H192" s="17"/>
      <c r="I192" s="139"/>
      <c r="J192" s="139"/>
      <c r="K192" s="139"/>
      <c r="L192" s="139"/>
      <c r="M192" s="139"/>
      <c r="N192" s="139"/>
      <c r="O192" s="139"/>
      <c r="P192" s="139"/>
      <c r="Q192" s="139"/>
      <c r="R192" s="139"/>
      <c r="S192" s="139"/>
      <c r="T192" s="139"/>
      <c r="U192" s="139"/>
      <c r="V192" s="139"/>
      <c r="W192" s="139"/>
      <c r="X192" s="139"/>
      <c r="Y192" s="139"/>
      <c r="Z192" s="139"/>
      <c r="AA192" s="139"/>
      <c r="AB192" s="139"/>
      <c r="AC192" s="139"/>
      <c r="AD192" s="16"/>
      <c r="AE192" s="16"/>
      <c r="AF192" s="16"/>
      <c r="AG192" s="389"/>
      <c r="AH192" s="16"/>
      <c r="AI192" s="16"/>
      <c r="AJ192" s="16"/>
      <c r="AK192" s="16"/>
      <c r="AL192" s="16"/>
      <c r="AM192" s="16"/>
      <c r="CU192" s="74"/>
      <c r="CV192" s="75"/>
      <c r="CW192" s="76"/>
      <c r="CX192" s="77"/>
      <c r="CY192" s="77"/>
      <c r="CZ192" s="77"/>
      <c r="DA192" s="77"/>
      <c r="DB192" s="77"/>
      <c r="DC192" s="77"/>
      <c r="DD192" s="77"/>
      <c r="DE192" s="77"/>
      <c r="DF192" s="77"/>
      <c r="DG192" s="77"/>
      <c r="DH192" s="77"/>
      <c r="DI192" s="77"/>
      <c r="DJ192" s="77"/>
      <c r="DK192" s="77"/>
      <c r="DL192" s="77"/>
      <c r="DM192" s="77"/>
      <c r="DN192" s="77"/>
      <c r="DO192" s="77"/>
      <c r="DP192" s="85"/>
    </row>
    <row r="193" spans="2:120" s="1" customFormat="1" ht="16.5" customHeight="1">
      <c r="B193" s="2"/>
      <c r="C193" s="2"/>
      <c r="D193" s="16"/>
      <c r="E193" s="138"/>
      <c r="F193" s="17"/>
      <c r="G193" s="17"/>
      <c r="H193" s="17"/>
      <c r="I193" s="139"/>
      <c r="J193" s="139"/>
      <c r="K193" s="139"/>
      <c r="L193" s="139"/>
      <c r="M193" s="139"/>
      <c r="N193" s="139"/>
      <c r="O193" s="139"/>
      <c r="P193" s="139"/>
      <c r="Q193" s="139"/>
      <c r="R193" s="139"/>
      <c r="S193" s="139"/>
      <c r="T193" s="139"/>
      <c r="U193" s="139"/>
      <c r="V193" s="139"/>
      <c r="W193" s="139"/>
      <c r="X193" s="139"/>
      <c r="Y193" s="139"/>
      <c r="Z193" s="139"/>
      <c r="AA193" s="139"/>
      <c r="AB193" s="139"/>
      <c r="AC193" s="139"/>
      <c r="AD193" s="16"/>
      <c r="AE193" s="16"/>
      <c r="AF193" s="16"/>
      <c r="AG193" s="139"/>
      <c r="AH193" s="16"/>
      <c r="AI193" s="16"/>
      <c r="AJ193" s="16"/>
      <c r="AK193" s="16"/>
      <c r="AL193" s="16"/>
      <c r="AM193" s="16"/>
      <c r="CU193" s="74"/>
      <c r="CV193" s="75"/>
      <c r="CW193" s="76"/>
      <c r="CX193" s="77"/>
      <c r="CY193" s="77"/>
      <c r="CZ193" s="77"/>
      <c r="DA193" s="77"/>
      <c r="DB193" s="77"/>
      <c r="DC193" s="77"/>
      <c r="DD193" s="77"/>
      <c r="DE193" s="77"/>
      <c r="DF193" s="77"/>
      <c r="DG193" s="77"/>
      <c r="DH193" s="77"/>
      <c r="DI193" s="77"/>
      <c r="DJ193" s="77"/>
      <c r="DK193" s="77"/>
      <c r="DL193" s="77"/>
      <c r="DM193" s="77"/>
      <c r="DN193" s="77"/>
      <c r="DO193" s="77"/>
      <c r="DP193" s="85"/>
    </row>
    <row r="194" spans="2:120" s="1" customFormat="1" ht="16.5" customHeight="1">
      <c r="B194" s="2"/>
      <c r="C194" s="2"/>
      <c r="D194" s="16"/>
      <c r="E194" s="138"/>
      <c r="F194" s="17"/>
      <c r="G194" s="17"/>
      <c r="H194" s="17"/>
      <c r="I194" s="139"/>
      <c r="J194" s="139"/>
      <c r="K194" s="139"/>
      <c r="L194" s="139"/>
      <c r="M194" s="139"/>
      <c r="N194" s="139"/>
      <c r="O194" s="139"/>
      <c r="P194" s="139"/>
      <c r="Q194" s="139"/>
      <c r="R194" s="139"/>
      <c r="S194" s="139"/>
      <c r="T194" s="139"/>
      <c r="U194" s="139"/>
      <c r="V194" s="139"/>
      <c r="W194" s="139"/>
      <c r="X194" s="139"/>
      <c r="Y194" s="139"/>
      <c r="Z194" s="139"/>
      <c r="AA194" s="139"/>
      <c r="AB194" s="139"/>
      <c r="AC194" s="139"/>
      <c r="AD194" s="16"/>
      <c r="AE194" s="16"/>
      <c r="AF194" s="16"/>
      <c r="AG194" s="139"/>
      <c r="AH194" s="16"/>
      <c r="AI194" s="16"/>
      <c r="AJ194" s="16"/>
      <c r="AK194" s="16"/>
      <c r="AL194" s="16"/>
      <c r="AM194" s="16"/>
      <c r="CU194" s="74"/>
      <c r="CV194" s="75"/>
      <c r="CW194" s="76"/>
      <c r="CX194" s="77"/>
      <c r="CY194" s="77"/>
      <c r="CZ194" s="77"/>
      <c r="DA194" s="77"/>
      <c r="DB194" s="77"/>
      <c r="DC194" s="77"/>
      <c r="DD194" s="77"/>
      <c r="DE194" s="77"/>
      <c r="DF194" s="77"/>
      <c r="DG194" s="77"/>
      <c r="DH194" s="77"/>
      <c r="DI194" s="77"/>
      <c r="DJ194" s="77"/>
      <c r="DK194" s="77"/>
      <c r="DL194" s="77"/>
      <c r="DM194" s="77"/>
      <c r="DN194" s="77"/>
      <c r="DO194" s="77"/>
      <c r="DP194" s="85"/>
    </row>
    <row r="195" spans="2:120" s="1" customFormat="1" ht="16.5" customHeight="1">
      <c r="B195" s="2"/>
      <c r="C195" s="2"/>
      <c r="D195" s="16"/>
      <c r="E195" s="138"/>
      <c r="F195" s="17"/>
      <c r="G195" s="17"/>
      <c r="H195" s="17"/>
      <c r="I195" s="139"/>
      <c r="J195" s="139"/>
      <c r="K195" s="139"/>
      <c r="L195" s="139"/>
      <c r="M195" s="139"/>
      <c r="N195" s="139"/>
      <c r="O195" s="139"/>
      <c r="P195" s="139"/>
      <c r="Q195" s="139"/>
      <c r="R195" s="139"/>
      <c r="S195" s="139"/>
      <c r="T195" s="139"/>
      <c r="U195" s="139"/>
      <c r="V195" s="139"/>
      <c r="W195" s="139"/>
      <c r="X195" s="139"/>
      <c r="Y195" s="139"/>
      <c r="Z195" s="139"/>
      <c r="AA195" s="139"/>
      <c r="AB195" s="139"/>
      <c r="AC195" s="139"/>
      <c r="AD195" s="16"/>
      <c r="AE195" s="16"/>
      <c r="AF195" s="16"/>
      <c r="AG195" s="139"/>
      <c r="AH195" s="16"/>
      <c r="AI195" s="16"/>
      <c r="AJ195" s="16"/>
      <c r="AK195" s="16"/>
      <c r="AL195" s="16"/>
      <c r="AM195" s="16"/>
      <c r="CU195" s="74"/>
      <c r="CV195" s="75"/>
      <c r="CW195" s="76"/>
      <c r="CX195" s="77"/>
      <c r="CY195" s="77"/>
      <c r="CZ195" s="77"/>
      <c r="DA195" s="77"/>
      <c r="DB195" s="77"/>
      <c r="DC195" s="77"/>
      <c r="DD195" s="77"/>
      <c r="DE195" s="77"/>
      <c r="DF195" s="77"/>
      <c r="DG195" s="77"/>
      <c r="DH195" s="77"/>
      <c r="DI195" s="77"/>
      <c r="DJ195" s="77"/>
      <c r="DK195" s="77"/>
      <c r="DL195" s="77"/>
      <c r="DM195" s="77"/>
      <c r="DN195" s="77"/>
      <c r="DO195" s="77"/>
      <c r="DP195" s="85"/>
    </row>
    <row r="196" spans="2:120" s="1" customFormat="1" ht="16.5" customHeight="1">
      <c r="B196" s="2"/>
      <c r="C196" s="2"/>
      <c r="D196" s="16"/>
      <c r="E196" s="138"/>
      <c r="F196" s="17"/>
      <c r="G196" s="17"/>
      <c r="H196" s="17"/>
      <c r="I196" s="139"/>
      <c r="J196" s="139"/>
      <c r="K196" s="139"/>
      <c r="L196" s="139"/>
      <c r="M196" s="139"/>
      <c r="N196" s="139"/>
      <c r="O196" s="139"/>
      <c r="P196" s="139"/>
      <c r="Q196" s="139"/>
      <c r="R196" s="139"/>
      <c r="S196" s="139"/>
      <c r="T196" s="139"/>
      <c r="U196" s="139"/>
      <c r="V196" s="139"/>
      <c r="W196" s="139"/>
      <c r="X196" s="139"/>
      <c r="Y196" s="139"/>
      <c r="Z196" s="139"/>
      <c r="AA196" s="139"/>
      <c r="AB196" s="139"/>
      <c r="AC196" s="139"/>
      <c r="AD196" s="16"/>
      <c r="AE196" s="16"/>
      <c r="AF196" s="16"/>
      <c r="AG196" s="139"/>
      <c r="AH196" s="16"/>
      <c r="AI196" s="16"/>
      <c r="AJ196" s="16"/>
      <c r="AK196" s="16"/>
      <c r="AL196" s="16"/>
      <c r="AM196" s="16"/>
      <c r="CU196" s="74"/>
      <c r="CV196" s="75"/>
      <c r="CW196" s="76"/>
      <c r="CX196" s="77"/>
      <c r="CY196" s="77"/>
      <c r="CZ196" s="77"/>
      <c r="DA196" s="77"/>
      <c r="DB196" s="77"/>
      <c r="DC196" s="77"/>
      <c r="DD196" s="77"/>
      <c r="DE196" s="77"/>
      <c r="DF196" s="77"/>
      <c r="DG196" s="77"/>
      <c r="DH196" s="77"/>
      <c r="DI196" s="77"/>
      <c r="DJ196" s="77"/>
      <c r="DK196" s="77"/>
      <c r="DL196" s="77"/>
      <c r="DM196" s="77"/>
      <c r="DN196" s="77"/>
      <c r="DO196" s="77"/>
      <c r="DP196" s="85"/>
    </row>
    <row r="197" spans="2:120" s="1" customFormat="1" ht="16.5" customHeight="1">
      <c r="B197" s="2"/>
      <c r="C197" s="2"/>
      <c r="D197" s="16"/>
      <c r="E197" s="138"/>
      <c r="F197" s="17"/>
      <c r="G197" s="17"/>
      <c r="H197" s="17"/>
      <c r="I197" s="139"/>
      <c r="J197" s="139"/>
      <c r="K197" s="139"/>
      <c r="L197" s="139"/>
      <c r="M197" s="139"/>
      <c r="N197" s="139"/>
      <c r="O197" s="139"/>
      <c r="P197" s="139"/>
      <c r="Q197" s="139"/>
      <c r="R197" s="139"/>
      <c r="S197" s="139"/>
      <c r="T197" s="139"/>
      <c r="U197" s="139"/>
      <c r="V197" s="139"/>
      <c r="W197" s="139"/>
      <c r="X197" s="139"/>
      <c r="Y197" s="139"/>
      <c r="Z197" s="139"/>
      <c r="AA197" s="139"/>
      <c r="AB197" s="139"/>
      <c r="AC197" s="139"/>
      <c r="AD197" s="16"/>
      <c r="AE197" s="16"/>
      <c r="AF197" s="16"/>
      <c r="AG197" s="139"/>
      <c r="AH197" s="16"/>
      <c r="AI197" s="16"/>
      <c r="AJ197" s="16"/>
      <c r="AK197" s="16"/>
      <c r="AL197" s="16"/>
      <c r="AM197" s="16"/>
      <c r="CU197" s="74"/>
      <c r="CV197" s="75"/>
      <c r="CW197" s="76"/>
      <c r="CX197" s="77"/>
      <c r="CY197" s="77"/>
      <c r="CZ197" s="77"/>
      <c r="DA197" s="77"/>
      <c r="DB197" s="77"/>
      <c r="DC197" s="77"/>
      <c r="DD197" s="77"/>
      <c r="DE197" s="77"/>
      <c r="DF197" s="77"/>
      <c r="DG197" s="77"/>
      <c r="DH197" s="77"/>
      <c r="DI197" s="77"/>
      <c r="DJ197" s="77"/>
      <c r="DK197" s="77"/>
      <c r="DL197" s="77"/>
      <c r="DM197" s="77"/>
      <c r="DN197" s="77"/>
      <c r="DO197" s="77"/>
      <c r="DP197" s="85"/>
    </row>
    <row r="198" spans="2:120" s="1" customFormat="1" ht="16.5" customHeight="1">
      <c r="B198" s="2"/>
      <c r="C198" s="2"/>
      <c r="D198" s="16"/>
      <c r="E198" s="138"/>
      <c r="F198" s="17"/>
      <c r="G198" s="17"/>
      <c r="H198" s="17"/>
      <c r="I198" s="139"/>
      <c r="J198" s="139"/>
      <c r="K198" s="139"/>
      <c r="L198" s="139"/>
      <c r="M198" s="139"/>
      <c r="N198" s="139"/>
      <c r="O198" s="139"/>
      <c r="P198" s="139"/>
      <c r="Q198" s="139"/>
      <c r="R198" s="139"/>
      <c r="S198" s="139"/>
      <c r="T198" s="139"/>
      <c r="U198" s="139"/>
      <c r="V198" s="139"/>
      <c r="W198" s="139"/>
      <c r="X198" s="139"/>
      <c r="Y198" s="139"/>
      <c r="Z198" s="139"/>
      <c r="AA198" s="139"/>
      <c r="AB198" s="139"/>
      <c r="AC198" s="139"/>
      <c r="AD198" s="16"/>
      <c r="AE198" s="16"/>
      <c r="AF198" s="16"/>
      <c r="AG198" s="139"/>
      <c r="AH198" s="16"/>
      <c r="AI198" s="16"/>
      <c r="AJ198" s="16"/>
      <c r="AK198" s="16"/>
      <c r="AL198" s="16"/>
      <c r="AM198" s="16"/>
      <c r="CU198" s="74"/>
      <c r="CV198" s="75"/>
      <c r="CW198" s="76"/>
      <c r="CX198" s="77"/>
      <c r="CY198" s="77"/>
      <c r="CZ198" s="77"/>
      <c r="DA198" s="77"/>
      <c r="DB198" s="77"/>
      <c r="DC198" s="77"/>
      <c r="DD198" s="77"/>
      <c r="DE198" s="77"/>
      <c r="DF198" s="77"/>
      <c r="DG198" s="77"/>
      <c r="DH198" s="77"/>
      <c r="DI198" s="77"/>
      <c r="DJ198" s="77"/>
      <c r="DK198" s="77"/>
      <c r="DL198" s="77"/>
      <c r="DM198" s="77"/>
      <c r="DN198" s="77"/>
      <c r="DO198" s="77"/>
      <c r="DP198" s="85"/>
    </row>
    <row r="199" spans="2:120" s="1" customFormat="1" ht="16.5" customHeight="1">
      <c r="B199" s="2"/>
      <c r="C199" s="2"/>
      <c r="D199" s="16"/>
      <c r="E199" s="138"/>
      <c r="F199" s="17"/>
      <c r="G199" s="17"/>
      <c r="H199" s="17"/>
      <c r="I199" s="139"/>
      <c r="J199" s="139"/>
      <c r="K199" s="139"/>
      <c r="L199" s="139"/>
      <c r="M199" s="139"/>
      <c r="N199" s="139"/>
      <c r="O199" s="139"/>
      <c r="P199" s="139"/>
      <c r="Q199" s="139"/>
      <c r="R199" s="139"/>
      <c r="S199" s="139"/>
      <c r="T199" s="139"/>
      <c r="U199" s="139"/>
      <c r="V199" s="139"/>
      <c r="W199" s="139"/>
      <c r="X199" s="139"/>
      <c r="Y199" s="139"/>
      <c r="Z199" s="139"/>
      <c r="AA199" s="139"/>
      <c r="AB199" s="139"/>
      <c r="AC199" s="139"/>
      <c r="AD199" s="16"/>
      <c r="AE199" s="16"/>
      <c r="AF199" s="16"/>
      <c r="AG199" s="139"/>
      <c r="AH199" s="16"/>
      <c r="AI199" s="16"/>
      <c r="AJ199" s="16"/>
      <c r="AK199" s="16"/>
      <c r="AL199" s="16"/>
      <c r="AM199" s="16"/>
      <c r="CU199" s="74"/>
      <c r="CV199" s="75"/>
      <c r="CW199" s="76"/>
      <c r="CX199" s="77"/>
      <c r="CY199" s="77"/>
      <c r="CZ199" s="77"/>
      <c r="DA199" s="77"/>
      <c r="DB199" s="77"/>
      <c r="DC199" s="77"/>
      <c r="DD199" s="77"/>
      <c r="DE199" s="77"/>
      <c r="DF199" s="77"/>
      <c r="DG199" s="77"/>
      <c r="DH199" s="77"/>
      <c r="DI199" s="77"/>
      <c r="DJ199" s="77"/>
      <c r="DK199" s="77"/>
      <c r="DL199" s="77"/>
      <c r="DM199" s="77"/>
      <c r="DN199" s="77"/>
      <c r="DO199" s="77"/>
      <c r="DP199" s="85"/>
    </row>
    <row r="200" spans="2:120" s="1" customFormat="1" ht="16.5" customHeight="1">
      <c r="B200" s="2"/>
      <c r="C200" s="2"/>
      <c r="D200" s="16"/>
      <c r="E200" s="138"/>
      <c r="F200" s="17"/>
      <c r="G200" s="17"/>
      <c r="H200" s="17"/>
      <c r="I200" s="139"/>
      <c r="J200" s="139"/>
      <c r="K200" s="139"/>
      <c r="L200" s="139"/>
      <c r="M200" s="139"/>
      <c r="N200" s="139"/>
      <c r="O200" s="139"/>
      <c r="P200" s="139"/>
      <c r="Q200" s="139"/>
      <c r="R200" s="139"/>
      <c r="S200" s="139"/>
      <c r="T200" s="139"/>
      <c r="U200" s="139"/>
      <c r="V200" s="139"/>
      <c r="W200" s="139"/>
      <c r="X200" s="139"/>
      <c r="Y200" s="139"/>
      <c r="Z200" s="139"/>
      <c r="AA200" s="139"/>
      <c r="AB200" s="139"/>
      <c r="AC200" s="139"/>
      <c r="AD200" s="16"/>
      <c r="AE200" s="16"/>
      <c r="AF200" s="16"/>
      <c r="AG200" s="139"/>
      <c r="AH200" s="16"/>
      <c r="AI200" s="16"/>
      <c r="AJ200" s="16"/>
      <c r="AK200" s="16"/>
      <c r="AL200" s="16"/>
      <c r="AM200" s="16"/>
      <c r="CU200" s="74"/>
      <c r="CV200" s="75"/>
      <c r="CW200" s="76"/>
      <c r="CX200" s="77"/>
      <c r="CY200" s="77"/>
      <c r="CZ200" s="77"/>
      <c r="DA200" s="77"/>
      <c r="DB200" s="77"/>
      <c r="DC200" s="77"/>
      <c r="DD200" s="77"/>
      <c r="DE200" s="77"/>
      <c r="DF200" s="77"/>
      <c r="DG200" s="77"/>
      <c r="DH200" s="77"/>
      <c r="DI200" s="77"/>
      <c r="DJ200" s="77"/>
      <c r="DK200" s="77"/>
      <c r="DL200" s="77"/>
      <c r="DM200" s="77"/>
      <c r="DN200" s="77"/>
      <c r="DO200" s="77"/>
      <c r="DP200" s="85"/>
    </row>
    <row r="201" spans="2:120" s="1" customFormat="1" ht="16.5" customHeight="1">
      <c r="B201" s="2"/>
      <c r="C201" s="2"/>
      <c r="D201" s="16"/>
      <c r="E201" s="138"/>
      <c r="F201" s="17"/>
      <c r="G201" s="17"/>
      <c r="H201" s="17"/>
      <c r="I201" s="139"/>
      <c r="J201" s="139"/>
      <c r="K201" s="139"/>
      <c r="L201" s="139"/>
      <c r="M201" s="139"/>
      <c r="N201" s="139"/>
      <c r="O201" s="139"/>
      <c r="P201" s="139"/>
      <c r="Q201" s="139"/>
      <c r="R201" s="139"/>
      <c r="S201" s="139"/>
      <c r="T201" s="139"/>
      <c r="U201" s="139"/>
      <c r="V201" s="139"/>
      <c r="W201" s="139"/>
      <c r="X201" s="139"/>
      <c r="Y201" s="139"/>
      <c r="Z201" s="139"/>
      <c r="AA201" s="139"/>
      <c r="AB201" s="139"/>
      <c r="AC201" s="139"/>
      <c r="AD201" s="16"/>
      <c r="AE201" s="16"/>
      <c r="AF201" s="16"/>
      <c r="AG201" s="139"/>
      <c r="AH201" s="16"/>
      <c r="AI201" s="16"/>
      <c r="AJ201" s="16"/>
      <c r="AK201" s="16"/>
      <c r="AL201" s="16"/>
      <c r="AM201" s="16"/>
      <c r="CU201" s="74"/>
      <c r="CV201" s="75"/>
      <c r="CW201" s="76"/>
      <c r="CX201" s="77"/>
      <c r="CY201" s="77"/>
      <c r="CZ201" s="77"/>
      <c r="DA201" s="77"/>
      <c r="DB201" s="77"/>
      <c r="DC201" s="77"/>
      <c r="DD201" s="77"/>
      <c r="DE201" s="77"/>
      <c r="DF201" s="77"/>
      <c r="DG201" s="77"/>
      <c r="DH201" s="77"/>
      <c r="DI201" s="77"/>
      <c r="DJ201" s="77"/>
      <c r="DK201" s="77"/>
      <c r="DL201" s="77"/>
      <c r="DM201" s="77"/>
      <c r="DN201" s="77"/>
      <c r="DO201" s="77"/>
      <c r="DP201" s="85"/>
    </row>
    <row r="202" spans="2:120" s="1" customFormat="1" ht="16.5" customHeight="1">
      <c r="B202" s="2"/>
      <c r="C202" s="2"/>
      <c r="D202" s="16"/>
      <c r="E202" s="138"/>
      <c r="F202" s="17"/>
      <c r="G202" s="17"/>
      <c r="H202" s="17"/>
      <c r="I202" s="139"/>
      <c r="J202" s="139"/>
      <c r="K202" s="139"/>
      <c r="L202" s="139"/>
      <c r="M202" s="139"/>
      <c r="N202" s="139"/>
      <c r="O202" s="139"/>
      <c r="P202" s="139"/>
      <c r="Q202" s="139"/>
      <c r="R202" s="139"/>
      <c r="S202" s="139"/>
      <c r="T202" s="139"/>
      <c r="U202" s="139"/>
      <c r="V202" s="139"/>
      <c r="W202" s="139"/>
      <c r="X202" s="139"/>
      <c r="Y202" s="139"/>
      <c r="Z202" s="139"/>
      <c r="AA202" s="139"/>
      <c r="AB202" s="139"/>
      <c r="AC202" s="139"/>
      <c r="AD202" s="16"/>
      <c r="AE202" s="16"/>
      <c r="AF202" s="16"/>
      <c r="AG202" s="139"/>
      <c r="AH202" s="16"/>
      <c r="AI202" s="16"/>
      <c r="AJ202" s="16"/>
      <c r="AK202" s="16"/>
      <c r="AL202" s="16"/>
      <c r="AM202" s="16"/>
      <c r="CU202" s="74"/>
      <c r="CV202" s="75"/>
      <c r="CW202" s="76"/>
      <c r="CX202" s="77"/>
      <c r="CY202" s="77"/>
      <c r="CZ202" s="77"/>
      <c r="DA202" s="77"/>
      <c r="DB202" s="77"/>
      <c r="DC202" s="77"/>
      <c r="DD202" s="77"/>
      <c r="DE202" s="77"/>
      <c r="DF202" s="77"/>
      <c r="DG202" s="77"/>
      <c r="DH202" s="77"/>
      <c r="DI202" s="77"/>
      <c r="DJ202" s="77"/>
      <c r="DK202" s="77"/>
      <c r="DL202" s="77"/>
      <c r="DM202" s="77"/>
      <c r="DN202" s="77"/>
      <c r="DO202" s="77"/>
      <c r="DP202" s="85"/>
    </row>
    <row r="203" spans="2:120" s="1" customFormat="1" ht="16.5" customHeight="1">
      <c r="B203" s="2"/>
      <c r="C203" s="2"/>
      <c r="D203" s="16"/>
      <c r="E203" s="138"/>
      <c r="F203" s="17"/>
      <c r="G203" s="17"/>
      <c r="H203" s="17"/>
      <c r="I203" s="139"/>
      <c r="J203" s="139"/>
      <c r="K203" s="139"/>
      <c r="L203" s="139"/>
      <c r="M203" s="139"/>
      <c r="N203" s="139"/>
      <c r="O203" s="139"/>
      <c r="P203" s="139"/>
      <c r="Q203" s="139"/>
      <c r="R203" s="139"/>
      <c r="S203" s="139"/>
      <c r="T203" s="139"/>
      <c r="U203" s="139"/>
      <c r="V203" s="139"/>
      <c r="W203" s="139"/>
      <c r="X203" s="139"/>
      <c r="Y203" s="139"/>
      <c r="Z203" s="139"/>
      <c r="AA203" s="139"/>
      <c r="AB203" s="139"/>
      <c r="AC203" s="139"/>
      <c r="AD203" s="16"/>
      <c r="AE203" s="16"/>
      <c r="AF203" s="16"/>
      <c r="AG203" s="139"/>
      <c r="AH203" s="16"/>
      <c r="AI203" s="16"/>
      <c r="AJ203" s="16"/>
      <c r="AK203" s="16"/>
      <c r="AL203" s="16"/>
      <c r="AM203" s="16"/>
      <c r="CU203" s="74"/>
      <c r="CV203" s="75"/>
      <c r="CW203" s="76"/>
      <c r="CX203" s="77"/>
      <c r="CY203" s="77"/>
      <c r="CZ203" s="77"/>
      <c r="DA203" s="77"/>
      <c r="DB203" s="77"/>
      <c r="DC203" s="77"/>
      <c r="DD203" s="77"/>
      <c r="DE203" s="77"/>
      <c r="DF203" s="77"/>
      <c r="DG203" s="77"/>
      <c r="DH203" s="77"/>
      <c r="DI203" s="77"/>
      <c r="DJ203" s="77"/>
      <c r="DK203" s="77"/>
      <c r="DL203" s="77"/>
      <c r="DM203" s="77"/>
      <c r="DN203" s="77"/>
      <c r="DO203" s="77"/>
      <c r="DP203" s="85"/>
    </row>
    <row r="204" spans="2:120" s="1" customFormat="1" ht="16.5" customHeight="1">
      <c r="B204" s="2"/>
      <c r="C204" s="2"/>
      <c r="D204" s="16"/>
      <c r="E204" s="138"/>
      <c r="F204" s="17"/>
      <c r="G204" s="17"/>
      <c r="H204" s="17"/>
      <c r="I204" s="139"/>
      <c r="J204" s="139"/>
      <c r="K204" s="139"/>
      <c r="L204" s="139"/>
      <c r="M204" s="139"/>
      <c r="N204" s="139"/>
      <c r="O204" s="139"/>
      <c r="P204" s="139"/>
      <c r="Q204" s="139"/>
      <c r="R204" s="139"/>
      <c r="S204" s="139"/>
      <c r="T204" s="139"/>
      <c r="U204" s="139"/>
      <c r="V204" s="139"/>
      <c r="W204" s="139"/>
      <c r="X204" s="139"/>
      <c r="Y204" s="139"/>
      <c r="Z204" s="139"/>
      <c r="AA204" s="139"/>
      <c r="AB204" s="139"/>
      <c r="AC204" s="139"/>
      <c r="AD204" s="16"/>
      <c r="AE204" s="16"/>
      <c r="AF204" s="16"/>
      <c r="AG204" s="139"/>
      <c r="AH204" s="16"/>
      <c r="AI204" s="16"/>
      <c r="AJ204" s="16"/>
      <c r="AK204" s="16"/>
      <c r="AL204" s="16"/>
      <c r="AM204" s="16"/>
      <c r="CU204" s="74"/>
      <c r="CV204" s="75"/>
      <c r="CW204" s="76"/>
      <c r="CX204" s="77"/>
      <c r="CY204" s="77"/>
      <c r="CZ204" s="77"/>
      <c r="DA204" s="77"/>
      <c r="DB204" s="77"/>
      <c r="DC204" s="77"/>
      <c r="DD204" s="77"/>
      <c r="DE204" s="77"/>
      <c r="DF204" s="77"/>
      <c r="DG204" s="77"/>
      <c r="DH204" s="77"/>
      <c r="DI204" s="77"/>
      <c r="DJ204" s="77"/>
      <c r="DK204" s="77"/>
      <c r="DL204" s="77"/>
      <c r="DM204" s="77"/>
      <c r="DN204" s="77"/>
      <c r="DO204" s="77"/>
      <c r="DP204" s="85"/>
    </row>
    <row r="205" spans="2:120" s="1" customFormat="1" ht="16.5" customHeight="1">
      <c r="B205" s="2"/>
      <c r="C205" s="2"/>
      <c r="D205" s="16"/>
      <c r="E205" s="138"/>
      <c r="F205" s="17"/>
      <c r="G205" s="17"/>
      <c r="H205" s="17"/>
      <c r="I205" s="139"/>
      <c r="J205" s="139"/>
      <c r="K205" s="139"/>
      <c r="L205" s="139"/>
      <c r="M205" s="139"/>
      <c r="N205" s="139"/>
      <c r="O205" s="139"/>
      <c r="P205" s="139"/>
      <c r="Q205" s="139"/>
      <c r="R205" s="139"/>
      <c r="S205" s="139"/>
      <c r="T205" s="139"/>
      <c r="U205" s="139"/>
      <c r="V205" s="139"/>
      <c r="W205" s="139"/>
      <c r="X205" s="139"/>
      <c r="Y205" s="139"/>
      <c r="Z205" s="139"/>
      <c r="AA205" s="139"/>
      <c r="AB205" s="139"/>
      <c r="AC205" s="139"/>
      <c r="AD205" s="16"/>
      <c r="AE205" s="16"/>
      <c r="AF205" s="16"/>
      <c r="AG205" s="139"/>
      <c r="AH205" s="16"/>
      <c r="AI205" s="16"/>
      <c r="AJ205" s="16"/>
      <c r="AK205" s="16"/>
      <c r="AL205" s="16"/>
      <c r="AM205" s="16"/>
      <c r="CU205" s="74"/>
      <c r="CV205" s="75"/>
      <c r="CW205" s="76"/>
      <c r="CX205" s="77"/>
      <c r="CY205" s="77"/>
      <c r="CZ205" s="77"/>
      <c r="DA205" s="77"/>
      <c r="DB205" s="77"/>
      <c r="DC205" s="77"/>
      <c r="DD205" s="77"/>
      <c r="DE205" s="77"/>
      <c r="DF205" s="77"/>
      <c r="DG205" s="77"/>
      <c r="DH205" s="77"/>
      <c r="DI205" s="77"/>
      <c r="DJ205" s="77"/>
      <c r="DK205" s="77"/>
      <c r="DL205" s="77"/>
      <c r="DM205" s="77"/>
      <c r="DN205" s="77"/>
      <c r="DO205" s="77"/>
      <c r="DP205" s="85"/>
    </row>
    <row r="206" spans="2:120" s="1" customFormat="1" ht="16.5" customHeight="1">
      <c r="B206" s="2"/>
      <c r="C206" s="2"/>
      <c r="D206" s="16"/>
      <c r="E206" s="138"/>
      <c r="F206" s="17"/>
      <c r="G206" s="17"/>
      <c r="H206" s="17"/>
      <c r="I206" s="139"/>
      <c r="J206" s="139"/>
      <c r="K206" s="139"/>
      <c r="L206" s="139"/>
      <c r="M206" s="139"/>
      <c r="N206" s="139"/>
      <c r="O206" s="139"/>
      <c r="P206" s="139"/>
      <c r="Q206" s="139"/>
      <c r="R206" s="139"/>
      <c r="S206" s="139"/>
      <c r="T206" s="139"/>
      <c r="U206" s="139"/>
      <c r="V206" s="139"/>
      <c r="W206" s="139"/>
      <c r="X206" s="139"/>
      <c r="Y206" s="139"/>
      <c r="Z206" s="139"/>
      <c r="AA206" s="139"/>
      <c r="AB206" s="139"/>
      <c r="AC206" s="139"/>
      <c r="AD206" s="16"/>
      <c r="AE206" s="16"/>
      <c r="AF206" s="16"/>
      <c r="AG206" s="139"/>
      <c r="AH206" s="16"/>
      <c r="AI206" s="16"/>
      <c r="AJ206" s="16"/>
      <c r="AK206" s="16"/>
      <c r="AL206" s="16"/>
      <c r="AM206" s="16"/>
      <c r="CU206" s="74"/>
      <c r="CV206" s="75"/>
      <c r="CW206" s="76"/>
      <c r="CX206" s="77"/>
      <c r="CY206" s="77"/>
      <c r="CZ206" s="77"/>
      <c r="DA206" s="77"/>
      <c r="DB206" s="77"/>
      <c r="DC206" s="77"/>
      <c r="DD206" s="77"/>
      <c r="DE206" s="77"/>
      <c r="DF206" s="77"/>
      <c r="DG206" s="77"/>
      <c r="DH206" s="77"/>
      <c r="DI206" s="77"/>
      <c r="DJ206" s="77"/>
      <c r="DK206" s="77"/>
      <c r="DL206" s="77"/>
      <c r="DM206" s="77"/>
      <c r="DN206" s="77"/>
      <c r="DO206" s="77"/>
      <c r="DP206" s="85"/>
    </row>
    <row r="207" spans="2:120" s="1" customFormat="1" ht="16.5" customHeight="1">
      <c r="B207" s="2"/>
      <c r="C207" s="2"/>
      <c r="D207" s="16"/>
      <c r="E207" s="138"/>
      <c r="F207" s="17"/>
      <c r="G207" s="17"/>
      <c r="H207" s="17"/>
      <c r="I207" s="139"/>
      <c r="J207" s="139"/>
      <c r="K207" s="139"/>
      <c r="L207" s="139"/>
      <c r="M207" s="139"/>
      <c r="N207" s="139"/>
      <c r="O207" s="139"/>
      <c r="P207" s="139"/>
      <c r="Q207" s="139"/>
      <c r="R207" s="139"/>
      <c r="S207" s="139"/>
      <c r="T207" s="139"/>
      <c r="U207" s="139"/>
      <c r="V207" s="139"/>
      <c r="W207" s="139"/>
      <c r="X207" s="139"/>
      <c r="Y207" s="139"/>
      <c r="Z207" s="139"/>
      <c r="AA207" s="139"/>
      <c r="AB207" s="139"/>
      <c r="AC207" s="139"/>
      <c r="AD207" s="16"/>
      <c r="AE207" s="16"/>
      <c r="AF207" s="16"/>
      <c r="AG207" s="139"/>
      <c r="AH207" s="16"/>
      <c r="AI207" s="16"/>
      <c r="AJ207" s="16"/>
      <c r="AK207" s="16"/>
      <c r="AL207" s="16"/>
      <c r="AM207" s="16"/>
      <c r="CU207" s="74"/>
      <c r="CV207" s="75"/>
      <c r="CW207" s="76"/>
      <c r="CX207" s="77"/>
      <c r="CY207" s="77"/>
      <c r="CZ207" s="77"/>
      <c r="DA207" s="77"/>
      <c r="DB207" s="77"/>
      <c r="DC207" s="77"/>
      <c r="DD207" s="77"/>
      <c r="DE207" s="77"/>
      <c r="DF207" s="77"/>
      <c r="DG207" s="77"/>
      <c r="DH207" s="77"/>
      <c r="DI207" s="77"/>
      <c r="DJ207" s="77"/>
      <c r="DK207" s="77"/>
      <c r="DL207" s="77"/>
      <c r="DM207" s="77"/>
      <c r="DN207" s="77"/>
      <c r="DO207" s="77"/>
      <c r="DP207" s="85"/>
    </row>
    <row r="208" spans="2:120" s="1" customFormat="1" ht="16.5" customHeight="1">
      <c r="B208" s="2"/>
      <c r="C208" s="2"/>
      <c r="D208" s="16"/>
      <c r="E208" s="138"/>
      <c r="F208" s="17"/>
      <c r="G208" s="17"/>
      <c r="H208" s="17"/>
      <c r="I208" s="139"/>
      <c r="J208" s="139"/>
      <c r="K208" s="139"/>
      <c r="L208" s="139"/>
      <c r="M208" s="139"/>
      <c r="N208" s="139"/>
      <c r="O208" s="139"/>
      <c r="P208" s="139"/>
      <c r="Q208" s="139"/>
      <c r="R208" s="139"/>
      <c r="S208" s="139"/>
      <c r="T208" s="139"/>
      <c r="U208" s="139"/>
      <c r="V208" s="139"/>
      <c r="W208" s="139"/>
      <c r="X208" s="139"/>
      <c r="Y208" s="139"/>
      <c r="Z208" s="139"/>
      <c r="AA208" s="139"/>
      <c r="AB208" s="139"/>
      <c r="AC208" s="139"/>
      <c r="AD208" s="16"/>
      <c r="AE208" s="16"/>
      <c r="AF208" s="16"/>
      <c r="AG208" s="139"/>
      <c r="AH208" s="16"/>
      <c r="AI208" s="16"/>
      <c r="AJ208" s="16"/>
      <c r="AK208" s="16"/>
      <c r="AL208" s="16"/>
      <c r="AM208" s="16"/>
      <c r="CU208" s="74"/>
      <c r="CV208" s="75"/>
      <c r="CW208" s="76"/>
      <c r="CX208" s="77"/>
      <c r="CY208" s="77"/>
      <c r="CZ208" s="77"/>
      <c r="DA208" s="77"/>
      <c r="DB208" s="77"/>
      <c r="DC208" s="77"/>
      <c r="DD208" s="77"/>
      <c r="DE208" s="77"/>
      <c r="DF208" s="77"/>
      <c r="DG208" s="77"/>
      <c r="DH208" s="77"/>
      <c r="DI208" s="77"/>
      <c r="DJ208" s="77"/>
      <c r="DK208" s="77"/>
      <c r="DL208" s="77"/>
      <c r="DM208" s="77"/>
      <c r="DN208" s="77"/>
      <c r="DO208" s="77"/>
      <c r="DP208" s="85"/>
    </row>
    <row r="209" spans="2:120" s="1" customFormat="1" ht="16.5" customHeight="1">
      <c r="B209" s="2"/>
      <c r="C209" s="2"/>
      <c r="D209" s="16"/>
      <c r="E209" s="138"/>
      <c r="F209" s="17"/>
      <c r="G209" s="17"/>
      <c r="H209" s="17"/>
      <c r="I209" s="139"/>
      <c r="J209" s="139"/>
      <c r="K209" s="139"/>
      <c r="L209" s="139"/>
      <c r="M209" s="139"/>
      <c r="N209" s="139"/>
      <c r="O209" s="139"/>
      <c r="P209" s="139"/>
      <c r="Q209" s="139"/>
      <c r="R209" s="139"/>
      <c r="S209" s="139"/>
      <c r="T209" s="139"/>
      <c r="U209" s="139"/>
      <c r="V209" s="139"/>
      <c r="W209" s="139"/>
      <c r="X209" s="139"/>
      <c r="Y209" s="139"/>
      <c r="Z209" s="139"/>
      <c r="AA209" s="139"/>
      <c r="AB209" s="139"/>
      <c r="AC209" s="139"/>
      <c r="AD209" s="16"/>
      <c r="AE209" s="16"/>
      <c r="AF209" s="16"/>
      <c r="AG209" s="139"/>
      <c r="AH209" s="16"/>
      <c r="AI209" s="16"/>
      <c r="AJ209" s="16"/>
      <c r="AK209" s="16"/>
      <c r="AL209" s="16"/>
      <c r="AM209" s="16"/>
      <c r="CU209" s="74"/>
      <c r="CV209" s="75"/>
      <c r="CW209" s="76"/>
      <c r="CX209" s="77"/>
      <c r="CY209" s="77"/>
      <c r="CZ209" s="77"/>
      <c r="DA209" s="77"/>
      <c r="DB209" s="77"/>
      <c r="DC209" s="77"/>
      <c r="DD209" s="77"/>
      <c r="DE209" s="77"/>
      <c r="DF209" s="77"/>
      <c r="DG209" s="77"/>
      <c r="DH209" s="77"/>
      <c r="DI209" s="77"/>
      <c r="DJ209" s="77"/>
      <c r="DK209" s="77"/>
      <c r="DL209" s="77"/>
      <c r="DM209" s="77"/>
      <c r="DN209" s="77"/>
      <c r="DO209" s="77"/>
      <c r="DP209" s="85"/>
    </row>
    <row r="210" spans="2:120" s="1" customFormat="1" ht="16.5" customHeight="1">
      <c r="B210" s="2"/>
      <c r="C210" s="2"/>
      <c r="D210" s="16"/>
      <c r="E210" s="138"/>
      <c r="F210" s="17"/>
      <c r="G210" s="17"/>
      <c r="H210" s="17"/>
      <c r="I210" s="139"/>
      <c r="J210" s="139"/>
      <c r="K210" s="139"/>
      <c r="L210" s="139"/>
      <c r="M210" s="139"/>
      <c r="N210" s="139"/>
      <c r="O210" s="139"/>
      <c r="P210" s="139"/>
      <c r="Q210" s="139"/>
      <c r="R210" s="139"/>
      <c r="S210" s="139"/>
      <c r="T210" s="139"/>
      <c r="U210" s="139"/>
      <c r="V210" s="139"/>
      <c r="W210" s="139"/>
      <c r="X210" s="139"/>
      <c r="Y210" s="139"/>
      <c r="Z210" s="139"/>
      <c r="AA210" s="139"/>
      <c r="AB210" s="139"/>
      <c r="AC210" s="139"/>
      <c r="AD210" s="16"/>
      <c r="AE210" s="16"/>
      <c r="AF210" s="16"/>
      <c r="AG210" s="139"/>
      <c r="AH210" s="16"/>
      <c r="AI210" s="16"/>
      <c r="AJ210" s="16"/>
      <c r="AK210" s="16"/>
      <c r="AL210" s="16"/>
      <c r="AM210" s="16"/>
      <c r="CU210" s="74"/>
      <c r="CV210" s="75"/>
      <c r="CW210" s="76"/>
      <c r="CX210" s="77"/>
      <c r="CY210" s="77"/>
      <c r="CZ210" s="77"/>
      <c r="DA210" s="77"/>
      <c r="DB210" s="77"/>
      <c r="DC210" s="77"/>
      <c r="DD210" s="77"/>
      <c r="DE210" s="77"/>
      <c r="DF210" s="77"/>
      <c r="DG210" s="77"/>
      <c r="DH210" s="77"/>
      <c r="DI210" s="77"/>
      <c r="DJ210" s="77"/>
      <c r="DK210" s="77"/>
      <c r="DL210" s="77"/>
      <c r="DM210" s="77"/>
      <c r="DN210" s="77"/>
      <c r="DO210" s="77"/>
      <c r="DP210" s="85"/>
    </row>
    <row r="211" spans="2:120" s="1" customFormat="1" ht="16.5" customHeight="1">
      <c r="B211" s="2"/>
      <c r="C211" s="2"/>
      <c r="D211" s="16"/>
      <c r="E211" s="138"/>
      <c r="F211" s="17"/>
      <c r="G211" s="17"/>
      <c r="H211" s="17"/>
      <c r="I211" s="139"/>
      <c r="J211" s="139"/>
      <c r="K211" s="139"/>
      <c r="L211" s="139"/>
      <c r="M211" s="139"/>
      <c r="N211" s="139"/>
      <c r="O211" s="139"/>
      <c r="P211" s="139"/>
      <c r="Q211" s="139"/>
      <c r="R211" s="139"/>
      <c r="S211" s="139"/>
      <c r="T211" s="139"/>
      <c r="U211" s="139"/>
      <c r="V211" s="139"/>
      <c r="W211" s="139"/>
      <c r="X211" s="139"/>
      <c r="Y211" s="139"/>
      <c r="Z211" s="139"/>
      <c r="AA211" s="139"/>
      <c r="AB211" s="139"/>
      <c r="AC211" s="139"/>
      <c r="AD211" s="16"/>
      <c r="AE211" s="16"/>
      <c r="AF211" s="16"/>
      <c r="AG211" s="139"/>
      <c r="AH211" s="16"/>
      <c r="AI211" s="16"/>
      <c r="AJ211" s="16"/>
      <c r="AK211" s="16"/>
      <c r="AL211" s="16"/>
      <c r="AM211" s="16"/>
      <c r="CU211" s="74"/>
      <c r="CV211" s="75"/>
      <c r="CW211" s="76"/>
      <c r="CX211" s="77"/>
      <c r="CY211" s="77"/>
      <c r="CZ211" s="77"/>
      <c r="DA211" s="77"/>
      <c r="DB211" s="77"/>
      <c r="DC211" s="77"/>
      <c r="DD211" s="77"/>
      <c r="DE211" s="77"/>
      <c r="DF211" s="77"/>
      <c r="DG211" s="77"/>
      <c r="DH211" s="77"/>
      <c r="DI211" s="77"/>
      <c r="DJ211" s="77"/>
      <c r="DK211" s="77"/>
      <c r="DL211" s="77"/>
      <c r="DM211" s="77"/>
      <c r="DN211" s="77"/>
      <c r="DO211" s="77"/>
      <c r="DP211" s="85"/>
    </row>
    <row r="212" spans="2:120" s="1" customFormat="1" ht="16.5" customHeight="1">
      <c r="B212" s="2"/>
      <c r="C212" s="2"/>
      <c r="D212" s="16"/>
      <c r="E212" s="138"/>
      <c r="F212" s="17"/>
      <c r="G212" s="17"/>
      <c r="H212" s="17"/>
      <c r="I212" s="139"/>
      <c r="J212" s="139"/>
      <c r="K212" s="139"/>
      <c r="L212" s="139"/>
      <c r="M212" s="139"/>
      <c r="N212" s="139"/>
      <c r="O212" s="139"/>
      <c r="P212" s="139"/>
      <c r="Q212" s="139"/>
      <c r="R212" s="139"/>
      <c r="S212" s="139"/>
      <c r="T212" s="139"/>
      <c r="U212" s="139"/>
      <c r="V212" s="139"/>
      <c r="W212" s="139"/>
      <c r="X212" s="139"/>
      <c r="Y212" s="139"/>
      <c r="Z212" s="139"/>
      <c r="AA212" s="139"/>
      <c r="AB212" s="139"/>
      <c r="AC212" s="139"/>
      <c r="AD212" s="16"/>
      <c r="AE212" s="16"/>
      <c r="AF212" s="16"/>
      <c r="AG212" s="139"/>
      <c r="AH212" s="16"/>
      <c r="AI212" s="16"/>
      <c r="AJ212" s="16"/>
      <c r="AK212" s="16"/>
      <c r="AL212" s="16"/>
      <c r="AM212" s="16"/>
      <c r="CU212" s="74"/>
      <c r="CV212" s="75"/>
      <c r="CW212" s="76"/>
      <c r="CX212" s="77"/>
      <c r="CY212" s="77"/>
      <c r="CZ212" s="77"/>
      <c r="DA212" s="77"/>
      <c r="DB212" s="77"/>
      <c r="DC212" s="77"/>
      <c r="DD212" s="77"/>
      <c r="DE212" s="77"/>
      <c r="DF212" s="77"/>
      <c r="DG212" s="77"/>
      <c r="DH212" s="77"/>
      <c r="DI212" s="77"/>
      <c r="DJ212" s="77"/>
      <c r="DK212" s="77"/>
      <c r="DL212" s="77"/>
      <c r="DM212" s="77"/>
      <c r="DN212" s="77"/>
      <c r="DO212" s="77"/>
      <c r="DP212" s="85"/>
    </row>
    <row r="213" spans="2:120" s="1" customFormat="1" ht="16.5" customHeight="1">
      <c r="B213" s="2"/>
      <c r="C213" s="2"/>
      <c r="D213" s="16"/>
      <c r="E213" s="138"/>
      <c r="F213" s="17"/>
      <c r="G213" s="17"/>
      <c r="H213" s="17"/>
      <c r="I213" s="139"/>
      <c r="J213" s="139"/>
      <c r="K213" s="139"/>
      <c r="L213" s="139"/>
      <c r="M213" s="139"/>
      <c r="N213" s="139"/>
      <c r="O213" s="139"/>
      <c r="P213" s="139"/>
      <c r="Q213" s="139"/>
      <c r="R213" s="139"/>
      <c r="S213" s="139"/>
      <c r="T213" s="139"/>
      <c r="U213" s="139"/>
      <c r="V213" s="139"/>
      <c r="W213" s="139"/>
      <c r="X213" s="139"/>
      <c r="Y213" s="139"/>
      <c r="Z213" s="139"/>
      <c r="AA213" s="139"/>
      <c r="AB213" s="139"/>
      <c r="AC213" s="139"/>
      <c r="AD213" s="16"/>
      <c r="AE213" s="16"/>
      <c r="AF213" s="16"/>
      <c r="AG213" s="139"/>
      <c r="AH213" s="16"/>
      <c r="AI213" s="16"/>
      <c r="AJ213" s="16"/>
      <c r="AK213" s="16"/>
      <c r="AL213" s="16"/>
      <c r="AM213" s="16"/>
      <c r="CU213" s="74"/>
      <c r="CV213" s="75"/>
      <c r="CW213" s="76"/>
      <c r="CX213" s="77"/>
      <c r="CY213" s="77"/>
      <c r="CZ213" s="77"/>
      <c r="DA213" s="77"/>
      <c r="DB213" s="77"/>
      <c r="DC213" s="77"/>
      <c r="DD213" s="77"/>
      <c r="DE213" s="77"/>
      <c r="DF213" s="77"/>
      <c r="DG213" s="77"/>
      <c r="DH213" s="77"/>
      <c r="DI213" s="77"/>
      <c r="DJ213" s="77"/>
      <c r="DK213" s="77"/>
      <c r="DL213" s="77"/>
      <c r="DM213" s="77"/>
      <c r="DN213" s="77"/>
      <c r="DO213" s="77"/>
      <c r="DP213" s="85"/>
    </row>
    <row r="214" spans="2:120" s="1" customFormat="1" ht="16.5" customHeight="1">
      <c r="B214" s="2"/>
      <c r="C214" s="2"/>
      <c r="D214" s="16"/>
      <c r="E214" s="138"/>
      <c r="F214" s="17"/>
      <c r="G214" s="17"/>
      <c r="H214" s="17"/>
      <c r="I214" s="139"/>
      <c r="J214" s="139"/>
      <c r="K214" s="139"/>
      <c r="L214" s="139"/>
      <c r="M214" s="139"/>
      <c r="N214" s="139"/>
      <c r="O214" s="139"/>
      <c r="P214" s="139"/>
      <c r="Q214" s="139"/>
      <c r="R214" s="139"/>
      <c r="S214" s="139"/>
      <c r="T214" s="139"/>
      <c r="U214" s="139"/>
      <c r="V214" s="139"/>
      <c r="W214" s="139"/>
      <c r="X214" s="139"/>
      <c r="Y214" s="139"/>
      <c r="Z214" s="139"/>
      <c r="AA214" s="139"/>
      <c r="AB214" s="139"/>
      <c r="AC214" s="139"/>
      <c r="AD214" s="16"/>
      <c r="AE214" s="16"/>
      <c r="AF214" s="16"/>
      <c r="AG214" s="139"/>
      <c r="AH214" s="16"/>
      <c r="AI214" s="16"/>
      <c r="AJ214" s="16"/>
      <c r="AK214" s="16"/>
      <c r="AL214" s="16"/>
      <c r="AM214" s="16"/>
      <c r="CU214" s="74"/>
      <c r="CV214" s="75"/>
      <c r="CW214" s="76"/>
      <c r="CX214" s="77"/>
      <c r="CY214" s="77"/>
      <c r="CZ214" s="77"/>
      <c r="DA214" s="77"/>
      <c r="DB214" s="77"/>
      <c r="DC214" s="77"/>
      <c r="DD214" s="77"/>
      <c r="DE214" s="77"/>
      <c r="DF214" s="77"/>
      <c r="DG214" s="77"/>
      <c r="DH214" s="77"/>
      <c r="DI214" s="77"/>
      <c r="DJ214" s="77"/>
      <c r="DK214" s="77"/>
      <c r="DL214" s="77"/>
      <c r="DM214" s="77"/>
      <c r="DN214" s="77"/>
      <c r="DO214" s="77"/>
      <c r="DP214" s="85"/>
    </row>
    <row r="215" spans="2:120" s="1" customFormat="1" ht="16.5" customHeight="1">
      <c r="B215" s="2"/>
      <c r="C215" s="2"/>
      <c r="D215" s="16"/>
      <c r="E215" s="138"/>
      <c r="F215" s="17"/>
      <c r="G215" s="17"/>
      <c r="H215" s="17"/>
      <c r="I215" s="139"/>
      <c r="J215" s="139"/>
      <c r="K215" s="139"/>
      <c r="L215" s="139"/>
      <c r="M215" s="139"/>
      <c r="N215" s="139"/>
      <c r="O215" s="139"/>
      <c r="P215" s="139"/>
      <c r="Q215" s="139"/>
      <c r="R215" s="139"/>
      <c r="S215" s="139"/>
      <c r="T215" s="139"/>
      <c r="U215" s="139"/>
      <c r="V215" s="139"/>
      <c r="W215" s="139"/>
      <c r="X215" s="139"/>
      <c r="Y215" s="139"/>
      <c r="Z215" s="139"/>
      <c r="AA215" s="139"/>
      <c r="AB215" s="139"/>
      <c r="AC215" s="139"/>
      <c r="AD215" s="16"/>
      <c r="AE215" s="16"/>
      <c r="AF215" s="16"/>
      <c r="AG215" s="139"/>
      <c r="AH215" s="16"/>
      <c r="AI215" s="16"/>
      <c r="AJ215" s="16"/>
      <c r="AK215" s="16"/>
      <c r="AL215" s="16"/>
      <c r="AM215" s="16"/>
      <c r="CU215" s="74"/>
      <c r="CV215" s="75"/>
      <c r="CW215" s="76"/>
      <c r="CX215" s="77"/>
      <c r="CY215" s="77"/>
      <c r="CZ215" s="77"/>
      <c r="DA215" s="77"/>
      <c r="DB215" s="77"/>
      <c r="DC215" s="77"/>
      <c r="DD215" s="77"/>
      <c r="DE215" s="77"/>
      <c r="DF215" s="77"/>
      <c r="DG215" s="77"/>
      <c r="DH215" s="77"/>
      <c r="DI215" s="77"/>
      <c r="DJ215" s="77"/>
      <c r="DK215" s="77"/>
      <c r="DL215" s="77"/>
      <c r="DM215" s="77"/>
      <c r="DN215" s="77"/>
      <c r="DO215" s="77"/>
      <c r="DP215" s="85"/>
    </row>
    <row r="216" spans="2:120" s="1" customFormat="1" ht="16.5" customHeight="1">
      <c r="B216" s="2"/>
      <c r="C216" s="2"/>
      <c r="D216" s="16"/>
      <c r="E216" s="138"/>
      <c r="F216" s="17"/>
      <c r="G216" s="17"/>
      <c r="H216" s="17"/>
      <c r="I216" s="139"/>
      <c r="J216" s="139"/>
      <c r="K216" s="139"/>
      <c r="L216" s="139"/>
      <c r="M216" s="139"/>
      <c r="N216" s="139"/>
      <c r="O216" s="139"/>
      <c r="P216" s="139"/>
      <c r="Q216" s="139"/>
      <c r="R216" s="139"/>
      <c r="S216" s="139"/>
      <c r="T216" s="139"/>
      <c r="U216" s="139"/>
      <c r="V216" s="139"/>
      <c r="W216" s="139"/>
      <c r="X216" s="139"/>
      <c r="Y216" s="139"/>
      <c r="Z216" s="139"/>
      <c r="AA216" s="139"/>
      <c r="AB216" s="139"/>
      <c r="AC216" s="139"/>
      <c r="AD216" s="16"/>
      <c r="AE216" s="16"/>
      <c r="AF216" s="16"/>
      <c r="AG216" s="139"/>
      <c r="AH216" s="16"/>
      <c r="AI216" s="16"/>
      <c r="AJ216" s="16"/>
      <c r="AK216" s="16"/>
      <c r="AL216" s="16"/>
      <c r="AM216" s="16"/>
      <c r="CU216" s="74"/>
      <c r="CV216" s="75"/>
      <c r="CW216" s="76"/>
      <c r="CX216" s="77"/>
      <c r="CY216" s="77"/>
      <c r="CZ216" s="77"/>
      <c r="DA216" s="77"/>
      <c r="DB216" s="77"/>
      <c r="DC216" s="77"/>
      <c r="DD216" s="77"/>
      <c r="DE216" s="77"/>
      <c r="DF216" s="77"/>
      <c r="DG216" s="77"/>
      <c r="DH216" s="77"/>
      <c r="DI216" s="77"/>
      <c r="DJ216" s="77"/>
      <c r="DK216" s="77"/>
      <c r="DL216" s="77"/>
      <c r="DM216" s="77"/>
      <c r="DN216" s="77"/>
      <c r="DO216" s="77"/>
      <c r="DP216" s="85"/>
    </row>
    <row r="217" spans="2:120" s="1" customFormat="1" ht="16.5" customHeight="1">
      <c r="B217" s="2"/>
      <c r="C217" s="2"/>
      <c r="D217" s="16"/>
      <c r="E217" s="138"/>
      <c r="F217" s="17"/>
      <c r="G217" s="17"/>
      <c r="H217" s="17"/>
      <c r="I217" s="139"/>
      <c r="J217" s="139"/>
      <c r="K217" s="139"/>
      <c r="L217" s="139"/>
      <c r="M217" s="139"/>
      <c r="N217" s="139"/>
      <c r="O217" s="139"/>
      <c r="P217" s="139"/>
      <c r="Q217" s="139"/>
      <c r="R217" s="139"/>
      <c r="S217" s="139"/>
      <c r="T217" s="139"/>
      <c r="U217" s="139"/>
      <c r="V217" s="139"/>
      <c r="W217" s="139"/>
      <c r="X217" s="139"/>
      <c r="Y217" s="139"/>
      <c r="Z217" s="139"/>
      <c r="AA217" s="139"/>
      <c r="AB217" s="139"/>
      <c r="AC217" s="139"/>
      <c r="AD217" s="16"/>
      <c r="AE217" s="16"/>
      <c r="AF217" s="16"/>
      <c r="AG217" s="139"/>
      <c r="AH217" s="16"/>
      <c r="AI217" s="16"/>
      <c r="AJ217" s="16"/>
      <c r="AK217" s="16"/>
      <c r="AL217" s="16"/>
      <c r="AM217" s="16"/>
      <c r="CU217" s="74"/>
      <c r="CV217" s="75"/>
      <c r="CW217" s="76"/>
      <c r="CX217" s="77"/>
      <c r="CY217" s="77"/>
      <c r="CZ217" s="77"/>
      <c r="DA217" s="77"/>
      <c r="DB217" s="77"/>
      <c r="DC217" s="77"/>
      <c r="DD217" s="77"/>
      <c r="DE217" s="77"/>
      <c r="DF217" s="77"/>
      <c r="DG217" s="77"/>
      <c r="DH217" s="77"/>
      <c r="DI217" s="77"/>
      <c r="DJ217" s="77"/>
      <c r="DK217" s="77"/>
      <c r="DL217" s="77"/>
      <c r="DM217" s="77"/>
      <c r="DN217" s="77"/>
      <c r="DO217" s="77"/>
      <c r="DP217" s="85"/>
    </row>
    <row r="218" spans="2:120" s="1" customFormat="1" ht="16.5" customHeight="1">
      <c r="B218" s="2"/>
      <c r="C218" s="2"/>
      <c r="D218" s="16"/>
      <c r="E218" s="138"/>
      <c r="F218" s="17"/>
      <c r="G218" s="17"/>
      <c r="H218" s="17"/>
      <c r="I218" s="139"/>
      <c r="J218" s="139"/>
      <c r="K218" s="139"/>
      <c r="L218" s="139"/>
      <c r="M218" s="139"/>
      <c r="N218" s="139"/>
      <c r="O218" s="139"/>
      <c r="P218" s="139"/>
      <c r="Q218" s="139"/>
      <c r="R218" s="139"/>
      <c r="S218" s="139"/>
      <c r="T218" s="139"/>
      <c r="U218" s="139"/>
      <c r="V218" s="139"/>
      <c r="W218" s="139"/>
      <c r="X218" s="139"/>
      <c r="Y218" s="139"/>
      <c r="Z218" s="139"/>
      <c r="AA218" s="139"/>
      <c r="AB218" s="139"/>
      <c r="AC218" s="139"/>
      <c r="AD218" s="16"/>
      <c r="AE218" s="16"/>
      <c r="AF218" s="16"/>
      <c r="AG218" s="139"/>
      <c r="AH218" s="16"/>
      <c r="AI218" s="16"/>
      <c r="AJ218" s="16"/>
      <c r="AK218" s="16"/>
      <c r="AL218" s="16"/>
      <c r="AM218" s="16"/>
      <c r="CU218" s="74"/>
      <c r="CV218" s="75"/>
      <c r="CW218" s="76"/>
      <c r="CX218" s="77"/>
      <c r="CY218" s="77"/>
      <c r="CZ218" s="77"/>
      <c r="DA218" s="77"/>
      <c r="DB218" s="77"/>
      <c r="DC218" s="77"/>
      <c r="DD218" s="77"/>
      <c r="DE218" s="77"/>
      <c r="DF218" s="77"/>
      <c r="DG218" s="77"/>
      <c r="DH218" s="77"/>
      <c r="DI218" s="77"/>
      <c r="DJ218" s="77"/>
      <c r="DK218" s="77"/>
      <c r="DL218" s="77"/>
      <c r="DM218" s="77"/>
      <c r="DN218" s="77"/>
      <c r="DO218" s="77"/>
      <c r="DP218" s="85"/>
    </row>
    <row r="219" spans="2:120" s="1" customFormat="1" ht="16.5" customHeight="1">
      <c r="B219" s="2"/>
      <c r="C219" s="2"/>
      <c r="D219" s="16"/>
      <c r="E219" s="138"/>
      <c r="F219" s="17"/>
      <c r="G219" s="17"/>
      <c r="H219" s="17"/>
      <c r="I219" s="139"/>
      <c r="J219" s="139"/>
      <c r="K219" s="139"/>
      <c r="L219" s="139"/>
      <c r="M219" s="139"/>
      <c r="N219" s="139"/>
      <c r="O219" s="139"/>
      <c r="P219" s="139"/>
      <c r="Q219" s="139"/>
      <c r="R219" s="139"/>
      <c r="S219" s="139"/>
      <c r="T219" s="139"/>
      <c r="U219" s="139"/>
      <c r="V219" s="139"/>
      <c r="W219" s="139"/>
      <c r="X219" s="139"/>
      <c r="Y219" s="139"/>
      <c r="Z219" s="139"/>
      <c r="AA219" s="139"/>
      <c r="AB219" s="139"/>
      <c r="AC219" s="139"/>
      <c r="AD219" s="16"/>
      <c r="AE219" s="16"/>
      <c r="AF219" s="16"/>
      <c r="AG219" s="139"/>
      <c r="AH219" s="16"/>
      <c r="AI219" s="16"/>
      <c r="AJ219" s="16"/>
      <c r="AK219" s="16"/>
      <c r="AL219" s="16"/>
      <c r="AM219" s="16"/>
      <c r="CU219" s="74"/>
      <c r="CV219" s="75"/>
      <c r="CW219" s="76"/>
      <c r="CX219" s="77"/>
      <c r="CY219" s="77"/>
      <c r="CZ219" s="77"/>
      <c r="DA219" s="77"/>
      <c r="DB219" s="77"/>
      <c r="DC219" s="77"/>
      <c r="DD219" s="77"/>
      <c r="DE219" s="77"/>
      <c r="DF219" s="77"/>
      <c r="DG219" s="77"/>
      <c r="DH219" s="77"/>
      <c r="DI219" s="77"/>
      <c r="DJ219" s="77"/>
      <c r="DK219" s="77"/>
      <c r="DL219" s="77"/>
      <c r="DM219" s="77"/>
      <c r="DN219" s="77"/>
      <c r="DO219" s="77"/>
      <c r="DP219" s="85"/>
    </row>
    <row r="220" spans="2:120" s="1" customFormat="1" ht="16.5" customHeight="1">
      <c r="B220" s="2"/>
      <c r="C220" s="2"/>
      <c r="D220" s="16"/>
      <c r="E220" s="138"/>
      <c r="F220" s="17"/>
      <c r="G220" s="17"/>
      <c r="H220" s="17"/>
      <c r="I220" s="139"/>
      <c r="J220" s="139"/>
      <c r="K220" s="139"/>
      <c r="L220" s="139"/>
      <c r="M220" s="139"/>
      <c r="N220" s="139"/>
      <c r="O220" s="139"/>
      <c r="P220" s="139"/>
      <c r="Q220" s="139"/>
      <c r="R220" s="139"/>
      <c r="S220" s="139"/>
      <c r="T220" s="139"/>
      <c r="U220" s="139"/>
      <c r="V220" s="139"/>
      <c r="W220" s="139"/>
      <c r="X220" s="139"/>
      <c r="Y220" s="139"/>
      <c r="Z220" s="139"/>
      <c r="AA220" s="139"/>
      <c r="AB220" s="139"/>
      <c r="AC220" s="139"/>
      <c r="AD220" s="16"/>
      <c r="AE220" s="16"/>
      <c r="AF220" s="16"/>
      <c r="AG220" s="139"/>
      <c r="AH220" s="16"/>
      <c r="AI220" s="16"/>
      <c r="AJ220" s="16"/>
      <c r="AK220" s="16"/>
      <c r="AL220" s="16"/>
      <c r="AM220" s="16"/>
      <c r="CU220" s="74"/>
      <c r="CV220" s="75"/>
      <c r="CW220" s="76"/>
      <c r="CX220" s="77"/>
      <c r="CY220" s="77"/>
      <c r="CZ220" s="77"/>
      <c r="DA220" s="77"/>
      <c r="DB220" s="77"/>
      <c r="DC220" s="77"/>
      <c r="DD220" s="77"/>
      <c r="DE220" s="77"/>
      <c r="DF220" s="77"/>
      <c r="DG220" s="77"/>
      <c r="DH220" s="77"/>
      <c r="DI220" s="77"/>
      <c r="DJ220" s="77"/>
      <c r="DK220" s="77"/>
      <c r="DL220" s="77"/>
      <c r="DM220" s="77"/>
      <c r="DN220" s="77"/>
      <c r="DO220" s="77"/>
      <c r="DP220" s="85"/>
    </row>
    <row r="221" spans="2:120" s="1" customFormat="1" ht="16.5" customHeight="1">
      <c r="B221" s="2"/>
      <c r="C221" s="2"/>
      <c r="D221" s="16"/>
      <c r="E221" s="138"/>
      <c r="F221" s="17"/>
      <c r="G221" s="17"/>
      <c r="H221" s="17"/>
      <c r="I221" s="139"/>
      <c r="J221" s="139"/>
      <c r="K221" s="139"/>
      <c r="L221" s="139"/>
      <c r="M221" s="139"/>
      <c r="N221" s="139"/>
      <c r="O221" s="139"/>
      <c r="P221" s="139"/>
      <c r="Q221" s="139"/>
      <c r="R221" s="139"/>
      <c r="S221" s="139"/>
      <c r="T221" s="139"/>
      <c r="U221" s="139"/>
      <c r="V221" s="139"/>
      <c r="W221" s="139"/>
      <c r="X221" s="139"/>
      <c r="Y221" s="139"/>
      <c r="Z221" s="139"/>
      <c r="AA221" s="139"/>
      <c r="AB221" s="139"/>
      <c r="AC221" s="139"/>
      <c r="AD221" s="16"/>
      <c r="AE221" s="16"/>
      <c r="AF221" s="16"/>
      <c r="AG221" s="139"/>
      <c r="AH221" s="16"/>
      <c r="AI221" s="16"/>
      <c r="AJ221" s="16"/>
      <c r="AK221" s="16"/>
      <c r="AL221" s="16"/>
      <c r="AM221" s="16"/>
      <c r="CU221" s="74"/>
      <c r="CV221" s="75"/>
      <c r="CW221" s="76"/>
      <c r="CX221" s="77"/>
      <c r="CY221" s="77"/>
      <c r="CZ221" s="77"/>
      <c r="DA221" s="77"/>
      <c r="DB221" s="77"/>
      <c r="DC221" s="77"/>
      <c r="DD221" s="77"/>
      <c r="DE221" s="77"/>
      <c r="DF221" s="77"/>
      <c r="DG221" s="77"/>
      <c r="DH221" s="77"/>
      <c r="DI221" s="77"/>
      <c r="DJ221" s="77"/>
      <c r="DK221" s="77"/>
      <c r="DL221" s="77"/>
      <c r="DM221" s="77"/>
      <c r="DN221" s="77"/>
      <c r="DO221" s="77"/>
      <c r="DP221" s="85"/>
    </row>
    <row r="222" spans="2:120" s="1" customFormat="1" ht="16.5" customHeight="1">
      <c r="B222" s="2"/>
      <c r="C222" s="2"/>
      <c r="D222" s="16"/>
      <c r="E222" s="138"/>
      <c r="F222" s="17"/>
      <c r="G222" s="17"/>
      <c r="H222" s="17"/>
      <c r="I222" s="139"/>
      <c r="J222" s="139"/>
      <c r="K222" s="139"/>
      <c r="L222" s="139"/>
      <c r="M222" s="139"/>
      <c r="N222" s="139"/>
      <c r="O222" s="139"/>
      <c r="P222" s="139"/>
      <c r="Q222" s="139"/>
      <c r="R222" s="139"/>
      <c r="S222" s="139"/>
      <c r="T222" s="139"/>
      <c r="U222" s="139"/>
      <c r="V222" s="139"/>
      <c r="W222" s="139"/>
      <c r="X222" s="139"/>
      <c r="Y222" s="139"/>
      <c r="Z222" s="139"/>
      <c r="AA222" s="139"/>
      <c r="AB222" s="139"/>
      <c r="AC222" s="139"/>
      <c r="AD222" s="16"/>
      <c r="AE222" s="16"/>
      <c r="AF222" s="16"/>
      <c r="AG222" s="139"/>
      <c r="AH222" s="16"/>
      <c r="AI222" s="16"/>
      <c r="AJ222" s="16"/>
      <c r="AK222" s="16"/>
      <c r="AL222" s="16"/>
      <c r="AM222" s="16"/>
      <c r="CU222" s="74"/>
      <c r="CV222" s="75"/>
      <c r="CW222" s="76"/>
      <c r="CX222" s="77"/>
      <c r="CY222" s="77"/>
      <c r="CZ222" s="77"/>
      <c r="DA222" s="77"/>
      <c r="DB222" s="77"/>
      <c r="DC222" s="77"/>
      <c r="DD222" s="77"/>
      <c r="DE222" s="77"/>
      <c r="DF222" s="77"/>
      <c r="DG222" s="77"/>
      <c r="DH222" s="77"/>
      <c r="DI222" s="77"/>
      <c r="DJ222" s="77"/>
      <c r="DK222" s="77"/>
      <c r="DL222" s="77"/>
      <c r="DM222" s="77"/>
      <c r="DN222" s="77"/>
      <c r="DO222" s="77"/>
      <c r="DP222" s="85"/>
    </row>
    <row r="223" spans="2:120" s="1" customFormat="1" ht="16.5" customHeight="1">
      <c r="B223" s="2"/>
      <c r="C223" s="2"/>
      <c r="D223" s="16"/>
      <c r="E223" s="138"/>
      <c r="F223" s="17"/>
      <c r="G223" s="17"/>
      <c r="H223" s="17"/>
      <c r="I223" s="139"/>
      <c r="J223" s="139"/>
      <c r="K223" s="139"/>
      <c r="L223" s="139"/>
      <c r="M223" s="139"/>
      <c r="N223" s="139"/>
      <c r="O223" s="139"/>
      <c r="P223" s="139"/>
      <c r="Q223" s="139"/>
      <c r="R223" s="139"/>
      <c r="S223" s="139"/>
      <c r="T223" s="139"/>
      <c r="U223" s="139"/>
      <c r="V223" s="139"/>
      <c r="W223" s="139"/>
      <c r="X223" s="139"/>
      <c r="Y223" s="139"/>
      <c r="Z223" s="139"/>
      <c r="AA223" s="139"/>
      <c r="AB223" s="139"/>
      <c r="AC223" s="139"/>
      <c r="AD223" s="16"/>
      <c r="AE223" s="16"/>
      <c r="AF223" s="16"/>
      <c r="AG223" s="139"/>
      <c r="AH223" s="16"/>
      <c r="AI223" s="16"/>
      <c r="AJ223" s="16"/>
      <c r="AK223" s="16"/>
      <c r="AL223" s="16"/>
      <c r="AM223" s="16"/>
      <c r="CU223" s="74"/>
      <c r="CV223" s="75"/>
      <c r="CW223" s="76"/>
      <c r="CX223" s="77"/>
      <c r="CY223" s="77"/>
      <c r="CZ223" s="77"/>
      <c r="DA223" s="77"/>
      <c r="DB223" s="77"/>
      <c r="DC223" s="77"/>
      <c r="DD223" s="77"/>
      <c r="DE223" s="77"/>
      <c r="DF223" s="77"/>
      <c r="DG223" s="77"/>
      <c r="DH223" s="77"/>
      <c r="DI223" s="77"/>
      <c r="DJ223" s="77"/>
      <c r="DK223" s="77"/>
      <c r="DL223" s="77"/>
      <c r="DM223" s="77"/>
      <c r="DN223" s="77"/>
      <c r="DO223" s="77"/>
      <c r="DP223" s="85"/>
    </row>
    <row r="224" spans="2:120" s="1" customFormat="1" ht="16.5" customHeight="1">
      <c r="B224" s="2"/>
      <c r="C224" s="2"/>
      <c r="D224" s="16"/>
      <c r="E224" s="138"/>
      <c r="F224" s="17"/>
      <c r="G224" s="17"/>
      <c r="H224" s="17"/>
      <c r="I224" s="139"/>
      <c r="J224" s="139"/>
      <c r="K224" s="139"/>
      <c r="L224" s="139"/>
      <c r="M224" s="139"/>
      <c r="N224" s="139"/>
      <c r="O224" s="139"/>
      <c r="P224" s="139"/>
      <c r="Q224" s="139"/>
      <c r="R224" s="139"/>
      <c r="S224" s="139"/>
      <c r="T224" s="139"/>
      <c r="U224" s="139"/>
      <c r="V224" s="139"/>
      <c r="W224" s="139"/>
      <c r="X224" s="139"/>
      <c r="Y224" s="139"/>
      <c r="Z224" s="139"/>
      <c r="AA224" s="139"/>
      <c r="AB224" s="139"/>
      <c r="AC224" s="139"/>
      <c r="AD224" s="16"/>
      <c r="AE224" s="16"/>
      <c r="AF224" s="16"/>
      <c r="AG224" s="139"/>
      <c r="AH224" s="16"/>
      <c r="AI224" s="16"/>
      <c r="AJ224" s="16"/>
      <c r="AK224" s="16"/>
      <c r="AL224" s="16"/>
      <c r="AM224" s="16"/>
      <c r="CU224" s="74"/>
      <c r="CV224" s="75"/>
      <c r="CW224" s="76"/>
      <c r="CX224" s="77"/>
      <c r="CY224" s="77"/>
      <c r="CZ224" s="77"/>
      <c r="DA224" s="77"/>
      <c r="DB224" s="77"/>
      <c r="DC224" s="77"/>
      <c r="DD224" s="77"/>
      <c r="DE224" s="77"/>
      <c r="DF224" s="77"/>
      <c r="DG224" s="77"/>
      <c r="DH224" s="77"/>
      <c r="DI224" s="77"/>
      <c r="DJ224" s="77"/>
      <c r="DK224" s="77"/>
      <c r="DL224" s="77"/>
      <c r="DM224" s="77"/>
      <c r="DN224" s="77"/>
      <c r="DO224" s="77"/>
      <c r="DP224" s="85"/>
    </row>
    <row r="225" spans="2:120" s="1" customFormat="1" ht="16.5" customHeight="1">
      <c r="B225" s="2"/>
      <c r="C225" s="2"/>
      <c r="D225" s="16"/>
      <c r="E225" s="138"/>
      <c r="F225" s="17"/>
      <c r="G225" s="17"/>
      <c r="H225" s="17"/>
      <c r="I225" s="139"/>
      <c r="J225" s="139"/>
      <c r="K225" s="139"/>
      <c r="L225" s="139"/>
      <c r="M225" s="139"/>
      <c r="N225" s="139"/>
      <c r="O225" s="139"/>
      <c r="P225" s="139"/>
      <c r="Q225" s="139"/>
      <c r="R225" s="139"/>
      <c r="S225" s="139"/>
      <c r="T225" s="139"/>
      <c r="U225" s="139"/>
      <c r="V225" s="139"/>
      <c r="W225" s="139"/>
      <c r="X225" s="139"/>
      <c r="Y225" s="139"/>
      <c r="Z225" s="139"/>
      <c r="AA225" s="139"/>
      <c r="AB225" s="139"/>
      <c r="AC225" s="139"/>
      <c r="AD225" s="16"/>
      <c r="AE225" s="16"/>
      <c r="AF225" s="16"/>
      <c r="AG225" s="139"/>
      <c r="AH225" s="16"/>
      <c r="AI225" s="16"/>
      <c r="AJ225" s="16"/>
      <c r="AK225" s="16"/>
      <c r="AL225" s="16"/>
      <c r="AM225" s="16"/>
      <c r="CU225" s="74"/>
      <c r="CV225" s="75"/>
      <c r="CW225" s="76"/>
      <c r="CX225" s="77"/>
      <c r="CY225" s="77"/>
      <c r="CZ225" s="77"/>
      <c r="DA225" s="77"/>
      <c r="DB225" s="77"/>
      <c r="DC225" s="77"/>
      <c r="DD225" s="77"/>
      <c r="DE225" s="77"/>
      <c r="DF225" s="77"/>
      <c r="DG225" s="77"/>
      <c r="DH225" s="77"/>
      <c r="DI225" s="77"/>
      <c r="DJ225" s="77"/>
      <c r="DK225" s="77"/>
      <c r="DL225" s="77"/>
      <c r="DM225" s="77"/>
      <c r="DN225" s="77"/>
      <c r="DO225" s="77"/>
      <c r="DP225" s="85"/>
    </row>
    <row r="226" spans="2:120" s="1" customFormat="1" ht="16.5" customHeight="1">
      <c r="B226" s="2"/>
      <c r="C226" s="2"/>
      <c r="D226" s="16"/>
      <c r="E226" s="138"/>
      <c r="F226" s="17"/>
      <c r="G226" s="17"/>
      <c r="H226" s="17"/>
      <c r="I226" s="139"/>
      <c r="J226" s="139"/>
      <c r="K226" s="139"/>
      <c r="L226" s="139"/>
      <c r="M226" s="139"/>
      <c r="N226" s="139"/>
      <c r="O226" s="139"/>
      <c r="P226" s="139"/>
      <c r="Q226" s="139"/>
      <c r="R226" s="139"/>
      <c r="S226" s="139"/>
      <c r="T226" s="139"/>
      <c r="U226" s="139"/>
      <c r="V226" s="139"/>
      <c r="W226" s="139"/>
      <c r="X226" s="139"/>
      <c r="Y226" s="139"/>
      <c r="Z226" s="139"/>
      <c r="AA226" s="139"/>
      <c r="AB226" s="139"/>
      <c r="AC226" s="139"/>
      <c r="AD226" s="16"/>
      <c r="AE226" s="16"/>
      <c r="AF226" s="16"/>
      <c r="AG226" s="139"/>
      <c r="AH226" s="16"/>
      <c r="AI226" s="16"/>
      <c r="AJ226" s="16"/>
      <c r="AK226" s="16"/>
      <c r="AL226" s="16"/>
      <c r="AM226" s="16"/>
      <c r="CU226" s="74"/>
      <c r="CV226" s="75"/>
      <c r="CW226" s="76"/>
      <c r="CX226" s="77"/>
      <c r="CY226" s="77"/>
      <c r="CZ226" s="77"/>
      <c r="DA226" s="77"/>
      <c r="DB226" s="77"/>
      <c r="DC226" s="77"/>
      <c r="DD226" s="77"/>
      <c r="DE226" s="77"/>
      <c r="DF226" s="77"/>
      <c r="DG226" s="77"/>
      <c r="DH226" s="77"/>
      <c r="DI226" s="77"/>
      <c r="DJ226" s="77"/>
      <c r="DK226" s="77"/>
      <c r="DL226" s="77"/>
      <c r="DM226" s="77"/>
      <c r="DN226" s="77"/>
      <c r="DO226" s="77"/>
      <c r="DP226" s="85"/>
    </row>
    <row r="227" spans="2:120" s="1" customFormat="1" ht="16.5" customHeight="1">
      <c r="B227" s="2"/>
      <c r="C227" s="2"/>
      <c r="D227" s="16"/>
      <c r="E227" s="138"/>
      <c r="F227" s="17"/>
      <c r="G227" s="17"/>
      <c r="H227" s="17"/>
      <c r="I227" s="139"/>
      <c r="J227" s="139"/>
      <c r="K227" s="139"/>
      <c r="L227" s="139"/>
      <c r="M227" s="139"/>
      <c r="N227" s="139"/>
      <c r="O227" s="139"/>
      <c r="P227" s="139"/>
      <c r="Q227" s="139"/>
      <c r="R227" s="139"/>
      <c r="S227" s="139"/>
      <c r="T227" s="139"/>
      <c r="U227" s="139"/>
      <c r="V227" s="139"/>
      <c r="W227" s="139"/>
      <c r="X227" s="139"/>
      <c r="Y227" s="139"/>
      <c r="Z227" s="139"/>
      <c r="AA227" s="139"/>
      <c r="AB227" s="139"/>
      <c r="AC227" s="139"/>
      <c r="AD227" s="16"/>
      <c r="AE227" s="16"/>
      <c r="AF227" s="16"/>
      <c r="AG227" s="139"/>
      <c r="AH227" s="16"/>
      <c r="AI227" s="16"/>
      <c r="AJ227" s="16"/>
      <c r="AK227" s="16"/>
      <c r="AL227" s="16"/>
      <c r="AM227" s="16"/>
      <c r="CU227" s="74"/>
      <c r="CV227" s="75"/>
      <c r="CW227" s="76"/>
      <c r="CX227" s="77"/>
      <c r="CY227" s="77"/>
      <c r="CZ227" s="77"/>
      <c r="DA227" s="77"/>
      <c r="DB227" s="77"/>
      <c r="DC227" s="77"/>
      <c r="DD227" s="77"/>
      <c r="DE227" s="77"/>
      <c r="DF227" s="77"/>
      <c r="DG227" s="77"/>
      <c r="DH227" s="77"/>
      <c r="DI227" s="77"/>
      <c r="DJ227" s="77"/>
      <c r="DK227" s="77"/>
      <c r="DL227" s="77"/>
      <c r="DM227" s="77"/>
      <c r="DN227" s="77"/>
      <c r="DO227" s="77"/>
      <c r="DP227" s="85"/>
    </row>
    <row r="228" spans="2:120" s="1" customFormat="1" ht="16.5" customHeight="1">
      <c r="B228" s="2"/>
      <c r="C228" s="2"/>
      <c r="D228" s="16"/>
      <c r="E228" s="138"/>
      <c r="F228" s="17"/>
      <c r="G228" s="17"/>
      <c r="H228" s="17"/>
      <c r="I228" s="139"/>
      <c r="J228" s="139"/>
      <c r="K228" s="139"/>
      <c r="L228" s="139"/>
      <c r="M228" s="139"/>
      <c r="N228" s="139"/>
      <c r="O228" s="139"/>
      <c r="P228" s="139"/>
      <c r="Q228" s="139"/>
      <c r="R228" s="139"/>
      <c r="S228" s="139"/>
      <c r="T228" s="139"/>
      <c r="U228" s="139"/>
      <c r="V228" s="139"/>
      <c r="W228" s="139"/>
      <c r="X228" s="139"/>
      <c r="Y228" s="139"/>
      <c r="Z228" s="139"/>
      <c r="AA228" s="139"/>
      <c r="AB228" s="139"/>
      <c r="AC228" s="139"/>
      <c r="AD228" s="16"/>
      <c r="AE228" s="16"/>
      <c r="AF228" s="16"/>
      <c r="AG228" s="139"/>
      <c r="AH228" s="16"/>
      <c r="AI228" s="16"/>
      <c r="AJ228" s="16"/>
      <c r="AK228" s="16"/>
      <c r="AL228" s="16"/>
      <c r="AM228" s="16"/>
      <c r="CU228" s="74"/>
      <c r="CV228" s="75"/>
      <c r="CW228" s="76"/>
      <c r="CX228" s="77"/>
      <c r="CY228" s="77"/>
      <c r="CZ228" s="77"/>
      <c r="DA228" s="77"/>
      <c r="DB228" s="77"/>
      <c r="DC228" s="77"/>
      <c r="DD228" s="77"/>
      <c r="DE228" s="77"/>
      <c r="DF228" s="77"/>
      <c r="DG228" s="77"/>
      <c r="DH228" s="77"/>
      <c r="DI228" s="77"/>
      <c r="DJ228" s="77"/>
      <c r="DK228" s="77"/>
      <c r="DL228" s="77"/>
      <c r="DM228" s="77"/>
      <c r="DN228" s="77"/>
      <c r="DO228" s="77"/>
      <c r="DP228" s="85"/>
    </row>
    <row r="229" spans="2:120" s="1" customFormat="1" ht="16.5" customHeight="1">
      <c r="B229" s="2"/>
      <c r="C229" s="2"/>
      <c r="D229" s="16"/>
      <c r="E229" s="138"/>
      <c r="F229" s="17"/>
      <c r="G229" s="17"/>
      <c r="H229" s="17"/>
      <c r="I229" s="139"/>
      <c r="J229" s="139"/>
      <c r="K229" s="139"/>
      <c r="L229" s="139"/>
      <c r="M229" s="139"/>
      <c r="N229" s="139"/>
      <c r="O229" s="139"/>
      <c r="P229" s="139"/>
      <c r="Q229" s="139"/>
      <c r="R229" s="139"/>
      <c r="S229" s="139"/>
      <c r="T229" s="139"/>
      <c r="U229" s="139"/>
      <c r="V229" s="139"/>
      <c r="W229" s="139"/>
      <c r="X229" s="139"/>
      <c r="Y229" s="139"/>
      <c r="Z229" s="139"/>
      <c r="AA229" s="139"/>
      <c r="AB229" s="139"/>
      <c r="AC229" s="139"/>
      <c r="AD229" s="16"/>
      <c r="AE229" s="16"/>
      <c r="AF229" s="16"/>
      <c r="AG229" s="139"/>
      <c r="AH229" s="16"/>
      <c r="AI229" s="16"/>
      <c r="AJ229" s="16"/>
      <c r="AK229" s="16"/>
      <c r="AL229" s="16"/>
      <c r="AM229" s="16"/>
      <c r="CU229" s="74"/>
      <c r="CV229" s="75"/>
      <c r="CW229" s="76"/>
      <c r="CX229" s="77"/>
      <c r="CY229" s="77"/>
      <c r="CZ229" s="77"/>
      <c r="DA229" s="77"/>
      <c r="DB229" s="77"/>
      <c r="DC229" s="77"/>
      <c r="DD229" s="77"/>
      <c r="DE229" s="77"/>
      <c r="DF229" s="77"/>
      <c r="DG229" s="77"/>
      <c r="DH229" s="77"/>
      <c r="DI229" s="77"/>
      <c r="DJ229" s="77"/>
      <c r="DK229" s="77"/>
      <c r="DL229" s="77"/>
      <c r="DM229" s="77"/>
      <c r="DN229" s="77"/>
      <c r="DO229" s="77"/>
      <c r="DP229" s="85"/>
    </row>
    <row r="230" spans="2:120" s="1" customFormat="1" ht="16.5" customHeight="1">
      <c r="B230" s="2"/>
      <c r="C230" s="2"/>
      <c r="D230" s="16"/>
      <c r="E230" s="138"/>
      <c r="F230" s="17"/>
      <c r="G230" s="17"/>
      <c r="H230" s="17"/>
      <c r="I230" s="139"/>
      <c r="J230" s="139"/>
      <c r="K230" s="139"/>
      <c r="L230" s="139"/>
      <c r="M230" s="139"/>
      <c r="N230" s="139"/>
      <c r="O230" s="139"/>
      <c r="P230" s="139"/>
      <c r="Q230" s="139"/>
      <c r="R230" s="139"/>
      <c r="S230" s="139"/>
      <c r="T230" s="139"/>
      <c r="U230" s="139"/>
      <c r="V230" s="139"/>
      <c r="W230" s="139"/>
      <c r="X230" s="139"/>
      <c r="Y230" s="139"/>
      <c r="Z230" s="139"/>
      <c r="AA230" s="139"/>
      <c r="AB230" s="139"/>
      <c r="AC230" s="139"/>
      <c r="AD230" s="16"/>
      <c r="AE230" s="16"/>
      <c r="AF230" s="16"/>
      <c r="AG230" s="139"/>
      <c r="AH230" s="16"/>
      <c r="AI230" s="16"/>
      <c r="AJ230" s="16"/>
      <c r="AK230" s="16"/>
      <c r="AL230" s="16"/>
      <c r="AM230" s="16"/>
      <c r="CU230" s="74"/>
      <c r="CV230" s="75"/>
      <c r="CW230" s="76"/>
      <c r="CX230" s="77"/>
      <c r="CY230" s="77"/>
      <c r="CZ230" s="77"/>
      <c r="DA230" s="77"/>
      <c r="DB230" s="77"/>
      <c r="DC230" s="77"/>
      <c r="DD230" s="77"/>
      <c r="DE230" s="77"/>
      <c r="DF230" s="77"/>
      <c r="DG230" s="77"/>
      <c r="DH230" s="77"/>
      <c r="DI230" s="77"/>
      <c r="DJ230" s="77"/>
      <c r="DK230" s="77"/>
      <c r="DL230" s="77"/>
      <c r="DM230" s="77"/>
      <c r="DN230" s="77"/>
      <c r="DO230" s="77"/>
      <c r="DP230" s="85"/>
    </row>
    <row r="231" spans="2:120" s="1" customFormat="1" ht="16.5" customHeight="1">
      <c r="B231" s="2"/>
      <c r="C231" s="2"/>
      <c r="D231" s="16"/>
      <c r="E231" s="138"/>
      <c r="F231" s="17"/>
      <c r="G231" s="17"/>
      <c r="H231" s="17"/>
      <c r="I231" s="139"/>
      <c r="J231" s="139"/>
      <c r="K231" s="139"/>
      <c r="L231" s="139"/>
      <c r="M231" s="139"/>
      <c r="N231" s="139"/>
      <c r="O231" s="139"/>
      <c r="P231" s="139"/>
      <c r="Q231" s="139"/>
      <c r="R231" s="139"/>
      <c r="S231" s="139"/>
      <c r="T231" s="139"/>
      <c r="U231" s="139"/>
      <c r="V231" s="139"/>
      <c r="W231" s="139"/>
      <c r="X231" s="139"/>
      <c r="Y231" s="139"/>
      <c r="Z231" s="139"/>
      <c r="AA231" s="139"/>
      <c r="AB231" s="139"/>
      <c r="AC231" s="139"/>
      <c r="AD231" s="16"/>
      <c r="AE231" s="16"/>
      <c r="AF231" s="16"/>
      <c r="AG231" s="139"/>
      <c r="AH231" s="16"/>
      <c r="AI231" s="16"/>
      <c r="AJ231" s="16"/>
      <c r="AK231" s="16"/>
      <c r="AL231" s="16"/>
      <c r="AM231" s="16"/>
      <c r="CU231" s="74"/>
      <c r="CV231" s="75"/>
      <c r="CW231" s="76"/>
      <c r="CX231" s="77"/>
      <c r="CY231" s="77"/>
      <c r="CZ231" s="77"/>
      <c r="DA231" s="77"/>
      <c r="DB231" s="77"/>
      <c r="DC231" s="77"/>
      <c r="DD231" s="77"/>
      <c r="DE231" s="77"/>
      <c r="DF231" s="77"/>
      <c r="DG231" s="77"/>
      <c r="DH231" s="77"/>
      <c r="DI231" s="77"/>
      <c r="DJ231" s="77"/>
      <c r="DK231" s="77"/>
      <c r="DL231" s="77"/>
      <c r="DM231" s="77"/>
      <c r="DN231" s="77"/>
      <c r="DO231" s="77"/>
      <c r="DP231" s="85"/>
    </row>
    <row r="232" spans="2:120" s="1" customFormat="1" ht="16.5" customHeight="1">
      <c r="B232" s="2"/>
      <c r="C232" s="2"/>
      <c r="D232" s="16"/>
      <c r="E232" s="138"/>
      <c r="F232" s="17"/>
      <c r="G232" s="17"/>
      <c r="H232" s="17"/>
      <c r="I232" s="139"/>
      <c r="J232" s="139"/>
      <c r="K232" s="139"/>
      <c r="L232" s="139"/>
      <c r="M232" s="139"/>
      <c r="N232" s="139"/>
      <c r="O232" s="139"/>
      <c r="P232" s="139"/>
      <c r="Q232" s="139"/>
      <c r="R232" s="139"/>
      <c r="S232" s="139"/>
      <c r="T232" s="139"/>
      <c r="U232" s="139"/>
      <c r="V232" s="139"/>
      <c r="W232" s="139"/>
      <c r="X232" s="139"/>
      <c r="Y232" s="139"/>
      <c r="Z232" s="139"/>
      <c r="AA232" s="139"/>
      <c r="AB232" s="139"/>
      <c r="AC232" s="139"/>
      <c r="AD232" s="16"/>
      <c r="AE232" s="16"/>
      <c r="AF232" s="16"/>
      <c r="AG232" s="139"/>
      <c r="AH232" s="16"/>
      <c r="AI232" s="16"/>
      <c r="AJ232" s="16"/>
      <c r="AK232" s="16"/>
      <c r="AL232" s="16"/>
      <c r="AM232" s="16"/>
      <c r="CU232" s="74"/>
      <c r="CV232" s="75"/>
      <c r="CW232" s="76"/>
      <c r="CX232" s="77"/>
      <c r="CY232" s="77"/>
      <c r="CZ232" s="77"/>
      <c r="DA232" s="77"/>
      <c r="DB232" s="77"/>
      <c r="DC232" s="77"/>
      <c r="DD232" s="77"/>
      <c r="DE232" s="77"/>
      <c r="DF232" s="77"/>
      <c r="DG232" s="77"/>
      <c r="DH232" s="77"/>
      <c r="DI232" s="77"/>
      <c r="DJ232" s="77"/>
      <c r="DK232" s="77"/>
      <c r="DL232" s="77"/>
      <c r="DM232" s="77"/>
      <c r="DN232" s="77"/>
      <c r="DO232" s="77"/>
      <c r="DP232" s="85"/>
    </row>
    <row r="233" spans="2:120" s="1" customFormat="1" ht="16.5" customHeight="1">
      <c r="B233" s="2"/>
      <c r="C233" s="2"/>
      <c r="D233" s="16"/>
      <c r="E233" s="138"/>
      <c r="F233" s="17"/>
      <c r="G233" s="17"/>
      <c r="H233" s="17"/>
      <c r="I233" s="139"/>
      <c r="J233" s="139"/>
      <c r="K233" s="139"/>
      <c r="L233" s="139"/>
      <c r="M233" s="139"/>
      <c r="N233" s="139"/>
      <c r="O233" s="139"/>
      <c r="P233" s="139"/>
      <c r="Q233" s="139"/>
      <c r="R233" s="139"/>
      <c r="S233" s="139"/>
      <c r="T233" s="139"/>
      <c r="U233" s="139"/>
      <c r="V233" s="139"/>
      <c r="W233" s="139"/>
      <c r="X233" s="139"/>
      <c r="Y233" s="139"/>
      <c r="Z233" s="139"/>
      <c r="AA233" s="139"/>
      <c r="AB233" s="139"/>
      <c r="AC233" s="139"/>
      <c r="AD233" s="16"/>
      <c r="AE233" s="16"/>
      <c r="AF233" s="16"/>
      <c r="AG233" s="139"/>
      <c r="AH233" s="16"/>
      <c r="AI233" s="16"/>
      <c r="AJ233" s="16"/>
      <c r="AK233" s="16"/>
      <c r="AL233" s="16"/>
      <c r="AM233" s="16"/>
      <c r="CU233" s="74"/>
      <c r="CV233" s="75"/>
      <c r="CW233" s="76"/>
      <c r="CX233" s="77"/>
      <c r="CY233" s="77"/>
      <c r="CZ233" s="77"/>
      <c r="DA233" s="77"/>
      <c r="DB233" s="77"/>
      <c r="DC233" s="77"/>
      <c r="DD233" s="77"/>
      <c r="DE233" s="77"/>
      <c r="DF233" s="77"/>
      <c r="DG233" s="77"/>
      <c r="DH233" s="77"/>
      <c r="DI233" s="77"/>
      <c r="DJ233" s="77"/>
      <c r="DK233" s="77"/>
      <c r="DL233" s="77"/>
      <c r="DM233" s="77"/>
      <c r="DN233" s="77"/>
      <c r="DO233" s="77"/>
      <c r="DP233" s="85"/>
    </row>
    <row r="234" spans="2:120" s="1" customFormat="1" ht="16.5" customHeight="1">
      <c r="B234" s="2"/>
      <c r="C234" s="2"/>
      <c r="D234" s="16"/>
      <c r="E234" s="138"/>
      <c r="F234" s="17"/>
      <c r="G234" s="17"/>
      <c r="H234" s="17"/>
      <c r="I234" s="139"/>
      <c r="J234" s="139"/>
      <c r="K234" s="139"/>
      <c r="L234" s="139"/>
      <c r="M234" s="139"/>
      <c r="N234" s="139"/>
      <c r="O234" s="139"/>
      <c r="P234" s="139"/>
      <c r="Q234" s="139"/>
      <c r="R234" s="139"/>
      <c r="S234" s="139"/>
      <c r="T234" s="139"/>
      <c r="U234" s="139"/>
      <c r="V234" s="139"/>
      <c r="W234" s="139"/>
      <c r="X234" s="139"/>
      <c r="Y234" s="139"/>
      <c r="Z234" s="139"/>
      <c r="AA234" s="139"/>
      <c r="AB234" s="139"/>
      <c r="AC234" s="139"/>
      <c r="AD234" s="16"/>
      <c r="AE234" s="16"/>
      <c r="AF234" s="16"/>
      <c r="AG234" s="139"/>
      <c r="AH234" s="16"/>
      <c r="AI234" s="16"/>
      <c r="AJ234" s="16"/>
      <c r="AK234" s="16"/>
      <c r="AL234" s="16"/>
      <c r="AM234" s="16"/>
      <c r="CU234" s="74"/>
      <c r="CV234" s="75"/>
      <c r="CW234" s="76"/>
      <c r="CX234" s="77"/>
      <c r="CY234" s="77"/>
      <c r="CZ234" s="77"/>
      <c r="DA234" s="77"/>
      <c r="DB234" s="77"/>
      <c r="DC234" s="77"/>
      <c r="DD234" s="77"/>
      <c r="DE234" s="77"/>
      <c r="DF234" s="77"/>
      <c r="DG234" s="77"/>
      <c r="DH234" s="77"/>
      <c r="DI234" s="77"/>
      <c r="DJ234" s="77"/>
      <c r="DK234" s="77"/>
      <c r="DL234" s="77"/>
      <c r="DM234" s="77"/>
      <c r="DN234" s="77"/>
      <c r="DO234" s="77"/>
      <c r="DP234" s="85"/>
    </row>
    <row r="235" spans="2:120" s="1" customFormat="1" ht="16.5" customHeight="1">
      <c r="B235" s="2"/>
      <c r="C235" s="2"/>
      <c r="D235" s="16"/>
      <c r="E235" s="138"/>
      <c r="F235" s="17"/>
      <c r="G235" s="17"/>
      <c r="H235" s="17"/>
      <c r="I235" s="139"/>
      <c r="J235" s="139"/>
      <c r="K235" s="139"/>
      <c r="L235" s="139"/>
      <c r="M235" s="139"/>
      <c r="N235" s="139"/>
      <c r="O235" s="139"/>
      <c r="P235" s="139"/>
      <c r="Q235" s="139"/>
      <c r="R235" s="139"/>
      <c r="S235" s="139"/>
      <c r="T235" s="139"/>
      <c r="U235" s="139"/>
      <c r="V235" s="139"/>
      <c r="W235" s="139"/>
      <c r="X235" s="139"/>
      <c r="Y235" s="139"/>
      <c r="Z235" s="139"/>
      <c r="AA235" s="139"/>
      <c r="AB235" s="139"/>
      <c r="AC235" s="139"/>
      <c r="AD235" s="16"/>
      <c r="AE235" s="16"/>
      <c r="AF235" s="16"/>
      <c r="AG235" s="139"/>
      <c r="AH235" s="16"/>
      <c r="AI235" s="16"/>
      <c r="AJ235" s="16"/>
      <c r="AK235" s="16"/>
      <c r="AL235" s="16"/>
      <c r="AM235" s="16"/>
      <c r="CU235" s="74"/>
      <c r="CV235" s="75"/>
      <c r="CW235" s="76"/>
      <c r="CX235" s="77"/>
      <c r="CY235" s="77"/>
      <c r="CZ235" s="77"/>
      <c r="DA235" s="77"/>
      <c r="DB235" s="77"/>
      <c r="DC235" s="77"/>
      <c r="DD235" s="77"/>
      <c r="DE235" s="77"/>
      <c r="DF235" s="77"/>
      <c r="DG235" s="77"/>
      <c r="DH235" s="77"/>
      <c r="DI235" s="77"/>
      <c r="DJ235" s="77"/>
      <c r="DK235" s="77"/>
      <c r="DL235" s="77"/>
      <c r="DM235" s="77"/>
      <c r="DN235" s="77"/>
      <c r="DO235" s="77"/>
      <c r="DP235" s="85"/>
    </row>
    <row r="236" spans="2:120" s="1" customFormat="1" ht="16.5" customHeight="1">
      <c r="B236" s="2"/>
      <c r="C236" s="2"/>
      <c r="D236" s="16"/>
      <c r="E236" s="138"/>
      <c r="F236" s="17"/>
      <c r="G236" s="17"/>
      <c r="H236" s="17"/>
      <c r="I236" s="139"/>
      <c r="J236" s="139"/>
      <c r="K236" s="139"/>
      <c r="L236" s="139"/>
      <c r="M236" s="139"/>
      <c r="N236" s="139"/>
      <c r="O236" s="139"/>
      <c r="P236" s="139"/>
      <c r="Q236" s="139"/>
      <c r="R236" s="139"/>
      <c r="S236" s="139"/>
      <c r="T236" s="139"/>
      <c r="U236" s="139"/>
      <c r="V236" s="139"/>
      <c r="W236" s="139"/>
      <c r="X236" s="139"/>
      <c r="Y236" s="139"/>
      <c r="Z236" s="139"/>
      <c r="AA236" s="139"/>
      <c r="AB236" s="139"/>
      <c r="AC236" s="139"/>
      <c r="AD236" s="16"/>
      <c r="AE236" s="16"/>
      <c r="AF236" s="16"/>
      <c r="AG236" s="139"/>
      <c r="AH236" s="16"/>
      <c r="AI236" s="16"/>
      <c r="AJ236" s="16"/>
      <c r="AK236" s="16"/>
      <c r="AL236" s="16"/>
      <c r="AM236" s="16"/>
      <c r="CU236" s="74"/>
      <c r="CV236" s="75"/>
      <c r="CW236" s="76"/>
      <c r="CX236" s="77"/>
      <c r="CY236" s="77"/>
      <c r="CZ236" s="77"/>
      <c r="DA236" s="77"/>
      <c r="DB236" s="77"/>
      <c r="DC236" s="77"/>
      <c r="DD236" s="77"/>
      <c r="DE236" s="77"/>
      <c r="DF236" s="77"/>
      <c r="DG236" s="77"/>
      <c r="DH236" s="77"/>
      <c r="DI236" s="77"/>
      <c r="DJ236" s="77"/>
      <c r="DK236" s="77"/>
      <c r="DL236" s="77"/>
      <c r="DM236" s="77"/>
      <c r="DN236" s="77"/>
      <c r="DO236" s="77"/>
      <c r="DP236" s="85"/>
    </row>
    <row r="237" spans="2:120" s="1" customFormat="1" ht="16.5" customHeight="1">
      <c r="B237" s="2"/>
      <c r="C237" s="2"/>
      <c r="D237" s="16"/>
      <c r="E237" s="138"/>
      <c r="F237" s="17"/>
      <c r="G237" s="17"/>
      <c r="H237" s="17"/>
      <c r="I237" s="139"/>
      <c r="J237" s="139"/>
      <c r="K237" s="139"/>
      <c r="L237" s="139"/>
      <c r="M237" s="139"/>
      <c r="N237" s="139"/>
      <c r="O237" s="139"/>
      <c r="P237" s="139"/>
      <c r="Q237" s="139"/>
      <c r="R237" s="139"/>
      <c r="S237" s="139"/>
      <c r="T237" s="139"/>
      <c r="U237" s="139"/>
      <c r="V237" s="139"/>
      <c r="W237" s="139"/>
      <c r="X237" s="139"/>
      <c r="Y237" s="139"/>
      <c r="Z237" s="139"/>
      <c r="AA237" s="139"/>
      <c r="AB237" s="139"/>
      <c r="AC237" s="139"/>
      <c r="AD237" s="16"/>
      <c r="AE237" s="16"/>
      <c r="AF237" s="16"/>
      <c r="AG237" s="139"/>
      <c r="AH237" s="16"/>
      <c r="AI237" s="16"/>
      <c r="AJ237" s="16"/>
      <c r="AK237" s="16"/>
      <c r="AL237" s="16"/>
      <c r="AM237" s="16"/>
      <c r="CU237" s="74"/>
      <c r="CV237" s="75"/>
      <c r="CW237" s="76"/>
      <c r="CX237" s="77"/>
      <c r="CY237" s="77"/>
      <c r="CZ237" s="77"/>
      <c r="DA237" s="77"/>
      <c r="DB237" s="77"/>
      <c r="DC237" s="77"/>
      <c r="DD237" s="77"/>
      <c r="DE237" s="77"/>
      <c r="DF237" s="77"/>
      <c r="DG237" s="77"/>
      <c r="DH237" s="77"/>
      <c r="DI237" s="77"/>
      <c r="DJ237" s="77"/>
      <c r="DK237" s="77"/>
      <c r="DL237" s="77"/>
      <c r="DM237" s="77"/>
      <c r="DN237" s="77"/>
      <c r="DO237" s="77"/>
      <c r="DP237" s="85"/>
    </row>
    <row r="238" spans="2:120" s="1" customFormat="1" ht="16.5" customHeight="1">
      <c r="B238" s="2"/>
      <c r="C238" s="2"/>
      <c r="D238" s="16"/>
      <c r="E238" s="138"/>
      <c r="F238" s="17"/>
      <c r="G238" s="17"/>
      <c r="H238" s="17"/>
      <c r="I238" s="139"/>
      <c r="J238" s="139"/>
      <c r="K238" s="139"/>
      <c r="L238" s="139"/>
      <c r="M238" s="139"/>
      <c r="N238" s="139"/>
      <c r="O238" s="139"/>
      <c r="P238" s="139"/>
      <c r="Q238" s="139"/>
      <c r="R238" s="139"/>
      <c r="S238" s="139"/>
      <c r="T238" s="139"/>
      <c r="U238" s="139"/>
      <c r="V238" s="139"/>
      <c r="W238" s="139"/>
      <c r="X238" s="139"/>
      <c r="Y238" s="139"/>
      <c r="Z238" s="139"/>
      <c r="AA238" s="139"/>
      <c r="AB238" s="139"/>
      <c r="AC238" s="139"/>
      <c r="AD238" s="16"/>
      <c r="AE238" s="16"/>
      <c r="AF238" s="16"/>
      <c r="AG238" s="139"/>
      <c r="AH238" s="16"/>
      <c r="AI238" s="16"/>
      <c r="AJ238" s="16"/>
      <c r="AK238" s="16"/>
      <c r="AL238" s="16"/>
      <c r="AM238" s="16"/>
      <c r="CU238" s="74"/>
      <c r="CV238" s="75"/>
      <c r="CW238" s="76"/>
      <c r="CX238" s="77"/>
      <c r="CY238" s="77"/>
      <c r="CZ238" s="77"/>
      <c r="DA238" s="77"/>
      <c r="DB238" s="77"/>
      <c r="DC238" s="77"/>
      <c r="DD238" s="77"/>
      <c r="DE238" s="77"/>
      <c r="DF238" s="77"/>
      <c r="DG238" s="77"/>
      <c r="DH238" s="77"/>
      <c r="DI238" s="77"/>
      <c r="DJ238" s="77"/>
      <c r="DK238" s="77"/>
      <c r="DL238" s="77"/>
      <c r="DM238" s="77"/>
      <c r="DN238" s="77"/>
      <c r="DO238" s="77"/>
      <c r="DP238" s="85"/>
    </row>
    <row r="239" spans="2:120" s="1" customFormat="1" ht="16.5" customHeight="1">
      <c r="B239" s="2"/>
      <c r="C239" s="2"/>
      <c r="D239" s="16"/>
      <c r="E239" s="138"/>
      <c r="F239" s="17"/>
      <c r="G239" s="17"/>
      <c r="H239" s="17"/>
      <c r="I239" s="139"/>
      <c r="J239" s="139"/>
      <c r="K239" s="139"/>
      <c r="L239" s="139"/>
      <c r="M239" s="139"/>
      <c r="N239" s="139"/>
      <c r="O239" s="139"/>
      <c r="P239" s="139"/>
      <c r="Q239" s="139"/>
      <c r="R239" s="139"/>
      <c r="S239" s="139"/>
      <c r="T239" s="139"/>
      <c r="U239" s="139"/>
      <c r="V239" s="139"/>
      <c r="W239" s="139"/>
      <c r="X239" s="139"/>
      <c r="Y239" s="139"/>
      <c r="Z239" s="139"/>
      <c r="AA239" s="139"/>
      <c r="AB239" s="139"/>
      <c r="AC239" s="139"/>
      <c r="AD239" s="16"/>
      <c r="AE239" s="16"/>
      <c r="AF239" s="16"/>
      <c r="AG239" s="139"/>
      <c r="AH239" s="16"/>
      <c r="AI239" s="16"/>
      <c r="AJ239" s="16"/>
      <c r="AK239" s="16"/>
      <c r="AL239" s="16"/>
      <c r="AM239" s="16"/>
      <c r="CU239" s="74"/>
      <c r="CV239" s="75"/>
      <c r="CW239" s="76"/>
      <c r="CX239" s="77"/>
      <c r="CY239" s="77"/>
      <c r="CZ239" s="77"/>
      <c r="DA239" s="77"/>
      <c r="DB239" s="77"/>
      <c r="DC239" s="77"/>
      <c r="DD239" s="77"/>
      <c r="DE239" s="77"/>
      <c r="DF239" s="77"/>
      <c r="DG239" s="77"/>
      <c r="DH239" s="77"/>
      <c r="DI239" s="77"/>
      <c r="DJ239" s="77"/>
      <c r="DK239" s="77"/>
      <c r="DL239" s="77"/>
      <c r="DM239" s="77"/>
      <c r="DN239" s="77"/>
      <c r="DO239" s="77"/>
      <c r="DP239" s="85"/>
    </row>
    <row r="240" spans="2:120" s="1" customFormat="1" ht="16.5" customHeight="1">
      <c r="B240" s="2"/>
      <c r="C240" s="2"/>
      <c r="D240" s="16"/>
      <c r="E240" s="138"/>
      <c r="F240" s="17"/>
      <c r="G240" s="17"/>
      <c r="H240" s="17"/>
      <c r="I240" s="139"/>
      <c r="J240" s="139"/>
      <c r="K240" s="139"/>
      <c r="L240" s="139"/>
      <c r="M240" s="139"/>
      <c r="N240" s="139"/>
      <c r="O240" s="139"/>
      <c r="P240" s="139"/>
      <c r="Q240" s="139"/>
      <c r="R240" s="139"/>
      <c r="S240" s="139"/>
      <c r="T240" s="139"/>
      <c r="U240" s="139"/>
      <c r="V240" s="139"/>
      <c r="W240" s="139"/>
      <c r="X240" s="139"/>
      <c r="Y240" s="139"/>
      <c r="Z240" s="139"/>
      <c r="AA240" s="139"/>
      <c r="AB240" s="139"/>
      <c r="AC240" s="139"/>
      <c r="AD240" s="16"/>
      <c r="AE240" s="16"/>
      <c r="AF240" s="16"/>
      <c r="AG240" s="139"/>
      <c r="AH240" s="16"/>
      <c r="AI240" s="16"/>
      <c r="AJ240" s="16"/>
      <c r="AK240" s="16"/>
      <c r="AL240" s="16"/>
      <c r="AM240" s="16"/>
      <c r="CU240" s="74"/>
      <c r="CV240" s="75"/>
      <c r="CW240" s="76"/>
      <c r="CX240" s="77"/>
      <c r="CY240" s="77"/>
      <c r="CZ240" s="77"/>
      <c r="DA240" s="77"/>
      <c r="DB240" s="77"/>
      <c r="DC240" s="77"/>
      <c r="DD240" s="77"/>
      <c r="DE240" s="77"/>
      <c r="DF240" s="77"/>
      <c r="DG240" s="77"/>
      <c r="DH240" s="77"/>
      <c r="DI240" s="77"/>
      <c r="DJ240" s="77"/>
      <c r="DK240" s="77"/>
      <c r="DL240" s="77"/>
      <c r="DM240" s="77"/>
      <c r="DN240" s="77"/>
      <c r="DO240" s="77"/>
      <c r="DP240" s="85"/>
    </row>
    <row r="241" spans="2:120" s="1" customFormat="1" ht="16.5" customHeight="1">
      <c r="B241" s="2"/>
      <c r="C241" s="2"/>
      <c r="D241" s="16"/>
      <c r="E241" s="138"/>
      <c r="F241" s="17"/>
      <c r="G241" s="17"/>
      <c r="H241" s="17"/>
      <c r="I241" s="139"/>
      <c r="J241" s="139"/>
      <c r="K241" s="139"/>
      <c r="L241" s="139"/>
      <c r="M241" s="139"/>
      <c r="N241" s="139"/>
      <c r="O241" s="139"/>
      <c r="P241" s="139"/>
      <c r="Q241" s="139"/>
      <c r="R241" s="139"/>
      <c r="S241" s="139"/>
      <c r="T241" s="139"/>
      <c r="U241" s="139"/>
      <c r="V241" s="139"/>
      <c r="W241" s="139"/>
      <c r="X241" s="139"/>
      <c r="Y241" s="139"/>
      <c r="Z241" s="139"/>
      <c r="AA241" s="139"/>
      <c r="AB241" s="139"/>
      <c r="AC241" s="139"/>
      <c r="AD241" s="16"/>
      <c r="AE241" s="16"/>
      <c r="AF241" s="16"/>
      <c r="AG241" s="139"/>
      <c r="AH241" s="16"/>
      <c r="AI241" s="16"/>
      <c r="AJ241" s="16"/>
      <c r="AK241" s="16"/>
      <c r="AL241" s="16"/>
      <c r="AM241" s="16"/>
      <c r="CU241" s="74"/>
      <c r="CV241" s="75"/>
      <c r="CW241" s="76"/>
      <c r="CX241" s="77"/>
      <c r="CY241" s="77"/>
      <c r="CZ241" s="77"/>
      <c r="DA241" s="77"/>
      <c r="DB241" s="77"/>
      <c r="DC241" s="77"/>
      <c r="DD241" s="77"/>
      <c r="DE241" s="77"/>
      <c r="DF241" s="77"/>
      <c r="DG241" s="77"/>
      <c r="DH241" s="77"/>
      <c r="DI241" s="77"/>
      <c r="DJ241" s="77"/>
      <c r="DK241" s="77"/>
      <c r="DL241" s="77"/>
      <c r="DM241" s="77"/>
      <c r="DN241" s="77"/>
      <c r="DO241" s="77"/>
      <c r="DP241" s="85"/>
    </row>
    <row r="242" spans="2:120" s="1" customFormat="1" ht="16.5" customHeight="1">
      <c r="B242" s="2"/>
      <c r="C242" s="2"/>
      <c r="D242" s="16"/>
      <c r="E242" s="138"/>
      <c r="F242" s="17"/>
      <c r="G242" s="17"/>
      <c r="H242" s="17"/>
      <c r="I242" s="139"/>
      <c r="J242" s="139"/>
      <c r="K242" s="139"/>
      <c r="L242" s="139"/>
      <c r="M242" s="139"/>
      <c r="N242" s="139"/>
      <c r="O242" s="139"/>
      <c r="P242" s="139"/>
      <c r="Q242" s="139"/>
      <c r="R242" s="139"/>
      <c r="S242" s="139"/>
      <c r="T242" s="139"/>
      <c r="U242" s="139"/>
      <c r="V242" s="139"/>
      <c r="W242" s="139"/>
      <c r="X242" s="139"/>
      <c r="Y242" s="139"/>
      <c r="Z242" s="139"/>
      <c r="AA242" s="139"/>
      <c r="AB242" s="139"/>
      <c r="AC242" s="139"/>
      <c r="AD242" s="16"/>
      <c r="AE242" s="16"/>
      <c r="AF242" s="16"/>
      <c r="AG242" s="139"/>
      <c r="AH242" s="16"/>
      <c r="AI242" s="16"/>
      <c r="AJ242" s="16"/>
      <c r="AK242" s="16"/>
      <c r="AL242" s="16"/>
      <c r="AM242" s="16"/>
      <c r="CU242" s="74"/>
      <c r="CV242" s="75"/>
      <c r="CW242" s="76"/>
      <c r="CX242" s="77"/>
      <c r="CY242" s="77"/>
      <c r="CZ242" s="77"/>
      <c r="DA242" s="77"/>
      <c r="DB242" s="77"/>
      <c r="DC242" s="77"/>
      <c r="DD242" s="77"/>
      <c r="DE242" s="77"/>
      <c r="DF242" s="77"/>
      <c r="DG242" s="77"/>
      <c r="DH242" s="77"/>
      <c r="DI242" s="77"/>
      <c r="DJ242" s="77"/>
      <c r="DK242" s="77"/>
      <c r="DL242" s="77"/>
      <c r="DM242" s="77"/>
      <c r="DN242" s="77"/>
      <c r="DO242" s="77"/>
      <c r="DP242" s="85"/>
    </row>
    <row r="243" spans="2:120" s="1" customFormat="1" ht="16.5" customHeight="1">
      <c r="B243" s="2"/>
      <c r="C243" s="2"/>
      <c r="D243" s="16"/>
      <c r="E243" s="138"/>
      <c r="F243" s="17"/>
      <c r="G243" s="17"/>
      <c r="H243" s="17"/>
      <c r="I243" s="139"/>
      <c r="J243" s="139"/>
      <c r="K243" s="139"/>
      <c r="L243" s="139"/>
      <c r="M243" s="139"/>
      <c r="N243" s="139"/>
      <c r="O243" s="139"/>
      <c r="P243" s="139"/>
      <c r="Q243" s="139"/>
      <c r="R243" s="139"/>
      <c r="S243" s="139"/>
      <c r="T243" s="139"/>
      <c r="U243" s="139"/>
      <c r="V243" s="139"/>
      <c r="W243" s="139"/>
      <c r="X243" s="139"/>
      <c r="Y243" s="139"/>
      <c r="Z243" s="139"/>
      <c r="AA243" s="139"/>
      <c r="AB243" s="139"/>
      <c r="AC243" s="139"/>
      <c r="AD243" s="16"/>
      <c r="AE243" s="16"/>
      <c r="AF243" s="16"/>
      <c r="AG243" s="139"/>
      <c r="AH243" s="16"/>
      <c r="AI243" s="16"/>
      <c r="AJ243" s="16"/>
      <c r="AK243" s="16"/>
      <c r="AL243" s="16"/>
      <c r="AM243" s="16"/>
      <c r="CU243" s="74"/>
      <c r="CV243" s="75"/>
      <c r="CW243" s="76"/>
      <c r="CX243" s="77"/>
      <c r="CY243" s="77"/>
      <c r="CZ243" s="77"/>
      <c r="DA243" s="77"/>
      <c r="DB243" s="77"/>
      <c r="DC243" s="77"/>
      <c r="DD243" s="77"/>
      <c r="DE243" s="77"/>
      <c r="DF243" s="77"/>
      <c r="DG243" s="77"/>
      <c r="DH243" s="77"/>
      <c r="DI243" s="77"/>
      <c r="DJ243" s="77"/>
      <c r="DK243" s="77"/>
      <c r="DL243" s="77"/>
      <c r="DM243" s="77"/>
      <c r="DN243" s="77"/>
      <c r="DO243" s="77"/>
      <c r="DP243" s="85"/>
    </row>
    <row r="244" spans="2:120" s="1" customFormat="1" ht="16.5" customHeight="1">
      <c r="B244" s="2"/>
      <c r="C244" s="2"/>
      <c r="D244" s="16"/>
      <c r="E244" s="138"/>
      <c r="F244" s="17"/>
      <c r="G244" s="17"/>
      <c r="H244" s="17"/>
      <c r="I244" s="139"/>
      <c r="J244" s="139"/>
      <c r="K244" s="139"/>
      <c r="L244" s="139"/>
      <c r="M244" s="139"/>
      <c r="N244" s="139"/>
      <c r="O244" s="139"/>
      <c r="P244" s="139"/>
      <c r="Q244" s="139"/>
      <c r="R244" s="139"/>
      <c r="S244" s="139"/>
      <c r="T244" s="139"/>
      <c r="U244" s="139"/>
      <c r="V244" s="139"/>
      <c r="W244" s="139"/>
      <c r="X244" s="139"/>
      <c r="Y244" s="139"/>
      <c r="Z244" s="139"/>
      <c r="AA244" s="139"/>
      <c r="AB244" s="139"/>
      <c r="AC244" s="139"/>
      <c r="AD244" s="16"/>
      <c r="AE244" s="16"/>
      <c r="AF244" s="16"/>
      <c r="AG244" s="139"/>
      <c r="AH244" s="16"/>
      <c r="AI244" s="16"/>
      <c r="AJ244" s="16"/>
      <c r="AK244" s="16"/>
      <c r="AL244" s="16"/>
      <c r="AM244" s="16"/>
      <c r="CU244" s="74"/>
      <c r="CV244" s="75"/>
      <c r="CW244" s="76"/>
      <c r="CX244" s="77"/>
      <c r="CY244" s="77"/>
      <c r="CZ244" s="77"/>
      <c r="DA244" s="77"/>
      <c r="DB244" s="77"/>
      <c r="DC244" s="77"/>
      <c r="DD244" s="77"/>
      <c r="DE244" s="77"/>
      <c r="DF244" s="77"/>
      <c r="DG244" s="77"/>
      <c r="DH244" s="77"/>
      <c r="DI244" s="77"/>
      <c r="DJ244" s="77"/>
      <c r="DK244" s="77"/>
      <c r="DL244" s="77"/>
      <c r="DM244" s="77"/>
      <c r="DN244" s="77"/>
      <c r="DO244" s="77"/>
      <c r="DP244" s="85"/>
    </row>
    <row r="245" spans="2:120" s="1" customFormat="1" ht="16.5" customHeight="1">
      <c r="B245" s="2"/>
      <c r="C245" s="2"/>
      <c r="D245" s="16"/>
      <c r="E245" s="138"/>
      <c r="F245" s="17"/>
      <c r="G245" s="17"/>
      <c r="H245" s="17"/>
      <c r="I245" s="139"/>
      <c r="J245" s="139"/>
      <c r="K245" s="139"/>
      <c r="L245" s="139"/>
      <c r="M245" s="139"/>
      <c r="N245" s="139"/>
      <c r="O245" s="139"/>
      <c r="P245" s="139"/>
      <c r="Q245" s="139"/>
      <c r="R245" s="139"/>
      <c r="S245" s="139"/>
      <c r="T245" s="139"/>
      <c r="U245" s="139"/>
      <c r="V245" s="139"/>
      <c r="W245" s="139"/>
      <c r="X245" s="139"/>
      <c r="Y245" s="139"/>
      <c r="Z245" s="139"/>
      <c r="AA245" s="139"/>
      <c r="AB245" s="139"/>
      <c r="AC245" s="139"/>
      <c r="AD245" s="16"/>
      <c r="AE245" s="16"/>
      <c r="AF245" s="16"/>
      <c r="AG245" s="139"/>
      <c r="AH245" s="16"/>
      <c r="AI245" s="16"/>
      <c r="AJ245" s="16"/>
      <c r="AK245" s="16"/>
      <c r="AL245" s="16"/>
      <c r="AM245" s="16"/>
      <c r="CU245" s="74"/>
      <c r="CV245" s="75"/>
      <c r="CW245" s="76"/>
      <c r="CX245" s="77"/>
      <c r="CY245" s="77"/>
      <c r="CZ245" s="77"/>
      <c r="DA245" s="77"/>
      <c r="DB245" s="77"/>
      <c r="DC245" s="77"/>
      <c r="DD245" s="77"/>
      <c r="DE245" s="77"/>
      <c r="DF245" s="77"/>
      <c r="DG245" s="77"/>
      <c r="DH245" s="77"/>
      <c r="DI245" s="77"/>
      <c r="DJ245" s="77"/>
      <c r="DK245" s="77"/>
      <c r="DL245" s="77"/>
      <c r="DM245" s="77"/>
      <c r="DN245" s="77"/>
      <c r="DO245" s="77"/>
      <c r="DP245" s="85"/>
    </row>
    <row r="246" spans="2:120" s="1" customFormat="1" ht="16.5" customHeight="1">
      <c r="B246" s="2"/>
      <c r="C246" s="2"/>
      <c r="D246" s="16"/>
      <c r="E246" s="138"/>
      <c r="F246" s="17"/>
      <c r="G246" s="17"/>
      <c r="H246" s="17"/>
      <c r="I246" s="139"/>
      <c r="J246" s="139"/>
      <c r="K246" s="139"/>
      <c r="L246" s="139"/>
      <c r="M246" s="139"/>
      <c r="N246" s="139"/>
      <c r="O246" s="139"/>
      <c r="P246" s="139"/>
      <c r="Q246" s="139"/>
      <c r="R246" s="139"/>
      <c r="S246" s="139"/>
      <c r="T246" s="139"/>
      <c r="U246" s="139"/>
      <c r="V246" s="139"/>
      <c r="W246" s="139"/>
      <c r="X246" s="139"/>
      <c r="Y246" s="139"/>
      <c r="Z246" s="139"/>
      <c r="AA246" s="139"/>
      <c r="AB246" s="139"/>
      <c r="AC246" s="139"/>
      <c r="AD246" s="16"/>
      <c r="AE246" s="16"/>
      <c r="AF246" s="16"/>
      <c r="AG246" s="139"/>
      <c r="AH246" s="16"/>
      <c r="AI246" s="16"/>
      <c r="AJ246" s="16"/>
      <c r="AK246" s="16"/>
      <c r="AL246" s="16"/>
      <c r="AM246" s="16"/>
      <c r="CU246" s="74"/>
      <c r="CV246" s="75"/>
      <c r="CW246" s="76"/>
      <c r="CX246" s="77"/>
      <c r="CY246" s="77"/>
      <c r="CZ246" s="77"/>
      <c r="DA246" s="77"/>
      <c r="DB246" s="77"/>
      <c r="DC246" s="77"/>
      <c r="DD246" s="77"/>
      <c r="DE246" s="77"/>
      <c r="DF246" s="77"/>
      <c r="DG246" s="77"/>
      <c r="DH246" s="77"/>
      <c r="DI246" s="77"/>
      <c r="DJ246" s="77"/>
      <c r="DK246" s="77"/>
      <c r="DL246" s="77"/>
      <c r="DM246" s="77"/>
      <c r="DN246" s="77"/>
      <c r="DO246" s="77"/>
      <c r="DP246" s="85"/>
    </row>
    <row r="247" spans="2:120" s="1" customFormat="1" ht="16.5" customHeight="1">
      <c r="B247" s="2"/>
      <c r="C247" s="2"/>
      <c r="D247" s="16"/>
      <c r="E247" s="138"/>
      <c r="F247" s="17"/>
      <c r="G247" s="17"/>
      <c r="H247" s="17"/>
      <c r="I247" s="139"/>
      <c r="J247" s="139"/>
      <c r="K247" s="139"/>
      <c r="L247" s="139"/>
      <c r="M247" s="139"/>
      <c r="N247" s="139"/>
      <c r="O247" s="139"/>
      <c r="P247" s="139"/>
      <c r="Q247" s="139"/>
      <c r="R247" s="139"/>
      <c r="S247" s="139"/>
      <c r="T247" s="139"/>
      <c r="U247" s="139"/>
      <c r="V247" s="139"/>
      <c r="W247" s="139"/>
      <c r="X247" s="139"/>
      <c r="Y247" s="139"/>
      <c r="Z247" s="139"/>
      <c r="AA247" s="139"/>
      <c r="AB247" s="139"/>
      <c r="AC247" s="139"/>
      <c r="AD247" s="16"/>
      <c r="AE247" s="16"/>
      <c r="AF247" s="16"/>
      <c r="AG247" s="139"/>
      <c r="AH247" s="16"/>
      <c r="AI247" s="16"/>
      <c r="AJ247" s="16"/>
      <c r="AK247" s="16"/>
      <c r="AL247" s="16"/>
      <c r="AM247" s="16"/>
      <c r="CU247" s="74"/>
      <c r="CV247" s="75"/>
      <c r="CW247" s="76"/>
      <c r="CX247" s="77"/>
      <c r="CY247" s="77"/>
      <c r="CZ247" s="77"/>
      <c r="DA247" s="77"/>
      <c r="DB247" s="77"/>
      <c r="DC247" s="77"/>
      <c r="DD247" s="77"/>
      <c r="DE247" s="77"/>
      <c r="DF247" s="77"/>
      <c r="DG247" s="77"/>
      <c r="DH247" s="77"/>
      <c r="DI247" s="77"/>
      <c r="DJ247" s="77"/>
      <c r="DK247" s="77"/>
      <c r="DL247" s="77"/>
      <c r="DM247" s="77"/>
      <c r="DN247" s="77"/>
      <c r="DO247" s="77"/>
      <c r="DP247" s="85"/>
    </row>
    <row r="248" spans="2:120" s="1" customFormat="1" ht="16.5" customHeight="1">
      <c r="B248" s="2"/>
      <c r="C248" s="2"/>
      <c r="D248" s="16"/>
      <c r="E248" s="138"/>
      <c r="F248" s="17"/>
      <c r="G248" s="17"/>
      <c r="H248" s="17"/>
      <c r="I248" s="139"/>
      <c r="J248" s="139"/>
      <c r="K248" s="139"/>
      <c r="L248" s="139"/>
      <c r="M248" s="139"/>
      <c r="N248" s="139"/>
      <c r="O248" s="139"/>
      <c r="P248" s="139"/>
      <c r="Q248" s="139"/>
      <c r="R248" s="139"/>
      <c r="S248" s="139"/>
      <c r="T248" s="139"/>
      <c r="U248" s="139"/>
      <c r="V248" s="139"/>
      <c r="W248" s="139"/>
      <c r="X248" s="139"/>
      <c r="Y248" s="139"/>
      <c r="Z248" s="139"/>
      <c r="AA248" s="139"/>
      <c r="AB248" s="139"/>
      <c r="AC248" s="139"/>
      <c r="AD248" s="16"/>
      <c r="AE248" s="16"/>
      <c r="AF248" s="16"/>
      <c r="AG248" s="139"/>
      <c r="AH248" s="16"/>
      <c r="AI248" s="16"/>
      <c r="AJ248" s="16"/>
      <c r="AK248" s="16"/>
      <c r="AL248" s="16"/>
      <c r="AM248" s="16"/>
      <c r="CU248" s="74"/>
      <c r="CV248" s="75"/>
      <c r="CW248" s="76"/>
      <c r="CX248" s="77"/>
      <c r="CY248" s="77"/>
      <c r="CZ248" s="77"/>
      <c r="DA248" s="77"/>
      <c r="DB248" s="77"/>
      <c r="DC248" s="77"/>
      <c r="DD248" s="77"/>
      <c r="DE248" s="77"/>
      <c r="DF248" s="77"/>
      <c r="DG248" s="77"/>
      <c r="DH248" s="77"/>
      <c r="DI248" s="77"/>
      <c r="DJ248" s="77"/>
      <c r="DK248" s="77"/>
      <c r="DL248" s="77"/>
      <c r="DM248" s="77"/>
      <c r="DN248" s="77"/>
      <c r="DO248" s="77"/>
      <c r="DP248" s="85"/>
    </row>
    <row r="249" spans="2:120" s="1" customFormat="1" ht="16.5" customHeight="1">
      <c r="B249" s="2"/>
      <c r="C249" s="2"/>
      <c r="D249" s="16"/>
      <c r="E249" s="138"/>
      <c r="F249" s="17"/>
      <c r="G249" s="17"/>
      <c r="H249" s="17"/>
      <c r="I249" s="139"/>
      <c r="J249" s="139"/>
      <c r="K249" s="139"/>
      <c r="L249" s="139"/>
      <c r="M249" s="139"/>
      <c r="N249" s="139"/>
      <c r="O249" s="139"/>
      <c r="P249" s="139"/>
      <c r="Q249" s="139"/>
      <c r="R249" s="139"/>
      <c r="S249" s="139"/>
      <c r="T249" s="139"/>
      <c r="U249" s="139"/>
      <c r="V249" s="139"/>
      <c r="W249" s="139"/>
      <c r="X249" s="139"/>
      <c r="Y249" s="139"/>
      <c r="Z249" s="139"/>
      <c r="AA249" s="139"/>
      <c r="AB249" s="139"/>
      <c r="AC249" s="139"/>
      <c r="AD249" s="16"/>
      <c r="AE249" s="16"/>
      <c r="AF249" s="16"/>
      <c r="AG249" s="139"/>
      <c r="AH249" s="16"/>
      <c r="AI249" s="16"/>
      <c r="AJ249" s="16"/>
      <c r="AK249" s="16"/>
      <c r="AL249" s="16"/>
      <c r="AM249" s="16"/>
      <c r="CU249" s="74"/>
      <c r="CV249" s="75"/>
      <c r="CW249" s="76"/>
      <c r="CX249" s="77"/>
      <c r="CY249" s="77"/>
      <c r="CZ249" s="77"/>
      <c r="DA249" s="77"/>
      <c r="DB249" s="77"/>
      <c r="DC249" s="77"/>
      <c r="DD249" s="77"/>
      <c r="DE249" s="77"/>
      <c r="DF249" s="77"/>
      <c r="DG249" s="77"/>
      <c r="DH249" s="77"/>
      <c r="DI249" s="77"/>
      <c r="DJ249" s="77"/>
      <c r="DK249" s="77"/>
      <c r="DL249" s="77"/>
      <c r="DM249" s="77"/>
      <c r="DN249" s="77"/>
      <c r="DO249" s="77"/>
      <c r="DP249" s="85"/>
    </row>
    <row r="250" spans="2:120" s="1" customFormat="1" ht="16.5" customHeight="1">
      <c r="B250" s="2"/>
      <c r="C250" s="2"/>
      <c r="D250" s="16"/>
      <c r="E250" s="138"/>
      <c r="F250" s="17"/>
      <c r="G250" s="17"/>
      <c r="H250" s="17"/>
      <c r="I250" s="139"/>
      <c r="J250" s="139"/>
      <c r="K250" s="139"/>
      <c r="L250" s="139"/>
      <c r="M250" s="139"/>
      <c r="N250" s="139"/>
      <c r="O250" s="139"/>
      <c r="P250" s="139"/>
      <c r="Q250" s="139"/>
      <c r="R250" s="139"/>
      <c r="S250" s="139"/>
      <c r="T250" s="139"/>
      <c r="U250" s="139"/>
      <c r="V250" s="139"/>
      <c r="W250" s="139"/>
      <c r="X250" s="139"/>
      <c r="Y250" s="139"/>
      <c r="Z250" s="139"/>
      <c r="AA250" s="139"/>
      <c r="AB250" s="139"/>
      <c r="AC250" s="139"/>
      <c r="AD250" s="16"/>
      <c r="AE250" s="16"/>
      <c r="AF250" s="16"/>
      <c r="AG250" s="139"/>
      <c r="AH250" s="16"/>
      <c r="AI250" s="16"/>
      <c r="AJ250" s="16"/>
      <c r="AK250" s="16"/>
      <c r="AL250" s="16"/>
      <c r="AM250" s="16"/>
      <c r="CU250" s="74"/>
      <c r="CV250" s="75"/>
      <c r="CW250" s="76"/>
      <c r="CX250" s="77"/>
      <c r="CY250" s="77"/>
      <c r="CZ250" s="77"/>
      <c r="DA250" s="77"/>
      <c r="DB250" s="77"/>
      <c r="DC250" s="77"/>
      <c r="DD250" s="77"/>
      <c r="DE250" s="77"/>
      <c r="DF250" s="77"/>
      <c r="DG250" s="77"/>
      <c r="DH250" s="77"/>
      <c r="DI250" s="77"/>
      <c r="DJ250" s="77"/>
      <c r="DK250" s="77"/>
      <c r="DL250" s="77"/>
      <c r="DM250" s="77"/>
      <c r="DN250" s="77"/>
      <c r="DO250" s="77"/>
      <c r="DP250" s="85"/>
    </row>
    <row r="251" spans="2:120" s="1" customFormat="1" ht="16.5" customHeight="1">
      <c r="B251" s="2"/>
      <c r="C251" s="2"/>
      <c r="D251" s="16"/>
      <c r="E251" s="138"/>
      <c r="F251" s="17"/>
      <c r="G251" s="17"/>
      <c r="H251" s="17"/>
      <c r="I251" s="139"/>
      <c r="J251" s="139"/>
      <c r="K251" s="139"/>
      <c r="L251" s="139"/>
      <c r="M251" s="139"/>
      <c r="N251" s="139"/>
      <c r="O251" s="139"/>
      <c r="P251" s="139"/>
      <c r="Q251" s="139"/>
      <c r="R251" s="139"/>
      <c r="S251" s="139"/>
      <c r="T251" s="139"/>
      <c r="U251" s="139"/>
      <c r="V251" s="139"/>
      <c r="W251" s="139"/>
      <c r="X251" s="139"/>
      <c r="Y251" s="139"/>
      <c r="Z251" s="139"/>
      <c r="AA251" s="139"/>
      <c r="AB251" s="139"/>
      <c r="AC251" s="139"/>
      <c r="AD251" s="16"/>
      <c r="AE251" s="16"/>
      <c r="AF251" s="16"/>
      <c r="AG251" s="139"/>
      <c r="AH251" s="16"/>
      <c r="AI251" s="16"/>
      <c r="AJ251" s="16"/>
      <c r="AK251" s="16"/>
      <c r="AL251" s="16"/>
      <c r="AM251" s="16"/>
      <c r="CU251" s="74"/>
      <c r="CV251" s="75"/>
      <c r="CW251" s="76"/>
      <c r="CX251" s="77"/>
      <c r="CY251" s="77"/>
      <c r="CZ251" s="77"/>
      <c r="DA251" s="77"/>
      <c r="DB251" s="77"/>
      <c r="DC251" s="77"/>
      <c r="DD251" s="77"/>
      <c r="DE251" s="77"/>
      <c r="DF251" s="77"/>
      <c r="DG251" s="77"/>
      <c r="DH251" s="77"/>
      <c r="DI251" s="77"/>
      <c r="DJ251" s="77"/>
      <c r="DK251" s="77"/>
      <c r="DL251" s="77"/>
      <c r="DM251" s="77"/>
      <c r="DN251" s="77"/>
      <c r="DO251" s="77"/>
      <c r="DP251" s="85"/>
    </row>
    <row r="252" spans="2:120" s="1" customFormat="1" ht="16.5" customHeight="1">
      <c r="B252" s="2"/>
      <c r="C252" s="2"/>
      <c r="D252" s="16"/>
      <c r="E252" s="138"/>
      <c r="F252" s="17"/>
      <c r="G252" s="17"/>
      <c r="H252" s="17"/>
      <c r="I252" s="139"/>
      <c r="J252" s="139"/>
      <c r="K252" s="139"/>
      <c r="L252" s="139"/>
      <c r="M252" s="139"/>
      <c r="N252" s="139"/>
      <c r="O252" s="139"/>
      <c r="P252" s="139"/>
      <c r="Q252" s="139"/>
      <c r="R252" s="139"/>
      <c r="S252" s="139"/>
      <c r="T252" s="139"/>
      <c r="U252" s="139"/>
      <c r="V252" s="139"/>
      <c r="W252" s="139"/>
      <c r="X252" s="139"/>
      <c r="Y252" s="139"/>
      <c r="Z252" s="139"/>
      <c r="AA252" s="139"/>
      <c r="AB252" s="139"/>
      <c r="AC252" s="139"/>
      <c r="AD252" s="16"/>
      <c r="AE252" s="16"/>
      <c r="AF252" s="16"/>
      <c r="AG252" s="139"/>
      <c r="AH252" s="16"/>
      <c r="AI252" s="16"/>
      <c r="AJ252" s="16"/>
      <c r="AK252" s="16"/>
      <c r="AL252" s="16"/>
      <c r="AM252" s="16"/>
      <c r="CU252" s="74"/>
      <c r="CV252" s="75"/>
      <c r="CW252" s="76"/>
      <c r="CX252" s="77"/>
      <c r="CY252" s="77"/>
      <c r="CZ252" s="77"/>
      <c r="DA252" s="77"/>
      <c r="DB252" s="77"/>
      <c r="DC252" s="77"/>
      <c r="DD252" s="77"/>
      <c r="DE252" s="77"/>
      <c r="DF252" s="77"/>
      <c r="DG252" s="77"/>
      <c r="DH252" s="77"/>
      <c r="DI252" s="77"/>
      <c r="DJ252" s="77"/>
      <c r="DK252" s="77"/>
      <c r="DL252" s="77"/>
      <c r="DM252" s="77"/>
      <c r="DN252" s="77"/>
      <c r="DO252" s="77"/>
      <c r="DP252" s="85"/>
    </row>
    <row r="253" spans="2:120" s="1" customFormat="1" ht="16.5" customHeight="1">
      <c r="B253" s="2"/>
      <c r="C253" s="2"/>
      <c r="D253" s="16"/>
      <c r="E253" s="138"/>
      <c r="F253" s="17"/>
      <c r="G253" s="17"/>
      <c r="H253" s="17"/>
      <c r="I253" s="139"/>
      <c r="J253" s="139"/>
      <c r="K253" s="139"/>
      <c r="L253" s="139"/>
      <c r="M253" s="139"/>
      <c r="N253" s="139"/>
      <c r="O253" s="139"/>
      <c r="P253" s="139"/>
      <c r="Q253" s="139"/>
      <c r="R253" s="139"/>
      <c r="S253" s="139"/>
      <c r="T253" s="139"/>
      <c r="U253" s="139"/>
      <c r="V253" s="139"/>
      <c r="W253" s="139"/>
      <c r="X253" s="139"/>
      <c r="Y253" s="139"/>
      <c r="Z253" s="139"/>
      <c r="AA253" s="139"/>
      <c r="AB253" s="139"/>
      <c r="AC253" s="139"/>
      <c r="AD253" s="16"/>
      <c r="AE253" s="16"/>
      <c r="AF253" s="16"/>
      <c r="AG253" s="139"/>
      <c r="AH253" s="16"/>
      <c r="AI253" s="16"/>
      <c r="AJ253" s="16"/>
      <c r="AK253" s="16"/>
      <c r="AL253" s="16"/>
      <c r="AM253" s="16"/>
      <c r="CU253" s="74"/>
      <c r="CV253" s="75"/>
      <c r="CW253" s="76"/>
      <c r="CX253" s="77"/>
      <c r="CY253" s="77"/>
      <c r="CZ253" s="77"/>
      <c r="DA253" s="77"/>
      <c r="DB253" s="77"/>
      <c r="DC253" s="77"/>
      <c r="DD253" s="77"/>
      <c r="DE253" s="77"/>
      <c r="DF253" s="77"/>
      <c r="DG253" s="77"/>
      <c r="DH253" s="77"/>
      <c r="DI253" s="77"/>
      <c r="DJ253" s="77"/>
      <c r="DK253" s="77"/>
      <c r="DL253" s="77"/>
      <c r="DM253" s="77"/>
      <c r="DN253" s="77"/>
      <c r="DO253" s="77"/>
      <c r="DP253" s="85"/>
    </row>
    <row r="254" spans="2:120" s="1" customFormat="1" ht="16.5" customHeight="1">
      <c r="B254" s="2"/>
      <c r="C254" s="2"/>
      <c r="D254" s="16"/>
      <c r="E254" s="138"/>
      <c r="F254" s="17"/>
      <c r="G254" s="17"/>
      <c r="H254" s="17"/>
      <c r="I254" s="139"/>
      <c r="J254" s="139"/>
      <c r="K254" s="139"/>
      <c r="L254" s="139"/>
      <c r="M254" s="139"/>
      <c r="N254" s="139"/>
      <c r="O254" s="139"/>
      <c r="P254" s="139"/>
      <c r="Q254" s="139"/>
      <c r="R254" s="139"/>
      <c r="S254" s="139"/>
      <c r="T254" s="139"/>
      <c r="U254" s="139"/>
      <c r="V254" s="139"/>
      <c r="W254" s="139"/>
      <c r="X254" s="139"/>
      <c r="Y254" s="139"/>
      <c r="Z254" s="139"/>
      <c r="AA254" s="139"/>
      <c r="AB254" s="139"/>
      <c r="AC254" s="139"/>
      <c r="AD254" s="16"/>
      <c r="AE254" s="16"/>
      <c r="AF254" s="16"/>
      <c r="AG254" s="139"/>
      <c r="AH254" s="16"/>
      <c r="AI254" s="16"/>
      <c r="AJ254" s="16"/>
      <c r="AK254" s="16"/>
      <c r="AL254" s="16"/>
      <c r="AM254" s="16"/>
      <c r="CU254" s="74"/>
      <c r="CV254" s="75"/>
      <c r="CW254" s="76"/>
      <c r="CX254" s="77"/>
      <c r="CY254" s="77"/>
      <c r="CZ254" s="77"/>
      <c r="DA254" s="77"/>
      <c r="DB254" s="77"/>
      <c r="DC254" s="77"/>
      <c r="DD254" s="77"/>
      <c r="DE254" s="77"/>
      <c r="DF254" s="77"/>
      <c r="DG254" s="77"/>
      <c r="DH254" s="77"/>
      <c r="DI254" s="77"/>
      <c r="DJ254" s="77"/>
      <c r="DK254" s="77"/>
      <c r="DL254" s="77"/>
      <c r="DM254" s="77"/>
      <c r="DN254" s="77"/>
      <c r="DO254" s="77"/>
      <c r="DP254" s="85"/>
    </row>
    <row r="255" spans="2:120" s="1" customFormat="1" ht="16.5" customHeight="1">
      <c r="B255" s="2"/>
      <c r="C255" s="2"/>
      <c r="D255" s="16"/>
      <c r="E255" s="138"/>
      <c r="F255" s="17"/>
      <c r="G255" s="17"/>
      <c r="H255" s="17"/>
      <c r="I255" s="139"/>
      <c r="J255" s="139"/>
      <c r="K255" s="139"/>
      <c r="L255" s="139"/>
      <c r="M255" s="139"/>
      <c r="N255" s="139"/>
      <c r="O255" s="139"/>
      <c r="P255" s="139"/>
      <c r="Q255" s="139"/>
      <c r="R255" s="139"/>
      <c r="S255" s="139"/>
      <c r="T255" s="139"/>
      <c r="U255" s="139"/>
      <c r="V255" s="139"/>
      <c r="W255" s="139"/>
      <c r="X255" s="139"/>
      <c r="Y255" s="139"/>
      <c r="Z255" s="139"/>
      <c r="AA255" s="139"/>
      <c r="AB255" s="139"/>
      <c r="AC255" s="139"/>
      <c r="AD255" s="16"/>
      <c r="AE255" s="16"/>
      <c r="AF255" s="16"/>
      <c r="AG255" s="139"/>
      <c r="AH255" s="16"/>
      <c r="AI255" s="16"/>
      <c r="AJ255" s="16"/>
      <c r="AK255" s="16"/>
      <c r="AL255" s="16"/>
      <c r="AM255" s="16"/>
      <c r="DP255" s="87"/>
    </row>
    <row r="256" spans="2:120" s="1" customFormat="1" ht="16.5" customHeight="1">
      <c r="B256" s="2"/>
      <c r="C256" s="2"/>
      <c r="D256" s="16"/>
      <c r="E256" s="138"/>
      <c r="F256" s="17"/>
      <c r="G256" s="17"/>
      <c r="H256" s="17"/>
      <c r="I256" s="139"/>
      <c r="J256" s="139"/>
      <c r="K256" s="139"/>
      <c r="L256" s="139"/>
      <c r="M256" s="139"/>
      <c r="N256" s="139"/>
      <c r="O256" s="139"/>
      <c r="P256" s="139"/>
      <c r="Q256" s="139"/>
      <c r="R256" s="139"/>
      <c r="S256" s="139"/>
      <c r="T256" s="139"/>
      <c r="U256" s="139"/>
      <c r="V256" s="139"/>
      <c r="W256" s="139"/>
      <c r="X256" s="139"/>
      <c r="Y256" s="139"/>
      <c r="Z256" s="139"/>
      <c r="AA256" s="139"/>
      <c r="AB256" s="139"/>
      <c r="AC256" s="139"/>
      <c r="AD256" s="16"/>
      <c r="AE256" s="16"/>
      <c r="AF256" s="16"/>
      <c r="AG256" s="139"/>
      <c r="AH256" s="16"/>
      <c r="AI256" s="16"/>
      <c r="AJ256" s="16"/>
      <c r="AK256" s="16"/>
      <c r="AL256" s="16"/>
      <c r="AM256" s="16"/>
      <c r="DP256" s="87"/>
    </row>
    <row r="257" spans="2:120" s="1" customFormat="1" ht="16.5" customHeight="1">
      <c r="B257" s="2"/>
      <c r="C257" s="2"/>
      <c r="D257" s="16"/>
      <c r="E257" s="138"/>
      <c r="F257" s="17"/>
      <c r="G257" s="17"/>
      <c r="H257" s="17"/>
      <c r="I257" s="139"/>
      <c r="J257" s="139"/>
      <c r="K257" s="139"/>
      <c r="L257" s="139"/>
      <c r="M257" s="139"/>
      <c r="N257" s="139"/>
      <c r="O257" s="139"/>
      <c r="P257" s="139"/>
      <c r="Q257" s="139"/>
      <c r="R257" s="139"/>
      <c r="S257" s="139"/>
      <c r="T257" s="139"/>
      <c r="U257" s="139"/>
      <c r="V257" s="139"/>
      <c r="W257" s="139"/>
      <c r="X257" s="139"/>
      <c r="Y257" s="139"/>
      <c r="Z257" s="139"/>
      <c r="AA257" s="139"/>
      <c r="AB257" s="139"/>
      <c r="AC257" s="139"/>
      <c r="AD257" s="16"/>
      <c r="AE257" s="16"/>
      <c r="AF257" s="16"/>
      <c r="AG257" s="139"/>
      <c r="AH257" s="16"/>
      <c r="AI257" s="16"/>
      <c r="AJ257" s="16"/>
      <c r="AK257" s="16"/>
      <c r="AL257" s="16"/>
      <c r="AM257" s="16"/>
      <c r="DP257" s="87"/>
    </row>
    <row r="258" spans="2:120" s="1" customFormat="1" ht="16.5" customHeight="1">
      <c r="B258" s="2"/>
      <c r="C258" s="2"/>
      <c r="D258" s="16"/>
      <c r="E258" s="138"/>
      <c r="F258" s="17"/>
      <c r="G258" s="17"/>
      <c r="H258" s="17"/>
      <c r="I258" s="139"/>
      <c r="J258" s="139"/>
      <c r="K258" s="139"/>
      <c r="L258" s="139"/>
      <c r="M258" s="139"/>
      <c r="N258" s="139"/>
      <c r="O258" s="139"/>
      <c r="P258" s="139"/>
      <c r="Q258" s="139"/>
      <c r="R258" s="139"/>
      <c r="S258" s="139"/>
      <c r="T258" s="139"/>
      <c r="U258" s="139"/>
      <c r="V258" s="139"/>
      <c r="W258" s="139"/>
      <c r="X258" s="139"/>
      <c r="Y258" s="139"/>
      <c r="Z258" s="139"/>
      <c r="AA258" s="139"/>
      <c r="AB258" s="139"/>
      <c r="AC258" s="139"/>
      <c r="AD258" s="16"/>
      <c r="AE258" s="16"/>
      <c r="AF258" s="16"/>
      <c r="AG258" s="139"/>
      <c r="AH258" s="16"/>
      <c r="AI258" s="16"/>
      <c r="AJ258" s="16"/>
      <c r="AK258" s="16"/>
      <c r="AL258" s="16"/>
      <c r="AM258" s="16"/>
      <c r="DP258" s="87"/>
    </row>
    <row r="259" spans="2:120" s="1" customFormat="1" ht="16.5" customHeight="1">
      <c r="B259" s="2"/>
      <c r="C259" s="2"/>
      <c r="D259" s="16"/>
      <c r="E259" s="138"/>
      <c r="F259" s="17"/>
      <c r="G259" s="17"/>
      <c r="H259" s="17"/>
      <c r="I259" s="139"/>
      <c r="J259" s="139"/>
      <c r="K259" s="139"/>
      <c r="L259" s="139"/>
      <c r="M259" s="139"/>
      <c r="N259" s="139"/>
      <c r="O259" s="139"/>
      <c r="P259" s="139"/>
      <c r="Q259" s="139"/>
      <c r="R259" s="139"/>
      <c r="S259" s="139"/>
      <c r="T259" s="139"/>
      <c r="U259" s="139"/>
      <c r="V259" s="139"/>
      <c r="W259" s="139"/>
      <c r="X259" s="139"/>
      <c r="Y259" s="139"/>
      <c r="Z259" s="139"/>
      <c r="AA259" s="139"/>
      <c r="AB259" s="139"/>
      <c r="AC259" s="139"/>
      <c r="AD259" s="16"/>
      <c r="AE259" s="16"/>
      <c r="AF259" s="16"/>
      <c r="AG259" s="139"/>
      <c r="AH259" s="16"/>
      <c r="AI259" s="16"/>
      <c r="AJ259" s="16"/>
      <c r="AK259" s="16"/>
      <c r="AL259" s="16"/>
      <c r="AM259" s="16"/>
      <c r="DP259" s="87"/>
    </row>
    <row r="260" spans="2:120" s="1" customFormat="1" ht="16.5" customHeight="1">
      <c r="B260" s="2"/>
      <c r="C260" s="2"/>
      <c r="D260" s="16"/>
      <c r="E260" s="138"/>
      <c r="F260" s="17"/>
      <c r="G260" s="17"/>
      <c r="H260" s="17"/>
      <c r="I260" s="139"/>
      <c r="J260" s="139"/>
      <c r="K260" s="139"/>
      <c r="L260" s="139"/>
      <c r="M260" s="139"/>
      <c r="N260" s="139"/>
      <c r="O260" s="139"/>
      <c r="P260" s="139"/>
      <c r="Q260" s="139"/>
      <c r="R260" s="139"/>
      <c r="S260" s="139"/>
      <c r="T260" s="139"/>
      <c r="U260" s="139"/>
      <c r="V260" s="139"/>
      <c r="W260" s="139"/>
      <c r="X260" s="139"/>
      <c r="Y260" s="139"/>
      <c r="Z260" s="139"/>
      <c r="AA260" s="139"/>
      <c r="AB260" s="139"/>
      <c r="AC260" s="139"/>
      <c r="AD260" s="16"/>
      <c r="AE260" s="16"/>
      <c r="AF260" s="16"/>
      <c r="AG260" s="139"/>
      <c r="AH260" s="16"/>
      <c r="AI260" s="16"/>
      <c r="AJ260" s="16"/>
      <c r="AK260" s="16"/>
      <c r="AL260" s="16"/>
      <c r="AM260" s="16"/>
      <c r="DP260" s="87"/>
    </row>
    <row r="261" spans="2:120" s="1" customFormat="1" ht="16.5" customHeight="1">
      <c r="B261" s="2"/>
      <c r="C261" s="2"/>
      <c r="D261" s="16"/>
      <c r="E261" s="138"/>
      <c r="F261" s="17"/>
      <c r="G261" s="17"/>
      <c r="H261" s="17"/>
      <c r="I261" s="139"/>
      <c r="J261" s="139"/>
      <c r="K261" s="139"/>
      <c r="L261" s="139"/>
      <c r="M261" s="139"/>
      <c r="N261" s="139"/>
      <c r="O261" s="139"/>
      <c r="P261" s="139"/>
      <c r="Q261" s="139"/>
      <c r="R261" s="139"/>
      <c r="S261" s="139"/>
      <c r="T261" s="139"/>
      <c r="U261" s="139"/>
      <c r="V261" s="139"/>
      <c r="W261" s="139"/>
      <c r="X261" s="139"/>
      <c r="Y261" s="139"/>
      <c r="Z261" s="139"/>
      <c r="AA261" s="139"/>
      <c r="AB261" s="139"/>
      <c r="AC261" s="139"/>
      <c r="AD261" s="16"/>
      <c r="AE261" s="16"/>
      <c r="AF261" s="16"/>
      <c r="AG261" s="139"/>
      <c r="AH261" s="16"/>
      <c r="AI261" s="16"/>
      <c r="AJ261" s="16"/>
      <c r="AK261" s="16"/>
      <c r="AL261" s="16"/>
      <c r="AM261" s="16"/>
      <c r="DP261" s="87"/>
    </row>
    <row r="262" spans="2:120" s="1" customFormat="1" ht="16.5" customHeight="1">
      <c r="B262" s="2"/>
      <c r="C262" s="2"/>
      <c r="D262" s="16"/>
      <c r="E262" s="138"/>
      <c r="F262" s="17"/>
      <c r="G262" s="17"/>
      <c r="H262" s="17"/>
      <c r="I262" s="139"/>
      <c r="J262" s="139"/>
      <c r="K262" s="139"/>
      <c r="L262" s="139"/>
      <c r="M262" s="139"/>
      <c r="N262" s="139"/>
      <c r="O262" s="139"/>
      <c r="P262" s="139"/>
      <c r="Q262" s="139"/>
      <c r="R262" s="139"/>
      <c r="S262" s="139"/>
      <c r="T262" s="139"/>
      <c r="U262" s="139"/>
      <c r="V262" s="139"/>
      <c r="W262" s="139"/>
      <c r="X262" s="139"/>
      <c r="Y262" s="139"/>
      <c r="Z262" s="139"/>
      <c r="AA262" s="139"/>
      <c r="AB262" s="139"/>
      <c r="AC262" s="139"/>
      <c r="AD262" s="16"/>
      <c r="AE262" s="16"/>
      <c r="AF262" s="16"/>
      <c r="AG262" s="139"/>
      <c r="AH262" s="16"/>
      <c r="AI262" s="16"/>
      <c r="AJ262" s="16"/>
      <c r="AK262" s="16"/>
      <c r="AL262" s="16"/>
      <c r="AM262" s="16"/>
      <c r="DP262" s="87"/>
    </row>
    <row r="263" spans="2:120" s="1" customFormat="1" ht="16.5" customHeight="1">
      <c r="B263" s="2"/>
      <c r="C263" s="2"/>
      <c r="D263" s="16"/>
      <c r="E263" s="138"/>
      <c r="F263" s="17"/>
      <c r="G263" s="17"/>
      <c r="H263" s="17"/>
      <c r="I263" s="139"/>
      <c r="J263" s="139"/>
      <c r="K263" s="139"/>
      <c r="L263" s="139"/>
      <c r="M263" s="139"/>
      <c r="N263" s="139"/>
      <c r="O263" s="139"/>
      <c r="P263" s="139"/>
      <c r="Q263" s="139"/>
      <c r="R263" s="139"/>
      <c r="S263" s="139"/>
      <c r="T263" s="139"/>
      <c r="U263" s="139"/>
      <c r="V263" s="139"/>
      <c r="W263" s="139"/>
      <c r="X263" s="139"/>
      <c r="Y263" s="139"/>
      <c r="Z263" s="139"/>
      <c r="AA263" s="139"/>
      <c r="AB263" s="139"/>
      <c r="AC263" s="139"/>
      <c r="AD263" s="16"/>
      <c r="AE263" s="16"/>
      <c r="AF263" s="16"/>
      <c r="AG263" s="139"/>
      <c r="AH263" s="16"/>
      <c r="AI263" s="16"/>
      <c r="AJ263" s="16"/>
      <c r="AK263" s="16"/>
      <c r="AL263" s="16"/>
      <c r="AM263" s="16"/>
      <c r="DP263" s="87"/>
    </row>
    <row r="264" spans="2:120" s="1" customFormat="1" ht="16.5" customHeight="1">
      <c r="B264" s="2"/>
      <c r="C264" s="2"/>
      <c r="D264" s="16"/>
      <c r="E264" s="138"/>
      <c r="F264" s="17"/>
      <c r="G264" s="17"/>
      <c r="H264" s="17"/>
      <c r="I264" s="139"/>
      <c r="J264" s="139"/>
      <c r="K264" s="139"/>
      <c r="L264" s="139"/>
      <c r="M264" s="139"/>
      <c r="N264" s="139"/>
      <c r="O264" s="139"/>
      <c r="P264" s="139"/>
      <c r="Q264" s="139"/>
      <c r="R264" s="139"/>
      <c r="S264" s="139"/>
      <c r="T264" s="139"/>
      <c r="U264" s="139"/>
      <c r="V264" s="139"/>
      <c r="W264" s="139"/>
      <c r="X264" s="139"/>
      <c r="Y264" s="139"/>
      <c r="Z264" s="139"/>
      <c r="AA264" s="139"/>
      <c r="AB264" s="139"/>
      <c r="AC264" s="139"/>
      <c r="AD264" s="16"/>
      <c r="AE264" s="16"/>
      <c r="AF264" s="16"/>
      <c r="AG264" s="139"/>
      <c r="AH264" s="16"/>
      <c r="AI264" s="16"/>
      <c r="AJ264" s="16"/>
      <c r="AK264" s="16"/>
      <c r="AL264" s="16"/>
      <c r="AM264" s="16"/>
      <c r="DP264" s="87"/>
    </row>
    <row r="265" spans="2:120" s="1" customFormat="1" ht="16.5" customHeight="1">
      <c r="B265" s="2"/>
      <c r="C265" s="2"/>
      <c r="D265" s="16"/>
      <c r="E265" s="138"/>
      <c r="F265" s="17"/>
      <c r="G265" s="17"/>
      <c r="H265" s="17"/>
      <c r="I265" s="139"/>
      <c r="J265" s="139"/>
      <c r="K265" s="139"/>
      <c r="L265" s="139"/>
      <c r="M265" s="139"/>
      <c r="N265" s="139"/>
      <c r="O265" s="139"/>
      <c r="P265" s="139"/>
      <c r="Q265" s="139"/>
      <c r="R265" s="139"/>
      <c r="S265" s="139"/>
      <c r="T265" s="139"/>
      <c r="U265" s="139"/>
      <c r="V265" s="139"/>
      <c r="W265" s="139"/>
      <c r="X265" s="139"/>
      <c r="Y265" s="139"/>
      <c r="Z265" s="139"/>
      <c r="AA265" s="139"/>
      <c r="AB265" s="139"/>
      <c r="AC265" s="139"/>
      <c r="AD265" s="16"/>
      <c r="AE265" s="16"/>
      <c r="AF265" s="16"/>
      <c r="AG265" s="139"/>
      <c r="AH265" s="16"/>
      <c r="AI265" s="16"/>
      <c r="AJ265" s="16"/>
      <c r="AK265" s="16"/>
      <c r="AL265" s="16"/>
      <c r="AM265" s="16"/>
      <c r="DP265" s="87"/>
    </row>
    <row r="266" spans="2:120" s="1" customFormat="1" ht="16.5" customHeight="1">
      <c r="B266" s="2"/>
      <c r="C266" s="2"/>
      <c r="D266" s="16"/>
      <c r="E266" s="138"/>
      <c r="F266" s="17"/>
      <c r="G266" s="17"/>
      <c r="H266" s="17"/>
      <c r="I266" s="139"/>
      <c r="J266" s="139"/>
      <c r="K266" s="139"/>
      <c r="L266" s="139"/>
      <c r="M266" s="139"/>
      <c r="N266" s="139"/>
      <c r="O266" s="139"/>
      <c r="P266" s="139"/>
      <c r="Q266" s="139"/>
      <c r="R266" s="139"/>
      <c r="S266" s="139"/>
      <c r="T266" s="139"/>
      <c r="U266" s="139"/>
      <c r="V266" s="139"/>
      <c r="W266" s="139"/>
      <c r="X266" s="139"/>
      <c r="Y266" s="139"/>
      <c r="Z266" s="139"/>
      <c r="AA266" s="139"/>
      <c r="AB266" s="139"/>
      <c r="AC266" s="139"/>
      <c r="AD266" s="16"/>
      <c r="AE266" s="16"/>
      <c r="AF266" s="16"/>
      <c r="AG266" s="139"/>
      <c r="AH266" s="16"/>
      <c r="AI266" s="16"/>
      <c r="AJ266" s="16"/>
      <c r="AK266" s="16"/>
      <c r="AL266" s="16"/>
      <c r="AM266" s="16"/>
      <c r="DP266" s="87"/>
    </row>
    <row r="267" spans="2:120" s="1" customFormat="1" ht="16.5" customHeight="1">
      <c r="B267" s="2"/>
      <c r="C267" s="2"/>
      <c r="D267" s="16"/>
      <c r="E267" s="138"/>
      <c r="F267" s="17"/>
      <c r="G267" s="17"/>
      <c r="H267" s="17"/>
      <c r="I267" s="139"/>
      <c r="J267" s="139"/>
      <c r="K267" s="139"/>
      <c r="L267" s="139"/>
      <c r="M267" s="139"/>
      <c r="N267" s="139"/>
      <c r="O267" s="139"/>
      <c r="P267" s="139"/>
      <c r="Q267" s="139"/>
      <c r="R267" s="139"/>
      <c r="S267" s="139"/>
      <c r="T267" s="139"/>
      <c r="U267" s="139"/>
      <c r="V267" s="139"/>
      <c r="W267" s="139"/>
      <c r="X267" s="139"/>
      <c r="Y267" s="139"/>
      <c r="Z267" s="139"/>
      <c r="AA267" s="139"/>
      <c r="AB267" s="139"/>
      <c r="AC267" s="139"/>
      <c r="AD267" s="16"/>
      <c r="AE267" s="16"/>
      <c r="AF267" s="16"/>
      <c r="AG267" s="139"/>
      <c r="AH267" s="16"/>
      <c r="AI267" s="16"/>
      <c r="AJ267" s="16"/>
      <c r="AK267" s="16"/>
      <c r="AL267" s="16"/>
      <c r="AM267" s="16"/>
      <c r="DP267" s="87"/>
    </row>
    <row r="268" spans="2:120" s="1" customFormat="1" ht="16.5" customHeight="1">
      <c r="B268" s="2"/>
      <c r="C268" s="2"/>
      <c r="D268" s="16"/>
      <c r="E268" s="138"/>
      <c r="F268" s="17"/>
      <c r="G268" s="17"/>
      <c r="H268" s="17"/>
      <c r="I268" s="139"/>
      <c r="J268" s="139"/>
      <c r="K268" s="139"/>
      <c r="L268" s="139"/>
      <c r="M268" s="139"/>
      <c r="N268" s="139"/>
      <c r="O268" s="139"/>
      <c r="P268" s="139"/>
      <c r="Q268" s="139"/>
      <c r="R268" s="139"/>
      <c r="S268" s="139"/>
      <c r="T268" s="139"/>
      <c r="U268" s="139"/>
      <c r="V268" s="139"/>
      <c r="W268" s="139"/>
      <c r="X268" s="139"/>
      <c r="Y268" s="139"/>
      <c r="Z268" s="139"/>
      <c r="AA268" s="139"/>
      <c r="AB268" s="139"/>
      <c r="AC268" s="139"/>
      <c r="AD268" s="16"/>
      <c r="AE268" s="16"/>
      <c r="AF268" s="16"/>
      <c r="AG268" s="139"/>
      <c r="AH268" s="16"/>
      <c r="AI268" s="16"/>
      <c r="AJ268" s="16"/>
      <c r="AK268" s="16"/>
      <c r="AL268" s="16"/>
      <c r="AM268" s="16"/>
      <c r="DP268" s="87"/>
    </row>
    <row r="269" spans="2:120" s="1" customFormat="1" ht="16.5" customHeight="1">
      <c r="B269" s="2"/>
      <c r="C269" s="2"/>
      <c r="D269" s="16"/>
      <c r="E269" s="138"/>
      <c r="F269" s="17"/>
      <c r="G269" s="17"/>
      <c r="H269" s="17"/>
      <c r="I269" s="139"/>
      <c r="J269" s="139"/>
      <c r="K269" s="139"/>
      <c r="L269" s="139"/>
      <c r="M269" s="139"/>
      <c r="N269" s="139"/>
      <c r="O269" s="139"/>
      <c r="P269" s="139"/>
      <c r="Q269" s="139"/>
      <c r="R269" s="139"/>
      <c r="S269" s="139"/>
      <c r="T269" s="139"/>
      <c r="U269" s="139"/>
      <c r="V269" s="139"/>
      <c r="W269" s="139"/>
      <c r="X269" s="139"/>
      <c r="Y269" s="139"/>
      <c r="Z269" s="139"/>
      <c r="AA269" s="139"/>
      <c r="AB269" s="139"/>
      <c r="AC269" s="139"/>
      <c r="AD269" s="16"/>
      <c r="AE269" s="16"/>
      <c r="AF269" s="16"/>
      <c r="AG269" s="139"/>
      <c r="AH269" s="16"/>
      <c r="AI269" s="16"/>
      <c r="AJ269" s="16"/>
      <c r="AK269" s="16"/>
      <c r="AL269" s="16"/>
      <c r="AM269" s="16"/>
      <c r="DP269" s="87"/>
    </row>
    <row r="270" spans="2:120" s="1" customFormat="1" ht="16.5" customHeight="1">
      <c r="B270" s="2"/>
      <c r="C270" s="2"/>
      <c r="D270" s="16"/>
      <c r="E270" s="138"/>
      <c r="F270" s="17"/>
      <c r="G270" s="17"/>
      <c r="H270" s="17"/>
      <c r="I270" s="139"/>
      <c r="J270" s="139"/>
      <c r="K270" s="139"/>
      <c r="L270" s="139"/>
      <c r="M270" s="139"/>
      <c r="N270" s="139"/>
      <c r="O270" s="139"/>
      <c r="P270" s="139"/>
      <c r="Q270" s="139"/>
      <c r="R270" s="139"/>
      <c r="S270" s="139"/>
      <c r="T270" s="139"/>
      <c r="U270" s="139"/>
      <c r="V270" s="139"/>
      <c r="W270" s="139"/>
      <c r="X270" s="139"/>
      <c r="Y270" s="139"/>
      <c r="Z270" s="139"/>
      <c r="AA270" s="139"/>
      <c r="AB270" s="139"/>
      <c r="AC270" s="139"/>
      <c r="AD270" s="16"/>
      <c r="AE270" s="16"/>
      <c r="AF270" s="16"/>
      <c r="AG270" s="139"/>
      <c r="AH270" s="16"/>
      <c r="AI270" s="16"/>
      <c r="AJ270" s="16"/>
      <c r="AK270" s="16"/>
      <c r="AL270" s="16"/>
      <c r="AM270" s="16"/>
      <c r="DP270" s="87"/>
    </row>
    <row r="271" spans="2:120" s="1" customFormat="1" ht="16.5" customHeight="1">
      <c r="B271" s="2"/>
      <c r="C271" s="2"/>
      <c r="D271" s="16"/>
      <c r="E271" s="138"/>
      <c r="F271" s="17"/>
      <c r="G271" s="17"/>
      <c r="H271" s="17"/>
      <c r="I271" s="139"/>
      <c r="J271" s="139"/>
      <c r="K271" s="139"/>
      <c r="L271" s="139"/>
      <c r="M271" s="139"/>
      <c r="N271" s="139"/>
      <c r="O271" s="139"/>
      <c r="P271" s="139"/>
      <c r="Q271" s="139"/>
      <c r="R271" s="139"/>
      <c r="S271" s="139"/>
      <c r="T271" s="139"/>
      <c r="U271" s="139"/>
      <c r="V271" s="139"/>
      <c r="W271" s="139"/>
      <c r="X271" s="139"/>
      <c r="Y271" s="139"/>
      <c r="Z271" s="139"/>
      <c r="AA271" s="139"/>
      <c r="AB271" s="139"/>
      <c r="AC271" s="139"/>
      <c r="AD271" s="16"/>
      <c r="AE271" s="16"/>
      <c r="AF271" s="16"/>
      <c r="AG271" s="139"/>
      <c r="AH271" s="16"/>
      <c r="AI271" s="16"/>
      <c r="AJ271" s="16"/>
      <c r="AK271" s="16"/>
      <c r="AL271" s="16"/>
      <c r="AM271" s="16"/>
      <c r="DP271" s="87"/>
    </row>
    <row r="272" spans="2:120" s="1" customFormat="1" ht="16.5" customHeight="1">
      <c r="B272" s="2"/>
      <c r="C272" s="2"/>
      <c r="D272" s="16"/>
      <c r="E272" s="138"/>
      <c r="F272" s="17"/>
      <c r="G272" s="17"/>
      <c r="H272" s="17"/>
      <c r="I272" s="139"/>
      <c r="J272" s="139"/>
      <c r="K272" s="139"/>
      <c r="L272" s="139"/>
      <c r="M272" s="139"/>
      <c r="N272" s="139"/>
      <c r="O272" s="139"/>
      <c r="P272" s="139"/>
      <c r="Q272" s="139"/>
      <c r="R272" s="139"/>
      <c r="S272" s="139"/>
      <c r="T272" s="139"/>
      <c r="U272" s="139"/>
      <c r="V272" s="139"/>
      <c r="W272" s="139"/>
      <c r="X272" s="139"/>
      <c r="Y272" s="139"/>
      <c r="Z272" s="139"/>
      <c r="AA272" s="139"/>
      <c r="AB272" s="139"/>
      <c r="AC272" s="139"/>
      <c r="AD272" s="16"/>
      <c r="AE272" s="16"/>
      <c r="AF272" s="16"/>
      <c r="AG272" s="139"/>
      <c r="AH272" s="16"/>
      <c r="AI272" s="16"/>
      <c r="AJ272" s="16"/>
      <c r="AK272" s="16"/>
      <c r="AL272" s="16"/>
      <c r="AM272" s="16"/>
      <c r="DP272" s="87"/>
    </row>
    <row r="273" spans="2:120" s="1" customFormat="1" ht="16.5" customHeight="1">
      <c r="B273" s="2"/>
      <c r="C273" s="2"/>
      <c r="D273" s="16"/>
      <c r="E273" s="138"/>
      <c r="F273" s="17"/>
      <c r="G273" s="17"/>
      <c r="H273" s="17"/>
      <c r="I273" s="139"/>
      <c r="J273" s="139"/>
      <c r="K273" s="139"/>
      <c r="L273" s="139"/>
      <c r="M273" s="139"/>
      <c r="N273" s="139"/>
      <c r="O273" s="139"/>
      <c r="P273" s="139"/>
      <c r="Q273" s="139"/>
      <c r="R273" s="139"/>
      <c r="S273" s="139"/>
      <c r="T273" s="139"/>
      <c r="U273" s="139"/>
      <c r="V273" s="139"/>
      <c r="W273" s="139"/>
      <c r="X273" s="139"/>
      <c r="Y273" s="139"/>
      <c r="Z273" s="139"/>
      <c r="AA273" s="139"/>
      <c r="AB273" s="139"/>
      <c r="AC273" s="139"/>
      <c r="AD273" s="16"/>
      <c r="AE273" s="16"/>
      <c r="AF273" s="16"/>
      <c r="AG273" s="139"/>
      <c r="AH273" s="16"/>
      <c r="AI273" s="16"/>
      <c r="AJ273" s="16"/>
      <c r="AK273" s="16"/>
      <c r="AL273" s="16"/>
      <c r="AM273" s="16"/>
      <c r="DP273" s="87"/>
    </row>
    <row r="274" spans="2:120" s="1" customFormat="1" ht="16.5" customHeight="1">
      <c r="B274" s="2"/>
      <c r="C274" s="2"/>
      <c r="D274" s="16"/>
      <c r="E274" s="138"/>
      <c r="F274" s="17"/>
      <c r="G274" s="17"/>
      <c r="H274" s="17"/>
      <c r="I274" s="139"/>
      <c r="J274" s="139"/>
      <c r="K274" s="139"/>
      <c r="L274" s="139"/>
      <c r="M274" s="139"/>
      <c r="N274" s="139"/>
      <c r="O274" s="139"/>
      <c r="P274" s="139"/>
      <c r="Q274" s="139"/>
      <c r="R274" s="139"/>
      <c r="S274" s="139"/>
      <c r="T274" s="139"/>
      <c r="U274" s="139"/>
      <c r="V274" s="139"/>
      <c r="W274" s="139"/>
      <c r="X274" s="139"/>
      <c r="Y274" s="139"/>
      <c r="Z274" s="139"/>
      <c r="AA274" s="139"/>
      <c r="AB274" s="139"/>
      <c r="AC274" s="139"/>
      <c r="AD274" s="16"/>
      <c r="AE274" s="16"/>
      <c r="AF274" s="16"/>
      <c r="AG274" s="139"/>
      <c r="AH274" s="16"/>
      <c r="AI274" s="16"/>
      <c r="AJ274" s="16"/>
      <c r="AK274" s="16"/>
      <c r="AL274" s="16"/>
      <c r="AM274" s="16"/>
      <c r="DP274" s="87"/>
    </row>
    <row r="275" spans="2:120" s="1" customFormat="1" ht="16.5" customHeight="1">
      <c r="B275" s="2"/>
      <c r="C275" s="2"/>
      <c r="D275" s="16"/>
      <c r="E275" s="138"/>
      <c r="F275" s="17"/>
      <c r="G275" s="17"/>
      <c r="H275" s="17"/>
      <c r="I275" s="139"/>
      <c r="J275" s="139"/>
      <c r="K275" s="139"/>
      <c r="L275" s="139"/>
      <c r="M275" s="139"/>
      <c r="N275" s="139"/>
      <c r="O275" s="139"/>
      <c r="P275" s="139"/>
      <c r="Q275" s="139"/>
      <c r="R275" s="139"/>
      <c r="S275" s="139"/>
      <c r="T275" s="139"/>
      <c r="U275" s="139"/>
      <c r="V275" s="139"/>
      <c r="W275" s="139"/>
      <c r="X275" s="139"/>
      <c r="Y275" s="139"/>
      <c r="Z275" s="139"/>
      <c r="AA275" s="139"/>
      <c r="AB275" s="139"/>
      <c r="AC275" s="139"/>
      <c r="AD275" s="16"/>
      <c r="AE275" s="16"/>
      <c r="AF275" s="16"/>
      <c r="AG275" s="139"/>
      <c r="AH275" s="16"/>
      <c r="AI275" s="16"/>
      <c r="AJ275" s="16"/>
      <c r="AK275" s="16"/>
      <c r="AL275" s="16"/>
      <c r="AM275" s="16"/>
      <c r="DP275" s="87"/>
    </row>
    <row r="276" spans="2:120" s="1" customFormat="1" ht="16.5" customHeight="1">
      <c r="B276" s="2"/>
      <c r="C276" s="2"/>
      <c r="D276" s="16"/>
      <c r="E276" s="138"/>
      <c r="F276" s="17"/>
      <c r="G276" s="17"/>
      <c r="H276" s="17"/>
      <c r="I276" s="139"/>
      <c r="J276" s="139"/>
      <c r="K276" s="139"/>
      <c r="L276" s="139"/>
      <c r="M276" s="139"/>
      <c r="N276" s="139"/>
      <c r="O276" s="139"/>
      <c r="P276" s="139"/>
      <c r="Q276" s="139"/>
      <c r="R276" s="139"/>
      <c r="S276" s="139"/>
      <c r="T276" s="139"/>
      <c r="U276" s="139"/>
      <c r="V276" s="139"/>
      <c r="W276" s="139"/>
      <c r="X276" s="139"/>
      <c r="Y276" s="139"/>
      <c r="Z276" s="139"/>
      <c r="AA276" s="139"/>
      <c r="AB276" s="139"/>
      <c r="AC276" s="139"/>
      <c r="AD276" s="16"/>
      <c r="AE276" s="16"/>
      <c r="AF276" s="16"/>
      <c r="AG276" s="139"/>
      <c r="AH276" s="16"/>
      <c r="AI276" s="16"/>
      <c r="AJ276" s="16"/>
      <c r="AK276" s="16"/>
      <c r="AL276" s="16"/>
      <c r="AM276" s="16"/>
      <c r="DP276" s="87"/>
    </row>
    <row r="277" spans="2:120" s="1" customFormat="1" ht="16.5" customHeight="1">
      <c r="B277" s="2"/>
      <c r="C277" s="2"/>
      <c r="D277" s="16"/>
      <c r="E277" s="138"/>
      <c r="F277" s="17"/>
      <c r="G277" s="17"/>
      <c r="H277" s="17"/>
      <c r="I277" s="139"/>
      <c r="J277" s="139"/>
      <c r="K277" s="139"/>
      <c r="L277" s="139"/>
      <c r="M277" s="139"/>
      <c r="N277" s="139"/>
      <c r="O277" s="139"/>
      <c r="P277" s="139"/>
      <c r="Q277" s="139"/>
      <c r="R277" s="139"/>
      <c r="S277" s="139"/>
      <c r="T277" s="139"/>
      <c r="U277" s="139"/>
      <c r="V277" s="139"/>
      <c r="W277" s="139"/>
      <c r="X277" s="139"/>
      <c r="Y277" s="139"/>
      <c r="Z277" s="139"/>
      <c r="AA277" s="139"/>
      <c r="AB277" s="139"/>
      <c r="AC277" s="139"/>
      <c r="AD277" s="16"/>
      <c r="AE277" s="16"/>
      <c r="AF277" s="16"/>
      <c r="AG277" s="139"/>
      <c r="AH277" s="16"/>
      <c r="AI277" s="16"/>
      <c r="AJ277" s="16"/>
      <c r="AK277" s="16"/>
      <c r="AL277" s="16"/>
      <c r="AM277" s="16"/>
      <c r="DP277" s="87"/>
    </row>
    <row r="278" spans="2:120" s="1" customFormat="1" ht="16.5" customHeight="1">
      <c r="B278" s="2"/>
      <c r="C278" s="2"/>
      <c r="D278" s="16"/>
      <c r="E278" s="138"/>
      <c r="F278" s="17"/>
      <c r="G278" s="17"/>
      <c r="H278" s="17"/>
      <c r="I278" s="139"/>
      <c r="J278" s="139"/>
      <c r="K278" s="139"/>
      <c r="L278" s="139"/>
      <c r="M278" s="139"/>
      <c r="N278" s="139"/>
      <c r="O278" s="139"/>
      <c r="P278" s="139"/>
      <c r="Q278" s="139"/>
      <c r="R278" s="139"/>
      <c r="S278" s="139"/>
      <c r="T278" s="139"/>
      <c r="U278" s="139"/>
      <c r="V278" s="139"/>
      <c r="W278" s="139"/>
      <c r="X278" s="139"/>
      <c r="Y278" s="139"/>
      <c r="Z278" s="139"/>
      <c r="AA278" s="139"/>
      <c r="AB278" s="139"/>
      <c r="AC278" s="139"/>
      <c r="AD278" s="16"/>
      <c r="AE278" s="16"/>
      <c r="AF278" s="16"/>
      <c r="AG278" s="139"/>
      <c r="AH278" s="16"/>
      <c r="AI278" s="16"/>
      <c r="AJ278" s="16"/>
      <c r="AK278" s="16"/>
      <c r="AL278" s="16"/>
      <c r="AM278" s="16"/>
      <c r="DP278" s="87"/>
    </row>
    <row r="279" spans="2:120" s="1" customFormat="1" ht="16.5" customHeight="1">
      <c r="B279" s="2"/>
      <c r="C279" s="2"/>
      <c r="D279" s="16"/>
      <c r="E279" s="138"/>
      <c r="F279" s="17"/>
      <c r="G279" s="17"/>
      <c r="H279" s="17"/>
      <c r="I279" s="139"/>
      <c r="J279" s="139"/>
      <c r="K279" s="139"/>
      <c r="L279" s="139"/>
      <c r="M279" s="139"/>
      <c r="N279" s="139"/>
      <c r="O279" s="139"/>
      <c r="P279" s="139"/>
      <c r="Q279" s="139"/>
      <c r="R279" s="139"/>
      <c r="S279" s="139"/>
      <c r="T279" s="139"/>
      <c r="U279" s="139"/>
      <c r="V279" s="139"/>
      <c r="W279" s="139"/>
      <c r="X279" s="139"/>
      <c r="Y279" s="139"/>
      <c r="Z279" s="139"/>
      <c r="AA279" s="139"/>
      <c r="AB279" s="139"/>
      <c r="AC279" s="139"/>
      <c r="AD279" s="16"/>
      <c r="AE279" s="16"/>
      <c r="AF279" s="16"/>
      <c r="AG279" s="139"/>
      <c r="AH279" s="16"/>
      <c r="AI279" s="16"/>
      <c r="AJ279" s="16"/>
      <c r="AK279" s="16"/>
      <c r="AL279" s="16"/>
      <c r="AM279" s="16"/>
      <c r="DP279" s="87"/>
    </row>
    <row r="280" spans="2:120" s="1" customFormat="1" ht="16.5" customHeight="1">
      <c r="B280" s="2"/>
      <c r="C280" s="2"/>
      <c r="D280" s="16"/>
      <c r="E280" s="138"/>
      <c r="F280" s="17"/>
      <c r="G280" s="17"/>
      <c r="H280" s="17"/>
      <c r="I280" s="139"/>
      <c r="J280" s="139"/>
      <c r="K280" s="139"/>
      <c r="L280" s="139"/>
      <c r="M280" s="139"/>
      <c r="N280" s="139"/>
      <c r="O280" s="139"/>
      <c r="P280" s="139"/>
      <c r="Q280" s="139"/>
      <c r="R280" s="139"/>
      <c r="S280" s="139"/>
      <c r="T280" s="139"/>
      <c r="U280" s="139"/>
      <c r="V280" s="139"/>
      <c r="W280" s="139"/>
      <c r="X280" s="139"/>
      <c r="Y280" s="139"/>
      <c r="Z280" s="139"/>
      <c r="AA280" s="139"/>
      <c r="AB280" s="139"/>
      <c r="AC280" s="139"/>
      <c r="AD280" s="16"/>
      <c r="AE280" s="16"/>
      <c r="AF280" s="16"/>
      <c r="AG280" s="139"/>
      <c r="AH280" s="16"/>
      <c r="AI280" s="16"/>
      <c r="AJ280" s="16"/>
      <c r="AK280" s="16"/>
      <c r="AL280" s="16"/>
      <c r="AM280" s="16"/>
      <c r="DP280" s="87"/>
    </row>
    <row r="281" spans="2:120" s="1" customFormat="1" ht="16.5" customHeight="1">
      <c r="B281" s="2"/>
      <c r="C281" s="2"/>
      <c r="D281" s="16"/>
      <c r="E281" s="138"/>
      <c r="F281" s="17"/>
      <c r="G281" s="17"/>
      <c r="H281" s="17"/>
      <c r="I281" s="139"/>
      <c r="J281" s="139"/>
      <c r="K281" s="139"/>
      <c r="L281" s="139"/>
      <c r="M281" s="139"/>
      <c r="N281" s="139"/>
      <c r="O281" s="139"/>
      <c r="P281" s="139"/>
      <c r="Q281" s="139"/>
      <c r="R281" s="139"/>
      <c r="S281" s="139"/>
      <c r="T281" s="139"/>
      <c r="U281" s="139"/>
      <c r="V281" s="139"/>
      <c r="W281" s="139"/>
      <c r="X281" s="139"/>
      <c r="Y281" s="139"/>
      <c r="Z281" s="139"/>
      <c r="AA281" s="139"/>
      <c r="AB281" s="139"/>
      <c r="AC281" s="139"/>
      <c r="AD281" s="16"/>
      <c r="AE281" s="16"/>
      <c r="AF281" s="16"/>
      <c r="AG281" s="139"/>
      <c r="AH281" s="16"/>
      <c r="AI281" s="16"/>
      <c r="AJ281" s="16"/>
      <c r="AK281" s="16"/>
      <c r="AL281" s="16"/>
      <c r="AM281" s="16"/>
      <c r="DP281" s="87"/>
    </row>
    <row r="282" spans="2:120" s="1" customFormat="1" ht="16.5" customHeight="1">
      <c r="B282" s="2"/>
      <c r="C282" s="2"/>
      <c r="D282" s="16"/>
      <c r="E282" s="138"/>
      <c r="F282" s="17"/>
      <c r="G282" s="17"/>
      <c r="H282" s="17"/>
      <c r="I282" s="139"/>
      <c r="J282" s="139"/>
      <c r="K282" s="139"/>
      <c r="L282" s="139"/>
      <c r="M282" s="139"/>
      <c r="N282" s="139"/>
      <c r="O282" s="139"/>
      <c r="P282" s="139"/>
      <c r="Q282" s="139"/>
      <c r="R282" s="139"/>
      <c r="S282" s="139"/>
      <c r="T282" s="139"/>
      <c r="U282" s="139"/>
      <c r="V282" s="139"/>
      <c r="W282" s="139"/>
      <c r="X282" s="139"/>
      <c r="Y282" s="139"/>
      <c r="Z282" s="139"/>
      <c r="AA282" s="139"/>
      <c r="AB282" s="139"/>
      <c r="AC282" s="139"/>
      <c r="AD282" s="16"/>
      <c r="AE282" s="16"/>
      <c r="AF282" s="16"/>
      <c r="AG282" s="139"/>
      <c r="AH282" s="16"/>
      <c r="AI282" s="16"/>
      <c r="AJ282" s="16"/>
      <c r="AK282" s="16"/>
      <c r="AL282" s="16"/>
      <c r="AM282" s="16"/>
      <c r="DP282" s="87"/>
    </row>
    <row r="283" spans="2:120" s="1" customFormat="1" ht="16.5" customHeight="1">
      <c r="B283" s="2"/>
      <c r="C283" s="2"/>
      <c r="D283" s="16"/>
      <c r="E283" s="138"/>
      <c r="F283" s="17"/>
      <c r="G283" s="17"/>
      <c r="H283" s="17"/>
      <c r="I283" s="139"/>
      <c r="J283" s="139"/>
      <c r="K283" s="139"/>
      <c r="L283" s="139"/>
      <c r="M283" s="139"/>
      <c r="N283" s="139"/>
      <c r="O283" s="139"/>
      <c r="P283" s="139"/>
      <c r="Q283" s="139"/>
      <c r="R283" s="139"/>
      <c r="S283" s="139"/>
      <c r="T283" s="139"/>
      <c r="U283" s="139"/>
      <c r="V283" s="139"/>
      <c r="W283" s="139"/>
      <c r="X283" s="139"/>
      <c r="Y283" s="139"/>
      <c r="Z283" s="139"/>
      <c r="AA283" s="139"/>
      <c r="AB283" s="139"/>
      <c r="AC283" s="139"/>
      <c r="AD283" s="16"/>
      <c r="AE283" s="16"/>
      <c r="AF283" s="16"/>
      <c r="AG283" s="139"/>
      <c r="AH283" s="16"/>
      <c r="AI283" s="16"/>
      <c r="AJ283" s="16"/>
      <c r="AK283" s="16"/>
      <c r="AL283" s="16"/>
      <c r="AM283" s="16"/>
      <c r="DP283" s="87"/>
    </row>
    <row r="284" spans="2:120" s="1" customFormat="1" ht="16.5" customHeight="1">
      <c r="B284" s="2"/>
      <c r="C284" s="2"/>
      <c r="D284" s="16"/>
      <c r="E284" s="138"/>
      <c r="F284" s="17"/>
      <c r="G284" s="17"/>
      <c r="H284" s="17"/>
      <c r="I284" s="139"/>
      <c r="J284" s="139"/>
      <c r="K284" s="139"/>
      <c r="L284" s="139"/>
      <c r="M284" s="139"/>
      <c r="N284" s="139"/>
      <c r="O284" s="139"/>
      <c r="P284" s="139"/>
      <c r="Q284" s="139"/>
      <c r="R284" s="139"/>
      <c r="S284" s="139"/>
      <c r="T284" s="139"/>
      <c r="U284" s="139"/>
      <c r="V284" s="139"/>
      <c r="W284" s="139"/>
      <c r="X284" s="139"/>
      <c r="Y284" s="139"/>
      <c r="Z284" s="139"/>
      <c r="AA284" s="139"/>
      <c r="AB284" s="139"/>
      <c r="AC284" s="139"/>
      <c r="AD284" s="16"/>
      <c r="AE284" s="16"/>
      <c r="AF284" s="16"/>
      <c r="AG284" s="139"/>
      <c r="AH284" s="16"/>
      <c r="AI284" s="16"/>
      <c r="AJ284" s="16"/>
      <c r="AK284" s="16"/>
      <c r="AL284" s="16"/>
      <c r="AM284" s="16"/>
      <c r="DP284" s="87"/>
    </row>
    <row r="285" spans="2:120" s="1" customFormat="1" ht="16.5" customHeight="1">
      <c r="B285" s="2"/>
      <c r="C285" s="2"/>
      <c r="D285" s="16"/>
      <c r="E285" s="138"/>
      <c r="F285" s="17"/>
      <c r="G285" s="17"/>
      <c r="H285" s="17"/>
      <c r="I285" s="139"/>
      <c r="J285" s="139"/>
      <c r="K285" s="139"/>
      <c r="L285" s="139"/>
      <c r="M285" s="139"/>
      <c r="N285" s="139"/>
      <c r="O285" s="139"/>
      <c r="P285" s="139"/>
      <c r="Q285" s="139"/>
      <c r="R285" s="139"/>
      <c r="S285" s="139"/>
      <c r="T285" s="139"/>
      <c r="U285" s="139"/>
      <c r="V285" s="139"/>
      <c r="W285" s="139"/>
      <c r="X285" s="139"/>
      <c r="Y285" s="139"/>
      <c r="Z285" s="139"/>
      <c r="AA285" s="139"/>
      <c r="AB285" s="139"/>
      <c r="AC285" s="139"/>
      <c r="AD285" s="16"/>
      <c r="AE285" s="16"/>
      <c r="AF285" s="16"/>
      <c r="AG285" s="139"/>
      <c r="AH285" s="16"/>
      <c r="AI285" s="16"/>
      <c r="AJ285" s="16"/>
      <c r="AK285" s="16"/>
      <c r="AL285" s="16"/>
      <c r="AM285" s="16"/>
      <c r="DP285" s="87"/>
    </row>
    <row r="286" spans="2:120" s="1" customFormat="1" ht="16.5" customHeight="1">
      <c r="B286" s="2"/>
      <c r="C286" s="2"/>
      <c r="D286" s="16"/>
      <c r="E286" s="138"/>
      <c r="F286" s="17"/>
      <c r="G286" s="17"/>
      <c r="H286" s="17"/>
      <c r="I286" s="139"/>
      <c r="J286" s="139"/>
      <c r="K286" s="139"/>
      <c r="L286" s="139"/>
      <c r="M286" s="139"/>
      <c r="N286" s="139"/>
      <c r="O286" s="139"/>
      <c r="P286" s="139"/>
      <c r="Q286" s="139"/>
      <c r="R286" s="139"/>
      <c r="S286" s="139"/>
      <c r="T286" s="139"/>
      <c r="U286" s="139"/>
      <c r="V286" s="139"/>
      <c r="W286" s="139"/>
      <c r="X286" s="139"/>
      <c r="Y286" s="139"/>
      <c r="Z286" s="139"/>
      <c r="AA286" s="139"/>
      <c r="AB286" s="139"/>
      <c r="AC286" s="139"/>
      <c r="AD286" s="16"/>
      <c r="AE286" s="16"/>
      <c r="AF286" s="16"/>
      <c r="AG286" s="139"/>
      <c r="AH286" s="16"/>
      <c r="AI286" s="16"/>
      <c r="AJ286" s="16"/>
      <c r="AK286" s="16"/>
      <c r="AL286" s="16"/>
      <c r="AM286" s="16"/>
      <c r="DP286" s="87"/>
    </row>
    <row r="287" spans="2:120" s="1" customFormat="1" ht="16.5" customHeight="1">
      <c r="B287" s="2"/>
      <c r="C287" s="2"/>
      <c r="D287" s="16"/>
      <c r="E287" s="138"/>
      <c r="F287" s="17"/>
      <c r="G287" s="17"/>
      <c r="H287" s="17"/>
      <c r="I287" s="139"/>
      <c r="J287" s="139"/>
      <c r="K287" s="139"/>
      <c r="L287" s="139"/>
      <c r="M287" s="139"/>
      <c r="N287" s="139"/>
      <c r="O287" s="139"/>
      <c r="P287" s="139"/>
      <c r="Q287" s="139"/>
      <c r="R287" s="139"/>
      <c r="S287" s="139"/>
      <c r="T287" s="139"/>
      <c r="U287" s="139"/>
      <c r="V287" s="139"/>
      <c r="W287" s="139"/>
      <c r="X287" s="139"/>
      <c r="Y287" s="139"/>
      <c r="Z287" s="139"/>
      <c r="AA287" s="139"/>
      <c r="AB287" s="139"/>
      <c r="AC287" s="139"/>
      <c r="AD287" s="16"/>
      <c r="AE287" s="16"/>
      <c r="AF287" s="16"/>
      <c r="AG287" s="139"/>
      <c r="AH287" s="16"/>
      <c r="AI287" s="16"/>
      <c r="AJ287" s="16"/>
      <c r="AK287" s="16"/>
      <c r="AL287" s="16"/>
      <c r="AM287" s="16"/>
      <c r="DP287" s="87"/>
    </row>
    <row r="288" spans="2:120" s="1" customFormat="1" ht="16.5" customHeight="1">
      <c r="B288" s="2"/>
      <c r="C288" s="2"/>
      <c r="D288" s="16"/>
      <c r="E288" s="138"/>
      <c r="F288" s="17"/>
      <c r="G288" s="17"/>
      <c r="H288" s="17"/>
      <c r="I288" s="139"/>
      <c r="J288" s="139"/>
      <c r="K288" s="139"/>
      <c r="L288" s="139"/>
      <c r="M288" s="139"/>
      <c r="N288" s="139"/>
      <c r="O288" s="139"/>
      <c r="P288" s="139"/>
      <c r="Q288" s="139"/>
      <c r="R288" s="139"/>
      <c r="S288" s="139"/>
      <c r="T288" s="139"/>
      <c r="U288" s="139"/>
      <c r="V288" s="139"/>
      <c r="W288" s="139"/>
      <c r="X288" s="139"/>
      <c r="Y288" s="139"/>
      <c r="Z288" s="139"/>
      <c r="AA288" s="139"/>
      <c r="AB288" s="139"/>
      <c r="AC288" s="139"/>
      <c r="AD288" s="16"/>
      <c r="AE288" s="16"/>
      <c r="AF288" s="16"/>
      <c r="AG288" s="139"/>
      <c r="AH288" s="16"/>
      <c r="AI288" s="16"/>
      <c r="AJ288" s="16"/>
      <c r="AK288" s="16"/>
      <c r="AL288" s="16"/>
      <c r="AM288" s="16"/>
      <c r="DP288" s="87"/>
    </row>
    <row r="289" spans="2:120" s="1" customFormat="1" ht="16.5" customHeight="1">
      <c r="B289" s="2"/>
      <c r="C289" s="2"/>
      <c r="D289" s="16"/>
      <c r="E289" s="138"/>
      <c r="F289" s="17"/>
      <c r="G289" s="17"/>
      <c r="H289" s="17"/>
      <c r="I289" s="139"/>
      <c r="J289" s="139"/>
      <c r="K289" s="139"/>
      <c r="L289" s="139"/>
      <c r="M289" s="139"/>
      <c r="N289" s="139"/>
      <c r="O289" s="139"/>
      <c r="P289" s="139"/>
      <c r="Q289" s="139"/>
      <c r="R289" s="139"/>
      <c r="S289" s="139"/>
      <c r="T289" s="139"/>
      <c r="U289" s="139"/>
      <c r="V289" s="139"/>
      <c r="W289" s="139"/>
      <c r="X289" s="139"/>
      <c r="Y289" s="139"/>
      <c r="Z289" s="139"/>
      <c r="AA289" s="139"/>
      <c r="AB289" s="139"/>
      <c r="AC289" s="139"/>
      <c r="AD289" s="16"/>
      <c r="AE289" s="16"/>
      <c r="AF289" s="16"/>
      <c r="AG289" s="139"/>
      <c r="AH289" s="16"/>
      <c r="AI289" s="16"/>
      <c r="AJ289" s="16"/>
      <c r="AK289" s="16"/>
      <c r="AL289" s="16"/>
      <c r="AM289" s="16"/>
      <c r="DP289" s="87"/>
    </row>
    <row r="290" spans="2:120" s="1" customFormat="1" ht="16.5" customHeight="1">
      <c r="B290" s="2"/>
      <c r="C290" s="2"/>
      <c r="D290" s="16"/>
      <c r="E290" s="138"/>
      <c r="F290" s="17"/>
      <c r="G290" s="17"/>
      <c r="H290" s="17"/>
      <c r="I290" s="139"/>
      <c r="J290" s="139"/>
      <c r="K290" s="139"/>
      <c r="L290" s="139"/>
      <c r="M290" s="139"/>
      <c r="N290" s="139"/>
      <c r="O290" s="139"/>
      <c r="P290" s="139"/>
      <c r="Q290" s="139"/>
      <c r="R290" s="139"/>
      <c r="S290" s="139"/>
      <c r="T290" s="139"/>
      <c r="U290" s="139"/>
      <c r="V290" s="139"/>
      <c r="W290" s="139"/>
      <c r="X290" s="139"/>
      <c r="Y290" s="139"/>
      <c r="Z290" s="139"/>
      <c r="AA290" s="139"/>
      <c r="AB290" s="139"/>
      <c r="AC290" s="139"/>
      <c r="AD290" s="16"/>
      <c r="AE290" s="16"/>
      <c r="AF290" s="16"/>
      <c r="AG290" s="139"/>
      <c r="AH290" s="16"/>
      <c r="AI290" s="16"/>
      <c r="AJ290" s="16"/>
      <c r="AK290" s="16"/>
      <c r="AL290" s="16"/>
      <c r="AM290" s="16"/>
      <c r="DP290" s="87"/>
    </row>
    <row r="291" spans="2:120" s="1" customFormat="1" ht="16.5" customHeight="1">
      <c r="B291" s="2"/>
      <c r="C291" s="2"/>
      <c r="D291" s="16"/>
      <c r="E291" s="138"/>
      <c r="F291" s="17"/>
      <c r="G291" s="17"/>
      <c r="H291" s="17"/>
      <c r="I291" s="139"/>
      <c r="J291" s="139"/>
      <c r="K291" s="139"/>
      <c r="L291" s="139"/>
      <c r="M291" s="139"/>
      <c r="N291" s="139"/>
      <c r="O291" s="139"/>
      <c r="P291" s="139"/>
      <c r="Q291" s="139"/>
      <c r="R291" s="139"/>
      <c r="S291" s="139"/>
      <c r="T291" s="139"/>
      <c r="U291" s="139"/>
      <c r="V291" s="139"/>
      <c r="W291" s="139"/>
      <c r="X291" s="139"/>
      <c r="Y291" s="139"/>
      <c r="Z291" s="139"/>
      <c r="AA291" s="139"/>
      <c r="AB291" s="139"/>
      <c r="AC291" s="139"/>
      <c r="AD291" s="16"/>
      <c r="AE291" s="16"/>
      <c r="AF291" s="16"/>
      <c r="AG291" s="139"/>
      <c r="AH291" s="16"/>
      <c r="AI291" s="16"/>
      <c r="AJ291" s="16"/>
      <c r="AK291" s="16"/>
      <c r="AL291" s="16"/>
      <c r="AM291" s="16"/>
      <c r="DP291" s="87"/>
    </row>
    <row r="292" spans="2:120" s="1" customFormat="1" ht="16.5" customHeight="1">
      <c r="B292" s="2"/>
      <c r="C292" s="2"/>
      <c r="D292" s="16"/>
      <c r="E292" s="138"/>
      <c r="F292" s="17"/>
      <c r="G292" s="17"/>
      <c r="H292" s="17"/>
      <c r="I292" s="139"/>
      <c r="J292" s="139"/>
      <c r="K292" s="139"/>
      <c r="L292" s="139"/>
      <c r="M292" s="139"/>
      <c r="N292" s="139"/>
      <c r="O292" s="139"/>
      <c r="P292" s="139"/>
      <c r="Q292" s="139"/>
      <c r="R292" s="139"/>
      <c r="S292" s="139"/>
      <c r="T292" s="139"/>
      <c r="U292" s="139"/>
      <c r="V292" s="139"/>
      <c r="W292" s="139"/>
      <c r="X292" s="139"/>
      <c r="Y292" s="139"/>
      <c r="Z292" s="139"/>
      <c r="AA292" s="139"/>
      <c r="AB292" s="139"/>
      <c r="AC292" s="139"/>
      <c r="AD292" s="16"/>
      <c r="AE292" s="16"/>
      <c r="AF292" s="16"/>
      <c r="AG292" s="139"/>
      <c r="AH292" s="16"/>
      <c r="AI292" s="16"/>
      <c r="AJ292" s="16"/>
      <c r="AK292" s="16"/>
      <c r="AL292" s="16"/>
      <c r="AM292" s="16"/>
      <c r="DP292" s="87"/>
    </row>
    <row r="293" spans="2:120" s="1" customFormat="1" ht="16.5" customHeight="1">
      <c r="B293" s="2"/>
      <c r="C293" s="2"/>
      <c r="D293" s="16"/>
      <c r="E293" s="138"/>
      <c r="F293" s="17"/>
      <c r="G293" s="17"/>
      <c r="H293" s="17"/>
      <c r="I293" s="139"/>
      <c r="J293" s="139"/>
      <c r="K293" s="139"/>
      <c r="L293" s="139"/>
      <c r="M293" s="139"/>
      <c r="N293" s="139"/>
      <c r="O293" s="139"/>
      <c r="P293" s="139"/>
      <c r="Q293" s="139"/>
      <c r="R293" s="139"/>
      <c r="S293" s="139"/>
      <c r="T293" s="139"/>
      <c r="U293" s="139"/>
      <c r="V293" s="139"/>
      <c r="W293" s="139"/>
      <c r="X293" s="139"/>
      <c r="Y293" s="139"/>
      <c r="Z293" s="139"/>
      <c r="AA293" s="139"/>
      <c r="AB293" s="139"/>
      <c r="AC293" s="139"/>
      <c r="AD293" s="16"/>
      <c r="AE293" s="16"/>
      <c r="AF293" s="16"/>
      <c r="AG293" s="139"/>
      <c r="AH293" s="16"/>
      <c r="AI293" s="16"/>
      <c r="AJ293" s="16"/>
      <c r="AK293" s="16"/>
      <c r="AL293" s="16"/>
      <c r="AM293" s="16"/>
      <c r="DP293" s="87"/>
    </row>
    <row r="294" spans="2:120" s="1" customFormat="1" ht="16.5" customHeight="1">
      <c r="D294" s="16"/>
      <c r="E294" s="139"/>
      <c r="F294" s="16"/>
      <c r="G294" s="16"/>
      <c r="H294" s="16"/>
      <c r="I294" s="139"/>
      <c r="J294" s="139"/>
      <c r="K294" s="139"/>
      <c r="L294" s="139"/>
      <c r="M294" s="139"/>
      <c r="N294" s="139"/>
      <c r="O294" s="139"/>
      <c r="P294" s="139"/>
      <c r="Q294" s="139"/>
      <c r="R294" s="139"/>
      <c r="S294" s="139"/>
      <c r="T294" s="139"/>
      <c r="U294" s="139"/>
      <c r="V294" s="139"/>
      <c r="W294" s="139"/>
      <c r="X294" s="139"/>
      <c r="Y294" s="139"/>
      <c r="Z294" s="139"/>
      <c r="AA294" s="139"/>
      <c r="AB294" s="139"/>
      <c r="AC294" s="139"/>
      <c r="AD294" s="92"/>
      <c r="AE294" s="92"/>
      <c r="AF294" s="533"/>
      <c r="AG294" s="139"/>
      <c r="AI294" s="16"/>
      <c r="AJ294" s="16"/>
      <c r="AK294" s="16"/>
      <c r="AL294" s="16"/>
      <c r="AM294" s="16"/>
      <c r="DP294" s="87"/>
    </row>
    <row r="295" spans="2:120" s="1" customFormat="1" ht="16.5" customHeight="1">
      <c r="D295" s="46"/>
      <c r="E295" s="139"/>
      <c r="F295" s="16"/>
      <c r="G295" s="16"/>
      <c r="H295" s="16"/>
      <c r="I295" s="139"/>
      <c r="J295" s="139"/>
      <c r="K295" s="139"/>
      <c r="L295" s="139"/>
      <c r="M295" s="139"/>
      <c r="N295" s="139"/>
      <c r="O295" s="139"/>
      <c r="P295" s="139"/>
      <c r="Q295" s="139"/>
      <c r="R295" s="139"/>
      <c r="S295" s="139"/>
      <c r="T295" s="139"/>
      <c r="U295" s="139"/>
      <c r="V295" s="139"/>
      <c r="W295" s="139"/>
      <c r="X295" s="139"/>
      <c r="Y295" s="139"/>
      <c r="Z295" s="139"/>
      <c r="AA295" s="139"/>
      <c r="AB295" s="139"/>
      <c r="AC295" s="139"/>
      <c r="AD295" s="92"/>
      <c r="AE295" s="92"/>
      <c r="AF295" s="533"/>
      <c r="AG295" s="139"/>
      <c r="AI295" s="16"/>
      <c r="AJ295" s="16"/>
      <c r="AK295" s="16"/>
      <c r="AL295" s="16"/>
      <c r="AM295" s="16"/>
      <c r="DP295" s="87"/>
    </row>
    <row r="296" spans="2:120" s="1" customFormat="1" ht="16.5" customHeight="1">
      <c r="D296" s="46"/>
      <c r="E296" s="139"/>
      <c r="F296" s="16"/>
      <c r="G296" s="16"/>
      <c r="H296" s="16"/>
      <c r="I296" s="139"/>
      <c r="J296" s="139"/>
      <c r="K296" s="139"/>
      <c r="L296" s="139"/>
      <c r="M296" s="139"/>
      <c r="N296" s="139"/>
      <c r="O296" s="139"/>
      <c r="P296" s="139"/>
      <c r="Q296" s="139"/>
      <c r="R296" s="139"/>
      <c r="S296" s="139"/>
      <c r="T296" s="139"/>
      <c r="U296" s="139"/>
      <c r="V296" s="139"/>
      <c r="W296" s="139"/>
      <c r="X296" s="139"/>
      <c r="Y296" s="139"/>
      <c r="Z296" s="139"/>
      <c r="AA296" s="139"/>
      <c r="AB296" s="139"/>
      <c r="AC296" s="139"/>
      <c r="AD296" s="92"/>
      <c r="AE296" s="92"/>
      <c r="AF296" s="533"/>
      <c r="AG296" s="139"/>
      <c r="AI296" s="16"/>
      <c r="AJ296" s="16"/>
      <c r="AK296" s="16"/>
      <c r="AL296" s="16"/>
      <c r="AM296" s="16"/>
      <c r="DP296" s="87"/>
    </row>
    <row r="297" spans="2:120" s="1" customFormat="1" ht="16.5" customHeight="1">
      <c r="D297" s="46"/>
      <c r="E297" s="139"/>
      <c r="F297" s="16"/>
      <c r="G297" s="16"/>
      <c r="H297" s="16"/>
      <c r="I297" s="139"/>
      <c r="J297" s="139"/>
      <c r="K297" s="139"/>
      <c r="L297" s="139"/>
      <c r="M297" s="139"/>
      <c r="N297" s="139"/>
      <c r="O297" s="139"/>
      <c r="P297" s="139"/>
      <c r="Q297" s="139"/>
      <c r="R297" s="139"/>
      <c r="S297" s="139"/>
      <c r="T297" s="139"/>
      <c r="U297" s="139"/>
      <c r="V297" s="139"/>
      <c r="W297" s="139"/>
      <c r="X297" s="139"/>
      <c r="Y297" s="139"/>
      <c r="Z297" s="139"/>
      <c r="AA297" s="139"/>
      <c r="AB297" s="139"/>
      <c r="AC297" s="139"/>
      <c r="AD297" s="92"/>
      <c r="AE297" s="92"/>
      <c r="AF297" s="533"/>
      <c r="AG297" s="139"/>
      <c r="AI297" s="16"/>
      <c r="AJ297" s="16"/>
      <c r="AK297" s="16"/>
      <c r="AL297" s="16"/>
      <c r="AM297" s="16"/>
      <c r="DP297" s="87"/>
    </row>
    <row r="298" spans="2:120" s="1" customFormat="1" ht="16.5" customHeight="1">
      <c r="D298" s="46"/>
      <c r="E298" s="139"/>
      <c r="F298" s="16"/>
      <c r="G298" s="16"/>
      <c r="H298" s="16"/>
      <c r="I298" s="139"/>
      <c r="J298" s="139"/>
      <c r="K298" s="139"/>
      <c r="L298" s="139"/>
      <c r="M298" s="139"/>
      <c r="N298" s="139"/>
      <c r="O298" s="139"/>
      <c r="P298" s="139"/>
      <c r="Q298" s="139"/>
      <c r="R298" s="139"/>
      <c r="S298" s="139"/>
      <c r="T298" s="139"/>
      <c r="U298" s="139"/>
      <c r="V298" s="139"/>
      <c r="W298" s="139"/>
      <c r="X298" s="139"/>
      <c r="Y298" s="139"/>
      <c r="Z298" s="139"/>
      <c r="AA298" s="139"/>
      <c r="AB298" s="139"/>
      <c r="AC298" s="139"/>
      <c r="AD298" s="92"/>
      <c r="AE298" s="92"/>
      <c r="AF298" s="533"/>
      <c r="AG298" s="96"/>
      <c r="AI298" s="16"/>
      <c r="AJ298" s="16"/>
      <c r="AK298" s="16"/>
      <c r="AL298" s="16"/>
      <c r="AM298" s="16"/>
      <c r="DP298" s="87"/>
    </row>
    <row r="299" spans="2:120" s="1" customFormat="1" ht="16.5" customHeight="1">
      <c r="D299" s="46"/>
      <c r="E299" s="139"/>
      <c r="F299" s="16"/>
      <c r="G299" s="16"/>
      <c r="H299" s="16"/>
      <c r="I299" s="139"/>
      <c r="J299" s="143"/>
      <c r="K299" s="96"/>
      <c r="L299" s="96"/>
      <c r="M299" s="96"/>
      <c r="N299" s="96"/>
      <c r="O299" s="139"/>
      <c r="P299" s="139"/>
      <c r="Q299" s="139"/>
      <c r="R299" s="139"/>
      <c r="S299" s="139"/>
      <c r="T299" s="139"/>
      <c r="U299" s="139"/>
      <c r="V299" s="139"/>
      <c r="W299" s="139"/>
      <c r="X299" s="139"/>
      <c r="Y299" s="139"/>
      <c r="Z299" s="139"/>
      <c r="AA299" s="139"/>
      <c r="AB299" s="139"/>
      <c r="AC299" s="139"/>
      <c r="AD299" s="92"/>
      <c r="AE299" s="92"/>
      <c r="AF299" s="533"/>
      <c r="AG299" s="96"/>
      <c r="AH299" s="16"/>
      <c r="AI299" s="16"/>
      <c r="AJ299" s="16"/>
      <c r="AK299" s="16"/>
      <c r="AL299" s="16"/>
      <c r="AM299" s="16"/>
      <c r="DP299" s="87"/>
    </row>
    <row r="300" spans="2:120" s="1" customFormat="1" ht="16.5" customHeight="1">
      <c r="D300" s="16"/>
      <c r="E300" s="139"/>
      <c r="F300" s="16"/>
      <c r="G300" s="16"/>
      <c r="H300" s="16"/>
      <c r="I300" s="139"/>
      <c r="J300" s="143"/>
      <c r="K300" s="96"/>
      <c r="L300" s="96"/>
      <c r="M300" s="96"/>
      <c r="N300" s="96"/>
      <c r="O300" s="139"/>
      <c r="P300" s="139"/>
      <c r="Q300" s="139"/>
      <c r="R300" s="139"/>
      <c r="S300" s="139"/>
      <c r="T300" s="139"/>
      <c r="U300" s="139"/>
      <c r="V300" s="139"/>
      <c r="W300" s="139"/>
      <c r="X300" s="139"/>
      <c r="Y300" s="139"/>
      <c r="Z300" s="139"/>
      <c r="AA300" s="139"/>
      <c r="AB300" s="139"/>
      <c r="AC300" s="139"/>
      <c r="AD300" s="92"/>
      <c r="AE300" s="92"/>
      <c r="AF300" s="533"/>
      <c r="AG300" s="96"/>
      <c r="AH300" s="16"/>
      <c r="AI300" s="16"/>
      <c r="AJ300" s="16"/>
      <c r="AK300" s="16"/>
      <c r="AL300" s="16"/>
      <c r="AM300" s="16"/>
      <c r="DP300" s="87"/>
    </row>
    <row r="301" spans="2:120" s="1" customFormat="1" ht="16.5" customHeight="1">
      <c r="D301" s="16"/>
      <c r="E301" s="139"/>
      <c r="F301" s="16"/>
      <c r="G301" s="16"/>
      <c r="H301" s="16"/>
      <c r="I301" s="139"/>
      <c r="J301" s="143"/>
      <c r="K301" s="96"/>
      <c r="L301" s="96"/>
      <c r="M301" s="96"/>
      <c r="N301" s="96"/>
      <c r="O301" s="139"/>
      <c r="P301" s="139"/>
      <c r="Q301" s="139"/>
      <c r="R301" s="139"/>
      <c r="S301" s="139"/>
      <c r="T301" s="139"/>
      <c r="U301" s="139"/>
      <c r="V301" s="139"/>
      <c r="W301" s="139"/>
      <c r="X301" s="139"/>
      <c r="Y301" s="139"/>
      <c r="Z301" s="139"/>
      <c r="AA301" s="139"/>
      <c r="AB301" s="139"/>
      <c r="AC301" s="139"/>
      <c r="AD301" s="92"/>
      <c r="AE301" s="92"/>
      <c r="AF301" s="533"/>
      <c r="AG301" s="96"/>
      <c r="AH301" s="16"/>
      <c r="AI301" s="16"/>
      <c r="AJ301" s="16"/>
      <c r="AK301" s="16"/>
      <c r="AL301" s="16"/>
      <c r="AM301" s="16"/>
      <c r="DP301" s="87"/>
    </row>
    <row r="302" spans="2:120" s="1" customFormat="1" ht="16.5" customHeight="1">
      <c r="D302" s="16"/>
      <c r="E302" s="139"/>
      <c r="F302" s="16"/>
      <c r="G302" s="16"/>
      <c r="H302" s="16"/>
      <c r="I302" s="139"/>
      <c r="J302" s="143"/>
      <c r="K302" s="96"/>
      <c r="L302" s="96"/>
      <c r="M302" s="96"/>
      <c r="N302" s="96"/>
      <c r="O302" s="139"/>
      <c r="P302" s="139"/>
      <c r="Q302" s="139"/>
      <c r="R302" s="139"/>
      <c r="S302" s="139"/>
      <c r="T302" s="139"/>
      <c r="U302" s="139"/>
      <c r="V302" s="139"/>
      <c r="W302" s="139"/>
      <c r="X302" s="139"/>
      <c r="Y302" s="139"/>
      <c r="Z302" s="139"/>
      <c r="AA302" s="139"/>
      <c r="AB302" s="139"/>
      <c r="AC302" s="139"/>
      <c r="AD302" s="92"/>
      <c r="AE302" s="92"/>
      <c r="AF302" s="533"/>
      <c r="AG302" s="97"/>
      <c r="AH302" s="16"/>
      <c r="AI302" s="16"/>
      <c r="AJ302" s="16"/>
      <c r="AK302" s="16"/>
      <c r="AL302" s="16"/>
      <c r="AM302" s="16"/>
      <c r="DP302" s="87"/>
    </row>
    <row r="303" spans="2:120" s="1" customFormat="1" ht="16.5" customHeight="1">
      <c r="B303" s="2"/>
      <c r="C303" s="2"/>
      <c r="D303" s="16"/>
      <c r="E303" s="139"/>
      <c r="F303" s="16"/>
      <c r="G303" s="16"/>
      <c r="H303" s="16"/>
      <c r="I303" s="139"/>
      <c r="J303" s="143"/>
      <c r="K303" s="97"/>
      <c r="L303" s="97"/>
      <c r="M303" s="97"/>
      <c r="N303" s="97"/>
      <c r="O303" s="139"/>
      <c r="P303" s="139"/>
      <c r="Q303" s="139"/>
      <c r="R303" s="139"/>
      <c r="S303" s="139"/>
      <c r="T303" s="139"/>
      <c r="U303" s="139"/>
      <c r="V303" s="139"/>
      <c r="W303" s="139"/>
      <c r="X303" s="139"/>
      <c r="Y303" s="139"/>
      <c r="Z303" s="139"/>
      <c r="AA303" s="139"/>
      <c r="AB303" s="139"/>
      <c r="AC303" s="139"/>
      <c r="AD303" s="92"/>
      <c r="AE303" s="92"/>
      <c r="AF303" s="533"/>
      <c r="AG303" s="139"/>
      <c r="AH303" s="16"/>
      <c r="AI303" s="16"/>
      <c r="AJ303" s="16"/>
      <c r="AK303" s="16"/>
      <c r="AL303" s="16"/>
      <c r="AM303" s="16"/>
      <c r="DP303" s="87"/>
    </row>
    <row r="304" spans="2:120" s="1" customFormat="1" ht="16.5" customHeight="1">
      <c r="B304" s="2"/>
      <c r="C304" s="2"/>
      <c r="D304" s="16"/>
      <c r="E304" s="139"/>
      <c r="F304" s="16"/>
      <c r="G304" s="16"/>
      <c r="H304" s="16"/>
      <c r="I304" s="139"/>
      <c r="J304" s="143"/>
      <c r="K304" s="139"/>
      <c r="L304" s="139"/>
      <c r="M304" s="139"/>
      <c r="N304" s="139"/>
      <c r="O304" s="139"/>
      <c r="P304" s="139"/>
      <c r="Q304" s="139"/>
      <c r="R304" s="139"/>
      <c r="S304" s="139"/>
      <c r="T304" s="139"/>
      <c r="U304" s="139"/>
      <c r="V304" s="139"/>
      <c r="W304" s="139"/>
      <c r="X304" s="139"/>
      <c r="Y304" s="139"/>
      <c r="Z304" s="139"/>
      <c r="AA304" s="139"/>
      <c r="AB304" s="139"/>
      <c r="AC304" s="139"/>
      <c r="AD304" s="92"/>
      <c r="AE304" s="92"/>
      <c r="AF304" s="533"/>
      <c r="AG304" s="139"/>
      <c r="AH304" s="16"/>
      <c r="AI304" s="16"/>
      <c r="AJ304" s="16"/>
      <c r="AK304" s="16"/>
      <c r="AL304" s="16"/>
      <c r="AM304" s="16"/>
      <c r="DP304" s="87"/>
    </row>
    <row r="305" spans="2:120" s="1" customFormat="1" ht="16.5" customHeight="1">
      <c r="B305" s="2"/>
      <c r="C305" s="2"/>
      <c r="D305" s="16"/>
      <c r="E305" s="139"/>
      <c r="F305" s="16"/>
      <c r="G305" s="16"/>
      <c r="H305" s="16"/>
      <c r="I305" s="139"/>
      <c r="J305" s="143"/>
      <c r="K305" s="139"/>
      <c r="L305" s="139"/>
      <c r="M305" s="139"/>
      <c r="N305" s="139"/>
      <c r="O305" s="139"/>
      <c r="P305" s="139"/>
      <c r="Q305" s="139"/>
      <c r="R305" s="139"/>
      <c r="S305" s="139"/>
      <c r="T305" s="139"/>
      <c r="U305" s="139"/>
      <c r="V305" s="139"/>
      <c r="W305" s="139"/>
      <c r="X305" s="139"/>
      <c r="Y305" s="139"/>
      <c r="Z305" s="139"/>
      <c r="AA305" s="139"/>
      <c r="AB305" s="139"/>
      <c r="AC305" s="139"/>
      <c r="AD305" s="92"/>
      <c r="AE305" s="92"/>
      <c r="AF305" s="533"/>
      <c r="AG305" s="139"/>
      <c r="AH305" s="16"/>
      <c r="AI305" s="16"/>
      <c r="AJ305" s="16"/>
      <c r="AK305" s="16"/>
      <c r="AL305" s="16"/>
      <c r="AM305" s="16"/>
      <c r="DP305" s="87"/>
    </row>
    <row r="306" spans="2:120" s="1" customFormat="1" ht="16.5" customHeight="1">
      <c r="B306" s="2"/>
      <c r="C306" s="2"/>
      <c r="D306" s="16"/>
      <c r="E306" s="139"/>
      <c r="F306" s="16"/>
      <c r="G306" s="16"/>
      <c r="H306" s="16"/>
      <c r="I306" s="139"/>
      <c r="J306" s="143"/>
      <c r="K306" s="139"/>
      <c r="L306" s="139"/>
      <c r="M306" s="139"/>
      <c r="N306" s="139"/>
      <c r="O306" s="139"/>
      <c r="P306" s="139"/>
      <c r="Q306" s="139"/>
      <c r="R306" s="139"/>
      <c r="S306" s="139"/>
      <c r="T306" s="139"/>
      <c r="U306" s="139"/>
      <c r="V306" s="139"/>
      <c r="W306" s="139"/>
      <c r="X306" s="139"/>
      <c r="Y306" s="139"/>
      <c r="Z306" s="139"/>
      <c r="AA306" s="139"/>
      <c r="AB306" s="139"/>
      <c r="AC306" s="139"/>
      <c r="AD306" s="92"/>
      <c r="AE306" s="92"/>
      <c r="AF306" s="533"/>
      <c r="AG306" s="139"/>
      <c r="AH306" s="16"/>
      <c r="AI306" s="16"/>
      <c r="AJ306" s="16"/>
      <c r="AK306" s="16"/>
      <c r="AL306" s="16"/>
      <c r="AM306" s="16"/>
      <c r="DP306" s="87"/>
    </row>
    <row r="307" spans="2:120" s="1" customFormat="1" ht="16.5" customHeight="1">
      <c r="B307" s="2"/>
      <c r="C307" s="2"/>
      <c r="D307" s="16"/>
      <c r="E307" s="139"/>
      <c r="F307" s="16"/>
      <c r="G307" s="16"/>
      <c r="H307" s="16"/>
      <c r="I307" s="139"/>
      <c r="J307" s="143"/>
      <c r="K307" s="139"/>
      <c r="L307" s="139"/>
      <c r="M307" s="139"/>
      <c r="N307" s="139"/>
      <c r="O307" s="139"/>
      <c r="P307" s="139"/>
      <c r="Q307" s="139"/>
      <c r="R307" s="139"/>
      <c r="S307" s="139"/>
      <c r="T307" s="139"/>
      <c r="U307" s="139"/>
      <c r="V307" s="139"/>
      <c r="W307" s="139"/>
      <c r="X307" s="139"/>
      <c r="Y307" s="139"/>
      <c r="Z307" s="139"/>
      <c r="AA307" s="139"/>
      <c r="AB307" s="139"/>
      <c r="AC307" s="139"/>
      <c r="AD307" s="92"/>
      <c r="AE307" s="92"/>
      <c r="AF307" s="533"/>
      <c r="AG307" s="139"/>
      <c r="AH307" s="16"/>
      <c r="AI307" s="16"/>
      <c r="AJ307" s="16"/>
      <c r="AK307" s="16"/>
      <c r="AL307" s="16"/>
      <c r="AM307" s="16"/>
      <c r="DP307" s="87"/>
    </row>
    <row r="308" spans="2:120" s="1" customFormat="1" ht="16.5" customHeight="1">
      <c r="B308" s="2"/>
      <c r="C308" s="2"/>
      <c r="D308" s="16"/>
      <c r="E308" s="139"/>
      <c r="F308" s="16"/>
      <c r="G308" s="16"/>
      <c r="H308" s="16"/>
      <c r="I308" s="139"/>
      <c r="J308" s="143"/>
      <c r="K308" s="139"/>
      <c r="L308" s="139"/>
      <c r="M308" s="139"/>
      <c r="N308" s="139"/>
      <c r="O308" s="139"/>
      <c r="P308" s="139"/>
      <c r="Q308" s="139"/>
      <c r="R308" s="139"/>
      <c r="S308" s="139"/>
      <c r="T308" s="139"/>
      <c r="U308" s="139"/>
      <c r="V308" s="139"/>
      <c r="W308" s="139"/>
      <c r="X308" s="139"/>
      <c r="Y308" s="139"/>
      <c r="Z308" s="139"/>
      <c r="AA308" s="139"/>
      <c r="AB308" s="139"/>
      <c r="AC308" s="139"/>
      <c r="AD308" s="92"/>
      <c r="AE308" s="92"/>
      <c r="AF308" s="533"/>
      <c r="AG308" s="139"/>
      <c r="AH308" s="16"/>
      <c r="AI308" s="16"/>
      <c r="AJ308" s="16"/>
      <c r="AK308" s="16"/>
      <c r="AL308" s="16"/>
      <c r="AM308" s="16"/>
      <c r="DP308" s="87"/>
    </row>
    <row r="309" spans="2:120" s="1" customFormat="1" ht="16.5" customHeight="1">
      <c r="B309" s="2"/>
      <c r="C309" s="2"/>
      <c r="D309" s="16"/>
      <c r="E309" s="139"/>
      <c r="F309" s="16"/>
      <c r="G309" s="16"/>
      <c r="H309" s="16"/>
      <c r="I309" s="139"/>
      <c r="J309" s="143"/>
      <c r="K309" s="139"/>
      <c r="L309" s="139"/>
      <c r="M309" s="139"/>
      <c r="N309" s="139"/>
      <c r="O309" s="139"/>
      <c r="P309" s="139"/>
      <c r="Q309" s="139"/>
      <c r="R309" s="139"/>
      <c r="S309" s="139"/>
      <c r="T309" s="139"/>
      <c r="U309" s="139"/>
      <c r="V309" s="139"/>
      <c r="W309" s="139"/>
      <c r="X309" s="139"/>
      <c r="Y309" s="139"/>
      <c r="Z309" s="139"/>
      <c r="AA309" s="139"/>
      <c r="AB309" s="139"/>
      <c r="AC309" s="139"/>
      <c r="AD309" s="92"/>
      <c r="AE309" s="92"/>
      <c r="AF309" s="533"/>
      <c r="AG309" s="139"/>
      <c r="AH309" s="16"/>
      <c r="AI309" s="16"/>
      <c r="AJ309" s="16"/>
      <c r="AK309" s="16"/>
      <c r="AL309" s="16"/>
      <c r="AM309" s="16"/>
      <c r="DP309" s="87"/>
    </row>
    <row r="310" spans="2:120" s="1" customFormat="1" ht="16.5" customHeight="1">
      <c r="B310" s="2"/>
      <c r="C310" s="2"/>
      <c r="D310" s="16"/>
      <c r="E310" s="139"/>
      <c r="F310" s="16"/>
      <c r="G310" s="16"/>
      <c r="H310" s="16"/>
      <c r="I310" s="139"/>
      <c r="J310" s="143"/>
      <c r="K310" s="139"/>
      <c r="L310" s="139"/>
      <c r="M310" s="139"/>
      <c r="N310" s="139"/>
      <c r="O310" s="139"/>
      <c r="P310" s="139"/>
      <c r="Q310" s="139"/>
      <c r="R310" s="139"/>
      <c r="S310" s="139"/>
      <c r="T310" s="139"/>
      <c r="U310" s="139"/>
      <c r="V310" s="139"/>
      <c r="W310" s="139"/>
      <c r="X310" s="139"/>
      <c r="Y310" s="139"/>
      <c r="Z310" s="139"/>
      <c r="AA310" s="139"/>
      <c r="AB310" s="139"/>
      <c r="AC310" s="139"/>
      <c r="AD310" s="92"/>
      <c r="AE310" s="92"/>
      <c r="AF310" s="533"/>
      <c r="AG310" s="139"/>
      <c r="AH310" s="16"/>
      <c r="AI310" s="16"/>
      <c r="AJ310" s="16"/>
      <c r="AK310" s="16"/>
      <c r="AL310" s="16"/>
      <c r="AM310" s="16"/>
      <c r="DP310" s="87"/>
    </row>
    <row r="311" spans="2:120" s="1" customFormat="1" ht="16.5" customHeight="1">
      <c r="B311" s="2"/>
      <c r="C311" s="2"/>
      <c r="D311" s="16"/>
      <c r="E311" s="139"/>
      <c r="F311" s="16"/>
      <c r="G311" s="16"/>
      <c r="H311" s="16"/>
      <c r="I311" s="139"/>
      <c r="J311" s="143"/>
      <c r="K311" s="139"/>
      <c r="L311" s="139"/>
      <c r="M311" s="139"/>
      <c r="N311" s="139"/>
      <c r="O311" s="139"/>
      <c r="P311" s="139"/>
      <c r="Q311" s="139"/>
      <c r="R311" s="139"/>
      <c r="S311" s="139"/>
      <c r="T311" s="139"/>
      <c r="U311" s="139"/>
      <c r="V311" s="139"/>
      <c r="W311" s="139"/>
      <c r="X311" s="139"/>
      <c r="Y311" s="139"/>
      <c r="Z311" s="139"/>
      <c r="AA311" s="139"/>
      <c r="AB311" s="139"/>
      <c r="AC311" s="139"/>
      <c r="AD311" s="16"/>
      <c r="AE311" s="16"/>
      <c r="AF311" s="16"/>
      <c r="AG311" s="139"/>
      <c r="AH311" s="16"/>
      <c r="AI311" s="16"/>
      <c r="AJ311" s="16"/>
      <c r="AK311" s="16"/>
      <c r="AL311" s="16"/>
      <c r="AM311" s="16"/>
      <c r="DP311" s="87"/>
    </row>
    <row r="312" spans="2:120" s="1" customFormat="1" ht="16.5" customHeight="1">
      <c r="B312" s="2"/>
      <c r="C312" s="2"/>
      <c r="D312" s="16"/>
      <c r="E312" s="138"/>
      <c r="F312" s="17"/>
      <c r="G312" s="17"/>
      <c r="H312" s="17"/>
      <c r="I312" s="143"/>
      <c r="J312" s="143"/>
      <c r="K312" s="139"/>
      <c r="L312" s="139"/>
      <c r="M312" s="139"/>
      <c r="N312" s="139"/>
      <c r="O312" s="139"/>
      <c r="P312" s="139"/>
      <c r="Q312" s="139"/>
      <c r="R312" s="139"/>
      <c r="S312" s="139"/>
      <c r="T312" s="139"/>
      <c r="U312" s="139"/>
      <c r="V312" s="139"/>
      <c r="W312" s="139"/>
      <c r="X312" s="139"/>
      <c r="Y312" s="139"/>
      <c r="Z312" s="139"/>
      <c r="AA312" s="139"/>
      <c r="AB312" s="139"/>
      <c r="AC312" s="139"/>
      <c r="AD312" s="16"/>
      <c r="AE312" s="16"/>
      <c r="AF312" s="16"/>
      <c r="AG312" s="139"/>
      <c r="AH312" s="16"/>
      <c r="AI312" s="16"/>
      <c r="AJ312" s="16"/>
      <c r="AK312" s="16"/>
      <c r="AL312" s="16"/>
      <c r="AM312" s="16"/>
      <c r="DP312" s="87"/>
    </row>
    <row r="313" spans="2:120" s="1" customFormat="1" ht="16.5" customHeight="1">
      <c r="B313" s="2"/>
      <c r="C313" s="2"/>
      <c r="D313" s="16"/>
      <c r="E313" s="138"/>
      <c r="F313" s="17"/>
      <c r="G313" s="17"/>
      <c r="H313" s="17"/>
      <c r="I313" s="143"/>
      <c r="J313" s="143"/>
      <c r="K313" s="139"/>
      <c r="L313" s="139"/>
      <c r="M313" s="139"/>
      <c r="N313" s="139"/>
      <c r="O313" s="139"/>
      <c r="P313" s="139"/>
      <c r="Q313" s="139"/>
      <c r="R313" s="139"/>
      <c r="S313" s="139"/>
      <c r="T313" s="139"/>
      <c r="U313" s="139"/>
      <c r="V313" s="139"/>
      <c r="W313" s="139"/>
      <c r="X313" s="139"/>
      <c r="Y313" s="139"/>
      <c r="Z313" s="139"/>
      <c r="AA313" s="139"/>
      <c r="AB313" s="139"/>
      <c r="AC313" s="139"/>
      <c r="AD313" s="16"/>
      <c r="AE313" s="16"/>
      <c r="AF313" s="16"/>
      <c r="AG313" s="139"/>
      <c r="AH313" s="16"/>
      <c r="AI313" s="16"/>
      <c r="AJ313" s="16"/>
      <c r="AK313" s="16"/>
      <c r="AL313" s="16"/>
      <c r="AM313" s="16"/>
      <c r="DP313" s="87"/>
    </row>
    <row r="314" spans="2:120" s="1" customFormat="1" ht="16.5" customHeight="1">
      <c r="B314" s="2"/>
      <c r="C314" s="2"/>
      <c r="D314" s="16"/>
      <c r="E314" s="138"/>
      <c r="F314" s="17"/>
      <c r="G314" s="17"/>
      <c r="H314" s="17"/>
      <c r="I314" s="143"/>
      <c r="J314" s="143"/>
      <c r="K314" s="139"/>
      <c r="L314" s="139"/>
      <c r="M314" s="139"/>
      <c r="N314" s="139"/>
      <c r="O314" s="139"/>
      <c r="P314" s="139"/>
      <c r="Q314" s="139"/>
      <c r="R314" s="139"/>
      <c r="S314" s="139"/>
      <c r="T314" s="139"/>
      <c r="U314" s="139"/>
      <c r="V314" s="139"/>
      <c r="W314" s="139"/>
      <c r="X314" s="139"/>
      <c r="Y314" s="139"/>
      <c r="Z314" s="139"/>
      <c r="AA314" s="139"/>
      <c r="AB314" s="139"/>
      <c r="AC314" s="139"/>
      <c r="AD314" s="16"/>
      <c r="AE314" s="16"/>
      <c r="AF314" s="16"/>
      <c r="AG314" s="139"/>
      <c r="AH314" s="16"/>
      <c r="AI314" s="16"/>
      <c r="AJ314" s="16"/>
      <c r="AK314" s="16"/>
      <c r="AL314" s="16"/>
      <c r="AM314" s="16"/>
      <c r="DP314" s="87"/>
    </row>
    <row r="315" spans="2:120" s="1" customFormat="1" ht="16.5" customHeight="1">
      <c r="B315" s="2"/>
      <c r="C315" s="2"/>
      <c r="D315" s="16"/>
      <c r="E315" s="138"/>
      <c r="F315" s="17"/>
      <c r="G315" s="17"/>
      <c r="H315" s="17"/>
      <c r="I315" s="143"/>
      <c r="J315" s="143"/>
      <c r="K315" s="139"/>
      <c r="L315" s="139"/>
      <c r="M315" s="139"/>
      <c r="N315" s="139"/>
      <c r="O315" s="139"/>
      <c r="P315" s="139"/>
      <c r="Q315" s="139"/>
      <c r="R315" s="139"/>
      <c r="S315" s="139"/>
      <c r="T315" s="139"/>
      <c r="U315" s="139"/>
      <c r="V315" s="139"/>
      <c r="W315" s="139"/>
      <c r="X315" s="139"/>
      <c r="Y315" s="139"/>
      <c r="Z315" s="139"/>
      <c r="AA315" s="139"/>
      <c r="AB315" s="139"/>
      <c r="AC315" s="139"/>
      <c r="AD315" s="16"/>
      <c r="AE315" s="16"/>
      <c r="AF315" s="16"/>
      <c r="AG315" s="139"/>
      <c r="AH315" s="16"/>
      <c r="AI315" s="16"/>
      <c r="AJ315" s="16"/>
      <c r="AK315" s="16"/>
      <c r="AL315" s="16"/>
      <c r="AM315" s="16"/>
      <c r="DP315" s="87"/>
    </row>
    <row r="316" spans="2:120" s="1" customFormat="1" ht="16.5" customHeight="1">
      <c r="B316" s="2"/>
      <c r="C316" s="2"/>
      <c r="D316" s="16"/>
      <c r="E316" s="138"/>
      <c r="F316" s="17"/>
      <c r="G316" s="17"/>
      <c r="H316" s="17"/>
      <c r="I316" s="143"/>
      <c r="J316" s="143"/>
      <c r="K316" s="139"/>
      <c r="L316" s="139"/>
      <c r="M316" s="139"/>
      <c r="N316" s="139"/>
      <c r="O316" s="139"/>
      <c r="P316" s="139"/>
      <c r="Q316" s="139"/>
      <c r="R316" s="139"/>
      <c r="S316" s="139"/>
      <c r="T316" s="139"/>
      <c r="U316" s="139"/>
      <c r="V316" s="139"/>
      <c r="W316" s="139"/>
      <c r="X316" s="139"/>
      <c r="Y316" s="139"/>
      <c r="Z316" s="139"/>
      <c r="AA316" s="139"/>
      <c r="AB316" s="139"/>
      <c r="AC316" s="139"/>
      <c r="AD316" s="16"/>
      <c r="AE316" s="16"/>
      <c r="AF316" s="16"/>
      <c r="AG316" s="139"/>
      <c r="AH316" s="16"/>
      <c r="AI316" s="16"/>
      <c r="AJ316" s="16"/>
      <c r="AK316" s="16"/>
      <c r="AL316" s="16"/>
      <c r="AM316" s="16"/>
      <c r="DP316" s="87"/>
    </row>
    <row r="317" spans="2:120" s="1" customFormat="1" ht="16.5" customHeight="1">
      <c r="B317" s="2"/>
      <c r="C317" s="2"/>
      <c r="D317" s="16"/>
      <c r="E317" s="138"/>
      <c r="F317" s="17"/>
      <c r="G317" s="17"/>
      <c r="H317" s="17"/>
      <c r="I317" s="143"/>
      <c r="J317" s="143"/>
      <c r="K317" s="139"/>
      <c r="L317" s="139"/>
      <c r="M317" s="139"/>
      <c r="N317" s="139"/>
      <c r="O317" s="139"/>
      <c r="P317" s="139"/>
      <c r="Q317" s="139"/>
      <c r="R317" s="139"/>
      <c r="S317" s="139"/>
      <c r="T317" s="139"/>
      <c r="U317" s="139"/>
      <c r="V317" s="139"/>
      <c r="W317" s="139"/>
      <c r="X317" s="139"/>
      <c r="Y317" s="139"/>
      <c r="Z317" s="139"/>
      <c r="AA317" s="139"/>
      <c r="AB317" s="139"/>
      <c r="AC317" s="139"/>
      <c r="AD317" s="16"/>
      <c r="AE317" s="16"/>
      <c r="AF317" s="16"/>
      <c r="AG317" s="139"/>
      <c r="AH317" s="16"/>
      <c r="AI317" s="16"/>
      <c r="AJ317" s="16"/>
      <c r="AK317" s="16"/>
      <c r="AL317" s="16"/>
      <c r="AM317" s="16"/>
      <c r="DP317" s="87"/>
    </row>
    <row r="318" spans="2:120" s="1" customFormat="1" ht="16.5" customHeight="1">
      <c r="B318" s="2"/>
      <c r="C318" s="2"/>
      <c r="D318" s="16"/>
      <c r="E318" s="138"/>
      <c r="F318" s="17"/>
      <c r="G318" s="17"/>
      <c r="H318" s="17"/>
      <c r="I318" s="143"/>
      <c r="J318" s="143"/>
      <c r="K318" s="139"/>
      <c r="L318" s="139"/>
      <c r="M318" s="139"/>
      <c r="N318" s="139"/>
      <c r="O318" s="139"/>
      <c r="P318" s="139"/>
      <c r="Q318" s="139"/>
      <c r="R318" s="139"/>
      <c r="S318" s="139"/>
      <c r="T318" s="139"/>
      <c r="U318" s="139"/>
      <c r="V318" s="139"/>
      <c r="W318" s="139"/>
      <c r="X318" s="139"/>
      <c r="Y318" s="139"/>
      <c r="Z318" s="139"/>
      <c r="AA318" s="139"/>
      <c r="AB318" s="139"/>
      <c r="AC318" s="139"/>
      <c r="AD318" s="16"/>
      <c r="AE318" s="16"/>
      <c r="AF318" s="16"/>
      <c r="AG318" s="139"/>
      <c r="AH318" s="16"/>
      <c r="AI318" s="16"/>
      <c r="AJ318" s="16"/>
      <c r="AK318" s="16"/>
      <c r="AL318" s="16"/>
      <c r="AM318" s="16"/>
      <c r="DP318" s="87"/>
    </row>
    <row r="319" spans="2:120" s="1" customFormat="1" ht="16.5" customHeight="1">
      <c r="B319" s="2"/>
      <c r="C319" s="2"/>
      <c r="D319" s="16"/>
      <c r="E319" s="138"/>
      <c r="F319" s="17"/>
      <c r="G319" s="17"/>
      <c r="H319" s="17"/>
      <c r="I319" s="143"/>
      <c r="J319" s="143"/>
      <c r="K319" s="139"/>
      <c r="L319" s="139"/>
      <c r="M319" s="139"/>
      <c r="N319" s="139"/>
      <c r="O319" s="139"/>
      <c r="P319" s="139"/>
      <c r="Q319" s="139"/>
      <c r="R319" s="139"/>
      <c r="S319" s="139"/>
      <c r="T319" s="139"/>
      <c r="U319" s="139"/>
      <c r="V319" s="139"/>
      <c r="W319" s="139"/>
      <c r="X319" s="139"/>
      <c r="Y319" s="139"/>
      <c r="Z319" s="139"/>
      <c r="AA319" s="139"/>
      <c r="AB319" s="139"/>
      <c r="AC319" s="139"/>
      <c r="AD319" s="16"/>
      <c r="AE319" s="16"/>
      <c r="AF319" s="16"/>
      <c r="AG319" s="139"/>
      <c r="AH319" s="16"/>
      <c r="AI319" s="16"/>
      <c r="AJ319" s="16"/>
      <c r="AK319" s="16"/>
      <c r="AL319" s="16"/>
      <c r="AM319" s="16"/>
      <c r="DP319" s="87"/>
    </row>
    <row r="320" spans="2:120" s="1" customFormat="1" ht="16.5" customHeight="1">
      <c r="B320" s="2"/>
      <c r="C320" s="2"/>
      <c r="D320" s="16"/>
      <c r="E320" s="138"/>
      <c r="F320" s="17"/>
      <c r="G320" s="17"/>
      <c r="H320" s="17"/>
      <c r="I320" s="143"/>
      <c r="J320" s="143"/>
      <c r="K320" s="139"/>
      <c r="L320" s="139"/>
      <c r="M320" s="139"/>
      <c r="N320" s="139"/>
      <c r="O320" s="139"/>
      <c r="P320" s="139"/>
      <c r="Q320" s="139"/>
      <c r="R320" s="139"/>
      <c r="S320" s="139"/>
      <c r="T320" s="139"/>
      <c r="U320" s="139"/>
      <c r="V320" s="139"/>
      <c r="W320" s="139"/>
      <c r="X320" s="139"/>
      <c r="Y320" s="139"/>
      <c r="Z320" s="139"/>
      <c r="AA320" s="139"/>
      <c r="AB320" s="139"/>
      <c r="AC320" s="139"/>
      <c r="AD320" s="16"/>
      <c r="AE320" s="16"/>
      <c r="AF320" s="16"/>
      <c r="AG320" s="139"/>
      <c r="AH320" s="16"/>
      <c r="AI320" s="16"/>
      <c r="AJ320" s="16"/>
      <c r="AK320" s="16"/>
      <c r="AL320" s="16"/>
      <c r="AM320" s="16"/>
      <c r="DP320" s="87"/>
    </row>
    <row r="321" spans="2:120" s="1" customFormat="1" ht="16.5" customHeight="1">
      <c r="B321" s="2"/>
      <c r="C321" s="2"/>
      <c r="D321" s="16"/>
      <c r="E321" s="138"/>
      <c r="F321" s="17"/>
      <c r="G321" s="17"/>
      <c r="H321" s="17"/>
      <c r="I321" s="143"/>
      <c r="J321" s="143"/>
      <c r="K321" s="139"/>
      <c r="L321" s="139"/>
      <c r="M321" s="139"/>
      <c r="N321" s="139"/>
      <c r="O321" s="139"/>
      <c r="P321" s="139"/>
      <c r="Q321" s="139"/>
      <c r="R321" s="139"/>
      <c r="S321" s="139"/>
      <c r="T321" s="139"/>
      <c r="U321" s="139"/>
      <c r="V321" s="139"/>
      <c r="W321" s="139"/>
      <c r="X321" s="139"/>
      <c r="Y321" s="139"/>
      <c r="Z321" s="139"/>
      <c r="AA321" s="139"/>
      <c r="AB321" s="139"/>
      <c r="AC321" s="139"/>
      <c r="AD321" s="16"/>
      <c r="AE321" s="16"/>
      <c r="AF321" s="16"/>
      <c r="AG321" s="139"/>
      <c r="AH321" s="16"/>
      <c r="AI321" s="16"/>
      <c r="AJ321" s="16"/>
      <c r="AK321" s="16"/>
      <c r="AL321" s="16"/>
      <c r="AM321" s="16"/>
      <c r="DP321" s="87"/>
    </row>
    <row r="322" spans="2:120" s="1" customFormat="1" ht="16.5" customHeight="1">
      <c r="B322" s="2"/>
      <c r="C322" s="2"/>
      <c r="D322" s="16"/>
      <c r="E322" s="138"/>
      <c r="F322" s="17"/>
      <c r="G322" s="17"/>
      <c r="H322" s="17"/>
      <c r="I322" s="143"/>
      <c r="J322" s="143"/>
      <c r="K322" s="139"/>
      <c r="L322" s="139"/>
      <c r="M322" s="139"/>
      <c r="N322" s="139"/>
      <c r="O322" s="139"/>
      <c r="P322" s="139"/>
      <c r="Q322" s="139"/>
      <c r="R322" s="139"/>
      <c r="S322" s="139"/>
      <c r="T322" s="139"/>
      <c r="U322" s="139"/>
      <c r="V322" s="139"/>
      <c r="W322" s="139"/>
      <c r="X322" s="139"/>
      <c r="Y322" s="139"/>
      <c r="Z322" s="139"/>
      <c r="AA322" s="139"/>
      <c r="AB322" s="139"/>
      <c r="AC322" s="139"/>
      <c r="AD322" s="16"/>
      <c r="AE322" s="16"/>
      <c r="AF322" s="16"/>
      <c r="AG322" s="139"/>
      <c r="AH322" s="16"/>
      <c r="AI322" s="16"/>
      <c r="AJ322" s="16"/>
      <c r="AK322" s="16"/>
      <c r="AL322" s="16"/>
      <c r="AM322" s="16"/>
      <c r="DP322" s="87"/>
    </row>
    <row r="323" spans="2:120" s="1" customFormat="1" ht="16.5" customHeight="1">
      <c r="B323" s="2"/>
      <c r="C323" s="2"/>
      <c r="D323" s="16"/>
      <c r="E323" s="138"/>
      <c r="F323" s="17"/>
      <c r="G323" s="17"/>
      <c r="H323" s="17"/>
      <c r="I323" s="143"/>
      <c r="J323" s="143"/>
      <c r="K323" s="139"/>
      <c r="L323" s="139"/>
      <c r="M323" s="139"/>
      <c r="N323" s="139"/>
      <c r="O323" s="139"/>
      <c r="P323" s="139"/>
      <c r="Q323" s="139"/>
      <c r="R323" s="139"/>
      <c r="S323" s="139"/>
      <c r="T323" s="139"/>
      <c r="U323" s="139"/>
      <c r="V323" s="139"/>
      <c r="W323" s="139"/>
      <c r="X323" s="139"/>
      <c r="Y323" s="139"/>
      <c r="Z323" s="139"/>
      <c r="AA323" s="139"/>
      <c r="AB323" s="139"/>
      <c r="AC323" s="139"/>
      <c r="AD323" s="16"/>
      <c r="AE323" s="16"/>
      <c r="AF323" s="16"/>
      <c r="AG323" s="139"/>
      <c r="AH323" s="16"/>
      <c r="AI323" s="16"/>
      <c r="AJ323" s="16"/>
      <c r="AK323" s="16"/>
      <c r="AL323" s="16"/>
      <c r="AM323" s="16"/>
      <c r="DP323" s="87"/>
    </row>
    <row r="324" spans="2:120" s="1" customFormat="1" ht="16.5" customHeight="1">
      <c r="B324" s="2"/>
      <c r="C324" s="2"/>
      <c r="D324" s="16"/>
      <c r="E324" s="138"/>
      <c r="F324" s="17"/>
      <c r="G324" s="17"/>
      <c r="H324" s="17"/>
      <c r="I324" s="143"/>
      <c r="J324" s="143"/>
      <c r="K324" s="139"/>
      <c r="L324" s="139"/>
      <c r="M324" s="139"/>
      <c r="N324" s="139"/>
      <c r="O324" s="139"/>
      <c r="P324" s="139"/>
      <c r="Q324" s="139"/>
      <c r="R324" s="139"/>
      <c r="S324" s="139"/>
      <c r="T324" s="139"/>
      <c r="U324" s="139"/>
      <c r="V324" s="139"/>
      <c r="W324" s="139"/>
      <c r="X324" s="139"/>
      <c r="Y324" s="139"/>
      <c r="Z324" s="139"/>
      <c r="AA324" s="139"/>
      <c r="AB324" s="139"/>
      <c r="AC324" s="139"/>
      <c r="AD324" s="16"/>
      <c r="AE324" s="16"/>
      <c r="AF324" s="16"/>
      <c r="AG324" s="139"/>
      <c r="AH324" s="16"/>
      <c r="AI324" s="16"/>
      <c r="AJ324" s="16"/>
      <c r="AK324" s="16"/>
      <c r="AL324" s="16"/>
      <c r="AM324" s="16"/>
      <c r="DP324" s="87"/>
    </row>
    <row r="325" spans="2:120" s="1" customFormat="1" ht="16.5" customHeight="1">
      <c r="B325" s="2"/>
      <c r="C325" s="2"/>
      <c r="D325" s="16"/>
      <c r="E325" s="138"/>
      <c r="F325" s="17"/>
      <c r="G325" s="17"/>
      <c r="H325" s="17"/>
      <c r="I325" s="143"/>
      <c r="J325" s="143"/>
      <c r="K325" s="139"/>
      <c r="L325" s="139"/>
      <c r="M325" s="139"/>
      <c r="N325" s="139"/>
      <c r="O325" s="139"/>
      <c r="P325" s="139"/>
      <c r="Q325" s="139"/>
      <c r="R325" s="139"/>
      <c r="S325" s="139"/>
      <c r="T325" s="139"/>
      <c r="U325" s="139"/>
      <c r="V325" s="139"/>
      <c r="W325" s="139"/>
      <c r="X325" s="139"/>
      <c r="Y325" s="139"/>
      <c r="Z325" s="139"/>
      <c r="AA325" s="139"/>
      <c r="AB325" s="139"/>
      <c r="AC325" s="139"/>
      <c r="AD325" s="16"/>
      <c r="AE325" s="16"/>
      <c r="AF325" s="16"/>
      <c r="AG325" s="139"/>
      <c r="AH325" s="16"/>
      <c r="AI325" s="16"/>
      <c r="AJ325" s="16"/>
      <c r="AK325" s="16"/>
      <c r="AL325" s="16"/>
      <c r="AM325" s="16"/>
      <c r="DP325" s="87"/>
    </row>
    <row r="326" spans="2:120" s="1" customFormat="1" ht="16.5" customHeight="1">
      <c r="B326" s="2"/>
      <c r="C326" s="2"/>
      <c r="D326" s="16"/>
      <c r="E326" s="138"/>
      <c r="F326" s="17"/>
      <c r="G326" s="17"/>
      <c r="H326" s="17"/>
      <c r="I326" s="143"/>
      <c r="J326" s="143"/>
      <c r="K326" s="139"/>
      <c r="L326" s="139"/>
      <c r="M326" s="139"/>
      <c r="N326" s="139"/>
      <c r="O326" s="139"/>
      <c r="P326" s="139"/>
      <c r="Q326" s="139"/>
      <c r="R326" s="139"/>
      <c r="S326" s="139"/>
      <c r="T326" s="139"/>
      <c r="U326" s="139"/>
      <c r="V326" s="139"/>
      <c r="W326" s="139"/>
      <c r="X326" s="139"/>
      <c r="Y326" s="139"/>
      <c r="Z326" s="139"/>
      <c r="AA326" s="139"/>
      <c r="AB326" s="139"/>
      <c r="AC326" s="139"/>
      <c r="AD326" s="16"/>
      <c r="AE326" s="16"/>
      <c r="AF326" s="16"/>
      <c r="AG326" s="139"/>
      <c r="AH326" s="16"/>
      <c r="AI326" s="16"/>
      <c r="AJ326" s="16"/>
      <c r="AK326" s="16"/>
      <c r="AL326" s="16"/>
      <c r="AM326" s="16"/>
      <c r="DP326" s="87"/>
    </row>
    <row r="327" spans="2:120" s="1" customFormat="1" ht="16.5" customHeight="1">
      <c r="B327" s="2"/>
      <c r="C327" s="2"/>
      <c r="D327" s="16"/>
      <c r="E327" s="138"/>
      <c r="F327" s="17"/>
      <c r="G327" s="17"/>
      <c r="H327" s="17"/>
      <c r="I327" s="143"/>
      <c r="J327" s="143"/>
      <c r="K327" s="139"/>
      <c r="L327" s="139"/>
      <c r="M327" s="139"/>
      <c r="N327" s="139"/>
      <c r="O327" s="139"/>
      <c r="P327" s="139"/>
      <c r="Q327" s="139"/>
      <c r="R327" s="139"/>
      <c r="S327" s="139"/>
      <c r="T327" s="139"/>
      <c r="U327" s="139"/>
      <c r="V327" s="139"/>
      <c r="W327" s="139"/>
      <c r="X327" s="139"/>
      <c r="Y327" s="139"/>
      <c r="Z327" s="139"/>
      <c r="AA327" s="139"/>
      <c r="AB327" s="139"/>
      <c r="AC327" s="139"/>
      <c r="AD327" s="16"/>
      <c r="AE327" s="16"/>
      <c r="AF327" s="16"/>
      <c r="AG327" s="139"/>
      <c r="AH327" s="16"/>
      <c r="AI327" s="16"/>
      <c r="AJ327" s="16"/>
      <c r="AK327" s="16"/>
      <c r="AL327" s="16"/>
      <c r="AM327" s="16"/>
      <c r="DP327" s="87"/>
    </row>
    <row r="328" spans="2:120" s="1" customFormat="1" ht="16.5" customHeight="1">
      <c r="B328" s="2"/>
      <c r="C328" s="2"/>
      <c r="D328" s="16"/>
      <c r="E328" s="138"/>
      <c r="F328" s="17"/>
      <c r="G328" s="17"/>
      <c r="H328" s="17"/>
      <c r="I328" s="143"/>
      <c r="J328" s="143"/>
      <c r="K328" s="139"/>
      <c r="L328" s="139"/>
      <c r="M328" s="139"/>
      <c r="N328" s="139"/>
      <c r="O328" s="139"/>
      <c r="P328" s="139"/>
      <c r="Q328" s="139"/>
      <c r="R328" s="139"/>
      <c r="S328" s="139"/>
      <c r="T328" s="139"/>
      <c r="U328" s="139"/>
      <c r="V328" s="98"/>
      <c r="W328" s="98"/>
      <c r="X328" s="98"/>
      <c r="Y328" s="98"/>
      <c r="Z328" s="98"/>
      <c r="AA328" s="98"/>
      <c r="AB328" s="98"/>
      <c r="AC328" s="98"/>
      <c r="AD328" s="16"/>
      <c r="AE328" s="16"/>
      <c r="AF328" s="16"/>
      <c r="AG328" s="529"/>
      <c r="AH328" s="16"/>
      <c r="AI328" s="16"/>
      <c r="AJ328" s="16"/>
      <c r="AK328" s="16"/>
      <c r="AL328" s="16"/>
      <c r="AM328" s="16"/>
      <c r="DP328" s="87"/>
    </row>
  </sheetData>
  <sheetProtection password="ECEC" sheet="1" objects="1" scenarios="1" formatCells="0" formatRows="0" insertRows="0"/>
  <customSheetViews>
    <customSheetView guid="{9FD33A57-86F0-4BF5-A6C0-5833A5B59516}" showGridLines="0" fitToPage="1" hiddenRows="1" hiddenColumns="1">
      <pane xSplit="4" ySplit="3" topLeftCell="E110" activePane="bottomRight" state="frozen"/>
      <selection pane="bottomRight" activeCell="E68" sqref="E68:N68"/>
      <pageMargins left="7.8740157480315001E-2" right="0" top="0.27559055118110198" bottom="0.39370078740157499" header="7.8740157480315001E-2" footer="0.23622047244094499"/>
      <printOptions horizontalCentered="1"/>
      <pageSetup paperSize="9" scale="28" orientation="portrait" r:id="rId1"/>
      <headerFooter alignWithMargins="0">
        <oddHeader>&amp;C&amp;"Verdana,Bold"&amp;12DAILY PRODUCTION REPORT - AG AREA</oddHeader>
        <oddFooter>&amp;CPage &amp;P</oddFooter>
      </headerFooter>
    </customSheetView>
  </customSheetViews>
  <mergeCells count="76">
    <mergeCell ref="G2:G3"/>
    <mergeCell ref="F2:F3"/>
    <mergeCell ref="H2:H3"/>
    <mergeCell ref="DP2:DP3"/>
    <mergeCell ref="DI2:DI3"/>
    <mergeCell ref="DJ2:DJ3"/>
    <mergeCell ref="DK2:DK3"/>
    <mergeCell ref="DL2:DL3"/>
    <mergeCell ref="DM2:DM3"/>
    <mergeCell ref="DO2:DO3"/>
    <mergeCell ref="J2:J3"/>
    <mergeCell ref="K2:K3"/>
    <mergeCell ref="N2:N3"/>
    <mergeCell ref="V2:Z2"/>
    <mergeCell ref="O2:Q2"/>
    <mergeCell ref="B2:B3"/>
    <mergeCell ref="C2:C3"/>
    <mergeCell ref="D2:D3"/>
    <mergeCell ref="I2:I3"/>
    <mergeCell ref="E2:E3"/>
    <mergeCell ref="CX2:CX3"/>
    <mergeCell ref="AN2:AN3"/>
    <mergeCell ref="DC2:DC3"/>
    <mergeCell ref="DA2:DA3"/>
    <mergeCell ref="DN2:DN3"/>
    <mergeCell ref="CZ2:CZ3"/>
    <mergeCell ref="M2:M3"/>
    <mergeCell ref="S2:U2"/>
    <mergeCell ref="O1:W1"/>
    <mergeCell ref="DF2:DF3"/>
    <mergeCell ref="DG2:DG3"/>
    <mergeCell ref="DH2:DH3"/>
    <mergeCell ref="DD2:DD3"/>
    <mergeCell ref="CV2:CV3"/>
    <mergeCell ref="DE2:DE3"/>
    <mergeCell ref="CW2:CW3"/>
    <mergeCell ref="AF2:AF3"/>
    <mergeCell ref="CY2:CY3"/>
    <mergeCell ref="L2:L3"/>
    <mergeCell ref="CU2:CU3"/>
    <mergeCell ref="AH2:AM2"/>
    <mergeCell ref="R2:R3"/>
    <mergeCell ref="AG2:AG3"/>
    <mergeCell ref="AA2:AA3"/>
    <mergeCell ref="AB2:AD2"/>
    <mergeCell ref="AE2:AE3"/>
    <mergeCell ref="EB2:EB3"/>
    <mergeCell ref="EC2:EC3"/>
    <mergeCell ref="ED2:ED3"/>
    <mergeCell ref="EE2:EE3"/>
    <mergeCell ref="EF2:EF3"/>
    <mergeCell ref="EG2:EG3"/>
    <mergeCell ref="EH2:EH3"/>
    <mergeCell ref="EI2:EI3"/>
    <mergeCell ref="EJ2:EJ3"/>
    <mergeCell ref="EK2:EK3"/>
    <mergeCell ref="EL2:EL3"/>
    <mergeCell ref="EM2:EM3"/>
    <mergeCell ref="EN2:EN3"/>
    <mergeCell ref="EO2:EO3"/>
    <mergeCell ref="EP2:EP3"/>
    <mergeCell ref="EQ2:EQ3"/>
    <mergeCell ref="ER2:ER3"/>
    <mergeCell ref="ES2:ES3"/>
    <mergeCell ref="ET2:ET3"/>
    <mergeCell ref="EU2:EU3"/>
    <mergeCell ref="EV2:EV3"/>
    <mergeCell ref="EW2:EW3"/>
    <mergeCell ref="EX2:EX3"/>
    <mergeCell ref="EY2:EY3"/>
    <mergeCell ref="EZ2:EZ3"/>
    <mergeCell ref="FA2:FA3"/>
    <mergeCell ref="FB2:FB3"/>
    <mergeCell ref="FC2:FC3"/>
    <mergeCell ref="FD2:FD3"/>
    <mergeCell ref="FE2:FE3"/>
  </mergeCells>
  <phoneticPr fontId="2" type="noConversion"/>
  <conditionalFormatting sqref="E2:E3">
    <cfRule type="expression" dxfId="1953" priority="29807" stopIfTrue="1">
      <formula>E1&gt;0</formula>
    </cfRule>
  </conditionalFormatting>
  <conditionalFormatting sqref="I4:U4 AI4 AD4 AK4:AM4 F4 AF4:AG36 AF47:AG74 AM5:AM36 AF38:AG45 AF76:AG96 F7:F77 F79:F190 AF98:AG190 AM38:AM190">
    <cfRule type="expression" dxfId="1952" priority="29808" stopIfTrue="1">
      <formula>OR($D4="SI",$D4="T&amp;A")</formula>
    </cfRule>
  </conditionalFormatting>
  <conditionalFormatting sqref="B68:C68 B30:C30 B58:C66 B70:C74 B4:D4 B32 B18:C26 B5:C15 B47:C55 B33:C36 B92 B94:C95 B76:C91 B38:C45 D98:D104 D152:D153 D161:D168 D155 D170 B98:C190">
    <cfRule type="expression" dxfId="1951" priority="29820" stopIfTrue="1">
      <formula>OR($D4="SI",$D4="T&amp;A")</formula>
    </cfRule>
  </conditionalFormatting>
  <conditionalFormatting sqref="E4">
    <cfRule type="expression" dxfId="1950" priority="29796" stopIfTrue="1">
      <formula>AND($D4&lt;&gt;"SI",$E4&lt;24)</formula>
    </cfRule>
    <cfRule type="expression" dxfId="1949" priority="29845" stopIfTrue="1">
      <formula>OR($D4="SI",$D4="T&amp;A")</formula>
    </cfRule>
  </conditionalFormatting>
  <conditionalFormatting sqref="B67:C67">
    <cfRule type="expression" dxfId="1948" priority="27905" stopIfTrue="1">
      <formula>OR($D67="SI",$D67="T&amp;A")</formula>
    </cfRule>
  </conditionalFormatting>
  <conditionalFormatting sqref="B56:C57">
    <cfRule type="expression" dxfId="1947" priority="27901" stopIfTrue="1">
      <formula>OR($D56="SI",$D56="T&amp;A")</formula>
    </cfRule>
  </conditionalFormatting>
  <conditionalFormatting sqref="B29:C29">
    <cfRule type="expression" dxfId="1946" priority="27893" stopIfTrue="1">
      <formula>OR($D29="SI",$D29="T&amp;A")</formula>
    </cfRule>
  </conditionalFormatting>
  <conditionalFormatting sqref="B16:C17">
    <cfRule type="expression" dxfId="1945" priority="27889" stopIfTrue="1">
      <formula>OR($D16="SI",$D16="T&amp;A")</formula>
    </cfRule>
  </conditionalFormatting>
  <conditionalFormatting sqref="B93:C93 C92">
    <cfRule type="expression" dxfId="1944" priority="27846" stopIfTrue="1">
      <formula>OR($D92="SI",$D92="T&amp;A")</formula>
    </cfRule>
  </conditionalFormatting>
  <conditionalFormatting sqref="B69:C69">
    <cfRule type="expression" dxfId="1943" priority="27842" stopIfTrue="1">
      <formula>OR($D69="SI",$D69="T&amp;A")</formula>
    </cfRule>
  </conditionalFormatting>
  <conditionalFormatting sqref="B27:C28">
    <cfRule type="expression" dxfId="1942" priority="27807" stopIfTrue="1">
      <formula>OR($D27="SI",$D27="T&amp;A")</formula>
    </cfRule>
  </conditionalFormatting>
  <conditionalFormatting sqref="B31:C31">
    <cfRule type="expression" dxfId="1941" priority="27802" stopIfTrue="1">
      <formula>OR($D31="SI",$D31="T&amp;A")</formula>
    </cfRule>
  </conditionalFormatting>
  <conditionalFormatting sqref="B46:C46">
    <cfRule type="expression" dxfId="1940" priority="27798" stopIfTrue="1">
      <formula>OR($D46="SI",$D46="T&amp;A")</formula>
    </cfRule>
  </conditionalFormatting>
  <conditionalFormatting sqref="B75:C75">
    <cfRule type="expression" dxfId="1939" priority="26501" stopIfTrue="1">
      <formula>OR($D75="SI",$D75="T&amp;A")</formula>
    </cfRule>
  </conditionalFormatting>
  <conditionalFormatting sqref="C32">
    <cfRule type="expression" dxfId="1938" priority="26477" stopIfTrue="1">
      <formula>OR($D32="SI",$D32="T&amp;A")</formula>
    </cfRule>
  </conditionalFormatting>
  <conditionalFormatting sqref="B96:C97">
    <cfRule type="expression" dxfId="1937" priority="2184" stopIfTrue="1">
      <formula>OR($D96="SI",$D96="T&amp;A")</formula>
    </cfRule>
  </conditionalFormatting>
  <conditionalFormatting sqref="B37:C37">
    <cfRule type="expression" dxfId="1936" priority="2179" stopIfTrue="1">
      <formula>OR($D37="SI",$D37="T&amp;A")</formula>
    </cfRule>
  </conditionalFormatting>
  <conditionalFormatting sqref="E187:E190">
    <cfRule type="expression" dxfId="1935" priority="1592" stopIfTrue="1">
      <formula>AND($D187&lt;&gt;"SI",$E187&lt;24)</formula>
    </cfRule>
    <cfRule type="expression" dxfId="1934" priority="1593" stopIfTrue="1">
      <formula>OR($D187="SI",$D187="T&amp;A")</formula>
    </cfRule>
  </conditionalFormatting>
  <conditionalFormatting sqref="D70:D71 D79:D80 D73:D76 D86:D87">
    <cfRule type="expression" dxfId="1933" priority="1553" stopIfTrue="1">
      <formula>OR($D70="SI",$D70="T&amp;A")</formula>
    </cfRule>
  </conditionalFormatting>
  <conditionalFormatting sqref="D5 D123:D129 D34 D40 D48 D116 D174:D176 D26:D31 D106:D108 D18:D19 D8 D10 D21:D22 D50:D55 D63:D68 D73:D76 D78:D80 D86:D87 D94:D95 D110:D111 D118 D133:D135 D138:D139 D158 D70:D71 D141:D146 D57:D61 D178:D184 D186:D190">
    <cfRule type="expression" dxfId="1932" priority="1552" stopIfTrue="1">
      <formula>OR($D5="SI",$D5="T&amp;A")</formula>
    </cfRule>
  </conditionalFormatting>
  <conditionalFormatting sqref="D152">
    <cfRule type="expression" dxfId="1931" priority="1549" stopIfTrue="1">
      <formula>OR($D152="SI",$D152="T&amp;A")</formula>
    </cfRule>
  </conditionalFormatting>
  <conditionalFormatting sqref="D161:D162">
    <cfRule type="expression" dxfId="1930" priority="1545" stopIfTrue="1">
      <formula>OR($D161="SI",$D161="T&amp;A")</formula>
    </cfRule>
  </conditionalFormatting>
  <conditionalFormatting sqref="D78">
    <cfRule type="expression" dxfId="1929" priority="1540" stopIfTrue="1">
      <formula>OR($D78="SI",$D78="T&amp;A")</formula>
    </cfRule>
  </conditionalFormatting>
  <conditionalFormatting sqref="D19">
    <cfRule type="expression" dxfId="1928" priority="1539" stopIfTrue="1">
      <formula>OR($D19="SI",$D19="T&amp;A")</formula>
    </cfRule>
  </conditionalFormatting>
  <conditionalFormatting sqref="D172">
    <cfRule type="expression" dxfId="1927" priority="1537" stopIfTrue="1">
      <formula>OR($D172="SI",$D172="T&amp;A")</formula>
    </cfRule>
  </conditionalFormatting>
  <conditionalFormatting sqref="D7">
    <cfRule type="expression" dxfId="1926" priority="1353" stopIfTrue="1">
      <formula>OR($D7="SI",$D7="T&amp;A")</formula>
    </cfRule>
  </conditionalFormatting>
  <conditionalFormatting sqref="D9">
    <cfRule type="expression" dxfId="1925" priority="1350" stopIfTrue="1">
      <formula>OR($D9="SI",$D9="T&amp;A")</formula>
    </cfRule>
  </conditionalFormatting>
  <conditionalFormatting sqref="D20">
    <cfRule type="expression" dxfId="1924" priority="1341" stopIfTrue="1">
      <formula>OR($D20="SI",$D20="T&amp;A")</formula>
    </cfRule>
  </conditionalFormatting>
  <conditionalFormatting sqref="D32">
    <cfRule type="expression" dxfId="1923" priority="1335" stopIfTrue="1">
      <formula>OR($D32="SI",$D32="T&amp;A")</formula>
    </cfRule>
  </conditionalFormatting>
  <conditionalFormatting sqref="D49">
    <cfRule type="expression" dxfId="1922" priority="1329" stopIfTrue="1">
      <formula>OR($D49="SI",$D49="T&amp;A")</formula>
    </cfRule>
  </conditionalFormatting>
  <conditionalFormatting sqref="D62">
    <cfRule type="expression" dxfId="1921" priority="1326" stopIfTrue="1">
      <formula>OR($D62="SI",$D62="T&amp;A")</formula>
    </cfRule>
  </conditionalFormatting>
  <conditionalFormatting sqref="D72">
    <cfRule type="expression" dxfId="1920" priority="1323" stopIfTrue="1">
      <formula>OR($D72="SI",$D72="T&amp;A")</formula>
    </cfRule>
  </conditionalFormatting>
  <conditionalFormatting sqref="D77">
    <cfRule type="expression" dxfId="1919" priority="1320" stopIfTrue="1">
      <formula>OR($D77="SI",$D77="T&amp;A")</formula>
    </cfRule>
  </conditionalFormatting>
  <conditionalFormatting sqref="D81">
    <cfRule type="expression" dxfId="1918" priority="1317" stopIfTrue="1">
      <formula>OR($D81="SI",$D81="T&amp;A")</formula>
    </cfRule>
  </conditionalFormatting>
  <conditionalFormatting sqref="D83">
    <cfRule type="expression" dxfId="1917" priority="1314" stopIfTrue="1">
      <formula>OR($D83="SI",$D83="T&amp;A")</formula>
    </cfRule>
  </conditionalFormatting>
  <conditionalFormatting sqref="D84">
    <cfRule type="expression" dxfId="1916" priority="1311" stopIfTrue="1">
      <formula>OR($D84="SI",$D84="T&amp;A")</formula>
    </cfRule>
  </conditionalFormatting>
  <conditionalFormatting sqref="D85">
    <cfRule type="expression" dxfId="1915" priority="1308" stopIfTrue="1">
      <formula>OR($D85="SI",$D85="T&amp;A")</formula>
    </cfRule>
  </conditionalFormatting>
  <conditionalFormatting sqref="D88">
    <cfRule type="expression" dxfId="1914" priority="1305" stopIfTrue="1">
      <formula>OR($D88="SI",$D88="T&amp;A")</formula>
    </cfRule>
  </conditionalFormatting>
  <conditionalFormatting sqref="D89">
    <cfRule type="expression" dxfId="1913" priority="1302" stopIfTrue="1">
      <formula>OR($D89="SI",$D89="T&amp;A")</formula>
    </cfRule>
  </conditionalFormatting>
  <conditionalFormatting sqref="D90">
    <cfRule type="expression" dxfId="1912" priority="1299" stopIfTrue="1">
      <formula>OR($D90="SI",$D90="T&amp;A")</formula>
    </cfRule>
  </conditionalFormatting>
  <conditionalFormatting sqref="D91">
    <cfRule type="expression" dxfId="1911" priority="1296" stopIfTrue="1">
      <formula>OR($D91="SI",$D91="T&amp;A")</formula>
    </cfRule>
  </conditionalFormatting>
  <conditionalFormatting sqref="D96:D97">
    <cfRule type="expression" dxfId="1910" priority="1290" stopIfTrue="1">
      <formula>OR($D96="SI",$D96="T&amp;A")</formula>
    </cfRule>
  </conditionalFormatting>
  <conditionalFormatting sqref="D109">
    <cfRule type="expression" dxfId="1909" priority="1287" stopIfTrue="1">
      <formula>OR($D109="SI",$D109="T&amp;A")</formula>
    </cfRule>
  </conditionalFormatting>
  <conditionalFormatting sqref="D112">
    <cfRule type="expression" dxfId="1908" priority="1284" stopIfTrue="1">
      <formula>OR($D112="SI",$D112="T&amp;A")</formula>
    </cfRule>
  </conditionalFormatting>
  <conditionalFormatting sqref="D113">
    <cfRule type="expression" dxfId="1907" priority="1281" stopIfTrue="1">
      <formula>OR($D113="SI",$D113="T&amp;A")</formula>
    </cfRule>
  </conditionalFormatting>
  <conditionalFormatting sqref="D114">
    <cfRule type="expression" dxfId="1906" priority="1278" stopIfTrue="1">
      <formula>OR($D114="SI",$D114="T&amp;A")</formula>
    </cfRule>
  </conditionalFormatting>
  <conditionalFormatting sqref="D117">
    <cfRule type="expression" dxfId="1905" priority="1275" stopIfTrue="1">
      <formula>OR($D117="SI",$D117="T&amp;A")</formula>
    </cfRule>
  </conditionalFormatting>
  <conditionalFormatting sqref="D130">
    <cfRule type="expression" dxfId="1904" priority="1272" stopIfTrue="1">
      <formula>OR($D130="SI",$D130="T&amp;A")</formula>
    </cfRule>
  </conditionalFormatting>
  <conditionalFormatting sqref="D131">
    <cfRule type="expression" dxfId="1903" priority="1269" stopIfTrue="1">
      <formula>OR($D131="SI",$D131="T&amp;A")</formula>
    </cfRule>
  </conditionalFormatting>
  <conditionalFormatting sqref="D132">
    <cfRule type="expression" dxfId="1902" priority="1266" stopIfTrue="1">
      <formula>OR($D132="SI",$D132="T&amp;A")</formula>
    </cfRule>
  </conditionalFormatting>
  <conditionalFormatting sqref="D136">
    <cfRule type="expression" dxfId="1901" priority="1263" stopIfTrue="1">
      <formula>OR($D136="SI",$D136="T&amp;A")</formula>
    </cfRule>
  </conditionalFormatting>
  <conditionalFormatting sqref="D156:D157">
    <cfRule type="expression" dxfId="1900" priority="1254" stopIfTrue="1">
      <formula>OR($D156="SI",$D156="T&amp;A")</formula>
    </cfRule>
  </conditionalFormatting>
  <conditionalFormatting sqref="D159:D160">
    <cfRule type="expression" dxfId="1899" priority="1251" stopIfTrue="1">
      <formula>OR($D159="SI",$D159="T&amp;A")</formula>
    </cfRule>
  </conditionalFormatting>
  <conditionalFormatting sqref="D11:D12 D16:D17 D14">
    <cfRule type="expression" dxfId="1898" priority="1208" stopIfTrue="1">
      <formula>OR($D11="SI",$D11="T&amp;A")</formula>
    </cfRule>
  </conditionalFormatting>
  <conditionalFormatting sqref="D37:D38">
    <cfRule type="expression" dxfId="1897" priority="1207" stopIfTrue="1">
      <formula>OR($D37="SI",$D37="T&amp;A")</formula>
    </cfRule>
  </conditionalFormatting>
  <conditionalFormatting sqref="D42 D46">
    <cfRule type="expression" dxfId="1896" priority="1204" stopIfTrue="1">
      <formula>OR($D42="SI",$D42="T&amp;A")</formula>
    </cfRule>
  </conditionalFormatting>
  <conditionalFormatting sqref="D43 D45">
    <cfRule type="expression" dxfId="1895" priority="1203" stopIfTrue="1">
      <formula>OR($D43="SI",$D43="T&amp;A")</formula>
    </cfRule>
  </conditionalFormatting>
  <conditionalFormatting sqref="D121:D122">
    <cfRule type="expression" dxfId="1894" priority="1202" stopIfTrue="1">
      <formula>OR($D121="SI",$D121="T&amp;A")</formula>
    </cfRule>
  </conditionalFormatting>
  <conditionalFormatting sqref="D147">
    <cfRule type="expression" dxfId="1893" priority="1201" stopIfTrue="1">
      <formula>OR($D147="SI",$D147="T&amp;A")</formula>
    </cfRule>
  </conditionalFormatting>
  <conditionalFormatting sqref="D119">
    <cfRule type="expression" dxfId="1892" priority="1172" stopIfTrue="1">
      <formula>OR($D119="SI",$D119="T&amp;A")</formula>
    </cfRule>
  </conditionalFormatting>
  <conditionalFormatting sqref="D115">
    <cfRule type="expression" dxfId="1891" priority="1115" stopIfTrue="1">
      <formula>OR($D115="SI",$D115="T&amp;A")</formula>
    </cfRule>
  </conditionalFormatting>
  <conditionalFormatting sqref="D151">
    <cfRule type="expression" dxfId="1890" priority="962" stopIfTrue="1">
      <formula>OR($D151="SI",$D151="T&amp;A")</formula>
    </cfRule>
  </conditionalFormatting>
  <conditionalFormatting sqref="D154">
    <cfRule type="expression" dxfId="1889" priority="940" stopIfTrue="1">
      <formula>OR($D154="SI",$D154="T&amp;A")</formula>
    </cfRule>
  </conditionalFormatting>
  <conditionalFormatting sqref="D154">
    <cfRule type="expression" dxfId="1888" priority="937" stopIfTrue="1">
      <formula>OR($D154="SI",$D154="T&amp;A")</formula>
    </cfRule>
  </conditionalFormatting>
  <conditionalFormatting sqref="D140">
    <cfRule type="expression" dxfId="1887" priority="907" stopIfTrue="1">
      <formula>OR($D140="SI",$D140="T&amp;A")</formula>
    </cfRule>
  </conditionalFormatting>
  <conditionalFormatting sqref="D171">
    <cfRule type="expression" dxfId="1886" priority="897" stopIfTrue="1">
      <formula>OR($D171="SI",$D171="T&amp;A")</formula>
    </cfRule>
  </conditionalFormatting>
  <conditionalFormatting sqref="D56">
    <cfRule type="expression" dxfId="1885" priority="892" stopIfTrue="1">
      <formula>OR($D56="SI",$D56="T&amp;A")</formula>
    </cfRule>
  </conditionalFormatting>
  <conditionalFormatting sqref="D44">
    <cfRule type="expression" dxfId="1884" priority="865" stopIfTrue="1">
      <formula>OR($D44="SI",$D44="T&amp;A")</formula>
    </cfRule>
  </conditionalFormatting>
  <conditionalFormatting sqref="D92">
    <cfRule type="expression" dxfId="1883" priority="844" stopIfTrue="1">
      <formula>OR($D92="SI",$D92="T&amp;A")</formula>
    </cfRule>
  </conditionalFormatting>
  <conditionalFormatting sqref="D92">
    <cfRule type="expression" dxfId="1882" priority="843" stopIfTrue="1">
      <formula>OR($D92="SI",$D92="T&amp;A")</formula>
    </cfRule>
  </conditionalFormatting>
  <conditionalFormatting sqref="D93">
    <cfRule type="expression" dxfId="1881" priority="801" stopIfTrue="1">
      <formula>OR($D93="SI",$D93="T&amp;A")</formula>
    </cfRule>
  </conditionalFormatting>
  <conditionalFormatting sqref="D93">
    <cfRule type="expression" dxfId="1880" priority="800" stopIfTrue="1">
      <formula>OR($D93="SI",$D93="T&amp;A")</formula>
    </cfRule>
  </conditionalFormatting>
  <conditionalFormatting sqref="D173">
    <cfRule type="expression" dxfId="1879" priority="799" stopIfTrue="1">
      <formula>OR($D173="SI",$D173="T&amp;A")</formula>
    </cfRule>
  </conditionalFormatting>
  <conditionalFormatting sqref="D47">
    <cfRule type="expression" dxfId="1878" priority="794" stopIfTrue="1">
      <formula>OR($D47="SI",$D47="T&amp;A")</formula>
    </cfRule>
  </conditionalFormatting>
  <conditionalFormatting sqref="D69">
    <cfRule type="expression" dxfId="1877" priority="773" stopIfTrue="1">
      <formula>OR($D69="SI",$D69="T&amp;A")</formula>
    </cfRule>
  </conditionalFormatting>
  <conditionalFormatting sqref="D105">
    <cfRule type="expression" dxfId="1876" priority="730" stopIfTrue="1">
      <formula>OR($D105="SI",$D105="T&amp;A")</formula>
    </cfRule>
  </conditionalFormatting>
  <conditionalFormatting sqref="D137">
    <cfRule type="expression" dxfId="1875" priority="725" stopIfTrue="1">
      <formula>OR($D137="SI",$D137="T&amp;A")</formula>
    </cfRule>
  </conditionalFormatting>
  <conditionalFormatting sqref="D25">
    <cfRule type="expression" dxfId="1874" priority="653" stopIfTrue="1">
      <formula>OR($D25="SI",$D25="T&amp;A")</formula>
    </cfRule>
  </conditionalFormatting>
  <conditionalFormatting sqref="D148:D149">
    <cfRule type="expression" dxfId="1873" priority="464" stopIfTrue="1">
      <formula>OR($D148="SI",$D148="T&amp;A")</formula>
    </cfRule>
  </conditionalFormatting>
  <conditionalFormatting sqref="D6">
    <cfRule type="expression" dxfId="1872" priority="461" stopIfTrue="1">
      <formula>OR($D6="SI",$D6="T&amp;A")</formula>
    </cfRule>
  </conditionalFormatting>
  <conditionalFormatting sqref="D13">
    <cfRule type="expression" dxfId="1871" priority="458" stopIfTrue="1">
      <formula>OR($D13="SI",$D13="T&amp;A")</formula>
    </cfRule>
  </conditionalFormatting>
  <conditionalFormatting sqref="D23">
    <cfRule type="expression" dxfId="1870" priority="455" stopIfTrue="1">
      <formula>OR($D23="SI",$D23="T&amp;A")</formula>
    </cfRule>
  </conditionalFormatting>
  <conditionalFormatting sqref="D24">
    <cfRule type="expression" dxfId="1869" priority="440" stopIfTrue="1">
      <formula>OR($D24="SI",$D24="T&amp;A")</formula>
    </cfRule>
  </conditionalFormatting>
  <conditionalFormatting sqref="D35">
    <cfRule type="expression" dxfId="1868" priority="437" stopIfTrue="1">
      <formula>OR($D35="SI",$D35="T&amp;A")</formula>
    </cfRule>
  </conditionalFormatting>
  <conditionalFormatting sqref="D82">
    <cfRule type="expression" dxfId="1867" priority="407" stopIfTrue="1">
      <formula>OR($D82="SI",$D82="T&amp;A")</formula>
    </cfRule>
  </conditionalFormatting>
  <conditionalFormatting sqref="D177">
    <cfRule type="expression" dxfId="1866" priority="344" stopIfTrue="1">
      <formula>OR($D177="SI",$D177="T&amp;A")</formula>
    </cfRule>
  </conditionalFormatting>
  <conditionalFormatting sqref="E5 E40 E42:E43 E16:E22 E37:E38 E121:E136 E34 E116:E118 E174:E176 E57:E68 E70:E81 E152:E153 E141:E147 E170 E45:E46 E94:E104 E48:E55 E106:E114 E138:E139 E26:E32 E7:E12 E14 E83:E91 E178:E184 E155:E168 E186">
    <cfRule type="expression" dxfId="1865" priority="246" stopIfTrue="1">
      <formula>AND($D5&lt;&gt;"SI",$E5&lt;24)</formula>
    </cfRule>
    <cfRule type="expression" dxfId="1864" priority="247" stopIfTrue="1">
      <formula>OR($D5="SI",$D5="T&amp;A")</formula>
    </cfRule>
  </conditionalFormatting>
  <conditionalFormatting sqref="E172">
    <cfRule type="expression" dxfId="1863" priority="244" stopIfTrue="1">
      <formula>AND($D172&lt;&gt;"SI",$E172&lt;24)</formula>
    </cfRule>
    <cfRule type="expression" dxfId="1862" priority="245" stopIfTrue="1">
      <formula>OR($D172="SI",$D172="T&amp;A")</formula>
    </cfRule>
  </conditionalFormatting>
  <conditionalFormatting sqref="E119">
    <cfRule type="expression" dxfId="1861" priority="242" stopIfTrue="1">
      <formula>AND($D119&lt;&gt;"SI",$E119&lt;24)</formula>
    </cfRule>
    <cfRule type="expression" dxfId="1860" priority="243" stopIfTrue="1">
      <formula>OR($D119="SI",$D119="T&amp;A")</formula>
    </cfRule>
  </conditionalFormatting>
  <conditionalFormatting sqref="E115">
    <cfRule type="expression" dxfId="1859" priority="240" stopIfTrue="1">
      <formula>AND($D115&lt;&gt;"SI",$E115&lt;24)</formula>
    </cfRule>
    <cfRule type="expression" dxfId="1858" priority="241" stopIfTrue="1">
      <formula>OR($D115="SI",$D115="T&amp;A")</formula>
    </cfRule>
  </conditionalFormatting>
  <conditionalFormatting sqref="E151">
    <cfRule type="expression" dxfId="1857" priority="238" stopIfTrue="1">
      <formula>AND($D151&lt;&gt;"SI",$E151&lt;24)</formula>
    </cfRule>
    <cfRule type="expression" dxfId="1856" priority="239" stopIfTrue="1">
      <formula>OR($D151="SI",$D151="T&amp;A")</formula>
    </cfRule>
  </conditionalFormatting>
  <conditionalFormatting sqref="E154">
    <cfRule type="expression" dxfId="1855" priority="236" stopIfTrue="1">
      <formula>AND($D154&lt;&gt;"SI",$E154&lt;24)</formula>
    </cfRule>
    <cfRule type="expression" dxfId="1854" priority="237" stopIfTrue="1">
      <formula>OR($D154="SI",$D154="T&amp;A")</formula>
    </cfRule>
  </conditionalFormatting>
  <conditionalFormatting sqref="E140">
    <cfRule type="expression" dxfId="1853" priority="234" stopIfTrue="1">
      <formula>AND($D140&lt;&gt;"SI",$E140&lt;24)</formula>
    </cfRule>
    <cfRule type="expression" dxfId="1852" priority="235" stopIfTrue="1">
      <formula>OR($D140="SI",$D140="T&amp;A")</formula>
    </cfRule>
  </conditionalFormatting>
  <conditionalFormatting sqref="E171">
    <cfRule type="expression" dxfId="1851" priority="230" stopIfTrue="1">
      <formula>AND($D171&lt;&gt;"SI",$E171&lt;24)</formula>
    </cfRule>
    <cfRule type="expression" dxfId="1850" priority="231" stopIfTrue="1">
      <formula>OR($D171="SI",$D171="T&amp;A")</formula>
    </cfRule>
  </conditionalFormatting>
  <conditionalFormatting sqref="E56">
    <cfRule type="expression" dxfId="1849" priority="228" stopIfTrue="1">
      <formula>AND($D56&lt;&gt;"SI",$E56&lt;24)</formula>
    </cfRule>
    <cfRule type="expression" dxfId="1848" priority="229" stopIfTrue="1">
      <formula>OR($D56="SI",$D56="T&amp;A")</formula>
    </cfRule>
  </conditionalFormatting>
  <conditionalFormatting sqref="E44">
    <cfRule type="expression" dxfId="1847" priority="226" stopIfTrue="1">
      <formula>AND($D44&lt;&gt;"SI",$E44&lt;24)</formula>
    </cfRule>
    <cfRule type="expression" dxfId="1846" priority="227" stopIfTrue="1">
      <formula>OR($D44="SI",$D44="T&amp;A")</formula>
    </cfRule>
  </conditionalFormatting>
  <conditionalFormatting sqref="E92">
    <cfRule type="expression" dxfId="1845" priority="224" stopIfTrue="1">
      <formula>AND($D92&lt;&gt;"SI",$E92&lt;24)</formula>
    </cfRule>
    <cfRule type="expression" dxfId="1844" priority="225" stopIfTrue="1">
      <formula>OR($D92="SI",$D92="T&amp;A")</formula>
    </cfRule>
  </conditionalFormatting>
  <conditionalFormatting sqref="E93">
    <cfRule type="expression" dxfId="1843" priority="222" stopIfTrue="1">
      <formula>AND($D93&lt;&gt;"SI",$E93&lt;24)</formula>
    </cfRule>
    <cfRule type="expression" dxfId="1842" priority="223" stopIfTrue="1">
      <formula>OR($D93="SI",$D93="T&amp;A")</formula>
    </cfRule>
  </conditionalFormatting>
  <conditionalFormatting sqref="E173">
    <cfRule type="expression" dxfId="1841" priority="220" stopIfTrue="1">
      <formula>AND($D173&lt;&gt;"SI",$E173&lt;24)</formula>
    </cfRule>
    <cfRule type="expression" dxfId="1840" priority="221" stopIfTrue="1">
      <formula>OR($D173="SI",$D173="T&amp;A")</formula>
    </cfRule>
  </conditionalFormatting>
  <conditionalFormatting sqref="E47">
    <cfRule type="expression" dxfId="1839" priority="218" stopIfTrue="1">
      <formula>AND($D47&lt;&gt;"SI",$E47&lt;24)</formula>
    </cfRule>
    <cfRule type="expression" dxfId="1838" priority="219" stopIfTrue="1">
      <formula>OR($D47="SI",$D47="T&amp;A")</formula>
    </cfRule>
  </conditionalFormatting>
  <conditionalFormatting sqref="E69">
    <cfRule type="expression" dxfId="1837" priority="216" stopIfTrue="1">
      <formula>AND($D69&lt;&gt;"SI",$E69&lt;24)</formula>
    </cfRule>
    <cfRule type="expression" dxfId="1836" priority="217" stopIfTrue="1">
      <formula>OR($D69="SI",$D69="T&amp;A")</formula>
    </cfRule>
  </conditionalFormatting>
  <conditionalFormatting sqref="E105">
    <cfRule type="expression" dxfId="1835" priority="214" stopIfTrue="1">
      <formula>AND($D105&lt;&gt;"SI",$E105&lt;24)</formula>
    </cfRule>
    <cfRule type="expression" dxfId="1834" priority="215" stopIfTrue="1">
      <formula>OR($D105="SI",$D105="T&amp;A")</formula>
    </cfRule>
  </conditionalFormatting>
  <conditionalFormatting sqref="E137">
    <cfRule type="expression" dxfId="1833" priority="212" stopIfTrue="1">
      <formula>AND($D137&lt;&gt;"SI",$E137&lt;24)</formula>
    </cfRule>
    <cfRule type="expression" dxfId="1832" priority="213" stopIfTrue="1">
      <formula>OR($D137="SI",$D137="T&amp;A")</formula>
    </cfRule>
  </conditionalFormatting>
  <conditionalFormatting sqref="E25">
    <cfRule type="expression" dxfId="1831" priority="210" stopIfTrue="1">
      <formula>AND($D25&lt;&gt;"SI",$E25&lt;24)</formula>
    </cfRule>
    <cfRule type="expression" dxfId="1830" priority="211" stopIfTrue="1">
      <formula>OR($D25="SI",$D25="T&amp;A")</formula>
    </cfRule>
  </conditionalFormatting>
  <conditionalFormatting sqref="E148:E149">
    <cfRule type="expression" dxfId="1829" priority="208" stopIfTrue="1">
      <formula>AND($D148&lt;&gt;"SI",$E148&lt;24)</formula>
    </cfRule>
    <cfRule type="expression" dxfId="1828" priority="209" stopIfTrue="1">
      <formula>OR($D148="SI",$D148="T&amp;A")</formula>
    </cfRule>
  </conditionalFormatting>
  <conditionalFormatting sqref="E6">
    <cfRule type="expression" dxfId="1827" priority="206" stopIfTrue="1">
      <formula>AND($D6&lt;&gt;"SI",$E6&lt;24)</formula>
    </cfRule>
    <cfRule type="expression" dxfId="1826" priority="207" stopIfTrue="1">
      <formula>OR($D6="SI",$D6="T&amp;A")</formula>
    </cfRule>
  </conditionalFormatting>
  <conditionalFormatting sqref="E13">
    <cfRule type="expression" dxfId="1825" priority="204" stopIfTrue="1">
      <formula>AND($D13&lt;&gt;"SI",$E13&lt;24)</formula>
    </cfRule>
    <cfRule type="expression" dxfId="1824" priority="205" stopIfTrue="1">
      <formula>OR($D13="SI",$D13="T&amp;A")</formula>
    </cfRule>
  </conditionalFormatting>
  <conditionalFormatting sqref="E23">
    <cfRule type="expression" dxfId="1823" priority="202" stopIfTrue="1">
      <formula>AND($D23&lt;&gt;"SI",$E23&lt;24)</formula>
    </cfRule>
    <cfRule type="expression" dxfId="1822" priority="203" stopIfTrue="1">
      <formula>OR($D23="SI",$D23="T&amp;A")</formula>
    </cfRule>
  </conditionalFormatting>
  <conditionalFormatting sqref="E24">
    <cfRule type="expression" dxfId="1821" priority="200" stopIfTrue="1">
      <formula>AND($D24&lt;&gt;"SI",$E24&lt;24)</formula>
    </cfRule>
    <cfRule type="expression" dxfId="1820" priority="201" stopIfTrue="1">
      <formula>OR($D24="SI",$D24="T&amp;A")</formula>
    </cfRule>
  </conditionalFormatting>
  <conditionalFormatting sqref="E35">
    <cfRule type="expression" dxfId="1819" priority="198" stopIfTrue="1">
      <formula>AND($D35&lt;&gt;"SI",$E35&lt;24)</formula>
    </cfRule>
    <cfRule type="expression" dxfId="1818" priority="199" stopIfTrue="1">
      <formula>OR($D35="SI",$D35="T&amp;A")</formula>
    </cfRule>
  </conditionalFormatting>
  <conditionalFormatting sqref="E82">
    <cfRule type="expression" dxfId="1817" priority="196" stopIfTrue="1">
      <formula>AND($D82&lt;&gt;"SI",$E82&lt;24)</formula>
    </cfRule>
    <cfRule type="expression" dxfId="1816" priority="197" stopIfTrue="1">
      <formula>OR($D82="SI",$D82="T&amp;A")</formula>
    </cfRule>
  </conditionalFormatting>
  <conditionalFormatting sqref="E177">
    <cfRule type="expression" dxfId="1815" priority="194" stopIfTrue="1">
      <formula>AND($D177&lt;&gt;"SI",$E177&lt;24)</formula>
    </cfRule>
    <cfRule type="expression" dxfId="1814" priority="195" stopIfTrue="1">
      <formula>OR($D177="SI",$D177="T&amp;A")</formula>
    </cfRule>
  </conditionalFormatting>
  <conditionalFormatting sqref="D185">
    <cfRule type="expression" dxfId="1813" priority="126" stopIfTrue="1">
      <formula>OR($D185="SI",$D185="T&amp;A")</formula>
    </cfRule>
  </conditionalFormatting>
  <conditionalFormatting sqref="E185">
    <cfRule type="expression" dxfId="1812" priority="124" stopIfTrue="1">
      <formula>AND($D185&lt;&gt;"SI",$E185&lt;24)</formula>
    </cfRule>
    <cfRule type="expression" dxfId="1811" priority="125" stopIfTrue="1">
      <formula>OR($D185="SI",$D185="T&amp;A")</formula>
    </cfRule>
  </conditionalFormatting>
  <conditionalFormatting sqref="D169">
    <cfRule type="expression" dxfId="1810" priority="66" stopIfTrue="1">
      <formula>OR($D169="SI",$D169="T&amp;A")</formula>
    </cfRule>
  </conditionalFormatting>
  <conditionalFormatting sqref="E169">
    <cfRule type="expression" dxfId="1809" priority="64" stopIfTrue="1">
      <formula>AND($D169&lt;&gt;"SI",$E169&lt;24)</formula>
    </cfRule>
    <cfRule type="expression" dxfId="1808" priority="65" stopIfTrue="1">
      <formula>OR($D169="SI",$D169="T&amp;A")</formula>
    </cfRule>
  </conditionalFormatting>
  <conditionalFormatting sqref="D15">
    <cfRule type="expression" dxfId="1807" priority="21" stopIfTrue="1">
      <formula>OR($D15="SI",$D15="T&amp;A")</formula>
    </cfRule>
  </conditionalFormatting>
  <conditionalFormatting sqref="E15">
    <cfRule type="expression" dxfId="1806" priority="19" stopIfTrue="1">
      <formula>AND($D15&lt;&gt;"SI",$E15&lt;24)</formula>
    </cfRule>
    <cfRule type="expression" dxfId="1805" priority="20" stopIfTrue="1">
      <formula>OR($D15="SI",$D15="T&amp;A")</formula>
    </cfRule>
  </conditionalFormatting>
  <conditionalFormatting sqref="D36">
    <cfRule type="expression" dxfId="1804" priority="18" stopIfTrue="1">
      <formula>OR($D36="SI",$D36="T&amp;A")</formula>
    </cfRule>
  </conditionalFormatting>
  <conditionalFormatting sqref="E36">
    <cfRule type="expression" dxfId="1803" priority="16" stopIfTrue="1">
      <formula>AND($D36&lt;&gt;"SI",$E36&lt;24)</formula>
    </cfRule>
    <cfRule type="expression" dxfId="1802" priority="17" stopIfTrue="1">
      <formula>OR($D36="SI",$D36="T&amp;A")</formula>
    </cfRule>
  </conditionalFormatting>
  <conditionalFormatting sqref="D120">
    <cfRule type="expression" dxfId="1801" priority="15" stopIfTrue="1">
      <formula>OR($D120="SI",$D120="T&amp;A")</formula>
    </cfRule>
  </conditionalFormatting>
  <conditionalFormatting sqref="E120">
    <cfRule type="expression" dxfId="1800" priority="13" stopIfTrue="1">
      <formula>AND($D120&lt;&gt;"SI",$E120&lt;24)</formula>
    </cfRule>
    <cfRule type="expression" dxfId="1799" priority="14" stopIfTrue="1">
      <formula>OR($D120="SI",$D120="T&amp;A")</formula>
    </cfRule>
  </conditionalFormatting>
  <conditionalFormatting sqref="D150">
    <cfRule type="expression" dxfId="1798" priority="12" stopIfTrue="1">
      <formula>OR($D150="SI",$D150="T&amp;A")</formula>
    </cfRule>
  </conditionalFormatting>
  <conditionalFormatting sqref="E150">
    <cfRule type="expression" dxfId="1797" priority="10" stopIfTrue="1">
      <formula>AND($D150&lt;&gt;"SI",$E150&lt;24)</formula>
    </cfRule>
    <cfRule type="expression" dxfId="1796" priority="11" stopIfTrue="1">
      <formula>OR($D150="SI",$D150="T&amp;A")</formula>
    </cfRule>
  </conditionalFormatting>
  <conditionalFormatting sqref="D33">
    <cfRule type="expression" dxfId="1795" priority="9" stopIfTrue="1">
      <formula>OR($D33="SI",$D33="T&amp;A")</formula>
    </cfRule>
  </conditionalFormatting>
  <conditionalFormatting sqref="E33">
    <cfRule type="expression" dxfId="1794" priority="7" stopIfTrue="1">
      <formula>AND($D33&lt;&gt;"SI",$E33&lt;24)</formula>
    </cfRule>
    <cfRule type="expression" dxfId="1793" priority="8" stopIfTrue="1">
      <formula>OR($D33="SI",$D33="T&amp;A")</formula>
    </cfRule>
  </conditionalFormatting>
  <conditionalFormatting sqref="D39">
    <cfRule type="expression" dxfId="1792" priority="6" stopIfTrue="1">
      <formula>OR($D39="SI",$D39="T&amp;A")</formula>
    </cfRule>
  </conditionalFormatting>
  <conditionalFormatting sqref="E39">
    <cfRule type="expression" dxfId="1791" priority="4" stopIfTrue="1">
      <formula>AND($D39&lt;&gt;"SI",$E39&lt;24)</formula>
    </cfRule>
    <cfRule type="expression" dxfId="1790" priority="5" stopIfTrue="1">
      <formula>OR($D39="SI",$D39="T&amp;A")</formula>
    </cfRule>
  </conditionalFormatting>
  <conditionalFormatting sqref="D41">
    <cfRule type="expression" dxfId="1789" priority="3" stopIfTrue="1">
      <formula>OR($D41="SI",$D41="T&amp;A")</formula>
    </cfRule>
  </conditionalFormatting>
  <conditionalFormatting sqref="E41">
    <cfRule type="expression" dxfId="1788" priority="1" stopIfTrue="1">
      <formula>AND($D41&lt;&gt;"SI",$E41&lt;24)</formula>
    </cfRule>
    <cfRule type="expression" dxfId="1787" priority="2" stopIfTrue="1">
      <formula>OR($D41="SI",$D41="T&amp;A")</formula>
    </cfRule>
  </conditionalFormatting>
  <dataValidations xWindow="1028" yWindow="698" count="22">
    <dataValidation type="decimal" allowBlank="1" showInputMessage="1" showErrorMessage="1" errorTitle="BS&amp;W" error="Value must be between 0 and 100" sqref="AF4 AG4:AG190">
      <formula1>0</formula1>
      <formula2>100000</formula2>
    </dataValidation>
    <dataValidation type="whole" allowBlank="1" showInputMessage="1" showErrorMessage="1" errorTitle="WELL DATA" error="This cell must contain and number value &gt;=0" promptTitle="WELL DATA" prompt="DO NOT PASTE TEXT ENTRIES IN THESE CELLS." sqref="Q4:U4 J4:O4 J5:L190">
      <formula1>0</formula1>
      <formula2>100000</formula2>
    </dataValidation>
    <dataValidation type="whole" allowBlank="1" showInputMessage="1" showErrorMessage="1" errorTitle="WELL DATA" error="This cell must contain and number value &gt;=0" promptTitle="WELL DATA" prompt="DO NOT PASTE TEXT ENTRIES IN THESE CELLS." sqref="P4">
      <formula1>0</formula1>
      <formula2>100</formula2>
    </dataValidation>
    <dataValidation type="list" allowBlank="1" showErrorMessage="1" errorTitle="WELL NAME" error="You have entered a well that is not on the master well list.  Please select the well name from the dropdown." sqref="B4:B5">
      <formula1>WELL_NAME</formula1>
    </dataValidation>
    <dataValidation type="decimal" allowBlank="1" showInputMessage="1" showErrorMessage="1" errorTitle="BS&amp;W" error="This value must be a decimal value between 0 and 100" sqref="AJ185:AJ190 AJ181:AK181 AJ5:AJ10 AJ182 AK166:AK190 AJ12:AJ76 AK5:AK149 AJ78:AJ180">
      <formula1>0</formula1>
      <formula2>100</formula2>
    </dataValidation>
    <dataValidation allowBlank="1" showInputMessage="1" errorTitle="PUMP SIZE" error="Pump size must be selected from the dropdown." sqref="V2:V4 V191:V65536"/>
    <dataValidation allowBlank="1" sqref="P183:P190 N182:O190 O168:P181 AA170:AA190 N5:AE22 S182:U189 N181:AE181 O112:O122 N23:R111 S23:AE162 P112:R162 O124:O162 O163:P166 S163:U180 AA163:AA167 AB163:AE190 Q163:R190 O155:AE155 V163:Z190 N112:N180"/>
    <dataValidation type="list" allowBlank="1" showInputMessage="1" showErrorMessage="1" sqref="G4">
      <formula1>WELL_DTCAUSE</formula1>
    </dataValidation>
    <dataValidation allowBlank="1" showInputMessage="1" showErrorMessage="1" errorTitle="Stop" error="Select the DT Cause from the Dropdown list. Add other information in the &quot;Comments&quot; column." sqref="A1"/>
    <dataValidation type="decimal" allowBlank="1" errorTitle="WELL DATA" error="This value must be a whole number &gt;=0" sqref="AI185:AI190 AI5:AI10 AI12:AI76 AI78:AI182">
      <formula1>0</formula1>
      <formula2>100000</formula2>
    </dataValidation>
    <dataValidation errorStyle="warning" allowBlank="1" showInputMessage="1" showErrorMessage="1" errorTitle="DONT CHANGE" error="SPECIAL FORMULA IF YOU CHANGE YOU WILL LOST YOUR JOP_x000a_" sqref="AK150:AK165"/>
    <dataValidation type="list" allowBlank="1" showInputMessage="1" showErrorMessage="1" errorTitle="Stop" error="Select the DT Cause from the Dropdown list. Add other information in the &quot;Comments&quot; column." sqref="G5:G190">
      <formula1>DT_CAUSE</formula1>
    </dataValidation>
    <dataValidation type="date" allowBlank="1" showInputMessage="1" showErrorMessage="1" errorTitle="WELL DATA" error="Only date data may be entered in this cell:_x000a_Format: dd-mmm-yy" sqref="AH5:AH190">
      <formula1>29221</formula1>
      <formula2>54789</formula2>
    </dataValidation>
    <dataValidation type="list" allowBlank="1" showInputMessage="1" showErrorMessage="1" errorTitle="WELL DATA" error="This cell must contain and number value &gt;=0" sqref="M5:M190">
      <formula1>CASING_STATUS</formula1>
    </dataValidation>
    <dataValidation type="list" allowBlank="1" showInputMessage="1" showErrorMessage="1" errorTitle="WELL NAME" error="You have entered a well that is not on the master well list.  Please select the well name from the dropdown." sqref="B6:B190">
      <formula1>WELL_NAME</formula1>
    </dataValidation>
    <dataValidation type="list" allowBlank="1" showInputMessage="1" showErrorMessage="1" errorTitle="CHOKE SIZE" error="Please select the choke size from the dropdown." sqref="I4:I190">
      <formula1>CHOKE</formula1>
    </dataValidation>
    <dataValidation type="decimal" allowBlank="1" showInputMessage="1" showErrorMessage="1" errorTitle="WELL DATA" error="This value must be between 0 and 24" sqref="E5:E190">
      <formula1>0</formula1>
      <formula2>24</formula2>
    </dataValidation>
    <dataValidation type="list" allowBlank="1" showInputMessage="1" showErrorMessage="1" sqref="D4:D190">
      <formula1>WELL_STATUS</formula1>
    </dataValidation>
    <dataValidation type="list" allowBlank="1" showInputMessage="1" showErrorMessage="1" sqref="C4:C190">
      <formula1>ZONE</formula1>
    </dataValidation>
    <dataValidation type="decimal" allowBlank="1" showInputMessage="1" showErrorMessage="1" errorTitle="Hz Data" error="Value must be &gt;=0" sqref="AF5:AF190">
      <formula1>0</formula1>
      <formula2>100</formula2>
    </dataValidation>
    <dataValidation allowBlank="1" errorTitle="WELL DATA" promptTitle="WELL DATA" prompt="DO NOT PASTE TEXT ENTRIES IN THESE CELLS." sqref="H5:H190"/>
    <dataValidation type="whole" allowBlank="1" showInputMessage="1" showErrorMessage="1" sqref="AL5:AL190">
      <formula1>0</formula1>
      <formula2>350000</formula2>
    </dataValidation>
  </dataValidations>
  <printOptions horizontalCentered="1"/>
  <pageMargins left="7.8740157480315001E-2" right="0" top="0.27559055118110198" bottom="0.39370078740157499" header="7.8740157480315001E-2" footer="0.23622047244094499"/>
  <pageSetup paperSize="9" scale="23" orientation="portrait" r:id="rId2"/>
  <headerFooter alignWithMargins="0">
    <oddHeader>&amp;C&amp;"Verdana,Bold"&amp;12DAILY PRODUCTION REPORT - AG AREA</oddHeader>
    <oddFooter>&amp;CPage &amp;P</oddFooter>
  </headerFooter>
  <drawing r:id="rId3"/>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autoPageBreaks="0" fitToPage="1"/>
  </sheetPr>
  <dimension ref="A1:ET343"/>
  <sheetViews>
    <sheetView topLeftCell="A37" zoomScaleNormal="100" workbookViewId="0">
      <selection activeCell="D119" sqref="D119"/>
    </sheetView>
  </sheetViews>
  <sheetFormatPr defaultRowHeight="12.75" customHeight="1"/>
  <cols>
    <col min="1" max="1" width="2.7109375" customWidth="1"/>
    <col min="2" max="2" width="17.5703125" customWidth="1"/>
    <col min="3" max="3" width="12.85546875" style="98" customWidth="1"/>
    <col min="4" max="4" width="10.42578125" customWidth="1"/>
    <col min="5" max="5" width="9.28515625" customWidth="1"/>
    <col min="6" max="6" width="28.85546875" customWidth="1"/>
    <col min="7" max="7" width="11.28515625" customWidth="1"/>
    <col min="8" max="8" width="12.140625" customWidth="1"/>
    <col min="9" max="11" width="10.7109375" customWidth="1"/>
    <col min="12" max="12" width="11" customWidth="1"/>
    <col min="13" max="13" width="14.28515625" customWidth="1"/>
    <col min="14" max="14" width="14" customWidth="1"/>
    <col min="15" max="15" width="26.5703125" customWidth="1"/>
    <col min="16" max="16" width="22.28515625" customWidth="1"/>
    <col min="17" max="17" width="17" customWidth="1"/>
    <col min="18" max="18" width="31.140625" customWidth="1"/>
    <col min="19" max="19" width="42" customWidth="1"/>
    <col min="20" max="20" width="46" bestFit="1" customWidth="1"/>
    <col min="21" max="21" width="15.140625" hidden="1" customWidth="1"/>
    <col min="22" max="46" width="11.5703125" customWidth="1"/>
    <col min="48" max="48" width="14.5703125" style="54" bestFit="1" customWidth="1"/>
    <col min="49" max="49" width="16.7109375" style="54" customWidth="1"/>
    <col min="50" max="50" width="15" style="54" bestFit="1" customWidth="1"/>
    <col min="51" max="51" width="18.85546875" style="54" bestFit="1" customWidth="1"/>
    <col min="52" max="52" width="9.140625" style="54" customWidth="1"/>
    <col min="53" max="53" width="8.42578125" style="54" bestFit="1" customWidth="1"/>
    <col min="54" max="54" width="12.140625" style="54" bestFit="1" customWidth="1"/>
    <col min="55" max="55" width="17.85546875" style="54" bestFit="1" customWidth="1"/>
    <col min="56" max="56" width="11.140625" style="54" customWidth="1"/>
    <col min="57" max="57" width="13.28515625" style="54" customWidth="1"/>
    <col min="58" max="58" width="36.5703125" style="54" customWidth="1"/>
    <col min="59" max="59" width="14" style="54" customWidth="1"/>
    <col min="60" max="60" width="19.85546875" style="54" customWidth="1"/>
    <col min="61" max="61" width="36.5703125" style="54" customWidth="1"/>
    <col min="62" max="62" width="9.5703125" customWidth="1"/>
    <col min="63" max="63" width="11.5703125" customWidth="1"/>
    <col min="65" max="66" width="23.42578125" customWidth="1"/>
    <col min="73" max="73" width="16" customWidth="1"/>
  </cols>
  <sheetData>
    <row r="1" spans="1:150" s="7" customFormat="1" ht="30.2" customHeight="1">
      <c r="A1" s="32"/>
      <c r="B1" s="4" t="s">
        <v>30</v>
      </c>
      <c r="C1" s="683"/>
      <c r="D1" s="5"/>
      <c r="E1" s="5"/>
      <c r="F1" s="5"/>
      <c r="G1" s="5"/>
      <c r="H1" s="33"/>
      <c r="I1" s="33"/>
      <c r="J1" s="33"/>
      <c r="K1" s="33"/>
      <c r="L1" s="33"/>
      <c r="M1" s="33"/>
      <c r="N1" s="1306">
        <f>REPDATE</f>
        <v>46299</v>
      </c>
      <c r="O1" s="1306"/>
      <c r="P1" s="816"/>
      <c r="Q1" s="816"/>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115"/>
      <c r="AW1" s="115"/>
      <c r="AX1" s="115"/>
      <c r="AY1" s="115"/>
      <c r="AZ1" s="115"/>
      <c r="BA1" s="115"/>
      <c r="BB1" s="115"/>
      <c r="BC1" s="115"/>
      <c r="BD1" s="115"/>
      <c r="BE1" s="115"/>
      <c r="BF1" s="115"/>
      <c r="BG1" s="115"/>
      <c r="BH1" s="115"/>
      <c r="BI1" s="115"/>
      <c r="BJ1" s="11"/>
      <c r="BK1" s="68"/>
      <c r="BL1" s="9"/>
      <c r="BM1" s="9"/>
      <c r="BN1" s="9"/>
      <c r="BO1" s="9"/>
      <c r="BP1" s="9"/>
      <c r="BQ1" s="9"/>
      <c r="BR1" s="9"/>
      <c r="BS1" s="9"/>
      <c r="BT1" s="9"/>
      <c r="BU1" s="9"/>
      <c r="BV1" s="9"/>
      <c r="BW1" s="9"/>
      <c r="BX1" s="9"/>
      <c r="BY1" s="33"/>
      <c r="BZ1" s="33"/>
      <c r="CA1" s="33"/>
      <c r="CB1" s="33"/>
      <c r="CC1" s="9"/>
      <c r="CD1" s="9"/>
      <c r="CE1" s="9"/>
      <c r="CF1" s="9"/>
      <c r="CG1" s="9"/>
      <c r="CH1" s="9"/>
      <c r="CI1" s="9"/>
      <c r="CJ1" s="9"/>
      <c r="CK1" s="9"/>
      <c r="CL1" s="9"/>
      <c r="CM1" s="9"/>
      <c r="CN1" s="9"/>
      <c r="CO1" s="9"/>
      <c r="CP1" s="9"/>
      <c r="CQ1" s="9"/>
      <c r="CR1" s="9"/>
      <c r="CS1" s="9"/>
      <c r="CT1" s="9"/>
      <c r="CU1" s="9"/>
      <c r="CV1" s="9"/>
      <c r="CW1" s="9"/>
      <c r="CX1" s="9"/>
      <c r="CY1" s="9"/>
      <c r="CZ1" s="9"/>
      <c r="DA1" s="9"/>
      <c r="DB1" s="9"/>
      <c r="DC1" s="9"/>
      <c r="DD1" s="9"/>
      <c r="DE1" s="9"/>
      <c r="DF1" s="9"/>
      <c r="DG1" s="9"/>
      <c r="DH1" s="9"/>
      <c r="DI1" s="9"/>
      <c r="DJ1" s="9"/>
      <c r="DK1" s="9"/>
      <c r="DL1" s="9"/>
      <c r="DM1" s="9"/>
      <c r="DN1" s="9"/>
      <c r="DO1" s="9"/>
      <c r="DP1" s="9"/>
      <c r="DQ1" s="9"/>
      <c r="DR1" s="9"/>
      <c r="DS1" s="9"/>
      <c r="DT1" s="9"/>
      <c r="DU1" s="9"/>
      <c r="DV1" s="9"/>
      <c r="DW1" s="9"/>
      <c r="DX1" s="9"/>
      <c r="DY1" s="9"/>
      <c r="DZ1" s="9"/>
      <c r="EA1" s="9"/>
      <c r="EB1" s="9"/>
      <c r="EC1" s="9"/>
      <c r="ED1" s="9"/>
      <c r="EE1" s="9"/>
      <c r="EF1" s="9"/>
      <c r="EG1" s="9"/>
      <c r="EH1" s="9"/>
      <c r="EI1" s="9"/>
      <c r="EJ1" s="9"/>
      <c r="EK1" s="9"/>
      <c r="EL1" s="9"/>
      <c r="EM1" s="9"/>
      <c r="EN1" s="9"/>
      <c r="EO1" s="9"/>
      <c r="EP1" s="9"/>
      <c r="EQ1" s="9"/>
      <c r="ER1" s="9"/>
      <c r="ES1" s="9"/>
    </row>
    <row r="2" spans="1:150" s="178" customFormat="1" ht="45" customHeight="1">
      <c r="A2" s="177"/>
      <c r="B2" s="796" t="s">
        <v>5</v>
      </c>
      <c r="C2" s="797" t="s">
        <v>4</v>
      </c>
      <c r="D2" s="797" t="s">
        <v>11</v>
      </c>
      <c r="E2" s="798" t="s">
        <v>15</v>
      </c>
      <c r="F2" s="797" t="s">
        <v>112</v>
      </c>
      <c r="G2" s="798" t="s">
        <v>1738</v>
      </c>
      <c r="H2" s="798" t="s">
        <v>273</v>
      </c>
      <c r="I2" s="798" t="s">
        <v>274</v>
      </c>
      <c r="J2" s="894" t="s">
        <v>2177</v>
      </c>
      <c r="K2" s="798" t="s">
        <v>229</v>
      </c>
      <c r="L2" s="798" t="s">
        <v>1459</v>
      </c>
      <c r="M2" s="894" t="s">
        <v>2153</v>
      </c>
      <c r="N2" s="799" t="s">
        <v>106</v>
      </c>
      <c r="O2" s="797" t="s">
        <v>66</v>
      </c>
      <c r="P2" s="817" t="s">
        <v>1748</v>
      </c>
      <c r="Q2" s="817" t="s">
        <v>1749</v>
      </c>
      <c r="R2" s="800" t="s">
        <v>29</v>
      </c>
      <c r="S2" s="177"/>
      <c r="T2" s="177"/>
      <c r="U2" s="177"/>
      <c r="V2" s="114" t="s">
        <v>106</v>
      </c>
      <c r="W2" s="177"/>
      <c r="X2" s="177"/>
      <c r="Y2" s="177"/>
      <c r="Z2" s="177"/>
      <c r="AA2" s="177"/>
      <c r="AB2" s="177"/>
      <c r="AC2" s="177"/>
      <c r="AD2" s="177"/>
      <c r="AE2" s="177"/>
      <c r="AF2" s="177"/>
      <c r="AG2" s="177"/>
      <c r="AH2" s="177"/>
      <c r="AI2" s="177"/>
      <c r="AJ2" s="177"/>
      <c r="AK2" s="177"/>
      <c r="AL2" s="177"/>
      <c r="AM2" s="177"/>
      <c r="AN2" s="177"/>
      <c r="AO2" s="177"/>
      <c r="AP2" s="177"/>
      <c r="AQ2" s="177"/>
      <c r="AR2" s="177"/>
      <c r="AS2" s="177"/>
      <c r="AT2" s="177"/>
      <c r="AU2" s="177"/>
      <c r="AV2" s="177">
        <v>9</v>
      </c>
      <c r="AW2" s="99" t="s">
        <v>59</v>
      </c>
      <c r="AX2" s="100" t="s">
        <v>16</v>
      </c>
      <c r="AY2" s="116" t="s">
        <v>7</v>
      </c>
      <c r="AZ2" s="116" t="s">
        <v>57</v>
      </c>
      <c r="BA2" s="116" t="s">
        <v>58</v>
      </c>
      <c r="BB2" s="116" t="s">
        <v>32</v>
      </c>
      <c r="BC2" s="104" t="s">
        <v>11</v>
      </c>
      <c r="BD2" s="104" t="s">
        <v>2632</v>
      </c>
      <c r="BE2" s="104" t="s">
        <v>67</v>
      </c>
      <c r="BF2" s="104" t="s">
        <v>68</v>
      </c>
      <c r="BG2" s="163" t="s">
        <v>2168</v>
      </c>
      <c r="BH2" s="163" t="s">
        <v>2153</v>
      </c>
      <c r="BI2" s="163" t="s">
        <v>112</v>
      </c>
      <c r="BJ2" s="1307" t="s">
        <v>6</v>
      </c>
      <c r="BK2" s="1308"/>
      <c r="BL2" s="35"/>
      <c r="BM2" s="35"/>
      <c r="BN2" s="35"/>
      <c r="BO2" s="35"/>
      <c r="BP2" s="35"/>
      <c r="BQ2" s="35"/>
      <c r="BR2" s="35"/>
      <c r="BS2" s="35"/>
      <c r="BT2" s="35"/>
      <c r="BU2" s="35"/>
      <c r="BV2" s="35"/>
      <c r="BW2" s="35"/>
      <c r="BX2" s="35"/>
      <c r="BY2" s="35"/>
      <c r="BZ2" s="35"/>
      <c r="CA2" s="35"/>
      <c r="CB2" s="35"/>
      <c r="CC2" s="35"/>
      <c r="CD2" s="35"/>
      <c r="CE2" s="35"/>
      <c r="CF2" s="35"/>
      <c r="CG2" s="177"/>
      <c r="CH2" s="177"/>
      <c r="CI2" s="177"/>
      <c r="CJ2" s="177"/>
      <c r="CK2" s="177"/>
      <c r="CL2" s="177"/>
      <c r="CM2" s="177"/>
      <c r="CN2" s="177"/>
      <c r="CO2" s="177"/>
      <c r="CP2" s="177"/>
      <c r="CQ2" s="177"/>
      <c r="CR2" s="177"/>
      <c r="CS2" s="177"/>
      <c r="CT2" s="177"/>
      <c r="CU2" s="177"/>
      <c r="CV2" s="177"/>
      <c r="CW2" s="177"/>
      <c r="CX2" s="177"/>
      <c r="CY2" s="177"/>
      <c r="CZ2" s="177"/>
      <c r="DA2" s="177"/>
      <c r="DB2" s="177"/>
      <c r="DC2" s="177"/>
      <c r="DD2" s="177"/>
      <c r="DE2" s="177"/>
      <c r="DF2" s="177"/>
      <c r="DG2" s="177"/>
      <c r="DH2" s="177"/>
      <c r="DI2" s="177"/>
      <c r="DJ2" s="177"/>
      <c r="DK2" s="177"/>
      <c r="DL2" s="177"/>
      <c r="DM2" s="177"/>
      <c r="DN2" s="177"/>
      <c r="DO2" s="177"/>
      <c r="DP2" s="177"/>
      <c r="DQ2" s="177"/>
      <c r="DR2" s="177"/>
      <c r="DS2" s="177"/>
      <c r="DT2" s="177"/>
      <c r="DU2" s="177"/>
      <c r="DV2" s="177"/>
      <c r="DW2" s="177"/>
      <c r="DX2" s="177"/>
      <c r="DY2" s="177"/>
      <c r="DZ2" s="177"/>
      <c r="EA2" s="177"/>
      <c r="EB2" s="177"/>
      <c r="EC2" s="177"/>
      <c r="ED2" s="177"/>
      <c r="EE2" s="177"/>
      <c r="EF2" s="177"/>
      <c r="EG2" s="177"/>
      <c r="EH2" s="177"/>
      <c r="EI2" s="177"/>
      <c r="EJ2" s="177"/>
      <c r="EK2" s="177"/>
      <c r="EL2" s="177"/>
      <c r="EM2" s="177"/>
      <c r="EN2" s="177"/>
      <c r="EO2" s="177"/>
      <c r="EP2" s="177"/>
      <c r="EQ2" s="177"/>
      <c r="ER2" s="177"/>
      <c r="ES2" s="177"/>
      <c r="ET2" s="177"/>
    </row>
    <row r="3" spans="1:150" s="36" customFormat="1" ht="16.5" customHeight="1">
      <c r="A3" s="35"/>
      <c r="B3" s="975" t="s">
        <v>2071</v>
      </c>
      <c r="C3" s="793" t="s">
        <v>1305</v>
      </c>
      <c r="D3" s="883" t="s">
        <v>22</v>
      </c>
      <c r="E3" s="48">
        <v>22</v>
      </c>
      <c r="F3" s="875" t="s">
        <v>2482</v>
      </c>
      <c r="G3" s="748"/>
      <c r="H3" s="48">
        <v>1531</v>
      </c>
      <c r="I3" s="822">
        <v>1500</v>
      </c>
      <c r="J3" s="48">
        <v>0</v>
      </c>
      <c r="K3" s="48">
        <v>0</v>
      </c>
      <c r="L3" s="48">
        <v>0</v>
      </c>
      <c r="M3" s="48">
        <v>0</v>
      </c>
      <c r="N3" s="823" t="e">
        <f>YSTCUM+H3</f>
        <v>#VALUE!</v>
      </c>
      <c r="O3" s="830" t="s">
        <v>1285</v>
      </c>
      <c r="P3" s="882" t="s">
        <v>1752</v>
      </c>
      <c r="Q3" s="831"/>
      <c r="R3" s="879"/>
      <c r="S3" s="35"/>
      <c r="T3" s="35"/>
      <c r="U3" s="135"/>
      <c r="V3" s="13" t="e">
        <v>#VALUE!</v>
      </c>
      <c r="W3" s="35"/>
      <c r="X3" s="35"/>
      <c r="Y3" s="35"/>
      <c r="Z3" s="35"/>
      <c r="AA3" s="35"/>
      <c r="AB3" s="35"/>
      <c r="AC3" s="35"/>
      <c r="AD3" s="35"/>
      <c r="AE3" s="35"/>
      <c r="AF3" s="35"/>
      <c r="AG3" s="35"/>
      <c r="AH3" s="35"/>
      <c r="AI3" s="35"/>
      <c r="AJ3" s="35"/>
      <c r="AK3" s="35"/>
      <c r="AL3" s="35"/>
      <c r="AM3" s="35"/>
      <c r="AN3" s="35"/>
      <c r="AO3" s="35"/>
      <c r="AP3" s="35"/>
      <c r="AQ3" s="35"/>
      <c r="AR3" s="35"/>
      <c r="AS3" s="35"/>
      <c r="AT3" s="35"/>
      <c r="AU3" s="35"/>
      <c r="AV3" s="35"/>
      <c r="AW3" s="117" t="str">
        <f>IF(B3="","","KHALDA_INJ")</f>
        <v>KHALDA_INJ</v>
      </c>
      <c r="AX3" s="118">
        <f>IF(AW3="","",REPORTDATE-1)</f>
        <v>46298</v>
      </c>
      <c r="AY3" s="119" t="str">
        <f>IF(B3="","",$AV$2&amp;B3)</f>
        <v>9AG-93</v>
      </c>
      <c r="AZ3" s="119">
        <f>IF(B3="","",IF(BB3=0,0,H3))</f>
        <v>1531</v>
      </c>
      <c r="BA3" s="119">
        <f>IF(B3="","",K3)</f>
        <v>0</v>
      </c>
      <c r="BB3" s="120">
        <f>IF(B3="","",E3)</f>
        <v>22</v>
      </c>
      <c r="BC3" s="120" t="str">
        <f>IF(B3="","",D3)</f>
        <v>INJ</v>
      </c>
      <c r="BD3" s="120">
        <f>+G3</f>
        <v>0</v>
      </c>
      <c r="BE3" s="119">
        <f>IF(B3="","",I3)</f>
        <v>1500</v>
      </c>
      <c r="BF3" s="121" t="str">
        <f>IF(O3="","",O3)</f>
        <v>AG-83</v>
      </c>
      <c r="BG3" s="121">
        <f>J3</f>
        <v>0</v>
      </c>
      <c r="BH3" s="121">
        <f>M3</f>
        <v>0</v>
      </c>
      <c r="BI3" s="121" t="str">
        <f>IF(F3="","",F3)</f>
        <v>Facility Constraint</v>
      </c>
      <c r="BJ3" s="122" t="str">
        <f t="shared" ref="BJ3:BJ30" si="0">IF(D3="SI","",VLOOKUP(B3,WELL_FIELD,2))</f>
        <v>AG</v>
      </c>
      <c r="BK3" s="122" t="str">
        <f t="shared" ref="BK3:BK30" si="1">VLOOKUP(B3,WELL_FIELD,2)</f>
        <v>AG</v>
      </c>
      <c r="BL3" s="37"/>
      <c r="BM3" s="37"/>
      <c r="BN3" s="37"/>
      <c r="BO3" s="37"/>
      <c r="BP3" s="37"/>
      <c r="BQ3" s="37"/>
      <c r="BR3" s="37"/>
      <c r="BS3" s="37"/>
      <c r="BT3" s="37"/>
      <c r="BU3" s="37"/>
      <c r="BV3" s="37"/>
      <c r="BW3" s="37"/>
      <c r="BX3" s="37"/>
      <c r="BY3" s="37"/>
      <c r="BZ3" s="37"/>
      <c r="CA3" s="37"/>
      <c r="CB3" s="37"/>
      <c r="CC3" s="35"/>
      <c r="CD3" s="35"/>
      <c r="CE3" s="35"/>
      <c r="CF3" s="35"/>
      <c r="CG3" s="35"/>
      <c r="CH3" s="35"/>
      <c r="CI3" s="35"/>
      <c r="CJ3" s="35"/>
      <c r="CK3" s="35"/>
      <c r="CL3" s="35"/>
      <c r="CM3" s="35"/>
      <c r="CN3" s="35"/>
      <c r="CO3" s="35"/>
      <c r="CP3" s="35"/>
      <c r="CQ3" s="35"/>
      <c r="CR3" s="35"/>
      <c r="CS3" s="35"/>
      <c r="CT3" s="35"/>
      <c r="CU3" s="35"/>
      <c r="CV3" s="35"/>
      <c r="CW3" s="35"/>
      <c r="CX3" s="35"/>
      <c r="CY3" s="35"/>
      <c r="CZ3" s="35"/>
      <c r="DA3" s="35"/>
      <c r="DB3" s="35"/>
      <c r="DC3" s="35"/>
      <c r="DD3" s="35"/>
      <c r="DE3" s="35"/>
      <c r="DF3" s="35"/>
      <c r="DG3" s="35"/>
      <c r="DH3" s="35"/>
      <c r="DI3" s="35"/>
      <c r="DJ3" s="35"/>
      <c r="DK3" s="35"/>
      <c r="DL3" s="35"/>
      <c r="DM3" s="35"/>
      <c r="DN3" s="35"/>
      <c r="DO3" s="35"/>
      <c r="DP3" s="35"/>
      <c r="DQ3" s="35"/>
      <c r="DR3" s="35"/>
      <c r="DS3" s="35"/>
      <c r="DT3" s="35"/>
      <c r="DU3" s="35"/>
      <c r="DV3" s="35"/>
      <c r="DW3" s="35"/>
      <c r="DX3" s="35"/>
      <c r="DY3" s="35"/>
      <c r="DZ3" s="35"/>
      <c r="EA3" s="35"/>
      <c r="EB3" s="35"/>
      <c r="EC3" s="35"/>
      <c r="ED3" s="35"/>
      <c r="EE3" s="35"/>
      <c r="EF3" s="35"/>
      <c r="EG3" s="35"/>
      <c r="EH3" s="35"/>
      <c r="EI3" s="35"/>
      <c r="EJ3" s="35"/>
      <c r="EK3" s="35"/>
      <c r="EL3" s="35"/>
      <c r="EM3" s="35"/>
      <c r="EN3" s="35"/>
      <c r="EO3" s="35"/>
      <c r="EP3" s="35"/>
      <c r="EQ3" s="35"/>
      <c r="ER3" s="35"/>
      <c r="ES3" s="35"/>
      <c r="ET3" s="35"/>
    </row>
    <row r="4" spans="1:150" s="36" customFormat="1" ht="16.5" customHeight="1">
      <c r="A4" s="35"/>
      <c r="B4" s="975" t="s">
        <v>1709</v>
      </c>
      <c r="C4" s="793" t="s">
        <v>1305</v>
      </c>
      <c r="D4" s="883" t="s">
        <v>18</v>
      </c>
      <c r="E4" s="48">
        <v>0</v>
      </c>
      <c r="F4" s="875" t="s">
        <v>2559</v>
      </c>
      <c r="G4" s="748"/>
      <c r="H4" s="48">
        <v>0</v>
      </c>
      <c r="I4" s="822">
        <v>0</v>
      </c>
      <c r="J4" s="48">
        <v>0</v>
      </c>
      <c r="K4" s="48">
        <v>0</v>
      </c>
      <c r="L4" s="48">
        <v>0</v>
      </c>
      <c r="M4" s="48">
        <v>0</v>
      </c>
      <c r="N4" s="823" t="e">
        <f t="shared" ref="N4:N14" si="2">YSTCUM+H4</f>
        <v>#NAME?</v>
      </c>
      <c r="O4" s="830" t="s">
        <v>1674</v>
      </c>
      <c r="P4" s="882" t="s">
        <v>1752</v>
      </c>
      <c r="Q4" s="831"/>
      <c r="R4" s="879"/>
      <c r="S4" s="35"/>
      <c r="T4" s="35"/>
      <c r="U4" s="135"/>
      <c r="V4" s="13" t="e">
        <v>#NAME?</v>
      </c>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117" t="str">
        <f t="shared" ref="AW4:AW44" si="3">IF(B4="","","KHALDA_INJ")</f>
        <v>KHALDA_INJ</v>
      </c>
      <c r="AX4" s="118">
        <f t="shared" ref="AX4:AX44" si="4">IF(AW4="","",REPORTDATE-1)</f>
        <v>46298</v>
      </c>
      <c r="AY4" s="119" t="str">
        <f t="shared" ref="AY4:AY44" si="5">IF(B4="","",$AV$2&amp;B4)</f>
        <v>9AG-134</v>
      </c>
      <c r="AZ4" s="119">
        <f t="shared" ref="AZ4:AZ44" si="6">IF(B4="","",IF(BB4=0,0,H4))</f>
        <v>0</v>
      </c>
      <c r="BA4" s="119">
        <f t="shared" ref="BA4:BA44" si="7">IF(B4="","",K4)</f>
        <v>0</v>
      </c>
      <c r="BB4" s="120">
        <f t="shared" ref="BB4:BB44" si="8">IF(B4="","",E4)</f>
        <v>0</v>
      </c>
      <c r="BC4" s="120" t="str">
        <f t="shared" ref="BC4:BC44" si="9">IF(B4="","",D4)</f>
        <v>SI</v>
      </c>
      <c r="BD4" s="120">
        <f t="shared" ref="BD4:BD44" si="10">+G4</f>
        <v>0</v>
      </c>
      <c r="BE4" s="119">
        <f t="shared" ref="BE4:BE44" si="11">IF(B4="","",I4)</f>
        <v>0</v>
      </c>
      <c r="BF4" s="121" t="str">
        <f t="shared" ref="BF4:BF44" si="12">IF(O4="","",O4)</f>
        <v>AG-132</v>
      </c>
      <c r="BG4" s="121">
        <f t="shared" ref="BG4:BG24" si="13">J4</f>
        <v>0</v>
      </c>
      <c r="BH4" s="121">
        <f t="shared" ref="BH4:BH24" si="14">M4</f>
        <v>0</v>
      </c>
      <c r="BI4" s="121" t="str">
        <f t="shared" ref="BI4:BI30" si="15">IF(F4="","",F4)</f>
        <v>Reservoir Study/Management</v>
      </c>
      <c r="BJ4" s="122" t="str">
        <f t="shared" si="0"/>
        <v/>
      </c>
      <c r="BK4" s="122" t="str">
        <f t="shared" si="1"/>
        <v>AG</v>
      </c>
      <c r="BL4" s="37"/>
      <c r="BM4" s="37"/>
      <c r="BN4" s="37"/>
      <c r="BO4" s="37"/>
      <c r="BP4" s="37"/>
      <c r="BQ4" s="37"/>
      <c r="BR4" s="37"/>
      <c r="BS4" s="37"/>
      <c r="BT4" s="37"/>
      <c r="BU4" s="37"/>
      <c r="BV4" s="37"/>
      <c r="BW4" s="37"/>
      <c r="BX4" s="37"/>
      <c r="BY4" s="37"/>
      <c r="BZ4" s="37"/>
      <c r="CA4" s="37"/>
      <c r="CB4" s="37"/>
      <c r="CC4" s="35"/>
      <c r="CD4" s="35"/>
      <c r="CE4" s="35"/>
      <c r="CF4" s="35"/>
      <c r="CG4" s="35"/>
      <c r="CH4" s="35"/>
      <c r="CI4" s="35"/>
      <c r="CJ4" s="35"/>
      <c r="CK4" s="35"/>
      <c r="CL4" s="35"/>
      <c r="CM4" s="35"/>
      <c r="CN4" s="35"/>
      <c r="CO4" s="35"/>
      <c r="CP4" s="35"/>
      <c r="CQ4" s="35"/>
      <c r="CR4" s="35"/>
      <c r="CS4" s="35"/>
      <c r="CT4" s="35"/>
      <c r="CU4" s="35"/>
      <c r="CV4" s="35"/>
      <c r="CW4" s="35"/>
      <c r="CX4" s="35"/>
      <c r="CY4" s="35"/>
      <c r="CZ4" s="35"/>
      <c r="DA4" s="35"/>
      <c r="DB4" s="35"/>
      <c r="DC4" s="35"/>
      <c r="DD4" s="35"/>
      <c r="DE4" s="35"/>
      <c r="DF4" s="35"/>
      <c r="DG4" s="35"/>
      <c r="DH4" s="35"/>
      <c r="DI4" s="35"/>
      <c r="DJ4" s="35"/>
      <c r="DK4" s="35"/>
      <c r="DL4" s="35"/>
      <c r="DM4" s="35"/>
      <c r="DN4" s="35"/>
      <c r="DO4" s="35"/>
      <c r="DP4" s="35"/>
      <c r="DQ4" s="35"/>
      <c r="DR4" s="35"/>
      <c r="DS4" s="35"/>
      <c r="DT4" s="35"/>
      <c r="DU4" s="35"/>
      <c r="DV4" s="35"/>
      <c r="DW4" s="35"/>
      <c r="DX4" s="35"/>
      <c r="DY4" s="35"/>
      <c r="DZ4" s="35"/>
      <c r="EA4" s="35"/>
      <c r="EB4" s="35"/>
      <c r="EC4" s="35"/>
      <c r="ED4" s="35"/>
      <c r="EE4" s="35"/>
      <c r="EF4" s="35"/>
      <c r="EG4" s="35"/>
      <c r="EH4" s="35"/>
      <c r="EI4" s="35"/>
      <c r="EJ4" s="35"/>
      <c r="EK4" s="35"/>
      <c r="EL4" s="35"/>
      <c r="EM4" s="35"/>
      <c r="EN4" s="35"/>
      <c r="EO4" s="35"/>
      <c r="EP4" s="35"/>
      <c r="EQ4" s="35"/>
      <c r="ER4" s="35"/>
      <c r="ES4" s="35"/>
      <c r="ET4" s="35"/>
    </row>
    <row r="5" spans="1:150" s="36" customFormat="1" ht="16.5" customHeight="1">
      <c r="A5" s="35"/>
      <c r="B5" s="975" t="s">
        <v>1675</v>
      </c>
      <c r="C5" s="793" t="s">
        <v>1307</v>
      </c>
      <c r="D5" s="793" t="s">
        <v>18</v>
      </c>
      <c r="E5" s="48">
        <v>0</v>
      </c>
      <c r="F5" s="875" t="s">
        <v>2559</v>
      </c>
      <c r="G5" s="748"/>
      <c r="H5" s="48">
        <v>0</v>
      </c>
      <c r="I5" s="822">
        <v>0</v>
      </c>
      <c r="J5" s="48">
        <v>0</v>
      </c>
      <c r="K5" s="48">
        <v>0</v>
      </c>
      <c r="L5" s="48">
        <v>0</v>
      </c>
      <c r="M5" s="48">
        <v>0</v>
      </c>
      <c r="N5" s="823" t="e">
        <f t="shared" si="2"/>
        <v>#NAME?</v>
      </c>
      <c r="O5" s="830"/>
      <c r="P5" s="882"/>
      <c r="Q5" s="831"/>
      <c r="R5" s="879"/>
      <c r="S5" s="35"/>
      <c r="T5" s="35"/>
      <c r="U5" s="135"/>
      <c r="V5" s="13" t="e">
        <v>#NAME?</v>
      </c>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117" t="str">
        <f t="shared" si="3"/>
        <v>KHALDA_INJ</v>
      </c>
      <c r="AX5" s="118">
        <f t="shared" si="4"/>
        <v>46298</v>
      </c>
      <c r="AY5" s="119" t="str">
        <f t="shared" si="5"/>
        <v>9AG-30</v>
      </c>
      <c r="AZ5" s="119">
        <f t="shared" si="6"/>
        <v>0</v>
      </c>
      <c r="BA5" s="119">
        <f t="shared" si="7"/>
        <v>0</v>
      </c>
      <c r="BB5" s="120">
        <f t="shared" si="8"/>
        <v>0</v>
      </c>
      <c r="BC5" s="120" t="str">
        <f t="shared" si="9"/>
        <v>SI</v>
      </c>
      <c r="BD5" s="120">
        <f t="shared" si="10"/>
        <v>0</v>
      </c>
      <c r="BE5" s="119">
        <f t="shared" si="11"/>
        <v>0</v>
      </c>
      <c r="BF5" s="121" t="str">
        <f t="shared" si="12"/>
        <v/>
      </c>
      <c r="BG5" s="121">
        <f t="shared" si="13"/>
        <v>0</v>
      </c>
      <c r="BH5" s="121">
        <f t="shared" si="14"/>
        <v>0</v>
      </c>
      <c r="BI5" s="121" t="str">
        <f t="shared" si="15"/>
        <v>Reservoir Study/Management</v>
      </c>
      <c r="BJ5" s="122" t="str">
        <f t="shared" si="0"/>
        <v/>
      </c>
      <c r="BK5" s="122" t="str">
        <f t="shared" si="1"/>
        <v>AG</v>
      </c>
      <c r="BL5" s="37"/>
      <c r="BM5" s="37"/>
      <c r="BN5" s="37"/>
      <c r="BO5" s="37"/>
      <c r="BP5" s="37"/>
      <c r="BQ5" s="37"/>
      <c r="BR5" s="37"/>
      <c r="BS5" s="37"/>
      <c r="BT5" s="37"/>
      <c r="BU5" s="37"/>
      <c r="BV5" s="37"/>
      <c r="BW5" s="37"/>
      <c r="BX5" s="37"/>
      <c r="BY5" s="37"/>
      <c r="BZ5" s="37"/>
      <c r="CA5" s="37"/>
      <c r="CB5" s="37"/>
      <c r="CC5" s="35"/>
      <c r="CD5" s="35"/>
      <c r="CE5" s="35"/>
      <c r="CF5" s="35"/>
      <c r="CG5" s="35"/>
      <c r="CH5" s="35"/>
      <c r="CI5" s="35"/>
      <c r="CJ5" s="35"/>
      <c r="CK5" s="35"/>
      <c r="CL5" s="35"/>
      <c r="CM5" s="35"/>
      <c r="CN5" s="35"/>
      <c r="CO5" s="35"/>
      <c r="CP5" s="35"/>
      <c r="CQ5" s="35"/>
      <c r="CR5" s="35"/>
      <c r="CS5" s="35"/>
      <c r="CT5" s="35"/>
      <c r="CU5" s="35"/>
      <c r="CV5" s="35"/>
      <c r="CW5" s="35"/>
      <c r="CX5" s="35"/>
      <c r="CY5" s="35"/>
      <c r="CZ5" s="35"/>
      <c r="DA5" s="35"/>
      <c r="DB5" s="35"/>
      <c r="DC5" s="35"/>
      <c r="DD5" s="35"/>
      <c r="DE5" s="35"/>
      <c r="DF5" s="35"/>
      <c r="DG5" s="35"/>
      <c r="DH5" s="35"/>
      <c r="DI5" s="35"/>
      <c r="DJ5" s="35"/>
      <c r="DK5" s="35"/>
      <c r="DL5" s="35"/>
      <c r="DM5" s="35"/>
      <c r="DN5" s="35"/>
      <c r="DO5" s="35"/>
      <c r="DP5" s="35"/>
      <c r="DQ5" s="35"/>
      <c r="DR5" s="35"/>
      <c r="DS5" s="35"/>
      <c r="DT5" s="35"/>
      <c r="DU5" s="35"/>
      <c r="DV5" s="35"/>
      <c r="DW5" s="35"/>
      <c r="DX5" s="35"/>
      <c r="DY5" s="35"/>
      <c r="DZ5" s="35"/>
      <c r="EA5" s="35"/>
      <c r="EB5" s="35"/>
      <c r="EC5" s="35"/>
      <c r="ED5" s="35"/>
      <c r="EE5" s="35"/>
      <c r="EF5" s="35"/>
      <c r="EG5" s="35"/>
      <c r="EH5" s="35"/>
      <c r="EI5" s="35"/>
      <c r="EJ5" s="35"/>
      <c r="EK5" s="35"/>
      <c r="EL5" s="35"/>
      <c r="EM5" s="35"/>
      <c r="EN5" s="35"/>
      <c r="EO5" s="35"/>
      <c r="EP5" s="35"/>
      <c r="EQ5" s="35"/>
      <c r="ER5" s="35"/>
      <c r="ES5" s="35"/>
      <c r="ET5" s="35"/>
    </row>
    <row r="6" spans="1:150" s="36" customFormat="1" ht="16.5" customHeight="1">
      <c r="A6" s="35"/>
      <c r="B6" s="975" t="s">
        <v>1450</v>
      </c>
      <c r="C6" s="793" t="s">
        <v>1307</v>
      </c>
      <c r="D6" s="793" t="s">
        <v>18</v>
      </c>
      <c r="E6" s="48">
        <v>0</v>
      </c>
      <c r="F6" s="875" t="s">
        <v>2559</v>
      </c>
      <c r="G6" s="748"/>
      <c r="H6" s="48">
        <v>0</v>
      </c>
      <c r="I6" s="822">
        <v>0</v>
      </c>
      <c r="J6" s="48">
        <v>0</v>
      </c>
      <c r="K6" s="48">
        <v>0</v>
      </c>
      <c r="L6" s="48">
        <v>0</v>
      </c>
      <c r="M6" s="48">
        <v>0</v>
      </c>
      <c r="N6" s="823" t="e">
        <f t="shared" si="2"/>
        <v>#NAME?</v>
      </c>
      <c r="O6" s="830"/>
      <c r="P6" s="882"/>
      <c r="Q6" s="831"/>
      <c r="R6" s="879"/>
      <c r="S6" s="35"/>
      <c r="T6" s="35"/>
      <c r="U6" s="135"/>
      <c r="V6" s="13" t="e">
        <v>#NAME?</v>
      </c>
      <c r="W6" s="35"/>
      <c r="X6" s="35"/>
      <c r="Y6" s="35"/>
      <c r="Z6" s="35"/>
      <c r="AA6" s="35"/>
      <c r="AB6" s="35"/>
      <c r="AC6" s="35"/>
      <c r="AD6" s="35"/>
      <c r="AE6" s="35"/>
      <c r="AF6" s="35"/>
      <c r="AG6" s="35"/>
      <c r="AH6" s="35"/>
      <c r="AI6" s="35"/>
      <c r="AJ6" s="35"/>
      <c r="AK6" s="35"/>
      <c r="AL6" s="35"/>
      <c r="AM6" s="35"/>
      <c r="AN6" s="35"/>
      <c r="AO6" s="35"/>
      <c r="AP6" s="35"/>
      <c r="AQ6" s="35"/>
      <c r="AR6" s="35"/>
      <c r="AS6" s="35"/>
      <c r="AT6" s="35"/>
      <c r="AU6" s="35"/>
      <c r="AV6" s="35"/>
      <c r="AW6" s="117" t="str">
        <f t="shared" si="3"/>
        <v>KHALDA_INJ</v>
      </c>
      <c r="AX6" s="118">
        <f t="shared" si="4"/>
        <v>46298</v>
      </c>
      <c r="AY6" s="119" t="str">
        <f t="shared" si="5"/>
        <v>9AG-46ST1</v>
      </c>
      <c r="AZ6" s="119">
        <f t="shared" si="6"/>
        <v>0</v>
      </c>
      <c r="BA6" s="119">
        <f t="shared" si="7"/>
        <v>0</v>
      </c>
      <c r="BB6" s="120">
        <f t="shared" si="8"/>
        <v>0</v>
      </c>
      <c r="BC6" s="120" t="str">
        <f t="shared" si="9"/>
        <v>SI</v>
      </c>
      <c r="BD6" s="120">
        <f t="shared" si="10"/>
        <v>0</v>
      </c>
      <c r="BE6" s="119">
        <f t="shared" si="11"/>
        <v>0</v>
      </c>
      <c r="BF6" s="121" t="str">
        <f t="shared" si="12"/>
        <v/>
      </c>
      <c r="BG6" s="121">
        <f t="shared" si="13"/>
        <v>0</v>
      </c>
      <c r="BH6" s="121">
        <f t="shared" si="14"/>
        <v>0</v>
      </c>
      <c r="BI6" s="121" t="str">
        <f t="shared" si="15"/>
        <v>Reservoir Study/Management</v>
      </c>
      <c r="BJ6" s="122" t="str">
        <f t="shared" si="0"/>
        <v/>
      </c>
      <c r="BK6" s="122" t="str">
        <f t="shared" si="1"/>
        <v xml:space="preserve">AG </v>
      </c>
      <c r="BL6" s="37"/>
      <c r="BM6" s="37"/>
      <c r="BN6" s="37"/>
      <c r="BO6" s="37"/>
      <c r="BP6" s="37"/>
      <c r="BQ6" s="37"/>
      <c r="BR6" s="37"/>
      <c r="BS6" s="37"/>
      <c r="BT6" s="37"/>
      <c r="BU6" s="37"/>
      <c r="BV6" s="37"/>
      <c r="BW6" s="37"/>
      <c r="BX6" s="37"/>
      <c r="BY6" s="37"/>
      <c r="BZ6" s="37"/>
      <c r="CA6" s="37"/>
      <c r="CB6" s="37"/>
      <c r="CC6" s="35"/>
      <c r="CD6" s="35"/>
      <c r="CE6" s="35"/>
      <c r="CF6" s="35"/>
      <c r="CG6" s="35"/>
      <c r="CH6" s="35"/>
      <c r="CI6" s="35"/>
      <c r="CJ6" s="35"/>
      <c r="CK6" s="35"/>
      <c r="CL6" s="35"/>
      <c r="CM6" s="35"/>
      <c r="CN6" s="35"/>
      <c r="CO6" s="35"/>
      <c r="CP6" s="35"/>
      <c r="CQ6" s="35"/>
      <c r="CR6" s="35"/>
      <c r="CS6" s="35"/>
      <c r="CT6" s="35"/>
      <c r="CU6" s="35"/>
      <c r="CV6" s="35"/>
      <c r="CW6" s="35"/>
      <c r="CX6" s="35"/>
      <c r="CY6" s="35"/>
      <c r="CZ6" s="35"/>
      <c r="DA6" s="35"/>
      <c r="DB6" s="35"/>
      <c r="DC6" s="35"/>
      <c r="DD6" s="35"/>
      <c r="DE6" s="35"/>
      <c r="DF6" s="35"/>
      <c r="DG6" s="35"/>
      <c r="DH6" s="35"/>
      <c r="DI6" s="35"/>
      <c r="DJ6" s="35"/>
      <c r="DK6" s="35"/>
      <c r="DL6" s="35"/>
      <c r="DM6" s="35"/>
      <c r="DN6" s="35"/>
      <c r="DO6" s="35"/>
      <c r="DP6" s="35"/>
      <c r="DQ6" s="35"/>
      <c r="DR6" s="35"/>
      <c r="DS6" s="35"/>
      <c r="DT6" s="35"/>
      <c r="DU6" s="35"/>
      <c r="DV6" s="35"/>
      <c r="DW6" s="35"/>
      <c r="DX6" s="35"/>
      <c r="DY6" s="35"/>
      <c r="DZ6" s="35"/>
      <c r="EA6" s="35"/>
      <c r="EB6" s="35"/>
      <c r="EC6" s="35"/>
      <c r="ED6" s="35"/>
      <c r="EE6" s="35"/>
      <c r="EF6" s="35"/>
      <c r="EG6" s="35"/>
      <c r="EH6" s="35"/>
      <c r="EI6" s="35"/>
      <c r="EJ6" s="35"/>
      <c r="EK6" s="35"/>
      <c r="EL6" s="35"/>
      <c r="EM6" s="35"/>
      <c r="EN6" s="35"/>
      <c r="EO6" s="35"/>
      <c r="EP6" s="35"/>
      <c r="EQ6" s="35"/>
      <c r="ER6" s="35"/>
      <c r="ES6" s="35"/>
      <c r="ET6" s="35"/>
    </row>
    <row r="7" spans="1:150" s="36" customFormat="1" ht="16.5" customHeight="1">
      <c r="A7" s="35"/>
      <c r="B7" s="976" t="s">
        <v>1282</v>
      </c>
      <c r="C7" s="793" t="s">
        <v>1305</v>
      </c>
      <c r="D7" s="793" t="s">
        <v>22</v>
      </c>
      <c r="E7" s="48">
        <v>20</v>
      </c>
      <c r="F7" s="875" t="s">
        <v>2482</v>
      </c>
      <c r="G7" s="748"/>
      <c r="H7" s="48">
        <v>1155</v>
      </c>
      <c r="I7" s="822">
        <v>1250</v>
      </c>
      <c r="J7" s="48">
        <v>0</v>
      </c>
      <c r="K7" s="48">
        <v>0</v>
      </c>
      <c r="L7" s="48">
        <v>0</v>
      </c>
      <c r="M7" s="48">
        <v>0</v>
      </c>
      <c r="N7" s="823">
        <f t="shared" si="2"/>
        <v>210106.25</v>
      </c>
      <c r="O7" s="830" t="s">
        <v>2678</v>
      </c>
      <c r="P7" s="882"/>
      <c r="Q7" s="831"/>
      <c r="R7" s="879"/>
      <c r="S7" s="35"/>
      <c r="T7" s="35"/>
      <c r="U7" s="135"/>
      <c r="V7" s="13">
        <v>208951.25</v>
      </c>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117" t="str">
        <f t="shared" si="3"/>
        <v>KHALDA_INJ</v>
      </c>
      <c r="AX7" s="118">
        <f t="shared" si="4"/>
        <v>46298</v>
      </c>
      <c r="AY7" s="119" t="str">
        <f t="shared" si="5"/>
        <v>9AG-69</v>
      </c>
      <c r="AZ7" s="119">
        <f t="shared" si="6"/>
        <v>1155</v>
      </c>
      <c r="BA7" s="119">
        <f t="shared" si="7"/>
        <v>0</v>
      </c>
      <c r="BB7" s="120">
        <f t="shared" si="8"/>
        <v>20</v>
      </c>
      <c r="BC7" s="120" t="str">
        <f t="shared" si="9"/>
        <v>INJ</v>
      </c>
      <c r="BD7" s="120">
        <f t="shared" si="10"/>
        <v>0</v>
      </c>
      <c r="BE7" s="119">
        <f t="shared" si="11"/>
        <v>1250</v>
      </c>
      <c r="BF7" s="121" t="str">
        <f t="shared" si="12"/>
        <v>AG-02</v>
      </c>
      <c r="BG7" s="121">
        <f t="shared" si="13"/>
        <v>0</v>
      </c>
      <c r="BH7" s="121">
        <f t="shared" si="14"/>
        <v>0</v>
      </c>
      <c r="BI7" s="121" t="str">
        <f>IF(F7="","",F7)</f>
        <v>Facility Constraint</v>
      </c>
      <c r="BJ7" s="122" t="str">
        <f>IF(D7="SI","",VLOOKUP(B7,WELL_FIELD,2))</f>
        <v>SAG</v>
      </c>
      <c r="BK7" s="122" t="str">
        <f>VLOOKUP(B7,WELL_FIELD,2)</f>
        <v>SAG</v>
      </c>
      <c r="BL7" s="37"/>
      <c r="BM7" s="37"/>
      <c r="BN7" s="37"/>
      <c r="BO7" s="37"/>
      <c r="BP7" s="37"/>
      <c r="BQ7" s="37"/>
      <c r="BR7" s="37"/>
      <c r="BS7" s="37"/>
      <c r="BT7" s="37"/>
      <c r="BU7" s="37"/>
      <c r="BV7" s="37"/>
      <c r="BW7" s="37"/>
      <c r="BX7" s="37"/>
      <c r="BY7" s="37"/>
      <c r="BZ7" s="37"/>
      <c r="CA7" s="37"/>
      <c r="CB7" s="37"/>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row>
    <row r="8" spans="1:150" s="36" customFormat="1" ht="16.5" customHeight="1">
      <c r="A8" s="35"/>
      <c r="B8" s="976" t="s">
        <v>1455</v>
      </c>
      <c r="C8" s="883" t="s">
        <v>21</v>
      </c>
      <c r="D8" s="793" t="s">
        <v>18</v>
      </c>
      <c r="E8" s="48">
        <v>0</v>
      </c>
      <c r="F8" s="875" t="s">
        <v>2559</v>
      </c>
      <c r="G8" s="748"/>
      <c r="H8" s="48">
        <v>0</v>
      </c>
      <c r="I8" s="822">
        <v>0</v>
      </c>
      <c r="J8" s="48">
        <v>0</v>
      </c>
      <c r="K8" s="48">
        <v>0</v>
      </c>
      <c r="L8" s="48">
        <v>0</v>
      </c>
      <c r="M8" s="48">
        <v>0</v>
      </c>
      <c r="N8" s="823" t="e">
        <f t="shared" si="2"/>
        <v>#NAME?</v>
      </c>
      <c r="O8" s="830" t="s">
        <v>2358</v>
      </c>
      <c r="P8" s="882"/>
      <c r="Q8" s="831"/>
      <c r="R8" s="879"/>
      <c r="S8" s="35"/>
      <c r="T8" s="35"/>
      <c r="U8" s="135"/>
      <c r="V8" s="13" t="e">
        <v>#NAME?</v>
      </c>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117" t="str">
        <f t="shared" si="3"/>
        <v>KHALDA_INJ</v>
      </c>
      <c r="AX8" s="118">
        <f t="shared" si="4"/>
        <v>46298</v>
      </c>
      <c r="AY8" s="119" t="str">
        <f t="shared" si="5"/>
        <v>9AG-89</v>
      </c>
      <c r="AZ8" s="119">
        <f t="shared" si="6"/>
        <v>0</v>
      </c>
      <c r="BA8" s="119">
        <f t="shared" si="7"/>
        <v>0</v>
      </c>
      <c r="BB8" s="120">
        <f t="shared" si="8"/>
        <v>0</v>
      </c>
      <c r="BC8" s="120" t="str">
        <f t="shared" si="9"/>
        <v>SI</v>
      </c>
      <c r="BD8" s="120">
        <f t="shared" si="10"/>
        <v>0</v>
      </c>
      <c r="BE8" s="119">
        <f t="shared" si="11"/>
        <v>0</v>
      </c>
      <c r="BF8" s="121" t="str">
        <f t="shared" si="12"/>
        <v>AG-81, 91,57, 152</v>
      </c>
      <c r="BG8" s="121">
        <f t="shared" si="13"/>
        <v>0</v>
      </c>
      <c r="BH8" s="121">
        <f t="shared" si="14"/>
        <v>0</v>
      </c>
      <c r="BI8" s="121" t="str">
        <f>IF(F8="","",F8)</f>
        <v>Reservoir Study/Management</v>
      </c>
      <c r="BJ8" s="122" t="str">
        <f>IF(D8="SI","",VLOOKUP(B8,WELL_FIELD,2))</f>
        <v/>
      </c>
      <c r="BK8" s="122" t="str">
        <f>VLOOKUP(B8,WELL_FIELD,2)</f>
        <v>SAG</v>
      </c>
      <c r="BL8" s="37"/>
      <c r="BM8" s="37"/>
      <c r="BN8" s="37"/>
      <c r="BO8" s="37"/>
      <c r="BP8" s="37"/>
      <c r="BQ8" s="37"/>
      <c r="BR8" s="37"/>
      <c r="BS8" s="37"/>
      <c r="BT8" s="37"/>
      <c r="BU8" s="37"/>
      <c r="BV8" s="37"/>
      <c r="BW8" s="37"/>
      <c r="BX8" s="37"/>
      <c r="BY8" s="37"/>
      <c r="BZ8" s="37"/>
      <c r="CA8" s="37"/>
      <c r="CB8" s="37"/>
      <c r="CC8" s="35"/>
      <c r="CD8" s="35"/>
      <c r="CE8" s="35"/>
      <c r="CF8" s="35"/>
      <c r="CG8" s="35"/>
      <c r="CH8" s="35"/>
      <c r="CI8" s="35"/>
      <c r="CJ8" s="35"/>
      <c r="CK8" s="35"/>
      <c r="CL8" s="35"/>
      <c r="CM8" s="35"/>
      <c r="CN8" s="35"/>
      <c r="CO8" s="35"/>
      <c r="CP8" s="35"/>
      <c r="CQ8" s="35"/>
      <c r="CR8" s="35"/>
      <c r="CS8" s="35"/>
      <c r="CT8" s="35"/>
      <c r="CU8" s="35"/>
      <c r="CV8" s="35"/>
      <c r="CW8" s="35"/>
      <c r="CX8" s="35"/>
      <c r="CY8" s="35"/>
      <c r="CZ8" s="35"/>
      <c r="DA8" s="35"/>
      <c r="DB8" s="35"/>
      <c r="DC8" s="35"/>
      <c r="DD8" s="35"/>
      <c r="DE8" s="35"/>
      <c r="DF8" s="35"/>
      <c r="DG8" s="35"/>
      <c r="DH8" s="35"/>
      <c r="DI8" s="35"/>
      <c r="DJ8" s="35"/>
      <c r="DK8" s="35"/>
      <c r="DL8" s="35"/>
      <c r="DM8" s="35"/>
      <c r="DN8" s="35"/>
      <c r="DO8" s="35"/>
      <c r="DP8" s="35"/>
      <c r="DQ8" s="35"/>
      <c r="DR8" s="35"/>
      <c r="DS8" s="35"/>
      <c r="DT8" s="35"/>
      <c r="DU8" s="35"/>
      <c r="DV8" s="35"/>
      <c r="DW8" s="35"/>
      <c r="DX8" s="35"/>
      <c r="DY8" s="35"/>
      <c r="DZ8" s="35"/>
      <c r="EA8" s="35"/>
      <c r="EB8" s="35"/>
      <c r="EC8" s="35"/>
      <c r="ED8" s="35"/>
      <c r="EE8" s="35"/>
      <c r="EF8" s="35"/>
      <c r="EG8" s="35"/>
      <c r="EH8" s="35"/>
      <c r="EI8" s="35"/>
      <c r="EJ8" s="35"/>
      <c r="EK8" s="35"/>
      <c r="EL8" s="35"/>
      <c r="EM8" s="35"/>
      <c r="EN8" s="35"/>
      <c r="EO8" s="35"/>
      <c r="EP8" s="35"/>
      <c r="EQ8" s="35"/>
      <c r="ER8" s="35"/>
      <c r="ES8" s="35"/>
      <c r="ET8" s="35"/>
    </row>
    <row r="9" spans="1:150" s="36" customFormat="1" ht="16.5" customHeight="1">
      <c r="A9" s="35"/>
      <c r="B9" s="976" t="s">
        <v>1292</v>
      </c>
      <c r="C9" s="793" t="s">
        <v>21</v>
      </c>
      <c r="D9" s="793" t="s">
        <v>18</v>
      </c>
      <c r="E9" s="48">
        <v>0</v>
      </c>
      <c r="F9" s="875" t="s">
        <v>2559</v>
      </c>
      <c r="G9" s="748"/>
      <c r="H9" s="48">
        <v>0</v>
      </c>
      <c r="I9" s="822">
        <v>0</v>
      </c>
      <c r="J9" s="48">
        <v>0</v>
      </c>
      <c r="K9" s="48">
        <v>0</v>
      </c>
      <c r="L9" s="48">
        <v>0</v>
      </c>
      <c r="M9" s="48">
        <v>0</v>
      </c>
      <c r="N9" s="823" t="e">
        <f t="shared" si="2"/>
        <v>#NAME?</v>
      </c>
      <c r="O9" s="830"/>
      <c r="P9" s="882"/>
      <c r="Q9" s="831"/>
      <c r="R9" s="663"/>
      <c r="S9" s="35"/>
      <c r="T9" s="35"/>
      <c r="U9" s="135"/>
      <c r="V9" s="13" t="e">
        <v>#NAME?</v>
      </c>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117" t="str">
        <f t="shared" si="3"/>
        <v>KHALDA_INJ</v>
      </c>
      <c r="AX9" s="118">
        <f t="shared" si="4"/>
        <v>46298</v>
      </c>
      <c r="AY9" s="119" t="str">
        <f t="shared" si="5"/>
        <v>9AG-98</v>
      </c>
      <c r="AZ9" s="119">
        <f t="shared" si="6"/>
        <v>0</v>
      </c>
      <c r="BA9" s="119">
        <f t="shared" si="7"/>
        <v>0</v>
      </c>
      <c r="BB9" s="120">
        <f t="shared" si="8"/>
        <v>0</v>
      </c>
      <c r="BC9" s="120" t="str">
        <f t="shared" si="9"/>
        <v>SI</v>
      </c>
      <c r="BD9" s="120">
        <f t="shared" si="10"/>
        <v>0</v>
      </c>
      <c r="BE9" s="119">
        <f t="shared" si="11"/>
        <v>0</v>
      </c>
      <c r="BF9" s="121" t="str">
        <f t="shared" si="12"/>
        <v/>
      </c>
      <c r="BG9" s="121">
        <f t="shared" si="13"/>
        <v>0</v>
      </c>
      <c r="BH9" s="121">
        <f t="shared" si="14"/>
        <v>0</v>
      </c>
      <c r="BI9" s="121" t="str">
        <f t="shared" si="15"/>
        <v>Reservoir Study/Management</v>
      </c>
      <c r="BJ9" s="122" t="str">
        <f t="shared" si="0"/>
        <v/>
      </c>
      <c r="BK9" s="122" t="str">
        <f t="shared" si="1"/>
        <v>AG</v>
      </c>
      <c r="BL9" s="37"/>
      <c r="BM9" s="37"/>
      <c r="BN9" s="37"/>
      <c r="BO9" s="37"/>
      <c r="BP9" s="37"/>
      <c r="BQ9" s="37"/>
      <c r="BR9" s="37"/>
      <c r="BS9" s="37"/>
      <c r="BT9" s="37"/>
      <c r="BU9" s="37"/>
      <c r="BV9" s="37"/>
      <c r="BW9" s="37"/>
      <c r="BX9" s="37"/>
      <c r="BY9" s="37"/>
      <c r="BZ9" s="37"/>
      <c r="CA9" s="37"/>
      <c r="CB9" s="37"/>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row>
    <row r="10" spans="1:150" s="36" customFormat="1" ht="16.5" customHeight="1">
      <c r="A10" s="35"/>
      <c r="B10" s="975" t="s">
        <v>1505</v>
      </c>
      <c r="C10" s="793" t="s">
        <v>2107</v>
      </c>
      <c r="D10" s="883" t="s">
        <v>18</v>
      </c>
      <c r="E10" s="48">
        <v>0</v>
      </c>
      <c r="F10" s="875" t="s">
        <v>2559</v>
      </c>
      <c r="G10" s="748"/>
      <c r="H10" s="48">
        <v>0</v>
      </c>
      <c r="I10" s="822">
        <v>0</v>
      </c>
      <c r="J10" s="48">
        <v>0</v>
      </c>
      <c r="K10" s="48">
        <v>0</v>
      </c>
      <c r="L10" s="48">
        <v>0</v>
      </c>
      <c r="M10" s="48">
        <v>0</v>
      </c>
      <c r="N10" s="823" t="e">
        <f t="shared" si="2"/>
        <v>#NAME?</v>
      </c>
      <c r="O10" s="830"/>
      <c r="P10" s="882"/>
      <c r="Q10" s="831"/>
      <c r="R10" s="879"/>
      <c r="S10" s="35"/>
      <c r="T10" s="35"/>
      <c r="U10" s="135"/>
      <c r="V10" s="13" t="e">
        <v>#NAME?</v>
      </c>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117" t="str">
        <f t="shared" si="3"/>
        <v>KHALDA_INJ</v>
      </c>
      <c r="AX10" s="118">
        <f t="shared" si="4"/>
        <v>46298</v>
      </c>
      <c r="AY10" s="119" t="str">
        <f t="shared" si="5"/>
        <v>9AG-109</v>
      </c>
      <c r="AZ10" s="119">
        <f t="shared" si="6"/>
        <v>0</v>
      </c>
      <c r="BA10" s="119">
        <f t="shared" si="7"/>
        <v>0</v>
      </c>
      <c r="BB10" s="120">
        <f t="shared" si="8"/>
        <v>0</v>
      </c>
      <c r="BC10" s="120" t="str">
        <f t="shared" si="9"/>
        <v>SI</v>
      </c>
      <c r="BD10" s="120">
        <f t="shared" si="10"/>
        <v>0</v>
      </c>
      <c r="BE10" s="119">
        <f t="shared" si="11"/>
        <v>0</v>
      </c>
      <c r="BF10" s="121" t="str">
        <f t="shared" si="12"/>
        <v/>
      </c>
      <c r="BG10" s="121">
        <f t="shared" si="13"/>
        <v>0</v>
      </c>
      <c r="BH10" s="121">
        <f t="shared" si="14"/>
        <v>0</v>
      </c>
      <c r="BI10" s="121" t="str">
        <f t="shared" si="15"/>
        <v>Reservoir Study/Management</v>
      </c>
      <c r="BJ10" s="122" t="str">
        <f t="shared" si="0"/>
        <v/>
      </c>
      <c r="BK10" s="122" t="str">
        <f t="shared" si="1"/>
        <v>SAG</v>
      </c>
      <c r="BL10" s="37"/>
      <c r="BM10" s="37"/>
      <c r="BN10" s="37"/>
      <c r="BO10" s="37"/>
      <c r="BP10" s="37"/>
      <c r="BQ10" s="37"/>
      <c r="BR10" s="37"/>
      <c r="BS10" s="37"/>
      <c r="BT10" s="37"/>
      <c r="BU10" s="37"/>
      <c r="BV10" s="37"/>
      <c r="BW10" s="37"/>
      <c r="BX10" s="37"/>
      <c r="BY10" s="37"/>
      <c r="BZ10" s="37"/>
      <c r="CA10" s="37"/>
      <c r="CB10" s="37"/>
      <c r="CC10" s="35"/>
      <c r="CD10" s="35"/>
      <c r="CE10" s="35"/>
      <c r="CF10" s="35"/>
      <c r="CG10" s="35"/>
      <c r="CH10" s="35"/>
      <c r="CI10" s="35"/>
      <c r="CJ10" s="35"/>
      <c r="CK10" s="35"/>
      <c r="CL10" s="35"/>
      <c r="CM10" s="35"/>
      <c r="CN10" s="35"/>
      <c r="CO10" s="35"/>
      <c r="CP10" s="35"/>
      <c r="CQ10" s="35"/>
      <c r="CR10" s="35"/>
      <c r="CS10" s="35"/>
      <c r="CT10" s="35"/>
      <c r="CU10" s="35"/>
      <c r="CV10" s="35"/>
      <c r="CW10" s="35"/>
      <c r="CX10" s="35"/>
      <c r="CY10" s="35"/>
      <c r="CZ10" s="35"/>
      <c r="DA10" s="35"/>
      <c r="DB10" s="35"/>
      <c r="DC10" s="35"/>
      <c r="DD10" s="35"/>
      <c r="DE10" s="35"/>
      <c r="DF10" s="35"/>
      <c r="DG10" s="35"/>
      <c r="DH10" s="35"/>
      <c r="DI10" s="35"/>
      <c r="DJ10" s="35"/>
      <c r="DK10" s="35"/>
      <c r="DL10" s="35"/>
      <c r="DM10" s="35"/>
      <c r="DN10" s="35"/>
      <c r="DO10" s="35"/>
      <c r="DP10" s="35"/>
      <c r="DQ10" s="35"/>
      <c r="DR10" s="35"/>
      <c r="DS10" s="35"/>
      <c r="DT10" s="35"/>
      <c r="DU10" s="35"/>
      <c r="DV10" s="35"/>
      <c r="DW10" s="35"/>
      <c r="DX10" s="35"/>
      <c r="DY10" s="35"/>
      <c r="DZ10" s="35"/>
      <c r="EA10" s="35"/>
      <c r="EB10" s="35"/>
      <c r="EC10" s="35"/>
      <c r="ED10" s="35"/>
      <c r="EE10" s="35"/>
      <c r="EF10" s="35"/>
      <c r="EG10" s="35"/>
      <c r="EH10" s="35"/>
      <c r="EI10" s="35"/>
      <c r="EJ10" s="35"/>
      <c r="EK10" s="35"/>
      <c r="EL10" s="35"/>
      <c r="EM10" s="35"/>
      <c r="EN10" s="35"/>
      <c r="EO10" s="35"/>
      <c r="EP10" s="35"/>
      <c r="EQ10" s="35"/>
      <c r="ER10" s="35"/>
      <c r="ES10" s="35"/>
      <c r="ET10" s="35"/>
    </row>
    <row r="11" spans="1:150" s="36" customFormat="1" ht="16.5" customHeight="1">
      <c r="A11" s="35"/>
      <c r="B11" s="975" t="s">
        <v>1671</v>
      </c>
      <c r="C11" s="793" t="s">
        <v>2107</v>
      </c>
      <c r="D11" s="793" t="s">
        <v>18</v>
      </c>
      <c r="E11" s="48">
        <v>0</v>
      </c>
      <c r="F11" s="875" t="s">
        <v>2559</v>
      </c>
      <c r="G11" s="748"/>
      <c r="H11" s="48">
        <v>0</v>
      </c>
      <c r="I11" s="822">
        <v>0</v>
      </c>
      <c r="J11" s="48">
        <v>0</v>
      </c>
      <c r="K11" s="48">
        <v>0</v>
      </c>
      <c r="L11" s="48">
        <v>0</v>
      </c>
      <c r="M11" s="48">
        <v>0</v>
      </c>
      <c r="N11" s="823" t="e">
        <f t="shared" si="2"/>
        <v>#NAME?</v>
      </c>
      <c r="O11" s="830"/>
      <c r="P11" s="882"/>
      <c r="Q11" s="831"/>
      <c r="R11" s="663"/>
      <c r="S11" s="35"/>
      <c r="T11" s="35"/>
      <c r="U11" s="135"/>
      <c r="V11" s="13" t="e">
        <v>#NAME?</v>
      </c>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117" t="str">
        <f t="shared" si="3"/>
        <v>KHALDA_INJ</v>
      </c>
      <c r="AX11" s="118">
        <f t="shared" si="4"/>
        <v>46298</v>
      </c>
      <c r="AY11" s="119" t="str">
        <f t="shared" si="5"/>
        <v>9AG-113</v>
      </c>
      <c r="AZ11" s="119">
        <f t="shared" si="6"/>
        <v>0</v>
      </c>
      <c r="BA11" s="119">
        <f t="shared" si="7"/>
        <v>0</v>
      </c>
      <c r="BB11" s="120">
        <f t="shared" si="8"/>
        <v>0</v>
      </c>
      <c r="BC11" s="120" t="str">
        <f t="shared" si="9"/>
        <v>SI</v>
      </c>
      <c r="BD11" s="120">
        <f t="shared" si="10"/>
        <v>0</v>
      </c>
      <c r="BE11" s="119">
        <f t="shared" si="11"/>
        <v>0</v>
      </c>
      <c r="BF11" s="121" t="str">
        <f t="shared" si="12"/>
        <v/>
      </c>
      <c r="BG11" s="121">
        <f t="shared" si="13"/>
        <v>0</v>
      </c>
      <c r="BH11" s="121">
        <f t="shared" si="14"/>
        <v>0</v>
      </c>
      <c r="BI11" s="121" t="str">
        <f t="shared" si="15"/>
        <v>Reservoir Study/Management</v>
      </c>
      <c r="BJ11" s="122" t="str">
        <f t="shared" si="0"/>
        <v/>
      </c>
      <c r="BK11" s="122" t="str">
        <f t="shared" si="1"/>
        <v>SAG</v>
      </c>
      <c r="BL11" s="37"/>
      <c r="BM11" s="37"/>
      <c r="BN11" s="37"/>
      <c r="BO11" s="37"/>
      <c r="BP11" s="37"/>
      <c r="BQ11" s="37"/>
      <c r="BR11" s="37"/>
      <c r="BS11" s="37"/>
      <c r="BT11" s="37"/>
      <c r="BU11" s="37"/>
      <c r="BV11" s="37"/>
      <c r="BW11" s="37"/>
      <c r="BX11" s="37"/>
      <c r="BY11" s="37"/>
      <c r="BZ11" s="37"/>
      <c r="CA11" s="37"/>
      <c r="CB11" s="37"/>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row>
    <row r="12" spans="1:150" s="36" customFormat="1" ht="16.5" customHeight="1">
      <c r="A12" s="35"/>
      <c r="B12" s="975" t="s">
        <v>2061</v>
      </c>
      <c r="C12" s="793" t="s">
        <v>2107</v>
      </c>
      <c r="D12" s="793" t="s">
        <v>18</v>
      </c>
      <c r="E12" s="48">
        <v>0</v>
      </c>
      <c r="F12" s="875" t="s">
        <v>2559</v>
      </c>
      <c r="G12" s="748"/>
      <c r="H12" s="48">
        <v>0</v>
      </c>
      <c r="I12" s="822">
        <v>0</v>
      </c>
      <c r="J12" s="48">
        <v>0</v>
      </c>
      <c r="K12" s="48">
        <v>0</v>
      </c>
      <c r="L12" s="48">
        <v>0</v>
      </c>
      <c r="M12" s="48">
        <v>0</v>
      </c>
      <c r="N12" s="823" t="e">
        <f t="shared" si="2"/>
        <v>#NAME?</v>
      </c>
      <c r="O12" s="830"/>
      <c r="P12" s="882"/>
      <c r="Q12" s="831"/>
      <c r="R12" s="663"/>
      <c r="S12" s="35"/>
      <c r="T12" s="35"/>
      <c r="U12" s="135"/>
      <c r="V12" s="13" t="e">
        <v>#NAME?</v>
      </c>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117" t="str">
        <f t="shared" si="3"/>
        <v>KHALDA_INJ</v>
      </c>
      <c r="AX12" s="118">
        <f t="shared" si="4"/>
        <v>46298</v>
      </c>
      <c r="AY12" s="119" t="str">
        <f t="shared" si="5"/>
        <v>9AG-114ST</v>
      </c>
      <c r="AZ12" s="119">
        <f t="shared" si="6"/>
        <v>0</v>
      </c>
      <c r="BA12" s="119">
        <f t="shared" si="7"/>
        <v>0</v>
      </c>
      <c r="BB12" s="120">
        <f t="shared" si="8"/>
        <v>0</v>
      </c>
      <c r="BC12" s="120" t="str">
        <f t="shared" si="9"/>
        <v>SI</v>
      </c>
      <c r="BD12" s="120">
        <f t="shared" si="10"/>
        <v>0</v>
      </c>
      <c r="BE12" s="119">
        <f t="shared" si="11"/>
        <v>0</v>
      </c>
      <c r="BF12" s="121" t="str">
        <f t="shared" si="12"/>
        <v/>
      </c>
      <c r="BG12" s="121">
        <f t="shared" si="13"/>
        <v>0</v>
      </c>
      <c r="BH12" s="121">
        <f t="shared" si="14"/>
        <v>0</v>
      </c>
      <c r="BI12" s="121" t="str">
        <f t="shared" si="15"/>
        <v>Reservoir Study/Management</v>
      </c>
      <c r="BJ12" s="122" t="str">
        <f t="shared" si="0"/>
        <v/>
      </c>
      <c r="BK12" s="122" t="str">
        <f t="shared" si="1"/>
        <v>SAG</v>
      </c>
      <c r="BL12" s="37"/>
      <c r="BM12" s="37"/>
      <c r="BN12" s="37"/>
      <c r="BO12" s="37"/>
      <c r="BP12" s="37"/>
      <c r="BQ12" s="37"/>
      <c r="BR12" s="37"/>
      <c r="BS12" s="37"/>
      <c r="BT12" s="37"/>
      <c r="BU12" s="37"/>
      <c r="BV12" s="37"/>
      <c r="BW12" s="37"/>
      <c r="BX12" s="37"/>
      <c r="BY12" s="37"/>
      <c r="BZ12" s="37"/>
      <c r="CA12" s="37"/>
      <c r="CB12" s="37"/>
      <c r="CC12" s="35"/>
      <c r="CD12" s="35"/>
      <c r="CE12" s="35"/>
      <c r="CF12" s="35"/>
      <c r="CG12" s="35"/>
      <c r="CH12" s="35"/>
      <c r="CI12" s="35"/>
      <c r="CJ12" s="35"/>
      <c r="CK12" s="35"/>
      <c r="CL12" s="35"/>
      <c r="CM12" s="35"/>
      <c r="CN12" s="35"/>
      <c r="CO12" s="35"/>
      <c r="CP12" s="35"/>
      <c r="CQ12" s="35"/>
      <c r="CR12" s="35"/>
      <c r="CS12" s="35"/>
      <c r="CT12" s="35"/>
      <c r="CU12" s="35"/>
      <c r="CV12" s="35"/>
      <c r="CW12" s="35"/>
      <c r="CX12" s="35"/>
      <c r="CY12" s="35"/>
      <c r="CZ12" s="35"/>
      <c r="DA12" s="35"/>
      <c r="DB12" s="35"/>
      <c r="DC12" s="35"/>
      <c r="DD12" s="35"/>
      <c r="DE12" s="35"/>
      <c r="DF12" s="35"/>
      <c r="DG12" s="35"/>
      <c r="DH12" s="35"/>
      <c r="DI12" s="35"/>
      <c r="DJ12" s="35"/>
      <c r="DK12" s="35"/>
      <c r="DL12" s="35"/>
      <c r="DM12" s="35"/>
      <c r="DN12" s="35"/>
      <c r="DO12" s="35"/>
      <c r="DP12" s="35"/>
      <c r="DQ12" s="35"/>
      <c r="DR12" s="35"/>
      <c r="DS12" s="35"/>
      <c r="DT12" s="35"/>
      <c r="DU12" s="35"/>
      <c r="DV12" s="35"/>
      <c r="DW12" s="35"/>
      <c r="DX12" s="35"/>
      <c r="DY12" s="35"/>
      <c r="DZ12" s="35"/>
      <c r="EA12" s="35"/>
      <c r="EB12" s="35"/>
      <c r="EC12" s="35"/>
      <c r="ED12" s="35"/>
      <c r="EE12" s="35"/>
      <c r="EF12" s="35"/>
      <c r="EG12" s="35"/>
      <c r="EH12" s="35"/>
      <c r="EI12" s="35"/>
      <c r="EJ12" s="35"/>
      <c r="EK12" s="35"/>
      <c r="EL12" s="35"/>
      <c r="EM12" s="35"/>
      <c r="EN12" s="35"/>
      <c r="EO12" s="35"/>
      <c r="EP12" s="35"/>
      <c r="EQ12" s="35"/>
      <c r="ER12" s="35"/>
      <c r="ES12" s="35"/>
      <c r="ET12" s="35"/>
    </row>
    <row r="13" spans="1:150" s="36" customFormat="1" ht="16.5" customHeight="1">
      <c r="A13" s="35"/>
      <c r="B13" s="975" t="s">
        <v>2063</v>
      </c>
      <c r="C13" s="793" t="s">
        <v>21</v>
      </c>
      <c r="D13" s="883" t="s">
        <v>18</v>
      </c>
      <c r="E13" s="48">
        <v>0</v>
      </c>
      <c r="F13" s="875" t="s">
        <v>2559</v>
      </c>
      <c r="G13" s="748"/>
      <c r="H13" s="48">
        <v>0</v>
      </c>
      <c r="I13" s="822">
        <v>0</v>
      </c>
      <c r="J13" s="48">
        <v>0</v>
      </c>
      <c r="K13" s="48">
        <v>0</v>
      </c>
      <c r="L13" s="48">
        <v>0</v>
      </c>
      <c r="M13" s="48">
        <v>0</v>
      </c>
      <c r="N13" s="823" t="e">
        <f t="shared" si="2"/>
        <v>#NAME?</v>
      </c>
      <c r="O13" s="830"/>
      <c r="P13" s="882"/>
      <c r="Q13" s="831"/>
      <c r="R13" s="663"/>
      <c r="S13" s="35"/>
      <c r="T13" s="35"/>
      <c r="U13" s="135"/>
      <c r="V13" s="13" t="e">
        <v>#NAME?</v>
      </c>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117" t="str">
        <f t="shared" si="3"/>
        <v>KHALDA_INJ</v>
      </c>
      <c r="AX13" s="118">
        <f t="shared" si="4"/>
        <v>46298</v>
      </c>
      <c r="AY13" s="119" t="str">
        <f t="shared" si="5"/>
        <v>9AG-124ST</v>
      </c>
      <c r="AZ13" s="119">
        <f t="shared" si="6"/>
        <v>0</v>
      </c>
      <c r="BA13" s="119">
        <f t="shared" si="7"/>
        <v>0</v>
      </c>
      <c r="BB13" s="120">
        <f t="shared" si="8"/>
        <v>0</v>
      </c>
      <c r="BC13" s="120" t="str">
        <f t="shared" si="9"/>
        <v>SI</v>
      </c>
      <c r="BD13" s="120">
        <f t="shared" si="10"/>
        <v>0</v>
      </c>
      <c r="BE13" s="119">
        <f t="shared" si="11"/>
        <v>0</v>
      </c>
      <c r="BF13" s="121" t="str">
        <f t="shared" si="12"/>
        <v/>
      </c>
      <c r="BG13" s="121">
        <f t="shared" si="13"/>
        <v>0</v>
      </c>
      <c r="BH13" s="121">
        <f t="shared" si="14"/>
        <v>0</v>
      </c>
      <c r="BI13" s="121" t="str">
        <f t="shared" si="15"/>
        <v>Reservoir Study/Management</v>
      </c>
      <c r="BJ13" s="122" t="str">
        <f t="shared" si="0"/>
        <v/>
      </c>
      <c r="BK13" s="122" t="str">
        <f t="shared" si="1"/>
        <v>AG</v>
      </c>
      <c r="BL13" s="37"/>
      <c r="BM13" s="37"/>
      <c r="BN13" s="37"/>
      <c r="BO13" s="37"/>
      <c r="BP13" s="37"/>
      <c r="BQ13" s="37"/>
      <c r="BR13" s="37"/>
      <c r="BS13" s="37"/>
      <c r="BT13" s="37"/>
      <c r="BU13" s="37"/>
      <c r="BV13" s="37"/>
      <c r="BW13" s="37"/>
      <c r="BX13" s="37"/>
      <c r="BY13" s="37"/>
      <c r="BZ13" s="37"/>
      <c r="CA13" s="37"/>
      <c r="CB13" s="37"/>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row>
    <row r="14" spans="1:150" s="36" customFormat="1" ht="16.5" customHeight="1">
      <c r="A14" s="35"/>
      <c r="B14" s="975" t="s">
        <v>2064</v>
      </c>
      <c r="C14" s="793" t="s">
        <v>2107</v>
      </c>
      <c r="D14" s="793" t="s">
        <v>18</v>
      </c>
      <c r="E14" s="48">
        <v>0</v>
      </c>
      <c r="F14" s="875" t="s">
        <v>2559</v>
      </c>
      <c r="G14" s="748"/>
      <c r="H14" s="48">
        <v>0</v>
      </c>
      <c r="I14" s="822">
        <v>0</v>
      </c>
      <c r="J14" s="48">
        <v>0</v>
      </c>
      <c r="K14" s="48">
        <v>0</v>
      </c>
      <c r="L14" s="48">
        <v>0</v>
      </c>
      <c r="M14" s="48">
        <v>0</v>
      </c>
      <c r="N14" s="823" t="e">
        <f t="shared" si="2"/>
        <v>#NAME?</v>
      </c>
      <c r="O14" s="830"/>
      <c r="P14" s="882"/>
      <c r="Q14" s="831"/>
      <c r="R14" s="663"/>
      <c r="S14" s="35"/>
      <c r="T14" s="35"/>
      <c r="U14" s="135"/>
      <c r="V14" s="13" t="e">
        <v>#NAME?</v>
      </c>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117" t="str">
        <f t="shared" si="3"/>
        <v>KHALDA_INJ</v>
      </c>
      <c r="AX14" s="118">
        <f t="shared" si="4"/>
        <v>46298</v>
      </c>
      <c r="AY14" s="119" t="str">
        <f t="shared" si="5"/>
        <v>9AG-126ST2</v>
      </c>
      <c r="AZ14" s="119">
        <f t="shared" si="6"/>
        <v>0</v>
      </c>
      <c r="BA14" s="119">
        <f t="shared" si="7"/>
        <v>0</v>
      </c>
      <c r="BB14" s="120">
        <f t="shared" si="8"/>
        <v>0</v>
      </c>
      <c r="BC14" s="120" t="str">
        <f t="shared" si="9"/>
        <v>SI</v>
      </c>
      <c r="BD14" s="120">
        <f t="shared" si="10"/>
        <v>0</v>
      </c>
      <c r="BE14" s="119">
        <f t="shared" si="11"/>
        <v>0</v>
      </c>
      <c r="BF14" s="121" t="str">
        <f t="shared" si="12"/>
        <v/>
      </c>
      <c r="BG14" s="121">
        <f t="shared" si="13"/>
        <v>0</v>
      </c>
      <c r="BH14" s="121">
        <f t="shared" si="14"/>
        <v>0</v>
      </c>
      <c r="BI14" s="121" t="str">
        <f t="shared" si="15"/>
        <v>Reservoir Study/Management</v>
      </c>
      <c r="BJ14" s="122" t="str">
        <f t="shared" si="0"/>
        <v/>
      </c>
      <c r="BK14" s="122" t="str">
        <f t="shared" si="1"/>
        <v>SAG</v>
      </c>
      <c r="BL14" s="37"/>
      <c r="BM14" s="37"/>
      <c r="BN14" s="37"/>
      <c r="BO14" s="37"/>
      <c r="BP14" s="37"/>
      <c r="BQ14" s="37"/>
      <c r="BR14" s="37"/>
      <c r="BS14" s="37"/>
      <c r="BT14" s="37"/>
      <c r="BU14" s="37"/>
      <c r="BV14" s="37"/>
      <c r="BW14" s="37"/>
      <c r="BX14" s="37"/>
      <c r="BY14" s="37"/>
      <c r="BZ14" s="37"/>
      <c r="CA14" s="37"/>
      <c r="CB14" s="37"/>
      <c r="CC14" s="35"/>
      <c r="CD14" s="35"/>
      <c r="CE14" s="35"/>
      <c r="CF14" s="35"/>
      <c r="CG14" s="35"/>
      <c r="CH14" s="35"/>
      <c r="CI14" s="35"/>
      <c r="CJ14" s="35"/>
      <c r="CK14" s="35"/>
      <c r="CL14" s="35"/>
      <c r="CM14" s="35"/>
      <c r="CN14" s="35"/>
      <c r="CO14" s="35"/>
      <c r="CP14" s="35"/>
      <c r="CQ14" s="35"/>
      <c r="CR14" s="35"/>
      <c r="CS14" s="35"/>
      <c r="CT14" s="35"/>
      <c r="CU14" s="35"/>
      <c r="CV14" s="35"/>
      <c r="CW14" s="35"/>
      <c r="CX14" s="35"/>
      <c r="CY14" s="35"/>
      <c r="CZ14" s="35"/>
      <c r="DA14" s="35"/>
      <c r="DB14" s="35"/>
      <c r="DC14" s="35"/>
      <c r="DD14" s="35"/>
      <c r="DE14" s="35"/>
      <c r="DF14" s="35"/>
      <c r="DG14" s="35"/>
      <c r="DH14" s="35"/>
      <c r="DI14" s="35"/>
      <c r="DJ14" s="35"/>
      <c r="DK14" s="35"/>
      <c r="DL14" s="35"/>
      <c r="DM14" s="35"/>
      <c r="DN14" s="35"/>
      <c r="DO14" s="35"/>
      <c r="DP14" s="35"/>
      <c r="DQ14" s="35"/>
      <c r="DR14" s="35"/>
      <c r="DS14" s="35"/>
      <c r="DT14" s="35"/>
      <c r="DU14" s="35"/>
      <c r="DV14" s="35"/>
      <c r="DW14" s="35"/>
      <c r="DX14" s="35"/>
      <c r="DY14" s="35"/>
      <c r="DZ14" s="35"/>
      <c r="EA14" s="35"/>
      <c r="EB14" s="35"/>
      <c r="EC14" s="35"/>
      <c r="ED14" s="35"/>
      <c r="EE14" s="35"/>
      <c r="EF14" s="35"/>
      <c r="EG14" s="35"/>
      <c r="EH14" s="35"/>
      <c r="EI14" s="35"/>
      <c r="EJ14" s="35"/>
      <c r="EK14" s="35"/>
      <c r="EL14" s="35"/>
      <c r="EM14" s="35"/>
      <c r="EN14" s="35"/>
      <c r="EO14" s="35"/>
      <c r="EP14" s="35"/>
      <c r="EQ14" s="35"/>
      <c r="ER14" s="35"/>
      <c r="ES14" s="35"/>
      <c r="ET14" s="35"/>
    </row>
    <row r="15" spans="1:150" s="36" customFormat="1" ht="16.5" customHeight="1">
      <c r="A15" s="35"/>
      <c r="B15" s="976" t="s">
        <v>2206</v>
      </c>
      <c r="C15" s="793" t="s">
        <v>21</v>
      </c>
      <c r="D15" s="793" t="s">
        <v>18</v>
      </c>
      <c r="E15" s="48">
        <v>0</v>
      </c>
      <c r="F15" s="875" t="s">
        <v>2559</v>
      </c>
      <c r="G15" s="748"/>
      <c r="H15" s="48">
        <v>0</v>
      </c>
      <c r="I15" s="822">
        <v>0</v>
      </c>
      <c r="J15" s="48">
        <v>0</v>
      </c>
      <c r="K15" s="48">
        <v>0</v>
      </c>
      <c r="L15" s="48">
        <v>0</v>
      </c>
      <c r="M15" s="48">
        <v>0</v>
      </c>
      <c r="N15" s="823"/>
      <c r="O15" s="830" t="s">
        <v>2241</v>
      </c>
      <c r="P15" s="882" t="s">
        <v>1752</v>
      </c>
      <c r="Q15" s="831"/>
      <c r="R15" s="879"/>
      <c r="S15" s="35"/>
      <c r="T15" s="35"/>
      <c r="U15" s="135"/>
      <c r="V15" s="13"/>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117" t="str">
        <f t="shared" si="3"/>
        <v>KHALDA_INJ</v>
      </c>
      <c r="AX15" s="118">
        <f t="shared" si="4"/>
        <v>46298</v>
      </c>
      <c r="AY15" s="119" t="str">
        <f t="shared" si="5"/>
        <v>9AG-155</v>
      </c>
      <c r="AZ15" s="119">
        <f t="shared" si="6"/>
        <v>0</v>
      </c>
      <c r="BA15" s="119">
        <f t="shared" si="7"/>
        <v>0</v>
      </c>
      <c r="BB15" s="120">
        <f t="shared" si="8"/>
        <v>0</v>
      </c>
      <c r="BC15" s="120" t="str">
        <f t="shared" si="9"/>
        <v>SI</v>
      </c>
      <c r="BD15" s="120">
        <f t="shared" si="10"/>
        <v>0</v>
      </c>
      <c r="BE15" s="119">
        <f t="shared" si="11"/>
        <v>0</v>
      </c>
      <c r="BF15" s="121" t="str">
        <f t="shared" si="12"/>
        <v>AG-158</v>
      </c>
      <c r="BG15" s="121">
        <f t="shared" si="13"/>
        <v>0</v>
      </c>
      <c r="BH15" s="121">
        <f t="shared" si="14"/>
        <v>0</v>
      </c>
      <c r="BI15" s="121" t="str">
        <f t="shared" si="15"/>
        <v>Reservoir Study/Management</v>
      </c>
      <c r="BJ15" s="122" t="str">
        <f t="shared" si="0"/>
        <v/>
      </c>
      <c r="BK15" s="122" t="str">
        <f t="shared" si="1"/>
        <v>SAG</v>
      </c>
      <c r="BL15" s="37"/>
      <c r="BM15" s="37"/>
      <c r="BN15" s="37"/>
      <c r="BO15" s="37"/>
      <c r="BP15" s="37"/>
      <c r="BQ15" s="37"/>
      <c r="BR15" s="37"/>
      <c r="BS15" s="37"/>
      <c r="BT15" s="37"/>
      <c r="BU15" s="37"/>
      <c r="BV15" s="37"/>
      <c r="BW15" s="37"/>
      <c r="BX15" s="37"/>
      <c r="BY15" s="37"/>
      <c r="BZ15" s="37"/>
      <c r="CA15" s="37"/>
      <c r="CB15" s="37"/>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row>
    <row r="16" spans="1:150" s="36" customFormat="1" ht="16.5" customHeight="1">
      <c r="A16" s="35"/>
      <c r="B16" s="976" t="s">
        <v>2429</v>
      </c>
      <c r="C16" s="793" t="s">
        <v>1305</v>
      </c>
      <c r="D16" s="793" t="s">
        <v>22</v>
      </c>
      <c r="E16" s="48">
        <v>24</v>
      </c>
      <c r="F16" s="875" t="s">
        <v>2482</v>
      </c>
      <c r="G16" s="748"/>
      <c r="H16" s="48">
        <v>618</v>
      </c>
      <c r="I16" s="822">
        <v>500</v>
      </c>
      <c r="J16" s="48">
        <v>0</v>
      </c>
      <c r="K16" s="48">
        <v>0</v>
      </c>
      <c r="L16" s="48">
        <v>0</v>
      </c>
      <c r="M16" s="48">
        <v>0</v>
      </c>
      <c r="N16" s="823"/>
      <c r="O16" s="830" t="s">
        <v>1308</v>
      </c>
      <c r="P16" s="882" t="s">
        <v>1752</v>
      </c>
      <c r="Q16" s="831"/>
      <c r="R16" s="879"/>
      <c r="S16" s="35"/>
      <c r="T16" s="35"/>
      <c r="U16" s="135"/>
      <c r="V16" s="13"/>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c r="AU16" s="35"/>
      <c r="AV16" s="35"/>
      <c r="AW16" s="117" t="str">
        <f t="shared" si="3"/>
        <v>KHALDA_INJ</v>
      </c>
      <c r="AX16" s="118">
        <f t="shared" si="4"/>
        <v>46298</v>
      </c>
      <c r="AY16" s="119" t="str">
        <f t="shared" si="5"/>
        <v>9AG-229</v>
      </c>
      <c r="AZ16" s="119">
        <f t="shared" si="6"/>
        <v>618</v>
      </c>
      <c r="BA16" s="119">
        <f t="shared" si="7"/>
        <v>0</v>
      </c>
      <c r="BB16" s="120">
        <f t="shared" si="8"/>
        <v>24</v>
      </c>
      <c r="BC16" s="120" t="str">
        <f t="shared" si="9"/>
        <v>INJ</v>
      </c>
      <c r="BD16" s="120">
        <f t="shared" si="10"/>
        <v>0</v>
      </c>
      <c r="BE16" s="119">
        <f t="shared" si="11"/>
        <v>500</v>
      </c>
      <c r="BF16" s="121" t="str">
        <f t="shared" si="12"/>
        <v>AG-29A</v>
      </c>
      <c r="BG16" s="121">
        <f t="shared" si="13"/>
        <v>0</v>
      </c>
      <c r="BH16" s="121">
        <f t="shared" si="14"/>
        <v>0</v>
      </c>
      <c r="BI16" s="121" t="str">
        <f t="shared" si="15"/>
        <v>Facility Constraint</v>
      </c>
      <c r="BJ16" s="122" t="str">
        <f t="shared" si="0"/>
        <v>AG</v>
      </c>
      <c r="BK16" s="122" t="str">
        <f t="shared" si="1"/>
        <v>AG</v>
      </c>
      <c r="BL16" s="37"/>
      <c r="BM16" s="37"/>
      <c r="BN16" s="37"/>
      <c r="BO16" s="37"/>
      <c r="BP16" s="37"/>
      <c r="BQ16" s="37"/>
      <c r="BR16" s="37"/>
      <c r="BS16" s="37"/>
      <c r="BT16" s="37"/>
      <c r="BU16" s="37"/>
      <c r="BV16" s="37"/>
      <c r="BW16" s="37"/>
      <c r="BX16" s="37"/>
      <c r="BY16" s="37"/>
      <c r="BZ16" s="37"/>
      <c r="CA16" s="37"/>
      <c r="CB16" s="37"/>
      <c r="CC16" s="35"/>
      <c r="CD16" s="35"/>
      <c r="CE16" s="35"/>
      <c r="CF16" s="35"/>
      <c r="CG16" s="35"/>
      <c r="CH16" s="35"/>
      <c r="CI16" s="35"/>
      <c r="CJ16" s="35"/>
      <c r="CK16" s="35"/>
      <c r="CL16" s="35"/>
      <c r="CM16" s="35"/>
      <c r="CN16" s="35"/>
      <c r="CO16" s="35"/>
      <c r="CP16" s="35"/>
      <c r="CQ16" s="35"/>
      <c r="CR16" s="35"/>
      <c r="CS16" s="35"/>
      <c r="CT16" s="35"/>
      <c r="CU16" s="35"/>
      <c r="CV16" s="35"/>
      <c r="CW16" s="35"/>
      <c r="CX16" s="35"/>
      <c r="CY16" s="35"/>
      <c r="CZ16" s="35"/>
      <c r="DA16" s="35"/>
      <c r="DB16" s="35"/>
      <c r="DC16" s="35"/>
      <c r="DD16" s="35"/>
      <c r="DE16" s="35"/>
      <c r="DF16" s="35"/>
      <c r="DG16" s="35"/>
      <c r="DH16" s="35"/>
      <c r="DI16" s="35"/>
      <c r="DJ16" s="35"/>
      <c r="DK16" s="35"/>
      <c r="DL16" s="35"/>
      <c r="DM16" s="35"/>
      <c r="DN16" s="35"/>
      <c r="DO16" s="35"/>
      <c r="DP16" s="35"/>
      <c r="DQ16" s="35"/>
      <c r="DR16" s="35"/>
      <c r="DS16" s="35"/>
      <c r="DT16" s="35"/>
      <c r="DU16" s="35"/>
      <c r="DV16" s="35"/>
      <c r="DW16" s="35"/>
      <c r="DX16" s="35"/>
      <c r="DY16" s="35"/>
      <c r="DZ16" s="35"/>
      <c r="EA16" s="35"/>
      <c r="EB16" s="35"/>
      <c r="EC16" s="35"/>
      <c r="ED16" s="35"/>
      <c r="EE16" s="35"/>
      <c r="EF16" s="35"/>
      <c r="EG16" s="35"/>
      <c r="EH16" s="35"/>
      <c r="EI16" s="35"/>
      <c r="EJ16" s="35"/>
      <c r="EK16" s="35"/>
      <c r="EL16" s="35"/>
      <c r="EM16" s="35"/>
      <c r="EN16" s="35"/>
      <c r="EO16" s="35"/>
      <c r="EP16" s="35"/>
      <c r="EQ16" s="35"/>
      <c r="ER16" s="35"/>
      <c r="ES16" s="35"/>
      <c r="ET16" s="35"/>
    </row>
    <row r="17" spans="1:150" s="36" customFormat="1" ht="16.5" customHeight="1">
      <c r="A17" s="35"/>
      <c r="B17" s="976" t="s">
        <v>2430</v>
      </c>
      <c r="C17" s="793" t="s">
        <v>1307</v>
      </c>
      <c r="D17" s="883" t="s">
        <v>22</v>
      </c>
      <c r="E17" s="48">
        <v>24</v>
      </c>
      <c r="F17" s="875" t="s">
        <v>2482</v>
      </c>
      <c r="G17" s="748"/>
      <c r="H17" s="48">
        <v>4052</v>
      </c>
      <c r="I17" s="822">
        <v>4000</v>
      </c>
      <c r="J17" s="48">
        <v>0</v>
      </c>
      <c r="K17" s="48">
        <v>0</v>
      </c>
      <c r="L17" s="48">
        <v>0</v>
      </c>
      <c r="M17" s="48">
        <v>0</v>
      </c>
      <c r="N17" s="823"/>
      <c r="O17" s="830" t="s">
        <v>1275</v>
      </c>
      <c r="P17" s="882" t="s">
        <v>1752</v>
      </c>
      <c r="Q17" s="831"/>
      <c r="R17" s="879"/>
      <c r="S17" s="35"/>
      <c r="T17" s="35"/>
      <c r="U17" s="135"/>
      <c r="V17" s="13"/>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117" t="str">
        <f t="shared" si="3"/>
        <v>KHALDA_INJ</v>
      </c>
      <c r="AX17" s="118">
        <f t="shared" si="4"/>
        <v>46298</v>
      </c>
      <c r="AY17" s="119" t="str">
        <f t="shared" si="5"/>
        <v>9AG-231</v>
      </c>
      <c r="AZ17" s="119">
        <f t="shared" si="6"/>
        <v>4052</v>
      </c>
      <c r="BA17" s="119">
        <f t="shared" si="7"/>
        <v>0</v>
      </c>
      <c r="BB17" s="120">
        <f t="shared" si="8"/>
        <v>24</v>
      </c>
      <c r="BC17" s="120" t="str">
        <f t="shared" si="9"/>
        <v>INJ</v>
      </c>
      <c r="BD17" s="120">
        <f t="shared" si="10"/>
        <v>0</v>
      </c>
      <c r="BE17" s="119">
        <f t="shared" si="11"/>
        <v>4000</v>
      </c>
      <c r="BF17" s="121" t="str">
        <f t="shared" si="12"/>
        <v>AG-31</v>
      </c>
      <c r="BG17" s="121">
        <f t="shared" si="13"/>
        <v>0</v>
      </c>
      <c r="BH17" s="121">
        <f t="shared" si="14"/>
        <v>0</v>
      </c>
      <c r="BI17" s="121" t="str">
        <f t="shared" si="15"/>
        <v>Facility Constraint</v>
      </c>
      <c r="BJ17" s="122" t="str">
        <f t="shared" si="0"/>
        <v>AG</v>
      </c>
      <c r="BK17" s="122" t="str">
        <f t="shared" si="1"/>
        <v>AG</v>
      </c>
      <c r="BL17" s="37"/>
      <c r="BM17" s="37"/>
      <c r="BN17" s="37"/>
      <c r="BO17" s="37"/>
      <c r="BP17" s="37"/>
      <c r="BQ17" s="37"/>
      <c r="BR17" s="37"/>
      <c r="BS17" s="37"/>
      <c r="BT17" s="37"/>
      <c r="BU17" s="37"/>
      <c r="BV17" s="37"/>
      <c r="BW17" s="37"/>
      <c r="BX17" s="37"/>
      <c r="BY17" s="37"/>
      <c r="BZ17" s="37"/>
      <c r="CA17" s="37"/>
      <c r="CB17" s="37"/>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row>
    <row r="18" spans="1:150" s="36" customFormat="1" ht="16.5" customHeight="1">
      <c r="A18" s="35"/>
      <c r="B18" s="975" t="s">
        <v>2215</v>
      </c>
      <c r="C18" s="793" t="s">
        <v>1305</v>
      </c>
      <c r="D18" s="793" t="s">
        <v>22</v>
      </c>
      <c r="E18" s="48">
        <v>22</v>
      </c>
      <c r="F18" s="875" t="s">
        <v>2482</v>
      </c>
      <c r="G18" s="748"/>
      <c r="H18" s="48">
        <v>1458</v>
      </c>
      <c r="I18" s="822">
        <v>1500</v>
      </c>
      <c r="J18" s="48">
        <v>0</v>
      </c>
      <c r="K18" s="48">
        <v>40</v>
      </c>
      <c r="L18" s="48">
        <v>0</v>
      </c>
      <c r="M18" s="48">
        <v>0</v>
      </c>
      <c r="N18" s="823" t="e">
        <f>YSTCUM+H18</f>
        <v>#NAME?</v>
      </c>
      <c r="O18" s="830" t="s">
        <v>2683</v>
      </c>
      <c r="P18" s="882" t="s">
        <v>1752</v>
      </c>
      <c r="Q18" s="831"/>
      <c r="R18" s="879"/>
      <c r="S18" s="35"/>
      <c r="T18" s="35"/>
      <c r="U18" s="135"/>
      <c r="V18" s="13" t="e">
        <v>#NAME?</v>
      </c>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117" t="str">
        <f t="shared" si="3"/>
        <v>KHALDA_INJ</v>
      </c>
      <c r="AX18" s="118">
        <f t="shared" si="4"/>
        <v>46298</v>
      </c>
      <c r="AY18" s="119" t="str">
        <f t="shared" si="5"/>
        <v>9HAWK-05ST</v>
      </c>
      <c r="AZ18" s="119">
        <f t="shared" si="6"/>
        <v>1458</v>
      </c>
      <c r="BA18" s="119">
        <f t="shared" si="7"/>
        <v>40</v>
      </c>
      <c r="BB18" s="120">
        <f t="shared" si="8"/>
        <v>22</v>
      </c>
      <c r="BC18" s="120" t="str">
        <f t="shared" si="9"/>
        <v>INJ</v>
      </c>
      <c r="BD18" s="120">
        <f t="shared" si="10"/>
        <v>0</v>
      </c>
      <c r="BE18" s="119">
        <f t="shared" si="11"/>
        <v>1500</v>
      </c>
      <c r="BF18" s="121" t="str">
        <f t="shared" si="12"/>
        <v>HAWK-06</v>
      </c>
      <c r="BG18" s="121">
        <f t="shared" si="13"/>
        <v>0</v>
      </c>
      <c r="BH18" s="121">
        <f t="shared" si="14"/>
        <v>0</v>
      </c>
      <c r="BI18" s="121" t="str">
        <f t="shared" si="15"/>
        <v>Facility Constraint</v>
      </c>
      <c r="BJ18" s="122" t="str">
        <f t="shared" si="0"/>
        <v>HAWK</v>
      </c>
      <c r="BK18" s="122" t="str">
        <f t="shared" si="1"/>
        <v>HAWK</v>
      </c>
      <c r="BL18" s="37"/>
      <c r="BM18" s="37"/>
      <c r="BN18" s="37"/>
      <c r="BO18" s="37"/>
      <c r="BP18" s="37"/>
      <c r="BQ18" s="37"/>
      <c r="BR18" s="37"/>
      <c r="BS18" s="37"/>
      <c r="BT18" s="37"/>
      <c r="BU18" s="37"/>
      <c r="BV18" s="37"/>
      <c r="BW18" s="37"/>
      <c r="BX18" s="37"/>
      <c r="BY18" s="37"/>
      <c r="BZ18" s="37"/>
      <c r="CA18" s="37"/>
      <c r="CB18" s="37"/>
      <c r="CC18" s="35"/>
      <c r="CD18" s="35"/>
      <c r="CE18" s="35"/>
      <c r="CF18" s="35"/>
      <c r="CG18" s="35"/>
      <c r="CH18" s="35"/>
      <c r="CI18" s="35"/>
      <c r="CJ18" s="35"/>
      <c r="CK18" s="35"/>
      <c r="CL18" s="35"/>
      <c r="CM18" s="35"/>
      <c r="CN18" s="35"/>
      <c r="CO18" s="35"/>
      <c r="CP18" s="35"/>
      <c r="CQ18" s="35"/>
      <c r="CR18" s="35"/>
      <c r="CS18" s="35"/>
      <c r="CT18" s="35"/>
      <c r="CU18" s="35"/>
      <c r="CV18" s="35"/>
      <c r="CW18" s="35"/>
      <c r="CX18" s="35"/>
      <c r="CY18" s="35"/>
      <c r="CZ18" s="35"/>
      <c r="DA18" s="35"/>
      <c r="DB18" s="35"/>
      <c r="DC18" s="35"/>
      <c r="DD18" s="35"/>
      <c r="DE18" s="35"/>
      <c r="DF18" s="35"/>
      <c r="DG18" s="35"/>
      <c r="DH18" s="35"/>
      <c r="DI18" s="35"/>
      <c r="DJ18" s="35"/>
      <c r="DK18" s="35"/>
      <c r="DL18" s="35"/>
      <c r="DM18" s="35"/>
      <c r="DN18" s="35"/>
      <c r="DO18" s="35"/>
      <c r="DP18" s="35"/>
      <c r="DQ18" s="35"/>
      <c r="DR18" s="35"/>
      <c r="DS18" s="35"/>
      <c r="DT18" s="35"/>
      <c r="DU18" s="35"/>
      <c r="DV18" s="35"/>
      <c r="DW18" s="35"/>
      <c r="DX18" s="35"/>
      <c r="DY18" s="35"/>
      <c r="DZ18" s="35"/>
      <c r="EA18" s="35"/>
      <c r="EB18" s="35"/>
      <c r="EC18" s="35"/>
      <c r="ED18" s="35"/>
      <c r="EE18" s="35"/>
      <c r="EF18" s="35"/>
      <c r="EG18" s="35"/>
      <c r="EH18" s="35"/>
      <c r="EI18" s="35"/>
      <c r="EJ18" s="35"/>
      <c r="EK18" s="35"/>
      <c r="EL18" s="35"/>
      <c r="EM18" s="35"/>
      <c r="EN18" s="35"/>
      <c r="EO18" s="35"/>
      <c r="EP18" s="35"/>
      <c r="EQ18" s="35"/>
      <c r="ER18" s="35"/>
      <c r="ES18" s="35"/>
      <c r="ET18" s="35"/>
    </row>
    <row r="19" spans="1:150" s="36" customFormat="1" ht="16.5" customHeight="1">
      <c r="A19" s="35"/>
      <c r="B19" s="976" t="s">
        <v>1648</v>
      </c>
      <c r="C19" s="793" t="s">
        <v>1305</v>
      </c>
      <c r="D19" s="883" t="s">
        <v>22</v>
      </c>
      <c r="E19" s="48">
        <v>24</v>
      </c>
      <c r="F19" s="875" t="s">
        <v>2482</v>
      </c>
      <c r="G19" s="748"/>
      <c r="H19" s="48">
        <v>2491</v>
      </c>
      <c r="I19" s="822">
        <v>2500</v>
      </c>
      <c r="J19" s="48">
        <v>0</v>
      </c>
      <c r="K19" s="48">
        <v>1760</v>
      </c>
      <c r="L19" s="48">
        <v>0</v>
      </c>
      <c r="M19" s="48">
        <v>0</v>
      </c>
      <c r="N19" s="823"/>
      <c r="O19" s="830" t="s">
        <v>2359</v>
      </c>
      <c r="P19" s="882" t="s">
        <v>1752</v>
      </c>
      <c r="Q19" s="831"/>
      <c r="R19" s="879"/>
      <c r="S19" s="35"/>
      <c r="T19" s="35"/>
      <c r="U19" s="135"/>
      <c r="V19" s="13"/>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117" t="str">
        <f t="shared" si="3"/>
        <v>KHALDA_INJ</v>
      </c>
      <c r="AX19" s="118">
        <f t="shared" si="4"/>
        <v>46298</v>
      </c>
      <c r="AY19" s="119" t="str">
        <f t="shared" si="5"/>
        <v>9NAG-03</v>
      </c>
      <c r="AZ19" s="119">
        <f t="shared" si="6"/>
        <v>2491</v>
      </c>
      <c r="BA19" s="119">
        <f t="shared" si="7"/>
        <v>1760</v>
      </c>
      <c r="BB19" s="120">
        <f t="shared" si="8"/>
        <v>24</v>
      </c>
      <c r="BC19" s="120" t="str">
        <f t="shared" si="9"/>
        <v>INJ</v>
      </c>
      <c r="BD19" s="120">
        <f t="shared" si="10"/>
        <v>0</v>
      </c>
      <c r="BE19" s="119">
        <f t="shared" si="11"/>
        <v>2500</v>
      </c>
      <c r="BF19" s="121" t="str">
        <f t="shared" si="12"/>
        <v>NAG-06</v>
      </c>
      <c r="BG19" s="121">
        <f t="shared" si="13"/>
        <v>0</v>
      </c>
      <c r="BH19" s="121">
        <f t="shared" si="14"/>
        <v>0</v>
      </c>
      <c r="BI19" s="121" t="str">
        <f t="shared" si="15"/>
        <v>Facility Constraint</v>
      </c>
      <c r="BJ19" s="122" t="str">
        <f t="shared" si="0"/>
        <v>NAG</v>
      </c>
      <c r="BK19" s="122" t="str">
        <f t="shared" si="1"/>
        <v>NAG</v>
      </c>
      <c r="BL19" s="37"/>
      <c r="BM19" s="37"/>
      <c r="BN19" s="37"/>
      <c r="BO19" s="37"/>
      <c r="BP19" s="37"/>
      <c r="BQ19" s="37"/>
      <c r="BR19" s="37"/>
      <c r="BS19" s="37"/>
      <c r="BT19" s="37"/>
      <c r="BU19" s="37"/>
      <c r="BV19" s="37"/>
      <c r="BW19" s="37"/>
      <c r="BX19" s="37"/>
      <c r="BY19" s="37"/>
      <c r="BZ19" s="37"/>
      <c r="CA19" s="37"/>
      <c r="CB19" s="37"/>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row>
    <row r="20" spans="1:150" s="36" customFormat="1" ht="16.5" customHeight="1">
      <c r="A20" s="35"/>
      <c r="B20" s="976" t="s">
        <v>2238</v>
      </c>
      <c r="C20" s="793" t="s">
        <v>1307</v>
      </c>
      <c r="D20" s="883" t="s">
        <v>22</v>
      </c>
      <c r="E20" s="48">
        <v>24</v>
      </c>
      <c r="F20" s="48"/>
      <c r="G20" s="748"/>
      <c r="H20" s="48">
        <v>2048</v>
      </c>
      <c r="I20" s="822">
        <v>2000</v>
      </c>
      <c r="J20" s="48">
        <v>0</v>
      </c>
      <c r="K20" s="48">
        <v>2040</v>
      </c>
      <c r="L20" s="48">
        <v>0</v>
      </c>
      <c r="M20" s="48">
        <v>0</v>
      </c>
      <c r="N20" s="823" t="e">
        <f>YSTCUM+H20</f>
        <v>#NAME?</v>
      </c>
      <c r="O20" s="830" t="s">
        <v>2650</v>
      </c>
      <c r="P20" s="882" t="s">
        <v>1752</v>
      </c>
      <c r="Q20" s="831"/>
      <c r="R20" s="879"/>
      <c r="S20" s="35"/>
      <c r="T20" s="35"/>
      <c r="U20" s="135"/>
      <c r="V20" s="13" t="e">
        <v>#NAME?</v>
      </c>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117" t="str">
        <f t="shared" si="3"/>
        <v>KHALDA_INJ</v>
      </c>
      <c r="AX20" s="118">
        <f t="shared" si="4"/>
        <v>46298</v>
      </c>
      <c r="AY20" s="119" t="str">
        <f t="shared" si="5"/>
        <v>9MAPLE-01</v>
      </c>
      <c r="AZ20" s="119">
        <f t="shared" si="6"/>
        <v>2048</v>
      </c>
      <c r="BA20" s="119">
        <f t="shared" si="7"/>
        <v>2040</v>
      </c>
      <c r="BB20" s="120">
        <f t="shared" si="8"/>
        <v>24</v>
      </c>
      <c r="BC20" s="120" t="str">
        <f t="shared" si="9"/>
        <v>INJ</v>
      </c>
      <c r="BD20" s="120">
        <f t="shared" si="10"/>
        <v>0</v>
      </c>
      <c r="BE20" s="119">
        <f t="shared" si="11"/>
        <v>2000</v>
      </c>
      <c r="BF20" s="121" t="str">
        <f t="shared" si="12"/>
        <v>OAKHIL-SW01</v>
      </c>
      <c r="BG20" s="121">
        <f t="shared" si="13"/>
        <v>0</v>
      </c>
      <c r="BH20" s="121">
        <f t="shared" si="14"/>
        <v>0</v>
      </c>
      <c r="BI20" s="121" t="str">
        <f t="shared" si="15"/>
        <v/>
      </c>
      <c r="BJ20" s="122" t="str">
        <f t="shared" si="0"/>
        <v>MAPLE</v>
      </c>
      <c r="BK20" s="122" t="str">
        <f t="shared" si="1"/>
        <v>MAPLE</v>
      </c>
      <c r="BL20" s="37"/>
      <c r="BM20" s="37"/>
      <c r="BN20" s="37"/>
      <c r="BO20" s="37"/>
      <c r="BP20" s="37"/>
      <c r="BQ20" s="37"/>
      <c r="BR20" s="37"/>
      <c r="BS20" s="37"/>
      <c r="BT20" s="37"/>
      <c r="BU20" s="37"/>
      <c r="BV20" s="37"/>
      <c r="BW20" s="37"/>
      <c r="BX20" s="37"/>
      <c r="BY20" s="37"/>
      <c r="BZ20" s="37"/>
      <c r="CA20" s="37"/>
      <c r="CB20" s="37"/>
      <c r="CC20" s="35"/>
      <c r="CD20" s="35"/>
      <c r="CE20" s="35"/>
      <c r="CF20" s="35"/>
      <c r="CG20" s="35"/>
      <c r="CH20" s="35"/>
      <c r="CI20" s="35"/>
      <c r="CJ20" s="35"/>
      <c r="CK20" s="35"/>
      <c r="CL20" s="35"/>
      <c r="CM20" s="35"/>
      <c r="CN20" s="35"/>
      <c r="CO20" s="35"/>
      <c r="CP20" s="35"/>
      <c r="CQ20" s="35"/>
      <c r="CR20" s="35"/>
      <c r="CS20" s="35"/>
      <c r="CT20" s="35"/>
      <c r="CU20" s="35"/>
      <c r="CV20" s="35"/>
      <c r="CW20" s="35"/>
      <c r="CX20" s="35"/>
      <c r="CY20" s="35"/>
      <c r="CZ20" s="35"/>
      <c r="DA20" s="35"/>
      <c r="DB20" s="35"/>
      <c r="DC20" s="35"/>
      <c r="DD20" s="35"/>
      <c r="DE20" s="35"/>
      <c r="DF20" s="35"/>
      <c r="DG20" s="35"/>
      <c r="DH20" s="35"/>
      <c r="DI20" s="35"/>
      <c r="DJ20" s="35"/>
      <c r="DK20" s="35"/>
      <c r="DL20" s="35"/>
      <c r="DM20" s="35"/>
      <c r="DN20" s="35"/>
      <c r="DO20" s="35"/>
      <c r="DP20" s="35"/>
      <c r="DQ20" s="35"/>
      <c r="DR20" s="35"/>
      <c r="DS20" s="35"/>
      <c r="DT20" s="35"/>
      <c r="DU20" s="35"/>
      <c r="DV20" s="35"/>
      <c r="DW20" s="35"/>
      <c r="DX20" s="35"/>
      <c r="DY20" s="35"/>
      <c r="DZ20" s="35"/>
      <c r="EA20" s="35"/>
      <c r="EB20" s="35"/>
      <c r="EC20" s="35"/>
      <c r="ED20" s="35"/>
      <c r="EE20" s="35"/>
      <c r="EF20" s="35"/>
      <c r="EG20" s="35"/>
      <c r="EH20" s="35"/>
      <c r="EI20" s="35"/>
      <c r="EJ20" s="35"/>
      <c r="EK20" s="35"/>
      <c r="EL20" s="35"/>
      <c r="EM20" s="35"/>
      <c r="EN20" s="35"/>
      <c r="EO20" s="35"/>
      <c r="EP20" s="35"/>
      <c r="EQ20" s="35"/>
      <c r="ER20" s="35"/>
      <c r="ES20" s="35"/>
      <c r="ET20" s="35"/>
    </row>
    <row r="21" spans="1:150" s="36" customFormat="1" ht="16.5" customHeight="1">
      <c r="A21" s="35"/>
      <c r="B21" s="976" t="s">
        <v>2698</v>
      </c>
      <c r="C21" s="793" t="s">
        <v>1305</v>
      </c>
      <c r="D21" s="883" t="s">
        <v>22</v>
      </c>
      <c r="E21" s="48">
        <v>24</v>
      </c>
      <c r="F21" s="48"/>
      <c r="G21" s="748"/>
      <c r="H21" s="48">
        <v>0</v>
      </c>
      <c r="I21" s="822">
        <v>200</v>
      </c>
      <c r="J21" s="48">
        <v>0</v>
      </c>
      <c r="K21" s="48">
        <v>2170</v>
      </c>
      <c r="L21" s="48">
        <v>240</v>
      </c>
      <c r="M21" s="48">
        <v>0</v>
      </c>
      <c r="N21" s="823"/>
      <c r="O21" s="830" t="s">
        <v>2268</v>
      </c>
      <c r="P21" s="882" t="s">
        <v>1752</v>
      </c>
      <c r="Q21" s="831"/>
      <c r="R21" s="879" t="s">
        <v>2719</v>
      </c>
      <c r="S21" s="35"/>
      <c r="T21" s="35"/>
      <c r="U21" s="135"/>
      <c r="V21" s="13"/>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117" t="str">
        <f t="shared" si="3"/>
        <v>KHALDA_INJ</v>
      </c>
      <c r="AX21" s="118">
        <f t="shared" si="4"/>
        <v>46298</v>
      </c>
      <c r="AY21" s="119" t="str">
        <f t="shared" si="5"/>
        <v>9Maple-02ST1</v>
      </c>
      <c r="AZ21" s="119">
        <f t="shared" si="6"/>
        <v>0</v>
      </c>
      <c r="BA21" s="119">
        <f t="shared" si="7"/>
        <v>2170</v>
      </c>
      <c r="BB21" s="120">
        <f t="shared" si="8"/>
        <v>24</v>
      </c>
      <c r="BC21" s="120" t="str">
        <f t="shared" si="9"/>
        <v>INJ</v>
      </c>
      <c r="BD21" s="120">
        <f t="shared" si="10"/>
        <v>0</v>
      </c>
      <c r="BE21" s="119">
        <f t="shared" si="11"/>
        <v>200</v>
      </c>
      <c r="BF21" s="121" t="str">
        <f t="shared" si="12"/>
        <v>NEAG-02</v>
      </c>
      <c r="BG21" s="121">
        <f t="shared" si="13"/>
        <v>0</v>
      </c>
      <c r="BH21" s="121">
        <f t="shared" si="14"/>
        <v>0</v>
      </c>
      <c r="BI21" s="121" t="str">
        <f>IF(F21="","",F21)</f>
        <v/>
      </c>
      <c r="BJ21" s="122" t="str">
        <f>IF(D21="SI","",VLOOKUP(B21,WELL_FIELD,2))</f>
        <v>MAPLE</v>
      </c>
      <c r="BK21" s="122" t="str">
        <f>VLOOKUP(B21,WELL_FIELD,2)</f>
        <v>MAPLE</v>
      </c>
      <c r="BL21" s="37"/>
      <c r="BM21" s="37"/>
      <c r="BN21" s="37"/>
      <c r="BO21" s="37"/>
      <c r="BP21" s="37"/>
      <c r="BQ21" s="37"/>
      <c r="BR21" s="37"/>
      <c r="BS21" s="37"/>
      <c r="BT21" s="37"/>
      <c r="BU21" s="37"/>
      <c r="BV21" s="37"/>
      <c r="BW21" s="37"/>
      <c r="BX21" s="37"/>
      <c r="BY21" s="37"/>
      <c r="BZ21" s="37"/>
      <c r="CA21" s="37"/>
      <c r="CB21" s="37"/>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row>
    <row r="22" spans="1:150" s="36" customFormat="1" ht="16.5" customHeight="1">
      <c r="A22" s="35"/>
      <c r="B22" s="976" t="s">
        <v>2315</v>
      </c>
      <c r="C22" s="793" t="s">
        <v>1307</v>
      </c>
      <c r="D22" s="883" t="s">
        <v>18</v>
      </c>
      <c r="E22" s="48">
        <v>0</v>
      </c>
      <c r="F22" s="875" t="s">
        <v>2482</v>
      </c>
      <c r="G22" s="748"/>
      <c r="H22" s="48">
        <v>0</v>
      </c>
      <c r="I22" s="822">
        <v>1500</v>
      </c>
      <c r="J22" s="48">
        <v>0</v>
      </c>
      <c r="K22" s="48">
        <v>0</v>
      </c>
      <c r="L22" s="48">
        <v>0</v>
      </c>
      <c r="M22" s="48">
        <v>0</v>
      </c>
      <c r="N22" s="823"/>
      <c r="O22" s="830" t="s">
        <v>1590</v>
      </c>
      <c r="P22" s="882" t="s">
        <v>1752</v>
      </c>
      <c r="Q22" s="831"/>
      <c r="R22" s="879"/>
      <c r="S22" s="35"/>
      <c r="T22" s="35"/>
      <c r="U22" s="135"/>
      <c r="V22" s="13"/>
      <c r="W22" s="35"/>
      <c r="X22" s="35"/>
      <c r="Y22" s="35"/>
      <c r="Z22" s="35"/>
      <c r="AA22" s="35"/>
      <c r="AB22" s="35"/>
      <c r="AC22" s="35"/>
      <c r="AD22" s="35"/>
      <c r="AE22" s="35"/>
      <c r="AF22" s="35"/>
      <c r="AG22" s="35"/>
      <c r="AH22" s="35"/>
      <c r="AI22" s="35"/>
      <c r="AJ22" s="35"/>
      <c r="AK22" s="35"/>
      <c r="AL22" s="35"/>
      <c r="AM22" s="35"/>
      <c r="AN22" s="35"/>
      <c r="AO22" s="35"/>
      <c r="AP22" s="35"/>
      <c r="AQ22" s="35"/>
      <c r="AR22" s="35"/>
      <c r="AS22" s="35"/>
      <c r="AT22" s="35"/>
      <c r="AU22" s="35"/>
      <c r="AV22" s="35"/>
      <c r="AW22" s="117" t="str">
        <f t="shared" si="3"/>
        <v>KHALDA_INJ</v>
      </c>
      <c r="AX22" s="118">
        <f t="shared" si="4"/>
        <v>46298</v>
      </c>
      <c r="AY22" s="119" t="str">
        <f t="shared" si="5"/>
        <v>9OLYMPIC-03</v>
      </c>
      <c r="AZ22" s="119">
        <f t="shared" si="6"/>
        <v>0</v>
      </c>
      <c r="BA22" s="119">
        <f t="shared" si="7"/>
        <v>0</v>
      </c>
      <c r="BB22" s="120">
        <f t="shared" si="8"/>
        <v>0</v>
      </c>
      <c r="BC22" s="120" t="str">
        <f t="shared" si="9"/>
        <v>SI</v>
      </c>
      <c r="BD22" s="120">
        <f t="shared" si="10"/>
        <v>0</v>
      </c>
      <c r="BE22" s="119">
        <f t="shared" si="11"/>
        <v>1500</v>
      </c>
      <c r="BF22" s="121" t="str">
        <f t="shared" si="12"/>
        <v>OLYMPIC-01</v>
      </c>
      <c r="BG22" s="121">
        <f t="shared" si="13"/>
        <v>0</v>
      </c>
      <c r="BH22" s="121">
        <f t="shared" si="14"/>
        <v>0</v>
      </c>
      <c r="BI22" s="121" t="str">
        <f>IF(F22="","",F22)</f>
        <v>Facility Constraint</v>
      </c>
      <c r="BJ22" s="122" t="str">
        <f>IF(D22="SI","",VLOOKUP(B22,WELL_FIELD,2))</f>
        <v/>
      </c>
      <c r="BK22" s="122" t="str">
        <f>VLOOKUP(B22,WELL_FIELD,2)</f>
        <v>OLYMPIC-N</v>
      </c>
      <c r="BL22" s="37"/>
      <c r="BM22" s="37"/>
      <c r="BN22" s="37"/>
      <c r="BO22" s="37"/>
      <c r="BP22" s="37"/>
      <c r="BQ22" s="37"/>
      <c r="BR22" s="37"/>
      <c r="BS22" s="37"/>
      <c r="BT22" s="37"/>
      <c r="BU22" s="37"/>
      <c r="BV22" s="37"/>
      <c r="BW22" s="37"/>
      <c r="BX22" s="37"/>
      <c r="BY22" s="37"/>
      <c r="BZ22" s="37"/>
      <c r="CA22" s="37"/>
      <c r="CB22" s="37"/>
      <c r="CC22" s="35"/>
      <c r="CD22" s="35"/>
      <c r="CE22" s="35"/>
      <c r="CF22" s="35"/>
      <c r="CG22" s="35"/>
      <c r="CH22" s="35"/>
      <c r="CI22" s="35"/>
      <c r="CJ22" s="35"/>
      <c r="CK22" s="35"/>
      <c r="CL22" s="35"/>
      <c r="CM22" s="35"/>
      <c r="CN22" s="35"/>
      <c r="CO22" s="35"/>
      <c r="CP22" s="35"/>
      <c r="CQ22" s="35"/>
      <c r="CR22" s="35"/>
      <c r="CS22" s="35"/>
      <c r="CT22" s="35"/>
      <c r="CU22" s="35"/>
      <c r="CV22" s="35"/>
      <c r="CW22" s="35"/>
      <c r="CX22" s="35"/>
      <c r="CY22" s="35"/>
      <c r="CZ22" s="35"/>
      <c r="DA22" s="35"/>
      <c r="DB22" s="35"/>
      <c r="DC22" s="35"/>
      <c r="DD22" s="35"/>
      <c r="DE22" s="35"/>
      <c r="DF22" s="35"/>
      <c r="DG22" s="35"/>
      <c r="DH22" s="35"/>
      <c r="DI22" s="35"/>
      <c r="DJ22" s="35"/>
      <c r="DK22" s="35"/>
      <c r="DL22" s="35"/>
      <c r="DM22" s="35"/>
      <c r="DN22" s="35"/>
      <c r="DO22" s="35"/>
      <c r="DP22" s="35"/>
      <c r="DQ22" s="35"/>
      <c r="DR22" s="35"/>
      <c r="DS22" s="35"/>
      <c r="DT22" s="35"/>
      <c r="DU22" s="35"/>
      <c r="DV22" s="35"/>
      <c r="DW22" s="35"/>
      <c r="DX22" s="35"/>
      <c r="DY22" s="35"/>
      <c r="DZ22" s="35"/>
      <c r="EA22" s="35"/>
      <c r="EB22" s="35"/>
      <c r="EC22" s="35"/>
      <c r="ED22" s="35"/>
      <c r="EE22" s="35"/>
      <c r="EF22" s="35"/>
      <c r="EG22" s="35"/>
      <c r="EH22" s="35"/>
      <c r="EI22" s="35"/>
      <c r="EJ22" s="35"/>
      <c r="EK22" s="35"/>
      <c r="EL22" s="35"/>
      <c r="EM22" s="35"/>
      <c r="EN22" s="35"/>
      <c r="EO22" s="35"/>
      <c r="EP22" s="35"/>
      <c r="EQ22" s="35"/>
      <c r="ER22" s="35"/>
      <c r="ES22" s="35"/>
      <c r="ET22" s="35"/>
    </row>
    <row r="23" spans="1:150" s="36" customFormat="1" ht="16.5" customHeight="1">
      <c r="A23" s="35"/>
      <c r="B23" s="976" t="s">
        <v>2661</v>
      </c>
      <c r="C23" s="883" t="s">
        <v>21</v>
      </c>
      <c r="D23" s="883" t="s">
        <v>22</v>
      </c>
      <c r="E23" s="48">
        <v>20</v>
      </c>
      <c r="F23" s="48"/>
      <c r="G23" s="748"/>
      <c r="H23" s="48">
        <v>770</v>
      </c>
      <c r="I23" s="822">
        <v>1250</v>
      </c>
      <c r="J23" s="48">
        <v>0</v>
      </c>
      <c r="K23" s="48">
        <v>1950</v>
      </c>
      <c r="L23" s="48">
        <v>0</v>
      </c>
      <c r="M23" s="48">
        <v>0</v>
      </c>
      <c r="N23" s="823"/>
      <c r="O23" s="830" t="s">
        <v>1603</v>
      </c>
      <c r="P23" s="882" t="s">
        <v>1752</v>
      </c>
      <c r="Q23" s="831"/>
      <c r="R23" s="879"/>
      <c r="S23" s="35"/>
      <c r="T23" s="35"/>
      <c r="U23" s="135"/>
      <c r="V23" s="13"/>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117" t="str">
        <f t="shared" si="3"/>
        <v>KHALDA_INJ</v>
      </c>
      <c r="AX23" s="118">
        <f t="shared" si="4"/>
        <v>46298</v>
      </c>
      <c r="AY23" s="119" t="str">
        <f t="shared" si="5"/>
        <v>9RIDGEWOOD-04</v>
      </c>
      <c r="AZ23" s="119">
        <f t="shared" si="6"/>
        <v>770</v>
      </c>
      <c r="BA23" s="119">
        <f t="shared" si="7"/>
        <v>1950</v>
      </c>
      <c r="BB23" s="120">
        <f t="shared" si="8"/>
        <v>20</v>
      </c>
      <c r="BC23" s="120" t="str">
        <f t="shared" si="9"/>
        <v>INJ</v>
      </c>
      <c r="BD23" s="120">
        <f t="shared" si="10"/>
        <v>0</v>
      </c>
      <c r="BE23" s="119">
        <f t="shared" si="11"/>
        <v>1250</v>
      </c>
      <c r="BF23" s="121" t="str">
        <f t="shared" si="12"/>
        <v>RIDGEWOOD-01</v>
      </c>
      <c r="BG23" s="121">
        <f t="shared" si="13"/>
        <v>0</v>
      </c>
      <c r="BH23" s="121">
        <f t="shared" si="14"/>
        <v>0</v>
      </c>
      <c r="BI23" s="121" t="str">
        <f>IF(F23="","",F23)</f>
        <v/>
      </c>
      <c r="BJ23" s="122" t="str">
        <f>IF(D23="SI","",VLOOKUP(B23,WELL_FIELD,2))</f>
        <v>RIDGEWOOD</v>
      </c>
      <c r="BK23" s="122" t="str">
        <f>VLOOKUP(B23,WELL_FIELD,2)</f>
        <v>RIDGEWOOD</v>
      </c>
      <c r="BL23" s="37"/>
      <c r="BM23" s="37"/>
      <c r="BN23" s="37"/>
      <c r="BO23" s="37"/>
      <c r="BP23" s="37"/>
      <c r="BQ23" s="37"/>
      <c r="BR23" s="37"/>
      <c r="BS23" s="37"/>
      <c r="BT23" s="37"/>
      <c r="BU23" s="37"/>
      <c r="BV23" s="37"/>
      <c r="BW23" s="37"/>
      <c r="BX23" s="37"/>
      <c r="BY23" s="37"/>
      <c r="BZ23" s="37"/>
      <c r="CA23" s="37"/>
      <c r="CB23" s="37"/>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row>
    <row r="24" spans="1:150" s="36" customFormat="1" ht="16.5" customHeight="1">
      <c r="A24" s="35"/>
      <c r="B24" s="976" t="s">
        <v>2076</v>
      </c>
      <c r="C24" s="793" t="s">
        <v>1305</v>
      </c>
      <c r="D24" s="883" t="s">
        <v>22</v>
      </c>
      <c r="E24" s="48">
        <v>22</v>
      </c>
      <c r="F24" s="48"/>
      <c r="G24" s="748"/>
      <c r="H24" s="48">
        <v>413</v>
      </c>
      <c r="I24" s="822">
        <v>1500</v>
      </c>
      <c r="J24" s="48">
        <v>0</v>
      </c>
      <c r="K24" s="48">
        <v>0</v>
      </c>
      <c r="L24" s="48">
        <v>0</v>
      </c>
      <c r="M24" s="48">
        <v>0</v>
      </c>
      <c r="N24" s="823"/>
      <c r="O24" s="830" t="s">
        <v>2265</v>
      </c>
      <c r="P24" s="882" t="s">
        <v>1752</v>
      </c>
      <c r="Q24" s="831"/>
      <c r="R24" s="879" t="s">
        <v>2691</v>
      </c>
      <c r="S24" s="35"/>
      <c r="T24" s="35"/>
      <c r="U24" s="135"/>
      <c r="V24" s="13"/>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5"/>
      <c r="AV24" s="35"/>
      <c r="AW24" s="117" t="str">
        <f t="shared" si="3"/>
        <v>KHALDA_INJ</v>
      </c>
      <c r="AX24" s="118">
        <f t="shared" si="4"/>
        <v>46298</v>
      </c>
      <c r="AY24" s="119" t="str">
        <f t="shared" si="5"/>
        <v>9SHADOW-E03</v>
      </c>
      <c r="AZ24" s="119">
        <f t="shared" si="6"/>
        <v>413</v>
      </c>
      <c r="BA24" s="119">
        <f t="shared" si="7"/>
        <v>0</v>
      </c>
      <c r="BB24" s="120">
        <f t="shared" si="8"/>
        <v>22</v>
      </c>
      <c r="BC24" s="120" t="str">
        <f t="shared" si="9"/>
        <v>INJ</v>
      </c>
      <c r="BD24" s="120">
        <f t="shared" si="10"/>
        <v>0</v>
      </c>
      <c r="BE24" s="119">
        <f t="shared" si="11"/>
        <v>1500</v>
      </c>
      <c r="BF24" s="121" t="str">
        <f t="shared" si="12"/>
        <v>SHADOW-E04</v>
      </c>
      <c r="BG24" s="121">
        <f t="shared" si="13"/>
        <v>0</v>
      </c>
      <c r="BH24" s="121">
        <f t="shared" si="14"/>
        <v>0</v>
      </c>
      <c r="BI24" s="121" t="str">
        <f t="shared" si="15"/>
        <v/>
      </c>
      <c r="BJ24" s="122" t="str">
        <f t="shared" si="0"/>
        <v>SHADOW</v>
      </c>
      <c r="BK24" s="122" t="str">
        <f t="shared" si="1"/>
        <v>SHADOW</v>
      </c>
      <c r="BL24" s="37"/>
      <c r="BM24" s="37"/>
      <c r="BN24" s="37"/>
      <c r="BO24" s="37"/>
      <c r="BP24" s="37"/>
      <c r="BQ24" s="37"/>
      <c r="BR24" s="37"/>
      <c r="BS24" s="37"/>
      <c r="BT24" s="37"/>
      <c r="BU24" s="37"/>
      <c r="BV24" s="37"/>
      <c r="BW24" s="37"/>
      <c r="BX24" s="37"/>
      <c r="BY24" s="37"/>
      <c r="BZ24" s="37"/>
      <c r="CA24" s="37"/>
      <c r="CB24" s="37"/>
      <c r="CC24" s="35"/>
      <c r="CD24" s="35"/>
      <c r="CE24" s="35"/>
      <c r="CF24" s="35"/>
      <c r="CG24" s="35"/>
      <c r="CH24" s="35"/>
      <c r="CI24" s="35"/>
      <c r="CJ24" s="35"/>
      <c r="CK24" s="35"/>
      <c r="CL24" s="35"/>
      <c r="CM24" s="35"/>
      <c r="CN24" s="35"/>
      <c r="CO24" s="35"/>
      <c r="CP24" s="35"/>
      <c r="CQ24" s="35"/>
      <c r="CR24" s="35"/>
      <c r="CS24" s="35"/>
      <c r="CT24" s="35"/>
      <c r="CU24" s="35"/>
      <c r="CV24" s="35"/>
      <c r="CW24" s="35"/>
      <c r="CX24" s="35"/>
      <c r="CY24" s="35"/>
      <c r="CZ24" s="35"/>
      <c r="DA24" s="35"/>
      <c r="DB24" s="35"/>
      <c r="DC24" s="35"/>
      <c r="DD24" s="35"/>
      <c r="DE24" s="35"/>
      <c r="DF24" s="35"/>
      <c r="DG24" s="35"/>
      <c r="DH24" s="35"/>
      <c r="DI24" s="35"/>
      <c r="DJ24" s="35"/>
      <c r="DK24" s="35"/>
      <c r="DL24" s="35"/>
      <c r="DM24" s="35"/>
      <c r="DN24" s="35"/>
      <c r="DO24" s="35"/>
      <c r="DP24" s="35"/>
      <c r="DQ24" s="35"/>
      <c r="DR24" s="35"/>
      <c r="DS24" s="35"/>
      <c r="DT24" s="35"/>
      <c r="DU24" s="35"/>
      <c r="DV24" s="35"/>
      <c r="DW24" s="35"/>
      <c r="DX24" s="35"/>
      <c r="DY24" s="35"/>
      <c r="DZ24" s="35"/>
      <c r="EA24" s="35"/>
      <c r="EB24" s="35"/>
      <c r="EC24" s="35"/>
      <c r="ED24" s="35"/>
      <c r="EE24" s="35"/>
      <c r="EF24" s="35"/>
      <c r="EG24" s="35"/>
      <c r="EH24" s="35"/>
      <c r="EI24" s="35"/>
      <c r="EJ24" s="35"/>
      <c r="EK24" s="35"/>
      <c r="EL24" s="35"/>
      <c r="EM24" s="35"/>
      <c r="EN24" s="35"/>
      <c r="EO24" s="35"/>
      <c r="EP24" s="35"/>
      <c r="EQ24" s="35"/>
      <c r="ER24" s="35"/>
      <c r="ES24" s="35"/>
      <c r="ET24" s="35"/>
    </row>
    <row r="25" spans="1:150" s="36" customFormat="1" ht="16.5" customHeight="1">
      <c r="A25" s="35"/>
      <c r="B25" s="976" t="s">
        <v>2286</v>
      </c>
      <c r="C25" s="883" t="s">
        <v>1305</v>
      </c>
      <c r="D25" s="883" t="s">
        <v>22</v>
      </c>
      <c r="E25" s="48">
        <v>22</v>
      </c>
      <c r="F25" s="875" t="s">
        <v>2482</v>
      </c>
      <c r="G25" s="748"/>
      <c r="H25" s="48">
        <v>660</v>
      </c>
      <c r="I25" s="822">
        <v>700</v>
      </c>
      <c r="J25" s="48">
        <v>0</v>
      </c>
      <c r="K25" s="48">
        <v>2050</v>
      </c>
      <c r="L25" s="48">
        <v>0</v>
      </c>
      <c r="M25" s="48">
        <v>0</v>
      </c>
      <c r="N25" s="823"/>
      <c r="O25" s="830" t="s">
        <v>2658</v>
      </c>
      <c r="P25" s="882" t="s">
        <v>1752</v>
      </c>
      <c r="Q25" s="831">
        <v>45937</v>
      </c>
      <c r="R25" s="879" t="s">
        <v>2691</v>
      </c>
      <c r="S25" s="35"/>
      <c r="T25" s="35"/>
      <c r="U25" s="135"/>
      <c r="V25" s="13"/>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117" t="str">
        <f t="shared" si="3"/>
        <v>KHALDA_INJ</v>
      </c>
      <c r="AX25" s="118">
        <f t="shared" si="4"/>
        <v>46298</v>
      </c>
      <c r="AY25" s="119" t="str">
        <f t="shared" si="5"/>
        <v>9SHADOW-E12</v>
      </c>
      <c r="AZ25" s="119">
        <f t="shared" si="6"/>
        <v>660</v>
      </c>
      <c r="BA25" s="119">
        <f t="shared" si="7"/>
        <v>2050</v>
      </c>
      <c r="BB25" s="120">
        <f t="shared" si="8"/>
        <v>22</v>
      </c>
      <c r="BC25" s="120" t="str">
        <f t="shared" si="9"/>
        <v>INJ</v>
      </c>
      <c r="BD25" s="120">
        <f t="shared" si="10"/>
        <v>0</v>
      </c>
      <c r="BE25" s="119">
        <f t="shared" si="11"/>
        <v>700</v>
      </c>
      <c r="BF25" s="121" t="str">
        <f t="shared" si="12"/>
        <v>SHADOW-E04,E8, E10</v>
      </c>
      <c r="BG25" s="121">
        <f t="shared" ref="BG25:BG34" si="16">J25</f>
        <v>0</v>
      </c>
      <c r="BH25" s="121">
        <f t="shared" ref="BH25:BH34" si="17">M25</f>
        <v>0</v>
      </c>
      <c r="BI25" s="121" t="str">
        <f t="shared" si="15"/>
        <v>Facility Constraint</v>
      </c>
      <c r="BJ25" s="122" t="str">
        <f t="shared" si="0"/>
        <v>SHADOW</v>
      </c>
      <c r="BK25" s="122" t="str">
        <f t="shared" si="1"/>
        <v>SHADOW</v>
      </c>
      <c r="BL25" s="37"/>
      <c r="BM25" s="37"/>
      <c r="BN25" s="37"/>
      <c r="BO25" s="37"/>
      <c r="BP25" s="37"/>
      <c r="BQ25" s="37"/>
      <c r="BR25" s="37"/>
      <c r="BS25" s="37"/>
      <c r="BT25" s="37"/>
      <c r="BU25" s="37"/>
      <c r="BV25" s="37"/>
      <c r="BW25" s="37"/>
      <c r="BX25" s="37"/>
      <c r="BY25" s="37"/>
      <c r="BZ25" s="37"/>
      <c r="CA25" s="37"/>
      <c r="CB25" s="37"/>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row>
    <row r="26" spans="1:150" s="36" customFormat="1" ht="16.5" customHeight="1">
      <c r="A26" s="35"/>
      <c r="B26" s="975" t="s">
        <v>1438</v>
      </c>
      <c r="C26" s="793" t="s">
        <v>19</v>
      </c>
      <c r="D26" s="883" t="s">
        <v>18</v>
      </c>
      <c r="E26" s="48">
        <v>0</v>
      </c>
      <c r="F26" s="875" t="s">
        <v>2559</v>
      </c>
      <c r="G26" s="748"/>
      <c r="H26" s="48">
        <v>0</v>
      </c>
      <c r="I26" s="822">
        <v>0</v>
      </c>
      <c r="J26" s="48">
        <v>0</v>
      </c>
      <c r="K26" s="48">
        <v>0</v>
      </c>
      <c r="L26" s="48">
        <v>0</v>
      </c>
      <c r="M26" s="48">
        <v>0</v>
      </c>
      <c r="N26" s="823" t="e">
        <f>YSTCUM+H26</f>
        <v>#NAME?</v>
      </c>
      <c r="O26" s="830"/>
      <c r="P26" s="882"/>
      <c r="Q26" s="831"/>
      <c r="R26" s="663"/>
      <c r="S26" s="35"/>
      <c r="T26" s="35"/>
      <c r="U26" s="135"/>
      <c r="V26" s="13" t="e">
        <v>#NAME?</v>
      </c>
      <c r="W26" s="35"/>
      <c r="X26" s="35"/>
      <c r="Y26" s="35"/>
      <c r="Z26" s="35"/>
      <c r="AA26" s="35"/>
      <c r="AB26" s="35"/>
      <c r="AC26" s="35"/>
      <c r="AD26" s="35"/>
      <c r="AE26" s="35"/>
      <c r="AF26" s="35"/>
      <c r="AG26" s="35"/>
      <c r="AH26" s="35"/>
      <c r="AI26" s="35"/>
      <c r="AJ26" s="35"/>
      <c r="AK26" s="35"/>
      <c r="AL26" s="35"/>
      <c r="AM26" s="35"/>
      <c r="AN26" s="35"/>
      <c r="AO26" s="35"/>
      <c r="AP26" s="35"/>
      <c r="AQ26" s="35"/>
      <c r="AR26" s="35"/>
      <c r="AS26" s="35"/>
      <c r="AT26" s="35"/>
      <c r="AU26" s="35"/>
      <c r="AV26" s="35"/>
      <c r="AW26" s="117" t="str">
        <f t="shared" si="3"/>
        <v>KHALDA_INJ</v>
      </c>
      <c r="AX26" s="118">
        <f t="shared" si="4"/>
        <v>46298</v>
      </c>
      <c r="AY26" s="119" t="str">
        <f t="shared" si="5"/>
        <v>9SWAG-04</v>
      </c>
      <c r="AZ26" s="119">
        <f t="shared" si="6"/>
        <v>0</v>
      </c>
      <c r="BA26" s="119">
        <f t="shared" si="7"/>
        <v>0</v>
      </c>
      <c r="BB26" s="120">
        <f t="shared" si="8"/>
        <v>0</v>
      </c>
      <c r="BC26" s="120" t="str">
        <f t="shared" si="9"/>
        <v>SI</v>
      </c>
      <c r="BD26" s="120">
        <f t="shared" si="10"/>
        <v>0</v>
      </c>
      <c r="BE26" s="119">
        <f t="shared" si="11"/>
        <v>0</v>
      </c>
      <c r="BF26" s="121" t="str">
        <f t="shared" si="12"/>
        <v/>
      </c>
      <c r="BG26" s="121">
        <f t="shared" si="16"/>
        <v>0</v>
      </c>
      <c r="BH26" s="121">
        <f t="shared" si="17"/>
        <v>0</v>
      </c>
      <c r="BI26" s="121" t="str">
        <f t="shared" si="15"/>
        <v>Reservoir Study/Management</v>
      </c>
      <c r="BJ26" s="122" t="str">
        <f t="shared" si="0"/>
        <v/>
      </c>
      <c r="BK26" s="122" t="str">
        <f t="shared" si="1"/>
        <v>SWAG</v>
      </c>
      <c r="BL26" s="37"/>
      <c r="BM26" s="37"/>
      <c r="BN26" s="37"/>
      <c r="BO26" s="37"/>
      <c r="BP26" s="37"/>
      <c r="BQ26" s="37"/>
      <c r="BR26" s="37"/>
      <c r="BS26" s="37"/>
      <c r="BT26" s="37"/>
      <c r="BU26" s="37"/>
      <c r="BV26" s="37"/>
      <c r="BW26" s="37"/>
      <c r="BX26" s="37"/>
      <c r="BY26" s="37"/>
      <c r="BZ26" s="37"/>
      <c r="CA26" s="37"/>
      <c r="CB26" s="37"/>
      <c r="CC26" s="35"/>
      <c r="CD26" s="35"/>
      <c r="CE26" s="35"/>
      <c r="CF26" s="35"/>
      <c r="CG26" s="35"/>
      <c r="CH26" s="35"/>
      <c r="CI26" s="35"/>
      <c r="CJ26" s="35"/>
      <c r="CK26" s="35"/>
      <c r="CL26" s="35"/>
      <c r="CM26" s="35"/>
      <c r="CN26" s="35"/>
      <c r="CO26" s="35"/>
      <c r="CP26" s="35"/>
      <c r="CQ26" s="35"/>
      <c r="CR26" s="35"/>
      <c r="CS26" s="35"/>
      <c r="CT26" s="35"/>
      <c r="CU26" s="35"/>
      <c r="CV26" s="35"/>
      <c r="CW26" s="35"/>
      <c r="CX26" s="35"/>
      <c r="CY26" s="35"/>
      <c r="CZ26" s="35"/>
      <c r="DA26" s="35"/>
      <c r="DB26" s="35"/>
      <c r="DC26" s="35"/>
      <c r="DD26" s="35"/>
      <c r="DE26" s="35"/>
      <c r="DF26" s="35"/>
      <c r="DG26" s="35"/>
      <c r="DH26" s="35"/>
      <c r="DI26" s="35"/>
      <c r="DJ26" s="35"/>
      <c r="DK26" s="35"/>
      <c r="DL26" s="35"/>
      <c r="DM26" s="35"/>
      <c r="DN26" s="35"/>
      <c r="DO26" s="35"/>
      <c r="DP26" s="35"/>
      <c r="DQ26" s="35"/>
      <c r="DR26" s="35"/>
      <c r="DS26" s="35"/>
      <c r="DT26" s="35"/>
      <c r="DU26" s="35"/>
      <c r="DV26" s="35"/>
      <c r="DW26" s="35"/>
      <c r="DX26" s="35"/>
      <c r="DY26" s="35"/>
      <c r="DZ26" s="35"/>
      <c r="EA26" s="35"/>
      <c r="EB26" s="35"/>
      <c r="EC26" s="35"/>
      <c r="ED26" s="35"/>
      <c r="EE26" s="35"/>
      <c r="EF26" s="35"/>
      <c r="EG26" s="35"/>
      <c r="EH26" s="35"/>
      <c r="EI26" s="35"/>
      <c r="EJ26" s="35"/>
      <c r="EK26" s="35"/>
      <c r="EL26" s="35"/>
      <c r="EM26" s="35"/>
      <c r="EN26" s="35"/>
      <c r="EO26" s="35"/>
      <c r="EP26" s="35"/>
      <c r="EQ26" s="35"/>
      <c r="ER26" s="35"/>
      <c r="ES26" s="35"/>
      <c r="ET26" s="35"/>
    </row>
    <row r="27" spans="1:150" s="36" customFormat="1" ht="16.5" customHeight="1">
      <c r="A27" s="35"/>
      <c r="B27" s="976" t="s">
        <v>2223</v>
      </c>
      <c r="C27" s="793" t="s">
        <v>1307</v>
      </c>
      <c r="D27" s="883" t="s">
        <v>22</v>
      </c>
      <c r="E27" s="48">
        <v>22</v>
      </c>
      <c r="F27" s="875" t="s">
        <v>2482</v>
      </c>
      <c r="G27" s="748"/>
      <c r="H27" s="48">
        <v>743</v>
      </c>
      <c r="I27" s="822">
        <v>400</v>
      </c>
      <c r="J27" s="48">
        <v>0</v>
      </c>
      <c r="K27" s="48">
        <v>2200</v>
      </c>
      <c r="L27" s="48">
        <v>20</v>
      </c>
      <c r="M27" s="48">
        <v>0</v>
      </c>
      <c r="N27" s="823"/>
      <c r="O27" s="830" t="s">
        <v>2360</v>
      </c>
      <c r="P27" s="882" t="s">
        <v>1752</v>
      </c>
      <c r="Q27" s="831">
        <v>45937</v>
      </c>
      <c r="R27" s="879"/>
      <c r="S27" s="35"/>
      <c r="T27" s="35"/>
      <c r="U27" s="135"/>
      <c r="V27" s="13"/>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117" t="str">
        <f t="shared" si="3"/>
        <v>KHALDA_INJ</v>
      </c>
      <c r="AX27" s="118">
        <f t="shared" si="4"/>
        <v>46298</v>
      </c>
      <c r="AY27" s="119" t="str">
        <f t="shared" si="5"/>
        <v>9SWAG-N05ST</v>
      </c>
      <c r="AZ27" s="119">
        <f t="shared" si="6"/>
        <v>743</v>
      </c>
      <c r="BA27" s="119">
        <f t="shared" si="7"/>
        <v>2200</v>
      </c>
      <c r="BB27" s="120">
        <f t="shared" si="8"/>
        <v>22</v>
      </c>
      <c r="BC27" s="120" t="str">
        <f t="shared" si="9"/>
        <v>INJ</v>
      </c>
      <c r="BD27" s="120">
        <f t="shared" si="10"/>
        <v>0</v>
      </c>
      <c r="BE27" s="119">
        <f t="shared" si="11"/>
        <v>400</v>
      </c>
      <c r="BF27" s="121" t="str">
        <f t="shared" si="12"/>
        <v>SWAG-N01, N02</v>
      </c>
      <c r="BG27" s="121">
        <f t="shared" si="16"/>
        <v>0</v>
      </c>
      <c r="BH27" s="121">
        <f t="shared" si="17"/>
        <v>0</v>
      </c>
      <c r="BI27" s="121" t="str">
        <f t="shared" si="15"/>
        <v>Facility Constraint</v>
      </c>
      <c r="BJ27" s="122" t="str">
        <f t="shared" si="0"/>
        <v>SWAG</v>
      </c>
      <c r="BK27" s="122" t="str">
        <f t="shared" si="1"/>
        <v>SWAG</v>
      </c>
      <c r="BL27" s="37"/>
      <c r="BM27" s="37"/>
      <c r="BN27" s="37"/>
      <c r="BO27" s="37"/>
      <c r="BP27" s="37"/>
      <c r="BQ27" s="37"/>
      <c r="BR27" s="37"/>
      <c r="BS27" s="37"/>
      <c r="BT27" s="37"/>
      <c r="BU27" s="37"/>
      <c r="BV27" s="37"/>
      <c r="BW27" s="37"/>
      <c r="BX27" s="37"/>
      <c r="BY27" s="37"/>
      <c r="BZ27" s="37"/>
      <c r="CA27" s="37"/>
      <c r="CB27" s="37"/>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row>
    <row r="28" spans="1:150" s="36" customFormat="1" ht="16.5" customHeight="1">
      <c r="A28" s="35"/>
      <c r="B28" s="976" t="s">
        <v>2647</v>
      </c>
      <c r="C28" s="793" t="s">
        <v>1307</v>
      </c>
      <c r="D28" s="883" t="s">
        <v>22</v>
      </c>
      <c r="E28" s="48">
        <v>24</v>
      </c>
      <c r="F28" s="875"/>
      <c r="G28" s="748"/>
      <c r="H28" s="48">
        <v>1065</v>
      </c>
      <c r="I28" s="822">
        <v>1000</v>
      </c>
      <c r="J28" s="48">
        <v>0</v>
      </c>
      <c r="K28" s="48">
        <v>2150</v>
      </c>
      <c r="L28" s="48">
        <v>0</v>
      </c>
      <c r="M28" s="48">
        <v>0</v>
      </c>
      <c r="N28" s="823"/>
      <c r="O28" s="830" t="s">
        <v>2648</v>
      </c>
      <c r="P28" s="882" t="s">
        <v>1752</v>
      </c>
      <c r="Q28" s="831"/>
      <c r="R28" s="879"/>
      <c r="S28" s="35"/>
      <c r="T28" s="35"/>
      <c r="U28" s="135"/>
      <c r="V28" s="13"/>
      <c r="W28" s="35"/>
      <c r="X28" s="35"/>
      <c r="Y28" s="35"/>
      <c r="Z28" s="35"/>
      <c r="AA28" s="35"/>
      <c r="AB28" s="35"/>
      <c r="AC28" s="35"/>
      <c r="AD28" s="35"/>
      <c r="AE28" s="35"/>
      <c r="AF28" s="35"/>
      <c r="AG28" s="35"/>
      <c r="AH28" s="35"/>
      <c r="AI28" s="35"/>
      <c r="AJ28" s="35"/>
      <c r="AK28" s="35"/>
      <c r="AL28" s="35"/>
      <c r="AM28" s="35"/>
      <c r="AN28" s="35"/>
      <c r="AO28" s="35"/>
      <c r="AP28" s="35"/>
      <c r="AQ28" s="35"/>
      <c r="AR28" s="35"/>
      <c r="AS28" s="35"/>
      <c r="AT28" s="35"/>
      <c r="AU28" s="35"/>
      <c r="AV28" s="35"/>
      <c r="AW28" s="117" t="str">
        <f t="shared" si="3"/>
        <v>KHALDA_INJ</v>
      </c>
      <c r="AX28" s="118">
        <f t="shared" si="4"/>
        <v>46298</v>
      </c>
      <c r="AY28" s="119" t="str">
        <f t="shared" si="5"/>
        <v>9NEAG-07</v>
      </c>
      <c r="AZ28" s="119">
        <f t="shared" si="6"/>
        <v>1065</v>
      </c>
      <c r="BA28" s="119">
        <f t="shared" si="7"/>
        <v>2150</v>
      </c>
      <c r="BB28" s="120">
        <f t="shared" si="8"/>
        <v>24</v>
      </c>
      <c r="BC28" s="120" t="str">
        <f t="shared" si="9"/>
        <v>INJ</v>
      </c>
      <c r="BD28" s="120">
        <f t="shared" si="10"/>
        <v>0</v>
      </c>
      <c r="BE28" s="119">
        <f t="shared" si="11"/>
        <v>1000</v>
      </c>
      <c r="BF28" s="121" t="str">
        <f t="shared" si="12"/>
        <v>Neag-05</v>
      </c>
      <c r="BG28" s="121">
        <f t="shared" si="16"/>
        <v>0</v>
      </c>
      <c r="BH28" s="121">
        <f t="shared" si="17"/>
        <v>0</v>
      </c>
      <c r="BI28" s="121" t="str">
        <f>IF(F28="","",F28)</f>
        <v/>
      </c>
      <c r="BJ28" s="122" t="str">
        <f t="shared" si="0"/>
        <v>NEAG</v>
      </c>
      <c r="BK28" s="122" t="str">
        <f t="shared" si="1"/>
        <v>NEAG</v>
      </c>
      <c r="BL28" s="37"/>
      <c r="BM28" s="37"/>
      <c r="BN28" s="37"/>
      <c r="BO28" s="37"/>
      <c r="BP28" s="37"/>
      <c r="BQ28" s="37"/>
      <c r="BR28" s="37"/>
      <c r="BS28" s="37"/>
      <c r="BT28" s="37"/>
      <c r="BU28" s="37"/>
      <c r="BV28" s="37"/>
      <c r="BW28" s="37"/>
      <c r="BX28" s="37"/>
      <c r="BY28" s="37"/>
      <c r="BZ28" s="37"/>
      <c r="CA28" s="37"/>
      <c r="CB28" s="37"/>
      <c r="CC28" s="35"/>
      <c r="CD28" s="35"/>
      <c r="CE28" s="35"/>
      <c r="CF28" s="35"/>
      <c r="CG28" s="35"/>
      <c r="CH28" s="35"/>
      <c r="CI28" s="35"/>
      <c r="CJ28" s="35"/>
      <c r="CK28" s="35"/>
      <c r="CL28" s="35"/>
      <c r="CM28" s="35"/>
      <c r="CN28" s="35"/>
      <c r="CO28" s="35"/>
      <c r="CP28" s="35"/>
      <c r="CQ28" s="35"/>
      <c r="CR28" s="35"/>
      <c r="CS28" s="35"/>
      <c r="CT28" s="35"/>
      <c r="CU28" s="35"/>
      <c r="CV28" s="35"/>
      <c r="CW28" s="35"/>
      <c r="CX28" s="35"/>
      <c r="CY28" s="35"/>
      <c r="CZ28" s="35"/>
      <c r="DA28" s="35"/>
      <c r="DB28" s="35"/>
      <c r="DC28" s="35"/>
      <c r="DD28" s="35"/>
      <c r="DE28" s="35"/>
      <c r="DF28" s="35"/>
      <c r="DG28" s="35"/>
      <c r="DH28" s="35"/>
      <c r="DI28" s="35"/>
      <c r="DJ28" s="35"/>
      <c r="DK28" s="35"/>
      <c r="DL28" s="35"/>
      <c r="DM28" s="35"/>
      <c r="DN28" s="35"/>
      <c r="DO28" s="35"/>
      <c r="DP28" s="35"/>
      <c r="DQ28" s="35"/>
      <c r="DR28" s="35"/>
      <c r="DS28" s="35"/>
      <c r="DT28" s="35"/>
      <c r="DU28" s="35"/>
      <c r="DV28" s="35"/>
      <c r="DW28" s="35"/>
      <c r="DX28" s="35"/>
      <c r="DY28" s="35"/>
      <c r="DZ28" s="35"/>
      <c r="EA28" s="35"/>
      <c r="EB28" s="35"/>
      <c r="EC28" s="35"/>
      <c r="ED28" s="35"/>
      <c r="EE28" s="35"/>
      <c r="EF28" s="35"/>
      <c r="EG28" s="35"/>
      <c r="EH28" s="35"/>
      <c r="EI28" s="35"/>
      <c r="EJ28" s="35"/>
      <c r="EK28" s="35"/>
      <c r="EL28" s="35"/>
      <c r="EM28" s="35"/>
      <c r="EN28" s="35"/>
      <c r="EO28" s="35"/>
      <c r="EP28" s="35"/>
      <c r="EQ28" s="35"/>
      <c r="ER28" s="35"/>
      <c r="ES28" s="35"/>
      <c r="ET28" s="35"/>
    </row>
    <row r="29" spans="1:150" s="36" customFormat="1" ht="16.5" customHeight="1">
      <c r="A29" s="35"/>
      <c r="B29" s="976" t="s">
        <v>2682</v>
      </c>
      <c r="C29" s="793" t="s">
        <v>1307</v>
      </c>
      <c r="D29" s="883" t="s">
        <v>22</v>
      </c>
      <c r="E29" s="48">
        <v>24</v>
      </c>
      <c r="F29" s="875" t="s">
        <v>2559</v>
      </c>
      <c r="G29" s="748"/>
      <c r="H29" s="48">
        <v>366</v>
      </c>
      <c r="I29" s="822">
        <v>400</v>
      </c>
      <c r="J29" s="48">
        <v>0</v>
      </c>
      <c r="K29" s="48">
        <v>2200</v>
      </c>
      <c r="L29" s="48"/>
      <c r="M29" s="48">
        <v>0</v>
      </c>
      <c r="N29" s="823"/>
      <c r="O29" s="830" t="s">
        <v>2688</v>
      </c>
      <c r="P29" s="882" t="s">
        <v>1753</v>
      </c>
      <c r="Q29" s="831"/>
      <c r="R29" s="879"/>
      <c r="S29" s="35"/>
      <c r="T29" s="35"/>
      <c r="U29" s="135"/>
      <c r="V29" s="13"/>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117" t="str">
        <f t="shared" si="3"/>
        <v>KHALDA_INJ</v>
      </c>
      <c r="AX29" s="118">
        <f t="shared" si="4"/>
        <v>46298</v>
      </c>
      <c r="AY29" s="119" t="str">
        <f t="shared" si="5"/>
        <v>9NEAG-10</v>
      </c>
      <c r="AZ29" s="119">
        <f t="shared" si="6"/>
        <v>366</v>
      </c>
      <c r="BA29" s="119">
        <f t="shared" si="7"/>
        <v>2200</v>
      </c>
      <c r="BB29" s="120">
        <f t="shared" si="8"/>
        <v>24</v>
      </c>
      <c r="BC29" s="120" t="str">
        <f t="shared" si="9"/>
        <v>INJ</v>
      </c>
      <c r="BD29" s="120">
        <f t="shared" si="10"/>
        <v>0</v>
      </c>
      <c r="BE29" s="119">
        <f t="shared" si="11"/>
        <v>400</v>
      </c>
      <c r="BF29" s="121" t="str">
        <f t="shared" si="12"/>
        <v>NEAG-03 &amp; 06</v>
      </c>
      <c r="BG29" s="121">
        <f t="shared" si="16"/>
        <v>0</v>
      </c>
      <c r="BH29" s="121">
        <f t="shared" si="17"/>
        <v>0</v>
      </c>
      <c r="BI29" s="121" t="str">
        <f>IF(F29="","",F29)</f>
        <v>Reservoir Study/Management</v>
      </c>
      <c r="BJ29" s="122" t="str">
        <f>IF(D29="SI","",VLOOKUP(B29,WELL_FIELD,2))</f>
        <v>NEAG</v>
      </c>
      <c r="BK29" s="122" t="str">
        <f>VLOOKUP(B29,WELL_FIELD,2)</f>
        <v>NEAG</v>
      </c>
      <c r="BL29" s="37"/>
      <c r="BM29" s="37"/>
      <c r="BN29" s="37"/>
      <c r="BO29" s="37"/>
      <c r="BP29" s="37"/>
      <c r="BQ29" s="37"/>
      <c r="BR29" s="37"/>
      <c r="BS29" s="37"/>
      <c r="BT29" s="37"/>
      <c r="BU29" s="37"/>
      <c r="BV29" s="37"/>
      <c r="BW29" s="37"/>
      <c r="BX29" s="37"/>
      <c r="BY29" s="37"/>
      <c r="BZ29" s="37"/>
      <c r="CA29" s="37"/>
      <c r="CB29" s="37"/>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row>
    <row r="30" spans="1:150" s="36" customFormat="1" ht="16.5" customHeight="1">
      <c r="A30" s="35"/>
      <c r="B30" s="975" t="s">
        <v>1545</v>
      </c>
      <c r="C30" s="793" t="s">
        <v>1307</v>
      </c>
      <c r="D30" s="883" t="s">
        <v>18</v>
      </c>
      <c r="E30" s="48">
        <v>0</v>
      </c>
      <c r="F30" s="875" t="s">
        <v>2559</v>
      </c>
      <c r="G30" s="748"/>
      <c r="H30" s="48">
        <v>0</v>
      </c>
      <c r="I30" s="822">
        <v>0</v>
      </c>
      <c r="J30" s="48">
        <v>0</v>
      </c>
      <c r="K30" s="48">
        <v>0</v>
      </c>
      <c r="L30" s="48">
        <v>0</v>
      </c>
      <c r="M30" s="48">
        <v>0</v>
      </c>
      <c r="N30" s="823">
        <f>YSTCUM+H30</f>
        <v>2171274.791666666</v>
      </c>
      <c r="O30" s="830"/>
      <c r="P30" s="882"/>
      <c r="Q30" s="831"/>
      <c r="R30" s="879"/>
      <c r="S30" s="35"/>
      <c r="T30" s="35"/>
      <c r="U30" s="135"/>
      <c r="V30" s="13">
        <v>2171274.791666666</v>
      </c>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117" t="str">
        <f t="shared" si="3"/>
        <v>KHALDA_INJ</v>
      </c>
      <c r="AX30" s="118">
        <f t="shared" si="4"/>
        <v>46298</v>
      </c>
      <c r="AY30" s="119" t="str">
        <f t="shared" si="5"/>
        <v>9WD33-01</v>
      </c>
      <c r="AZ30" s="119">
        <f t="shared" si="6"/>
        <v>0</v>
      </c>
      <c r="BA30" s="119">
        <f t="shared" si="7"/>
        <v>0</v>
      </c>
      <c r="BB30" s="120">
        <f t="shared" si="8"/>
        <v>0</v>
      </c>
      <c r="BC30" s="120" t="str">
        <f t="shared" si="9"/>
        <v>SI</v>
      </c>
      <c r="BD30" s="120">
        <f t="shared" si="10"/>
        <v>0</v>
      </c>
      <c r="BE30" s="119">
        <f t="shared" si="11"/>
        <v>0</v>
      </c>
      <c r="BF30" s="121" t="str">
        <f t="shared" si="12"/>
        <v/>
      </c>
      <c r="BG30" s="121">
        <f t="shared" si="16"/>
        <v>0</v>
      </c>
      <c r="BH30" s="121">
        <f t="shared" si="17"/>
        <v>0</v>
      </c>
      <c r="BI30" s="121" t="str">
        <f t="shared" si="15"/>
        <v>Reservoir Study/Management</v>
      </c>
      <c r="BJ30" s="122" t="str">
        <f t="shared" si="0"/>
        <v/>
      </c>
      <c r="BK30" s="122" t="str">
        <f t="shared" si="1"/>
        <v>WD33</v>
      </c>
      <c r="BL30" s="37"/>
      <c r="BM30" s="37"/>
      <c r="BN30" s="37"/>
      <c r="BO30" s="37"/>
      <c r="BP30" s="37"/>
      <c r="BQ30" s="37"/>
      <c r="BR30" s="37"/>
      <c r="BS30" s="37"/>
      <c r="BT30" s="37"/>
      <c r="BU30" s="37"/>
      <c r="BV30" s="37"/>
      <c r="BW30" s="37"/>
      <c r="BX30" s="37"/>
      <c r="BY30" s="37"/>
      <c r="BZ30" s="37"/>
      <c r="CA30" s="37"/>
      <c r="CB30" s="37"/>
      <c r="CC30" s="35"/>
      <c r="CD30" s="35"/>
      <c r="CE30" s="35"/>
      <c r="CF30" s="35"/>
      <c r="CG30" s="35"/>
      <c r="CH30" s="35"/>
      <c r="CI30" s="35"/>
      <c r="CJ30" s="35"/>
      <c r="CK30" s="35"/>
      <c r="CL30" s="35"/>
      <c r="CM30" s="35"/>
      <c r="CN30" s="35"/>
      <c r="CO30" s="35"/>
      <c r="CP30" s="35"/>
      <c r="CQ30" s="35"/>
      <c r="CR30" s="35"/>
      <c r="CS30" s="35"/>
      <c r="CT30" s="35"/>
      <c r="CU30" s="35"/>
      <c r="CV30" s="35"/>
      <c r="CW30" s="35"/>
      <c r="CX30" s="35"/>
      <c r="CY30" s="35"/>
      <c r="CZ30" s="35"/>
      <c r="DA30" s="35"/>
      <c r="DB30" s="35"/>
      <c r="DC30" s="35"/>
      <c r="DD30" s="35"/>
      <c r="DE30" s="35"/>
      <c r="DF30" s="35"/>
      <c r="DG30" s="35"/>
      <c r="DH30" s="35"/>
      <c r="DI30" s="35"/>
      <c r="DJ30" s="35"/>
      <c r="DK30" s="35"/>
      <c r="DL30" s="35"/>
      <c r="DM30" s="35"/>
      <c r="DN30" s="35"/>
      <c r="DO30" s="35"/>
      <c r="DP30" s="35"/>
      <c r="DQ30" s="35"/>
      <c r="DR30" s="35"/>
      <c r="DS30" s="35"/>
      <c r="DT30" s="35"/>
      <c r="DU30" s="35"/>
      <c r="DV30" s="35"/>
      <c r="DW30" s="35"/>
      <c r="DX30" s="35"/>
      <c r="DY30" s="35"/>
      <c r="DZ30" s="35"/>
      <c r="EA30" s="35"/>
      <c r="EB30" s="35"/>
      <c r="EC30" s="35"/>
      <c r="ED30" s="35"/>
      <c r="EE30" s="35"/>
      <c r="EF30" s="35"/>
      <c r="EG30" s="35"/>
      <c r="EH30" s="35"/>
      <c r="EI30" s="35"/>
      <c r="EJ30" s="35"/>
      <c r="EK30" s="35"/>
      <c r="EL30" s="35"/>
      <c r="EM30" s="35"/>
      <c r="EN30" s="35"/>
      <c r="EO30" s="35"/>
      <c r="EP30" s="35"/>
      <c r="EQ30" s="35"/>
      <c r="ER30" s="35"/>
      <c r="ES30" s="35"/>
      <c r="ET30" s="35"/>
    </row>
    <row r="31" spans="1:150" s="36" customFormat="1" ht="16.5" customHeight="1">
      <c r="A31" s="35"/>
      <c r="B31" s="975" t="s">
        <v>1555</v>
      </c>
      <c r="C31" s="793" t="s">
        <v>1305</v>
      </c>
      <c r="D31" s="793" t="s">
        <v>22</v>
      </c>
      <c r="E31" s="48">
        <v>24</v>
      </c>
      <c r="F31" s="875"/>
      <c r="G31" s="748"/>
      <c r="H31" s="48">
        <v>0</v>
      </c>
      <c r="I31" s="822">
        <v>0</v>
      </c>
      <c r="J31" s="48">
        <v>0</v>
      </c>
      <c r="K31" s="48">
        <v>1500</v>
      </c>
      <c r="L31" s="48">
        <v>0</v>
      </c>
      <c r="M31" s="48">
        <v>0</v>
      </c>
      <c r="N31" s="823">
        <f>YSTCUM+H31</f>
        <v>92919</v>
      </c>
      <c r="O31" s="830" t="s">
        <v>2361</v>
      </c>
      <c r="P31" s="882" t="s">
        <v>1752</v>
      </c>
      <c r="Q31" s="831"/>
      <c r="R31" s="663" t="s">
        <v>2717</v>
      </c>
      <c r="S31" s="35"/>
      <c r="T31" s="35"/>
      <c r="U31" s="135"/>
      <c r="V31" s="13">
        <v>92919</v>
      </c>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117" t="str">
        <f t="shared" si="3"/>
        <v>KHALDA_INJ</v>
      </c>
      <c r="AX31" s="118">
        <f t="shared" si="4"/>
        <v>46298</v>
      </c>
      <c r="AY31" s="119" t="str">
        <f t="shared" si="5"/>
        <v>9WD33-02</v>
      </c>
      <c r="AZ31" s="119">
        <f t="shared" si="6"/>
        <v>0</v>
      </c>
      <c r="BA31" s="119">
        <f t="shared" si="7"/>
        <v>1500</v>
      </c>
      <c r="BB31" s="120">
        <f t="shared" si="8"/>
        <v>24</v>
      </c>
      <c r="BC31" s="120" t="str">
        <f t="shared" si="9"/>
        <v>INJ</v>
      </c>
      <c r="BD31" s="120">
        <f t="shared" si="10"/>
        <v>0</v>
      </c>
      <c r="BE31" s="119">
        <f t="shared" si="11"/>
        <v>0</v>
      </c>
      <c r="BF31" s="121" t="str">
        <f t="shared" si="12"/>
        <v>WD33-10, 21</v>
      </c>
      <c r="BG31" s="121">
        <f t="shared" si="16"/>
        <v>0</v>
      </c>
      <c r="BH31" s="121">
        <f t="shared" si="17"/>
        <v>0</v>
      </c>
      <c r="BI31" s="121" t="str">
        <f t="shared" ref="BI31:BI44" si="18">IF(F31="","",F31)</f>
        <v/>
      </c>
      <c r="BJ31" s="122"/>
      <c r="BK31" s="122"/>
      <c r="BL31" s="37"/>
      <c r="BM31" s="37"/>
      <c r="BN31" s="37"/>
      <c r="BO31" s="37"/>
      <c r="BP31" s="37"/>
      <c r="BQ31" s="37"/>
      <c r="BR31" s="37"/>
      <c r="BS31" s="37"/>
      <c r="BT31" s="37"/>
      <c r="BU31" s="37"/>
      <c r="BV31" s="37"/>
      <c r="BW31" s="37"/>
      <c r="BX31" s="37"/>
      <c r="BY31" s="37"/>
      <c r="BZ31" s="37"/>
      <c r="CA31" s="37"/>
      <c r="CB31" s="37"/>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row>
    <row r="32" spans="1:150" s="36" customFormat="1" ht="16.5" customHeight="1">
      <c r="A32" s="35"/>
      <c r="B32" s="975" t="s">
        <v>1470</v>
      </c>
      <c r="C32" s="793" t="s">
        <v>1305</v>
      </c>
      <c r="D32" s="883" t="s">
        <v>22</v>
      </c>
      <c r="E32" s="48">
        <v>24</v>
      </c>
      <c r="F32" s="875"/>
      <c r="G32" s="748"/>
      <c r="H32" s="48">
        <v>894</v>
      </c>
      <c r="I32" s="822">
        <v>1500</v>
      </c>
      <c r="J32" s="48">
        <v>0</v>
      </c>
      <c r="K32" s="48">
        <v>470</v>
      </c>
      <c r="L32" s="48">
        <v>0</v>
      </c>
      <c r="M32" s="48"/>
      <c r="N32" s="823"/>
      <c r="O32" s="830" t="s">
        <v>1715</v>
      </c>
      <c r="P32" s="882" t="s">
        <v>1752</v>
      </c>
      <c r="Q32" s="831"/>
      <c r="R32" s="879" t="s">
        <v>2691</v>
      </c>
      <c r="S32" s="35"/>
      <c r="T32" s="35"/>
      <c r="U32" s="135"/>
      <c r="V32" s="13"/>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c r="AU32" s="35"/>
      <c r="AV32" s="35"/>
      <c r="AW32" s="117" t="str">
        <f t="shared" si="3"/>
        <v>KHALDA_INJ</v>
      </c>
      <c r="AX32" s="118">
        <f t="shared" si="4"/>
        <v>46298</v>
      </c>
      <c r="AY32" s="119" t="str">
        <f t="shared" si="5"/>
        <v>9WD33-05</v>
      </c>
      <c r="AZ32" s="119">
        <f t="shared" si="6"/>
        <v>894</v>
      </c>
      <c r="BA32" s="119">
        <f t="shared" si="7"/>
        <v>470</v>
      </c>
      <c r="BB32" s="120">
        <f t="shared" si="8"/>
        <v>24</v>
      </c>
      <c r="BC32" s="120" t="str">
        <f t="shared" si="9"/>
        <v>INJ</v>
      </c>
      <c r="BD32" s="120">
        <f t="shared" si="10"/>
        <v>0</v>
      </c>
      <c r="BE32" s="119">
        <f t="shared" si="11"/>
        <v>1500</v>
      </c>
      <c r="BF32" s="121" t="str">
        <f t="shared" si="12"/>
        <v>WD33-21</v>
      </c>
      <c r="BG32" s="121">
        <f t="shared" si="16"/>
        <v>0</v>
      </c>
      <c r="BH32" s="121">
        <f t="shared" si="17"/>
        <v>0</v>
      </c>
      <c r="BI32" s="121"/>
      <c r="BJ32" s="122"/>
      <c r="BK32" s="122"/>
      <c r="BL32" s="37"/>
      <c r="BM32" s="37"/>
      <c r="BN32" s="37"/>
      <c r="BO32" s="37"/>
      <c r="BP32" s="37"/>
      <c r="BQ32" s="37"/>
      <c r="BR32" s="37"/>
      <c r="BS32" s="37"/>
      <c r="BT32" s="37"/>
      <c r="BU32" s="37"/>
      <c r="BV32" s="37"/>
      <c r="BW32" s="37"/>
      <c r="BX32" s="37"/>
      <c r="BY32" s="37"/>
      <c r="BZ32" s="37"/>
      <c r="CA32" s="37"/>
      <c r="CB32" s="37"/>
      <c r="CC32" s="35"/>
      <c r="CD32" s="35"/>
      <c r="CE32" s="35"/>
      <c r="CF32" s="35"/>
      <c r="CG32" s="35"/>
      <c r="CH32" s="35"/>
      <c r="CI32" s="35"/>
      <c r="CJ32" s="35"/>
      <c r="CK32" s="35"/>
      <c r="CL32" s="35"/>
      <c r="CM32" s="35"/>
      <c r="CN32" s="35"/>
      <c r="CO32" s="35"/>
      <c r="CP32" s="35"/>
      <c r="CQ32" s="35"/>
      <c r="CR32" s="35"/>
      <c r="CS32" s="35"/>
      <c r="CT32" s="35"/>
      <c r="CU32" s="35"/>
      <c r="CV32" s="35"/>
      <c r="CW32" s="35"/>
      <c r="CX32" s="35"/>
      <c r="CY32" s="35"/>
      <c r="CZ32" s="35"/>
      <c r="DA32" s="35"/>
      <c r="DB32" s="35"/>
      <c r="DC32" s="35"/>
      <c r="DD32" s="35"/>
      <c r="DE32" s="35"/>
      <c r="DF32" s="35"/>
      <c r="DG32" s="35"/>
      <c r="DH32" s="35"/>
      <c r="DI32" s="35"/>
      <c r="DJ32" s="35"/>
      <c r="DK32" s="35"/>
      <c r="DL32" s="35"/>
      <c r="DM32" s="35"/>
      <c r="DN32" s="35"/>
      <c r="DO32" s="35"/>
      <c r="DP32" s="35"/>
      <c r="DQ32" s="35"/>
      <c r="DR32" s="35"/>
      <c r="DS32" s="35"/>
      <c r="DT32" s="35"/>
      <c r="DU32" s="35"/>
      <c r="DV32" s="35"/>
      <c r="DW32" s="35"/>
      <c r="DX32" s="35"/>
      <c r="DY32" s="35"/>
      <c r="DZ32" s="35"/>
      <c r="EA32" s="35"/>
      <c r="EB32" s="35"/>
      <c r="EC32" s="35"/>
      <c r="ED32" s="35"/>
      <c r="EE32" s="35"/>
      <c r="EF32" s="35"/>
      <c r="EG32" s="35"/>
      <c r="EH32" s="35"/>
      <c r="EI32" s="35"/>
      <c r="EJ32" s="35"/>
      <c r="EK32" s="35"/>
      <c r="EL32" s="35"/>
      <c r="EM32" s="35"/>
      <c r="EN32" s="35"/>
      <c r="EO32" s="35"/>
      <c r="EP32" s="35"/>
      <c r="EQ32" s="35"/>
      <c r="ER32" s="35"/>
      <c r="ES32" s="35"/>
      <c r="ET32" s="35"/>
    </row>
    <row r="33" spans="1:150" s="36" customFormat="1" ht="16.5" customHeight="1">
      <c r="A33" s="35"/>
      <c r="B33" s="976" t="s">
        <v>1593</v>
      </c>
      <c r="C33" s="883" t="s">
        <v>1305</v>
      </c>
      <c r="D33" s="883" t="s">
        <v>18</v>
      </c>
      <c r="E33" s="48">
        <v>0</v>
      </c>
      <c r="F33" s="875"/>
      <c r="G33" s="748"/>
      <c r="H33" s="48">
        <v>0</v>
      </c>
      <c r="I33" s="822">
        <v>0</v>
      </c>
      <c r="J33" s="48">
        <v>0</v>
      </c>
      <c r="K33" s="48">
        <v>690</v>
      </c>
      <c r="L33" s="48">
        <v>300</v>
      </c>
      <c r="M33" s="48">
        <v>0</v>
      </c>
      <c r="N33" s="823" t="e">
        <f>YSTCUM+H33</f>
        <v>#VALUE!</v>
      </c>
      <c r="O33" s="830" t="s">
        <v>2361</v>
      </c>
      <c r="P33" s="882" t="s">
        <v>1752</v>
      </c>
      <c r="Q33" s="831"/>
      <c r="R33" s="879"/>
      <c r="S33" s="35"/>
      <c r="T33" s="35"/>
      <c r="U33" s="135"/>
      <c r="V33" s="13" t="e">
        <v>#VALUE!</v>
      </c>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117" t="str">
        <f t="shared" si="3"/>
        <v>KHALDA_INJ</v>
      </c>
      <c r="AX33" s="118">
        <f t="shared" si="4"/>
        <v>46298</v>
      </c>
      <c r="AY33" s="119" t="str">
        <f t="shared" si="5"/>
        <v>9WD33-11</v>
      </c>
      <c r="AZ33" s="119">
        <f t="shared" si="6"/>
        <v>0</v>
      </c>
      <c r="BA33" s="119">
        <f t="shared" si="7"/>
        <v>690</v>
      </c>
      <c r="BB33" s="120">
        <f t="shared" si="8"/>
        <v>0</v>
      </c>
      <c r="BC33" s="120" t="str">
        <f t="shared" si="9"/>
        <v>SI</v>
      </c>
      <c r="BD33" s="120">
        <f t="shared" si="10"/>
        <v>0</v>
      </c>
      <c r="BE33" s="119">
        <f t="shared" si="11"/>
        <v>0</v>
      </c>
      <c r="BF33" s="121" t="str">
        <f t="shared" si="12"/>
        <v>WD33-10, 21</v>
      </c>
      <c r="BG33" s="121">
        <f t="shared" si="16"/>
        <v>0</v>
      </c>
      <c r="BH33" s="121">
        <f t="shared" si="17"/>
        <v>0</v>
      </c>
      <c r="BI33" s="121" t="str">
        <f t="shared" si="18"/>
        <v/>
      </c>
      <c r="BJ33" s="122" t="str">
        <f t="shared" ref="BJ33:BJ44" si="19">IF(D33="SI","",VLOOKUP(B33,WELL_FIELD,2))</f>
        <v/>
      </c>
      <c r="BK33" s="122" t="str">
        <f t="shared" ref="BK33:BK41" si="20">VLOOKUP(B33,WELL_FIELD,2)</f>
        <v>WD33</v>
      </c>
      <c r="BL33" s="37"/>
      <c r="BM33" s="37"/>
      <c r="BN33" s="37"/>
      <c r="BO33" s="37"/>
      <c r="BP33" s="37"/>
      <c r="BQ33" s="37"/>
      <c r="BR33" s="37"/>
      <c r="BS33" s="37"/>
      <c r="BT33" s="37"/>
      <c r="BU33" s="37"/>
      <c r="BV33" s="37"/>
      <c r="BW33" s="37"/>
      <c r="BX33" s="37"/>
      <c r="BY33" s="37"/>
      <c r="BZ33" s="37"/>
      <c r="CA33" s="37"/>
      <c r="CB33" s="37"/>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row>
    <row r="34" spans="1:150" s="36" customFormat="1" ht="16.5" customHeight="1">
      <c r="A34" s="35"/>
      <c r="B34" s="976" t="s">
        <v>1606</v>
      </c>
      <c r="C34" s="883" t="s">
        <v>21</v>
      </c>
      <c r="D34" s="793" t="s">
        <v>22</v>
      </c>
      <c r="E34" s="48">
        <v>24</v>
      </c>
      <c r="F34" s="875"/>
      <c r="G34" s="748"/>
      <c r="H34" s="48">
        <v>393</v>
      </c>
      <c r="I34" s="822">
        <v>500</v>
      </c>
      <c r="J34" s="48">
        <v>0</v>
      </c>
      <c r="K34" s="48">
        <v>1530</v>
      </c>
      <c r="L34" s="48">
        <v>0</v>
      </c>
      <c r="M34" s="48">
        <v>0</v>
      </c>
      <c r="N34" s="823"/>
      <c r="O34" s="830" t="s">
        <v>1718</v>
      </c>
      <c r="P34" s="882" t="s">
        <v>1753</v>
      </c>
      <c r="Q34" s="831"/>
      <c r="R34" s="879" t="s">
        <v>2691</v>
      </c>
      <c r="S34" s="35"/>
      <c r="T34" s="35"/>
      <c r="U34" s="135"/>
      <c r="V34" s="13"/>
      <c r="W34" s="35"/>
      <c r="X34" s="35"/>
      <c r="Y34" s="35"/>
      <c r="Z34" s="35"/>
      <c r="AA34" s="35"/>
      <c r="AB34" s="35"/>
      <c r="AC34" s="35"/>
      <c r="AD34" s="35"/>
      <c r="AE34" s="35"/>
      <c r="AF34" s="35"/>
      <c r="AG34" s="35"/>
      <c r="AH34" s="35"/>
      <c r="AI34" s="35"/>
      <c r="AJ34" s="35"/>
      <c r="AK34" s="35"/>
      <c r="AL34" s="35"/>
      <c r="AM34" s="35"/>
      <c r="AN34" s="35"/>
      <c r="AO34" s="35"/>
      <c r="AP34" s="35"/>
      <c r="AQ34" s="35"/>
      <c r="AR34" s="35"/>
      <c r="AS34" s="35"/>
      <c r="AT34" s="35"/>
      <c r="AU34" s="35"/>
      <c r="AV34" s="35"/>
      <c r="AW34" s="117" t="str">
        <f t="shared" si="3"/>
        <v>KHALDA_INJ</v>
      </c>
      <c r="AX34" s="118">
        <f t="shared" si="4"/>
        <v>46298</v>
      </c>
      <c r="AY34" s="119" t="str">
        <f t="shared" si="5"/>
        <v>9WD33-12</v>
      </c>
      <c r="AZ34" s="119">
        <f t="shared" si="6"/>
        <v>393</v>
      </c>
      <c r="BA34" s="119">
        <f t="shared" si="7"/>
        <v>1530</v>
      </c>
      <c r="BB34" s="120">
        <f t="shared" si="8"/>
        <v>24</v>
      </c>
      <c r="BC34" s="120" t="str">
        <f t="shared" si="9"/>
        <v>INJ</v>
      </c>
      <c r="BD34" s="120">
        <f t="shared" si="10"/>
        <v>0</v>
      </c>
      <c r="BE34" s="119">
        <f t="shared" si="11"/>
        <v>500</v>
      </c>
      <c r="BF34" s="121" t="str">
        <f t="shared" si="12"/>
        <v>WD33-20</v>
      </c>
      <c r="BG34" s="121">
        <f t="shared" si="16"/>
        <v>0</v>
      </c>
      <c r="BH34" s="121">
        <f t="shared" si="17"/>
        <v>0</v>
      </c>
      <c r="BI34" s="121" t="str">
        <f t="shared" si="18"/>
        <v/>
      </c>
      <c r="BJ34" s="122" t="str">
        <f t="shared" si="19"/>
        <v>WD33</v>
      </c>
      <c r="BK34" s="122" t="str">
        <f t="shared" si="20"/>
        <v>WD33</v>
      </c>
      <c r="BL34" s="37"/>
      <c r="BM34" s="37"/>
      <c r="BN34" s="37"/>
      <c r="BO34" s="37"/>
      <c r="BP34" s="37"/>
      <c r="BQ34" s="37"/>
      <c r="BR34" s="37"/>
      <c r="BS34" s="37"/>
      <c r="BT34" s="37"/>
      <c r="BU34" s="37"/>
      <c r="BV34" s="37"/>
      <c r="BW34" s="37"/>
      <c r="BX34" s="37"/>
      <c r="BY34" s="37"/>
      <c r="BZ34" s="37"/>
      <c r="CA34" s="37"/>
      <c r="CB34" s="37"/>
      <c r="CC34" s="35"/>
      <c r="CD34" s="35"/>
      <c r="CE34" s="35"/>
      <c r="CF34" s="35"/>
      <c r="CG34" s="35"/>
      <c r="CH34" s="35"/>
      <c r="CI34" s="35"/>
      <c r="CJ34" s="35"/>
      <c r="CK34" s="35"/>
      <c r="CL34" s="35"/>
      <c r="CM34" s="35"/>
      <c r="CN34" s="35"/>
      <c r="CO34" s="35"/>
      <c r="CP34" s="35"/>
      <c r="CQ34" s="35"/>
      <c r="CR34" s="35"/>
      <c r="CS34" s="35"/>
      <c r="CT34" s="35"/>
      <c r="CU34" s="35"/>
      <c r="CV34" s="35"/>
      <c r="CW34" s="35"/>
      <c r="CX34" s="35"/>
      <c r="CY34" s="35"/>
      <c r="CZ34" s="35"/>
      <c r="DA34" s="35"/>
      <c r="DB34" s="35"/>
      <c r="DC34" s="35"/>
      <c r="DD34" s="35"/>
      <c r="DE34" s="35"/>
      <c r="DF34" s="35"/>
      <c r="DG34" s="35"/>
      <c r="DH34" s="35"/>
      <c r="DI34" s="35"/>
      <c r="DJ34" s="35"/>
      <c r="DK34" s="35"/>
      <c r="DL34" s="35"/>
      <c r="DM34" s="35"/>
      <c r="DN34" s="35"/>
      <c r="DO34" s="35"/>
      <c r="DP34" s="35"/>
      <c r="DQ34" s="35"/>
      <c r="DR34" s="35"/>
      <c r="DS34" s="35"/>
      <c r="DT34" s="35"/>
      <c r="DU34" s="35"/>
      <c r="DV34" s="35"/>
      <c r="DW34" s="35"/>
      <c r="DX34" s="35"/>
      <c r="DY34" s="35"/>
      <c r="DZ34" s="35"/>
      <c r="EA34" s="35"/>
      <c r="EB34" s="35"/>
      <c r="EC34" s="35"/>
      <c r="ED34" s="35"/>
      <c r="EE34" s="35"/>
      <c r="EF34" s="35"/>
      <c r="EG34" s="35"/>
      <c r="EH34" s="35"/>
      <c r="EI34" s="35"/>
      <c r="EJ34" s="35"/>
      <c r="EK34" s="35"/>
      <c r="EL34" s="35"/>
      <c r="EM34" s="35"/>
      <c r="EN34" s="35"/>
      <c r="EO34" s="35"/>
      <c r="EP34" s="35"/>
      <c r="EQ34" s="35"/>
      <c r="ER34" s="35"/>
      <c r="ES34" s="35"/>
      <c r="ET34" s="35"/>
    </row>
    <row r="35" spans="1:150" s="36" customFormat="1" ht="16.5" customHeight="1">
      <c r="A35" s="35"/>
      <c r="B35" s="976" t="s">
        <v>1660</v>
      </c>
      <c r="C35" s="883" t="s">
        <v>1307</v>
      </c>
      <c r="D35" s="793" t="s">
        <v>22</v>
      </c>
      <c r="E35" s="48">
        <v>24</v>
      </c>
      <c r="F35" s="875"/>
      <c r="G35" s="748"/>
      <c r="H35" s="48">
        <v>3957</v>
      </c>
      <c r="I35" s="822">
        <v>4000</v>
      </c>
      <c r="J35" s="48">
        <v>0</v>
      </c>
      <c r="K35" s="48">
        <v>0</v>
      </c>
      <c r="L35" s="48">
        <v>0</v>
      </c>
      <c r="M35" s="48">
        <v>0</v>
      </c>
      <c r="N35" s="823"/>
      <c r="O35" s="830" t="s">
        <v>2396</v>
      </c>
      <c r="P35" s="882" t="s">
        <v>1752</v>
      </c>
      <c r="Q35" s="831"/>
      <c r="R35" s="879" t="s">
        <v>2714</v>
      </c>
      <c r="S35" s="35"/>
      <c r="T35" s="35"/>
      <c r="U35" s="135"/>
      <c r="V35" s="13"/>
      <c r="W35" s="35"/>
      <c r="X35" s="35"/>
      <c r="Y35" s="35"/>
      <c r="Z35" s="35"/>
      <c r="AA35" s="35"/>
      <c r="AB35" s="35"/>
      <c r="AC35" s="35"/>
      <c r="AD35" s="35"/>
      <c r="AE35" s="35"/>
      <c r="AF35" s="35"/>
      <c r="AG35" s="35"/>
      <c r="AH35" s="35"/>
      <c r="AI35" s="35"/>
      <c r="AJ35" s="35"/>
      <c r="AK35" s="35"/>
      <c r="AL35" s="35"/>
      <c r="AM35" s="35"/>
      <c r="AN35" s="35"/>
      <c r="AO35" s="35"/>
      <c r="AP35" s="35"/>
      <c r="AQ35" s="35"/>
      <c r="AR35" s="35"/>
      <c r="AS35" s="35"/>
      <c r="AT35" s="35"/>
      <c r="AU35" s="35"/>
      <c r="AV35" s="35"/>
      <c r="AW35" s="117" t="str">
        <f t="shared" si="3"/>
        <v>KHALDA_INJ</v>
      </c>
      <c r="AX35" s="118">
        <f t="shared" si="4"/>
        <v>46298</v>
      </c>
      <c r="AY35" s="119" t="str">
        <f t="shared" si="5"/>
        <v>9WD33-15-1</v>
      </c>
      <c r="AZ35" s="119">
        <f t="shared" si="6"/>
        <v>3957</v>
      </c>
      <c r="BA35" s="119">
        <f t="shared" si="7"/>
        <v>0</v>
      </c>
      <c r="BB35" s="120">
        <f t="shared" si="8"/>
        <v>24</v>
      </c>
      <c r="BC35" s="120" t="str">
        <f t="shared" si="9"/>
        <v>INJ</v>
      </c>
      <c r="BD35" s="120">
        <f t="shared" si="10"/>
        <v>0</v>
      </c>
      <c r="BE35" s="119">
        <f t="shared" si="11"/>
        <v>4000</v>
      </c>
      <c r="BF35" s="121" t="str">
        <f t="shared" si="12"/>
        <v>WD-33-15-11</v>
      </c>
      <c r="BG35" s="121">
        <f t="shared" ref="BG35:BG44" si="21">J35</f>
        <v>0</v>
      </c>
      <c r="BH35" s="121">
        <f t="shared" ref="BH35:BH44" si="22">M35</f>
        <v>0</v>
      </c>
      <c r="BI35" s="121" t="str">
        <f t="shared" si="18"/>
        <v/>
      </c>
      <c r="BJ35" s="122" t="str">
        <f t="shared" si="19"/>
        <v>WD33</v>
      </c>
      <c r="BK35" s="122" t="str">
        <f t="shared" si="20"/>
        <v>WD33</v>
      </c>
      <c r="BL35" s="37"/>
      <c r="BM35" s="37"/>
      <c r="BN35" s="37"/>
      <c r="BO35" s="37"/>
      <c r="BP35" s="37"/>
      <c r="BQ35" s="37"/>
      <c r="BR35" s="37"/>
      <c r="BS35" s="37"/>
      <c r="BT35" s="37"/>
      <c r="BU35" s="37"/>
      <c r="BV35" s="37"/>
      <c r="BW35" s="37"/>
      <c r="BX35" s="37"/>
      <c r="BY35" s="37"/>
      <c r="BZ35" s="37"/>
      <c r="CA35" s="37"/>
      <c r="CB35" s="37"/>
      <c r="CC35" s="35"/>
      <c r="CD35" s="35"/>
      <c r="CE35" s="35"/>
      <c r="CF35" s="35"/>
      <c r="CG35" s="35"/>
      <c r="CH35" s="35"/>
      <c r="CI35" s="35"/>
      <c r="CJ35" s="35"/>
      <c r="CK35" s="35"/>
      <c r="CL35" s="35"/>
      <c r="CM35" s="35"/>
      <c r="CN35" s="35"/>
      <c r="CO35" s="35"/>
      <c r="CP35" s="35"/>
      <c r="CQ35" s="35"/>
      <c r="CR35" s="35"/>
      <c r="CS35" s="35"/>
      <c r="CT35" s="35"/>
      <c r="CU35" s="35"/>
      <c r="CV35" s="35"/>
      <c r="CW35" s="35"/>
      <c r="CX35" s="35"/>
      <c r="CY35" s="35"/>
      <c r="CZ35" s="35"/>
      <c r="DA35" s="35"/>
      <c r="DB35" s="35"/>
      <c r="DC35" s="35"/>
      <c r="DD35" s="35"/>
      <c r="DE35" s="35"/>
      <c r="DF35" s="35"/>
      <c r="DG35" s="35"/>
      <c r="DH35" s="35"/>
      <c r="DI35" s="35"/>
      <c r="DJ35" s="35"/>
      <c r="DK35" s="35"/>
      <c r="DL35" s="35"/>
      <c r="DM35" s="35"/>
      <c r="DN35" s="35"/>
      <c r="DO35" s="35"/>
      <c r="DP35" s="35"/>
      <c r="DQ35" s="35"/>
      <c r="DR35" s="35"/>
      <c r="DS35" s="35"/>
      <c r="DT35" s="35"/>
      <c r="DU35" s="35"/>
      <c r="DV35" s="35"/>
      <c r="DW35" s="35"/>
      <c r="DX35" s="35"/>
      <c r="DY35" s="35"/>
      <c r="DZ35" s="35"/>
      <c r="EA35" s="35"/>
      <c r="EB35" s="35"/>
      <c r="EC35" s="35"/>
      <c r="ED35" s="35"/>
      <c r="EE35" s="35"/>
      <c r="EF35" s="35"/>
      <c r="EG35" s="35"/>
      <c r="EH35" s="35"/>
      <c r="EI35" s="35"/>
      <c r="EJ35" s="35"/>
      <c r="EK35" s="35"/>
      <c r="EL35" s="35"/>
      <c r="EM35" s="35"/>
      <c r="EN35" s="35"/>
      <c r="EO35" s="35"/>
      <c r="EP35" s="35"/>
      <c r="EQ35" s="35"/>
      <c r="ER35" s="35"/>
      <c r="ES35" s="35"/>
      <c r="ET35" s="35"/>
    </row>
    <row r="36" spans="1:150" s="36" customFormat="1" ht="16.5" customHeight="1">
      <c r="A36" s="35"/>
      <c r="B36" s="976" t="s">
        <v>1326</v>
      </c>
      <c r="C36" s="883" t="s">
        <v>1307</v>
      </c>
      <c r="D36" s="793" t="s">
        <v>22</v>
      </c>
      <c r="E36" s="48">
        <v>24</v>
      </c>
      <c r="F36" s="875"/>
      <c r="G36" s="748"/>
      <c r="H36" s="48">
        <v>1008</v>
      </c>
      <c r="I36" s="822">
        <v>1000</v>
      </c>
      <c r="J36" s="48">
        <v>0</v>
      </c>
      <c r="K36" s="48">
        <v>0</v>
      </c>
      <c r="L36" s="48">
        <v>0</v>
      </c>
      <c r="M36" s="48">
        <v>0</v>
      </c>
      <c r="N36" s="823"/>
      <c r="O36" s="830" t="s">
        <v>2435</v>
      </c>
      <c r="P36" s="882" t="s">
        <v>1752</v>
      </c>
      <c r="Q36" s="831"/>
      <c r="R36" s="879"/>
      <c r="S36" s="35"/>
      <c r="T36" s="35"/>
      <c r="U36" s="135"/>
      <c r="V36" s="13"/>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c r="AV36" s="35"/>
      <c r="AW36" s="117" t="str">
        <f t="shared" si="3"/>
        <v>KHALDA_INJ</v>
      </c>
      <c r="AX36" s="118">
        <f t="shared" si="4"/>
        <v>46298</v>
      </c>
      <c r="AY36" s="119" t="str">
        <f t="shared" si="5"/>
        <v>9WD33-15-4</v>
      </c>
      <c r="AZ36" s="119">
        <f t="shared" si="6"/>
        <v>1008</v>
      </c>
      <c r="BA36" s="119">
        <f t="shared" si="7"/>
        <v>0</v>
      </c>
      <c r="BB36" s="120">
        <f t="shared" si="8"/>
        <v>24</v>
      </c>
      <c r="BC36" s="120" t="str">
        <f t="shared" si="9"/>
        <v>INJ</v>
      </c>
      <c r="BD36" s="120">
        <f t="shared" si="10"/>
        <v>0</v>
      </c>
      <c r="BE36" s="119">
        <f t="shared" si="11"/>
        <v>1000</v>
      </c>
      <c r="BF36" s="121" t="str">
        <f t="shared" si="12"/>
        <v>WD-33-15-20</v>
      </c>
      <c r="BG36" s="121">
        <f t="shared" si="21"/>
        <v>0</v>
      </c>
      <c r="BH36" s="121">
        <f t="shared" si="22"/>
        <v>0</v>
      </c>
      <c r="BI36" s="121" t="str">
        <f t="shared" si="18"/>
        <v/>
      </c>
      <c r="BJ36" s="122" t="str">
        <f t="shared" si="19"/>
        <v>WD33-15</v>
      </c>
      <c r="BK36" s="122" t="str">
        <f t="shared" si="20"/>
        <v>WD33-15</v>
      </c>
      <c r="BL36" s="37"/>
      <c r="BM36" s="37"/>
      <c r="BN36" s="37"/>
      <c r="BO36" s="37"/>
      <c r="BP36" s="37"/>
      <c r="BQ36" s="37"/>
      <c r="BR36" s="37"/>
      <c r="BS36" s="37"/>
      <c r="BT36" s="37"/>
      <c r="BU36" s="37"/>
      <c r="BV36" s="37"/>
      <c r="BW36" s="37"/>
      <c r="BX36" s="37"/>
      <c r="BY36" s="37"/>
      <c r="BZ36" s="37"/>
      <c r="CA36" s="37"/>
      <c r="CB36" s="37"/>
      <c r="CC36" s="35"/>
      <c r="CD36" s="35"/>
      <c r="CE36" s="35"/>
      <c r="CF36" s="35"/>
      <c r="CG36" s="35"/>
      <c r="CH36" s="35"/>
      <c r="CI36" s="35"/>
      <c r="CJ36" s="35"/>
      <c r="CK36" s="35"/>
      <c r="CL36" s="35"/>
      <c r="CM36" s="35"/>
      <c r="CN36" s="35"/>
      <c r="CO36" s="35"/>
      <c r="CP36" s="35"/>
      <c r="CQ36" s="35"/>
      <c r="CR36" s="35"/>
      <c r="CS36" s="35"/>
      <c r="CT36" s="35"/>
      <c r="CU36" s="35"/>
      <c r="CV36" s="35"/>
      <c r="CW36" s="35"/>
      <c r="CX36" s="35"/>
      <c r="CY36" s="35"/>
      <c r="CZ36" s="35"/>
      <c r="DA36" s="35"/>
      <c r="DB36" s="35"/>
      <c r="DC36" s="35"/>
      <c r="DD36" s="35"/>
      <c r="DE36" s="35"/>
      <c r="DF36" s="35"/>
      <c r="DG36" s="35"/>
      <c r="DH36" s="35"/>
      <c r="DI36" s="35"/>
      <c r="DJ36" s="35"/>
      <c r="DK36" s="35"/>
      <c r="DL36" s="35"/>
      <c r="DM36" s="35"/>
      <c r="DN36" s="35"/>
      <c r="DO36" s="35"/>
      <c r="DP36" s="35"/>
      <c r="DQ36" s="35"/>
      <c r="DR36" s="35"/>
      <c r="DS36" s="35"/>
      <c r="DT36" s="35"/>
      <c r="DU36" s="35"/>
      <c r="DV36" s="35"/>
      <c r="DW36" s="35"/>
      <c r="DX36" s="35"/>
      <c r="DY36" s="35"/>
      <c r="DZ36" s="35"/>
      <c r="EA36" s="35"/>
      <c r="EB36" s="35"/>
      <c r="EC36" s="35"/>
      <c r="ED36" s="35"/>
      <c r="EE36" s="35"/>
      <c r="EF36" s="35"/>
      <c r="EG36" s="35"/>
      <c r="EH36" s="35"/>
      <c r="EI36" s="35"/>
      <c r="EJ36" s="35"/>
      <c r="EK36" s="35"/>
      <c r="EL36" s="35"/>
      <c r="EM36" s="35"/>
      <c r="EN36" s="35"/>
      <c r="EO36" s="35"/>
      <c r="EP36" s="35"/>
      <c r="EQ36" s="35"/>
      <c r="ER36" s="35"/>
      <c r="ES36" s="35"/>
      <c r="ET36" s="35"/>
    </row>
    <row r="37" spans="1:150" s="36" customFormat="1" ht="16.5" customHeight="1">
      <c r="A37" s="35"/>
      <c r="B37" s="976" t="s">
        <v>2397</v>
      </c>
      <c r="C37" s="883" t="s">
        <v>21</v>
      </c>
      <c r="D37" s="793" t="s">
        <v>22</v>
      </c>
      <c r="E37" s="48">
        <v>24</v>
      </c>
      <c r="F37" s="875"/>
      <c r="G37" s="748"/>
      <c r="H37" s="48">
        <v>1041</v>
      </c>
      <c r="I37" s="822">
        <v>1500</v>
      </c>
      <c r="J37" s="48">
        <v>0</v>
      </c>
      <c r="K37" s="48">
        <v>850</v>
      </c>
      <c r="L37" s="48">
        <v>0</v>
      </c>
      <c r="M37" s="48">
        <v>0</v>
      </c>
      <c r="N37" s="823"/>
      <c r="O37" s="830" t="s">
        <v>2670</v>
      </c>
      <c r="P37" s="882" t="s">
        <v>1752</v>
      </c>
      <c r="Q37" s="831"/>
      <c r="R37" s="879"/>
      <c r="S37" s="35"/>
      <c r="T37" s="35"/>
      <c r="U37" s="135"/>
      <c r="V37" s="13"/>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c r="AV37" s="35"/>
      <c r="AW37" s="117" t="str">
        <f t="shared" si="3"/>
        <v>KHALDA_INJ</v>
      </c>
      <c r="AX37" s="118">
        <f t="shared" si="4"/>
        <v>46298</v>
      </c>
      <c r="AY37" s="119" t="str">
        <f t="shared" si="5"/>
        <v>9WD33-15-14</v>
      </c>
      <c r="AZ37" s="119">
        <f t="shared" si="6"/>
        <v>1041</v>
      </c>
      <c r="BA37" s="119">
        <f t="shared" si="7"/>
        <v>850</v>
      </c>
      <c r="BB37" s="120">
        <f t="shared" si="8"/>
        <v>24</v>
      </c>
      <c r="BC37" s="120" t="str">
        <f t="shared" si="9"/>
        <v>INJ</v>
      </c>
      <c r="BD37" s="120">
        <f t="shared" si="10"/>
        <v>0</v>
      </c>
      <c r="BE37" s="119">
        <f t="shared" si="11"/>
        <v>1500</v>
      </c>
      <c r="BF37" s="121" t="str">
        <f t="shared" si="12"/>
        <v>WD33-15-10 ST1</v>
      </c>
      <c r="BG37" s="121">
        <f t="shared" si="21"/>
        <v>0</v>
      </c>
      <c r="BH37" s="121">
        <f t="shared" si="22"/>
        <v>0</v>
      </c>
      <c r="BI37" s="121" t="str">
        <f t="shared" si="18"/>
        <v/>
      </c>
      <c r="BJ37" s="122" t="str">
        <f t="shared" si="19"/>
        <v>WD33</v>
      </c>
      <c r="BK37" s="122" t="str">
        <f t="shared" si="20"/>
        <v>WD33</v>
      </c>
      <c r="BL37" s="37"/>
      <c r="BM37" s="37"/>
      <c r="BN37" s="37"/>
      <c r="BO37" s="37"/>
      <c r="BP37" s="37"/>
      <c r="BQ37" s="37"/>
      <c r="BR37" s="37"/>
      <c r="BS37" s="37"/>
      <c r="BT37" s="37"/>
      <c r="BU37" s="37"/>
      <c r="BV37" s="37"/>
      <c r="BW37" s="37"/>
      <c r="BX37" s="37"/>
      <c r="BY37" s="37"/>
      <c r="BZ37" s="37"/>
      <c r="CA37" s="37"/>
      <c r="CB37" s="37"/>
      <c r="CC37" s="35"/>
      <c r="CD37" s="35"/>
      <c r="CE37" s="35"/>
      <c r="CF37" s="35"/>
      <c r="CG37" s="35"/>
      <c r="CH37" s="35"/>
      <c r="CI37" s="35"/>
      <c r="CJ37" s="35"/>
      <c r="CK37" s="35"/>
      <c r="CL37" s="35"/>
      <c r="CM37" s="35"/>
      <c r="CN37" s="35"/>
      <c r="CO37" s="35"/>
      <c r="CP37" s="35"/>
      <c r="CQ37" s="35"/>
      <c r="CR37" s="35"/>
      <c r="CS37" s="35"/>
      <c r="CT37" s="35"/>
      <c r="CU37" s="35"/>
      <c r="CV37" s="35"/>
      <c r="CW37" s="35"/>
      <c r="CX37" s="35"/>
      <c r="CY37" s="35"/>
      <c r="CZ37" s="35"/>
      <c r="DA37" s="35"/>
      <c r="DB37" s="35"/>
      <c r="DC37" s="35"/>
      <c r="DD37" s="35"/>
      <c r="DE37" s="35"/>
      <c r="DF37" s="35"/>
      <c r="DG37" s="35"/>
      <c r="DH37" s="35"/>
      <c r="DI37" s="35"/>
      <c r="DJ37" s="35"/>
      <c r="DK37" s="35"/>
      <c r="DL37" s="35"/>
      <c r="DM37" s="35"/>
      <c r="DN37" s="35"/>
      <c r="DO37" s="35"/>
      <c r="DP37" s="35"/>
      <c r="DQ37" s="35"/>
      <c r="DR37" s="35"/>
      <c r="DS37" s="35"/>
      <c r="DT37" s="35"/>
      <c r="DU37" s="35"/>
      <c r="DV37" s="35"/>
      <c r="DW37" s="35"/>
      <c r="DX37" s="35"/>
      <c r="DY37" s="35"/>
      <c r="DZ37" s="35"/>
      <c r="EA37" s="35"/>
      <c r="EB37" s="35"/>
      <c r="EC37" s="35"/>
      <c r="ED37" s="35"/>
      <c r="EE37" s="35"/>
      <c r="EF37" s="35"/>
      <c r="EG37" s="35"/>
      <c r="EH37" s="35"/>
      <c r="EI37" s="35"/>
      <c r="EJ37" s="35"/>
      <c r="EK37" s="35"/>
      <c r="EL37" s="35"/>
      <c r="EM37" s="35"/>
      <c r="EN37" s="35"/>
      <c r="EO37" s="35"/>
      <c r="EP37" s="35"/>
      <c r="EQ37" s="35"/>
      <c r="ER37" s="35"/>
      <c r="ES37" s="35"/>
      <c r="ET37" s="35"/>
    </row>
    <row r="38" spans="1:150" s="36" customFormat="1" ht="16.5" customHeight="1">
      <c r="A38" s="35"/>
      <c r="B38" s="976" t="s">
        <v>2425</v>
      </c>
      <c r="C38" s="883" t="s">
        <v>1305</v>
      </c>
      <c r="D38" s="883" t="s">
        <v>22</v>
      </c>
      <c r="E38" s="48">
        <v>24</v>
      </c>
      <c r="F38" s="875"/>
      <c r="G38" s="748"/>
      <c r="H38" s="48">
        <v>541</v>
      </c>
      <c r="I38" s="822">
        <v>500</v>
      </c>
      <c r="J38" s="48">
        <v>0</v>
      </c>
      <c r="K38" s="48">
        <v>0</v>
      </c>
      <c r="L38" s="48">
        <v>0</v>
      </c>
      <c r="M38" s="48">
        <v>0</v>
      </c>
      <c r="N38" s="823"/>
      <c r="O38" s="830" t="s">
        <v>2426</v>
      </c>
      <c r="P38" s="882" t="s">
        <v>1752</v>
      </c>
      <c r="Q38" s="831"/>
      <c r="R38" s="879"/>
      <c r="S38" s="35"/>
      <c r="T38" s="35"/>
      <c r="U38" s="135"/>
      <c r="V38" s="13"/>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117" t="str">
        <f t="shared" si="3"/>
        <v>KHALDA_INJ</v>
      </c>
      <c r="AX38" s="118">
        <f t="shared" si="4"/>
        <v>46298</v>
      </c>
      <c r="AY38" s="119" t="str">
        <f t="shared" si="5"/>
        <v>9WD09-A-04</v>
      </c>
      <c r="AZ38" s="119">
        <f t="shared" si="6"/>
        <v>541</v>
      </c>
      <c r="BA38" s="119">
        <f t="shared" si="7"/>
        <v>0</v>
      </c>
      <c r="BB38" s="120">
        <f t="shared" si="8"/>
        <v>24</v>
      </c>
      <c r="BC38" s="120" t="str">
        <f t="shared" si="9"/>
        <v>INJ</v>
      </c>
      <c r="BD38" s="120">
        <f t="shared" si="10"/>
        <v>0</v>
      </c>
      <c r="BE38" s="119">
        <f t="shared" si="11"/>
        <v>500</v>
      </c>
      <c r="BF38" s="121" t="str">
        <f t="shared" si="12"/>
        <v>WD-09A03 &amp; A09</v>
      </c>
      <c r="BG38" s="121">
        <f t="shared" si="21"/>
        <v>0</v>
      </c>
      <c r="BH38" s="121">
        <f t="shared" si="22"/>
        <v>0</v>
      </c>
      <c r="BI38" s="121" t="str">
        <f t="shared" si="18"/>
        <v/>
      </c>
      <c r="BJ38" s="122" t="str">
        <f t="shared" si="19"/>
        <v>WD09-A</v>
      </c>
      <c r="BK38" s="122" t="str">
        <f t="shared" si="20"/>
        <v>WD09-A</v>
      </c>
      <c r="BL38" s="37"/>
      <c r="BM38" s="37"/>
      <c r="BN38" s="37"/>
      <c r="BO38" s="37"/>
      <c r="BP38" s="37"/>
      <c r="BQ38" s="37"/>
      <c r="BR38" s="37"/>
      <c r="BS38" s="37"/>
      <c r="BT38" s="37"/>
      <c r="BU38" s="37"/>
      <c r="BV38" s="37"/>
      <c r="BW38" s="37"/>
      <c r="BX38" s="37"/>
      <c r="BY38" s="37"/>
      <c r="BZ38" s="37"/>
      <c r="CA38" s="37"/>
      <c r="CB38" s="37"/>
      <c r="CC38" s="35"/>
      <c r="CD38" s="35"/>
      <c r="CE38" s="35"/>
      <c r="CF38" s="35"/>
      <c r="CG38" s="35"/>
      <c r="CH38" s="35"/>
      <c r="CI38" s="35"/>
      <c r="CJ38" s="35"/>
      <c r="CK38" s="35"/>
      <c r="CL38" s="35"/>
      <c r="CM38" s="35"/>
      <c r="CN38" s="35"/>
      <c r="CO38" s="35"/>
      <c r="CP38" s="35"/>
      <c r="CQ38" s="35"/>
      <c r="CR38" s="35"/>
      <c r="CS38" s="35"/>
      <c r="CT38" s="35"/>
      <c r="CU38" s="35"/>
      <c r="CV38" s="35"/>
      <c r="CW38" s="35"/>
      <c r="CX38" s="35"/>
      <c r="CY38" s="35"/>
      <c r="CZ38" s="35"/>
      <c r="DA38" s="35"/>
      <c r="DB38" s="35"/>
      <c r="DC38" s="35"/>
      <c r="DD38" s="35"/>
      <c r="DE38" s="35"/>
      <c r="DF38" s="35"/>
      <c r="DG38" s="35"/>
      <c r="DH38" s="35"/>
      <c r="DI38" s="35"/>
      <c r="DJ38" s="35"/>
      <c r="DK38" s="35"/>
      <c r="DL38" s="35"/>
      <c r="DM38" s="35"/>
      <c r="DN38" s="35"/>
      <c r="DO38" s="35"/>
      <c r="DP38" s="35"/>
      <c r="DQ38" s="35"/>
      <c r="DR38" s="35"/>
      <c r="DS38" s="35"/>
      <c r="DT38" s="35"/>
      <c r="DU38" s="35"/>
      <c r="DV38" s="35"/>
      <c r="DW38" s="35"/>
      <c r="DX38" s="35"/>
      <c r="DY38" s="35"/>
      <c r="DZ38" s="35"/>
      <c r="EA38" s="35"/>
      <c r="EB38" s="35"/>
      <c r="EC38" s="35"/>
      <c r="ED38" s="35"/>
      <c r="EE38" s="35"/>
      <c r="EF38" s="35"/>
      <c r="EG38" s="35"/>
      <c r="EH38" s="35"/>
      <c r="EI38" s="35"/>
      <c r="EJ38" s="35"/>
      <c r="EK38" s="35"/>
      <c r="EL38" s="35"/>
      <c r="EM38" s="35"/>
      <c r="EN38" s="35"/>
      <c r="EO38" s="35"/>
      <c r="EP38" s="35"/>
      <c r="EQ38" s="35"/>
      <c r="ER38" s="35"/>
      <c r="ES38" s="35"/>
      <c r="ET38" s="35"/>
    </row>
    <row r="39" spans="1:150" s="36" customFormat="1" ht="16.5" customHeight="1">
      <c r="A39" s="35"/>
      <c r="B39" s="976" t="s">
        <v>2379</v>
      </c>
      <c r="C39" s="883" t="s">
        <v>1307</v>
      </c>
      <c r="D39" s="883" t="s">
        <v>18</v>
      </c>
      <c r="E39" s="48">
        <v>0</v>
      </c>
      <c r="F39" s="875" t="s">
        <v>2559</v>
      </c>
      <c r="G39" s="748"/>
      <c r="H39" s="48">
        <v>0</v>
      </c>
      <c r="I39" s="822">
        <v>1000</v>
      </c>
      <c r="J39" s="48">
        <v>0</v>
      </c>
      <c r="K39" s="48">
        <v>0</v>
      </c>
      <c r="L39" s="48">
        <v>0</v>
      </c>
      <c r="M39" s="48">
        <v>0</v>
      </c>
      <c r="N39" s="823"/>
      <c r="O39" s="830" t="s">
        <v>2404</v>
      </c>
      <c r="P39" s="882" t="s">
        <v>1752</v>
      </c>
      <c r="Q39" s="831"/>
      <c r="R39" s="879"/>
      <c r="S39" s="35"/>
      <c r="T39" s="35"/>
      <c r="U39" s="135"/>
      <c r="V39" s="13"/>
      <c r="W39" s="35"/>
      <c r="X39" s="35"/>
      <c r="Y39" s="35"/>
      <c r="Z39" s="35"/>
      <c r="AA39" s="35"/>
      <c r="AB39" s="35"/>
      <c r="AC39" s="35"/>
      <c r="AD39" s="35"/>
      <c r="AE39" s="35"/>
      <c r="AF39" s="35"/>
      <c r="AG39" s="35"/>
      <c r="AH39" s="35"/>
      <c r="AI39" s="35"/>
      <c r="AJ39" s="35"/>
      <c r="AK39" s="35"/>
      <c r="AL39" s="35"/>
      <c r="AM39" s="35"/>
      <c r="AN39" s="35"/>
      <c r="AO39" s="35"/>
      <c r="AP39" s="35"/>
      <c r="AQ39" s="35"/>
      <c r="AR39" s="35"/>
      <c r="AS39" s="35"/>
      <c r="AT39" s="35"/>
      <c r="AU39" s="35"/>
      <c r="AV39" s="35"/>
      <c r="AW39" s="117" t="str">
        <f t="shared" si="3"/>
        <v>KHALDA_INJ</v>
      </c>
      <c r="AX39" s="118">
        <f t="shared" si="4"/>
        <v>46298</v>
      </c>
      <c r="AY39" s="119" t="str">
        <f t="shared" si="5"/>
        <v>9WD09-A-06</v>
      </c>
      <c r="AZ39" s="119">
        <f t="shared" si="6"/>
        <v>0</v>
      </c>
      <c r="BA39" s="119">
        <f t="shared" si="7"/>
        <v>0</v>
      </c>
      <c r="BB39" s="120">
        <f t="shared" si="8"/>
        <v>0</v>
      </c>
      <c r="BC39" s="120" t="str">
        <f t="shared" si="9"/>
        <v>SI</v>
      </c>
      <c r="BD39" s="120">
        <f t="shared" si="10"/>
        <v>0</v>
      </c>
      <c r="BE39" s="119">
        <f t="shared" si="11"/>
        <v>1000</v>
      </c>
      <c r="BF39" s="121" t="str">
        <f t="shared" si="12"/>
        <v>WD-09A01 &amp; A02</v>
      </c>
      <c r="BG39" s="121">
        <f t="shared" si="21"/>
        <v>0</v>
      </c>
      <c r="BH39" s="121">
        <f t="shared" si="22"/>
        <v>0</v>
      </c>
      <c r="BI39" s="121" t="str">
        <f t="shared" si="18"/>
        <v>Reservoir Study/Management</v>
      </c>
      <c r="BJ39" s="122" t="str">
        <f t="shared" si="19"/>
        <v/>
      </c>
      <c r="BK39" s="122" t="str">
        <f t="shared" si="20"/>
        <v>WD09-A</v>
      </c>
      <c r="BL39" s="37"/>
      <c r="BM39" s="37"/>
      <c r="BN39" s="37"/>
      <c r="BO39" s="37"/>
      <c r="BP39" s="37"/>
      <c r="BQ39" s="37"/>
      <c r="BR39" s="37"/>
      <c r="BS39" s="37"/>
      <c r="BT39" s="37"/>
      <c r="BU39" s="37"/>
      <c r="BV39" s="37"/>
      <c r="BW39" s="37"/>
      <c r="BX39" s="37"/>
      <c r="BY39" s="37"/>
      <c r="BZ39" s="37"/>
      <c r="CA39" s="37"/>
      <c r="CB39" s="37"/>
      <c r="CC39" s="35"/>
      <c r="CD39" s="35"/>
      <c r="CE39" s="35"/>
      <c r="CF39" s="35"/>
      <c r="CG39" s="35"/>
      <c r="CH39" s="35"/>
      <c r="CI39" s="35"/>
      <c r="CJ39" s="35"/>
      <c r="CK39" s="35"/>
      <c r="CL39" s="35"/>
      <c r="CM39" s="35"/>
      <c r="CN39" s="35"/>
      <c r="CO39" s="35"/>
      <c r="CP39" s="35"/>
      <c r="CQ39" s="35"/>
      <c r="CR39" s="35"/>
      <c r="CS39" s="35"/>
      <c r="CT39" s="35"/>
      <c r="CU39" s="35"/>
      <c r="CV39" s="35"/>
      <c r="CW39" s="35"/>
      <c r="CX39" s="35"/>
      <c r="CY39" s="35"/>
      <c r="CZ39" s="35"/>
      <c r="DA39" s="35"/>
      <c r="DB39" s="35"/>
      <c r="DC39" s="35"/>
      <c r="DD39" s="35"/>
      <c r="DE39" s="35"/>
      <c r="DF39" s="35"/>
      <c r="DG39" s="35"/>
      <c r="DH39" s="35"/>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c r="EK39" s="35"/>
      <c r="EL39" s="35"/>
      <c r="EM39" s="35"/>
      <c r="EN39" s="35"/>
      <c r="EO39" s="35"/>
      <c r="EP39" s="35"/>
      <c r="EQ39" s="35"/>
      <c r="ER39" s="35"/>
      <c r="ES39" s="35"/>
      <c r="ET39" s="35"/>
    </row>
    <row r="40" spans="1:150" s="36" customFormat="1" ht="16.5" customHeight="1">
      <c r="A40" s="35"/>
      <c r="B40" s="976" t="s">
        <v>2625</v>
      </c>
      <c r="C40" s="883" t="s">
        <v>1307</v>
      </c>
      <c r="D40" s="883" t="s">
        <v>22</v>
      </c>
      <c r="E40" s="48">
        <v>24</v>
      </c>
      <c r="F40" s="875"/>
      <c r="G40" s="748"/>
      <c r="H40" s="48">
        <v>1772</v>
      </c>
      <c r="I40" s="822">
        <v>2000</v>
      </c>
      <c r="J40" s="48">
        <v>0</v>
      </c>
      <c r="K40" s="48">
        <v>0</v>
      </c>
      <c r="L40" s="48">
        <v>0</v>
      </c>
      <c r="M40" s="48">
        <v>0</v>
      </c>
      <c r="N40" s="823"/>
      <c r="O40" s="830" t="s">
        <v>2426</v>
      </c>
      <c r="P40" s="882" t="s">
        <v>1752</v>
      </c>
      <c r="Q40" s="831"/>
      <c r="R40" s="879"/>
      <c r="S40" s="35"/>
      <c r="T40" s="35"/>
      <c r="U40" s="135"/>
      <c r="V40" s="13"/>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117" t="str">
        <f t="shared" si="3"/>
        <v>KHALDA_INJ</v>
      </c>
      <c r="AX40" s="118">
        <f t="shared" si="4"/>
        <v>46298</v>
      </c>
      <c r="AY40" s="119" t="str">
        <f t="shared" si="5"/>
        <v>9WD09-A-07</v>
      </c>
      <c r="AZ40" s="119">
        <f t="shared" si="6"/>
        <v>1772</v>
      </c>
      <c r="BA40" s="119">
        <f t="shared" si="7"/>
        <v>0</v>
      </c>
      <c r="BB40" s="120">
        <f t="shared" si="8"/>
        <v>24</v>
      </c>
      <c r="BC40" s="120" t="str">
        <f t="shared" si="9"/>
        <v>INJ</v>
      </c>
      <c r="BD40" s="120">
        <f t="shared" si="10"/>
        <v>0</v>
      </c>
      <c r="BE40" s="119">
        <f t="shared" si="11"/>
        <v>2000</v>
      </c>
      <c r="BF40" s="121" t="str">
        <f t="shared" si="12"/>
        <v>WD-09A03 &amp; A09</v>
      </c>
      <c r="BG40" s="121">
        <f t="shared" si="21"/>
        <v>0</v>
      </c>
      <c r="BH40" s="121">
        <f t="shared" si="22"/>
        <v>0</v>
      </c>
      <c r="BI40" s="121" t="str">
        <f t="shared" si="18"/>
        <v/>
      </c>
      <c r="BJ40" s="122" t="str">
        <f t="shared" si="19"/>
        <v>WD09-A</v>
      </c>
      <c r="BK40" s="122" t="str">
        <f t="shared" si="20"/>
        <v>WD09-A</v>
      </c>
      <c r="BL40" s="37"/>
      <c r="BM40" s="37"/>
      <c r="BN40" s="37"/>
      <c r="BO40" s="37"/>
      <c r="BP40" s="37"/>
      <c r="BQ40" s="37"/>
      <c r="BR40" s="37"/>
      <c r="BS40" s="37"/>
      <c r="BT40" s="37"/>
      <c r="BU40" s="37"/>
      <c r="BV40" s="37"/>
      <c r="BW40" s="37"/>
      <c r="BX40" s="37"/>
      <c r="BY40" s="37"/>
      <c r="BZ40" s="37"/>
      <c r="CA40" s="37"/>
      <c r="CB40" s="37"/>
      <c r="CC40" s="35"/>
      <c r="CD40" s="35"/>
      <c r="CE40" s="35"/>
      <c r="CF40" s="35"/>
      <c r="CG40" s="35"/>
      <c r="CH40" s="35"/>
      <c r="CI40" s="35"/>
      <c r="CJ40" s="35"/>
      <c r="CK40" s="35"/>
      <c r="CL40" s="35"/>
      <c r="CM40" s="35"/>
      <c r="CN40" s="35"/>
      <c r="CO40" s="35"/>
      <c r="CP40" s="35"/>
      <c r="CQ40" s="35"/>
      <c r="CR40" s="35"/>
      <c r="CS40" s="35"/>
      <c r="CT40" s="35"/>
      <c r="CU40" s="35"/>
      <c r="CV40" s="35"/>
      <c r="CW40" s="35"/>
      <c r="CX40" s="35"/>
      <c r="CY40" s="35"/>
      <c r="CZ40" s="35"/>
      <c r="DA40" s="35"/>
      <c r="DB40" s="35"/>
      <c r="DC40" s="35"/>
      <c r="DD40" s="35"/>
      <c r="DE40" s="35"/>
      <c r="DF40" s="35"/>
      <c r="DG40" s="35"/>
      <c r="DH40" s="35"/>
      <c r="DI40" s="35"/>
      <c r="DJ40" s="35"/>
      <c r="DK40" s="35"/>
      <c r="DL40" s="35"/>
      <c r="DM40" s="35"/>
      <c r="DN40" s="35"/>
      <c r="DO40" s="35"/>
      <c r="DP40" s="35"/>
      <c r="DQ40" s="35"/>
      <c r="DR40" s="35"/>
      <c r="DS40" s="35"/>
      <c r="DT40" s="35"/>
      <c r="DU40" s="35"/>
      <c r="DV40" s="35"/>
      <c r="DW40" s="35"/>
      <c r="DX40" s="35"/>
      <c r="DY40" s="35"/>
      <c r="DZ40" s="35"/>
      <c r="EA40" s="35"/>
      <c r="EB40" s="35"/>
      <c r="EC40" s="35"/>
      <c r="ED40" s="35"/>
      <c r="EE40" s="35"/>
      <c r="EF40" s="35"/>
      <c r="EG40" s="35"/>
      <c r="EH40" s="35"/>
      <c r="EI40" s="35"/>
      <c r="EJ40" s="35"/>
      <c r="EK40" s="35"/>
      <c r="EL40" s="35"/>
      <c r="EM40" s="35"/>
      <c r="EN40" s="35"/>
      <c r="EO40" s="35"/>
      <c r="EP40" s="35"/>
      <c r="EQ40" s="35"/>
      <c r="ER40" s="35"/>
      <c r="ES40" s="35"/>
      <c r="ET40" s="35"/>
    </row>
    <row r="41" spans="1:150" s="36" customFormat="1" ht="16.5" customHeight="1">
      <c r="A41" s="35"/>
      <c r="B41" s="976" t="s">
        <v>2604</v>
      </c>
      <c r="C41" s="793" t="s">
        <v>1307</v>
      </c>
      <c r="D41" s="883" t="s">
        <v>22</v>
      </c>
      <c r="E41" s="48">
        <v>22</v>
      </c>
      <c r="F41" s="875" t="s">
        <v>2482</v>
      </c>
      <c r="G41" s="748"/>
      <c r="H41" s="48">
        <v>1278</v>
      </c>
      <c r="I41" s="822">
        <v>2500</v>
      </c>
      <c r="J41" s="48">
        <v>0</v>
      </c>
      <c r="K41" s="48">
        <v>1045</v>
      </c>
      <c r="L41" s="48">
        <v>20</v>
      </c>
      <c r="M41" s="48">
        <v>0</v>
      </c>
      <c r="N41" s="823" t="e">
        <f>YSTCUM+H41</f>
        <v>#NAME?</v>
      </c>
      <c r="O41" s="830" t="s">
        <v>2433</v>
      </c>
      <c r="P41" s="882" t="s">
        <v>1752</v>
      </c>
      <c r="Q41" s="831" t="s">
        <v>2211</v>
      </c>
      <c r="R41" s="879" t="s">
        <v>2691</v>
      </c>
      <c r="S41" s="35"/>
      <c r="T41" s="35"/>
      <c r="U41" s="135"/>
      <c r="V41" s="13" t="e">
        <v>#NAME?</v>
      </c>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117" t="str">
        <f t="shared" si="3"/>
        <v>KHALDA_INJ</v>
      </c>
      <c r="AX41" s="118">
        <f t="shared" si="4"/>
        <v>46298</v>
      </c>
      <c r="AY41" s="119" t="str">
        <f t="shared" si="5"/>
        <v>9WD33-C02ST</v>
      </c>
      <c r="AZ41" s="119">
        <f t="shared" si="6"/>
        <v>1278</v>
      </c>
      <c r="BA41" s="119">
        <f t="shared" si="7"/>
        <v>1045</v>
      </c>
      <c r="BB41" s="120">
        <f t="shared" si="8"/>
        <v>22</v>
      </c>
      <c r="BC41" s="120" t="str">
        <f t="shared" si="9"/>
        <v>INJ</v>
      </c>
      <c r="BD41" s="120">
        <f t="shared" si="10"/>
        <v>0</v>
      </c>
      <c r="BE41" s="119">
        <f t="shared" si="11"/>
        <v>2500</v>
      </c>
      <c r="BF41" s="121" t="str">
        <f t="shared" si="12"/>
        <v>WD-33C01, C03</v>
      </c>
      <c r="BG41" s="121">
        <f t="shared" si="21"/>
        <v>0</v>
      </c>
      <c r="BH41" s="121">
        <f t="shared" si="22"/>
        <v>0</v>
      </c>
      <c r="BI41" s="121" t="str">
        <f t="shared" si="18"/>
        <v>Facility Constraint</v>
      </c>
      <c r="BJ41" s="122" t="str">
        <f t="shared" si="19"/>
        <v>WD33-C</v>
      </c>
      <c r="BK41" s="122" t="str">
        <f t="shared" si="20"/>
        <v>WD33-C</v>
      </c>
      <c r="BL41" s="37"/>
      <c r="BM41" s="37"/>
      <c r="BN41" s="37"/>
      <c r="BO41" s="37"/>
      <c r="BP41" s="37"/>
      <c r="BQ41" s="37"/>
      <c r="BR41" s="37"/>
      <c r="BS41" s="37"/>
      <c r="BT41" s="37"/>
      <c r="BU41" s="37"/>
      <c r="BV41" s="37"/>
      <c r="BW41" s="37"/>
      <c r="BX41" s="37"/>
      <c r="BY41" s="37"/>
      <c r="BZ41" s="37"/>
      <c r="CA41" s="37"/>
      <c r="CB41" s="37"/>
      <c r="CC41" s="35"/>
      <c r="CD41" s="35"/>
      <c r="CE41" s="35"/>
      <c r="CF41" s="35"/>
      <c r="CG41" s="35"/>
      <c r="CH41" s="35"/>
      <c r="CI41" s="35"/>
      <c r="CJ41" s="35"/>
      <c r="CK41" s="35"/>
      <c r="CL41" s="35"/>
      <c r="CM41" s="35"/>
      <c r="CN41" s="35"/>
      <c r="CO41" s="35"/>
      <c r="CP41" s="35"/>
      <c r="CQ41" s="35"/>
      <c r="CR41" s="35"/>
      <c r="CS41" s="35"/>
      <c r="CT41" s="35"/>
      <c r="CU41" s="35"/>
      <c r="CV41" s="35"/>
      <c r="CW41" s="35"/>
      <c r="CX41" s="35"/>
      <c r="CY41" s="35"/>
      <c r="CZ41" s="35"/>
      <c r="DA41" s="35"/>
      <c r="DB41" s="35"/>
      <c r="DC41" s="35"/>
      <c r="DD41" s="35"/>
      <c r="DE41" s="35"/>
      <c r="DF41" s="35"/>
      <c r="DG41" s="35"/>
      <c r="DH41" s="35"/>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c r="EK41" s="35"/>
      <c r="EL41" s="35"/>
      <c r="EM41" s="35"/>
      <c r="EN41" s="35"/>
      <c r="EO41" s="35"/>
      <c r="EP41" s="35"/>
      <c r="EQ41" s="35"/>
      <c r="ER41" s="35"/>
      <c r="ES41" s="35"/>
      <c r="ET41" s="35"/>
    </row>
    <row r="42" spans="1:150" s="36" customFormat="1" ht="16.5" customHeight="1">
      <c r="A42" s="35"/>
      <c r="B42" s="975" t="s">
        <v>2652</v>
      </c>
      <c r="C42" s="793" t="s">
        <v>1307</v>
      </c>
      <c r="D42" s="883" t="s">
        <v>22</v>
      </c>
      <c r="E42" s="48">
        <v>22</v>
      </c>
      <c r="F42" s="875" t="s">
        <v>2482</v>
      </c>
      <c r="G42" s="748"/>
      <c r="H42" s="48">
        <v>1036</v>
      </c>
      <c r="I42" s="822">
        <v>2000</v>
      </c>
      <c r="J42" s="48">
        <v>0</v>
      </c>
      <c r="K42" s="48">
        <v>1075</v>
      </c>
      <c r="L42" s="48">
        <v>0</v>
      </c>
      <c r="M42" s="48">
        <v>0</v>
      </c>
      <c r="N42" s="823"/>
      <c r="O42" s="830" t="s">
        <v>2653</v>
      </c>
      <c r="P42" s="882" t="s">
        <v>1752</v>
      </c>
      <c r="Q42" s="831"/>
      <c r="R42" s="879"/>
      <c r="S42" s="35"/>
      <c r="T42" s="35"/>
      <c r="U42" s="135"/>
      <c r="V42" s="13"/>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117" t="str">
        <f t="shared" si="3"/>
        <v>KHALDA_INJ</v>
      </c>
      <c r="AX42" s="118">
        <f t="shared" si="4"/>
        <v>46298</v>
      </c>
      <c r="AY42" s="119" t="str">
        <f t="shared" si="5"/>
        <v>9WD33-C06</v>
      </c>
      <c r="AZ42" s="119">
        <f t="shared" si="6"/>
        <v>1036</v>
      </c>
      <c r="BA42" s="119">
        <f t="shared" si="7"/>
        <v>1075</v>
      </c>
      <c r="BB42" s="120">
        <f t="shared" si="8"/>
        <v>22</v>
      </c>
      <c r="BC42" s="120" t="str">
        <f t="shared" si="9"/>
        <v>INJ</v>
      </c>
      <c r="BD42" s="120">
        <f t="shared" si="10"/>
        <v>0</v>
      </c>
      <c r="BE42" s="119">
        <f t="shared" si="11"/>
        <v>2000</v>
      </c>
      <c r="BF42" s="121" t="str">
        <f t="shared" si="12"/>
        <v>WD-33C01, C03 &amp; C05</v>
      </c>
      <c r="BG42" s="121">
        <f t="shared" si="21"/>
        <v>0</v>
      </c>
      <c r="BH42" s="121">
        <f t="shared" si="22"/>
        <v>0</v>
      </c>
      <c r="BI42" s="121" t="str">
        <f t="shared" si="18"/>
        <v>Facility Constraint</v>
      </c>
      <c r="BJ42" s="122" t="str">
        <f t="shared" si="19"/>
        <v>WD33</v>
      </c>
      <c r="BK42" s="122" t="str">
        <f>VLOOKUP(B42,WELL_FIELD,2,FALSE)</f>
        <v>WD33-C</v>
      </c>
      <c r="BL42" s="37"/>
      <c r="BM42" s="37"/>
      <c r="BN42" s="37"/>
      <c r="BO42" s="37"/>
      <c r="BP42" s="37"/>
      <c r="BQ42" s="37"/>
      <c r="BR42" s="37"/>
      <c r="BS42" s="37"/>
      <c r="BT42" s="37"/>
      <c r="BU42" s="37"/>
      <c r="BV42" s="37"/>
      <c r="BW42" s="37"/>
      <c r="BX42" s="37"/>
      <c r="BY42" s="37"/>
      <c r="BZ42" s="37"/>
      <c r="CA42" s="37"/>
      <c r="CB42" s="37"/>
      <c r="CC42" s="35"/>
      <c r="CD42" s="35"/>
      <c r="CE42" s="35"/>
      <c r="CF42" s="35"/>
      <c r="CG42" s="35"/>
      <c r="CH42" s="35"/>
      <c r="CI42" s="35"/>
      <c r="CJ42" s="35"/>
      <c r="CK42" s="35"/>
      <c r="CL42" s="35"/>
      <c r="CM42" s="35"/>
      <c r="CN42" s="35"/>
      <c r="CO42" s="35"/>
      <c r="CP42" s="35"/>
      <c r="CQ42" s="35"/>
      <c r="CR42" s="35"/>
      <c r="CS42" s="35"/>
      <c r="CT42" s="35"/>
      <c r="CU42" s="35"/>
      <c r="CV42" s="35"/>
      <c r="CW42" s="35"/>
      <c r="CX42" s="35"/>
      <c r="CY42" s="35"/>
      <c r="CZ42" s="35"/>
      <c r="DA42" s="35"/>
      <c r="DB42" s="35"/>
      <c r="DC42" s="35"/>
      <c r="DD42" s="35"/>
      <c r="DE42" s="35"/>
      <c r="DF42" s="35"/>
      <c r="DG42" s="35"/>
      <c r="DH42" s="35"/>
      <c r="DI42" s="35"/>
      <c r="DJ42" s="35"/>
      <c r="DK42" s="35"/>
      <c r="DL42" s="35"/>
      <c r="DM42" s="35"/>
      <c r="DN42" s="35"/>
      <c r="DO42" s="35"/>
      <c r="DP42" s="35"/>
      <c r="DQ42" s="35"/>
      <c r="DR42" s="35"/>
      <c r="DS42" s="35"/>
      <c r="DT42" s="35"/>
      <c r="DU42" s="35"/>
      <c r="DV42" s="35"/>
      <c r="DW42" s="35"/>
      <c r="DX42" s="35"/>
      <c r="DY42" s="35"/>
      <c r="DZ42" s="35"/>
      <c r="EA42" s="35"/>
      <c r="EB42" s="35"/>
      <c r="EC42" s="35"/>
      <c r="ED42" s="35"/>
      <c r="EE42" s="35"/>
      <c r="EF42" s="35"/>
      <c r="EG42" s="35"/>
      <c r="EH42" s="35"/>
      <c r="EI42" s="35"/>
      <c r="EJ42" s="35"/>
      <c r="EK42" s="35"/>
      <c r="EL42" s="35"/>
      <c r="EM42" s="35"/>
      <c r="EN42" s="35"/>
      <c r="EO42" s="35"/>
      <c r="EP42" s="35"/>
      <c r="EQ42" s="35"/>
      <c r="ER42" s="35"/>
      <c r="ES42" s="35"/>
      <c r="ET42" s="35"/>
    </row>
    <row r="43" spans="1:150" s="36" customFormat="1" ht="16.5" customHeight="1">
      <c r="A43" s="35"/>
      <c r="B43" s="976" t="s">
        <v>2686</v>
      </c>
      <c r="C43" s="793" t="s">
        <v>1307</v>
      </c>
      <c r="D43" s="883" t="s">
        <v>22</v>
      </c>
      <c r="E43" s="48">
        <v>22</v>
      </c>
      <c r="F43" s="875" t="s">
        <v>2482</v>
      </c>
      <c r="G43" s="748"/>
      <c r="H43" s="48">
        <v>1805</v>
      </c>
      <c r="I43" s="822">
        <v>1800</v>
      </c>
      <c r="J43" s="48">
        <v>0</v>
      </c>
      <c r="K43" s="48">
        <v>0</v>
      </c>
      <c r="L43" s="48">
        <v>0</v>
      </c>
      <c r="M43" s="48">
        <v>0</v>
      </c>
      <c r="N43" s="823"/>
      <c r="O43" s="830" t="s">
        <v>2689</v>
      </c>
      <c r="P43" s="882"/>
      <c r="Q43" s="831"/>
      <c r="R43" s="879"/>
      <c r="S43" s="35"/>
      <c r="T43" s="35"/>
      <c r="U43" s="135"/>
      <c r="V43" s="13"/>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c r="AV43" s="35"/>
      <c r="AW43" s="117" t="str">
        <f t="shared" si="3"/>
        <v>KHALDA_INJ</v>
      </c>
      <c r="AX43" s="118">
        <f t="shared" si="4"/>
        <v>46298</v>
      </c>
      <c r="AY43" s="119" t="str">
        <f t="shared" si="5"/>
        <v>9WD33 J-03</v>
      </c>
      <c r="AZ43" s="119">
        <f t="shared" si="6"/>
        <v>1805</v>
      </c>
      <c r="BA43" s="119">
        <f t="shared" si="7"/>
        <v>0</v>
      </c>
      <c r="BB43" s="120">
        <f t="shared" si="8"/>
        <v>22</v>
      </c>
      <c r="BC43" s="120" t="str">
        <f t="shared" si="9"/>
        <v>INJ</v>
      </c>
      <c r="BD43" s="120">
        <f t="shared" si="10"/>
        <v>0</v>
      </c>
      <c r="BE43" s="119">
        <f t="shared" si="11"/>
        <v>1800</v>
      </c>
      <c r="BF43" s="121" t="str">
        <f t="shared" si="12"/>
        <v>WD33 J01</v>
      </c>
      <c r="BG43" s="121">
        <f t="shared" si="21"/>
        <v>0</v>
      </c>
      <c r="BH43" s="121">
        <f t="shared" si="22"/>
        <v>0</v>
      </c>
      <c r="BI43" s="121" t="str">
        <f t="shared" si="18"/>
        <v>Facility Constraint</v>
      </c>
      <c r="BJ43" s="122" t="str">
        <f t="shared" si="19"/>
        <v>WD30 A</v>
      </c>
      <c r="BK43" s="122" t="str">
        <f>VLOOKUP(B43,WELL_FIELD,2,FALSE)</f>
        <v>WD33 J</v>
      </c>
      <c r="BL43" s="37"/>
      <c r="BM43" s="37"/>
      <c r="BN43" s="37"/>
      <c r="BO43" s="37"/>
      <c r="BP43" s="37"/>
      <c r="BQ43" s="37"/>
      <c r="BR43" s="37"/>
      <c r="BS43" s="37"/>
      <c r="BT43" s="37"/>
      <c r="BU43" s="37"/>
      <c r="BV43" s="37"/>
      <c r="BW43" s="37"/>
      <c r="BX43" s="37"/>
      <c r="BY43" s="37"/>
      <c r="BZ43" s="37"/>
      <c r="CA43" s="37"/>
      <c r="CB43" s="37"/>
      <c r="CC43" s="35"/>
      <c r="CD43" s="35"/>
      <c r="CE43" s="35"/>
      <c r="CF43" s="35"/>
      <c r="CG43" s="35"/>
      <c r="CH43" s="35"/>
      <c r="CI43" s="35"/>
      <c r="CJ43" s="35"/>
      <c r="CK43" s="35"/>
      <c r="CL43" s="35"/>
      <c r="CM43" s="35"/>
      <c r="CN43" s="35"/>
      <c r="CO43" s="35"/>
      <c r="CP43" s="35"/>
      <c r="CQ43" s="35"/>
      <c r="CR43" s="35"/>
      <c r="CS43" s="35"/>
      <c r="CT43" s="35"/>
      <c r="CU43" s="35"/>
      <c r="CV43" s="35"/>
      <c r="CW43" s="35"/>
      <c r="CX43" s="35"/>
      <c r="CY43" s="35"/>
      <c r="CZ43" s="35"/>
      <c r="DA43" s="35"/>
      <c r="DB43" s="35"/>
      <c r="DC43" s="35"/>
      <c r="DD43" s="35"/>
      <c r="DE43" s="35"/>
      <c r="DF43" s="35"/>
      <c r="DG43" s="35"/>
      <c r="DH43" s="35"/>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c r="EN43" s="35"/>
      <c r="EO43" s="35"/>
      <c r="EP43" s="35"/>
      <c r="EQ43" s="35"/>
      <c r="ER43" s="35"/>
      <c r="ES43" s="35"/>
      <c r="ET43" s="35"/>
    </row>
    <row r="44" spans="1:150" s="36" customFormat="1" ht="16.5" customHeight="1">
      <c r="A44" s="35"/>
      <c r="B44" s="975" t="s">
        <v>1677</v>
      </c>
      <c r="C44" s="793" t="s">
        <v>1307</v>
      </c>
      <c r="D44" s="793" t="s">
        <v>18</v>
      </c>
      <c r="E44" s="48">
        <v>0</v>
      </c>
      <c r="F44" s="875"/>
      <c r="G44" s="748"/>
      <c r="H44" s="48">
        <v>0</v>
      </c>
      <c r="I44" s="822">
        <v>0</v>
      </c>
      <c r="J44" s="48">
        <v>0</v>
      </c>
      <c r="K44" s="48">
        <v>0</v>
      </c>
      <c r="L44" s="48">
        <v>0</v>
      </c>
      <c r="M44" s="48">
        <v>0</v>
      </c>
      <c r="N44" s="823" t="e">
        <f>YSTCUM+H44</f>
        <v>#NAME?</v>
      </c>
      <c r="O44" s="830"/>
      <c r="P44" s="882"/>
      <c r="Q44" s="831"/>
      <c r="R44" s="879"/>
      <c r="S44" s="35"/>
      <c r="T44" s="35"/>
      <c r="U44" s="135"/>
      <c r="V44" s="13" t="e">
        <v>#NAME?</v>
      </c>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c r="AV44" s="35"/>
      <c r="AW44" s="117" t="str">
        <f t="shared" si="3"/>
        <v>KHALDA_INJ</v>
      </c>
      <c r="AX44" s="118">
        <f t="shared" si="4"/>
        <v>46298</v>
      </c>
      <c r="AY44" s="119" t="str">
        <f t="shared" si="5"/>
        <v>9WD33-14</v>
      </c>
      <c r="AZ44" s="119">
        <f t="shared" si="6"/>
        <v>0</v>
      </c>
      <c r="BA44" s="119">
        <f t="shared" si="7"/>
        <v>0</v>
      </c>
      <c r="BB44" s="120">
        <f t="shared" si="8"/>
        <v>0</v>
      </c>
      <c r="BC44" s="120" t="str">
        <f t="shared" si="9"/>
        <v>SI</v>
      </c>
      <c r="BD44" s="120">
        <f t="shared" si="10"/>
        <v>0</v>
      </c>
      <c r="BE44" s="119">
        <f t="shared" si="11"/>
        <v>0</v>
      </c>
      <c r="BF44" s="121" t="str">
        <f t="shared" si="12"/>
        <v/>
      </c>
      <c r="BG44" s="121">
        <f t="shared" si="21"/>
        <v>0</v>
      </c>
      <c r="BH44" s="121">
        <f t="shared" si="22"/>
        <v>0</v>
      </c>
      <c r="BI44" s="121" t="str">
        <f t="shared" si="18"/>
        <v/>
      </c>
      <c r="BJ44" s="122" t="str">
        <f t="shared" si="19"/>
        <v/>
      </c>
      <c r="BK44" s="122" t="str">
        <f>VLOOKUP(B44,WELL_FIELD,2,FALSE)</f>
        <v>WD33</v>
      </c>
      <c r="BL44" s="37"/>
      <c r="BM44" s="37"/>
      <c r="BN44" s="37"/>
      <c r="BO44" s="37"/>
      <c r="BP44" s="37"/>
      <c r="BQ44" s="37"/>
      <c r="BR44" s="37"/>
      <c r="BS44" s="37"/>
      <c r="BT44" s="37"/>
      <c r="BU44" s="37"/>
      <c r="BV44" s="37"/>
      <c r="BW44" s="37"/>
      <c r="BX44" s="37"/>
      <c r="BY44" s="37"/>
      <c r="BZ44" s="37"/>
      <c r="CA44" s="37"/>
      <c r="CB44" s="37"/>
      <c r="CC44" s="35"/>
      <c r="CD44" s="35"/>
      <c r="CE44" s="35"/>
      <c r="CF44" s="35"/>
      <c r="CG44" s="35"/>
      <c r="CH44" s="35"/>
      <c r="CI44" s="35"/>
      <c r="CJ44" s="35"/>
      <c r="CK44" s="35"/>
      <c r="CL44" s="35"/>
      <c r="CM44" s="35"/>
      <c r="CN44" s="35"/>
      <c r="CO44" s="35"/>
      <c r="CP44" s="35"/>
      <c r="CQ44" s="35"/>
      <c r="CR44" s="35"/>
      <c r="CS44" s="35"/>
      <c r="CT44" s="35"/>
      <c r="CU44" s="35"/>
      <c r="CV44" s="35"/>
      <c r="CW44" s="35"/>
      <c r="CX44" s="35"/>
      <c r="CY44" s="35"/>
      <c r="CZ44" s="35"/>
      <c r="DA44" s="35"/>
      <c r="DB44" s="35"/>
      <c r="DC44" s="35"/>
      <c r="DD44" s="35"/>
      <c r="DE44" s="35"/>
      <c r="DF44" s="35"/>
      <c r="DG44" s="35"/>
      <c r="DH44" s="35"/>
      <c r="DI44" s="35"/>
      <c r="DJ44" s="35"/>
      <c r="DK44" s="35"/>
      <c r="DL44" s="35"/>
      <c r="DM44" s="35"/>
      <c r="DN44" s="35"/>
      <c r="DO44" s="35"/>
      <c r="DP44" s="35"/>
      <c r="DQ44" s="35"/>
      <c r="DR44" s="35"/>
      <c r="DS44" s="35"/>
      <c r="DT44" s="35"/>
      <c r="DU44" s="35"/>
      <c r="DV44" s="35"/>
      <c r="DW44" s="35"/>
      <c r="DX44" s="35"/>
      <c r="DY44" s="35"/>
      <c r="DZ44" s="35"/>
      <c r="EA44" s="35"/>
      <c r="EB44" s="35"/>
      <c r="EC44" s="35"/>
      <c r="ED44" s="35"/>
      <c r="EE44" s="35"/>
      <c r="EF44" s="35"/>
      <c r="EG44" s="35"/>
      <c r="EH44" s="35"/>
      <c r="EI44" s="35"/>
      <c r="EJ44" s="35"/>
      <c r="EK44" s="35"/>
      <c r="EL44" s="35"/>
      <c r="EM44" s="35"/>
      <c r="EN44" s="35"/>
      <c r="EO44" s="35"/>
      <c r="EP44" s="35"/>
      <c r="EQ44" s="35"/>
      <c r="ER44" s="35"/>
      <c r="ES44" s="35"/>
      <c r="ET44" s="35"/>
    </row>
    <row r="45" spans="1:150" s="703" customFormat="1" ht="24.75" customHeight="1">
      <c r="A45" s="700"/>
      <c r="B45" s="701" t="s">
        <v>1477</v>
      </c>
      <c r="C45" s="702"/>
      <c r="D45" s="702"/>
      <c r="E45" s="747"/>
      <c r="F45" s="702"/>
      <c r="G45" s="702"/>
      <c r="H45" s="702"/>
      <c r="I45" s="702"/>
      <c r="J45" s="702"/>
      <c r="K45" s="702"/>
      <c r="L45" s="702"/>
      <c r="M45" s="702"/>
      <c r="N45" s="702"/>
      <c r="O45" s="702"/>
      <c r="P45" s="702"/>
      <c r="Q45" s="702"/>
      <c r="AI45" s="702"/>
      <c r="AJ45" s="702"/>
      <c r="AK45" s="702"/>
      <c r="AL45" s="704"/>
      <c r="AM45" s="705"/>
      <c r="AN45" s="705"/>
      <c r="AO45" s="705"/>
      <c r="AP45" s="705"/>
      <c r="AQ45" s="705"/>
      <c r="AR45" s="705"/>
      <c r="AS45" s="705"/>
      <c r="AT45" s="705"/>
      <c r="AU45" s="705"/>
      <c r="AV45" s="705"/>
      <c r="AW45" s="705"/>
      <c r="AX45" s="705"/>
      <c r="AY45" s="705"/>
      <c r="AZ45" s="705"/>
      <c r="BA45" s="705"/>
      <c r="BB45" s="705"/>
      <c r="BC45" s="705"/>
      <c r="BD45" s="705"/>
      <c r="BE45" s="705"/>
      <c r="BF45" s="705"/>
      <c r="BG45" s="705"/>
      <c r="BH45" s="705"/>
      <c r="BI45" s="705"/>
      <c r="BJ45" s="705"/>
      <c r="BK45" s="705"/>
      <c r="BL45" s="705"/>
      <c r="BM45" s="705"/>
      <c r="BN45" s="705"/>
      <c r="BO45" s="705"/>
      <c r="BP45" s="705"/>
      <c r="BQ45" s="705"/>
      <c r="BR45" s="705"/>
      <c r="BS45" s="705"/>
      <c r="BT45" s="705"/>
      <c r="BU45" s="705"/>
      <c r="BV45" s="705"/>
      <c r="BW45" s="705"/>
      <c r="BX45" s="705"/>
      <c r="BY45" s="705"/>
      <c r="BZ45" s="705"/>
      <c r="CA45" s="705"/>
      <c r="CB45" s="705"/>
      <c r="CC45" s="705"/>
      <c r="CD45" s="705"/>
      <c r="CE45" s="705"/>
      <c r="CF45" s="705"/>
      <c r="CG45" s="705"/>
      <c r="CH45" s="705"/>
      <c r="CI45" s="705"/>
      <c r="CJ45" s="705"/>
      <c r="CK45" s="705"/>
      <c r="CL45" s="705"/>
      <c r="CM45" s="705"/>
      <c r="CN45" s="705"/>
      <c r="CO45" s="705"/>
      <c r="CP45" s="705"/>
      <c r="CQ45" s="705"/>
      <c r="CR45" s="705"/>
      <c r="CS45" s="705"/>
      <c r="CT45" s="705"/>
      <c r="CU45" s="705"/>
      <c r="CV45" s="705"/>
      <c r="CW45" s="705"/>
      <c r="CX45" s="705"/>
      <c r="CY45" s="705"/>
      <c r="CZ45" s="705"/>
      <c r="DA45" s="705"/>
      <c r="DB45" s="705"/>
      <c r="DC45" s="705"/>
      <c r="DD45" s="705"/>
      <c r="DE45" s="705"/>
    </row>
    <row r="46" spans="1:150" s="706" customFormat="1" ht="16.5" customHeight="1">
      <c r="B46" s="1300" t="s">
        <v>5</v>
      </c>
      <c r="C46" s="1300" t="s">
        <v>4</v>
      </c>
      <c r="D46" s="1300" t="s">
        <v>11</v>
      </c>
      <c r="E46" s="1299" t="s">
        <v>228</v>
      </c>
      <c r="F46" s="1299" t="s">
        <v>1572</v>
      </c>
      <c r="G46" s="1299" t="s">
        <v>1775</v>
      </c>
      <c r="H46" s="1299" t="s">
        <v>1267</v>
      </c>
      <c r="I46" s="1300" t="s">
        <v>14</v>
      </c>
      <c r="J46" s="1300"/>
      <c r="K46" s="1300"/>
      <c r="L46" s="1299" t="s">
        <v>75</v>
      </c>
      <c r="M46" s="1301" t="s">
        <v>1465</v>
      </c>
      <c r="N46" s="1299" t="s">
        <v>15</v>
      </c>
      <c r="O46" s="1301" t="s">
        <v>1685</v>
      </c>
      <c r="P46" s="1301" t="s">
        <v>2153</v>
      </c>
      <c r="Q46" s="1301" t="s">
        <v>2154</v>
      </c>
      <c r="R46" s="1301" t="s">
        <v>112</v>
      </c>
      <c r="S46" s="1302" t="s">
        <v>1691</v>
      </c>
      <c r="T46" s="1300" t="s">
        <v>29</v>
      </c>
      <c r="BA46" s="1309" t="s">
        <v>59</v>
      </c>
      <c r="BB46" s="1254" t="s">
        <v>16</v>
      </c>
      <c r="BC46" s="1254" t="s">
        <v>5</v>
      </c>
      <c r="BD46" s="985" t="s">
        <v>15</v>
      </c>
      <c r="BE46" s="985" t="s">
        <v>2172</v>
      </c>
      <c r="BF46" s="985" t="s">
        <v>13</v>
      </c>
      <c r="BG46" s="985" t="s">
        <v>2170</v>
      </c>
      <c r="BH46" s="985" t="s">
        <v>2169</v>
      </c>
      <c r="BI46" s="985" t="s">
        <v>1896</v>
      </c>
      <c r="BJ46" s="985" t="s">
        <v>1897</v>
      </c>
      <c r="BK46" s="985" t="s">
        <v>1898</v>
      </c>
      <c r="BL46" s="985" t="s">
        <v>227</v>
      </c>
      <c r="BM46" s="985" t="s">
        <v>1465</v>
      </c>
      <c r="BN46" s="983" t="s">
        <v>1685</v>
      </c>
      <c r="BO46" s="1304" t="s">
        <v>2154</v>
      </c>
      <c r="BP46" s="1304" t="s">
        <v>2171</v>
      </c>
      <c r="BQ46" s="1254" t="s">
        <v>112</v>
      </c>
      <c r="BR46" s="1254"/>
      <c r="BV46" s="897" t="s">
        <v>29</v>
      </c>
    </row>
    <row r="47" spans="1:150" s="706" customFormat="1" ht="16.5" customHeight="1">
      <c r="B47" s="1300"/>
      <c r="C47" s="1300"/>
      <c r="D47" s="1300"/>
      <c r="E47" s="1299"/>
      <c r="F47" s="1299"/>
      <c r="G47" s="1299"/>
      <c r="H47" s="1299"/>
      <c r="I47" s="966">
        <v>1</v>
      </c>
      <c r="J47" s="966">
        <v>2</v>
      </c>
      <c r="K47" s="966">
        <v>3</v>
      </c>
      <c r="L47" s="1299"/>
      <c r="M47" s="1087"/>
      <c r="N47" s="1299"/>
      <c r="O47" s="1087"/>
      <c r="P47" s="1087"/>
      <c r="Q47" s="1087"/>
      <c r="R47" s="1087"/>
      <c r="S47" s="1087"/>
      <c r="T47" s="1087"/>
      <c r="BA47" s="1310"/>
      <c r="BB47" s="1255"/>
      <c r="BC47" s="1255"/>
      <c r="BD47" s="986"/>
      <c r="BE47" s="986"/>
      <c r="BF47" s="986"/>
      <c r="BG47" s="986"/>
      <c r="BH47" s="986"/>
      <c r="BI47" s="986"/>
      <c r="BJ47" s="986"/>
      <c r="BK47" s="986"/>
      <c r="BL47" s="986"/>
      <c r="BM47" s="986"/>
      <c r="BN47" s="984"/>
      <c r="BO47" s="1305"/>
      <c r="BP47" s="1305"/>
      <c r="BQ47" s="1255"/>
      <c r="BR47" s="1255"/>
      <c r="BV47" s="897"/>
    </row>
    <row r="48" spans="1:150" s="707" customFormat="1" ht="18.75" customHeight="1">
      <c r="B48" s="964" t="s">
        <v>1678</v>
      </c>
      <c r="C48" s="964" t="s">
        <v>1493</v>
      </c>
      <c r="D48" s="964" t="s">
        <v>1494</v>
      </c>
      <c r="E48" s="965"/>
      <c r="F48" s="965">
        <v>1720</v>
      </c>
      <c r="G48" s="965">
        <v>1700</v>
      </c>
      <c r="H48" s="966">
        <v>0</v>
      </c>
      <c r="I48" s="965">
        <v>52</v>
      </c>
      <c r="J48" s="965">
        <v>52</v>
      </c>
      <c r="K48" s="965">
        <v>52</v>
      </c>
      <c r="L48" s="965">
        <v>50</v>
      </c>
      <c r="M48" s="965" t="s">
        <v>2165</v>
      </c>
      <c r="N48" s="965">
        <v>22</v>
      </c>
      <c r="O48" s="966">
        <f>H24+H4+J4+J24+Q48+H3+J3</f>
        <v>1944</v>
      </c>
      <c r="P48" s="965">
        <v>0</v>
      </c>
      <c r="Q48" s="965">
        <v>0</v>
      </c>
      <c r="R48" s="965" t="s">
        <v>2491</v>
      </c>
      <c r="S48" s="965" t="s">
        <v>2704</v>
      </c>
      <c r="T48" s="965"/>
      <c r="U48" s="819"/>
      <c r="V48" s="708"/>
      <c r="W48" s="708"/>
      <c r="X48" s="708"/>
      <c r="Y48" s="708"/>
      <c r="Z48" s="708"/>
      <c r="AA48" s="709"/>
      <c r="AB48" s="709"/>
      <c r="AC48" s="709"/>
      <c r="AD48" s="709"/>
      <c r="AE48" s="709"/>
      <c r="AF48" s="709"/>
      <c r="AG48" s="709"/>
      <c r="AH48" s="709"/>
      <c r="AI48" s="709"/>
      <c r="AJ48" s="709"/>
      <c r="AK48" s="709"/>
      <c r="AL48" s="709"/>
      <c r="AM48" s="709"/>
      <c r="AN48" s="709"/>
      <c r="AO48" s="709"/>
      <c r="AP48" s="709"/>
      <c r="BA48" s="117" t="s">
        <v>1899</v>
      </c>
      <c r="BB48" s="118">
        <f t="shared" ref="BB48:BB59" si="23">IF(BA48="","",REPORTDATE-1)</f>
        <v>46298</v>
      </c>
      <c r="BC48" s="119" t="str">
        <f t="shared" ref="BC48:BC59" si="24">B48</f>
        <v>SWAG-WSW-01</v>
      </c>
      <c r="BD48" s="119">
        <f>+N48</f>
        <v>22</v>
      </c>
      <c r="BE48" s="119">
        <f>+E48</f>
        <v>0</v>
      </c>
      <c r="BF48" s="119">
        <f>+F48</f>
        <v>1720</v>
      </c>
      <c r="BG48" s="119"/>
      <c r="BH48" s="119">
        <f t="shared" ref="BH48:BM48" si="25">+H48</f>
        <v>0</v>
      </c>
      <c r="BI48" s="119">
        <f t="shared" si="25"/>
        <v>52</v>
      </c>
      <c r="BJ48" s="119">
        <f t="shared" si="25"/>
        <v>52</v>
      </c>
      <c r="BK48" s="119">
        <f t="shared" si="25"/>
        <v>52</v>
      </c>
      <c r="BL48" s="119">
        <f t="shared" si="25"/>
        <v>50</v>
      </c>
      <c r="BM48" s="898" t="str">
        <f t="shared" si="25"/>
        <v>GN-2100</v>
      </c>
      <c r="BN48" s="898">
        <f>+O48</f>
        <v>1944</v>
      </c>
      <c r="BO48" s="119">
        <f>+Q48</f>
        <v>0</v>
      </c>
      <c r="BP48" s="119">
        <f>+P48</f>
        <v>0</v>
      </c>
      <c r="BQ48" s="119" t="str">
        <f>+R48</f>
        <v>Generator (Planned)</v>
      </c>
      <c r="BR48" s="119"/>
    </row>
    <row r="49" spans="1:77" s="707" customFormat="1" ht="18.75" customHeight="1">
      <c r="B49" s="964" t="s">
        <v>1716</v>
      </c>
      <c r="C49" s="964" t="s">
        <v>1493</v>
      </c>
      <c r="D49" s="964" t="s">
        <v>18</v>
      </c>
      <c r="E49" s="965"/>
      <c r="F49" s="965">
        <v>0</v>
      </c>
      <c r="G49" s="965">
        <v>0</v>
      </c>
      <c r="H49" s="966">
        <v>0</v>
      </c>
      <c r="I49" s="965">
        <v>0</v>
      </c>
      <c r="J49" s="965">
        <v>0</v>
      </c>
      <c r="K49" s="965">
        <v>0</v>
      </c>
      <c r="L49" s="965">
        <v>0</v>
      </c>
      <c r="M49" s="1061" t="s">
        <v>2166</v>
      </c>
      <c r="N49" s="965">
        <v>0</v>
      </c>
      <c r="O49" s="1061">
        <v>0</v>
      </c>
      <c r="P49" s="964">
        <v>0</v>
      </c>
      <c r="Q49" s="964">
        <v>0</v>
      </c>
      <c r="R49" s="875"/>
      <c r="S49" s="965" t="s">
        <v>2167</v>
      </c>
      <c r="T49" s="965"/>
      <c r="U49" s="818"/>
      <c r="V49" s="708"/>
      <c r="W49" s="708"/>
      <c r="X49" s="708"/>
      <c r="Y49" s="708"/>
      <c r="Z49" s="708"/>
      <c r="AA49" s="709"/>
      <c r="AB49" s="709"/>
      <c r="AC49" s="709"/>
      <c r="AD49" s="709"/>
      <c r="AE49" s="709"/>
      <c r="AF49" s="709"/>
      <c r="AG49" s="709"/>
      <c r="AH49" s="709"/>
      <c r="AI49" s="709"/>
      <c r="AJ49" s="709"/>
      <c r="AK49" s="709"/>
      <c r="AL49" s="709"/>
      <c r="AM49" s="709"/>
      <c r="AN49" s="709"/>
      <c r="AO49" s="709"/>
      <c r="AP49" s="709"/>
      <c r="BA49" s="117" t="s">
        <v>1899</v>
      </c>
      <c r="BB49" s="118">
        <f t="shared" si="23"/>
        <v>46298</v>
      </c>
      <c r="BC49" s="119" t="str">
        <f t="shared" si="24"/>
        <v xml:space="preserve">AG-80-WSW </v>
      </c>
      <c r="BD49" s="119">
        <f t="shared" ref="BD49:BD59" si="26">+N49</f>
        <v>0</v>
      </c>
      <c r="BE49" s="119">
        <f t="shared" ref="BE49:BE59" si="27">+E49</f>
        <v>0</v>
      </c>
      <c r="BF49" s="119">
        <f t="shared" ref="BF49:BF59" si="28">+F49</f>
        <v>0</v>
      </c>
      <c r="BG49" s="119"/>
      <c r="BH49" s="119">
        <f t="shared" ref="BH49:BH59" si="29">+H49</f>
        <v>0</v>
      </c>
      <c r="BI49" s="119">
        <f t="shared" ref="BI49:BI59" si="30">+I49</f>
        <v>0</v>
      </c>
      <c r="BJ49" s="119">
        <f t="shared" ref="BJ49:BJ59" si="31">+J49</f>
        <v>0</v>
      </c>
      <c r="BK49" s="119">
        <f t="shared" ref="BK49:BK59" si="32">+K49</f>
        <v>0</v>
      </c>
      <c r="BL49" s="119">
        <f t="shared" ref="BL49:BL59" si="33">+L49</f>
        <v>0</v>
      </c>
      <c r="BM49" s="898" t="str">
        <f t="shared" ref="BM49:BM59" si="34">+M49</f>
        <v>SN-2600</v>
      </c>
      <c r="BN49" s="898">
        <f t="shared" ref="BN49:BN59" si="35">+O49</f>
        <v>0</v>
      </c>
      <c r="BO49" s="119">
        <f t="shared" ref="BO49:BO59" si="36">+Q49</f>
        <v>0</v>
      </c>
      <c r="BP49" s="119">
        <f t="shared" ref="BP49:BP59" si="37">+P49</f>
        <v>0</v>
      </c>
      <c r="BQ49" s="119">
        <f t="shared" ref="BQ49:BQ59" si="38">+R49</f>
        <v>0</v>
      </c>
      <c r="BR49" s="119"/>
    </row>
    <row r="50" spans="1:77" s="707" customFormat="1" ht="39.75" customHeight="1">
      <c r="B50" s="964" t="s">
        <v>1293</v>
      </c>
      <c r="C50" s="964" t="s">
        <v>1900</v>
      </c>
      <c r="D50" s="964" t="s">
        <v>1494</v>
      </c>
      <c r="E50" s="965"/>
      <c r="F50" s="965">
        <v>2220</v>
      </c>
      <c r="G50" s="965">
        <v>2200</v>
      </c>
      <c r="H50" s="966">
        <v>0</v>
      </c>
      <c r="I50" s="965">
        <v>61</v>
      </c>
      <c r="J50" s="965">
        <v>61</v>
      </c>
      <c r="K50" s="965">
        <v>61</v>
      </c>
      <c r="L50" s="965">
        <v>100</v>
      </c>
      <c r="M50" s="990" t="s">
        <v>2668</v>
      </c>
      <c r="N50" s="965">
        <v>20</v>
      </c>
      <c r="O50" s="966">
        <f>H7+H8+H15+H23+J7+J8+J15+J23+Q50</f>
        <v>1925</v>
      </c>
      <c r="P50" s="966">
        <v>0</v>
      </c>
      <c r="Q50" s="970">
        <v>0</v>
      </c>
      <c r="R50" s="965" t="s">
        <v>2491</v>
      </c>
      <c r="S50" s="965" t="s">
        <v>2680</v>
      </c>
      <c r="T50" s="965"/>
      <c r="U50" s="818"/>
      <c r="V50" s="709"/>
      <c r="W50" s="709"/>
      <c r="X50" s="709"/>
      <c r="Y50" s="709"/>
      <c r="Z50" s="709"/>
      <c r="AA50" s="709"/>
      <c r="AB50" s="709"/>
      <c r="AC50" s="709"/>
      <c r="AD50" s="709"/>
      <c r="AE50" s="709"/>
      <c r="AF50" s="709"/>
      <c r="AG50" s="709"/>
      <c r="AH50" s="709"/>
      <c r="AI50" s="709"/>
      <c r="AJ50" s="709"/>
      <c r="AK50" s="709"/>
      <c r="AL50" s="709"/>
      <c r="AM50" s="709"/>
      <c r="AN50" s="709"/>
      <c r="AO50" s="709"/>
      <c r="AP50" s="709"/>
      <c r="BA50" s="117" t="s">
        <v>1899</v>
      </c>
      <c r="BB50" s="118">
        <f t="shared" si="23"/>
        <v>46298</v>
      </c>
      <c r="BC50" s="119" t="str">
        <f t="shared" si="24"/>
        <v>AG-99</v>
      </c>
      <c r="BD50" s="119">
        <f t="shared" si="26"/>
        <v>20</v>
      </c>
      <c r="BE50" s="119">
        <f t="shared" si="27"/>
        <v>0</v>
      </c>
      <c r="BF50" s="119">
        <f t="shared" si="28"/>
        <v>2220</v>
      </c>
      <c r="BG50" s="119"/>
      <c r="BH50" s="119">
        <f t="shared" si="29"/>
        <v>0</v>
      </c>
      <c r="BI50" s="119">
        <f t="shared" si="30"/>
        <v>61</v>
      </c>
      <c r="BJ50" s="119">
        <f t="shared" si="31"/>
        <v>61</v>
      </c>
      <c r="BK50" s="119">
        <f t="shared" si="32"/>
        <v>61</v>
      </c>
      <c r="BL50" s="119">
        <f t="shared" si="33"/>
        <v>100</v>
      </c>
      <c r="BM50" s="898" t="str">
        <f t="shared" si="34"/>
        <v>538-7000
(PK-TA-HSS-SS)</v>
      </c>
      <c r="BN50" s="898">
        <f t="shared" si="35"/>
        <v>1925</v>
      </c>
      <c r="BO50" s="119">
        <f t="shared" si="36"/>
        <v>0</v>
      </c>
      <c r="BP50" s="119">
        <f t="shared" si="37"/>
        <v>0</v>
      </c>
      <c r="BQ50" s="119" t="str">
        <f t="shared" si="38"/>
        <v>Generator (Planned)</v>
      </c>
      <c r="BR50" s="119"/>
    </row>
    <row r="51" spans="1:77" s="707" customFormat="1" ht="39.75" customHeight="1">
      <c r="B51" s="964" t="s">
        <v>1704</v>
      </c>
      <c r="C51" s="964" t="s">
        <v>2431</v>
      </c>
      <c r="D51" s="964" t="s">
        <v>18</v>
      </c>
      <c r="E51" s="965"/>
      <c r="F51" s="965">
        <v>1400</v>
      </c>
      <c r="G51" s="965">
        <v>440</v>
      </c>
      <c r="H51" s="966">
        <v>0</v>
      </c>
      <c r="I51" s="965">
        <v>87</v>
      </c>
      <c r="J51" s="965">
        <v>87</v>
      </c>
      <c r="K51" s="965">
        <v>87</v>
      </c>
      <c r="L51" s="965">
        <v>50</v>
      </c>
      <c r="M51" s="990" t="s">
        <v>2669</v>
      </c>
      <c r="N51" s="965">
        <v>24</v>
      </c>
      <c r="O51" s="966">
        <f>H16 + H17+J16+J17+Q51</f>
        <v>4670</v>
      </c>
      <c r="P51" s="966">
        <v>0</v>
      </c>
      <c r="Q51" s="970">
        <v>0</v>
      </c>
      <c r="R51" s="965"/>
      <c r="S51" s="965" t="s">
        <v>2432</v>
      </c>
      <c r="T51" s="965"/>
      <c r="U51" s="818"/>
      <c r="V51" s="709"/>
      <c r="W51" s="709"/>
      <c r="X51" s="709"/>
      <c r="Y51" s="709"/>
      <c r="Z51" s="709"/>
      <c r="AA51" s="709"/>
      <c r="AB51" s="709"/>
      <c r="AC51" s="709"/>
      <c r="AD51" s="709"/>
      <c r="AE51" s="709"/>
      <c r="AF51" s="709"/>
      <c r="AG51" s="709"/>
      <c r="AH51" s="709"/>
      <c r="AI51" s="709"/>
      <c r="AJ51" s="709"/>
      <c r="AK51" s="709"/>
      <c r="AL51" s="709"/>
      <c r="AM51" s="709"/>
      <c r="AN51" s="709"/>
      <c r="AO51" s="709"/>
      <c r="AP51" s="709"/>
      <c r="BA51" s="117" t="s">
        <v>1899</v>
      </c>
      <c r="BB51" s="118">
        <f>IF(BA51="","",REPORTDATE-1)</f>
        <v>46298</v>
      </c>
      <c r="BC51" s="119" t="str">
        <f>B51</f>
        <v>AG-119</v>
      </c>
      <c r="BD51" s="119">
        <f t="shared" si="26"/>
        <v>24</v>
      </c>
      <c r="BE51" s="119">
        <f t="shared" si="27"/>
        <v>0</v>
      </c>
      <c r="BF51" s="119">
        <f t="shared" si="28"/>
        <v>1400</v>
      </c>
      <c r="BG51" s="119"/>
      <c r="BH51" s="119">
        <f t="shared" si="29"/>
        <v>0</v>
      </c>
      <c r="BI51" s="119">
        <f t="shared" si="30"/>
        <v>87</v>
      </c>
      <c r="BJ51" s="119">
        <f t="shared" si="31"/>
        <v>87</v>
      </c>
      <c r="BK51" s="119">
        <f t="shared" si="32"/>
        <v>87</v>
      </c>
      <c r="BL51" s="119">
        <f t="shared" si="33"/>
        <v>50</v>
      </c>
      <c r="BM51" s="898" t="str">
        <f t="shared" si="34"/>
        <v>538-7000  
(PK TA HSS SS)</v>
      </c>
      <c r="BN51" s="898">
        <f t="shared" si="35"/>
        <v>4670</v>
      </c>
      <c r="BO51" s="119">
        <f t="shared" si="36"/>
        <v>0</v>
      </c>
      <c r="BP51" s="119">
        <f t="shared" si="37"/>
        <v>0</v>
      </c>
      <c r="BQ51" s="119">
        <f t="shared" si="38"/>
        <v>0</v>
      </c>
      <c r="BR51" s="119"/>
    </row>
    <row r="52" spans="1:77" s="707" customFormat="1" ht="39.75" customHeight="1">
      <c r="B52" s="964" t="s">
        <v>1320</v>
      </c>
      <c r="C52" s="964" t="s">
        <v>1900</v>
      </c>
      <c r="D52" s="964" t="s">
        <v>1494</v>
      </c>
      <c r="E52" s="861"/>
      <c r="F52" s="965">
        <v>2120</v>
      </c>
      <c r="G52" s="965">
        <v>2100</v>
      </c>
      <c r="H52" s="966">
        <v>0</v>
      </c>
      <c r="I52" s="965">
        <v>50</v>
      </c>
      <c r="J52" s="965">
        <v>50</v>
      </c>
      <c r="K52" s="965">
        <v>50</v>
      </c>
      <c r="L52" s="965">
        <v>49</v>
      </c>
      <c r="M52" s="990" t="s">
        <v>2394</v>
      </c>
      <c r="N52" s="965">
        <v>22</v>
      </c>
      <c r="O52" s="966">
        <f>H25+H27+J25+J27+Q52+H18+J18</f>
        <v>2861</v>
      </c>
      <c r="P52" s="966">
        <v>0</v>
      </c>
      <c r="Q52" s="970">
        <v>0</v>
      </c>
      <c r="R52" s="965" t="s">
        <v>2483</v>
      </c>
      <c r="S52" s="965" t="s">
        <v>2699</v>
      </c>
      <c r="T52" s="965"/>
      <c r="U52" s="818"/>
      <c r="V52" s="709"/>
      <c r="W52" s="709"/>
      <c r="X52" s="709"/>
      <c r="Y52" s="709"/>
      <c r="Z52" s="709"/>
      <c r="AA52" s="709"/>
      <c r="AB52" s="709"/>
      <c r="AC52" s="709"/>
      <c r="AD52" s="709"/>
      <c r="AE52" s="709"/>
      <c r="AF52" s="709"/>
      <c r="AG52" s="709"/>
      <c r="AH52" s="709"/>
      <c r="AI52" s="709"/>
      <c r="AJ52" s="709"/>
      <c r="AK52" s="709"/>
      <c r="AL52" s="709"/>
      <c r="AM52" s="709"/>
      <c r="AN52" s="709"/>
      <c r="AO52" s="709"/>
      <c r="AP52" s="709"/>
      <c r="BA52" s="117" t="s">
        <v>1899</v>
      </c>
      <c r="BB52" s="118">
        <f>IF(BA52="","",REPORTDATE-1)</f>
        <v>46298</v>
      </c>
      <c r="BC52" s="119" t="str">
        <f>B52</f>
        <v>SWAG-02</v>
      </c>
      <c r="BD52" s="119">
        <f t="shared" si="26"/>
        <v>22</v>
      </c>
      <c r="BE52" s="119">
        <f t="shared" si="27"/>
        <v>0</v>
      </c>
      <c r="BF52" s="119">
        <f t="shared" si="28"/>
        <v>2120</v>
      </c>
      <c r="BG52" s="119"/>
      <c r="BH52" s="119">
        <f t="shared" si="29"/>
        <v>0</v>
      </c>
      <c r="BI52" s="119">
        <f t="shared" si="30"/>
        <v>50</v>
      </c>
      <c r="BJ52" s="119">
        <f t="shared" si="31"/>
        <v>50</v>
      </c>
      <c r="BK52" s="119">
        <f t="shared" si="32"/>
        <v>50</v>
      </c>
      <c r="BL52" s="119">
        <f t="shared" si="33"/>
        <v>49</v>
      </c>
      <c r="BM52" s="898" t="str">
        <f t="shared" si="34"/>
        <v>538-3600
(FP-TA-HSS-SS)</v>
      </c>
      <c r="BN52" s="898">
        <f t="shared" si="35"/>
        <v>2861</v>
      </c>
      <c r="BO52" s="119">
        <f t="shared" si="36"/>
        <v>0</v>
      </c>
      <c r="BP52" s="119">
        <f t="shared" si="37"/>
        <v>0</v>
      </c>
      <c r="BQ52" s="119" t="str">
        <f t="shared" si="38"/>
        <v>Flowline Failure</v>
      </c>
      <c r="BR52" s="119"/>
    </row>
    <row r="53" spans="1:77" s="707" customFormat="1" ht="39.75" customHeight="1">
      <c r="B53" s="964" t="s">
        <v>2388</v>
      </c>
      <c r="C53" s="964" t="s">
        <v>1900</v>
      </c>
      <c r="D53" s="964" t="s">
        <v>1494</v>
      </c>
      <c r="E53" s="861"/>
      <c r="F53" s="965">
        <v>0</v>
      </c>
      <c r="G53" s="965">
        <v>0</v>
      </c>
      <c r="H53" s="966">
        <v>0</v>
      </c>
      <c r="I53" s="965">
        <v>0</v>
      </c>
      <c r="J53" s="965">
        <v>0</v>
      </c>
      <c r="K53" s="965">
        <v>0</v>
      </c>
      <c r="L53" s="965">
        <v>0</v>
      </c>
      <c r="M53" s="1062" t="s">
        <v>2316</v>
      </c>
      <c r="N53" s="965">
        <v>0</v>
      </c>
      <c r="O53" s="1062">
        <f>H22+J22+Q53</f>
        <v>0</v>
      </c>
      <c r="P53" s="970">
        <v>0</v>
      </c>
      <c r="Q53" s="970">
        <v>0</v>
      </c>
      <c r="R53" s="965" t="s">
        <v>2491</v>
      </c>
      <c r="S53" s="965" t="s">
        <v>2330</v>
      </c>
      <c r="T53" s="965"/>
      <c r="U53" s="818"/>
      <c r="V53" s="709"/>
      <c r="W53" s="709"/>
      <c r="X53" s="709"/>
      <c r="Y53" s="709"/>
      <c r="Z53" s="709"/>
      <c r="AA53" s="709"/>
      <c r="AB53" s="709"/>
      <c r="AC53" s="709"/>
      <c r="AD53" s="709"/>
      <c r="AE53" s="709"/>
      <c r="AF53" s="709"/>
      <c r="AG53" s="709"/>
      <c r="AH53" s="709"/>
      <c r="AI53" s="709"/>
      <c r="AJ53" s="709"/>
      <c r="AK53" s="709"/>
      <c r="AL53" s="709"/>
      <c r="AM53" s="709"/>
      <c r="AN53" s="709"/>
      <c r="AO53" s="709"/>
      <c r="AP53" s="709"/>
      <c r="BA53" s="117" t="s">
        <v>1899</v>
      </c>
      <c r="BB53" s="118">
        <f>IF(BA53="","",REPORTDATE-1)</f>
        <v>46298</v>
      </c>
      <c r="BC53" s="119" t="str">
        <f>B53</f>
        <v>OLYMPIC-N01ST</v>
      </c>
      <c r="BD53" s="119">
        <f t="shared" si="26"/>
        <v>0</v>
      </c>
      <c r="BE53" s="119">
        <f t="shared" si="27"/>
        <v>0</v>
      </c>
      <c r="BF53" s="119">
        <f t="shared" si="28"/>
        <v>0</v>
      </c>
      <c r="BG53" s="119"/>
      <c r="BH53" s="119">
        <f t="shared" si="29"/>
        <v>0</v>
      </c>
      <c r="BI53" s="119">
        <f t="shared" si="30"/>
        <v>0</v>
      </c>
      <c r="BJ53" s="119">
        <f t="shared" si="31"/>
        <v>0</v>
      </c>
      <c r="BK53" s="119">
        <f t="shared" si="32"/>
        <v>0</v>
      </c>
      <c r="BL53" s="119">
        <f t="shared" si="33"/>
        <v>0</v>
      </c>
      <c r="BM53" s="898" t="str">
        <f t="shared" si="34"/>
        <v>538-3600
(FP-TA-HSS-SS) (BORETS)</v>
      </c>
      <c r="BN53" s="898">
        <f t="shared" si="35"/>
        <v>0</v>
      </c>
      <c r="BO53" s="119">
        <f t="shared" si="36"/>
        <v>0</v>
      </c>
      <c r="BP53" s="119">
        <f t="shared" si="37"/>
        <v>0</v>
      </c>
      <c r="BQ53" s="119" t="str">
        <f t="shared" si="38"/>
        <v>Generator (Planned)</v>
      </c>
      <c r="BR53" s="119"/>
    </row>
    <row r="54" spans="1:77" s="707" customFormat="1" ht="39.75" customHeight="1">
      <c r="B54" s="964" t="s">
        <v>1706</v>
      </c>
      <c r="C54" s="964" t="s">
        <v>1900</v>
      </c>
      <c r="D54" s="964" t="s">
        <v>1494</v>
      </c>
      <c r="E54" s="861"/>
      <c r="F54" s="965">
        <v>2400</v>
      </c>
      <c r="G54" s="965">
        <v>2370</v>
      </c>
      <c r="H54" s="966">
        <v>0</v>
      </c>
      <c r="I54" s="965">
        <v>63</v>
      </c>
      <c r="J54" s="965">
        <v>63</v>
      </c>
      <c r="K54" s="965">
        <v>63</v>
      </c>
      <c r="L54" s="965">
        <v>48</v>
      </c>
      <c r="M54" s="1062" t="s">
        <v>2696</v>
      </c>
      <c r="N54" s="965">
        <v>24</v>
      </c>
      <c r="O54" s="1062">
        <f>H19+J19+Q54</f>
        <v>2491</v>
      </c>
      <c r="P54" s="970">
        <v>0</v>
      </c>
      <c r="Q54" s="970">
        <v>0</v>
      </c>
      <c r="R54" s="965"/>
      <c r="S54" s="965" t="s">
        <v>1648</v>
      </c>
      <c r="T54" s="965"/>
      <c r="U54" s="818"/>
      <c r="V54" s="709"/>
      <c r="W54" s="709"/>
      <c r="X54" s="709"/>
      <c r="Y54" s="709"/>
      <c r="Z54" s="709"/>
      <c r="AA54" s="709"/>
      <c r="AB54" s="709"/>
      <c r="AC54" s="709"/>
      <c r="AD54" s="709"/>
      <c r="AE54" s="709"/>
      <c r="AF54" s="709"/>
      <c r="AG54" s="709"/>
      <c r="AH54" s="709"/>
      <c r="AI54" s="709"/>
      <c r="AJ54" s="709"/>
      <c r="AK54" s="709"/>
      <c r="AL54" s="709"/>
      <c r="AM54" s="709"/>
      <c r="AN54" s="709"/>
      <c r="AO54" s="709"/>
      <c r="AP54" s="709"/>
      <c r="BA54" s="117" t="s">
        <v>1899</v>
      </c>
      <c r="BB54" s="118">
        <f>IF(BA54="","",REPORTDATE-1)</f>
        <v>46298</v>
      </c>
      <c r="BC54" s="119" t="str">
        <f>B54</f>
        <v>EBED-A01</v>
      </c>
      <c r="BD54" s="119">
        <f t="shared" si="26"/>
        <v>24</v>
      </c>
      <c r="BE54" s="119">
        <f t="shared" si="27"/>
        <v>0</v>
      </c>
      <c r="BF54" s="119">
        <f t="shared" si="28"/>
        <v>2400</v>
      </c>
      <c r="BG54" s="119"/>
      <c r="BH54" s="119">
        <f t="shared" si="29"/>
        <v>0</v>
      </c>
      <c r="BI54" s="119">
        <f t="shared" si="30"/>
        <v>63</v>
      </c>
      <c r="BJ54" s="119">
        <f t="shared" si="31"/>
        <v>63</v>
      </c>
      <c r="BK54" s="119">
        <f t="shared" si="32"/>
        <v>63</v>
      </c>
      <c r="BL54" s="119">
        <f t="shared" si="33"/>
        <v>48</v>
      </c>
      <c r="BM54" s="898" t="str">
        <f t="shared" si="34"/>
        <v>WE-5500 
(CMP, AR B, HS, FH, SSHB)</v>
      </c>
      <c r="BN54" s="898">
        <f t="shared" si="35"/>
        <v>2491</v>
      </c>
      <c r="BO54" s="119">
        <f t="shared" si="36"/>
        <v>0</v>
      </c>
      <c r="BP54" s="119">
        <f t="shared" si="37"/>
        <v>0</v>
      </c>
      <c r="BQ54" s="119">
        <f t="shared" si="38"/>
        <v>0</v>
      </c>
      <c r="BR54" s="119"/>
    </row>
    <row r="55" spans="1:77" s="707" customFormat="1" ht="39.75" customHeight="1">
      <c r="B55" s="964" t="s">
        <v>2387</v>
      </c>
      <c r="C55" s="964" t="s">
        <v>1900</v>
      </c>
      <c r="D55" s="964" t="s">
        <v>18</v>
      </c>
      <c r="E55" s="861"/>
      <c r="F55" s="965">
        <v>0</v>
      </c>
      <c r="G55" s="965">
        <v>0</v>
      </c>
      <c r="H55" s="966">
        <v>0</v>
      </c>
      <c r="I55" s="965">
        <v>0</v>
      </c>
      <c r="J55" s="965">
        <v>0</v>
      </c>
      <c r="K55" s="965">
        <v>0</v>
      </c>
      <c r="L55" s="965">
        <v>0</v>
      </c>
      <c r="M55" s="1062" t="s">
        <v>2636</v>
      </c>
      <c r="N55" s="965">
        <v>0</v>
      </c>
      <c r="O55" s="1062">
        <v>0</v>
      </c>
      <c r="P55" s="970">
        <v>0</v>
      </c>
      <c r="Q55" s="970">
        <v>0</v>
      </c>
      <c r="R55" s="875" t="s">
        <v>2559</v>
      </c>
      <c r="S55" s="989" t="s">
        <v>2651</v>
      </c>
      <c r="T55" s="965"/>
      <c r="U55" s="818"/>
      <c r="V55" s="709"/>
      <c r="W55" s="709"/>
      <c r="X55" s="709"/>
      <c r="Y55" s="709"/>
      <c r="Z55" s="709"/>
      <c r="AA55" s="709"/>
      <c r="AB55" s="709"/>
      <c r="AC55" s="709"/>
      <c r="AD55" s="709"/>
      <c r="AE55" s="709"/>
      <c r="AF55" s="709"/>
      <c r="AG55" s="709"/>
      <c r="AH55" s="709"/>
      <c r="AI55" s="709"/>
      <c r="AJ55" s="709"/>
      <c r="AK55" s="709"/>
      <c r="AL55" s="709"/>
      <c r="AM55" s="709"/>
      <c r="AN55" s="709"/>
      <c r="AO55" s="709"/>
      <c r="AP55" s="709"/>
      <c r="BA55" s="117" t="s">
        <v>1899</v>
      </c>
      <c r="BB55" s="118">
        <f t="shared" si="23"/>
        <v>46298</v>
      </c>
      <c r="BC55" s="119" t="str">
        <f t="shared" si="24"/>
        <v>OAKHIL-01</v>
      </c>
      <c r="BD55" s="119">
        <f t="shared" si="26"/>
        <v>0</v>
      </c>
      <c r="BE55" s="119">
        <f t="shared" si="27"/>
        <v>0</v>
      </c>
      <c r="BF55" s="119">
        <f t="shared" si="28"/>
        <v>0</v>
      </c>
      <c r="BG55" s="119"/>
      <c r="BH55" s="119">
        <f t="shared" si="29"/>
        <v>0</v>
      </c>
      <c r="BI55" s="119">
        <f t="shared" si="30"/>
        <v>0</v>
      </c>
      <c r="BJ55" s="119">
        <f t="shared" si="31"/>
        <v>0</v>
      </c>
      <c r="BK55" s="119">
        <f t="shared" si="32"/>
        <v>0</v>
      </c>
      <c r="BL55" s="119">
        <f t="shared" si="33"/>
        <v>0</v>
      </c>
      <c r="BM55" s="898" t="str">
        <f t="shared" si="34"/>
        <v>538-2600M
(PK-TA-HSS)</v>
      </c>
      <c r="BN55" s="898">
        <f t="shared" si="35"/>
        <v>0</v>
      </c>
      <c r="BO55" s="119">
        <f t="shared" si="36"/>
        <v>0</v>
      </c>
      <c r="BP55" s="119">
        <f t="shared" si="37"/>
        <v>0</v>
      </c>
      <c r="BQ55" s="119" t="str">
        <f t="shared" si="38"/>
        <v>Reservoir Study/Management</v>
      </c>
      <c r="BR55" s="119"/>
    </row>
    <row r="56" spans="1:77" s="707" customFormat="1" ht="39.75" customHeight="1">
      <c r="B56" s="964" t="s">
        <v>1602</v>
      </c>
      <c r="C56" s="964" t="s">
        <v>1900</v>
      </c>
      <c r="D56" s="964" t="s">
        <v>1494</v>
      </c>
      <c r="E56" s="967"/>
      <c r="F56" s="965">
        <v>2350</v>
      </c>
      <c r="G56" s="965">
        <v>2340</v>
      </c>
      <c r="H56" s="966">
        <v>0</v>
      </c>
      <c r="I56" s="965">
        <v>65</v>
      </c>
      <c r="J56" s="965">
        <v>65</v>
      </c>
      <c r="K56" s="965">
        <v>65</v>
      </c>
      <c r="L56" s="965">
        <v>96</v>
      </c>
      <c r="M56" s="1062" t="s">
        <v>2649</v>
      </c>
      <c r="N56" s="965">
        <v>24</v>
      </c>
      <c r="O56" s="1061">
        <f>H38+H39+H40+H20+H28+J20+J28+J38+J39+J40+Q56+H29+H21+J21</f>
        <v>5792</v>
      </c>
      <c r="P56" s="964">
        <v>0</v>
      </c>
      <c r="Q56" s="964">
        <v>0</v>
      </c>
      <c r="R56" s="965"/>
      <c r="S56" s="989" t="s">
        <v>2693</v>
      </c>
      <c r="T56" s="965"/>
      <c r="U56" s="818"/>
      <c r="V56" s="709"/>
      <c r="W56" s="709"/>
      <c r="X56" s="709"/>
      <c r="Y56" s="709"/>
      <c r="Z56" s="709"/>
      <c r="AA56" s="709"/>
      <c r="AB56" s="709"/>
      <c r="AC56" s="709"/>
      <c r="AD56" s="709"/>
      <c r="AE56" s="709"/>
      <c r="AF56" s="709"/>
      <c r="AG56" s="709"/>
      <c r="AH56" s="709"/>
      <c r="AI56" s="709"/>
      <c r="AJ56" s="709"/>
      <c r="AK56" s="709"/>
      <c r="AL56" s="709"/>
      <c r="AM56" s="709"/>
      <c r="AN56" s="709"/>
      <c r="AO56" s="709"/>
      <c r="AP56" s="709"/>
      <c r="BA56" s="117" t="s">
        <v>1899</v>
      </c>
      <c r="BB56" s="118">
        <f t="shared" si="23"/>
        <v>46298</v>
      </c>
      <c r="BC56" s="119" t="str">
        <f t="shared" si="24"/>
        <v>REDSTONE-01</v>
      </c>
      <c r="BD56" s="119">
        <f t="shared" si="26"/>
        <v>24</v>
      </c>
      <c r="BE56" s="119">
        <f t="shared" si="27"/>
        <v>0</v>
      </c>
      <c r="BF56" s="119">
        <f t="shared" si="28"/>
        <v>2350</v>
      </c>
      <c r="BG56" s="119"/>
      <c r="BH56" s="119">
        <f t="shared" si="29"/>
        <v>0</v>
      </c>
      <c r="BI56" s="119">
        <f t="shared" si="30"/>
        <v>65</v>
      </c>
      <c r="BJ56" s="119">
        <f t="shared" si="31"/>
        <v>65</v>
      </c>
      <c r="BK56" s="119">
        <f t="shared" si="32"/>
        <v>65</v>
      </c>
      <c r="BL56" s="119">
        <f t="shared" si="33"/>
        <v>96</v>
      </c>
      <c r="BM56" s="898" t="str">
        <f t="shared" si="34"/>
        <v xml:space="preserve">538-9000
(CP-TA-HSS-SS) </v>
      </c>
      <c r="BN56" s="898">
        <f t="shared" si="35"/>
        <v>5792</v>
      </c>
      <c r="BO56" s="119">
        <f t="shared" si="36"/>
        <v>0</v>
      </c>
      <c r="BP56" s="119">
        <f t="shared" si="37"/>
        <v>0</v>
      </c>
      <c r="BQ56" s="119">
        <f t="shared" si="38"/>
        <v>0</v>
      </c>
      <c r="BR56" s="119"/>
    </row>
    <row r="57" spans="1:77" s="707" customFormat="1" ht="39.75" customHeight="1">
      <c r="B57" s="964" t="s">
        <v>2392</v>
      </c>
      <c r="C57" s="964" t="s">
        <v>1900</v>
      </c>
      <c r="D57" s="964" t="s">
        <v>1494</v>
      </c>
      <c r="E57" s="861"/>
      <c r="F57" s="965">
        <v>1550</v>
      </c>
      <c r="G57" s="965">
        <v>1540</v>
      </c>
      <c r="H57" s="966">
        <v>0</v>
      </c>
      <c r="I57" s="965">
        <v>65.5</v>
      </c>
      <c r="J57" s="965">
        <v>65.5</v>
      </c>
      <c r="K57" s="965">
        <v>65.5</v>
      </c>
      <c r="L57" s="965">
        <v>44</v>
      </c>
      <c r="M57" s="1062" t="s">
        <v>2403</v>
      </c>
      <c r="N57" s="965">
        <v>24</v>
      </c>
      <c r="O57" s="1062">
        <f>H35+H36+H37</f>
        <v>6006</v>
      </c>
      <c r="P57" s="970">
        <v>0</v>
      </c>
      <c r="Q57" s="970">
        <v>0</v>
      </c>
      <c r="R57" s="965"/>
      <c r="S57" s="965" t="s">
        <v>2619</v>
      </c>
      <c r="T57" s="965"/>
      <c r="U57" s="818"/>
      <c r="V57" s="709"/>
      <c r="W57" s="709"/>
      <c r="X57" s="709"/>
      <c r="Y57" s="709"/>
      <c r="Z57" s="709"/>
      <c r="AA57" s="709"/>
      <c r="AB57" s="709"/>
      <c r="AC57" s="709"/>
      <c r="AD57" s="709"/>
      <c r="AE57" s="709"/>
      <c r="AF57" s="709"/>
      <c r="AG57" s="709"/>
      <c r="AH57" s="709"/>
      <c r="AI57" s="709"/>
      <c r="AJ57" s="709"/>
      <c r="AK57" s="709"/>
      <c r="AL57" s="709"/>
      <c r="AM57" s="709"/>
      <c r="AN57" s="709"/>
      <c r="AO57" s="709"/>
      <c r="AP57" s="709"/>
      <c r="BA57" s="117" t="s">
        <v>1899</v>
      </c>
      <c r="BB57" s="118">
        <f>IF(BA57="","",REPORTDATE-1)</f>
        <v>46298</v>
      </c>
      <c r="BC57" s="119" t="str">
        <f>B57</f>
        <v>WD-33-15-7</v>
      </c>
      <c r="BD57" s="119">
        <f t="shared" si="26"/>
        <v>24</v>
      </c>
      <c r="BE57" s="119">
        <f t="shared" si="27"/>
        <v>0</v>
      </c>
      <c r="BF57" s="119">
        <f t="shared" si="28"/>
        <v>1550</v>
      </c>
      <c r="BG57" s="119"/>
      <c r="BH57" s="119">
        <f t="shared" si="29"/>
        <v>0</v>
      </c>
      <c r="BI57" s="119">
        <f t="shared" si="30"/>
        <v>65.5</v>
      </c>
      <c r="BJ57" s="119">
        <f t="shared" si="31"/>
        <v>65.5</v>
      </c>
      <c r="BK57" s="119">
        <f t="shared" si="32"/>
        <v>65.5</v>
      </c>
      <c r="BL57" s="119">
        <f t="shared" si="33"/>
        <v>44</v>
      </c>
      <c r="BM57" s="898" t="str">
        <f t="shared" si="34"/>
        <v>538-7000
(PK-TA-HSS-SS) (BORETS)</v>
      </c>
      <c r="BN57" s="898">
        <f t="shared" si="35"/>
        <v>6006</v>
      </c>
      <c r="BO57" s="119">
        <f t="shared" si="36"/>
        <v>0</v>
      </c>
      <c r="BP57" s="119">
        <f t="shared" si="37"/>
        <v>0</v>
      </c>
      <c r="BQ57" s="119">
        <f t="shared" si="38"/>
        <v>0</v>
      </c>
      <c r="BR57" s="119"/>
    </row>
    <row r="58" spans="1:77" s="707" customFormat="1" ht="39.75" customHeight="1">
      <c r="B58" s="964" t="s">
        <v>2626</v>
      </c>
      <c r="C58" s="964" t="s">
        <v>1900</v>
      </c>
      <c r="D58" s="964" t="s">
        <v>1494</v>
      </c>
      <c r="E58" s="861"/>
      <c r="F58" s="965">
        <v>1230</v>
      </c>
      <c r="G58" s="965">
        <v>1210</v>
      </c>
      <c r="H58" s="966">
        <v>0</v>
      </c>
      <c r="I58" s="965">
        <v>68</v>
      </c>
      <c r="J58" s="965">
        <v>68</v>
      </c>
      <c r="K58" s="965">
        <v>68</v>
      </c>
      <c r="L58" s="965">
        <v>49.7</v>
      </c>
      <c r="M58" s="1062" t="s">
        <v>2615</v>
      </c>
      <c r="N58" s="965">
        <v>22</v>
      </c>
      <c r="O58" s="1062">
        <f>H41+H42+H43+J41+J42+J43+Q58</f>
        <v>4119</v>
      </c>
      <c r="P58" s="970">
        <v>0</v>
      </c>
      <c r="Q58" s="970">
        <v>0</v>
      </c>
      <c r="R58" s="965" t="s">
        <v>2491</v>
      </c>
      <c r="S58" s="965" t="s">
        <v>2715</v>
      </c>
      <c r="T58" s="965"/>
      <c r="U58" s="818"/>
      <c r="V58" s="709"/>
      <c r="W58" s="709"/>
      <c r="X58" s="709"/>
      <c r="Y58" s="709"/>
      <c r="Z58" s="709"/>
      <c r="AA58" s="709"/>
      <c r="AB58" s="709"/>
      <c r="AC58" s="709"/>
      <c r="AD58" s="709"/>
      <c r="AE58" s="709"/>
      <c r="AF58" s="709"/>
      <c r="AG58" s="709"/>
      <c r="AH58" s="709"/>
      <c r="AI58" s="709"/>
      <c r="AJ58" s="709"/>
      <c r="AK58" s="709"/>
      <c r="AL58" s="709"/>
      <c r="AM58" s="709"/>
      <c r="AN58" s="709"/>
      <c r="AO58" s="709"/>
      <c r="AP58" s="709"/>
      <c r="BA58" s="117" t="s">
        <v>1899</v>
      </c>
      <c r="BB58" s="118">
        <f>IF(BA58="","",REPORTDATE-1)</f>
        <v>46298</v>
      </c>
      <c r="BC58" s="119" t="str">
        <f>B58</f>
        <v>WD33-N01</v>
      </c>
      <c r="BD58" s="119">
        <f t="shared" si="26"/>
        <v>22</v>
      </c>
      <c r="BE58" s="119">
        <f t="shared" si="27"/>
        <v>0</v>
      </c>
      <c r="BF58" s="119">
        <f t="shared" si="28"/>
        <v>1230</v>
      </c>
      <c r="BG58" s="119"/>
      <c r="BH58" s="119">
        <f t="shared" si="29"/>
        <v>0</v>
      </c>
      <c r="BI58" s="119">
        <f t="shared" si="30"/>
        <v>68</v>
      </c>
      <c r="BJ58" s="119">
        <f t="shared" si="31"/>
        <v>68</v>
      </c>
      <c r="BK58" s="119">
        <f t="shared" si="32"/>
        <v>68</v>
      </c>
      <c r="BL58" s="119">
        <f t="shared" si="33"/>
        <v>49.7</v>
      </c>
      <c r="BM58" s="898" t="str">
        <f t="shared" si="34"/>
        <v>538-5000 
(PK-TA-HSS)</v>
      </c>
      <c r="BN58" s="898">
        <f t="shared" si="35"/>
        <v>4119</v>
      </c>
      <c r="BO58" s="119">
        <f t="shared" si="36"/>
        <v>0</v>
      </c>
      <c r="BP58" s="119">
        <f t="shared" si="37"/>
        <v>0</v>
      </c>
      <c r="BQ58" s="119" t="str">
        <f t="shared" si="38"/>
        <v>Generator (Planned)</v>
      </c>
      <c r="BR58" s="119"/>
    </row>
    <row r="59" spans="1:77" s="707" customFormat="1" ht="18.75" customHeight="1">
      <c r="B59" s="964" t="s">
        <v>1670</v>
      </c>
      <c r="C59" s="964" t="s">
        <v>1900</v>
      </c>
      <c r="D59" s="964" t="s">
        <v>1494</v>
      </c>
      <c r="E59" s="967" t="s">
        <v>1701</v>
      </c>
      <c r="F59" s="965">
        <v>1540</v>
      </c>
      <c r="G59" s="965">
        <v>1520</v>
      </c>
      <c r="H59" s="966">
        <v>0</v>
      </c>
      <c r="I59" s="965">
        <v>38.299999999999997</v>
      </c>
      <c r="J59" s="965">
        <v>38.299999999999997</v>
      </c>
      <c r="K59" s="965">
        <v>38.299999999999997</v>
      </c>
      <c r="L59" s="965">
        <v>50</v>
      </c>
      <c r="M59" s="1061" t="s">
        <v>2264</v>
      </c>
      <c r="N59" s="965">
        <v>24</v>
      </c>
      <c r="O59" s="1061">
        <f>H33+H31+H34+J34+J33+J31+Q59+H32+J32</f>
        <v>1287</v>
      </c>
      <c r="P59" s="964">
        <v>0</v>
      </c>
      <c r="Q59" s="964">
        <v>0</v>
      </c>
      <c r="R59" s="965"/>
      <c r="S59" s="965" t="s">
        <v>2718</v>
      </c>
      <c r="T59" s="965"/>
      <c r="U59" s="818"/>
      <c r="V59" s="709"/>
      <c r="W59" s="709"/>
      <c r="X59" s="709"/>
      <c r="Y59" s="709"/>
      <c r="Z59" s="709"/>
      <c r="AA59" s="709"/>
      <c r="AB59" s="709"/>
      <c r="AC59" s="709"/>
      <c r="AD59" s="709"/>
      <c r="AE59" s="709"/>
      <c r="AF59" s="709"/>
      <c r="AG59" s="709"/>
      <c r="AH59" s="709"/>
      <c r="AI59" s="709"/>
      <c r="AJ59" s="709"/>
      <c r="AK59" s="709"/>
      <c r="AL59" s="709"/>
      <c r="AM59" s="709"/>
      <c r="AN59" s="709"/>
      <c r="AO59" s="709"/>
      <c r="AP59" s="709"/>
      <c r="BA59" s="117" t="s">
        <v>1899</v>
      </c>
      <c r="BB59" s="118">
        <f t="shared" si="23"/>
        <v>46298</v>
      </c>
      <c r="BC59" s="119" t="str">
        <f t="shared" si="24"/>
        <v>WD33-08</v>
      </c>
      <c r="BD59" s="119">
        <f t="shared" si="26"/>
        <v>24</v>
      </c>
      <c r="BE59" s="119" t="str">
        <f t="shared" si="27"/>
        <v>F.O</v>
      </c>
      <c r="BF59" s="119">
        <f t="shared" si="28"/>
        <v>1540</v>
      </c>
      <c r="BG59" s="119"/>
      <c r="BH59" s="119">
        <f t="shared" si="29"/>
        <v>0</v>
      </c>
      <c r="BI59" s="119">
        <f t="shared" si="30"/>
        <v>38.299999999999997</v>
      </c>
      <c r="BJ59" s="119">
        <f t="shared" si="31"/>
        <v>38.299999999999997</v>
      </c>
      <c r="BK59" s="119">
        <f t="shared" si="32"/>
        <v>38.299999999999997</v>
      </c>
      <c r="BL59" s="119">
        <f t="shared" si="33"/>
        <v>50</v>
      </c>
      <c r="BM59" s="898" t="str">
        <f t="shared" si="34"/>
        <v>P23(PMX-SHD-H6)</v>
      </c>
      <c r="BN59" s="898">
        <f t="shared" si="35"/>
        <v>1287</v>
      </c>
      <c r="BO59" s="119">
        <f t="shared" si="36"/>
        <v>0</v>
      </c>
      <c r="BP59" s="119">
        <f t="shared" si="37"/>
        <v>0</v>
      </c>
      <c r="BQ59" s="119">
        <f t="shared" si="38"/>
        <v>0</v>
      </c>
      <c r="BR59" s="119"/>
    </row>
    <row r="60" spans="1:77" s="37" customFormat="1" ht="7.5" customHeight="1">
      <c r="A60" s="39"/>
      <c r="B60" s="38"/>
      <c r="C60" s="684"/>
      <c r="D60" s="38"/>
      <c r="E60" s="38"/>
      <c r="H60" s="39"/>
      <c r="I60" s="39"/>
      <c r="J60" s="39"/>
      <c r="K60" s="39"/>
      <c r="L60" s="39"/>
      <c r="M60" s="39"/>
      <c r="N60" s="39"/>
      <c r="O60" s="39"/>
      <c r="P60" s="39"/>
      <c r="Q60" s="39"/>
      <c r="R60" s="39"/>
      <c r="S60" s="39"/>
      <c r="T60" s="39"/>
      <c r="U60" s="39"/>
      <c r="V60" s="39"/>
      <c r="W60" s="39"/>
      <c r="X60" s="39"/>
      <c r="Y60" s="39"/>
      <c r="Z60" s="39"/>
      <c r="AA60" s="39"/>
      <c r="AB60" s="39"/>
      <c r="AC60" s="39"/>
      <c r="AD60" s="39"/>
      <c r="AE60" s="39"/>
      <c r="AF60" s="39"/>
      <c r="AG60" s="39"/>
      <c r="AH60" s="39"/>
      <c r="AI60" s="39"/>
      <c r="AJ60" s="39"/>
      <c r="AK60" s="39"/>
      <c r="AL60" s="39"/>
      <c r="AM60" s="39"/>
      <c r="AN60" s="39"/>
      <c r="AO60" s="39"/>
      <c r="AP60" s="39"/>
      <c r="AQ60" s="39"/>
      <c r="AR60" s="39"/>
      <c r="AS60" s="39"/>
      <c r="AT60" s="39"/>
      <c r="AU60" s="39"/>
      <c r="AV60" s="123"/>
      <c r="AW60" s="124"/>
      <c r="AX60" s="76"/>
      <c r="AY60" s="76"/>
      <c r="AZ60" s="76"/>
      <c r="BA60" s="125"/>
      <c r="BB60" s="125"/>
      <c r="BC60" s="76"/>
      <c r="BD60" s="76"/>
      <c r="BE60" s="125"/>
      <c r="BF60" s="125"/>
      <c r="BG60" s="125"/>
      <c r="BH60" s="125"/>
      <c r="BI60" s="125"/>
      <c r="BJ60" s="41"/>
      <c r="BK60" s="69"/>
      <c r="BL60" s="39"/>
      <c r="BM60" s="39"/>
      <c r="BN60" s="39"/>
      <c r="BO60" s="39"/>
      <c r="BP60" s="39"/>
      <c r="BQ60" s="39"/>
      <c r="BR60" s="39"/>
      <c r="BS60" s="39"/>
      <c r="BT60" s="39"/>
      <c r="BU60" s="39"/>
      <c r="BV60" s="39"/>
      <c r="BW60" s="39"/>
      <c r="BX60" s="39"/>
      <c r="BY60" s="39"/>
    </row>
    <row r="61" spans="1:77" s="37" customFormat="1" ht="21.75" customHeight="1">
      <c r="A61" s="39"/>
      <c r="B61" s="1303" t="s">
        <v>1527</v>
      </c>
      <c r="C61" s="1303"/>
      <c r="D61" s="1303"/>
      <c r="E61" s="1303"/>
      <c r="H61" s="39"/>
      <c r="I61" s="39"/>
      <c r="J61" s="39"/>
      <c r="K61" s="39"/>
      <c r="L61" s="39"/>
      <c r="M61" s="39"/>
      <c r="N61" s="39"/>
      <c r="O61" s="39"/>
      <c r="P61" s="39"/>
      <c r="Q61" s="39"/>
      <c r="R61" s="39"/>
      <c r="S61" s="39"/>
      <c r="T61" s="39"/>
      <c r="U61" s="39"/>
      <c r="V61" s="39"/>
      <c r="W61" s="39"/>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123"/>
      <c r="AW61" s="124"/>
      <c r="AX61" s="76"/>
      <c r="AY61" s="76"/>
      <c r="AZ61" s="76"/>
      <c r="BA61" s="125"/>
      <c r="BB61" s="125"/>
      <c r="BC61" s="76"/>
      <c r="BD61" s="76"/>
      <c r="BE61" s="125"/>
      <c r="BF61" s="125"/>
      <c r="BG61" s="125"/>
      <c r="BH61" s="125"/>
      <c r="BI61" s="125"/>
      <c r="BJ61" s="41"/>
      <c r="BK61" s="69"/>
      <c r="BL61" s="39"/>
      <c r="BM61" s="39"/>
      <c r="BN61" s="39"/>
      <c r="BO61" s="39"/>
      <c r="BP61" s="39"/>
      <c r="BQ61" s="39"/>
      <c r="BR61" s="39"/>
      <c r="BS61" s="39"/>
      <c r="BT61" s="39"/>
      <c r="BU61" s="39"/>
      <c r="BV61" s="39"/>
      <c r="BW61" s="39"/>
      <c r="BX61" s="39"/>
      <c r="BY61" s="39"/>
    </row>
    <row r="62" spans="1:77" s="37" customFormat="1" ht="30.75" customHeight="1">
      <c r="A62" s="39"/>
      <c r="B62" s="673" t="s">
        <v>28</v>
      </c>
      <c r="C62" s="57" t="s">
        <v>1522</v>
      </c>
      <c r="D62" s="661" t="s">
        <v>1523</v>
      </c>
      <c r="E62" s="661" t="s">
        <v>1528</v>
      </c>
      <c r="G62" s="673" t="s">
        <v>28</v>
      </c>
      <c r="H62" s="57" t="s">
        <v>1694</v>
      </c>
      <c r="I62" s="661" t="s">
        <v>1695</v>
      </c>
      <c r="J62" s="661"/>
      <c r="K62" s="661" t="s">
        <v>1528</v>
      </c>
      <c r="L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123"/>
      <c r="AW62" s="124"/>
      <c r="AX62" s="76"/>
      <c r="AY62" s="76"/>
      <c r="AZ62" s="76"/>
      <c r="BA62" s="125"/>
      <c r="BB62" s="125"/>
      <c r="BC62" s="76"/>
      <c r="BD62" s="76"/>
      <c r="BE62" s="125"/>
      <c r="BG62" s="125"/>
      <c r="BH62" s="125"/>
      <c r="BL62" s="39"/>
      <c r="BP62" s="39"/>
      <c r="BQ62" s="39"/>
      <c r="BR62" s="39"/>
      <c r="BS62" s="39"/>
      <c r="BT62" s="39"/>
      <c r="BU62" s="39"/>
      <c r="BV62" s="39"/>
      <c r="BW62" s="39"/>
      <c r="BX62" s="39"/>
      <c r="BY62" s="39"/>
    </row>
    <row r="63" spans="1:77" s="37" customFormat="1" ht="24" customHeight="1">
      <c r="A63" s="39"/>
      <c r="B63" s="667" t="s">
        <v>1524</v>
      </c>
      <c r="C63" s="674">
        <f>'DATA INPUT'!M10</f>
        <v>54050</v>
      </c>
      <c r="D63" s="675">
        <f>'DATA INPUT'!N10</f>
        <v>49398</v>
      </c>
      <c r="E63" s="675">
        <f>D63-C63</f>
        <v>-4652</v>
      </c>
      <c r="F63" s="38"/>
      <c r="G63" s="667" t="s">
        <v>1334</v>
      </c>
      <c r="H63" s="674">
        <f>SUM(I8:I15)</f>
        <v>0</v>
      </c>
      <c r="I63" s="675">
        <f>SUM(H8:H15)</f>
        <v>0</v>
      </c>
      <c r="J63" s="675"/>
      <c r="K63" s="675">
        <f>SUM(I63-H63)</f>
        <v>0</v>
      </c>
      <c r="L63" s="39"/>
      <c r="O63" s="39"/>
      <c r="P63" s="39"/>
      <c r="Q63" s="39"/>
      <c r="R63" s="39"/>
      <c r="U63" s="39"/>
      <c r="V63" s="39"/>
      <c r="W63" s="39"/>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123"/>
      <c r="AW63" s="124"/>
      <c r="AX63" s="76"/>
      <c r="AY63" s="76"/>
      <c r="AZ63" s="76"/>
      <c r="BA63" s="125"/>
      <c r="BB63" s="125"/>
      <c r="BC63" s="125"/>
      <c r="BD63" s="125"/>
      <c r="BE63" s="125"/>
      <c r="BG63" s="125"/>
      <c r="BH63" s="125"/>
      <c r="BL63" s="39"/>
      <c r="BP63" s="39"/>
      <c r="BQ63" s="39"/>
      <c r="BR63" s="39"/>
      <c r="BS63" s="39"/>
      <c r="BT63" s="39"/>
      <c r="BU63" s="39"/>
      <c r="BV63" s="39"/>
      <c r="BW63" s="39"/>
      <c r="BX63" s="39"/>
      <c r="BY63" s="39"/>
    </row>
    <row r="64" spans="1:77" s="37" customFormat="1" ht="24" customHeight="1">
      <c r="A64" s="39"/>
      <c r="B64" s="667" t="s">
        <v>1526</v>
      </c>
      <c r="C64" s="674">
        <f>'DATA INPUT'!M12</f>
        <v>10600</v>
      </c>
      <c r="D64" s="675">
        <f>'DATA INPUT'!N12</f>
        <v>6591</v>
      </c>
      <c r="E64" s="675">
        <f>D64-C64</f>
        <v>-4009</v>
      </c>
      <c r="F64" s="38"/>
      <c r="G64" s="668" t="s">
        <v>1329</v>
      </c>
      <c r="H64" s="757">
        <f>SUM(I3:I4)</f>
        <v>1500</v>
      </c>
      <c r="I64" s="758">
        <f>SUM(H3:H4)</f>
        <v>1531</v>
      </c>
      <c r="J64" s="758"/>
      <c r="K64" s="758">
        <f>SUM(I64-H64)</f>
        <v>31</v>
      </c>
      <c r="L64" s="39"/>
      <c r="O64" s="39"/>
      <c r="P64" s="39"/>
      <c r="Q64" s="39"/>
      <c r="R64" s="39"/>
      <c r="U64" s="39"/>
      <c r="V64" s="39"/>
      <c r="W64" s="39"/>
      <c r="X64" s="39"/>
      <c r="Y64" s="39"/>
      <c r="Z64" s="39"/>
      <c r="AA64" s="39"/>
      <c r="AB64" s="39"/>
      <c r="AC64" s="39"/>
      <c r="AD64" s="39"/>
      <c r="AE64" s="39"/>
      <c r="AF64" s="39"/>
      <c r="AG64" s="39"/>
      <c r="AH64" s="39"/>
      <c r="AI64" s="39"/>
      <c r="AJ64" s="39"/>
      <c r="AK64" s="39"/>
      <c r="AL64" s="39"/>
      <c r="AM64" s="39"/>
      <c r="AN64" s="39"/>
      <c r="AO64" s="39"/>
      <c r="AP64" s="39"/>
      <c r="AQ64" s="39"/>
      <c r="AR64" s="39"/>
      <c r="AS64" s="39"/>
      <c r="AT64" s="39"/>
      <c r="AU64" s="39"/>
      <c r="AV64" s="123"/>
      <c r="AW64" s="124"/>
      <c r="AX64" s="76"/>
      <c r="AY64" s="76"/>
      <c r="AZ64" s="76"/>
      <c r="BA64" s="125"/>
      <c r="BB64" s="125"/>
      <c r="BC64" s="125"/>
      <c r="BD64" s="125"/>
      <c r="BE64" s="125"/>
      <c r="BG64" s="125"/>
      <c r="BH64" s="125"/>
      <c r="BL64" s="39"/>
      <c r="BP64" s="39"/>
      <c r="BQ64" s="39"/>
      <c r="BR64" s="39"/>
      <c r="BS64" s="39"/>
      <c r="BT64" s="39"/>
      <c r="BU64" s="39"/>
      <c r="BV64" s="39"/>
      <c r="BW64" s="39"/>
      <c r="BX64" s="39"/>
      <c r="BY64" s="39"/>
    </row>
    <row r="65" spans="1:77" s="37" customFormat="1" ht="24" customHeight="1">
      <c r="A65" s="39"/>
      <c r="B65" s="749" t="s">
        <v>1688</v>
      </c>
      <c r="C65" s="750">
        <f>SUM(C63:C64)</f>
        <v>64650</v>
      </c>
      <c r="D65" s="751">
        <f>SUM(D63:D64)</f>
        <v>55989</v>
      </c>
      <c r="E65" s="751">
        <f>SUM(E63:E64)</f>
        <v>-8661</v>
      </c>
      <c r="F65" s="38"/>
      <c r="G65" s="38"/>
      <c r="H65" s="39"/>
      <c r="I65" s="39"/>
      <c r="J65" s="39"/>
      <c r="K65" s="39"/>
      <c r="L65" s="39"/>
      <c r="O65" s="39"/>
      <c r="P65" s="39"/>
      <c r="Q65" s="39"/>
      <c r="R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123"/>
      <c r="AW65" s="124"/>
      <c r="AX65" s="76"/>
      <c r="AY65" s="76"/>
      <c r="AZ65" s="76"/>
      <c r="BA65" s="125"/>
      <c r="BB65" s="125"/>
      <c r="BC65" s="125"/>
      <c r="BD65" s="125"/>
      <c r="BE65" s="125"/>
      <c r="BG65" s="125"/>
      <c r="BH65" s="125"/>
      <c r="BL65" s="39"/>
      <c r="BP65" s="39"/>
      <c r="BQ65" s="39"/>
      <c r="BR65" s="39"/>
      <c r="BS65" s="39"/>
      <c r="BT65" s="39"/>
      <c r="BU65" s="39"/>
      <c r="BV65" s="39"/>
      <c r="BW65" s="39"/>
      <c r="BX65" s="39"/>
      <c r="BY65" s="39"/>
    </row>
    <row r="66" spans="1:77" s="37" customFormat="1" ht="24" customHeight="1">
      <c r="A66" s="39"/>
      <c r="B66" s="667" t="s">
        <v>1334</v>
      </c>
      <c r="C66" s="674">
        <f>SUM(I8:I18)-I16-I17+I23-I18</f>
        <v>1250</v>
      </c>
      <c r="D66" s="675">
        <f>SUM(H8:H18)-H16-H17+H23-H18</f>
        <v>770</v>
      </c>
      <c r="E66" s="675">
        <f t="shared" ref="E66:E76" si="39">D66-C66</f>
        <v>-480</v>
      </c>
      <c r="F66" s="38"/>
      <c r="G66" s="38"/>
      <c r="H66" s="39"/>
      <c r="I66" s="39"/>
      <c r="J66" s="39"/>
      <c r="K66" s="39"/>
      <c r="L66" s="39"/>
      <c r="O66" s="39"/>
      <c r="P66" s="39"/>
      <c r="Q66" s="39"/>
      <c r="R66" s="39"/>
      <c r="U66" s="39"/>
      <c r="V66" s="39"/>
      <c r="W66" s="39"/>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123"/>
      <c r="AW66" s="124"/>
      <c r="AX66" s="76"/>
      <c r="AY66" s="76"/>
      <c r="AZ66" s="76"/>
      <c r="BA66" s="125"/>
      <c r="BB66" s="125"/>
      <c r="BC66" s="125"/>
      <c r="BD66" s="125"/>
      <c r="BE66" s="125"/>
      <c r="BG66" s="125"/>
      <c r="BH66" s="125"/>
      <c r="BL66" s="39"/>
      <c r="BP66" s="39"/>
      <c r="BQ66" s="39"/>
      <c r="BR66" s="39"/>
      <c r="BS66" s="39"/>
      <c r="BT66" s="39"/>
      <c r="BU66" s="39"/>
      <c r="BV66" s="39"/>
      <c r="BW66" s="39"/>
      <c r="BX66" s="39"/>
      <c r="BY66" s="39"/>
    </row>
    <row r="67" spans="1:77" s="37" customFormat="1" ht="24" customHeight="1">
      <c r="A67" s="39"/>
      <c r="B67" s="667" t="s">
        <v>1327</v>
      </c>
      <c r="C67" s="674">
        <f>SUM(I16:I17)</f>
        <v>4500</v>
      </c>
      <c r="D67" s="675">
        <f>SUM(H16:H17)</f>
        <v>4670</v>
      </c>
      <c r="E67" s="675">
        <f t="shared" si="39"/>
        <v>170</v>
      </c>
      <c r="F67" s="38"/>
      <c r="G67" s="38"/>
      <c r="H67" s="39"/>
      <c r="I67" s="39"/>
      <c r="J67" s="39"/>
      <c r="K67" s="39"/>
      <c r="L67" s="39"/>
      <c r="O67" s="39"/>
      <c r="P67" s="39"/>
      <c r="Q67" s="39"/>
      <c r="R67" s="39"/>
      <c r="U67" s="39"/>
      <c r="V67" s="39"/>
      <c r="W67" s="39"/>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123"/>
      <c r="AW67" s="124"/>
      <c r="AX67" s="76"/>
      <c r="AY67" s="76"/>
      <c r="AZ67" s="76"/>
      <c r="BA67" s="125"/>
      <c r="BB67" s="125"/>
      <c r="BC67" s="125"/>
      <c r="BD67" s="125"/>
      <c r="BE67" s="125"/>
      <c r="BG67" s="125"/>
      <c r="BH67" s="125"/>
      <c r="BL67" s="39"/>
      <c r="BP67" s="39"/>
      <c r="BQ67" s="39"/>
      <c r="BR67" s="39"/>
      <c r="BS67" s="39"/>
      <c r="BT67" s="39"/>
      <c r="BU67" s="39"/>
      <c r="BV67" s="39"/>
      <c r="BW67" s="39"/>
      <c r="BX67" s="39"/>
      <c r="BY67" s="39"/>
    </row>
    <row r="68" spans="1:77" s="37" customFormat="1" ht="24" customHeight="1">
      <c r="A68" s="39"/>
      <c r="B68" s="667" t="s">
        <v>1335</v>
      </c>
      <c r="C68" s="674">
        <f>+I19</f>
        <v>2500</v>
      </c>
      <c r="D68" s="674">
        <f>+H19</f>
        <v>2491</v>
      </c>
      <c r="E68" s="675">
        <f t="shared" si="39"/>
        <v>-9</v>
      </c>
      <c r="F68" s="38"/>
      <c r="G68" s="38"/>
      <c r="H68" s="39"/>
      <c r="I68" s="39"/>
      <c r="J68" s="39"/>
      <c r="K68" s="39"/>
      <c r="L68" s="39"/>
      <c r="O68" s="39"/>
      <c r="P68" s="39"/>
      <c r="Q68" s="39"/>
      <c r="R68" s="39"/>
      <c r="U68" s="39"/>
      <c r="V68" s="39"/>
      <c r="W68" s="39"/>
      <c r="X68" s="3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123"/>
      <c r="AW68" s="124"/>
      <c r="AX68" s="76"/>
      <c r="AY68" s="76"/>
      <c r="AZ68" s="76"/>
      <c r="BA68" s="125"/>
      <c r="BB68" s="125"/>
      <c r="BC68" s="125"/>
      <c r="BD68" s="125"/>
      <c r="BE68" s="125"/>
      <c r="BG68" s="125"/>
      <c r="BH68" s="125"/>
      <c r="BL68" s="39"/>
      <c r="BP68" s="39"/>
      <c r="BQ68" s="39"/>
      <c r="BR68" s="39"/>
      <c r="BS68" s="39"/>
      <c r="BT68" s="39"/>
      <c r="BU68" s="39"/>
      <c r="BV68" s="39"/>
      <c r="BW68" s="39"/>
      <c r="BX68" s="39"/>
      <c r="BY68" s="39"/>
    </row>
    <row r="69" spans="1:77" s="37" customFormat="1" ht="24" customHeight="1">
      <c r="A69" s="39"/>
      <c r="B69" s="667" t="s">
        <v>1946</v>
      </c>
      <c r="C69" s="674">
        <f>+I35+I37+I36</f>
        <v>6500</v>
      </c>
      <c r="D69" s="675">
        <f>+H35+H37+H36</f>
        <v>6006</v>
      </c>
      <c r="E69" s="675">
        <f t="shared" si="39"/>
        <v>-494</v>
      </c>
      <c r="F69" s="38"/>
      <c r="G69" s="38"/>
      <c r="H69" s="39"/>
      <c r="I69" s="39"/>
      <c r="J69" s="39"/>
      <c r="K69" s="39"/>
      <c r="L69" s="39"/>
      <c r="O69" s="39"/>
      <c r="P69" s="39"/>
      <c r="Q69" s="39"/>
      <c r="R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123"/>
      <c r="AW69" s="124"/>
      <c r="AX69" s="76"/>
      <c r="AY69" s="76"/>
      <c r="AZ69" s="76"/>
      <c r="BA69" s="125"/>
      <c r="BB69" s="125"/>
      <c r="BC69" s="125"/>
      <c r="BD69" s="125"/>
      <c r="BE69" s="125"/>
      <c r="BG69" s="125"/>
      <c r="BH69" s="125"/>
      <c r="BL69" s="39"/>
      <c r="BP69" s="39"/>
      <c r="BQ69" s="39"/>
      <c r="BR69" s="39"/>
      <c r="BS69" s="39"/>
      <c r="BT69" s="39"/>
      <c r="BU69" s="39"/>
      <c r="BV69" s="39"/>
      <c r="BW69" s="39"/>
      <c r="BX69" s="39"/>
      <c r="BY69" s="39"/>
    </row>
    <row r="70" spans="1:77" s="37" customFormat="1" ht="24" customHeight="1">
      <c r="A70" s="39"/>
      <c r="B70" s="667" t="s">
        <v>2341</v>
      </c>
      <c r="C70" s="674">
        <f>+I20+I21</f>
        <v>2200</v>
      </c>
      <c r="D70" s="674">
        <f>+H20+H21</f>
        <v>2048</v>
      </c>
      <c r="E70" s="675">
        <f t="shared" si="39"/>
        <v>-152</v>
      </c>
      <c r="F70" s="38"/>
      <c r="G70" s="38"/>
      <c r="H70" s="39"/>
      <c r="I70" s="39"/>
      <c r="J70" s="39"/>
      <c r="K70" s="39"/>
      <c r="L70" s="39"/>
      <c r="O70" s="39"/>
      <c r="P70" s="39"/>
      <c r="Q70" s="39"/>
      <c r="R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123"/>
      <c r="AW70" s="124"/>
      <c r="AX70" s="76"/>
      <c r="AY70" s="76"/>
      <c r="AZ70" s="76"/>
      <c r="BA70" s="125"/>
      <c r="BB70" s="125"/>
      <c r="BC70" s="125"/>
      <c r="BD70" s="125"/>
      <c r="BE70" s="125"/>
      <c r="BG70" s="125"/>
      <c r="BH70" s="125"/>
      <c r="BL70" s="39"/>
      <c r="BP70" s="39"/>
      <c r="BQ70" s="39"/>
      <c r="BR70" s="39"/>
      <c r="BS70" s="39"/>
      <c r="BT70" s="39"/>
      <c r="BU70" s="39"/>
      <c r="BV70" s="39"/>
      <c r="BW70" s="39"/>
      <c r="BX70" s="39"/>
      <c r="BY70" s="39"/>
    </row>
    <row r="71" spans="1:77" s="37" customFormat="1" ht="24" customHeight="1">
      <c r="A71" s="39"/>
      <c r="B71" s="667" t="s">
        <v>1690</v>
      </c>
      <c r="C71" s="674">
        <f>SUM(I24:I27)</f>
        <v>2600</v>
      </c>
      <c r="D71" s="674">
        <f>SUM(H24:H27)</f>
        <v>1816</v>
      </c>
      <c r="E71" s="675">
        <f t="shared" si="39"/>
        <v>-784</v>
      </c>
      <c r="F71" s="38"/>
      <c r="G71" s="38"/>
      <c r="H71" s="39"/>
      <c r="I71" s="39"/>
      <c r="J71" s="39"/>
      <c r="K71" s="39"/>
      <c r="L71" s="39"/>
      <c r="O71" s="39"/>
      <c r="P71" s="39"/>
      <c r="Q71" s="39"/>
      <c r="R71" s="39"/>
      <c r="U71" s="39"/>
      <c r="V71" s="39"/>
      <c r="W71" s="39"/>
      <c r="X71" s="39"/>
      <c r="Y71" s="39"/>
      <c r="Z71" s="39"/>
      <c r="AA71" s="39"/>
      <c r="AB71" s="39"/>
      <c r="AC71" s="39"/>
      <c r="AD71" s="39"/>
      <c r="AE71" s="39"/>
      <c r="AF71" s="39"/>
      <c r="AG71" s="39"/>
      <c r="AH71" s="39"/>
      <c r="AI71" s="39"/>
      <c r="AJ71" s="39"/>
      <c r="AK71" s="39"/>
      <c r="AL71" s="39"/>
      <c r="AM71" s="39"/>
      <c r="AN71" s="39"/>
      <c r="AO71" s="39"/>
      <c r="AP71" s="39"/>
      <c r="AQ71" s="39"/>
      <c r="AR71" s="39"/>
      <c r="AS71" s="39"/>
      <c r="AT71" s="39"/>
      <c r="AU71" s="39"/>
      <c r="AV71" s="123"/>
      <c r="AW71" s="124"/>
      <c r="AX71" s="76"/>
      <c r="AY71" s="76"/>
      <c r="AZ71" s="76"/>
      <c r="BA71" s="125"/>
      <c r="BB71" s="125"/>
      <c r="BC71" s="125"/>
      <c r="BD71" s="125"/>
      <c r="BE71" s="125"/>
      <c r="BG71" s="125"/>
      <c r="BH71" s="125"/>
      <c r="BL71" s="39"/>
      <c r="BP71" s="39"/>
      <c r="BQ71" s="39"/>
      <c r="BR71" s="39"/>
      <c r="BS71" s="39"/>
      <c r="BT71" s="39"/>
      <c r="BU71" s="39"/>
      <c r="BV71" s="39"/>
      <c r="BW71" s="39"/>
      <c r="BX71" s="39"/>
      <c r="BY71" s="39"/>
    </row>
    <row r="72" spans="1:77" s="37" customFormat="1" ht="24" customHeight="1">
      <c r="A72" s="39"/>
      <c r="B72" s="667" t="s">
        <v>2434</v>
      </c>
      <c r="C72" s="674">
        <f>+I41+I42</f>
        <v>4500</v>
      </c>
      <c r="D72" s="674">
        <f>+H41+H42</f>
        <v>2314</v>
      </c>
      <c r="E72" s="675">
        <f t="shared" si="39"/>
        <v>-2186</v>
      </c>
      <c r="F72" s="38"/>
      <c r="G72" s="38"/>
      <c r="H72" s="39"/>
      <c r="I72" s="39"/>
      <c r="J72" s="39"/>
      <c r="K72" s="39"/>
      <c r="L72" s="39"/>
      <c r="O72" s="39"/>
      <c r="P72" s="39"/>
      <c r="Q72" s="39"/>
      <c r="R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123"/>
      <c r="AW72" s="124"/>
      <c r="AX72" s="76"/>
      <c r="AY72" s="76"/>
      <c r="AZ72" s="76"/>
      <c r="BA72" s="125"/>
      <c r="BB72" s="125"/>
      <c r="BC72" s="125"/>
      <c r="BD72" s="125"/>
      <c r="BE72" s="125"/>
      <c r="BG72" s="125"/>
      <c r="BH72" s="125"/>
      <c r="BL72" s="39"/>
      <c r="BP72" s="39"/>
      <c r="BQ72" s="39"/>
      <c r="BR72" s="39"/>
      <c r="BS72" s="39"/>
      <c r="BT72" s="39"/>
      <c r="BU72" s="39"/>
      <c r="BV72" s="39"/>
      <c r="BW72" s="39"/>
      <c r="BX72" s="39"/>
      <c r="BY72" s="39"/>
    </row>
    <row r="73" spans="1:77" s="37" customFormat="1" ht="24" customHeight="1">
      <c r="A73" s="39"/>
      <c r="B73" s="667" t="s">
        <v>2329</v>
      </c>
      <c r="C73" s="674">
        <f>+I22</f>
        <v>1500</v>
      </c>
      <c r="D73" s="674">
        <f>+H22</f>
        <v>0</v>
      </c>
      <c r="E73" s="675">
        <f t="shared" si="39"/>
        <v>-1500</v>
      </c>
      <c r="F73" s="38"/>
      <c r="G73" s="38"/>
      <c r="H73" s="39"/>
      <c r="I73" s="39"/>
      <c r="J73" s="39"/>
      <c r="K73" s="39"/>
      <c r="L73" s="39"/>
      <c r="O73" s="39"/>
      <c r="P73" s="39"/>
      <c r="Q73" s="39"/>
      <c r="R73" s="39"/>
      <c r="U73" s="39"/>
      <c r="V73" s="39"/>
      <c r="W73" s="39"/>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123"/>
      <c r="AW73" s="124"/>
      <c r="AX73" s="76"/>
      <c r="AY73" s="76"/>
      <c r="AZ73" s="76"/>
      <c r="BA73" s="125"/>
      <c r="BB73" s="125"/>
      <c r="BC73" s="125"/>
      <c r="BD73" s="125"/>
      <c r="BE73" s="125"/>
      <c r="BG73" s="125"/>
      <c r="BH73" s="125"/>
      <c r="BL73" s="39"/>
      <c r="BP73" s="39"/>
      <c r="BQ73" s="39"/>
      <c r="BR73" s="39"/>
      <c r="BS73" s="39"/>
      <c r="BT73" s="39"/>
      <c r="BU73" s="39"/>
      <c r="BV73" s="39"/>
      <c r="BW73" s="39"/>
      <c r="BX73" s="39"/>
      <c r="BY73" s="39"/>
    </row>
    <row r="74" spans="1:77" s="37" customFormat="1" ht="24" customHeight="1">
      <c r="A74" s="39"/>
      <c r="B74" s="667" t="s">
        <v>2405</v>
      </c>
      <c r="C74" s="674">
        <f>+I39+I38+I40</f>
        <v>3500</v>
      </c>
      <c r="D74" s="979">
        <f>+H39+H38+H40</f>
        <v>2313</v>
      </c>
      <c r="E74" s="675">
        <f t="shared" si="39"/>
        <v>-1187</v>
      </c>
      <c r="F74" s="38"/>
      <c r="G74" s="38"/>
      <c r="H74" s="39"/>
      <c r="I74" s="39"/>
      <c r="J74" s="39"/>
      <c r="K74" s="39"/>
      <c r="L74" s="39"/>
      <c r="O74" s="39"/>
      <c r="P74" s="39"/>
      <c r="Q74" s="39"/>
      <c r="R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123"/>
      <c r="AW74" s="124"/>
      <c r="AX74" s="76"/>
      <c r="AY74" s="76"/>
      <c r="AZ74" s="76"/>
      <c r="BA74" s="125"/>
      <c r="BB74" s="125"/>
      <c r="BC74" s="125"/>
      <c r="BD74" s="125"/>
      <c r="BE74" s="125"/>
      <c r="BG74" s="125"/>
      <c r="BH74" s="125"/>
      <c r="BL74" s="39"/>
      <c r="BP74" s="39"/>
      <c r="BQ74" s="39"/>
      <c r="BR74" s="39"/>
      <c r="BS74" s="39"/>
      <c r="BT74" s="39"/>
      <c r="BU74" s="39"/>
      <c r="BV74" s="39"/>
      <c r="BW74" s="39"/>
      <c r="BX74" s="39"/>
      <c r="BY74" s="39"/>
    </row>
    <row r="75" spans="1:77" s="37" customFormat="1" ht="24" customHeight="1">
      <c r="A75" s="39"/>
      <c r="B75" s="667" t="s">
        <v>1328</v>
      </c>
      <c r="C75" s="674">
        <f>+I28</f>
        <v>1000</v>
      </c>
      <c r="D75" s="979">
        <f>+H28</f>
        <v>1065</v>
      </c>
      <c r="E75" s="675">
        <f t="shared" si="39"/>
        <v>65</v>
      </c>
      <c r="F75" s="38"/>
      <c r="G75" s="38"/>
      <c r="H75" s="39"/>
      <c r="I75" s="39"/>
      <c r="J75" s="39"/>
      <c r="K75" s="39"/>
      <c r="L75" s="39"/>
      <c r="O75" s="39"/>
      <c r="P75" s="39"/>
      <c r="Q75" s="39"/>
      <c r="R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123"/>
      <c r="AW75" s="124"/>
      <c r="AX75" s="76"/>
      <c r="AY75" s="76"/>
      <c r="AZ75" s="76"/>
      <c r="BA75" s="125"/>
      <c r="BB75" s="125"/>
      <c r="BC75" s="125"/>
      <c r="BD75" s="125"/>
      <c r="BE75" s="125"/>
      <c r="BG75" s="125"/>
      <c r="BH75" s="125"/>
      <c r="BL75" s="39"/>
      <c r="BP75" s="39"/>
      <c r="BQ75" s="39"/>
      <c r="BR75" s="39"/>
      <c r="BS75" s="39"/>
      <c r="BT75" s="39"/>
      <c r="BU75" s="39"/>
      <c r="BV75" s="39"/>
      <c r="BW75" s="39"/>
      <c r="BX75" s="39"/>
      <c r="BY75" s="39"/>
    </row>
    <row r="76" spans="1:77" s="37" customFormat="1" ht="24" customHeight="1">
      <c r="A76" s="39"/>
      <c r="B76" s="667" t="s">
        <v>1525</v>
      </c>
      <c r="C76" s="674">
        <f>SUM(I31:I33)</f>
        <v>1500</v>
      </c>
      <c r="D76" s="675">
        <f>SUM(H31:H33)</f>
        <v>894</v>
      </c>
      <c r="E76" s="675">
        <f t="shared" si="39"/>
        <v>-606</v>
      </c>
      <c r="F76" s="38"/>
      <c r="G76" s="38"/>
      <c r="H76" s="39"/>
      <c r="I76" s="39"/>
      <c r="J76" s="39"/>
      <c r="K76" s="39"/>
      <c r="L76" s="39"/>
      <c r="M76" s="39"/>
      <c r="N76" s="39"/>
      <c r="O76" s="39"/>
      <c r="P76" s="39"/>
      <c r="Q76" s="39"/>
      <c r="R76" s="39"/>
      <c r="U76" s="39"/>
      <c r="V76" s="39"/>
      <c r="W76" s="39"/>
      <c r="X76" s="3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123"/>
      <c r="AW76" s="124"/>
      <c r="AX76" s="76"/>
      <c r="AY76" s="76"/>
      <c r="AZ76" s="76"/>
      <c r="BA76" s="125"/>
      <c r="BB76" s="125"/>
      <c r="BC76" s="125"/>
      <c r="BD76" s="125"/>
      <c r="BE76" s="125"/>
      <c r="BF76" s="125"/>
      <c r="BG76" s="125"/>
      <c r="BH76" s="125"/>
      <c r="BI76" s="125"/>
      <c r="BJ76" s="41"/>
      <c r="BK76" s="69"/>
      <c r="BL76" s="39"/>
      <c r="BM76" s="39"/>
      <c r="BN76" s="39"/>
      <c r="BO76" s="39"/>
      <c r="BP76" s="39"/>
      <c r="BQ76" s="39"/>
      <c r="BR76" s="39"/>
      <c r="BS76" s="39"/>
      <c r="BT76" s="39"/>
      <c r="BU76" s="39"/>
      <c r="BV76" s="39"/>
      <c r="BW76" s="39"/>
      <c r="BX76" s="39"/>
      <c r="BY76" s="39"/>
    </row>
    <row r="77" spans="1:77" s="37" customFormat="1" ht="24" customHeight="1">
      <c r="A77" s="39"/>
      <c r="B77" s="1059" t="s">
        <v>1329</v>
      </c>
      <c r="C77" s="674">
        <f>+I18</f>
        <v>1500</v>
      </c>
      <c r="D77" s="675">
        <f>+H18</f>
        <v>1458</v>
      </c>
      <c r="E77" s="675"/>
      <c r="F77" s="38"/>
      <c r="G77" s="38"/>
      <c r="H77" s="39"/>
      <c r="I77" s="39"/>
      <c r="J77" s="39"/>
      <c r="K77" s="39"/>
      <c r="L77" s="39"/>
      <c r="M77" s="39"/>
      <c r="N77" s="39"/>
      <c r="O77" s="39"/>
      <c r="P77" s="39"/>
      <c r="Q77" s="39"/>
      <c r="R77" s="39"/>
      <c r="U77" s="39"/>
      <c r="V77" s="39"/>
      <c r="W77" s="39"/>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123"/>
      <c r="AW77" s="124"/>
      <c r="AX77" s="76"/>
      <c r="AY77" s="76"/>
      <c r="AZ77" s="76"/>
      <c r="BA77" s="125"/>
      <c r="BB77" s="125"/>
      <c r="BC77" s="125"/>
      <c r="BD77" s="125"/>
      <c r="BE77" s="125"/>
      <c r="BF77" s="125"/>
      <c r="BG77" s="125"/>
      <c r="BH77" s="125"/>
      <c r="BI77" s="125"/>
      <c r="BJ77" s="41"/>
      <c r="BK77" s="69"/>
      <c r="BL77" s="39"/>
      <c r="BM77" s="39"/>
      <c r="BN77" s="39"/>
      <c r="BO77" s="39"/>
      <c r="BP77" s="39"/>
      <c r="BQ77" s="39"/>
      <c r="BR77" s="39"/>
      <c r="BS77" s="39"/>
      <c r="BT77" s="39"/>
      <c r="BU77" s="39"/>
      <c r="BV77" s="39"/>
      <c r="BW77" s="39"/>
      <c r="BX77" s="39"/>
      <c r="BY77" s="39"/>
    </row>
    <row r="78" spans="1:77" s="37" customFormat="1" ht="24" customHeight="1">
      <c r="A78" s="39"/>
      <c r="B78" s="1059" t="s">
        <v>2640</v>
      </c>
      <c r="C78" s="674">
        <f>+I43</f>
        <v>1800</v>
      </c>
      <c r="D78" s="675">
        <f>+H43</f>
        <v>1805</v>
      </c>
      <c r="E78" s="675"/>
      <c r="F78" s="38"/>
      <c r="G78" s="38"/>
      <c r="H78" s="39"/>
      <c r="I78" s="39"/>
      <c r="J78" s="39"/>
      <c r="K78" s="39"/>
      <c r="L78" s="39"/>
      <c r="M78" s="39"/>
      <c r="N78" s="39"/>
      <c r="O78" s="39"/>
      <c r="P78" s="39"/>
      <c r="Q78" s="39"/>
      <c r="R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123"/>
      <c r="AW78" s="124"/>
      <c r="AX78" s="76"/>
      <c r="AY78" s="76"/>
      <c r="AZ78" s="76"/>
      <c r="BA78" s="125"/>
      <c r="BB78" s="125"/>
      <c r="BC78" s="125"/>
      <c r="BD78" s="125"/>
      <c r="BE78" s="125"/>
      <c r="BF78" s="125"/>
      <c r="BG78" s="125"/>
      <c r="BH78" s="125"/>
      <c r="BI78" s="125"/>
      <c r="BJ78" s="41"/>
      <c r="BK78" s="69"/>
      <c r="BL78" s="39"/>
      <c r="BM78" s="39"/>
      <c r="BN78" s="39"/>
      <c r="BO78" s="39"/>
      <c r="BP78" s="39"/>
      <c r="BQ78" s="39"/>
      <c r="BR78" s="39"/>
      <c r="BS78" s="39"/>
      <c r="BT78" s="39"/>
      <c r="BU78" s="39"/>
      <c r="BV78" s="39"/>
      <c r="BW78" s="39"/>
      <c r="BX78" s="39"/>
      <c r="BY78" s="39"/>
    </row>
    <row r="79" spans="1:77" s="37" customFormat="1" ht="24" customHeight="1">
      <c r="A79" s="39"/>
      <c r="B79" s="749" t="s">
        <v>1687</v>
      </c>
      <c r="C79" s="750">
        <f>SUM(C66:C78)</f>
        <v>34850</v>
      </c>
      <c r="D79" s="750">
        <f>SUM(D66:D78)</f>
        <v>27650</v>
      </c>
      <c r="E79" s="750">
        <f>SUM(E66:E78)</f>
        <v>-7163</v>
      </c>
      <c r="F79" s="38"/>
      <c r="G79" s="38"/>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123"/>
      <c r="AW79" s="124"/>
      <c r="AX79" s="76"/>
      <c r="AY79" s="76"/>
      <c r="AZ79" s="76"/>
      <c r="BA79" s="125"/>
      <c r="BB79" s="125"/>
      <c r="BC79" s="125"/>
      <c r="BD79" s="125"/>
      <c r="BE79" s="125"/>
      <c r="BF79" s="125"/>
      <c r="BG79" s="125"/>
      <c r="BH79" s="125"/>
      <c r="BI79" s="125"/>
      <c r="BJ79" s="41"/>
      <c r="BK79" s="69"/>
      <c r="BL79" s="39"/>
      <c r="BM79" s="39"/>
      <c r="BN79" s="39"/>
      <c r="BO79" s="39"/>
      <c r="BP79" s="39"/>
      <c r="BQ79" s="39"/>
      <c r="BR79" s="39"/>
      <c r="BS79" s="39"/>
      <c r="BT79" s="39"/>
      <c r="BU79" s="39"/>
      <c r="BV79" s="39"/>
      <c r="BW79" s="39"/>
      <c r="BX79" s="39"/>
      <c r="BY79" s="39"/>
    </row>
    <row r="80" spans="1:77" s="37" customFormat="1" ht="24" customHeight="1">
      <c r="A80" s="39"/>
      <c r="B80" s="676" t="s">
        <v>1686</v>
      </c>
      <c r="C80" s="677">
        <f>SUM(C65,C79)</f>
        <v>99500</v>
      </c>
      <c r="D80" s="677">
        <f>SUM(D79,D65)</f>
        <v>83639</v>
      </c>
      <c r="E80" s="677">
        <f>D80-C80</f>
        <v>-15861</v>
      </c>
      <c r="F80" s="38"/>
      <c r="G80" s="38"/>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123"/>
      <c r="AW80" s="124"/>
      <c r="AX80" s="76"/>
      <c r="AY80" s="76"/>
      <c r="AZ80" s="76"/>
      <c r="BA80" s="125"/>
      <c r="BB80" s="125"/>
      <c r="BC80" s="125"/>
      <c r="BD80" s="125"/>
      <c r="BE80" s="125"/>
      <c r="BF80" s="125"/>
      <c r="BG80" s="125"/>
      <c r="BH80" s="125"/>
      <c r="BI80" s="125"/>
      <c r="BJ80" s="41"/>
      <c r="BK80" s="69"/>
      <c r="BL80" s="39"/>
      <c r="BM80" s="39"/>
      <c r="BN80" s="39"/>
      <c r="BO80" s="39"/>
      <c r="BP80" s="39"/>
      <c r="BQ80" s="39"/>
      <c r="BR80" s="39"/>
      <c r="BS80" s="39"/>
      <c r="BT80" s="39"/>
      <c r="BU80" s="39"/>
      <c r="BV80" s="39"/>
      <c r="BW80" s="39"/>
      <c r="BX80" s="39"/>
      <c r="BY80" s="39"/>
    </row>
    <row r="81" spans="1:77" s="37" customFormat="1">
      <c r="A81" s="39"/>
      <c r="B81" s="40"/>
      <c r="C81" s="684"/>
      <c r="D81" s="38"/>
      <c r="E81" s="38"/>
      <c r="F81" s="38"/>
      <c r="G81" s="38"/>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123"/>
      <c r="AW81" s="124"/>
      <c r="AX81" s="76"/>
      <c r="AY81" s="76"/>
      <c r="AZ81" s="76"/>
      <c r="BA81" s="125"/>
      <c r="BB81" s="125"/>
      <c r="BC81" s="125"/>
      <c r="BD81" s="125"/>
      <c r="BE81" s="125"/>
      <c r="BF81" s="125"/>
      <c r="BG81" s="125"/>
      <c r="BH81" s="125"/>
      <c r="BI81" s="125"/>
      <c r="BJ81" s="41"/>
      <c r="BK81" s="69"/>
      <c r="BL81" s="39"/>
      <c r="BM81" s="39"/>
      <c r="BN81" s="39"/>
      <c r="BO81" s="39"/>
      <c r="BP81" s="39"/>
      <c r="BQ81" s="39"/>
      <c r="BR81" s="39"/>
      <c r="BS81" s="39"/>
      <c r="BT81" s="39"/>
      <c r="BU81" s="39"/>
      <c r="BV81" s="39"/>
      <c r="BW81" s="39"/>
      <c r="BX81" s="39"/>
      <c r="BY81" s="39"/>
    </row>
    <row r="82" spans="1:77" s="37" customFormat="1">
      <c r="A82" s="39"/>
      <c r="B82" s="40"/>
      <c r="C82" s="684"/>
      <c r="D82" s="38"/>
      <c r="E82" s="38"/>
      <c r="F82" s="38"/>
      <c r="G82" s="38"/>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123"/>
      <c r="AW82" s="124"/>
      <c r="AX82" s="76"/>
      <c r="AY82" s="76"/>
      <c r="AZ82" s="76"/>
      <c r="BA82" s="125"/>
      <c r="BB82" s="125"/>
      <c r="BC82" s="125"/>
      <c r="BD82" s="125"/>
      <c r="BE82" s="125"/>
      <c r="BF82" s="125"/>
      <c r="BG82" s="125"/>
      <c r="BH82" s="125"/>
      <c r="BI82" s="125"/>
      <c r="BJ82" s="41"/>
      <c r="BK82" s="69"/>
      <c r="BL82" s="39"/>
      <c r="BM82" s="39"/>
      <c r="BN82" s="39"/>
      <c r="BO82" s="39"/>
      <c r="BP82" s="39"/>
      <c r="BQ82" s="39"/>
      <c r="BR82" s="39"/>
      <c r="BS82" s="39"/>
      <c r="BT82" s="39"/>
      <c r="BU82" s="39"/>
      <c r="BV82" s="39"/>
      <c r="BW82" s="39"/>
      <c r="BX82" s="39"/>
      <c r="BY82" s="39"/>
    </row>
    <row r="83" spans="1:77" s="37" customFormat="1">
      <c r="A83" s="39"/>
      <c r="B83" s="38"/>
      <c r="C83" s="684"/>
      <c r="D83" s="38"/>
      <c r="E83" s="38"/>
      <c r="F83" s="38"/>
      <c r="G83" s="38"/>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123"/>
      <c r="AW83" s="124"/>
      <c r="AX83" s="76"/>
      <c r="AY83" s="76"/>
      <c r="AZ83" s="76"/>
      <c r="BA83" s="125"/>
      <c r="BB83" s="125"/>
      <c r="BC83" s="125"/>
      <c r="BD83" s="125"/>
      <c r="BE83" s="125"/>
      <c r="BF83" s="125"/>
      <c r="BG83" s="125"/>
      <c r="BH83" s="125"/>
      <c r="BI83" s="125"/>
      <c r="BJ83" s="41"/>
      <c r="BK83" s="69"/>
      <c r="BL83" s="39"/>
      <c r="BM83" s="39"/>
      <c r="BN83" s="39"/>
      <c r="BO83" s="39"/>
      <c r="BP83" s="39"/>
      <c r="BQ83" s="39"/>
      <c r="BR83" s="39"/>
      <c r="BS83" s="39"/>
      <c r="BT83" s="39"/>
      <c r="BU83" s="39"/>
      <c r="BV83" s="39"/>
      <c r="BW83" s="39"/>
      <c r="BX83" s="39"/>
      <c r="BY83" s="39"/>
    </row>
    <row r="84" spans="1:77" s="37" customFormat="1">
      <c r="A84" s="39"/>
      <c r="B84" s="38"/>
      <c r="C84" s="684"/>
      <c r="D84" s="38"/>
      <c r="E84" s="38"/>
      <c r="F84" s="38"/>
      <c r="G84" s="38"/>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123"/>
      <c r="AW84" s="124"/>
      <c r="AX84" s="76"/>
      <c r="AY84" s="76"/>
      <c r="AZ84" s="76"/>
      <c r="BA84" s="125"/>
      <c r="BB84" s="125"/>
      <c r="BC84" s="125"/>
      <c r="BD84" s="125"/>
      <c r="BE84" s="125"/>
      <c r="BF84" s="125"/>
      <c r="BG84" s="125"/>
      <c r="BH84" s="125"/>
      <c r="BI84" s="125"/>
      <c r="BJ84" s="41"/>
      <c r="BK84" s="69"/>
      <c r="BL84" s="39"/>
      <c r="BM84" s="39"/>
      <c r="BN84" s="39"/>
      <c r="BO84" s="39"/>
      <c r="BP84" s="39"/>
      <c r="BQ84" s="39"/>
      <c r="BR84" s="39"/>
      <c r="BS84" s="39"/>
      <c r="BT84" s="39"/>
      <c r="BU84" s="39"/>
      <c r="BV84" s="39"/>
      <c r="BW84" s="39"/>
      <c r="BX84" s="39"/>
      <c r="BY84" s="39"/>
    </row>
    <row r="85" spans="1:77" s="37" customFormat="1">
      <c r="A85" s="39"/>
      <c r="B85" s="38"/>
      <c r="C85" s="684"/>
      <c r="D85" s="38"/>
      <c r="E85" s="38"/>
      <c r="F85" s="38"/>
      <c r="G85" s="38"/>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123"/>
      <c r="AW85" s="124"/>
      <c r="AX85" s="76"/>
      <c r="AY85" s="76"/>
      <c r="AZ85" s="76"/>
      <c r="BA85" s="125"/>
      <c r="BB85" s="125"/>
      <c r="BC85" s="125"/>
      <c r="BD85" s="125"/>
      <c r="BE85" s="125"/>
      <c r="BF85" s="125"/>
      <c r="BG85" s="125"/>
      <c r="BH85" s="125"/>
      <c r="BI85" s="125"/>
      <c r="BJ85" s="41"/>
      <c r="BK85" s="69"/>
      <c r="BL85" s="39"/>
      <c r="BM85" s="39"/>
      <c r="BN85" s="39"/>
      <c r="BO85" s="39"/>
      <c r="BP85" s="39"/>
      <c r="BQ85" s="39"/>
      <c r="BR85" s="39"/>
      <c r="BS85" s="39"/>
      <c r="BT85" s="39"/>
      <c r="BU85" s="39"/>
      <c r="BV85" s="39"/>
      <c r="BW85" s="39"/>
      <c r="BX85" s="39"/>
      <c r="BY85" s="39"/>
    </row>
    <row r="86" spans="1:77" s="37" customFormat="1">
      <c r="A86" s="39"/>
      <c r="B86" s="38"/>
      <c r="C86" s="684"/>
      <c r="D86" s="38"/>
      <c r="E86" s="38"/>
      <c r="F86" s="38"/>
      <c r="G86" s="38"/>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123"/>
      <c r="AW86" s="124"/>
      <c r="AX86" s="76"/>
      <c r="AY86" s="76"/>
      <c r="AZ86" s="76"/>
      <c r="BA86" s="125"/>
      <c r="BB86" s="125"/>
      <c r="BC86" s="125"/>
      <c r="BD86" s="125"/>
      <c r="BE86" s="125"/>
      <c r="BF86" s="125"/>
      <c r="BG86" s="125"/>
      <c r="BH86" s="125"/>
      <c r="BI86" s="125"/>
      <c r="BJ86" s="41"/>
      <c r="BK86" s="69"/>
      <c r="BL86" s="39"/>
      <c r="BM86" s="39"/>
      <c r="BN86" s="39"/>
      <c r="BO86" s="39"/>
      <c r="BP86" s="39"/>
      <c r="BQ86" s="39"/>
      <c r="BR86" s="39"/>
      <c r="BS86" s="39"/>
      <c r="BT86" s="39"/>
      <c r="BU86" s="39"/>
      <c r="BV86" s="39"/>
      <c r="BW86" s="39"/>
      <c r="BX86" s="39"/>
      <c r="BY86" s="39"/>
    </row>
    <row r="87" spans="1:77" s="37" customFormat="1">
      <c r="A87" s="39"/>
      <c r="B87" s="38"/>
      <c r="C87" s="684"/>
      <c r="D87" s="38"/>
      <c r="E87" s="38"/>
      <c r="F87" s="38"/>
      <c r="G87" s="38"/>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123"/>
      <c r="AW87" s="124"/>
      <c r="AX87" s="76"/>
      <c r="AY87" s="76"/>
      <c r="AZ87" s="76"/>
      <c r="BA87" s="125"/>
      <c r="BB87" s="125"/>
      <c r="BC87" s="125"/>
      <c r="BD87" s="125"/>
      <c r="BE87" s="125"/>
      <c r="BF87" s="125"/>
      <c r="BG87" s="125"/>
      <c r="BH87" s="125"/>
      <c r="BI87" s="125"/>
      <c r="BJ87" s="41"/>
      <c r="BK87" s="69"/>
      <c r="BL87" s="39"/>
      <c r="BM87" s="39"/>
      <c r="BN87" s="39"/>
      <c r="BO87" s="39"/>
      <c r="BP87" s="39"/>
      <c r="BQ87" s="39"/>
      <c r="BR87" s="39"/>
      <c r="BS87" s="39"/>
      <c r="BT87" s="39"/>
      <c r="BU87" s="39"/>
      <c r="BV87" s="39"/>
      <c r="BW87" s="39"/>
      <c r="BX87" s="39"/>
      <c r="BY87" s="39"/>
    </row>
    <row r="88" spans="1:77" s="37" customFormat="1">
      <c r="A88" s="39"/>
      <c r="B88" s="40"/>
      <c r="C88" s="684"/>
      <c r="D88" s="38"/>
      <c r="E88" s="38"/>
      <c r="F88" s="38"/>
      <c r="G88" s="38"/>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c r="AN88" s="39"/>
      <c r="AO88" s="39"/>
      <c r="AP88" s="39"/>
      <c r="AQ88" s="39"/>
      <c r="AR88" s="39"/>
      <c r="AS88" s="39"/>
      <c r="AT88" s="39"/>
      <c r="AU88" s="39"/>
      <c r="AV88" s="123"/>
      <c r="AW88" s="124"/>
      <c r="AX88" s="76"/>
      <c r="AY88" s="76"/>
      <c r="AZ88" s="76"/>
      <c r="BA88" s="125"/>
      <c r="BB88" s="125"/>
      <c r="BC88" s="125"/>
      <c r="BD88" s="125"/>
      <c r="BE88" s="125"/>
      <c r="BF88" s="125"/>
      <c r="BG88" s="125"/>
      <c r="BH88" s="125"/>
      <c r="BI88" s="125"/>
      <c r="BJ88" s="41"/>
      <c r="BK88" s="69"/>
      <c r="BL88" s="39"/>
      <c r="BM88" s="39"/>
      <c r="BN88" s="39"/>
      <c r="BO88" s="39"/>
      <c r="BP88" s="39"/>
      <c r="BQ88" s="39"/>
      <c r="BR88" s="39"/>
      <c r="BS88" s="39"/>
      <c r="BT88" s="39"/>
      <c r="BU88" s="39"/>
      <c r="BV88" s="39"/>
      <c r="BW88" s="39"/>
      <c r="BX88" s="39"/>
      <c r="BY88" s="39"/>
    </row>
    <row r="89" spans="1:77" s="37" customFormat="1">
      <c r="A89" s="39"/>
      <c r="B89" s="40"/>
      <c r="C89" s="684"/>
      <c r="D89" s="38"/>
      <c r="E89" s="38"/>
      <c r="F89" s="38"/>
      <c r="G89" s="38"/>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123"/>
      <c r="AW89" s="124"/>
      <c r="AX89" s="76"/>
      <c r="AY89" s="76"/>
      <c r="AZ89" s="76"/>
      <c r="BA89" s="125"/>
      <c r="BB89" s="125"/>
      <c r="BC89" s="125"/>
      <c r="BD89" s="125"/>
      <c r="BE89" s="125"/>
      <c r="BF89" s="125"/>
      <c r="BG89" s="125"/>
      <c r="BH89" s="125"/>
      <c r="BI89" s="125"/>
      <c r="BJ89" s="41"/>
      <c r="BK89" s="69"/>
      <c r="BL89" s="39"/>
      <c r="BM89" s="39"/>
      <c r="BN89" s="39"/>
      <c r="BO89" s="39"/>
      <c r="BP89" s="39"/>
      <c r="BQ89" s="39"/>
      <c r="BR89" s="39"/>
      <c r="BS89" s="39"/>
      <c r="BT89" s="39"/>
      <c r="BU89" s="39"/>
      <c r="BV89" s="39"/>
      <c r="BW89" s="39"/>
      <c r="BX89" s="39"/>
      <c r="BY89" s="39"/>
    </row>
    <row r="90" spans="1:77" s="37" customFormat="1">
      <c r="A90" s="39"/>
      <c r="B90" s="40"/>
      <c r="C90" s="684"/>
      <c r="D90" s="38"/>
      <c r="E90" s="38"/>
      <c r="F90" s="38"/>
      <c r="G90" s="38"/>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123"/>
      <c r="AW90" s="124"/>
      <c r="AX90" s="76"/>
      <c r="AY90" s="76"/>
      <c r="AZ90" s="76"/>
      <c r="BA90" s="125"/>
      <c r="BB90" s="125"/>
      <c r="BC90" s="125"/>
      <c r="BD90" s="125"/>
      <c r="BE90" s="125"/>
      <c r="BF90" s="125"/>
      <c r="BG90" s="125"/>
      <c r="BH90" s="125"/>
      <c r="BI90" s="125"/>
      <c r="BJ90" s="41"/>
      <c r="BK90" s="69"/>
      <c r="BL90" s="39"/>
      <c r="BM90" s="39"/>
      <c r="BN90" s="39"/>
      <c r="BO90" s="39"/>
      <c r="BP90" s="39"/>
      <c r="BQ90" s="39"/>
      <c r="BR90" s="39"/>
      <c r="BS90" s="39"/>
      <c r="BT90" s="39"/>
      <c r="BU90" s="39"/>
      <c r="BV90" s="39"/>
      <c r="BW90" s="39"/>
      <c r="BX90" s="39"/>
      <c r="BY90" s="39"/>
    </row>
    <row r="91" spans="1:77" s="37" customFormat="1">
      <c r="A91" s="39"/>
      <c r="B91" s="40"/>
      <c r="C91" s="684"/>
      <c r="D91" s="38"/>
      <c r="E91" s="38"/>
      <c r="F91" s="38"/>
      <c r="G91" s="38"/>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39"/>
      <c r="AN91" s="39"/>
      <c r="AO91" s="39"/>
      <c r="AP91" s="39"/>
      <c r="AQ91" s="39"/>
      <c r="AR91" s="39"/>
      <c r="AS91" s="39"/>
      <c r="AT91" s="39"/>
      <c r="AU91" s="39"/>
      <c r="AV91" s="123"/>
      <c r="AW91" s="124"/>
      <c r="AX91" s="76"/>
      <c r="AY91" s="76"/>
      <c r="AZ91" s="76"/>
      <c r="BA91" s="125"/>
      <c r="BB91" s="125"/>
      <c r="BC91" s="125"/>
      <c r="BD91" s="125"/>
      <c r="BE91" s="125"/>
      <c r="BF91" s="125"/>
      <c r="BG91" s="125"/>
      <c r="BH91" s="125"/>
      <c r="BI91" s="125"/>
      <c r="BJ91" s="41"/>
      <c r="BK91" s="69"/>
      <c r="BL91" s="39"/>
      <c r="BM91" s="39"/>
      <c r="BN91" s="39"/>
      <c r="BO91" s="39"/>
      <c r="BP91" s="39"/>
      <c r="BQ91" s="39"/>
      <c r="BR91" s="39"/>
      <c r="BS91" s="39"/>
      <c r="BT91" s="39"/>
      <c r="BU91" s="39"/>
      <c r="BV91" s="39"/>
      <c r="BW91" s="39"/>
      <c r="BX91" s="39"/>
      <c r="BY91" s="39"/>
    </row>
    <row r="92" spans="1:77" s="37" customFormat="1">
      <c r="A92" s="39"/>
      <c r="B92" s="40"/>
      <c r="C92" s="684"/>
      <c r="D92" s="38"/>
      <c r="E92" s="38"/>
      <c r="F92" s="38"/>
      <c r="G92" s="38"/>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c r="AM92" s="39"/>
      <c r="AN92" s="39"/>
      <c r="AO92" s="39"/>
      <c r="AP92" s="39"/>
      <c r="AQ92" s="39"/>
      <c r="AR92" s="39"/>
      <c r="AS92" s="39"/>
      <c r="AT92" s="39"/>
      <c r="AU92" s="39"/>
      <c r="AV92" s="123"/>
      <c r="AW92" s="124"/>
      <c r="AX92" s="76"/>
      <c r="AY92" s="76"/>
      <c r="AZ92" s="76"/>
      <c r="BA92" s="125"/>
      <c r="BB92" s="125"/>
      <c r="BC92" s="125"/>
      <c r="BD92" s="125"/>
      <c r="BE92" s="125"/>
      <c r="BF92" s="125"/>
      <c r="BG92" s="125"/>
      <c r="BH92" s="125"/>
      <c r="BI92" s="125"/>
      <c r="BJ92" s="41"/>
      <c r="BK92" s="69"/>
      <c r="BL92" s="39"/>
      <c r="BM92" s="39"/>
      <c r="BN92" s="39"/>
      <c r="BO92" s="39"/>
      <c r="BP92" s="39"/>
      <c r="BQ92" s="39"/>
      <c r="BR92" s="39"/>
      <c r="BS92" s="39"/>
      <c r="BT92" s="39"/>
      <c r="BU92" s="39"/>
      <c r="BV92" s="39"/>
      <c r="BW92" s="39"/>
      <c r="BX92" s="39"/>
      <c r="BY92" s="39"/>
    </row>
    <row r="93" spans="1:77" s="37" customFormat="1">
      <c r="A93" s="39"/>
      <c r="B93" s="40"/>
      <c r="C93" s="684"/>
      <c r="D93" s="38"/>
      <c r="E93" s="38"/>
      <c r="F93" s="38"/>
      <c r="G93" s="38"/>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39"/>
      <c r="AM93" s="39"/>
      <c r="AN93" s="39"/>
      <c r="AO93" s="39"/>
      <c r="AP93" s="39"/>
      <c r="AQ93" s="39"/>
      <c r="AR93" s="39"/>
      <c r="AS93" s="39"/>
      <c r="AT93" s="39"/>
      <c r="AU93" s="39"/>
      <c r="AV93" s="123"/>
      <c r="AW93" s="124"/>
      <c r="AX93" s="76"/>
      <c r="AY93" s="76"/>
      <c r="AZ93" s="76"/>
      <c r="BA93" s="125"/>
      <c r="BB93" s="125"/>
      <c r="BC93" s="125"/>
      <c r="BD93" s="125"/>
      <c r="BE93" s="125"/>
      <c r="BF93" s="125"/>
      <c r="BG93" s="125"/>
      <c r="BH93" s="125"/>
      <c r="BI93" s="125"/>
      <c r="BJ93" s="41"/>
      <c r="BK93" s="69"/>
      <c r="BL93" s="39"/>
      <c r="BM93" s="39"/>
      <c r="BN93" s="39"/>
      <c r="BO93" s="39"/>
      <c r="BP93" s="39"/>
      <c r="BQ93" s="39"/>
      <c r="BR93" s="39"/>
      <c r="BS93" s="39"/>
      <c r="BT93" s="39"/>
      <c r="BU93" s="39"/>
      <c r="BV93" s="39"/>
      <c r="BW93" s="39"/>
      <c r="BX93" s="39"/>
      <c r="BY93" s="39"/>
    </row>
    <row r="94" spans="1:77" s="37" customFormat="1">
      <c r="A94" s="39"/>
      <c r="B94" s="38"/>
      <c r="C94" s="684"/>
      <c r="D94" s="38"/>
      <c r="E94" s="38"/>
      <c r="F94" s="38"/>
      <c r="G94" s="38"/>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123"/>
      <c r="AW94" s="124"/>
      <c r="AX94" s="76"/>
      <c r="AY94" s="76"/>
      <c r="AZ94" s="76"/>
      <c r="BA94" s="125"/>
      <c r="BB94" s="125"/>
      <c r="BC94" s="125"/>
      <c r="BD94" s="125"/>
      <c r="BE94" s="125"/>
      <c r="BF94" s="125"/>
      <c r="BG94" s="125"/>
      <c r="BH94" s="125"/>
      <c r="BI94" s="125"/>
      <c r="BJ94" s="41"/>
      <c r="BK94" s="69"/>
      <c r="BL94" s="39"/>
      <c r="BM94" s="39"/>
      <c r="BN94" s="39"/>
      <c r="BO94" s="39"/>
      <c r="BP94" s="39"/>
      <c r="BQ94" s="39"/>
      <c r="BR94" s="39"/>
      <c r="BS94" s="39"/>
      <c r="BT94" s="39"/>
      <c r="BU94" s="39"/>
      <c r="BV94" s="39"/>
      <c r="BW94" s="39"/>
      <c r="BX94" s="39"/>
      <c r="BY94" s="39"/>
    </row>
    <row r="95" spans="1:77" s="37" customFormat="1">
      <c r="A95" s="39"/>
      <c r="B95" s="38"/>
      <c r="C95" s="684"/>
      <c r="D95" s="38"/>
      <c r="E95" s="38"/>
      <c r="F95" s="38"/>
      <c r="G95" s="38"/>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123"/>
      <c r="AW95" s="124"/>
      <c r="AX95" s="76"/>
      <c r="AY95" s="76"/>
      <c r="AZ95" s="76"/>
      <c r="BA95" s="125"/>
      <c r="BB95" s="125"/>
      <c r="BC95" s="125"/>
      <c r="BD95" s="125"/>
      <c r="BE95" s="125"/>
      <c r="BF95" s="125"/>
      <c r="BG95" s="125"/>
      <c r="BH95" s="125"/>
      <c r="BI95" s="125"/>
      <c r="BJ95" s="41"/>
      <c r="BK95" s="69"/>
      <c r="BL95" s="39"/>
      <c r="BM95" s="39"/>
      <c r="BN95" s="39"/>
      <c r="BO95" s="39"/>
      <c r="BP95" s="39"/>
      <c r="BQ95" s="39"/>
      <c r="BR95" s="39"/>
      <c r="BS95" s="39"/>
      <c r="BT95" s="39"/>
      <c r="BU95" s="39"/>
      <c r="BV95" s="39"/>
      <c r="BW95" s="39"/>
      <c r="BX95" s="39"/>
      <c r="BY95" s="39"/>
    </row>
    <row r="96" spans="1:77" s="37" customFormat="1">
      <c r="A96" s="39"/>
      <c r="B96" s="38"/>
      <c r="C96" s="684"/>
      <c r="D96" s="38"/>
      <c r="E96" s="38"/>
      <c r="F96" s="38"/>
      <c r="G96" s="38"/>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c r="AN96" s="39"/>
      <c r="AO96" s="39"/>
      <c r="AP96" s="39"/>
      <c r="AQ96" s="39"/>
      <c r="AR96" s="39"/>
      <c r="AS96" s="39"/>
      <c r="AT96" s="39"/>
      <c r="AU96" s="39"/>
      <c r="AV96" s="123"/>
      <c r="AW96" s="124"/>
      <c r="AX96" s="76"/>
      <c r="AY96" s="76"/>
      <c r="AZ96" s="76"/>
      <c r="BA96" s="125"/>
      <c r="BB96" s="125"/>
      <c r="BC96" s="125"/>
      <c r="BD96" s="125"/>
      <c r="BE96" s="125"/>
      <c r="BF96" s="125"/>
      <c r="BG96" s="125"/>
      <c r="BH96" s="125"/>
      <c r="BI96" s="125"/>
      <c r="BJ96" s="41"/>
      <c r="BK96" s="69"/>
      <c r="BL96" s="39"/>
      <c r="BM96" s="39"/>
      <c r="BN96" s="39"/>
      <c r="BO96" s="39"/>
      <c r="BP96" s="39"/>
      <c r="BQ96" s="39"/>
      <c r="BR96" s="39"/>
      <c r="BS96" s="39"/>
      <c r="BT96" s="39"/>
      <c r="BU96" s="39"/>
      <c r="BV96" s="39"/>
      <c r="BW96" s="39"/>
      <c r="BX96" s="39"/>
      <c r="BY96" s="39"/>
    </row>
    <row r="97" spans="1:77" s="37" customFormat="1">
      <c r="A97" s="39"/>
      <c r="B97" s="38"/>
      <c r="C97" s="684"/>
      <c r="D97" s="38"/>
      <c r="E97" s="38"/>
      <c r="F97" s="38"/>
      <c r="G97" s="38"/>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39"/>
      <c r="AN97" s="39"/>
      <c r="AO97" s="39"/>
      <c r="AP97" s="39"/>
      <c r="AQ97" s="39"/>
      <c r="AR97" s="39"/>
      <c r="AS97" s="39"/>
      <c r="AT97" s="39"/>
      <c r="AU97" s="39"/>
      <c r="AV97" s="123"/>
      <c r="AW97" s="124"/>
      <c r="AX97" s="76"/>
      <c r="AY97" s="76"/>
      <c r="AZ97" s="76"/>
      <c r="BA97" s="125"/>
      <c r="BB97" s="125"/>
      <c r="BC97" s="125"/>
      <c r="BD97" s="125"/>
      <c r="BE97" s="125"/>
      <c r="BF97" s="125"/>
      <c r="BG97" s="125"/>
      <c r="BH97" s="125"/>
      <c r="BI97" s="125"/>
      <c r="BJ97" s="41"/>
      <c r="BK97" s="69"/>
      <c r="BL97" s="39"/>
      <c r="BM97" s="39"/>
      <c r="BN97" s="39"/>
      <c r="BO97" s="39"/>
      <c r="BP97" s="39"/>
      <c r="BQ97" s="39"/>
      <c r="BR97" s="39"/>
      <c r="BS97" s="39"/>
      <c r="BT97" s="39"/>
      <c r="BU97" s="39"/>
      <c r="BV97" s="39"/>
      <c r="BW97" s="39"/>
      <c r="BX97" s="39"/>
      <c r="BY97" s="39"/>
    </row>
    <row r="98" spans="1:77" s="37" customFormat="1">
      <c r="A98" s="39"/>
      <c r="B98" s="38"/>
      <c r="C98" s="684"/>
      <c r="D98" s="38"/>
      <c r="E98" s="38"/>
      <c r="F98" s="38"/>
      <c r="G98" s="38"/>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c r="AM98" s="39"/>
      <c r="AN98" s="39"/>
      <c r="AO98" s="39"/>
      <c r="AP98" s="39"/>
      <c r="AQ98" s="39"/>
      <c r="AR98" s="39"/>
      <c r="AS98" s="39"/>
      <c r="AT98" s="39"/>
      <c r="AU98" s="39"/>
      <c r="AV98" s="123"/>
      <c r="AW98" s="124"/>
      <c r="AX98" s="76"/>
      <c r="AY98" s="76"/>
      <c r="AZ98" s="76"/>
      <c r="BA98" s="125"/>
      <c r="BB98" s="125"/>
      <c r="BC98" s="125"/>
      <c r="BD98" s="125"/>
      <c r="BE98" s="125"/>
      <c r="BF98" s="125"/>
      <c r="BG98" s="125"/>
      <c r="BH98" s="125"/>
      <c r="BI98" s="125"/>
      <c r="BJ98" s="41"/>
      <c r="BK98" s="69"/>
      <c r="BL98" s="39"/>
      <c r="BM98" s="39"/>
      <c r="BN98" s="39"/>
      <c r="BO98" s="39"/>
      <c r="BP98" s="39"/>
      <c r="BQ98" s="39"/>
      <c r="BR98" s="39"/>
      <c r="BS98" s="39"/>
      <c r="BT98" s="39"/>
      <c r="BU98" s="39"/>
      <c r="BV98" s="39"/>
      <c r="BW98" s="39"/>
      <c r="BX98" s="39"/>
      <c r="BY98" s="39"/>
    </row>
    <row r="99" spans="1:77" s="37" customFormat="1">
      <c r="A99" s="39"/>
      <c r="B99" s="38"/>
      <c r="C99" s="684"/>
      <c r="D99" s="38"/>
      <c r="E99" s="38"/>
      <c r="F99" s="38"/>
      <c r="G99" s="38"/>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123"/>
      <c r="AW99" s="124"/>
      <c r="AX99" s="76"/>
      <c r="AY99" s="76"/>
      <c r="AZ99" s="76"/>
      <c r="BA99" s="125"/>
      <c r="BB99" s="125"/>
      <c r="BC99" s="125"/>
      <c r="BD99" s="125"/>
      <c r="BE99" s="125"/>
      <c r="BF99" s="125"/>
      <c r="BG99" s="125"/>
      <c r="BH99" s="125"/>
      <c r="BI99" s="125"/>
      <c r="BJ99" s="41"/>
      <c r="BK99" s="69"/>
      <c r="BL99" s="39"/>
      <c r="BM99" s="39"/>
      <c r="BN99" s="39"/>
      <c r="BO99" s="39"/>
      <c r="BP99" s="39"/>
      <c r="BQ99" s="39"/>
      <c r="BR99" s="39"/>
      <c r="BS99" s="39"/>
      <c r="BT99" s="39"/>
      <c r="BU99" s="39"/>
      <c r="BV99" s="39"/>
      <c r="BW99" s="39"/>
      <c r="BX99" s="39"/>
      <c r="BY99" s="39"/>
    </row>
    <row r="100" spans="1:77" s="37" customFormat="1">
      <c r="A100" s="39"/>
      <c r="B100" s="38"/>
      <c r="C100" s="684"/>
      <c r="D100" s="38"/>
      <c r="E100" s="38"/>
      <c r="F100" s="38"/>
      <c r="G100" s="38"/>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c r="AP100" s="39"/>
      <c r="AQ100" s="39"/>
      <c r="AR100" s="39"/>
      <c r="AS100" s="39"/>
      <c r="AT100" s="39"/>
      <c r="AU100" s="39"/>
      <c r="AV100" s="123"/>
      <c r="AW100" s="124"/>
      <c r="AX100" s="76"/>
      <c r="AY100" s="76"/>
      <c r="AZ100" s="76"/>
      <c r="BA100" s="125"/>
      <c r="BB100" s="125"/>
      <c r="BC100" s="125"/>
      <c r="BD100" s="125"/>
      <c r="BE100" s="125"/>
      <c r="BF100" s="125"/>
      <c r="BG100" s="125"/>
      <c r="BH100" s="125"/>
      <c r="BI100" s="125"/>
      <c r="BJ100" s="41"/>
      <c r="BK100" s="69"/>
      <c r="BL100" s="39"/>
      <c r="BM100" s="39"/>
      <c r="BN100" s="39"/>
      <c r="BO100" s="39"/>
      <c r="BP100" s="39"/>
      <c r="BQ100" s="39"/>
      <c r="BR100" s="39"/>
      <c r="BS100" s="39"/>
      <c r="BT100" s="39"/>
      <c r="BU100" s="39"/>
      <c r="BV100" s="39"/>
      <c r="BW100" s="39"/>
      <c r="BX100" s="39"/>
      <c r="BY100" s="39"/>
    </row>
    <row r="101" spans="1:77" s="37" customFormat="1">
      <c r="A101" s="39"/>
      <c r="B101" s="38"/>
      <c r="C101" s="684"/>
      <c r="D101" s="38"/>
      <c r="E101" s="38"/>
      <c r="F101" s="38"/>
      <c r="G101" s="38"/>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c r="AM101" s="39"/>
      <c r="AN101" s="39"/>
      <c r="AO101" s="39"/>
      <c r="AP101" s="39"/>
      <c r="AQ101" s="39"/>
      <c r="AR101" s="39"/>
      <c r="AS101" s="39"/>
      <c r="AT101" s="39"/>
      <c r="AU101" s="39"/>
      <c r="AV101" s="123"/>
      <c r="AW101" s="124"/>
      <c r="AX101" s="76"/>
      <c r="AY101" s="76"/>
      <c r="AZ101" s="76"/>
      <c r="BA101" s="125"/>
      <c r="BB101" s="125"/>
      <c r="BC101" s="125"/>
      <c r="BD101" s="125"/>
      <c r="BE101" s="125"/>
      <c r="BF101" s="125"/>
      <c r="BG101" s="125"/>
      <c r="BH101" s="125"/>
      <c r="BI101" s="125"/>
      <c r="BJ101" s="41"/>
      <c r="BK101" s="69"/>
      <c r="BL101" s="39"/>
      <c r="BM101" s="39"/>
      <c r="BN101" s="39"/>
      <c r="BO101" s="39"/>
      <c r="BP101" s="39"/>
      <c r="BQ101" s="39"/>
      <c r="BR101" s="39"/>
      <c r="BS101" s="39"/>
      <c r="BT101" s="39"/>
      <c r="BU101" s="39"/>
      <c r="BV101" s="39"/>
      <c r="BW101" s="39"/>
      <c r="BX101" s="39"/>
      <c r="BY101" s="39"/>
    </row>
    <row r="102" spans="1:77" s="37" customFormat="1">
      <c r="A102" s="39"/>
      <c r="B102" s="38"/>
      <c r="C102" s="684"/>
      <c r="D102" s="38"/>
      <c r="E102" s="38"/>
      <c r="F102" s="38"/>
      <c r="G102" s="38"/>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c r="AP102" s="39"/>
      <c r="AQ102" s="39"/>
      <c r="AR102" s="39"/>
      <c r="AS102" s="39"/>
      <c r="AT102" s="39"/>
      <c r="AU102" s="39"/>
      <c r="AV102" s="123"/>
      <c r="AW102" s="124"/>
      <c r="AX102" s="76"/>
      <c r="AY102" s="76"/>
      <c r="AZ102" s="76"/>
      <c r="BA102" s="125"/>
      <c r="BB102" s="125"/>
      <c r="BC102" s="125"/>
      <c r="BD102" s="125"/>
      <c r="BE102" s="125"/>
      <c r="BF102" s="125"/>
      <c r="BG102" s="125"/>
      <c r="BH102" s="125"/>
      <c r="BI102" s="125"/>
      <c r="BJ102" s="41"/>
      <c r="BK102" s="69"/>
      <c r="BL102" s="39"/>
      <c r="BM102" s="39"/>
      <c r="BN102" s="39"/>
      <c r="BO102" s="39"/>
      <c r="BP102" s="39"/>
      <c r="BQ102" s="39"/>
      <c r="BR102" s="39"/>
      <c r="BS102" s="39"/>
      <c r="BT102" s="39"/>
      <c r="BU102" s="39"/>
      <c r="BV102" s="39"/>
      <c r="BW102" s="39"/>
      <c r="BX102" s="39"/>
      <c r="BY102" s="39"/>
    </row>
    <row r="103" spans="1:77" s="37" customFormat="1">
      <c r="A103" s="39"/>
      <c r="B103" s="38"/>
      <c r="C103" s="684"/>
      <c r="D103" s="38"/>
      <c r="E103" s="38"/>
      <c r="F103" s="38"/>
      <c r="G103" s="38"/>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123"/>
      <c r="AW103" s="124"/>
      <c r="AX103" s="76"/>
      <c r="AY103" s="76"/>
      <c r="AZ103" s="76"/>
      <c r="BA103" s="125"/>
      <c r="BB103" s="125"/>
      <c r="BC103" s="125"/>
      <c r="BD103" s="125"/>
      <c r="BE103" s="125"/>
      <c r="BF103" s="125"/>
      <c r="BG103" s="125"/>
      <c r="BH103" s="125"/>
      <c r="BI103" s="125"/>
      <c r="BJ103" s="41"/>
      <c r="BK103" s="69"/>
      <c r="BL103" s="39"/>
      <c r="BM103" s="39"/>
      <c r="BN103" s="39"/>
      <c r="BO103" s="39"/>
      <c r="BP103" s="39"/>
      <c r="BQ103" s="39"/>
      <c r="BR103" s="39"/>
      <c r="BS103" s="39"/>
      <c r="BT103" s="39"/>
      <c r="BU103" s="39"/>
      <c r="BV103" s="39"/>
      <c r="BW103" s="39"/>
      <c r="BX103" s="39"/>
      <c r="BY103" s="39"/>
    </row>
    <row r="104" spans="1:77" s="37" customFormat="1">
      <c r="A104" s="39"/>
      <c r="B104" s="38"/>
      <c r="C104" s="684"/>
      <c r="D104" s="38"/>
      <c r="E104" s="38"/>
      <c r="F104" s="38"/>
      <c r="G104" s="38"/>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39"/>
      <c r="AT104" s="39"/>
      <c r="AU104" s="39"/>
      <c r="AV104" s="123"/>
      <c r="AW104" s="124"/>
      <c r="AX104" s="76"/>
      <c r="AY104" s="76"/>
      <c r="AZ104" s="76"/>
      <c r="BA104" s="125"/>
      <c r="BB104" s="125"/>
      <c r="BC104" s="125"/>
      <c r="BD104" s="125"/>
      <c r="BE104" s="125"/>
      <c r="BF104" s="125"/>
      <c r="BG104" s="125"/>
      <c r="BH104" s="125"/>
      <c r="BI104" s="125"/>
      <c r="BJ104" s="41"/>
      <c r="BK104" s="69"/>
      <c r="BL104" s="39"/>
      <c r="BM104" s="39"/>
      <c r="BN104" s="39"/>
      <c r="BO104" s="39"/>
      <c r="BP104" s="39"/>
      <c r="BQ104" s="39"/>
      <c r="BR104" s="39"/>
      <c r="BS104" s="39"/>
      <c r="BT104" s="39"/>
      <c r="BU104" s="39"/>
      <c r="BV104" s="39"/>
      <c r="BW104" s="39"/>
      <c r="BX104" s="39"/>
      <c r="BY104" s="39"/>
    </row>
    <row r="105" spans="1:77" s="37" customFormat="1">
      <c r="A105" s="39"/>
      <c r="B105" s="38"/>
      <c r="C105" s="684"/>
      <c r="D105" s="38"/>
      <c r="E105" s="38"/>
      <c r="F105" s="38"/>
      <c r="G105" s="38"/>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123"/>
      <c r="AW105" s="124"/>
      <c r="AX105" s="76"/>
      <c r="AY105" s="76"/>
      <c r="AZ105" s="76"/>
      <c r="BA105" s="125"/>
      <c r="BB105" s="125"/>
      <c r="BC105" s="125"/>
      <c r="BD105" s="125"/>
      <c r="BE105" s="125"/>
      <c r="BF105" s="125"/>
      <c r="BG105" s="125"/>
      <c r="BH105" s="125"/>
      <c r="BI105" s="125"/>
      <c r="BJ105" s="41"/>
      <c r="BK105" s="69"/>
      <c r="BL105" s="39"/>
      <c r="BM105" s="39"/>
      <c r="BN105" s="39"/>
      <c r="BO105" s="39"/>
      <c r="BP105" s="39"/>
      <c r="BQ105" s="39"/>
      <c r="BR105" s="39"/>
      <c r="BS105" s="39"/>
      <c r="BT105" s="39"/>
      <c r="BU105" s="39"/>
      <c r="BV105" s="39"/>
      <c r="BW105" s="39"/>
      <c r="BX105" s="39"/>
      <c r="BY105" s="39"/>
    </row>
    <row r="106" spans="1:77" s="37" customFormat="1">
      <c r="A106" s="39"/>
      <c r="B106" s="38"/>
      <c r="C106" s="684"/>
      <c r="D106" s="38"/>
      <c r="E106" s="38"/>
      <c r="F106" s="38"/>
      <c r="G106" s="38"/>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123"/>
      <c r="AW106" s="124"/>
      <c r="AX106" s="76"/>
      <c r="AY106" s="76"/>
      <c r="AZ106" s="76"/>
      <c r="BA106" s="125"/>
      <c r="BB106" s="125"/>
      <c r="BC106" s="125"/>
      <c r="BD106" s="125"/>
      <c r="BE106" s="125"/>
      <c r="BF106" s="125"/>
      <c r="BG106" s="125"/>
      <c r="BH106" s="125"/>
      <c r="BI106" s="125"/>
      <c r="BJ106" s="41"/>
      <c r="BK106" s="69"/>
      <c r="BL106" s="39"/>
      <c r="BM106" s="39"/>
      <c r="BN106" s="39"/>
      <c r="BO106" s="39"/>
      <c r="BP106" s="39"/>
      <c r="BQ106" s="39"/>
      <c r="BR106" s="39"/>
      <c r="BS106" s="39"/>
      <c r="BT106" s="39"/>
      <c r="BU106" s="39"/>
      <c r="BV106" s="39"/>
      <c r="BW106" s="39"/>
      <c r="BX106" s="39"/>
      <c r="BY106" s="39"/>
    </row>
    <row r="107" spans="1:77" s="37" customFormat="1">
      <c r="A107" s="39"/>
      <c r="B107" s="38"/>
      <c r="C107" s="684"/>
      <c r="D107" s="38"/>
      <c r="E107" s="38"/>
      <c r="F107" s="38"/>
      <c r="G107" s="38"/>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123"/>
      <c r="AW107" s="124"/>
      <c r="AX107" s="76"/>
      <c r="AY107" s="76"/>
      <c r="AZ107" s="76"/>
      <c r="BA107" s="125"/>
      <c r="BB107" s="125"/>
      <c r="BC107" s="125"/>
      <c r="BD107" s="125"/>
      <c r="BE107" s="125"/>
      <c r="BF107" s="125"/>
      <c r="BG107" s="125"/>
      <c r="BH107" s="125"/>
      <c r="BI107" s="125"/>
      <c r="BJ107" s="41"/>
      <c r="BK107" s="69"/>
      <c r="BL107" s="39"/>
      <c r="BM107" s="39"/>
      <c r="BN107" s="39"/>
      <c r="BO107" s="39"/>
      <c r="BP107" s="39"/>
      <c r="BQ107" s="39"/>
      <c r="BR107" s="39"/>
      <c r="BS107" s="39"/>
      <c r="BT107" s="39"/>
      <c r="BU107" s="39"/>
      <c r="BV107" s="39"/>
      <c r="BW107" s="39"/>
      <c r="BX107" s="39"/>
      <c r="BY107" s="39"/>
    </row>
    <row r="108" spans="1:77" s="37" customFormat="1">
      <c r="A108" s="39"/>
      <c r="B108" s="38"/>
      <c r="C108" s="684"/>
      <c r="D108" s="38"/>
      <c r="E108" s="38"/>
      <c r="F108" s="38"/>
      <c r="G108" s="38"/>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123"/>
      <c r="AW108" s="124"/>
      <c r="AX108" s="76"/>
      <c r="AY108" s="76"/>
      <c r="AZ108" s="76"/>
      <c r="BA108" s="125"/>
      <c r="BB108" s="125"/>
      <c r="BC108" s="125"/>
      <c r="BD108" s="125"/>
      <c r="BE108" s="125"/>
      <c r="BF108" s="125"/>
      <c r="BG108" s="125"/>
      <c r="BH108" s="125"/>
      <c r="BI108" s="125"/>
      <c r="BJ108" s="41"/>
      <c r="BK108" s="69"/>
      <c r="BL108" s="39"/>
      <c r="BM108" s="39"/>
      <c r="BN108" s="39"/>
      <c r="BO108" s="39"/>
      <c r="BP108" s="39"/>
      <c r="BQ108" s="39"/>
      <c r="BR108" s="39"/>
      <c r="BS108" s="39"/>
      <c r="BT108" s="39"/>
      <c r="BU108" s="39"/>
      <c r="BV108" s="39"/>
      <c r="BW108" s="39"/>
      <c r="BX108" s="39"/>
      <c r="BY108" s="39"/>
    </row>
    <row r="109" spans="1:77" s="37" customFormat="1">
      <c r="A109" s="39"/>
      <c r="B109" s="38"/>
      <c r="C109" s="684"/>
      <c r="D109" s="38"/>
      <c r="E109" s="38"/>
      <c r="F109" s="38"/>
      <c r="G109" s="38"/>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123"/>
      <c r="AW109" s="124"/>
      <c r="AX109" s="76"/>
      <c r="AY109" s="76"/>
      <c r="AZ109" s="76"/>
      <c r="BA109" s="125"/>
      <c r="BB109" s="125"/>
      <c r="BC109" s="125"/>
      <c r="BD109" s="125"/>
      <c r="BE109" s="125"/>
      <c r="BF109" s="125"/>
      <c r="BG109" s="125"/>
      <c r="BH109" s="125"/>
      <c r="BI109" s="125"/>
      <c r="BJ109" s="41"/>
      <c r="BK109" s="69"/>
      <c r="BL109" s="39"/>
      <c r="BM109" s="39"/>
      <c r="BN109" s="39"/>
      <c r="BO109" s="39"/>
      <c r="BP109" s="39"/>
      <c r="BQ109" s="39"/>
      <c r="BR109" s="39"/>
      <c r="BS109" s="39"/>
      <c r="BT109" s="39"/>
      <c r="BU109" s="39"/>
      <c r="BV109" s="39"/>
      <c r="BW109" s="39"/>
      <c r="BX109" s="39"/>
      <c r="BY109" s="39"/>
    </row>
    <row r="110" spans="1:77" s="37" customFormat="1">
      <c r="A110" s="39"/>
      <c r="B110" s="38"/>
      <c r="C110" s="684"/>
      <c r="D110" s="38"/>
      <c r="E110" s="38"/>
      <c r="F110" s="38"/>
      <c r="G110" s="38"/>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123"/>
      <c r="AW110" s="124"/>
      <c r="AX110" s="76"/>
      <c r="AY110" s="76"/>
      <c r="AZ110" s="76"/>
      <c r="BA110" s="125"/>
      <c r="BB110" s="125"/>
      <c r="BC110" s="125"/>
      <c r="BD110" s="125"/>
      <c r="BE110" s="125"/>
      <c r="BF110" s="125"/>
      <c r="BG110" s="125"/>
      <c r="BH110" s="125"/>
      <c r="BI110" s="125"/>
      <c r="BJ110" s="41"/>
      <c r="BK110" s="69"/>
      <c r="BL110" s="39"/>
      <c r="BM110" s="39"/>
      <c r="BN110" s="39"/>
      <c r="BO110" s="39"/>
      <c r="BP110" s="39"/>
      <c r="BQ110" s="39"/>
      <c r="BR110" s="39"/>
      <c r="BS110" s="39"/>
      <c r="BT110" s="39"/>
      <c r="BU110" s="39"/>
      <c r="BV110" s="39"/>
      <c r="BW110" s="39"/>
      <c r="BX110" s="39"/>
      <c r="BY110" s="39"/>
    </row>
    <row r="111" spans="1:77" s="37" customFormat="1">
      <c r="A111" s="39"/>
      <c r="B111" s="40"/>
      <c r="C111" s="684"/>
      <c r="D111" s="38"/>
      <c r="E111" s="38"/>
      <c r="F111" s="38"/>
      <c r="G111" s="38"/>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c r="AL111" s="39"/>
      <c r="AM111" s="39"/>
      <c r="AN111" s="39"/>
      <c r="AO111" s="39"/>
      <c r="AP111" s="39"/>
      <c r="AQ111" s="39"/>
      <c r="AR111" s="39"/>
      <c r="AS111" s="39"/>
      <c r="AT111" s="39"/>
      <c r="AU111" s="39"/>
      <c r="AV111" s="123"/>
      <c r="AW111" s="124"/>
      <c r="AX111" s="76"/>
      <c r="AY111" s="76"/>
      <c r="AZ111" s="76"/>
      <c r="BA111" s="125"/>
      <c r="BB111" s="125"/>
      <c r="BC111" s="125"/>
      <c r="BD111" s="125"/>
      <c r="BE111" s="125"/>
      <c r="BF111" s="125"/>
      <c r="BG111" s="125"/>
      <c r="BH111" s="125"/>
      <c r="BI111" s="125"/>
      <c r="BJ111" s="41"/>
      <c r="BK111" s="69"/>
      <c r="BL111" s="39"/>
      <c r="BM111" s="39"/>
      <c r="BN111" s="39"/>
      <c r="BO111" s="39"/>
      <c r="BP111" s="39"/>
      <c r="BQ111" s="39"/>
      <c r="BR111" s="39"/>
      <c r="BS111" s="39"/>
      <c r="BT111" s="39"/>
      <c r="BU111" s="39"/>
      <c r="BV111" s="39"/>
      <c r="BW111" s="39"/>
      <c r="BX111" s="39"/>
      <c r="BY111" s="39"/>
    </row>
    <row r="112" spans="1:77" s="37" customFormat="1">
      <c r="A112" s="39"/>
      <c r="B112" s="40"/>
      <c r="C112" s="684"/>
      <c r="D112" s="38"/>
      <c r="E112" s="38"/>
      <c r="F112" s="38"/>
      <c r="G112" s="38"/>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39"/>
      <c r="AM112" s="39"/>
      <c r="AN112" s="39"/>
      <c r="AO112" s="39"/>
      <c r="AP112" s="39"/>
      <c r="AQ112" s="39"/>
      <c r="AR112" s="39"/>
      <c r="AS112" s="39"/>
      <c r="AT112" s="39"/>
      <c r="AU112" s="39"/>
      <c r="AV112" s="123"/>
      <c r="AW112" s="124"/>
      <c r="AX112" s="76"/>
      <c r="AY112" s="76"/>
      <c r="AZ112" s="76"/>
      <c r="BA112" s="125"/>
      <c r="BB112" s="125"/>
      <c r="BC112" s="125"/>
      <c r="BD112" s="125"/>
      <c r="BE112" s="125"/>
      <c r="BF112" s="125"/>
      <c r="BG112" s="125"/>
      <c r="BH112" s="125"/>
      <c r="BI112" s="125"/>
      <c r="BJ112" s="41"/>
      <c r="BK112" s="69"/>
      <c r="BL112" s="39"/>
      <c r="BM112" s="39"/>
      <c r="BN112" s="39"/>
      <c r="BO112" s="39"/>
      <c r="BP112" s="39"/>
      <c r="BQ112" s="39"/>
      <c r="BR112" s="39"/>
      <c r="BS112" s="39"/>
      <c r="BT112" s="39"/>
      <c r="BU112" s="39"/>
      <c r="BV112" s="39"/>
      <c r="BW112" s="39"/>
      <c r="BX112" s="39"/>
      <c r="BY112" s="39"/>
    </row>
    <row r="113" spans="1:77" s="37" customFormat="1">
      <c r="A113" s="39"/>
      <c r="B113" s="38"/>
      <c r="C113" s="684"/>
      <c r="D113" s="38"/>
      <c r="E113" s="38"/>
      <c r="F113" s="38"/>
      <c r="G113" s="38"/>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123"/>
      <c r="AW113" s="124"/>
      <c r="AX113" s="76"/>
      <c r="AY113" s="76"/>
      <c r="AZ113" s="76"/>
      <c r="BA113" s="125"/>
      <c r="BB113" s="125"/>
      <c r="BC113" s="125"/>
      <c r="BD113" s="125"/>
      <c r="BE113" s="125"/>
      <c r="BF113" s="125"/>
      <c r="BG113" s="125"/>
      <c r="BH113" s="125"/>
      <c r="BI113" s="125"/>
      <c r="BJ113" s="41"/>
      <c r="BK113" s="69"/>
      <c r="BL113" s="39"/>
      <c r="BM113" s="39"/>
      <c r="BN113" s="39"/>
      <c r="BO113" s="39"/>
      <c r="BP113" s="39"/>
      <c r="BQ113" s="39"/>
      <c r="BR113" s="39"/>
      <c r="BS113" s="39"/>
      <c r="BT113" s="39"/>
      <c r="BU113" s="39"/>
      <c r="BV113" s="39"/>
      <c r="BW113" s="39"/>
      <c r="BX113" s="39"/>
      <c r="BY113" s="39"/>
    </row>
    <row r="114" spans="1:77" s="37" customFormat="1">
      <c r="A114" s="39"/>
      <c r="B114" s="38"/>
      <c r="C114" s="684"/>
      <c r="D114" s="38"/>
      <c r="E114" s="38"/>
      <c r="F114" s="38"/>
      <c r="G114" s="38"/>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c r="AP114" s="39"/>
      <c r="AQ114" s="39"/>
      <c r="AR114" s="39"/>
      <c r="AS114" s="39"/>
      <c r="AT114" s="39"/>
      <c r="AU114" s="39"/>
      <c r="AV114" s="123"/>
      <c r="AW114" s="124"/>
      <c r="AX114" s="76"/>
      <c r="AY114" s="76"/>
      <c r="AZ114" s="76"/>
      <c r="BA114" s="125"/>
      <c r="BB114" s="125"/>
      <c r="BC114" s="125"/>
      <c r="BD114" s="125"/>
      <c r="BE114" s="125"/>
      <c r="BF114" s="125"/>
      <c r="BG114" s="125"/>
      <c r="BH114" s="125"/>
      <c r="BI114" s="125"/>
      <c r="BJ114" s="41"/>
      <c r="BK114" s="69"/>
      <c r="BL114" s="39"/>
      <c r="BM114" s="39"/>
      <c r="BN114" s="39"/>
      <c r="BO114" s="39"/>
      <c r="BP114" s="39"/>
      <c r="BQ114" s="39"/>
      <c r="BR114" s="39"/>
      <c r="BS114" s="39"/>
      <c r="BT114" s="39"/>
      <c r="BU114" s="39"/>
      <c r="BV114" s="39"/>
      <c r="BW114" s="39"/>
      <c r="BX114" s="39"/>
      <c r="BY114" s="39"/>
    </row>
    <row r="115" spans="1:77" s="37" customFormat="1">
      <c r="A115" s="39"/>
      <c r="B115" s="40"/>
      <c r="C115" s="684"/>
      <c r="D115" s="38"/>
      <c r="E115" s="38"/>
      <c r="F115" s="38"/>
      <c r="G115" s="38"/>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c r="AP115" s="39"/>
      <c r="AQ115" s="39"/>
      <c r="AR115" s="39"/>
      <c r="AS115" s="39"/>
      <c r="AT115" s="39"/>
      <c r="AU115" s="39"/>
      <c r="AV115" s="123"/>
      <c r="AW115" s="124"/>
      <c r="AX115" s="76"/>
      <c r="AY115" s="76"/>
      <c r="AZ115" s="76"/>
      <c r="BA115" s="125"/>
      <c r="BB115" s="125"/>
      <c r="BC115" s="125"/>
      <c r="BD115" s="125"/>
      <c r="BE115" s="125"/>
      <c r="BF115" s="125"/>
      <c r="BG115" s="125"/>
      <c r="BH115" s="125"/>
      <c r="BI115" s="125"/>
      <c r="BJ115" s="41"/>
      <c r="BK115" s="69"/>
      <c r="BL115" s="39"/>
      <c r="BM115" s="39"/>
      <c r="BN115" s="39"/>
      <c r="BO115" s="39"/>
      <c r="BP115" s="39"/>
      <c r="BQ115" s="39"/>
      <c r="BR115" s="39"/>
      <c r="BS115" s="39"/>
      <c r="BT115" s="39"/>
      <c r="BU115" s="39"/>
      <c r="BV115" s="39"/>
      <c r="BW115" s="39"/>
      <c r="BX115" s="39"/>
      <c r="BY115" s="39"/>
    </row>
    <row r="116" spans="1:77" s="37" customFormat="1">
      <c r="A116" s="39"/>
      <c r="B116" s="38"/>
      <c r="C116" s="684"/>
      <c r="D116" s="38"/>
      <c r="E116" s="38"/>
      <c r="F116" s="38"/>
      <c r="G116" s="38"/>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123"/>
      <c r="AW116" s="124"/>
      <c r="AX116" s="76"/>
      <c r="AY116" s="76"/>
      <c r="AZ116" s="76"/>
      <c r="BA116" s="125"/>
      <c r="BB116" s="125"/>
      <c r="BC116" s="125"/>
      <c r="BD116" s="125"/>
      <c r="BE116" s="125"/>
      <c r="BF116" s="125"/>
      <c r="BG116" s="125"/>
      <c r="BH116" s="125"/>
      <c r="BI116" s="125"/>
      <c r="BJ116" s="41"/>
      <c r="BK116" s="69"/>
      <c r="BL116" s="39"/>
      <c r="BM116" s="39"/>
      <c r="BN116" s="39"/>
      <c r="BO116" s="39"/>
      <c r="BP116" s="39"/>
      <c r="BQ116" s="39"/>
      <c r="BR116" s="39"/>
      <c r="BS116" s="39"/>
      <c r="BT116" s="39"/>
      <c r="BU116" s="39"/>
      <c r="BV116" s="39"/>
      <c r="BW116" s="39"/>
      <c r="BX116" s="39"/>
      <c r="BY116" s="39"/>
    </row>
    <row r="117" spans="1:77" s="37" customFormat="1">
      <c r="A117" s="39"/>
      <c r="B117" s="38"/>
      <c r="C117" s="684"/>
      <c r="D117" s="38"/>
      <c r="E117" s="38"/>
      <c r="F117" s="38"/>
      <c r="G117" s="38"/>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c r="AP117" s="39"/>
      <c r="AQ117" s="39"/>
      <c r="AR117" s="39"/>
      <c r="AS117" s="39"/>
      <c r="AT117" s="39"/>
      <c r="AU117" s="39"/>
      <c r="AV117" s="123"/>
      <c r="AW117" s="124"/>
      <c r="AX117" s="76"/>
      <c r="AY117" s="76"/>
      <c r="AZ117" s="76"/>
      <c r="BA117" s="125"/>
      <c r="BB117" s="125"/>
      <c r="BC117" s="125"/>
      <c r="BD117" s="125"/>
      <c r="BE117" s="125"/>
      <c r="BF117" s="125"/>
      <c r="BG117" s="125"/>
      <c r="BH117" s="125"/>
      <c r="BI117" s="125"/>
      <c r="BJ117" s="41"/>
      <c r="BK117" s="69"/>
      <c r="BL117" s="39"/>
      <c r="BM117" s="39"/>
      <c r="BN117" s="39"/>
      <c r="BO117" s="39"/>
      <c r="BP117" s="39"/>
      <c r="BQ117" s="39"/>
      <c r="BR117" s="39"/>
      <c r="BS117" s="39"/>
      <c r="BT117" s="39"/>
      <c r="BU117" s="39"/>
      <c r="BV117" s="39"/>
      <c r="BW117" s="39"/>
      <c r="BX117" s="39"/>
      <c r="BY117" s="39"/>
    </row>
    <row r="118" spans="1:77" s="37" customFormat="1">
      <c r="A118" s="39"/>
      <c r="B118" s="38"/>
      <c r="C118" s="684"/>
      <c r="D118" s="38"/>
      <c r="E118" s="38"/>
      <c r="F118" s="38"/>
      <c r="G118" s="38"/>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123"/>
      <c r="AW118" s="124"/>
      <c r="AX118" s="76"/>
      <c r="AY118" s="76"/>
      <c r="AZ118" s="76"/>
      <c r="BA118" s="125"/>
      <c r="BB118" s="125"/>
      <c r="BC118" s="125"/>
      <c r="BD118" s="125"/>
      <c r="BE118" s="125"/>
      <c r="BF118" s="125"/>
      <c r="BG118" s="125"/>
      <c r="BH118" s="125"/>
      <c r="BI118" s="125"/>
      <c r="BJ118" s="41"/>
      <c r="BK118" s="69"/>
      <c r="BL118" s="39"/>
      <c r="BM118" s="39"/>
      <c r="BN118" s="39"/>
      <c r="BO118" s="39"/>
      <c r="BP118" s="39"/>
      <c r="BQ118" s="39"/>
      <c r="BR118" s="39"/>
      <c r="BS118" s="39"/>
      <c r="BT118" s="39"/>
      <c r="BU118" s="39"/>
      <c r="BV118" s="39"/>
      <c r="BW118" s="39"/>
      <c r="BX118" s="39"/>
      <c r="BY118" s="39"/>
    </row>
    <row r="119" spans="1:77" s="37" customFormat="1">
      <c r="A119" s="39"/>
      <c r="B119" s="38"/>
      <c r="C119" s="684"/>
      <c r="D119" s="38"/>
      <c r="E119" s="38"/>
      <c r="F119" s="38"/>
      <c r="G119" s="38"/>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123"/>
      <c r="AW119" s="124"/>
      <c r="AX119" s="76"/>
      <c r="AY119" s="76"/>
      <c r="AZ119" s="76"/>
      <c r="BA119" s="125"/>
      <c r="BB119" s="125"/>
      <c r="BC119" s="125"/>
      <c r="BD119" s="125"/>
      <c r="BE119" s="125"/>
      <c r="BF119" s="125"/>
      <c r="BG119" s="125"/>
      <c r="BH119" s="125"/>
      <c r="BI119" s="125"/>
      <c r="BJ119" s="41"/>
      <c r="BK119" s="69"/>
      <c r="BL119" s="39"/>
      <c r="BM119" s="39"/>
      <c r="BN119" s="39"/>
      <c r="BO119" s="39"/>
      <c r="BP119" s="39"/>
      <c r="BQ119" s="39"/>
      <c r="BR119" s="39"/>
      <c r="BS119" s="39"/>
      <c r="BT119" s="39"/>
      <c r="BU119" s="39"/>
      <c r="BV119" s="39"/>
      <c r="BW119" s="39"/>
      <c r="BX119" s="39"/>
      <c r="BY119" s="39"/>
    </row>
    <row r="120" spans="1:77" s="37" customFormat="1">
      <c r="A120" s="39"/>
      <c r="B120" s="38"/>
      <c r="C120" s="684"/>
      <c r="D120" s="38"/>
      <c r="E120" s="38"/>
      <c r="F120" s="38"/>
      <c r="G120" s="38"/>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39"/>
      <c r="AR120" s="39"/>
      <c r="AS120" s="39"/>
      <c r="AT120" s="39"/>
      <c r="AU120" s="39"/>
      <c r="AV120" s="123"/>
      <c r="AW120" s="124"/>
      <c r="AX120" s="76"/>
      <c r="AY120" s="76"/>
      <c r="AZ120" s="76"/>
      <c r="BA120" s="125"/>
      <c r="BB120" s="125"/>
      <c r="BC120" s="125"/>
      <c r="BD120" s="125"/>
      <c r="BE120" s="125"/>
      <c r="BF120" s="125"/>
      <c r="BG120" s="125"/>
      <c r="BH120" s="125"/>
      <c r="BI120" s="125"/>
      <c r="BJ120" s="41"/>
      <c r="BK120" s="69"/>
      <c r="BL120" s="39"/>
      <c r="BM120" s="39"/>
      <c r="BN120" s="39"/>
      <c r="BO120" s="39"/>
      <c r="BP120" s="39"/>
      <c r="BQ120" s="39"/>
      <c r="BR120" s="39"/>
      <c r="BS120" s="39"/>
      <c r="BT120" s="39"/>
      <c r="BU120" s="39"/>
      <c r="BV120" s="39"/>
      <c r="BW120" s="39"/>
      <c r="BX120" s="39"/>
      <c r="BY120" s="39"/>
    </row>
    <row r="121" spans="1:77" s="37" customFormat="1">
      <c r="A121" s="39"/>
      <c r="B121" s="40"/>
      <c r="C121" s="684"/>
      <c r="D121" s="38"/>
      <c r="E121" s="38"/>
      <c r="F121" s="38"/>
      <c r="G121" s="38"/>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39"/>
      <c r="AR121" s="39"/>
      <c r="AS121" s="39"/>
      <c r="AT121" s="39"/>
      <c r="AU121" s="39"/>
      <c r="AV121" s="123"/>
      <c r="AW121" s="124"/>
      <c r="AX121" s="76"/>
      <c r="AY121" s="76"/>
      <c r="AZ121" s="76"/>
      <c r="BA121" s="125"/>
      <c r="BB121" s="125"/>
      <c r="BC121" s="125"/>
      <c r="BD121" s="125"/>
      <c r="BE121" s="125"/>
      <c r="BF121" s="125"/>
      <c r="BG121" s="125"/>
      <c r="BH121" s="125"/>
      <c r="BI121" s="125"/>
      <c r="BJ121" s="41"/>
      <c r="BK121" s="69"/>
      <c r="BL121" s="39"/>
      <c r="BM121" s="39"/>
      <c r="BN121" s="39"/>
      <c r="BO121" s="39"/>
      <c r="BP121" s="39"/>
      <c r="BQ121" s="39"/>
      <c r="BR121" s="39"/>
      <c r="BS121" s="39"/>
      <c r="BT121" s="39"/>
      <c r="BU121" s="39"/>
      <c r="BV121" s="39"/>
      <c r="BW121" s="39"/>
      <c r="BX121" s="39"/>
      <c r="BY121" s="39"/>
    </row>
    <row r="122" spans="1:77" s="37" customFormat="1">
      <c r="A122" s="39"/>
      <c r="B122" s="38"/>
      <c r="C122" s="684"/>
      <c r="D122" s="38"/>
      <c r="E122" s="38"/>
      <c r="F122" s="38"/>
      <c r="G122" s="38"/>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c r="AN122" s="39"/>
      <c r="AO122" s="39"/>
      <c r="AP122" s="39"/>
      <c r="AQ122" s="39"/>
      <c r="AR122" s="39"/>
      <c r="AS122" s="39"/>
      <c r="AT122" s="39"/>
      <c r="AU122" s="39"/>
      <c r="AV122" s="123"/>
      <c r="AW122" s="124"/>
      <c r="AX122" s="76"/>
      <c r="AY122" s="76"/>
      <c r="AZ122" s="76"/>
      <c r="BA122" s="125"/>
      <c r="BB122" s="125"/>
      <c r="BC122" s="125"/>
      <c r="BD122" s="125"/>
      <c r="BE122" s="125"/>
      <c r="BF122" s="125"/>
      <c r="BG122" s="125"/>
      <c r="BH122" s="125"/>
      <c r="BI122" s="125"/>
      <c r="BJ122" s="41"/>
      <c r="BK122" s="69"/>
      <c r="BL122" s="39"/>
      <c r="BM122" s="39"/>
      <c r="BN122" s="39"/>
      <c r="BO122" s="39"/>
      <c r="BP122" s="39"/>
      <c r="BQ122" s="39"/>
      <c r="BR122" s="39"/>
      <c r="BS122" s="39"/>
      <c r="BT122" s="39"/>
      <c r="BU122" s="39"/>
      <c r="BV122" s="39"/>
      <c r="BW122" s="39"/>
      <c r="BX122" s="39"/>
      <c r="BY122" s="39"/>
    </row>
    <row r="123" spans="1:77" s="37" customFormat="1">
      <c r="A123" s="39"/>
      <c r="B123" s="38"/>
      <c r="C123" s="684"/>
      <c r="D123" s="38"/>
      <c r="E123" s="38"/>
      <c r="F123" s="38"/>
      <c r="G123" s="38"/>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c r="AP123" s="39"/>
      <c r="AQ123" s="39"/>
      <c r="AR123" s="39"/>
      <c r="AS123" s="39"/>
      <c r="AT123" s="39"/>
      <c r="AU123" s="39"/>
      <c r="AV123" s="123"/>
      <c r="AW123" s="124"/>
      <c r="AX123" s="76"/>
      <c r="AY123" s="76"/>
      <c r="AZ123" s="76"/>
      <c r="BA123" s="125"/>
      <c r="BB123" s="125"/>
      <c r="BC123" s="125"/>
      <c r="BD123" s="125"/>
      <c r="BE123" s="125"/>
      <c r="BF123" s="125"/>
      <c r="BG123" s="125"/>
      <c r="BH123" s="125"/>
      <c r="BI123" s="125"/>
      <c r="BJ123" s="41"/>
      <c r="BK123" s="69"/>
      <c r="BL123" s="39"/>
      <c r="BM123" s="39"/>
      <c r="BN123" s="39"/>
      <c r="BO123" s="39"/>
      <c r="BP123" s="39"/>
      <c r="BQ123" s="39"/>
      <c r="BR123" s="39"/>
      <c r="BS123" s="39"/>
      <c r="BT123" s="39"/>
      <c r="BU123" s="39"/>
      <c r="BV123" s="39"/>
      <c r="BW123" s="39"/>
      <c r="BX123" s="39"/>
      <c r="BY123" s="39"/>
    </row>
    <row r="124" spans="1:77" s="37" customFormat="1">
      <c r="A124" s="39"/>
      <c r="B124" s="38"/>
      <c r="C124" s="684"/>
      <c r="D124" s="38"/>
      <c r="E124" s="38"/>
      <c r="F124" s="38"/>
      <c r="G124" s="38"/>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9"/>
      <c r="AR124" s="39"/>
      <c r="AS124" s="39"/>
      <c r="AT124" s="39"/>
      <c r="AU124" s="39"/>
      <c r="AV124" s="123"/>
      <c r="AW124" s="124"/>
      <c r="AX124" s="76"/>
      <c r="AY124" s="76"/>
      <c r="AZ124" s="76"/>
      <c r="BA124" s="125"/>
      <c r="BB124" s="125"/>
      <c r="BC124" s="125"/>
      <c r="BD124" s="125"/>
      <c r="BE124" s="125"/>
      <c r="BF124" s="125"/>
      <c r="BG124" s="125"/>
      <c r="BH124" s="125"/>
      <c r="BI124" s="125"/>
      <c r="BJ124" s="41"/>
      <c r="BK124" s="69"/>
      <c r="BL124" s="39"/>
      <c r="BM124" s="39"/>
      <c r="BN124" s="39"/>
      <c r="BO124" s="39"/>
      <c r="BP124" s="39"/>
      <c r="BQ124" s="39"/>
      <c r="BR124" s="39"/>
      <c r="BS124" s="39"/>
      <c r="BT124" s="39"/>
      <c r="BU124" s="39"/>
      <c r="BV124" s="39"/>
      <c r="BW124" s="39"/>
      <c r="BX124" s="39"/>
      <c r="BY124" s="39"/>
    </row>
    <row r="125" spans="1:77" s="37" customFormat="1">
      <c r="A125" s="39"/>
      <c r="B125" s="38"/>
      <c r="C125" s="684"/>
      <c r="D125" s="38"/>
      <c r="E125" s="38"/>
      <c r="F125" s="38"/>
      <c r="G125" s="38"/>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123"/>
      <c r="AW125" s="124"/>
      <c r="AX125" s="76"/>
      <c r="AY125" s="76"/>
      <c r="AZ125" s="76"/>
      <c r="BA125" s="125"/>
      <c r="BB125" s="125"/>
      <c r="BC125" s="125"/>
      <c r="BD125" s="125"/>
      <c r="BE125" s="125"/>
      <c r="BF125" s="125"/>
      <c r="BG125" s="125"/>
      <c r="BH125" s="125"/>
      <c r="BI125" s="125"/>
      <c r="BJ125" s="41"/>
      <c r="BK125" s="69"/>
      <c r="BL125" s="39"/>
      <c r="BM125" s="39"/>
      <c r="BN125" s="39"/>
      <c r="BO125" s="39"/>
      <c r="BP125" s="39"/>
      <c r="BQ125" s="39"/>
      <c r="BR125" s="39"/>
      <c r="BS125" s="39"/>
      <c r="BT125" s="39"/>
      <c r="BU125" s="39"/>
      <c r="BV125" s="39"/>
      <c r="BW125" s="39"/>
      <c r="BX125" s="39"/>
      <c r="BY125" s="39"/>
    </row>
    <row r="126" spans="1:77" s="37" customFormat="1">
      <c r="A126" s="39"/>
      <c r="B126" s="38"/>
      <c r="C126" s="684"/>
      <c r="D126" s="38"/>
      <c r="E126" s="38"/>
      <c r="F126" s="38"/>
      <c r="G126" s="38"/>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c r="AP126" s="39"/>
      <c r="AQ126" s="39"/>
      <c r="AR126" s="39"/>
      <c r="AS126" s="39"/>
      <c r="AT126" s="39"/>
      <c r="AU126" s="39"/>
      <c r="AV126" s="123"/>
      <c r="AW126" s="124"/>
      <c r="AX126" s="76"/>
      <c r="AY126" s="76"/>
      <c r="AZ126" s="76"/>
      <c r="BA126" s="125"/>
      <c r="BB126" s="125"/>
      <c r="BC126" s="125"/>
      <c r="BD126" s="125"/>
      <c r="BE126" s="125"/>
      <c r="BF126" s="125"/>
      <c r="BG126" s="125"/>
      <c r="BH126" s="125"/>
      <c r="BI126" s="125"/>
      <c r="BJ126" s="41"/>
      <c r="BK126" s="69"/>
      <c r="BL126" s="39"/>
      <c r="BM126" s="39"/>
      <c r="BN126" s="39"/>
      <c r="BO126" s="39"/>
      <c r="BP126" s="39"/>
      <c r="BQ126" s="39"/>
      <c r="BR126" s="39"/>
      <c r="BS126" s="39"/>
      <c r="BT126" s="39"/>
      <c r="BU126" s="39"/>
      <c r="BV126" s="39"/>
      <c r="BW126" s="39"/>
      <c r="BX126" s="39"/>
      <c r="BY126" s="39"/>
    </row>
    <row r="127" spans="1:77" s="37" customFormat="1">
      <c r="A127" s="39"/>
      <c r="B127" s="38"/>
      <c r="C127" s="684"/>
      <c r="D127" s="38"/>
      <c r="E127" s="38"/>
      <c r="F127" s="38"/>
      <c r="G127" s="38"/>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123"/>
      <c r="AW127" s="124"/>
      <c r="AX127" s="76"/>
      <c r="AY127" s="76"/>
      <c r="AZ127" s="76"/>
      <c r="BA127" s="125"/>
      <c r="BB127" s="125"/>
      <c r="BC127" s="125"/>
      <c r="BD127" s="125"/>
      <c r="BE127" s="125"/>
      <c r="BF127" s="125"/>
      <c r="BG127" s="125"/>
      <c r="BH127" s="125"/>
      <c r="BI127" s="125"/>
      <c r="BJ127" s="41"/>
      <c r="BK127" s="69"/>
      <c r="BL127" s="39"/>
      <c r="BM127" s="39"/>
      <c r="BN127" s="39"/>
      <c r="BO127" s="39"/>
      <c r="BP127" s="39"/>
      <c r="BQ127" s="39"/>
      <c r="BR127" s="39"/>
      <c r="BS127" s="39"/>
      <c r="BT127" s="39"/>
      <c r="BU127" s="39"/>
      <c r="BV127" s="39"/>
      <c r="BW127" s="39"/>
      <c r="BX127" s="39"/>
      <c r="BY127" s="39"/>
    </row>
    <row r="128" spans="1:77" s="37" customFormat="1">
      <c r="A128" s="39"/>
      <c r="B128" s="38"/>
      <c r="C128" s="684"/>
      <c r="D128" s="38"/>
      <c r="E128" s="38"/>
      <c r="F128" s="38"/>
      <c r="G128" s="38"/>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c r="AP128" s="39"/>
      <c r="AQ128" s="39"/>
      <c r="AR128" s="39"/>
      <c r="AS128" s="39"/>
      <c r="AT128" s="39"/>
      <c r="AU128" s="39"/>
      <c r="AV128" s="123"/>
      <c r="AW128" s="124"/>
      <c r="AX128" s="76"/>
      <c r="AY128" s="76"/>
      <c r="AZ128" s="76"/>
      <c r="BA128" s="125"/>
      <c r="BB128" s="125"/>
      <c r="BC128" s="125"/>
      <c r="BD128" s="125"/>
      <c r="BE128" s="125"/>
      <c r="BF128" s="125"/>
      <c r="BG128" s="125"/>
      <c r="BH128" s="125"/>
      <c r="BI128" s="125"/>
      <c r="BJ128" s="41"/>
      <c r="BK128" s="69"/>
      <c r="BL128" s="39"/>
      <c r="BM128" s="39"/>
      <c r="BN128" s="39"/>
      <c r="BO128" s="39"/>
      <c r="BP128" s="39"/>
      <c r="BQ128" s="39"/>
      <c r="BR128" s="39"/>
      <c r="BS128" s="39"/>
      <c r="BT128" s="39"/>
      <c r="BU128" s="39"/>
      <c r="BV128" s="39"/>
      <c r="BW128" s="39"/>
      <c r="BX128" s="39"/>
      <c r="BY128" s="39"/>
    </row>
    <row r="129" spans="1:77" s="37" customFormat="1">
      <c r="A129" s="39"/>
      <c r="B129" s="38"/>
      <c r="C129" s="684"/>
      <c r="D129" s="38"/>
      <c r="E129" s="38"/>
      <c r="F129" s="38"/>
      <c r="G129" s="38"/>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c r="AP129" s="39"/>
      <c r="AQ129" s="39"/>
      <c r="AR129" s="39"/>
      <c r="AS129" s="39"/>
      <c r="AT129" s="39"/>
      <c r="AU129" s="39"/>
      <c r="AV129" s="123"/>
      <c r="AW129" s="124"/>
      <c r="AX129" s="76"/>
      <c r="AY129" s="76"/>
      <c r="AZ129" s="76"/>
      <c r="BA129" s="125"/>
      <c r="BB129" s="125"/>
      <c r="BC129" s="125"/>
      <c r="BD129" s="125"/>
      <c r="BE129" s="125"/>
      <c r="BF129" s="125"/>
      <c r="BG129" s="125"/>
      <c r="BH129" s="125"/>
      <c r="BI129" s="125"/>
      <c r="BJ129" s="41"/>
      <c r="BK129" s="69"/>
      <c r="BL129" s="39"/>
      <c r="BM129" s="39"/>
      <c r="BN129" s="39"/>
      <c r="BO129" s="39"/>
      <c r="BP129" s="39"/>
      <c r="BQ129" s="39"/>
      <c r="BR129" s="39"/>
      <c r="BS129" s="39"/>
      <c r="BT129" s="39"/>
      <c r="BU129" s="39"/>
      <c r="BV129" s="39"/>
      <c r="BW129" s="39"/>
      <c r="BX129" s="39"/>
      <c r="BY129" s="39"/>
    </row>
    <row r="130" spans="1:77" s="37" customFormat="1">
      <c r="A130" s="39"/>
      <c r="B130" s="38"/>
      <c r="C130" s="684"/>
      <c r="D130" s="38"/>
      <c r="E130" s="38"/>
      <c r="F130" s="38"/>
      <c r="G130" s="38"/>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c r="AP130" s="39"/>
      <c r="AQ130" s="39"/>
      <c r="AR130" s="39"/>
      <c r="AS130" s="39"/>
      <c r="AT130" s="39"/>
      <c r="AU130" s="39"/>
      <c r="AV130" s="123"/>
      <c r="AW130" s="124"/>
      <c r="AX130" s="76"/>
      <c r="AY130" s="76"/>
      <c r="AZ130" s="76"/>
      <c r="BA130" s="125"/>
      <c r="BB130" s="125"/>
      <c r="BC130" s="125"/>
      <c r="BD130" s="125"/>
      <c r="BE130" s="125"/>
      <c r="BF130" s="125"/>
      <c r="BG130" s="125"/>
      <c r="BH130" s="125"/>
      <c r="BI130" s="125"/>
      <c r="BJ130" s="41"/>
      <c r="BK130" s="69"/>
      <c r="BL130" s="39"/>
      <c r="BM130" s="39"/>
      <c r="BN130" s="39"/>
      <c r="BO130" s="39"/>
      <c r="BP130" s="39"/>
      <c r="BQ130" s="39"/>
      <c r="BR130" s="39"/>
      <c r="BS130" s="39"/>
      <c r="BT130" s="39"/>
      <c r="BU130" s="39"/>
      <c r="BV130" s="39"/>
      <c r="BW130" s="39"/>
      <c r="BX130" s="39"/>
      <c r="BY130" s="39"/>
    </row>
    <row r="131" spans="1:77" s="37" customFormat="1">
      <c r="A131" s="39"/>
      <c r="B131" s="38"/>
      <c r="C131" s="684"/>
      <c r="D131" s="38"/>
      <c r="E131" s="38"/>
      <c r="F131" s="38"/>
      <c r="G131" s="38"/>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39"/>
      <c r="AU131" s="39"/>
      <c r="AV131" s="123"/>
      <c r="AW131" s="124"/>
      <c r="AX131" s="76"/>
      <c r="AY131" s="76"/>
      <c r="AZ131" s="76"/>
      <c r="BA131" s="125"/>
      <c r="BB131" s="125"/>
      <c r="BC131" s="125"/>
      <c r="BD131" s="125"/>
      <c r="BE131" s="125"/>
      <c r="BF131" s="125"/>
      <c r="BG131" s="125"/>
      <c r="BH131" s="125"/>
      <c r="BI131" s="125"/>
      <c r="BJ131" s="41"/>
      <c r="BK131" s="69"/>
      <c r="BL131" s="39"/>
      <c r="BM131" s="39"/>
      <c r="BN131" s="39"/>
      <c r="BO131" s="39"/>
      <c r="BP131" s="39"/>
      <c r="BQ131" s="39"/>
      <c r="BR131" s="39"/>
      <c r="BS131" s="39"/>
      <c r="BT131" s="39"/>
      <c r="BU131" s="39"/>
      <c r="BV131" s="39"/>
      <c r="BW131" s="39"/>
      <c r="BX131" s="39"/>
      <c r="BY131" s="39"/>
    </row>
    <row r="132" spans="1:77" s="37" customFormat="1">
      <c r="A132" s="39"/>
      <c r="B132" s="38"/>
      <c r="C132" s="684"/>
      <c r="D132" s="38"/>
      <c r="E132" s="38"/>
      <c r="F132" s="38"/>
      <c r="G132" s="38"/>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c r="AM132" s="39"/>
      <c r="AN132" s="39"/>
      <c r="AO132" s="39"/>
      <c r="AP132" s="39"/>
      <c r="AQ132" s="39"/>
      <c r="AR132" s="39"/>
      <c r="AS132" s="39"/>
      <c r="AT132" s="39"/>
      <c r="AU132" s="39"/>
      <c r="AV132" s="123"/>
      <c r="AW132" s="124"/>
      <c r="AX132" s="76"/>
      <c r="AY132" s="76"/>
      <c r="AZ132" s="76"/>
      <c r="BA132" s="125"/>
      <c r="BB132" s="125"/>
      <c r="BC132" s="125"/>
      <c r="BD132" s="125"/>
      <c r="BE132" s="125"/>
      <c r="BF132" s="125"/>
      <c r="BG132" s="125"/>
      <c r="BH132" s="125"/>
      <c r="BI132" s="125"/>
      <c r="BJ132" s="41"/>
      <c r="BK132" s="69"/>
      <c r="BL132" s="39"/>
      <c r="BM132" s="39"/>
      <c r="BN132" s="39"/>
      <c r="BO132" s="39"/>
      <c r="BP132" s="39"/>
      <c r="BQ132" s="39"/>
      <c r="BR132" s="39"/>
      <c r="BS132" s="39"/>
      <c r="BT132" s="39"/>
      <c r="BU132" s="39"/>
      <c r="BV132" s="39"/>
      <c r="BW132" s="39"/>
      <c r="BX132" s="39"/>
      <c r="BY132" s="39"/>
    </row>
    <row r="133" spans="1:77" s="37" customFormat="1">
      <c r="A133" s="39"/>
      <c r="B133" s="38"/>
      <c r="C133" s="684"/>
      <c r="D133" s="38"/>
      <c r="E133" s="38"/>
      <c r="F133" s="38"/>
      <c r="G133" s="38"/>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c r="AM133" s="39"/>
      <c r="AN133" s="39"/>
      <c r="AO133" s="39"/>
      <c r="AP133" s="39"/>
      <c r="AQ133" s="39"/>
      <c r="AR133" s="39"/>
      <c r="AS133" s="39"/>
      <c r="AT133" s="39"/>
      <c r="AU133" s="39"/>
      <c r="AV133" s="123"/>
      <c r="AW133" s="124"/>
      <c r="AX133" s="76"/>
      <c r="AY133" s="76"/>
      <c r="AZ133" s="76"/>
      <c r="BA133" s="125"/>
      <c r="BB133" s="125"/>
      <c r="BC133" s="125"/>
      <c r="BD133" s="125"/>
      <c r="BE133" s="125"/>
      <c r="BF133" s="125"/>
      <c r="BG133" s="125"/>
      <c r="BH133" s="125"/>
      <c r="BI133" s="125"/>
      <c r="BJ133" s="41"/>
      <c r="BK133" s="69"/>
      <c r="BL133" s="39"/>
      <c r="BM133" s="39"/>
      <c r="BN133" s="39"/>
      <c r="BO133" s="39"/>
      <c r="BP133" s="39"/>
      <c r="BQ133" s="39"/>
      <c r="BR133" s="39"/>
      <c r="BS133" s="39"/>
      <c r="BT133" s="39"/>
      <c r="BU133" s="39"/>
      <c r="BV133" s="39"/>
      <c r="BW133" s="39"/>
      <c r="BX133" s="39"/>
      <c r="BY133" s="39"/>
    </row>
    <row r="134" spans="1:77" s="37" customFormat="1">
      <c r="A134" s="39"/>
      <c r="B134" s="38"/>
      <c r="C134" s="684"/>
      <c r="D134" s="38"/>
      <c r="E134" s="38"/>
      <c r="F134" s="38"/>
      <c r="G134" s="38"/>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c r="AM134" s="39"/>
      <c r="AN134" s="39"/>
      <c r="AO134" s="39"/>
      <c r="AP134" s="39"/>
      <c r="AQ134" s="39"/>
      <c r="AR134" s="39"/>
      <c r="AS134" s="39"/>
      <c r="AT134" s="39"/>
      <c r="AU134" s="39"/>
      <c r="AV134" s="123"/>
      <c r="AW134" s="124"/>
      <c r="AX134" s="76"/>
      <c r="AY134" s="76"/>
      <c r="AZ134" s="76"/>
      <c r="BA134" s="125"/>
      <c r="BB134" s="125"/>
      <c r="BC134" s="125"/>
      <c r="BD134" s="125"/>
      <c r="BE134" s="125"/>
      <c r="BF134" s="125"/>
      <c r="BG134" s="125"/>
      <c r="BH134" s="125"/>
      <c r="BI134" s="125"/>
      <c r="BJ134" s="41"/>
      <c r="BK134" s="69"/>
      <c r="BL134" s="39"/>
      <c r="BM134" s="39"/>
      <c r="BN134" s="39"/>
      <c r="BO134" s="39"/>
      <c r="BP134" s="39"/>
      <c r="BQ134" s="39"/>
      <c r="BR134" s="39"/>
      <c r="BS134" s="39"/>
      <c r="BT134" s="39"/>
      <c r="BU134" s="39"/>
      <c r="BV134" s="39"/>
      <c r="BW134" s="39"/>
      <c r="BX134" s="39"/>
      <c r="BY134" s="39"/>
    </row>
    <row r="135" spans="1:77" s="37" customFormat="1">
      <c r="A135" s="39"/>
      <c r="B135" s="38"/>
      <c r="C135" s="684"/>
      <c r="D135" s="38"/>
      <c r="E135" s="38"/>
      <c r="F135" s="38"/>
      <c r="G135" s="38"/>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123"/>
      <c r="AW135" s="124"/>
      <c r="AX135" s="76"/>
      <c r="AY135" s="76"/>
      <c r="AZ135" s="76"/>
      <c r="BA135" s="125"/>
      <c r="BB135" s="125"/>
      <c r="BC135" s="125"/>
      <c r="BD135" s="125"/>
      <c r="BE135" s="125"/>
      <c r="BF135" s="125"/>
      <c r="BG135" s="125"/>
      <c r="BH135" s="125"/>
      <c r="BI135" s="125"/>
      <c r="BJ135" s="41"/>
      <c r="BK135" s="69"/>
      <c r="BL135" s="39"/>
      <c r="BM135" s="39"/>
      <c r="BN135" s="39"/>
      <c r="BO135" s="39"/>
      <c r="BP135" s="39"/>
      <c r="BQ135" s="39"/>
      <c r="BR135" s="39"/>
      <c r="BS135" s="39"/>
      <c r="BT135" s="39"/>
      <c r="BU135" s="39"/>
      <c r="BV135" s="39"/>
      <c r="BW135" s="39"/>
      <c r="BX135" s="39"/>
      <c r="BY135" s="39"/>
    </row>
    <row r="136" spans="1:77" s="37" customFormat="1">
      <c r="A136" s="39"/>
      <c r="B136" s="38"/>
      <c r="C136" s="684"/>
      <c r="D136" s="38"/>
      <c r="E136" s="38"/>
      <c r="F136" s="38"/>
      <c r="G136" s="38"/>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c r="AM136" s="39"/>
      <c r="AN136" s="39"/>
      <c r="AO136" s="39"/>
      <c r="AP136" s="39"/>
      <c r="AQ136" s="39"/>
      <c r="AR136" s="39"/>
      <c r="AS136" s="39"/>
      <c r="AT136" s="39"/>
      <c r="AU136" s="39"/>
      <c r="AV136" s="123"/>
      <c r="AW136" s="124"/>
      <c r="AX136" s="76"/>
      <c r="AY136" s="76"/>
      <c r="AZ136" s="76"/>
      <c r="BA136" s="125"/>
      <c r="BB136" s="125"/>
      <c r="BC136" s="125"/>
      <c r="BD136" s="125"/>
      <c r="BE136" s="125"/>
      <c r="BF136" s="125"/>
      <c r="BG136" s="125"/>
      <c r="BH136" s="125"/>
      <c r="BI136" s="125"/>
      <c r="BJ136" s="41"/>
      <c r="BK136" s="69"/>
      <c r="BL136" s="39"/>
      <c r="BM136" s="39"/>
      <c r="BN136" s="39"/>
      <c r="BO136" s="39"/>
      <c r="BP136" s="39"/>
      <c r="BQ136" s="39"/>
      <c r="BR136" s="39"/>
      <c r="BS136" s="39"/>
      <c r="BT136" s="39"/>
      <c r="BU136" s="39"/>
      <c r="BV136" s="39"/>
      <c r="BW136" s="39"/>
      <c r="BX136" s="39"/>
      <c r="BY136" s="39"/>
    </row>
    <row r="137" spans="1:77" s="37" customFormat="1">
      <c r="A137" s="39"/>
      <c r="B137" s="38"/>
      <c r="C137" s="684"/>
      <c r="D137" s="38"/>
      <c r="E137" s="38"/>
      <c r="F137" s="38"/>
      <c r="G137" s="38"/>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39"/>
      <c r="AU137" s="39"/>
      <c r="AV137" s="123"/>
      <c r="AW137" s="124"/>
      <c r="AX137" s="76"/>
      <c r="AY137" s="76"/>
      <c r="AZ137" s="76"/>
      <c r="BA137" s="125"/>
      <c r="BB137" s="125"/>
      <c r="BC137" s="125"/>
      <c r="BD137" s="125"/>
      <c r="BE137" s="125"/>
      <c r="BF137" s="125"/>
      <c r="BG137" s="125"/>
      <c r="BH137" s="125"/>
      <c r="BI137" s="125"/>
      <c r="BJ137" s="41"/>
      <c r="BK137" s="69"/>
      <c r="BL137" s="39"/>
      <c r="BM137" s="39"/>
      <c r="BN137" s="39"/>
      <c r="BO137" s="39"/>
      <c r="BP137" s="39"/>
      <c r="BQ137" s="39"/>
      <c r="BR137" s="39"/>
      <c r="BS137" s="39"/>
      <c r="BT137" s="39"/>
      <c r="BU137" s="39"/>
      <c r="BV137" s="39"/>
      <c r="BW137" s="39"/>
      <c r="BX137" s="39"/>
      <c r="BY137" s="39"/>
    </row>
    <row r="138" spans="1:77" s="37" customFormat="1">
      <c r="A138" s="39"/>
      <c r="B138" s="38"/>
      <c r="C138" s="684"/>
      <c r="D138" s="38"/>
      <c r="E138" s="38"/>
      <c r="F138" s="38"/>
      <c r="G138" s="38"/>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c r="AP138" s="39"/>
      <c r="AQ138" s="39"/>
      <c r="AR138" s="39"/>
      <c r="AS138" s="39"/>
      <c r="AT138" s="39"/>
      <c r="AU138" s="39"/>
      <c r="AV138" s="123"/>
      <c r="AW138" s="124"/>
      <c r="AX138" s="76"/>
      <c r="AY138" s="76"/>
      <c r="AZ138" s="76"/>
      <c r="BA138" s="125"/>
      <c r="BB138" s="125"/>
      <c r="BC138" s="125"/>
      <c r="BD138" s="125"/>
      <c r="BE138" s="125"/>
      <c r="BF138" s="125"/>
      <c r="BG138" s="125"/>
      <c r="BH138" s="125"/>
      <c r="BI138" s="125"/>
      <c r="BJ138" s="41"/>
      <c r="BK138" s="69"/>
      <c r="BL138" s="39"/>
      <c r="BM138" s="39"/>
      <c r="BN138" s="39"/>
      <c r="BO138" s="39"/>
      <c r="BP138" s="39"/>
      <c r="BQ138" s="39"/>
      <c r="BR138" s="39"/>
      <c r="BS138" s="39"/>
      <c r="BT138" s="39"/>
      <c r="BU138" s="39"/>
      <c r="BV138" s="39"/>
      <c r="BW138" s="39"/>
      <c r="BX138" s="39"/>
      <c r="BY138" s="39"/>
    </row>
    <row r="139" spans="1:77" s="37" customFormat="1">
      <c r="A139" s="39"/>
      <c r="B139" s="38"/>
      <c r="C139" s="684"/>
      <c r="D139" s="38"/>
      <c r="E139" s="38"/>
      <c r="F139" s="38"/>
      <c r="G139" s="38"/>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39"/>
      <c r="AU139" s="39"/>
      <c r="AV139" s="123"/>
      <c r="AW139" s="124"/>
      <c r="AX139" s="76"/>
      <c r="AY139" s="76"/>
      <c r="AZ139" s="76"/>
      <c r="BA139" s="125"/>
      <c r="BB139" s="125"/>
      <c r="BC139" s="125"/>
      <c r="BD139" s="125"/>
      <c r="BE139" s="125"/>
      <c r="BF139" s="125"/>
      <c r="BG139" s="125"/>
      <c r="BH139" s="125"/>
      <c r="BI139" s="125"/>
      <c r="BJ139" s="41"/>
      <c r="BK139" s="69"/>
      <c r="BL139" s="39"/>
      <c r="BM139" s="39"/>
      <c r="BN139" s="39"/>
      <c r="BO139" s="39"/>
      <c r="BP139" s="39"/>
      <c r="BQ139" s="39"/>
      <c r="BR139" s="39"/>
      <c r="BS139" s="39"/>
      <c r="BT139" s="39"/>
      <c r="BU139" s="39"/>
      <c r="BV139" s="39"/>
      <c r="BW139" s="39"/>
      <c r="BX139" s="39"/>
      <c r="BY139" s="39"/>
    </row>
    <row r="140" spans="1:77" s="37" customFormat="1">
      <c r="A140" s="39"/>
      <c r="B140" s="38"/>
      <c r="C140" s="684"/>
      <c r="D140" s="38"/>
      <c r="E140" s="38"/>
      <c r="F140" s="38"/>
      <c r="G140" s="38"/>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39"/>
      <c r="AM140" s="39"/>
      <c r="AN140" s="39"/>
      <c r="AO140" s="39"/>
      <c r="AP140" s="39"/>
      <c r="AQ140" s="39"/>
      <c r="AR140" s="39"/>
      <c r="AS140" s="39"/>
      <c r="AT140" s="39"/>
      <c r="AU140" s="39"/>
      <c r="AV140" s="123"/>
      <c r="AW140" s="124"/>
      <c r="AX140" s="76"/>
      <c r="AY140" s="76"/>
      <c r="AZ140" s="76"/>
      <c r="BA140" s="125"/>
      <c r="BB140" s="125"/>
      <c r="BC140" s="125"/>
      <c r="BD140" s="125"/>
      <c r="BE140" s="125"/>
      <c r="BF140" s="125"/>
      <c r="BG140" s="125"/>
      <c r="BH140" s="125"/>
      <c r="BI140" s="125"/>
      <c r="BJ140" s="41"/>
      <c r="BK140" s="69"/>
      <c r="BL140" s="39"/>
      <c r="BM140" s="39"/>
      <c r="BN140" s="39"/>
      <c r="BO140" s="39"/>
      <c r="BP140" s="39"/>
      <c r="BQ140" s="39"/>
      <c r="BR140" s="39"/>
      <c r="BS140" s="39"/>
      <c r="BT140" s="39"/>
      <c r="BU140" s="39"/>
      <c r="BV140" s="39"/>
      <c r="BW140" s="39"/>
      <c r="BX140" s="39"/>
      <c r="BY140" s="39"/>
    </row>
    <row r="141" spans="1:77" s="37" customFormat="1">
      <c r="A141" s="39"/>
      <c r="B141" s="38"/>
      <c r="C141" s="684"/>
      <c r="D141" s="38"/>
      <c r="E141" s="38"/>
      <c r="F141" s="38"/>
      <c r="G141" s="38"/>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39"/>
      <c r="AU141" s="39"/>
      <c r="AV141" s="123"/>
      <c r="AW141" s="124"/>
      <c r="AX141" s="76"/>
      <c r="AY141" s="76"/>
      <c r="AZ141" s="76"/>
      <c r="BA141" s="125"/>
      <c r="BB141" s="125"/>
      <c r="BC141" s="125"/>
      <c r="BD141" s="125"/>
      <c r="BE141" s="125"/>
      <c r="BF141" s="125"/>
      <c r="BG141" s="125"/>
      <c r="BH141" s="125"/>
      <c r="BI141" s="125"/>
      <c r="BJ141" s="41"/>
      <c r="BK141" s="69"/>
      <c r="BL141" s="39"/>
      <c r="BM141" s="39"/>
      <c r="BN141" s="39"/>
      <c r="BO141" s="39"/>
      <c r="BP141" s="39"/>
      <c r="BQ141" s="39"/>
      <c r="BR141" s="39"/>
      <c r="BS141" s="39"/>
      <c r="BT141" s="39"/>
      <c r="BU141" s="39"/>
      <c r="BV141" s="39"/>
      <c r="BW141" s="39"/>
      <c r="BX141" s="39"/>
      <c r="BY141" s="39"/>
    </row>
    <row r="142" spans="1:77" s="37" customFormat="1">
      <c r="A142" s="39"/>
      <c r="B142" s="38"/>
      <c r="C142" s="684"/>
      <c r="D142" s="38"/>
      <c r="E142" s="38"/>
      <c r="F142" s="38"/>
      <c r="G142" s="38"/>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39"/>
      <c r="AJ142" s="39"/>
      <c r="AK142" s="39"/>
      <c r="AL142" s="39"/>
      <c r="AM142" s="39"/>
      <c r="AN142" s="39"/>
      <c r="AO142" s="39"/>
      <c r="AP142" s="39"/>
      <c r="AQ142" s="39"/>
      <c r="AR142" s="39"/>
      <c r="AS142" s="39"/>
      <c r="AT142" s="39"/>
      <c r="AU142" s="39"/>
      <c r="AV142" s="123"/>
      <c r="AW142" s="124"/>
      <c r="AX142" s="76"/>
      <c r="AY142" s="76"/>
      <c r="AZ142" s="76"/>
      <c r="BA142" s="125"/>
      <c r="BB142" s="125"/>
      <c r="BC142" s="125"/>
      <c r="BD142" s="125"/>
      <c r="BE142" s="125"/>
      <c r="BF142" s="125"/>
      <c r="BG142" s="125"/>
      <c r="BH142" s="125"/>
      <c r="BI142" s="125"/>
      <c r="BJ142" s="41"/>
      <c r="BK142" s="69"/>
      <c r="BL142" s="39"/>
      <c r="BM142" s="39"/>
      <c r="BN142" s="39"/>
      <c r="BO142" s="39"/>
      <c r="BP142" s="39"/>
      <c r="BQ142" s="39"/>
      <c r="BR142" s="39"/>
      <c r="BS142" s="39"/>
      <c r="BT142" s="39"/>
      <c r="BU142" s="39"/>
      <c r="BV142" s="39"/>
      <c r="BW142" s="39"/>
      <c r="BX142" s="39"/>
      <c r="BY142" s="39"/>
    </row>
    <row r="143" spans="1:77" s="37" customFormat="1">
      <c r="A143" s="39"/>
      <c r="B143" s="38"/>
      <c r="C143" s="684"/>
      <c r="D143" s="38"/>
      <c r="E143" s="38"/>
      <c r="F143" s="38"/>
      <c r="G143" s="38"/>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c r="AP143" s="39"/>
      <c r="AQ143" s="39"/>
      <c r="AR143" s="39"/>
      <c r="AS143" s="39"/>
      <c r="AT143" s="39"/>
      <c r="AU143" s="39"/>
      <c r="AV143" s="123"/>
      <c r="AW143" s="124"/>
      <c r="AX143" s="76"/>
      <c r="AY143" s="76"/>
      <c r="AZ143" s="76"/>
      <c r="BA143" s="125"/>
      <c r="BB143" s="125"/>
      <c r="BC143" s="125"/>
      <c r="BD143" s="125"/>
      <c r="BE143" s="125"/>
      <c r="BF143" s="125"/>
      <c r="BG143" s="125"/>
      <c r="BH143" s="125"/>
      <c r="BI143" s="125"/>
      <c r="BJ143" s="41"/>
      <c r="BK143" s="69"/>
      <c r="BL143" s="39"/>
      <c r="BM143" s="39"/>
      <c r="BN143" s="39"/>
      <c r="BO143" s="39"/>
      <c r="BP143" s="39"/>
      <c r="BQ143" s="39"/>
      <c r="BR143" s="39"/>
      <c r="BS143" s="39"/>
      <c r="BT143" s="39"/>
      <c r="BU143" s="39"/>
      <c r="BV143" s="39"/>
      <c r="BW143" s="39"/>
      <c r="BX143" s="39"/>
      <c r="BY143" s="39"/>
    </row>
    <row r="144" spans="1:77" s="37" customFormat="1">
      <c r="A144" s="39"/>
      <c r="B144" s="38"/>
      <c r="C144" s="684"/>
      <c r="D144" s="38"/>
      <c r="E144" s="38"/>
      <c r="F144" s="38"/>
      <c r="G144" s="38"/>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c r="AI144" s="39"/>
      <c r="AJ144" s="39"/>
      <c r="AK144" s="39"/>
      <c r="AL144" s="39"/>
      <c r="AM144" s="39"/>
      <c r="AN144" s="39"/>
      <c r="AO144" s="39"/>
      <c r="AP144" s="39"/>
      <c r="AQ144" s="39"/>
      <c r="AR144" s="39"/>
      <c r="AS144" s="39"/>
      <c r="AT144" s="39"/>
      <c r="AU144" s="39"/>
      <c r="AV144" s="123"/>
      <c r="AW144" s="124"/>
      <c r="AX144" s="76"/>
      <c r="AY144" s="76"/>
      <c r="AZ144" s="76"/>
      <c r="BA144" s="125"/>
      <c r="BB144" s="125"/>
      <c r="BC144" s="125"/>
      <c r="BD144" s="125"/>
      <c r="BE144" s="125"/>
      <c r="BF144" s="125"/>
      <c r="BG144" s="125"/>
      <c r="BH144" s="125"/>
      <c r="BI144" s="125"/>
      <c r="BJ144" s="41"/>
      <c r="BK144" s="69"/>
      <c r="BL144" s="39"/>
      <c r="BM144" s="39"/>
      <c r="BN144" s="39"/>
      <c r="BO144" s="39"/>
      <c r="BP144" s="39"/>
      <c r="BQ144" s="39"/>
      <c r="BR144" s="39"/>
      <c r="BS144" s="39"/>
      <c r="BT144" s="39"/>
      <c r="BU144" s="39"/>
      <c r="BV144" s="39"/>
      <c r="BW144" s="39"/>
      <c r="BX144" s="39"/>
      <c r="BY144" s="39"/>
    </row>
    <row r="145" spans="1:77" s="37" customFormat="1">
      <c r="A145" s="39"/>
      <c r="B145" s="38"/>
      <c r="C145" s="684"/>
      <c r="D145" s="38"/>
      <c r="E145" s="38"/>
      <c r="F145" s="38"/>
      <c r="G145" s="38"/>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9"/>
      <c r="AR145" s="39"/>
      <c r="AS145" s="39"/>
      <c r="AT145" s="39"/>
      <c r="AU145" s="39"/>
      <c r="AV145" s="123"/>
      <c r="AW145" s="124"/>
      <c r="AX145" s="76"/>
      <c r="AY145" s="76"/>
      <c r="AZ145" s="76"/>
      <c r="BA145" s="125"/>
      <c r="BB145" s="125"/>
      <c r="BC145" s="125"/>
      <c r="BD145" s="125"/>
      <c r="BE145" s="125"/>
      <c r="BF145" s="125"/>
      <c r="BG145" s="125"/>
      <c r="BH145" s="125"/>
      <c r="BI145" s="125"/>
      <c r="BJ145" s="41"/>
      <c r="BK145" s="69"/>
      <c r="BL145" s="39"/>
      <c r="BM145" s="39"/>
      <c r="BN145" s="39"/>
      <c r="BO145" s="39"/>
      <c r="BP145" s="39"/>
      <c r="BQ145" s="39"/>
      <c r="BR145" s="39"/>
      <c r="BS145" s="39"/>
      <c r="BT145" s="39"/>
      <c r="BU145" s="39"/>
      <c r="BV145" s="39"/>
      <c r="BW145" s="39"/>
      <c r="BX145" s="39"/>
      <c r="BY145" s="39"/>
    </row>
    <row r="146" spans="1:77" s="37" customFormat="1">
      <c r="A146" s="39"/>
      <c r="B146" s="38"/>
      <c r="C146" s="684"/>
      <c r="D146" s="38"/>
      <c r="E146" s="38"/>
      <c r="F146" s="38"/>
      <c r="G146" s="38"/>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c r="AI146" s="39"/>
      <c r="AJ146" s="39"/>
      <c r="AK146" s="39"/>
      <c r="AL146" s="39"/>
      <c r="AM146" s="39"/>
      <c r="AN146" s="39"/>
      <c r="AO146" s="39"/>
      <c r="AP146" s="39"/>
      <c r="AQ146" s="39"/>
      <c r="AR146" s="39"/>
      <c r="AS146" s="39"/>
      <c r="AT146" s="39"/>
      <c r="AU146" s="39"/>
      <c r="AV146" s="123"/>
      <c r="AW146" s="124"/>
      <c r="AX146" s="76"/>
      <c r="AY146" s="76"/>
      <c r="AZ146" s="76"/>
      <c r="BA146" s="125"/>
      <c r="BB146" s="125"/>
      <c r="BC146" s="125"/>
      <c r="BD146" s="125"/>
      <c r="BE146" s="125"/>
      <c r="BF146" s="125"/>
      <c r="BG146" s="125"/>
      <c r="BH146" s="125"/>
      <c r="BI146" s="125"/>
      <c r="BJ146" s="41"/>
      <c r="BK146" s="69"/>
      <c r="BL146" s="39"/>
      <c r="BM146" s="39"/>
      <c r="BN146" s="39"/>
      <c r="BO146" s="39"/>
      <c r="BP146" s="39"/>
      <c r="BQ146" s="39"/>
      <c r="BR146" s="39"/>
      <c r="BS146" s="39"/>
      <c r="BT146" s="39"/>
      <c r="BU146" s="39"/>
      <c r="BV146" s="39"/>
      <c r="BW146" s="39"/>
      <c r="BX146" s="39"/>
      <c r="BY146" s="39"/>
    </row>
    <row r="147" spans="1:77" s="37" customFormat="1">
      <c r="A147" s="39"/>
      <c r="B147" s="38"/>
      <c r="C147" s="684"/>
      <c r="D147" s="38"/>
      <c r="E147" s="38"/>
      <c r="F147" s="38"/>
      <c r="G147" s="38"/>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39"/>
      <c r="AU147" s="39"/>
      <c r="AV147" s="123"/>
      <c r="AW147" s="124"/>
      <c r="AX147" s="76"/>
      <c r="AY147" s="76"/>
      <c r="AZ147" s="76"/>
      <c r="BA147" s="125"/>
      <c r="BB147" s="125"/>
      <c r="BC147" s="125"/>
      <c r="BD147" s="125"/>
      <c r="BE147" s="125"/>
      <c r="BF147" s="125"/>
      <c r="BG147" s="125"/>
      <c r="BH147" s="125"/>
      <c r="BI147" s="125"/>
      <c r="BJ147" s="41"/>
      <c r="BK147" s="69"/>
      <c r="BL147" s="39"/>
      <c r="BM147" s="39"/>
      <c r="BN147" s="39"/>
      <c r="BO147" s="39"/>
      <c r="BP147" s="39"/>
      <c r="BQ147" s="39"/>
      <c r="BR147" s="39"/>
      <c r="BS147" s="39"/>
      <c r="BT147" s="39"/>
      <c r="BU147" s="39"/>
      <c r="BV147" s="39"/>
      <c r="BW147" s="39"/>
      <c r="BX147" s="39"/>
      <c r="BY147" s="39"/>
    </row>
    <row r="148" spans="1:77" s="37" customFormat="1">
      <c r="A148" s="39"/>
      <c r="B148" s="38"/>
      <c r="C148" s="684"/>
      <c r="D148" s="38"/>
      <c r="E148" s="38"/>
      <c r="F148" s="38"/>
      <c r="G148" s="38"/>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c r="AE148" s="39"/>
      <c r="AF148" s="39"/>
      <c r="AG148" s="39"/>
      <c r="AH148" s="39"/>
      <c r="AI148" s="39"/>
      <c r="AJ148" s="39"/>
      <c r="AK148" s="39"/>
      <c r="AL148" s="39"/>
      <c r="AM148" s="39"/>
      <c r="AN148" s="39"/>
      <c r="AO148" s="39"/>
      <c r="AP148" s="39"/>
      <c r="AQ148" s="39"/>
      <c r="AR148" s="39"/>
      <c r="AS148" s="39"/>
      <c r="AT148" s="39"/>
      <c r="AU148" s="39"/>
      <c r="AV148" s="123"/>
      <c r="AW148" s="124"/>
      <c r="AX148" s="76"/>
      <c r="AY148" s="76"/>
      <c r="AZ148" s="76"/>
      <c r="BA148" s="125"/>
      <c r="BB148" s="125"/>
      <c r="BC148" s="125"/>
      <c r="BD148" s="125"/>
      <c r="BE148" s="125"/>
      <c r="BF148" s="125"/>
      <c r="BG148" s="125"/>
      <c r="BH148" s="125"/>
      <c r="BI148" s="125"/>
      <c r="BJ148" s="41"/>
      <c r="BK148" s="69"/>
      <c r="BL148" s="39"/>
      <c r="BM148" s="39"/>
      <c r="BN148" s="39"/>
      <c r="BO148" s="39"/>
      <c r="BP148" s="39"/>
      <c r="BQ148" s="39"/>
      <c r="BR148" s="39"/>
      <c r="BS148" s="39"/>
      <c r="BT148" s="39"/>
      <c r="BU148" s="39"/>
      <c r="BV148" s="39"/>
      <c r="BW148" s="39"/>
      <c r="BX148" s="39"/>
      <c r="BY148" s="39"/>
    </row>
    <row r="149" spans="1:77" s="37" customFormat="1">
      <c r="A149" s="39"/>
      <c r="B149" s="38"/>
      <c r="C149" s="684"/>
      <c r="D149" s="38"/>
      <c r="E149" s="38"/>
      <c r="F149" s="38"/>
      <c r="G149" s="38"/>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39"/>
      <c r="AU149" s="39"/>
      <c r="AV149" s="123"/>
      <c r="AW149" s="124"/>
      <c r="AX149" s="76"/>
      <c r="AY149" s="76"/>
      <c r="AZ149" s="76"/>
      <c r="BA149" s="125"/>
      <c r="BB149" s="125"/>
      <c r="BC149" s="125"/>
      <c r="BD149" s="125"/>
      <c r="BE149" s="125"/>
      <c r="BF149" s="125"/>
      <c r="BG149" s="125"/>
      <c r="BH149" s="125"/>
      <c r="BI149" s="125"/>
      <c r="BJ149" s="41"/>
      <c r="BK149" s="69"/>
      <c r="BL149" s="39"/>
      <c r="BM149" s="39"/>
      <c r="BN149" s="39"/>
      <c r="BO149" s="39"/>
      <c r="BP149" s="39"/>
      <c r="BQ149" s="39"/>
      <c r="BR149" s="39"/>
      <c r="BS149" s="39"/>
      <c r="BT149" s="39"/>
      <c r="BU149" s="39"/>
      <c r="BV149" s="39"/>
      <c r="BW149" s="39"/>
      <c r="BX149" s="39"/>
      <c r="BY149" s="39"/>
    </row>
    <row r="150" spans="1:77" s="37" customFormat="1">
      <c r="A150" s="39"/>
      <c r="B150" s="38"/>
      <c r="C150" s="684"/>
      <c r="D150" s="38"/>
      <c r="E150" s="38"/>
      <c r="F150" s="38"/>
      <c r="G150" s="38"/>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c r="AH150" s="39"/>
      <c r="AI150" s="39"/>
      <c r="AJ150" s="39"/>
      <c r="AK150" s="39"/>
      <c r="AL150" s="39"/>
      <c r="AM150" s="39"/>
      <c r="AN150" s="39"/>
      <c r="AO150" s="39"/>
      <c r="AP150" s="39"/>
      <c r="AQ150" s="39"/>
      <c r="AR150" s="39"/>
      <c r="AS150" s="39"/>
      <c r="AT150" s="39"/>
      <c r="AU150" s="39"/>
      <c r="AV150" s="123"/>
      <c r="AW150" s="124"/>
      <c r="AX150" s="76"/>
      <c r="AY150" s="76"/>
      <c r="AZ150" s="76"/>
      <c r="BA150" s="125"/>
      <c r="BB150" s="125"/>
      <c r="BC150" s="125"/>
      <c r="BD150" s="125"/>
      <c r="BE150" s="125"/>
      <c r="BF150" s="125"/>
      <c r="BG150" s="125"/>
      <c r="BH150" s="125"/>
      <c r="BI150" s="125"/>
      <c r="BJ150" s="41"/>
      <c r="BK150" s="69"/>
      <c r="BL150" s="39"/>
      <c r="BM150" s="39"/>
      <c r="BN150" s="39"/>
      <c r="BO150" s="39"/>
      <c r="BP150" s="39"/>
      <c r="BQ150" s="39"/>
      <c r="BR150" s="39"/>
      <c r="BS150" s="39"/>
      <c r="BT150" s="39"/>
      <c r="BU150" s="39"/>
      <c r="BV150" s="39"/>
      <c r="BW150" s="39"/>
      <c r="BX150" s="39"/>
      <c r="BY150" s="39"/>
    </row>
    <row r="151" spans="1:77" s="37" customFormat="1">
      <c r="A151" s="39"/>
      <c r="B151" s="38"/>
      <c r="C151" s="684"/>
      <c r="D151" s="38"/>
      <c r="E151" s="38"/>
      <c r="F151" s="38" t="s">
        <v>235</v>
      </c>
      <c r="G151" s="38"/>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39"/>
      <c r="AR151" s="39"/>
      <c r="AS151" s="39"/>
      <c r="AT151" s="39"/>
      <c r="AU151" s="39"/>
      <c r="AV151" s="123"/>
      <c r="AW151" s="124"/>
      <c r="AX151" s="76"/>
      <c r="AY151" s="76"/>
      <c r="AZ151" s="76"/>
      <c r="BA151" s="125"/>
      <c r="BB151" s="125"/>
      <c r="BC151" s="125"/>
      <c r="BD151" s="125"/>
      <c r="BE151" s="125"/>
      <c r="BF151" s="125"/>
      <c r="BG151" s="125"/>
      <c r="BH151" s="125"/>
      <c r="BI151" s="125"/>
      <c r="BJ151" s="41"/>
      <c r="BK151" s="69"/>
      <c r="BL151" s="39"/>
      <c r="BM151" s="39"/>
      <c r="BN151" s="39"/>
      <c r="BO151" s="39"/>
      <c r="BP151" s="39"/>
      <c r="BQ151" s="39"/>
      <c r="BR151" s="39"/>
      <c r="BS151" s="39"/>
      <c r="BT151" s="39"/>
      <c r="BU151" s="39"/>
      <c r="BV151" s="39"/>
      <c r="BW151" s="39"/>
      <c r="BX151" s="39"/>
      <c r="BY151" s="39"/>
    </row>
    <row r="152" spans="1:77" s="37" customFormat="1">
      <c r="A152" s="39"/>
      <c r="B152" s="38"/>
      <c r="C152" s="684"/>
      <c r="D152" s="38"/>
      <c r="E152" s="38"/>
      <c r="F152" s="38"/>
      <c r="G152" s="38"/>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c r="AH152" s="39"/>
      <c r="AI152" s="39"/>
      <c r="AJ152" s="39"/>
      <c r="AK152" s="39"/>
      <c r="AL152" s="39"/>
      <c r="AM152" s="39"/>
      <c r="AN152" s="39"/>
      <c r="AO152" s="39"/>
      <c r="AP152" s="39"/>
      <c r="AQ152" s="39"/>
      <c r="AR152" s="39"/>
      <c r="AS152" s="39"/>
      <c r="AT152" s="39"/>
      <c r="AU152" s="39"/>
      <c r="AV152" s="123"/>
      <c r="AW152" s="124"/>
      <c r="AX152" s="76"/>
      <c r="AY152" s="76"/>
      <c r="AZ152" s="76"/>
      <c r="BA152" s="125"/>
      <c r="BB152" s="125"/>
      <c r="BC152" s="125"/>
      <c r="BD152" s="125"/>
      <c r="BE152" s="125"/>
      <c r="BF152" s="125"/>
      <c r="BG152" s="125"/>
      <c r="BH152" s="125"/>
      <c r="BI152" s="125"/>
      <c r="BJ152" s="41"/>
      <c r="BK152" s="69"/>
      <c r="BL152" s="39"/>
      <c r="BM152" s="39"/>
      <c r="BN152" s="39"/>
      <c r="BO152" s="39"/>
      <c r="BP152" s="39"/>
      <c r="BQ152" s="39"/>
      <c r="BR152" s="39"/>
      <c r="BS152" s="39"/>
      <c r="BT152" s="39"/>
      <c r="BU152" s="39"/>
      <c r="BV152" s="39"/>
      <c r="BW152" s="39"/>
      <c r="BX152" s="39"/>
      <c r="BY152" s="39"/>
    </row>
    <row r="153" spans="1:77" s="37" customFormat="1">
      <c r="A153" s="39"/>
      <c r="B153" s="38"/>
      <c r="C153" s="684"/>
      <c r="D153" s="38"/>
      <c r="E153" s="38"/>
      <c r="F153" s="38"/>
      <c r="G153" s="38"/>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123"/>
      <c r="AW153" s="124"/>
      <c r="AX153" s="76"/>
      <c r="AY153" s="76"/>
      <c r="AZ153" s="76"/>
      <c r="BA153" s="125"/>
      <c r="BB153" s="125"/>
      <c r="BC153" s="125"/>
      <c r="BD153" s="125"/>
      <c r="BE153" s="125"/>
      <c r="BF153" s="125"/>
      <c r="BG153" s="125"/>
      <c r="BH153" s="125"/>
      <c r="BI153" s="125"/>
      <c r="BJ153" s="41"/>
      <c r="BK153" s="69"/>
      <c r="BL153" s="39"/>
      <c r="BM153" s="39"/>
      <c r="BN153" s="39"/>
      <c r="BO153" s="39"/>
      <c r="BP153" s="39"/>
      <c r="BQ153" s="39"/>
      <c r="BR153" s="39"/>
      <c r="BS153" s="39"/>
      <c r="BT153" s="39"/>
      <c r="BU153" s="39"/>
      <c r="BV153" s="39"/>
      <c r="BW153" s="39"/>
      <c r="BX153" s="39"/>
      <c r="BY153" s="39"/>
    </row>
    <row r="154" spans="1:77" s="37" customFormat="1">
      <c r="A154" s="39"/>
      <c r="B154" s="38"/>
      <c r="C154" s="684"/>
      <c r="D154" s="38"/>
      <c r="E154" s="38"/>
      <c r="F154" s="38"/>
      <c r="G154" s="38"/>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c r="AH154" s="39"/>
      <c r="AI154" s="39"/>
      <c r="AJ154" s="39"/>
      <c r="AK154" s="39"/>
      <c r="AL154" s="39"/>
      <c r="AM154" s="39"/>
      <c r="AN154" s="39"/>
      <c r="AO154" s="39"/>
      <c r="AP154" s="39"/>
      <c r="AQ154" s="39"/>
      <c r="AR154" s="39"/>
      <c r="AS154" s="39"/>
      <c r="AT154" s="39"/>
      <c r="AU154" s="39"/>
      <c r="AV154" s="123"/>
      <c r="AW154" s="124"/>
      <c r="AX154" s="76"/>
      <c r="AY154" s="76"/>
      <c r="AZ154" s="76"/>
      <c r="BA154" s="125"/>
      <c r="BB154" s="125"/>
      <c r="BC154" s="125"/>
      <c r="BD154" s="125"/>
      <c r="BE154" s="125"/>
      <c r="BF154" s="125"/>
      <c r="BG154" s="125"/>
      <c r="BH154" s="125"/>
      <c r="BI154" s="125"/>
      <c r="BJ154" s="41"/>
      <c r="BK154" s="69"/>
      <c r="BL154" s="39"/>
      <c r="BM154" s="39"/>
      <c r="BN154" s="39"/>
      <c r="BO154" s="39"/>
      <c r="BP154" s="39"/>
      <c r="BQ154" s="39"/>
      <c r="BR154" s="39"/>
      <c r="BS154" s="39"/>
      <c r="BT154" s="39"/>
      <c r="BU154" s="39"/>
      <c r="BV154" s="39"/>
      <c r="BW154" s="39"/>
      <c r="BX154" s="39"/>
      <c r="BY154" s="39"/>
    </row>
    <row r="155" spans="1:77" s="37" customFormat="1">
      <c r="A155" s="39"/>
      <c r="B155" s="38"/>
      <c r="C155" s="684"/>
      <c r="D155" s="38"/>
      <c r="E155" s="38"/>
      <c r="F155" s="38"/>
      <c r="G155" s="38"/>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9"/>
      <c r="AU155" s="39"/>
      <c r="AV155" s="123"/>
      <c r="AW155" s="124"/>
      <c r="AX155" s="76"/>
      <c r="AY155" s="76"/>
      <c r="AZ155" s="76"/>
      <c r="BA155" s="125"/>
      <c r="BB155" s="125"/>
      <c r="BC155" s="125"/>
      <c r="BD155" s="125"/>
      <c r="BE155" s="125"/>
      <c r="BF155" s="125"/>
      <c r="BG155" s="125"/>
      <c r="BH155" s="125"/>
      <c r="BI155" s="125"/>
      <c r="BJ155" s="41"/>
      <c r="BK155" s="69"/>
      <c r="BL155" s="39"/>
      <c r="BM155" s="39"/>
      <c r="BN155" s="39"/>
      <c r="BO155" s="39"/>
      <c r="BP155" s="39"/>
      <c r="BQ155" s="39"/>
      <c r="BR155" s="39"/>
      <c r="BS155" s="39"/>
      <c r="BT155" s="39"/>
      <c r="BU155" s="39"/>
      <c r="BV155" s="39"/>
      <c r="BW155" s="39"/>
      <c r="BX155" s="39"/>
      <c r="BY155" s="39"/>
    </row>
    <row r="156" spans="1:77" s="37" customFormat="1">
      <c r="A156" s="39"/>
      <c r="B156" s="38"/>
      <c r="C156" s="684"/>
      <c r="D156" s="38"/>
      <c r="E156" s="38"/>
      <c r="F156" s="38"/>
      <c r="G156" s="38"/>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39"/>
      <c r="AM156" s="39"/>
      <c r="AN156" s="39"/>
      <c r="AO156" s="39"/>
      <c r="AP156" s="39"/>
      <c r="AQ156" s="39"/>
      <c r="AR156" s="39"/>
      <c r="AS156" s="39"/>
      <c r="AT156" s="39"/>
      <c r="AU156" s="39"/>
      <c r="AV156" s="123"/>
      <c r="AW156" s="124"/>
      <c r="AX156" s="76"/>
      <c r="AY156" s="76"/>
      <c r="AZ156" s="76"/>
      <c r="BA156" s="125"/>
      <c r="BB156" s="125"/>
      <c r="BC156" s="125"/>
      <c r="BD156" s="125"/>
      <c r="BE156" s="125"/>
      <c r="BF156" s="125"/>
      <c r="BG156" s="125"/>
      <c r="BH156" s="125"/>
      <c r="BI156" s="125"/>
      <c r="BJ156" s="41"/>
      <c r="BK156" s="69"/>
      <c r="BL156" s="39"/>
      <c r="BM156" s="39"/>
      <c r="BN156" s="39"/>
      <c r="BO156" s="39"/>
      <c r="BP156" s="39"/>
      <c r="BQ156" s="39"/>
      <c r="BR156" s="39"/>
      <c r="BS156" s="39"/>
      <c r="BT156" s="39"/>
      <c r="BU156" s="39"/>
      <c r="BV156" s="39"/>
      <c r="BW156" s="39"/>
      <c r="BX156" s="39"/>
      <c r="BY156" s="39"/>
    </row>
    <row r="157" spans="1:77" s="37" customFormat="1">
      <c r="A157" s="39"/>
      <c r="B157" s="40"/>
      <c r="C157" s="684"/>
      <c r="D157" s="38"/>
      <c r="E157" s="38"/>
      <c r="F157" s="38"/>
      <c r="G157" s="38"/>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c r="AR157" s="39"/>
      <c r="AS157" s="39"/>
      <c r="AT157" s="39"/>
      <c r="AU157" s="39"/>
      <c r="AV157" s="123"/>
      <c r="AW157" s="124"/>
      <c r="AX157" s="76"/>
      <c r="AY157" s="76"/>
      <c r="AZ157" s="76"/>
      <c r="BA157" s="125"/>
      <c r="BB157" s="125"/>
      <c r="BC157" s="125"/>
      <c r="BD157" s="125"/>
      <c r="BE157" s="125"/>
      <c r="BF157" s="125"/>
      <c r="BG157" s="125"/>
      <c r="BH157" s="125"/>
      <c r="BI157" s="125"/>
      <c r="BJ157" s="41"/>
      <c r="BK157" s="69"/>
      <c r="BL157" s="39"/>
      <c r="BM157" s="39"/>
      <c r="BN157" s="39"/>
      <c r="BO157" s="39"/>
      <c r="BP157" s="39"/>
      <c r="BQ157" s="39"/>
      <c r="BR157" s="39"/>
      <c r="BS157" s="39"/>
      <c r="BT157" s="39"/>
      <c r="BU157" s="39"/>
      <c r="BV157" s="39"/>
      <c r="BW157" s="39"/>
      <c r="BX157" s="39"/>
      <c r="BY157" s="39"/>
    </row>
    <row r="158" spans="1:77" s="37" customFormat="1">
      <c r="A158" s="39"/>
      <c r="B158" s="40"/>
      <c r="C158" s="684"/>
      <c r="D158" s="38"/>
      <c r="E158" s="38"/>
      <c r="F158" s="38"/>
      <c r="G158" s="38"/>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c r="AM158" s="39"/>
      <c r="AN158" s="39"/>
      <c r="AO158" s="39"/>
      <c r="AP158" s="39"/>
      <c r="AQ158" s="39"/>
      <c r="AR158" s="39"/>
      <c r="AS158" s="39"/>
      <c r="AT158" s="39"/>
      <c r="AU158" s="39"/>
      <c r="AV158" s="123"/>
      <c r="AW158" s="124"/>
      <c r="AX158" s="76"/>
      <c r="AY158" s="76"/>
      <c r="AZ158" s="76"/>
      <c r="BA158" s="125"/>
      <c r="BB158" s="125"/>
      <c r="BC158" s="125"/>
      <c r="BD158" s="125"/>
      <c r="BE158" s="125"/>
      <c r="BF158" s="125"/>
      <c r="BG158" s="125"/>
      <c r="BH158" s="125"/>
      <c r="BI158" s="125"/>
      <c r="BJ158" s="41"/>
      <c r="BK158" s="69"/>
      <c r="BL158" s="39"/>
      <c r="BM158" s="39"/>
      <c r="BN158" s="39"/>
      <c r="BO158" s="39"/>
      <c r="BP158" s="39"/>
      <c r="BQ158" s="39"/>
      <c r="BR158" s="39"/>
      <c r="BS158" s="39"/>
      <c r="BT158" s="39"/>
      <c r="BU158" s="39"/>
      <c r="BV158" s="39"/>
      <c r="BW158" s="39"/>
      <c r="BX158" s="39"/>
      <c r="BY158" s="39"/>
    </row>
    <row r="159" spans="1:77" s="37" customFormat="1">
      <c r="A159" s="39"/>
      <c r="B159" s="40"/>
      <c r="C159" s="684"/>
      <c r="D159" s="38"/>
      <c r="E159" s="38"/>
      <c r="F159" s="38"/>
      <c r="G159" s="38"/>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123"/>
      <c r="AW159" s="124"/>
      <c r="AX159" s="76"/>
      <c r="AY159" s="76"/>
      <c r="AZ159" s="76"/>
      <c r="BA159" s="125"/>
      <c r="BB159" s="125"/>
      <c r="BC159" s="125"/>
      <c r="BD159" s="125"/>
      <c r="BE159" s="125"/>
      <c r="BF159" s="125"/>
      <c r="BG159" s="125"/>
      <c r="BH159" s="125"/>
      <c r="BI159" s="125"/>
      <c r="BJ159" s="41"/>
      <c r="BK159" s="69"/>
      <c r="BL159" s="39"/>
      <c r="BM159" s="39"/>
      <c r="BN159" s="39"/>
      <c r="BO159" s="39"/>
      <c r="BP159" s="39"/>
      <c r="BQ159" s="39"/>
      <c r="BR159" s="39"/>
      <c r="BS159" s="39"/>
      <c r="BT159" s="39"/>
      <c r="BU159" s="39"/>
      <c r="BV159" s="39"/>
      <c r="BW159" s="39"/>
      <c r="BX159" s="39"/>
      <c r="BY159" s="39"/>
    </row>
    <row r="160" spans="1:77" s="37" customFormat="1">
      <c r="A160" s="39"/>
      <c r="B160" s="40"/>
      <c r="C160" s="684"/>
      <c r="D160" s="38"/>
      <c r="E160" s="38"/>
      <c r="F160" s="38"/>
      <c r="G160" s="38"/>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c r="AM160" s="39"/>
      <c r="AN160" s="39"/>
      <c r="AO160" s="39"/>
      <c r="AP160" s="39"/>
      <c r="AQ160" s="39"/>
      <c r="AR160" s="39"/>
      <c r="AS160" s="39"/>
      <c r="AT160" s="39"/>
      <c r="AU160" s="39"/>
      <c r="AV160" s="123"/>
      <c r="AW160" s="124"/>
      <c r="AX160" s="76"/>
      <c r="AY160" s="76"/>
      <c r="AZ160" s="76"/>
      <c r="BA160" s="125"/>
      <c r="BB160" s="125"/>
      <c r="BC160" s="125"/>
      <c r="BD160" s="125"/>
      <c r="BE160" s="125"/>
      <c r="BF160" s="125"/>
      <c r="BG160" s="125"/>
      <c r="BH160" s="125"/>
      <c r="BI160" s="125"/>
      <c r="BJ160" s="41"/>
      <c r="BK160" s="69"/>
      <c r="BL160" s="39"/>
      <c r="BM160" s="39"/>
      <c r="BN160" s="39"/>
      <c r="BO160" s="39"/>
      <c r="BP160" s="39"/>
      <c r="BQ160" s="39"/>
      <c r="BR160" s="39"/>
      <c r="BS160" s="39"/>
      <c r="BT160" s="39"/>
      <c r="BU160" s="39"/>
      <c r="BV160" s="39"/>
      <c r="BW160" s="39"/>
      <c r="BX160" s="39"/>
      <c r="BY160" s="39"/>
    </row>
    <row r="161" spans="1:77" s="37" customFormat="1">
      <c r="A161" s="39"/>
      <c r="B161" s="38"/>
      <c r="C161" s="684"/>
      <c r="D161" s="38"/>
      <c r="E161" s="38"/>
      <c r="F161" s="38"/>
      <c r="G161" s="38"/>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c r="AL161" s="39"/>
      <c r="AM161" s="39"/>
      <c r="AN161" s="39"/>
      <c r="AO161" s="39"/>
      <c r="AP161" s="39"/>
      <c r="AQ161" s="39"/>
      <c r="AR161" s="39"/>
      <c r="AS161" s="39"/>
      <c r="AT161" s="39"/>
      <c r="AU161" s="39"/>
      <c r="AV161" s="123"/>
      <c r="AW161" s="124"/>
      <c r="AX161" s="76"/>
      <c r="AY161" s="76"/>
      <c r="AZ161" s="76"/>
      <c r="BA161" s="125"/>
      <c r="BB161" s="125"/>
      <c r="BC161" s="125"/>
      <c r="BD161" s="125"/>
      <c r="BE161" s="125"/>
      <c r="BF161" s="125"/>
      <c r="BG161" s="125"/>
      <c r="BH161" s="125"/>
      <c r="BI161" s="125"/>
      <c r="BJ161" s="41"/>
      <c r="BK161" s="69"/>
      <c r="BL161" s="39"/>
      <c r="BM161" s="39"/>
      <c r="BN161" s="39"/>
      <c r="BO161" s="39"/>
      <c r="BP161" s="39"/>
      <c r="BQ161" s="39"/>
      <c r="BR161" s="39"/>
      <c r="BS161" s="39"/>
      <c r="BT161" s="39"/>
      <c r="BU161" s="39"/>
      <c r="BV161" s="39"/>
      <c r="BW161" s="39"/>
      <c r="BX161" s="39"/>
      <c r="BY161" s="39"/>
    </row>
    <row r="162" spans="1:77" s="37" customFormat="1">
      <c r="A162" s="39"/>
      <c r="B162" s="38"/>
      <c r="C162" s="684"/>
      <c r="D162" s="38"/>
      <c r="E162" s="38"/>
      <c r="F162" s="38"/>
      <c r="G162" s="38"/>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c r="AI162" s="39"/>
      <c r="AJ162" s="39"/>
      <c r="AK162" s="39"/>
      <c r="AL162" s="39"/>
      <c r="AM162" s="39"/>
      <c r="AN162" s="39"/>
      <c r="AO162" s="39"/>
      <c r="AP162" s="39"/>
      <c r="AQ162" s="39"/>
      <c r="AR162" s="39"/>
      <c r="AS162" s="39"/>
      <c r="AT162" s="39"/>
      <c r="AU162" s="39"/>
      <c r="AV162" s="123"/>
      <c r="AW162" s="124"/>
      <c r="AX162" s="76"/>
      <c r="AY162" s="76"/>
      <c r="AZ162" s="76"/>
      <c r="BA162" s="125"/>
      <c r="BB162" s="125"/>
      <c r="BC162" s="125"/>
      <c r="BD162" s="125"/>
      <c r="BE162" s="125"/>
      <c r="BF162" s="125"/>
      <c r="BG162" s="125"/>
      <c r="BH162" s="125"/>
      <c r="BI162" s="125"/>
      <c r="BJ162" s="41"/>
      <c r="BK162" s="69"/>
      <c r="BL162" s="39"/>
      <c r="BM162" s="39"/>
      <c r="BN162" s="39"/>
      <c r="BO162" s="39"/>
      <c r="BP162" s="39"/>
      <c r="BQ162" s="39"/>
      <c r="BR162" s="39"/>
      <c r="BS162" s="39"/>
      <c r="BT162" s="39"/>
      <c r="BU162" s="39"/>
      <c r="BV162" s="39"/>
      <c r="BW162" s="39"/>
      <c r="BX162" s="39"/>
      <c r="BY162" s="39"/>
    </row>
    <row r="163" spans="1:77" s="37" customFormat="1">
      <c r="A163" s="39"/>
      <c r="B163" s="38"/>
      <c r="C163" s="684"/>
      <c r="D163" s="38"/>
      <c r="E163" s="38"/>
      <c r="F163" s="38"/>
      <c r="G163" s="38"/>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c r="AM163" s="39"/>
      <c r="AN163" s="39"/>
      <c r="AO163" s="39"/>
      <c r="AP163" s="39"/>
      <c r="AQ163" s="39"/>
      <c r="AR163" s="39"/>
      <c r="AS163" s="39"/>
      <c r="AT163" s="39"/>
      <c r="AU163" s="39"/>
      <c r="AV163" s="123"/>
      <c r="AW163" s="124"/>
      <c r="AX163" s="76"/>
      <c r="AY163" s="76"/>
      <c r="AZ163" s="76"/>
      <c r="BA163" s="125"/>
      <c r="BB163" s="125"/>
      <c r="BC163" s="125"/>
      <c r="BD163" s="125"/>
      <c r="BE163" s="125"/>
      <c r="BF163" s="125"/>
      <c r="BG163" s="125"/>
      <c r="BH163" s="125"/>
      <c r="BI163" s="125"/>
      <c r="BJ163" s="41"/>
      <c r="BK163" s="69"/>
      <c r="BL163" s="39"/>
      <c r="BM163" s="39"/>
      <c r="BN163" s="39"/>
      <c r="BO163" s="39"/>
      <c r="BP163" s="39"/>
      <c r="BQ163" s="39"/>
      <c r="BR163" s="39"/>
      <c r="BS163" s="39"/>
      <c r="BT163" s="39"/>
      <c r="BU163" s="39"/>
      <c r="BV163" s="39"/>
      <c r="BW163" s="39"/>
      <c r="BX163" s="39"/>
      <c r="BY163" s="39"/>
    </row>
    <row r="164" spans="1:77" s="37" customFormat="1">
      <c r="A164" s="39"/>
      <c r="B164" s="38"/>
      <c r="C164" s="684"/>
      <c r="D164" s="38"/>
      <c r="E164" s="38"/>
      <c r="F164" s="38"/>
      <c r="G164" s="38"/>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39"/>
      <c r="AR164" s="39"/>
      <c r="AS164" s="39"/>
      <c r="AT164" s="39"/>
      <c r="AU164" s="39"/>
      <c r="AV164" s="123"/>
      <c r="AW164" s="124"/>
      <c r="AX164" s="76"/>
      <c r="AY164" s="76"/>
      <c r="AZ164" s="76"/>
      <c r="BA164" s="125"/>
      <c r="BB164" s="125"/>
      <c r="BC164" s="125"/>
      <c r="BD164" s="125"/>
      <c r="BE164" s="125"/>
      <c r="BF164" s="125"/>
      <c r="BG164" s="125"/>
      <c r="BH164" s="125"/>
      <c r="BI164" s="125"/>
      <c r="BJ164" s="41"/>
      <c r="BK164" s="69"/>
      <c r="BL164" s="39"/>
      <c r="BM164" s="39"/>
      <c r="BN164" s="39"/>
      <c r="BO164" s="39"/>
      <c r="BP164" s="39"/>
      <c r="BQ164" s="39"/>
      <c r="BR164" s="39"/>
      <c r="BS164" s="39"/>
      <c r="BT164" s="39"/>
      <c r="BU164" s="39"/>
      <c r="BV164" s="39"/>
      <c r="BW164" s="39"/>
      <c r="BX164" s="39"/>
      <c r="BY164" s="39"/>
    </row>
    <row r="165" spans="1:77" s="37" customFormat="1">
      <c r="A165" s="39"/>
      <c r="B165" s="38"/>
      <c r="C165" s="684"/>
      <c r="D165" s="38"/>
      <c r="E165" s="38"/>
      <c r="F165" s="38"/>
      <c r="G165" s="38"/>
      <c r="H165" s="39"/>
      <c r="I165" s="39"/>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c r="AJ165" s="39"/>
      <c r="AK165" s="39"/>
      <c r="AL165" s="39"/>
      <c r="AM165" s="39"/>
      <c r="AN165" s="39"/>
      <c r="AO165" s="39"/>
      <c r="AP165" s="39"/>
      <c r="AQ165" s="39"/>
      <c r="AR165" s="39"/>
      <c r="AS165" s="39"/>
      <c r="AT165" s="39"/>
      <c r="AU165" s="39"/>
      <c r="AV165" s="123"/>
      <c r="AW165" s="124"/>
      <c r="AX165" s="76"/>
      <c r="AY165" s="76"/>
      <c r="AZ165" s="76"/>
      <c r="BA165" s="125"/>
      <c r="BB165" s="125"/>
      <c r="BC165" s="125"/>
      <c r="BD165" s="125"/>
      <c r="BE165" s="125"/>
      <c r="BF165" s="125"/>
      <c r="BG165" s="125"/>
      <c r="BH165" s="125"/>
      <c r="BI165" s="125"/>
      <c r="BJ165" s="41"/>
      <c r="BK165" s="69"/>
      <c r="BL165" s="39"/>
      <c r="BM165" s="39"/>
      <c r="BN165" s="39"/>
      <c r="BO165" s="39"/>
      <c r="BP165" s="39"/>
      <c r="BQ165" s="39"/>
      <c r="BR165" s="39"/>
      <c r="BS165" s="39"/>
      <c r="BT165" s="39"/>
      <c r="BU165" s="39"/>
      <c r="BV165" s="39"/>
      <c r="BW165" s="39"/>
      <c r="BX165" s="39"/>
      <c r="BY165" s="39"/>
    </row>
    <row r="166" spans="1:77" s="37" customFormat="1">
      <c r="A166" s="39"/>
      <c r="B166" s="38"/>
      <c r="C166" s="684"/>
      <c r="D166" s="38"/>
      <c r="E166" s="38"/>
      <c r="F166" s="38"/>
      <c r="G166" s="38"/>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c r="AM166" s="39"/>
      <c r="AN166" s="39"/>
      <c r="AO166" s="39"/>
      <c r="AP166" s="39"/>
      <c r="AQ166" s="39"/>
      <c r="AR166" s="39"/>
      <c r="AS166" s="39"/>
      <c r="AT166" s="39"/>
      <c r="AU166" s="39"/>
      <c r="AV166" s="123"/>
      <c r="AW166" s="124"/>
      <c r="AX166" s="76"/>
      <c r="AY166" s="76"/>
      <c r="AZ166" s="76"/>
      <c r="BA166" s="125"/>
      <c r="BB166" s="125"/>
      <c r="BC166" s="125"/>
      <c r="BD166" s="125"/>
      <c r="BE166" s="125"/>
      <c r="BF166" s="125"/>
      <c r="BG166" s="125"/>
      <c r="BH166" s="125"/>
      <c r="BI166" s="125"/>
      <c r="BJ166" s="41"/>
      <c r="BK166" s="69"/>
      <c r="BL166" s="39"/>
      <c r="BM166" s="39"/>
      <c r="BN166" s="39"/>
      <c r="BO166" s="39"/>
      <c r="BP166" s="39"/>
      <c r="BQ166" s="39"/>
      <c r="BR166" s="39"/>
      <c r="BS166" s="39"/>
      <c r="BT166" s="39"/>
      <c r="BU166" s="39"/>
      <c r="BV166" s="39"/>
      <c r="BW166" s="39"/>
      <c r="BX166" s="39"/>
      <c r="BY166" s="39"/>
    </row>
    <row r="167" spans="1:77" s="37" customFormat="1">
      <c r="A167" s="39"/>
      <c r="B167" s="38"/>
      <c r="C167" s="684"/>
      <c r="D167" s="38"/>
      <c r="E167" s="38"/>
      <c r="F167" s="38"/>
      <c r="G167" s="38"/>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c r="AJ167" s="39"/>
      <c r="AK167" s="39"/>
      <c r="AL167" s="39"/>
      <c r="AM167" s="39"/>
      <c r="AN167" s="39"/>
      <c r="AO167" s="39"/>
      <c r="AP167" s="39"/>
      <c r="AQ167" s="39"/>
      <c r="AR167" s="39"/>
      <c r="AS167" s="39"/>
      <c r="AT167" s="39"/>
      <c r="AU167" s="39"/>
      <c r="AV167" s="123"/>
      <c r="AW167" s="124"/>
      <c r="AX167" s="76"/>
      <c r="AY167" s="76"/>
      <c r="AZ167" s="76"/>
      <c r="BA167" s="125"/>
      <c r="BB167" s="125"/>
      <c r="BC167" s="125"/>
      <c r="BD167" s="125"/>
      <c r="BE167" s="125"/>
      <c r="BF167" s="125"/>
      <c r="BG167" s="125"/>
      <c r="BH167" s="125"/>
      <c r="BI167" s="125"/>
      <c r="BJ167" s="41"/>
      <c r="BK167" s="69"/>
      <c r="BL167" s="39"/>
      <c r="BM167" s="39"/>
      <c r="BN167" s="39"/>
      <c r="BO167" s="39"/>
      <c r="BP167" s="39"/>
      <c r="BQ167" s="39"/>
      <c r="BR167" s="39"/>
      <c r="BS167" s="39"/>
      <c r="BT167" s="39"/>
      <c r="BU167" s="39"/>
      <c r="BV167" s="39"/>
      <c r="BW167" s="39"/>
      <c r="BX167" s="39"/>
      <c r="BY167" s="39"/>
    </row>
    <row r="168" spans="1:77" s="37" customFormat="1">
      <c r="A168" s="39"/>
      <c r="B168" s="38"/>
      <c r="C168" s="684"/>
      <c r="D168" s="38"/>
      <c r="E168" s="38"/>
      <c r="F168" s="38"/>
      <c r="G168" s="38"/>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c r="AL168" s="39"/>
      <c r="AM168" s="39"/>
      <c r="AN168" s="39"/>
      <c r="AO168" s="39"/>
      <c r="AP168" s="39"/>
      <c r="AQ168" s="39"/>
      <c r="AR168" s="39"/>
      <c r="AS168" s="39"/>
      <c r="AT168" s="39"/>
      <c r="AU168" s="39"/>
      <c r="AV168" s="123"/>
      <c r="AW168" s="124"/>
      <c r="AX168" s="76"/>
      <c r="AY168" s="76"/>
      <c r="AZ168" s="76"/>
      <c r="BA168" s="125"/>
      <c r="BB168" s="125"/>
      <c r="BC168" s="125"/>
      <c r="BD168" s="125"/>
      <c r="BE168" s="125"/>
      <c r="BF168" s="125"/>
      <c r="BG168" s="125"/>
      <c r="BH168" s="125"/>
      <c r="BI168" s="125"/>
      <c r="BJ168" s="41"/>
      <c r="BK168" s="69"/>
      <c r="BL168" s="39"/>
      <c r="BM168" s="39"/>
      <c r="BN168" s="39"/>
      <c r="BO168" s="39"/>
      <c r="BP168" s="39"/>
      <c r="BQ168" s="39"/>
      <c r="BR168" s="39"/>
      <c r="BS168" s="39"/>
      <c r="BT168" s="39"/>
      <c r="BU168" s="39"/>
      <c r="BV168" s="39"/>
      <c r="BW168" s="39"/>
      <c r="BX168" s="39"/>
      <c r="BY168" s="39"/>
    </row>
    <row r="169" spans="1:77" s="37" customFormat="1">
      <c r="A169" s="39"/>
      <c r="B169" s="38"/>
      <c r="C169" s="684"/>
      <c r="D169" s="38"/>
      <c r="E169" s="38"/>
      <c r="F169" s="38"/>
      <c r="G169" s="38"/>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39"/>
      <c r="AR169" s="39"/>
      <c r="AS169" s="39"/>
      <c r="AT169" s="39"/>
      <c r="AU169" s="39"/>
      <c r="AV169" s="123"/>
      <c r="AW169" s="124"/>
      <c r="AX169" s="76"/>
      <c r="AY169" s="76"/>
      <c r="AZ169" s="76"/>
      <c r="BA169" s="125"/>
      <c r="BB169" s="125"/>
      <c r="BC169" s="125"/>
      <c r="BD169" s="125"/>
      <c r="BE169" s="125"/>
      <c r="BF169" s="125"/>
      <c r="BG169" s="125"/>
      <c r="BH169" s="125"/>
      <c r="BI169" s="125"/>
      <c r="BJ169" s="41"/>
      <c r="BK169" s="69"/>
      <c r="BL169" s="39"/>
      <c r="BM169" s="39"/>
      <c r="BN169" s="39"/>
      <c r="BO169" s="39"/>
      <c r="BP169" s="39"/>
      <c r="BQ169" s="39"/>
      <c r="BR169" s="39"/>
      <c r="BS169" s="39"/>
      <c r="BT169" s="39"/>
      <c r="BU169" s="39"/>
      <c r="BV169" s="39"/>
      <c r="BW169" s="39"/>
      <c r="BX169" s="39"/>
      <c r="BY169" s="39"/>
    </row>
    <row r="170" spans="1:77" s="37" customFormat="1">
      <c r="A170" s="39"/>
      <c r="B170" s="38"/>
      <c r="C170" s="684"/>
      <c r="D170" s="38"/>
      <c r="E170" s="38"/>
      <c r="F170" s="38"/>
      <c r="G170" s="38"/>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c r="AI170" s="39"/>
      <c r="AJ170" s="39"/>
      <c r="AK170" s="39"/>
      <c r="AL170" s="39"/>
      <c r="AM170" s="39"/>
      <c r="AN170" s="39"/>
      <c r="AO170" s="39"/>
      <c r="AP170" s="39"/>
      <c r="AQ170" s="39"/>
      <c r="AR170" s="39"/>
      <c r="AS170" s="39"/>
      <c r="AT170" s="39"/>
      <c r="AU170" s="39"/>
      <c r="AV170" s="123"/>
      <c r="AW170" s="124"/>
      <c r="AX170" s="76"/>
      <c r="AY170" s="76"/>
      <c r="AZ170" s="76"/>
      <c r="BA170" s="125"/>
      <c r="BB170" s="125"/>
      <c r="BC170" s="125"/>
      <c r="BD170" s="125"/>
      <c r="BE170" s="125"/>
      <c r="BF170" s="125"/>
      <c r="BG170" s="125"/>
      <c r="BH170" s="125"/>
      <c r="BI170" s="125"/>
      <c r="BJ170" s="41"/>
      <c r="BK170" s="69"/>
      <c r="BL170" s="39"/>
      <c r="BM170" s="39"/>
      <c r="BN170" s="39"/>
      <c r="BO170" s="39"/>
      <c r="BP170" s="39"/>
      <c r="BQ170" s="39"/>
      <c r="BR170" s="39"/>
      <c r="BS170" s="39"/>
      <c r="BT170" s="39"/>
      <c r="BU170" s="39"/>
      <c r="BV170" s="39"/>
      <c r="BW170" s="39"/>
      <c r="BX170" s="39"/>
      <c r="BY170" s="39"/>
    </row>
    <row r="171" spans="1:77" s="37" customFormat="1">
      <c r="A171" s="39"/>
      <c r="B171" s="38"/>
      <c r="C171" s="684"/>
      <c r="D171" s="38"/>
      <c r="E171" s="38"/>
      <c r="F171" s="38"/>
      <c r="G171" s="38"/>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c r="AM171" s="39"/>
      <c r="AN171" s="39"/>
      <c r="AO171" s="39"/>
      <c r="AP171" s="39"/>
      <c r="AQ171" s="39"/>
      <c r="AR171" s="39"/>
      <c r="AS171" s="39"/>
      <c r="AT171" s="39"/>
      <c r="AU171" s="39"/>
      <c r="AV171" s="123"/>
      <c r="AW171" s="124"/>
      <c r="AX171" s="76"/>
      <c r="AY171" s="76"/>
      <c r="AZ171" s="76"/>
      <c r="BA171" s="125"/>
      <c r="BB171" s="125"/>
      <c r="BC171" s="125"/>
      <c r="BD171" s="125"/>
      <c r="BE171" s="125"/>
      <c r="BF171" s="125"/>
      <c r="BG171" s="125"/>
      <c r="BH171" s="125"/>
      <c r="BI171" s="125"/>
      <c r="BJ171" s="41"/>
      <c r="BK171" s="69"/>
      <c r="BL171" s="39"/>
      <c r="BM171" s="39"/>
      <c r="BN171" s="39"/>
      <c r="BO171" s="39"/>
      <c r="BP171" s="39"/>
      <c r="BQ171" s="39"/>
      <c r="BR171" s="39"/>
      <c r="BS171" s="39"/>
      <c r="BT171" s="39"/>
      <c r="BU171" s="39"/>
      <c r="BV171" s="39"/>
      <c r="BW171" s="39"/>
      <c r="BX171" s="39"/>
      <c r="BY171" s="39"/>
    </row>
    <row r="172" spans="1:77" s="37" customFormat="1">
      <c r="A172" s="39"/>
      <c r="B172" s="38"/>
      <c r="C172" s="684"/>
      <c r="D172" s="38"/>
      <c r="E172" s="38"/>
      <c r="F172" s="38"/>
      <c r="G172" s="38"/>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c r="AH172" s="39"/>
      <c r="AI172" s="39"/>
      <c r="AJ172" s="39"/>
      <c r="AK172" s="39"/>
      <c r="AL172" s="39"/>
      <c r="AM172" s="39"/>
      <c r="AN172" s="39"/>
      <c r="AO172" s="39"/>
      <c r="AP172" s="39"/>
      <c r="AQ172" s="39"/>
      <c r="AR172" s="39"/>
      <c r="AS172" s="39"/>
      <c r="AT172" s="39"/>
      <c r="AU172" s="39"/>
      <c r="AV172" s="123"/>
      <c r="AW172" s="124"/>
      <c r="AX172" s="76"/>
      <c r="AY172" s="76"/>
      <c r="AZ172" s="76"/>
      <c r="BA172" s="125"/>
      <c r="BB172" s="125"/>
      <c r="BC172" s="125"/>
      <c r="BD172" s="125"/>
      <c r="BE172" s="125"/>
      <c r="BF172" s="125"/>
      <c r="BG172" s="125"/>
      <c r="BH172" s="125"/>
      <c r="BI172" s="125"/>
      <c r="BJ172" s="41"/>
      <c r="BK172" s="69"/>
      <c r="BL172" s="39"/>
      <c r="BM172" s="39"/>
      <c r="BN172" s="39"/>
      <c r="BO172" s="39"/>
      <c r="BP172" s="39"/>
      <c r="BQ172" s="39"/>
      <c r="BR172" s="39"/>
      <c r="BS172" s="39"/>
      <c r="BT172" s="39"/>
      <c r="BU172" s="39"/>
      <c r="BV172" s="39"/>
      <c r="BW172" s="39"/>
      <c r="BX172" s="39"/>
      <c r="BY172" s="39"/>
    </row>
    <row r="173" spans="1:77" s="37" customFormat="1">
      <c r="A173" s="39"/>
      <c r="B173" s="38"/>
      <c r="C173" s="684"/>
      <c r="D173" s="38"/>
      <c r="E173" s="38"/>
      <c r="F173" s="38"/>
      <c r="G173" s="38"/>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c r="AJ173" s="39"/>
      <c r="AK173" s="39"/>
      <c r="AL173" s="39"/>
      <c r="AM173" s="39"/>
      <c r="AN173" s="39"/>
      <c r="AO173" s="39"/>
      <c r="AP173" s="39"/>
      <c r="AQ173" s="39"/>
      <c r="AR173" s="39"/>
      <c r="AS173" s="39"/>
      <c r="AT173" s="39"/>
      <c r="AU173" s="39"/>
      <c r="AV173" s="123"/>
      <c r="AW173" s="124"/>
      <c r="AX173" s="76"/>
      <c r="AY173" s="76"/>
      <c r="AZ173" s="76"/>
      <c r="BA173" s="125"/>
      <c r="BB173" s="125"/>
      <c r="BC173" s="125"/>
      <c r="BD173" s="125"/>
      <c r="BE173" s="125"/>
      <c r="BF173" s="125"/>
      <c r="BG173" s="125"/>
      <c r="BH173" s="125"/>
      <c r="BI173" s="125"/>
      <c r="BJ173" s="41"/>
      <c r="BK173" s="69"/>
      <c r="BL173" s="39"/>
      <c r="BM173" s="39"/>
      <c r="BN173" s="39"/>
      <c r="BO173" s="39"/>
      <c r="BP173" s="39"/>
      <c r="BQ173" s="39"/>
      <c r="BR173" s="39"/>
      <c r="BS173" s="39"/>
      <c r="BT173" s="39"/>
      <c r="BU173" s="39"/>
      <c r="BV173" s="39"/>
      <c r="BW173" s="39"/>
      <c r="BX173" s="39"/>
      <c r="BY173" s="39"/>
    </row>
    <row r="174" spans="1:77" s="37" customFormat="1">
      <c r="A174" s="39"/>
      <c r="B174" s="38"/>
      <c r="C174" s="684"/>
      <c r="D174" s="38"/>
      <c r="E174" s="38"/>
      <c r="F174" s="38"/>
      <c r="G174" s="38"/>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123"/>
      <c r="AW174" s="124"/>
      <c r="AX174" s="76"/>
      <c r="AY174" s="76"/>
      <c r="AZ174" s="76"/>
      <c r="BA174" s="125"/>
      <c r="BB174" s="125"/>
      <c r="BC174" s="125"/>
      <c r="BD174" s="125"/>
      <c r="BE174" s="125"/>
      <c r="BF174" s="125"/>
      <c r="BG174" s="125"/>
      <c r="BH174" s="125"/>
      <c r="BI174" s="125"/>
      <c r="BJ174" s="41"/>
      <c r="BK174" s="69"/>
      <c r="BL174" s="39"/>
      <c r="BM174" s="39"/>
      <c r="BN174" s="39"/>
      <c r="BO174" s="39"/>
      <c r="BP174" s="39"/>
      <c r="BQ174" s="39"/>
      <c r="BR174" s="39"/>
      <c r="BS174" s="39"/>
      <c r="BT174" s="39"/>
      <c r="BU174" s="39"/>
      <c r="BV174" s="39"/>
      <c r="BW174" s="39"/>
      <c r="BX174" s="39"/>
      <c r="BY174" s="39"/>
    </row>
    <row r="175" spans="1:77" s="37" customFormat="1">
      <c r="A175" s="39"/>
      <c r="B175" s="38"/>
      <c r="C175" s="684"/>
      <c r="D175" s="38"/>
      <c r="E175" s="38"/>
      <c r="F175" s="38"/>
      <c r="G175" s="38"/>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c r="AJ175" s="39"/>
      <c r="AK175" s="39"/>
      <c r="AL175" s="39"/>
      <c r="AM175" s="39"/>
      <c r="AN175" s="39"/>
      <c r="AO175" s="39"/>
      <c r="AP175" s="39"/>
      <c r="AQ175" s="39"/>
      <c r="AR175" s="39"/>
      <c r="AS175" s="39"/>
      <c r="AT175" s="39"/>
      <c r="AU175" s="39"/>
      <c r="AV175" s="123"/>
      <c r="AW175" s="124"/>
      <c r="AX175" s="76"/>
      <c r="AY175" s="76"/>
      <c r="AZ175" s="76"/>
      <c r="BA175" s="125"/>
      <c r="BB175" s="125"/>
      <c r="BC175" s="125"/>
      <c r="BD175" s="125"/>
      <c r="BE175" s="125"/>
      <c r="BF175" s="125"/>
      <c r="BG175" s="125"/>
      <c r="BH175" s="125"/>
      <c r="BI175" s="125"/>
      <c r="BJ175" s="41"/>
      <c r="BK175" s="69"/>
      <c r="BL175" s="39"/>
      <c r="BM175" s="39"/>
      <c r="BN175" s="39"/>
      <c r="BO175" s="39"/>
      <c r="BP175" s="39"/>
      <c r="BQ175" s="39"/>
      <c r="BR175" s="39"/>
      <c r="BS175" s="39"/>
      <c r="BT175" s="39"/>
      <c r="BU175" s="39"/>
      <c r="BV175" s="39"/>
      <c r="BW175" s="39"/>
      <c r="BX175" s="39"/>
      <c r="BY175" s="39"/>
    </row>
    <row r="176" spans="1:77" s="37" customFormat="1">
      <c r="A176" s="39"/>
      <c r="B176" s="38"/>
      <c r="C176" s="684"/>
      <c r="D176" s="38"/>
      <c r="E176" s="38"/>
      <c r="F176" s="38"/>
      <c r="G176" s="38"/>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9"/>
      <c r="AR176" s="39"/>
      <c r="AS176" s="39"/>
      <c r="AT176" s="39"/>
      <c r="AU176" s="39"/>
      <c r="AV176" s="123"/>
      <c r="AW176" s="124"/>
      <c r="AX176" s="76"/>
      <c r="AY176" s="76"/>
      <c r="AZ176" s="76"/>
      <c r="BA176" s="125"/>
      <c r="BB176" s="125"/>
      <c r="BC176" s="125"/>
      <c r="BD176" s="125"/>
      <c r="BE176" s="125"/>
      <c r="BF176" s="125"/>
      <c r="BG176" s="125"/>
      <c r="BH176" s="125"/>
      <c r="BI176" s="125"/>
      <c r="BJ176" s="41"/>
      <c r="BK176" s="69"/>
      <c r="BL176" s="39"/>
      <c r="BM176" s="39"/>
      <c r="BN176" s="39"/>
      <c r="BO176" s="39"/>
      <c r="BP176" s="39"/>
      <c r="BQ176" s="39"/>
      <c r="BR176" s="39"/>
      <c r="BS176" s="39"/>
      <c r="BT176" s="39"/>
      <c r="BU176" s="39"/>
      <c r="BV176" s="39"/>
      <c r="BW176" s="39"/>
      <c r="BX176" s="39"/>
      <c r="BY176" s="39"/>
    </row>
    <row r="177" spans="1:77" s="37" customFormat="1">
      <c r="A177" s="39"/>
      <c r="B177" s="38"/>
      <c r="C177" s="684"/>
      <c r="D177" s="38"/>
      <c r="E177" s="38"/>
      <c r="F177" s="38"/>
      <c r="G177" s="38"/>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c r="AK177" s="39"/>
      <c r="AL177" s="39"/>
      <c r="AM177" s="39"/>
      <c r="AN177" s="39"/>
      <c r="AO177" s="39"/>
      <c r="AP177" s="39"/>
      <c r="AQ177" s="39"/>
      <c r="AR177" s="39"/>
      <c r="AS177" s="39"/>
      <c r="AT177" s="39"/>
      <c r="AU177" s="39"/>
      <c r="AV177" s="123"/>
      <c r="AW177" s="124"/>
      <c r="AX177" s="76"/>
      <c r="AY177" s="76"/>
      <c r="AZ177" s="76"/>
      <c r="BA177" s="125"/>
      <c r="BB177" s="125"/>
      <c r="BC177" s="125"/>
      <c r="BD177" s="125"/>
      <c r="BE177" s="125"/>
      <c r="BF177" s="125"/>
      <c r="BG177" s="125"/>
      <c r="BH177" s="125"/>
      <c r="BI177" s="125"/>
      <c r="BJ177" s="41"/>
      <c r="BK177" s="69"/>
      <c r="BL177" s="39"/>
      <c r="BM177" s="39"/>
      <c r="BN177" s="39"/>
      <c r="BO177" s="39"/>
      <c r="BP177" s="39"/>
      <c r="BQ177" s="39"/>
      <c r="BR177" s="39"/>
      <c r="BS177" s="39"/>
      <c r="BT177" s="39"/>
      <c r="BU177" s="39"/>
      <c r="BV177" s="39"/>
      <c r="BW177" s="39"/>
      <c r="BX177" s="39"/>
      <c r="BY177" s="39"/>
    </row>
    <row r="178" spans="1:77" s="37" customFormat="1">
      <c r="A178" s="39"/>
      <c r="B178" s="38"/>
      <c r="C178" s="684"/>
      <c r="D178" s="38"/>
      <c r="E178" s="38"/>
      <c r="F178" s="38"/>
      <c r="G178" s="38"/>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c r="AJ178" s="39"/>
      <c r="AK178" s="39"/>
      <c r="AL178" s="39"/>
      <c r="AM178" s="39"/>
      <c r="AN178" s="39"/>
      <c r="AO178" s="39"/>
      <c r="AP178" s="39"/>
      <c r="AQ178" s="39"/>
      <c r="AR178" s="39"/>
      <c r="AS178" s="39"/>
      <c r="AT178" s="39"/>
      <c r="AU178" s="39"/>
      <c r="AV178" s="123"/>
      <c r="AW178" s="124"/>
      <c r="AX178" s="76"/>
      <c r="AY178" s="76"/>
      <c r="AZ178" s="76"/>
      <c r="BA178" s="125"/>
      <c r="BB178" s="125"/>
      <c r="BC178" s="125"/>
      <c r="BD178" s="125"/>
      <c r="BE178" s="125"/>
      <c r="BF178" s="125"/>
      <c r="BG178" s="125"/>
      <c r="BH178" s="125"/>
      <c r="BI178" s="125"/>
      <c r="BJ178" s="41"/>
      <c r="BK178" s="69"/>
      <c r="BL178" s="39"/>
      <c r="BM178" s="39"/>
      <c r="BN178" s="39"/>
      <c r="BO178" s="39"/>
      <c r="BP178" s="39"/>
      <c r="BQ178" s="39"/>
      <c r="BR178" s="39"/>
      <c r="BS178" s="39"/>
      <c r="BT178" s="39"/>
      <c r="BU178" s="39"/>
      <c r="BV178" s="39"/>
      <c r="BW178" s="39"/>
      <c r="BX178" s="39"/>
      <c r="BY178" s="39"/>
    </row>
    <row r="179" spans="1:77" s="37" customFormat="1">
      <c r="A179" s="39"/>
      <c r="B179" s="38"/>
      <c r="C179" s="684"/>
      <c r="D179" s="38"/>
      <c r="E179" s="38"/>
      <c r="F179" s="38"/>
      <c r="G179" s="38"/>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c r="AK179" s="39"/>
      <c r="AL179" s="39"/>
      <c r="AM179" s="39"/>
      <c r="AN179" s="39"/>
      <c r="AO179" s="39"/>
      <c r="AP179" s="39"/>
      <c r="AQ179" s="39"/>
      <c r="AR179" s="39"/>
      <c r="AS179" s="39"/>
      <c r="AT179" s="39"/>
      <c r="AU179" s="39"/>
      <c r="AV179" s="123"/>
      <c r="AW179" s="124"/>
      <c r="AX179" s="76"/>
      <c r="AY179" s="76"/>
      <c r="AZ179" s="76"/>
      <c r="BA179" s="125"/>
      <c r="BB179" s="125"/>
      <c r="BC179" s="125"/>
      <c r="BD179" s="125"/>
      <c r="BE179" s="125"/>
      <c r="BF179" s="125"/>
      <c r="BG179" s="125"/>
      <c r="BH179" s="125"/>
      <c r="BI179" s="125"/>
      <c r="BJ179" s="41"/>
      <c r="BK179" s="69"/>
      <c r="BL179" s="39"/>
      <c r="BM179" s="39"/>
      <c r="BN179" s="39"/>
      <c r="BO179" s="39"/>
      <c r="BP179" s="39"/>
      <c r="BQ179" s="39"/>
      <c r="BR179" s="39"/>
      <c r="BS179" s="39"/>
      <c r="BT179" s="39"/>
      <c r="BU179" s="39"/>
      <c r="BV179" s="39"/>
      <c r="BW179" s="39"/>
      <c r="BX179" s="39"/>
      <c r="BY179" s="39"/>
    </row>
    <row r="180" spans="1:77" s="37" customFormat="1">
      <c r="A180" s="39"/>
      <c r="B180" s="38"/>
      <c r="C180" s="684"/>
      <c r="D180" s="38"/>
      <c r="E180" s="38"/>
      <c r="F180" s="38"/>
      <c r="G180" s="38"/>
      <c r="H180" s="39"/>
      <c r="I180" s="39"/>
      <c r="J180" s="39"/>
      <c r="K180" s="39"/>
      <c r="L180" s="39"/>
      <c r="M180" s="39"/>
      <c r="N180" s="39"/>
      <c r="O180" s="39"/>
      <c r="P180" s="39"/>
      <c r="Q180" s="39"/>
      <c r="R180" s="39"/>
      <c r="S180" s="39"/>
      <c r="T180" s="39"/>
      <c r="U180" s="39"/>
      <c r="V180" s="39"/>
      <c r="W180" s="39"/>
      <c r="X180" s="39"/>
      <c r="Y180" s="39"/>
      <c r="Z180" s="39"/>
      <c r="AA180" s="39"/>
      <c r="AB180" s="39"/>
      <c r="AC180" s="39"/>
      <c r="AD180" s="39"/>
      <c r="AE180" s="39"/>
      <c r="AF180" s="39"/>
      <c r="AG180" s="39"/>
      <c r="AH180" s="39"/>
      <c r="AI180" s="39"/>
      <c r="AJ180" s="39"/>
      <c r="AK180" s="39"/>
      <c r="AL180" s="39"/>
      <c r="AM180" s="39"/>
      <c r="AN180" s="39"/>
      <c r="AO180" s="39"/>
      <c r="AP180" s="39"/>
      <c r="AQ180" s="39"/>
      <c r="AR180" s="39"/>
      <c r="AS180" s="39"/>
      <c r="AT180" s="39"/>
      <c r="AU180" s="39"/>
      <c r="AV180" s="123"/>
      <c r="AW180" s="124"/>
      <c r="AX180" s="76"/>
      <c r="AY180" s="76"/>
      <c r="AZ180" s="76"/>
      <c r="BA180" s="125"/>
      <c r="BB180" s="125"/>
      <c r="BC180" s="125"/>
      <c r="BD180" s="125"/>
      <c r="BE180" s="125"/>
      <c r="BF180" s="125"/>
      <c r="BG180" s="125"/>
      <c r="BH180" s="125"/>
      <c r="BI180" s="125"/>
      <c r="BJ180" s="41"/>
      <c r="BK180" s="69"/>
      <c r="BL180" s="39"/>
      <c r="BM180" s="39"/>
      <c r="BN180" s="39"/>
      <c r="BO180" s="39"/>
      <c r="BP180" s="39"/>
      <c r="BQ180" s="39"/>
      <c r="BR180" s="39"/>
      <c r="BS180" s="39"/>
      <c r="BT180" s="39"/>
      <c r="BU180" s="39"/>
      <c r="BV180" s="39"/>
      <c r="BW180" s="39"/>
      <c r="BX180" s="39"/>
      <c r="BY180" s="39"/>
    </row>
    <row r="181" spans="1:77" s="37" customFormat="1">
      <c r="A181" s="39"/>
      <c r="B181" s="38"/>
      <c r="C181" s="684"/>
      <c r="D181" s="38"/>
      <c r="E181" s="38"/>
      <c r="F181" s="38"/>
      <c r="G181" s="38"/>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c r="AI181" s="39"/>
      <c r="AJ181" s="39"/>
      <c r="AK181" s="39"/>
      <c r="AL181" s="39"/>
      <c r="AM181" s="39"/>
      <c r="AN181" s="39"/>
      <c r="AO181" s="39"/>
      <c r="AP181" s="39"/>
      <c r="AQ181" s="39"/>
      <c r="AR181" s="39"/>
      <c r="AS181" s="39"/>
      <c r="AT181" s="39"/>
      <c r="AU181" s="39"/>
      <c r="AV181" s="123"/>
      <c r="AW181" s="124"/>
      <c r="AX181" s="76"/>
      <c r="AY181" s="76"/>
      <c r="AZ181" s="76"/>
      <c r="BA181" s="125"/>
      <c r="BB181" s="125"/>
      <c r="BC181" s="125"/>
      <c r="BD181" s="125"/>
      <c r="BE181" s="125"/>
      <c r="BF181" s="125"/>
      <c r="BG181" s="125"/>
      <c r="BH181" s="125"/>
      <c r="BI181" s="125"/>
      <c r="BJ181" s="41"/>
      <c r="BK181" s="69"/>
      <c r="BL181" s="39"/>
      <c r="BM181" s="39"/>
      <c r="BN181" s="39"/>
      <c r="BO181" s="39"/>
      <c r="BP181" s="39"/>
      <c r="BQ181" s="39"/>
      <c r="BR181" s="39"/>
      <c r="BS181" s="39"/>
      <c r="BT181" s="39"/>
      <c r="BU181" s="39"/>
      <c r="BV181" s="39"/>
      <c r="BW181" s="39"/>
      <c r="BX181" s="39"/>
      <c r="BY181" s="39"/>
    </row>
    <row r="182" spans="1:77" s="37" customFormat="1">
      <c r="A182" s="39"/>
      <c r="B182" s="38"/>
      <c r="C182" s="684"/>
      <c r="D182" s="38"/>
      <c r="E182" s="38"/>
      <c r="F182" s="38"/>
      <c r="G182" s="38"/>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c r="AH182" s="39"/>
      <c r="AI182" s="39"/>
      <c r="AJ182" s="39"/>
      <c r="AK182" s="39"/>
      <c r="AL182" s="39"/>
      <c r="AM182" s="39"/>
      <c r="AN182" s="39"/>
      <c r="AO182" s="39"/>
      <c r="AP182" s="39"/>
      <c r="AQ182" s="39"/>
      <c r="AR182" s="39"/>
      <c r="AS182" s="39"/>
      <c r="AT182" s="39"/>
      <c r="AU182" s="39"/>
      <c r="AV182" s="123"/>
      <c r="AW182" s="124"/>
      <c r="AX182" s="76"/>
      <c r="AY182" s="76"/>
      <c r="AZ182" s="76"/>
      <c r="BA182" s="125"/>
      <c r="BB182" s="125"/>
      <c r="BC182" s="125"/>
      <c r="BD182" s="125"/>
      <c r="BE182" s="125"/>
      <c r="BF182" s="125"/>
      <c r="BG182" s="125"/>
      <c r="BH182" s="125"/>
      <c r="BI182" s="125"/>
      <c r="BJ182" s="41"/>
      <c r="BK182" s="69"/>
      <c r="BL182" s="39"/>
      <c r="BM182" s="39"/>
      <c r="BN182" s="39"/>
      <c r="BO182" s="39"/>
      <c r="BP182" s="39"/>
      <c r="BQ182" s="39"/>
      <c r="BR182" s="39"/>
      <c r="BS182" s="39"/>
      <c r="BT182" s="39"/>
      <c r="BU182" s="39"/>
      <c r="BV182" s="39"/>
      <c r="BW182" s="39"/>
      <c r="BX182" s="39"/>
      <c r="BY182" s="39"/>
    </row>
    <row r="183" spans="1:77" s="37" customFormat="1">
      <c r="A183" s="39"/>
      <c r="B183" s="38"/>
      <c r="C183" s="684"/>
      <c r="D183" s="38"/>
      <c r="E183" s="38"/>
      <c r="F183" s="38"/>
      <c r="G183" s="38"/>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39"/>
      <c r="AR183" s="39"/>
      <c r="AS183" s="39"/>
      <c r="AT183" s="39"/>
      <c r="AU183" s="39"/>
      <c r="AV183" s="123"/>
      <c r="AW183" s="124"/>
      <c r="AX183" s="76"/>
      <c r="AY183" s="76"/>
      <c r="AZ183" s="76"/>
      <c r="BA183" s="125"/>
      <c r="BB183" s="125"/>
      <c r="BC183" s="125"/>
      <c r="BD183" s="125"/>
      <c r="BE183" s="125"/>
      <c r="BF183" s="125"/>
      <c r="BG183" s="125"/>
      <c r="BH183" s="125"/>
      <c r="BI183" s="125"/>
      <c r="BJ183" s="41"/>
      <c r="BK183" s="69"/>
      <c r="BL183" s="39"/>
      <c r="BM183" s="39"/>
      <c r="BN183" s="39"/>
      <c r="BO183" s="39"/>
      <c r="BP183" s="39"/>
      <c r="BQ183" s="39"/>
      <c r="BR183" s="39"/>
      <c r="BS183" s="39"/>
      <c r="BT183" s="39"/>
      <c r="BU183" s="39"/>
      <c r="BV183" s="39"/>
      <c r="BW183" s="39"/>
      <c r="BX183" s="39"/>
      <c r="BY183" s="39"/>
    </row>
    <row r="184" spans="1:77" s="37" customFormat="1">
      <c r="A184" s="39"/>
      <c r="B184" s="38"/>
      <c r="C184" s="684"/>
      <c r="D184" s="38"/>
      <c r="E184" s="38"/>
      <c r="F184" s="38"/>
      <c r="G184" s="38"/>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c r="AH184" s="39"/>
      <c r="AI184" s="39"/>
      <c r="AJ184" s="39"/>
      <c r="AK184" s="39"/>
      <c r="AL184" s="39"/>
      <c r="AM184" s="39"/>
      <c r="AN184" s="39"/>
      <c r="AO184" s="39"/>
      <c r="AP184" s="39"/>
      <c r="AQ184" s="39"/>
      <c r="AR184" s="39"/>
      <c r="AS184" s="39"/>
      <c r="AT184" s="39"/>
      <c r="AU184" s="39"/>
      <c r="AV184" s="123"/>
      <c r="AW184" s="124"/>
      <c r="AX184" s="76"/>
      <c r="AY184" s="76"/>
      <c r="AZ184" s="76"/>
      <c r="BA184" s="125"/>
      <c r="BB184" s="125"/>
      <c r="BC184" s="125"/>
      <c r="BD184" s="125"/>
      <c r="BE184" s="125"/>
      <c r="BF184" s="125"/>
      <c r="BG184" s="125"/>
      <c r="BH184" s="125"/>
      <c r="BI184" s="125"/>
      <c r="BJ184" s="41"/>
      <c r="BK184" s="69"/>
      <c r="BL184" s="39"/>
      <c r="BM184" s="39"/>
      <c r="BN184" s="39"/>
      <c r="BO184" s="39"/>
      <c r="BP184" s="39"/>
      <c r="BQ184" s="39"/>
      <c r="BR184" s="39"/>
      <c r="BS184" s="39"/>
      <c r="BT184" s="39"/>
      <c r="BU184" s="39"/>
      <c r="BV184" s="39"/>
      <c r="BW184" s="39"/>
      <c r="BX184" s="39"/>
      <c r="BY184" s="39"/>
    </row>
    <row r="185" spans="1:77" s="37" customFormat="1">
      <c r="A185" s="39"/>
      <c r="B185" s="38"/>
      <c r="C185" s="684"/>
      <c r="D185" s="38"/>
      <c r="E185" s="38"/>
      <c r="F185" s="38"/>
      <c r="G185" s="38"/>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c r="AP185" s="39"/>
      <c r="AQ185" s="39"/>
      <c r="AR185" s="39"/>
      <c r="AS185" s="39"/>
      <c r="AT185" s="39"/>
      <c r="AU185" s="39"/>
      <c r="AV185" s="123"/>
      <c r="AW185" s="124"/>
      <c r="AX185" s="76"/>
      <c r="AY185" s="76"/>
      <c r="AZ185" s="76"/>
      <c r="BA185" s="125"/>
      <c r="BB185" s="125"/>
      <c r="BC185" s="125"/>
      <c r="BD185" s="125"/>
      <c r="BE185" s="125"/>
      <c r="BF185" s="125"/>
      <c r="BG185" s="125"/>
      <c r="BH185" s="125"/>
      <c r="BI185" s="125"/>
      <c r="BJ185" s="41"/>
      <c r="BK185" s="69"/>
      <c r="BL185" s="39"/>
      <c r="BM185" s="39"/>
      <c r="BN185" s="39"/>
      <c r="BO185" s="39"/>
      <c r="BP185" s="39"/>
      <c r="BQ185" s="39"/>
      <c r="BR185" s="39"/>
      <c r="BS185" s="39"/>
      <c r="BT185" s="39"/>
      <c r="BU185" s="39"/>
      <c r="BV185" s="39"/>
      <c r="BW185" s="39"/>
      <c r="BX185" s="39"/>
      <c r="BY185" s="39"/>
    </row>
    <row r="186" spans="1:77" s="37" customFormat="1">
      <c r="A186" s="39"/>
      <c r="B186" s="38"/>
      <c r="C186" s="684"/>
      <c r="D186" s="38"/>
      <c r="E186" s="38"/>
      <c r="F186" s="38"/>
      <c r="G186" s="38"/>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c r="AI186" s="39"/>
      <c r="AJ186" s="39"/>
      <c r="AK186" s="39"/>
      <c r="AL186" s="39"/>
      <c r="AM186" s="39"/>
      <c r="AN186" s="39"/>
      <c r="AO186" s="39"/>
      <c r="AP186" s="39"/>
      <c r="AQ186" s="39"/>
      <c r="AR186" s="39"/>
      <c r="AS186" s="39"/>
      <c r="AT186" s="39"/>
      <c r="AU186" s="39"/>
      <c r="AV186" s="123"/>
      <c r="AW186" s="124"/>
      <c r="AX186" s="76"/>
      <c r="AY186" s="76"/>
      <c r="AZ186" s="76"/>
      <c r="BA186" s="125"/>
      <c r="BB186" s="125"/>
      <c r="BC186" s="125"/>
      <c r="BD186" s="125"/>
      <c r="BE186" s="125"/>
      <c r="BF186" s="125"/>
      <c r="BG186" s="125"/>
      <c r="BH186" s="125"/>
      <c r="BI186" s="125"/>
      <c r="BJ186" s="41"/>
      <c r="BK186" s="69"/>
      <c r="BL186" s="39"/>
      <c r="BM186" s="39"/>
      <c r="BN186" s="39"/>
      <c r="BO186" s="39"/>
      <c r="BP186" s="39"/>
      <c r="BQ186" s="39"/>
      <c r="BR186" s="39"/>
      <c r="BS186" s="39"/>
      <c r="BT186" s="39"/>
      <c r="BU186" s="39"/>
      <c r="BV186" s="39"/>
      <c r="BW186" s="39"/>
      <c r="BX186" s="39"/>
      <c r="BY186" s="39"/>
    </row>
    <row r="187" spans="1:77" s="37" customFormat="1">
      <c r="A187" s="39"/>
      <c r="B187" s="38"/>
      <c r="C187" s="684"/>
      <c r="D187" s="38"/>
      <c r="E187" s="38"/>
      <c r="F187" s="38"/>
      <c r="G187" s="38"/>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c r="AP187" s="39"/>
      <c r="AQ187" s="39"/>
      <c r="AR187" s="39"/>
      <c r="AS187" s="39"/>
      <c r="AT187" s="39"/>
      <c r="AU187" s="39"/>
      <c r="AV187" s="123"/>
      <c r="AW187" s="124"/>
      <c r="AX187" s="76"/>
      <c r="AY187" s="76"/>
      <c r="AZ187" s="76"/>
      <c r="BA187" s="125"/>
      <c r="BB187" s="125"/>
      <c r="BC187" s="125"/>
      <c r="BD187" s="125"/>
      <c r="BE187" s="125"/>
      <c r="BF187" s="125"/>
      <c r="BG187" s="125"/>
      <c r="BH187" s="125"/>
      <c r="BI187" s="125"/>
      <c r="BJ187" s="41"/>
      <c r="BK187" s="69"/>
      <c r="BL187" s="39"/>
      <c r="BM187" s="39"/>
      <c r="BN187" s="39"/>
      <c r="BO187" s="39"/>
      <c r="BP187" s="39"/>
      <c r="BQ187" s="39"/>
      <c r="BR187" s="39"/>
      <c r="BS187" s="39"/>
      <c r="BT187" s="39"/>
      <c r="BU187" s="39"/>
      <c r="BV187" s="39"/>
      <c r="BW187" s="39"/>
      <c r="BX187" s="39"/>
      <c r="BY187" s="39"/>
    </row>
    <row r="188" spans="1:77" s="37" customFormat="1">
      <c r="A188" s="39"/>
      <c r="B188" s="38"/>
      <c r="C188" s="684"/>
      <c r="D188" s="38"/>
      <c r="E188" s="38"/>
      <c r="F188" s="38"/>
      <c r="G188" s="38"/>
      <c r="H188" s="39"/>
      <c r="I188" s="39"/>
      <c r="J188" s="39"/>
      <c r="K188" s="39"/>
      <c r="L188" s="39"/>
      <c r="M188" s="39"/>
      <c r="N188" s="39"/>
      <c r="O188" s="39"/>
      <c r="P188" s="39"/>
      <c r="Q188" s="39"/>
      <c r="R188" s="39"/>
      <c r="S188" s="39"/>
      <c r="T188" s="39"/>
      <c r="U188" s="39"/>
      <c r="V188" s="39"/>
      <c r="W188" s="39"/>
      <c r="X188" s="39"/>
      <c r="Y188" s="39"/>
      <c r="Z188" s="39"/>
      <c r="AA188" s="39"/>
      <c r="AB188" s="39"/>
      <c r="AC188" s="39"/>
      <c r="AD188" s="39"/>
      <c r="AE188" s="39"/>
      <c r="AF188" s="39"/>
      <c r="AG188" s="39"/>
      <c r="AH188" s="39"/>
      <c r="AI188" s="39"/>
      <c r="AJ188" s="39"/>
      <c r="AK188" s="39"/>
      <c r="AL188" s="39"/>
      <c r="AM188" s="39"/>
      <c r="AN188" s="39"/>
      <c r="AO188" s="39"/>
      <c r="AP188" s="39"/>
      <c r="AQ188" s="39"/>
      <c r="AR188" s="39"/>
      <c r="AS188" s="39"/>
      <c r="AT188" s="39"/>
      <c r="AU188" s="39"/>
      <c r="AV188" s="123"/>
      <c r="AW188" s="124"/>
      <c r="AX188" s="76"/>
      <c r="AY188" s="76"/>
      <c r="AZ188" s="76"/>
      <c r="BA188" s="125"/>
      <c r="BB188" s="125"/>
      <c r="BC188" s="125"/>
      <c r="BD188" s="125"/>
      <c r="BE188" s="125"/>
      <c r="BF188" s="125"/>
      <c r="BG188" s="125"/>
      <c r="BH188" s="125"/>
      <c r="BI188" s="125"/>
      <c r="BJ188" s="41"/>
      <c r="BK188" s="69"/>
      <c r="BL188" s="39"/>
      <c r="BM188" s="39"/>
      <c r="BN188" s="39"/>
      <c r="BO188" s="39"/>
      <c r="BP188" s="39"/>
      <c r="BQ188" s="39"/>
      <c r="BR188" s="39"/>
      <c r="BS188" s="39"/>
      <c r="BT188" s="39"/>
      <c r="BU188" s="39"/>
      <c r="BV188" s="39"/>
      <c r="BW188" s="39"/>
      <c r="BX188" s="39"/>
      <c r="BY188" s="39"/>
    </row>
    <row r="189" spans="1:77" s="37" customFormat="1">
      <c r="A189" s="39"/>
      <c r="B189" s="38"/>
      <c r="C189" s="684"/>
      <c r="D189" s="38"/>
      <c r="E189" s="38"/>
      <c r="F189" s="38"/>
      <c r="G189" s="38"/>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c r="AM189" s="39"/>
      <c r="AN189" s="39"/>
      <c r="AO189" s="39"/>
      <c r="AP189" s="39"/>
      <c r="AQ189" s="39"/>
      <c r="AR189" s="39"/>
      <c r="AS189" s="39"/>
      <c r="AT189" s="39"/>
      <c r="AU189" s="39"/>
      <c r="AV189" s="123"/>
      <c r="AW189" s="124"/>
      <c r="AX189" s="76"/>
      <c r="AY189" s="76"/>
      <c r="AZ189" s="76"/>
      <c r="BA189" s="125"/>
      <c r="BB189" s="125"/>
      <c r="BC189" s="125"/>
      <c r="BD189" s="125"/>
      <c r="BE189" s="125"/>
      <c r="BF189" s="125"/>
      <c r="BG189" s="125"/>
      <c r="BH189" s="125"/>
      <c r="BI189" s="125"/>
      <c r="BJ189" s="41"/>
      <c r="BK189" s="69"/>
      <c r="BL189" s="39"/>
      <c r="BM189" s="39"/>
      <c r="BN189" s="39"/>
      <c r="BO189" s="39"/>
      <c r="BP189" s="39"/>
      <c r="BQ189" s="39"/>
      <c r="BR189" s="39"/>
      <c r="BS189" s="39"/>
      <c r="BT189" s="39"/>
      <c r="BU189" s="39"/>
      <c r="BV189" s="39"/>
      <c r="BW189" s="39"/>
      <c r="BX189" s="39"/>
      <c r="BY189" s="39"/>
    </row>
    <row r="190" spans="1:77" s="37" customFormat="1">
      <c r="A190" s="39"/>
      <c r="B190" s="38"/>
      <c r="C190" s="684"/>
      <c r="D190" s="38"/>
      <c r="E190" s="38"/>
      <c r="F190" s="38"/>
      <c r="G190" s="38"/>
      <c r="H190" s="39"/>
      <c r="I190" s="39"/>
      <c r="J190" s="39"/>
      <c r="K190" s="39"/>
      <c r="L190" s="39"/>
      <c r="M190" s="39"/>
      <c r="N190" s="39"/>
      <c r="O190" s="39"/>
      <c r="P190" s="39"/>
      <c r="Q190" s="39"/>
      <c r="R190" s="39"/>
      <c r="S190" s="39"/>
      <c r="T190" s="39"/>
      <c r="U190" s="39"/>
      <c r="V190" s="39"/>
      <c r="W190" s="39"/>
      <c r="X190" s="39"/>
      <c r="Y190" s="39"/>
      <c r="Z190" s="39"/>
      <c r="AA190" s="39"/>
      <c r="AB190" s="39"/>
      <c r="AC190" s="39"/>
      <c r="AD190" s="39"/>
      <c r="AE190" s="39"/>
      <c r="AF190" s="39"/>
      <c r="AG190" s="39"/>
      <c r="AH190" s="39"/>
      <c r="AI190" s="39"/>
      <c r="AJ190" s="39"/>
      <c r="AK190" s="39"/>
      <c r="AL190" s="39"/>
      <c r="AM190" s="39"/>
      <c r="AN190" s="39"/>
      <c r="AO190" s="39"/>
      <c r="AP190" s="39"/>
      <c r="AQ190" s="39"/>
      <c r="AR190" s="39"/>
      <c r="AS190" s="39"/>
      <c r="AT190" s="39"/>
      <c r="AU190" s="39"/>
      <c r="AV190" s="123"/>
      <c r="AW190" s="124"/>
      <c r="AX190" s="76"/>
      <c r="AY190" s="76"/>
      <c r="AZ190" s="76"/>
      <c r="BA190" s="125"/>
      <c r="BB190" s="125"/>
      <c r="BC190" s="125"/>
      <c r="BD190" s="125"/>
      <c r="BE190" s="125"/>
      <c r="BF190" s="125"/>
      <c r="BG190" s="125"/>
      <c r="BH190" s="125"/>
      <c r="BI190" s="125"/>
      <c r="BJ190" s="41"/>
      <c r="BK190" s="69"/>
      <c r="BL190" s="39"/>
      <c r="BM190" s="39"/>
      <c r="BN190" s="39"/>
      <c r="BO190" s="39"/>
      <c r="BP190" s="39"/>
      <c r="BQ190" s="39"/>
      <c r="BR190" s="39"/>
      <c r="BS190" s="39"/>
      <c r="BT190" s="39"/>
      <c r="BU190" s="39"/>
      <c r="BV190" s="39"/>
      <c r="BW190" s="39"/>
      <c r="BX190" s="39"/>
      <c r="BY190" s="39"/>
    </row>
    <row r="191" spans="1:77" s="37" customFormat="1">
      <c r="A191" s="39"/>
      <c r="B191" s="38"/>
      <c r="C191" s="684"/>
      <c r="D191" s="38"/>
      <c r="E191" s="38"/>
      <c r="F191" s="38"/>
      <c r="G191" s="38"/>
      <c r="H191" s="39"/>
      <c r="I191" s="39"/>
      <c r="J191" s="39"/>
      <c r="K191" s="39"/>
      <c r="L191" s="39"/>
      <c r="M191" s="39"/>
      <c r="N191" s="39"/>
      <c r="O191" s="39"/>
      <c r="P191" s="39"/>
      <c r="Q191" s="39"/>
      <c r="R191" s="39"/>
      <c r="S191" s="39"/>
      <c r="T191" s="39"/>
      <c r="U191" s="39"/>
      <c r="V191" s="39"/>
      <c r="W191" s="39"/>
      <c r="X191" s="39"/>
      <c r="Y191" s="39"/>
      <c r="Z191" s="39"/>
      <c r="AA191" s="39"/>
      <c r="AB191" s="39"/>
      <c r="AC191" s="39"/>
      <c r="AD191" s="39"/>
      <c r="AE191" s="39"/>
      <c r="AF191" s="39"/>
      <c r="AG191" s="39"/>
      <c r="AH191" s="39"/>
      <c r="AI191" s="39"/>
      <c r="AJ191" s="39"/>
      <c r="AK191" s="39"/>
      <c r="AL191" s="39"/>
      <c r="AM191" s="39"/>
      <c r="AN191" s="39"/>
      <c r="AO191" s="39"/>
      <c r="AP191" s="39"/>
      <c r="AQ191" s="39"/>
      <c r="AR191" s="39"/>
      <c r="AS191" s="39"/>
      <c r="AT191" s="39"/>
      <c r="AU191" s="39"/>
      <c r="AV191" s="123"/>
      <c r="AW191" s="124"/>
      <c r="AX191" s="76"/>
      <c r="AY191" s="76"/>
      <c r="AZ191" s="76"/>
      <c r="BA191" s="125"/>
      <c r="BB191" s="125"/>
      <c r="BC191" s="125"/>
      <c r="BD191" s="125"/>
      <c r="BE191" s="125"/>
      <c r="BF191" s="125"/>
      <c r="BG191" s="125"/>
      <c r="BH191" s="125"/>
      <c r="BI191" s="125"/>
      <c r="BJ191" s="41"/>
      <c r="BK191" s="69"/>
      <c r="BL191" s="39"/>
      <c r="BM191" s="39"/>
      <c r="BN191" s="39"/>
      <c r="BO191" s="39"/>
      <c r="BP191" s="39"/>
      <c r="BQ191" s="39"/>
      <c r="BR191" s="39"/>
      <c r="BS191" s="39"/>
      <c r="BT191" s="39"/>
      <c r="BU191" s="39"/>
      <c r="BV191" s="39"/>
      <c r="BW191" s="39"/>
      <c r="BX191" s="39"/>
      <c r="BY191" s="39"/>
    </row>
    <row r="192" spans="1:77" s="37" customFormat="1">
      <c r="A192" s="39"/>
      <c r="B192" s="38"/>
      <c r="C192" s="684"/>
      <c r="D192" s="38"/>
      <c r="E192" s="38"/>
      <c r="F192" s="38"/>
      <c r="G192" s="38"/>
      <c r="H192" s="39"/>
      <c r="I192" s="39"/>
      <c r="J192" s="39"/>
      <c r="K192" s="39"/>
      <c r="L192" s="39"/>
      <c r="M192" s="39"/>
      <c r="N192" s="39"/>
      <c r="O192" s="39"/>
      <c r="P192" s="39"/>
      <c r="Q192" s="39"/>
      <c r="R192" s="39"/>
      <c r="S192" s="39"/>
      <c r="T192" s="39"/>
      <c r="U192" s="39"/>
      <c r="V192" s="39"/>
      <c r="W192" s="39"/>
      <c r="X192" s="39"/>
      <c r="Y192" s="39"/>
      <c r="Z192" s="39"/>
      <c r="AA192" s="39"/>
      <c r="AB192" s="39"/>
      <c r="AC192" s="39"/>
      <c r="AD192" s="39"/>
      <c r="AE192" s="39"/>
      <c r="AF192" s="39"/>
      <c r="AG192" s="39"/>
      <c r="AH192" s="39"/>
      <c r="AI192" s="39"/>
      <c r="AJ192" s="39"/>
      <c r="AK192" s="39"/>
      <c r="AL192" s="39"/>
      <c r="AM192" s="39"/>
      <c r="AN192" s="39"/>
      <c r="AO192" s="39"/>
      <c r="AP192" s="39"/>
      <c r="AQ192" s="39"/>
      <c r="AR192" s="39"/>
      <c r="AS192" s="39"/>
      <c r="AT192" s="39"/>
      <c r="AU192" s="39"/>
      <c r="AV192" s="123"/>
      <c r="AW192" s="124"/>
      <c r="AX192" s="76"/>
      <c r="AY192" s="76"/>
      <c r="AZ192" s="76"/>
      <c r="BA192" s="125"/>
      <c r="BB192" s="125"/>
      <c r="BC192" s="125"/>
      <c r="BD192" s="125"/>
      <c r="BE192" s="125"/>
      <c r="BF192" s="125"/>
      <c r="BG192" s="125"/>
      <c r="BH192" s="125"/>
      <c r="BI192" s="125"/>
      <c r="BJ192" s="41"/>
      <c r="BK192" s="69"/>
      <c r="BL192" s="39"/>
      <c r="BM192" s="39"/>
      <c r="BN192" s="39"/>
      <c r="BO192" s="39"/>
      <c r="BP192" s="39"/>
      <c r="BQ192" s="39"/>
      <c r="BR192" s="39"/>
      <c r="BS192" s="39"/>
      <c r="BT192" s="39"/>
      <c r="BU192" s="39"/>
      <c r="BV192" s="39"/>
      <c r="BW192" s="39"/>
      <c r="BX192" s="39"/>
      <c r="BY192" s="39"/>
    </row>
    <row r="193" spans="1:77" s="37" customFormat="1">
      <c r="A193" s="39"/>
      <c r="B193" s="38"/>
      <c r="C193" s="684"/>
      <c r="D193" s="38"/>
      <c r="E193" s="38"/>
      <c r="F193" s="38"/>
      <c r="G193" s="38"/>
      <c r="H193" s="39"/>
      <c r="I193" s="39"/>
      <c r="J193" s="39"/>
      <c r="K193" s="39"/>
      <c r="L193" s="39"/>
      <c r="M193" s="39"/>
      <c r="N193" s="39"/>
      <c r="O193" s="39"/>
      <c r="P193" s="39"/>
      <c r="Q193" s="39"/>
      <c r="R193" s="39"/>
      <c r="S193" s="39"/>
      <c r="T193" s="39"/>
      <c r="U193" s="39"/>
      <c r="V193" s="39"/>
      <c r="W193" s="39"/>
      <c r="X193" s="39"/>
      <c r="Y193" s="39"/>
      <c r="Z193" s="39"/>
      <c r="AA193" s="39"/>
      <c r="AB193" s="39"/>
      <c r="AC193" s="39"/>
      <c r="AD193" s="39"/>
      <c r="AE193" s="39"/>
      <c r="AF193" s="39"/>
      <c r="AG193" s="39"/>
      <c r="AH193" s="39"/>
      <c r="AI193" s="39"/>
      <c r="AJ193" s="39"/>
      <c r="AK193" s="39"/>
      <c r="AL193" s="39"/>
      <c r="AM193" s="39"/>
      <c r="AN193" s="39"/>
      <c r="AO193" s="39"/>
      <c r="AP193" s="39"/>
      <c r="AQ193" s="39"/>
      <c r="AR193" s="39"/>
      <c r="AS193" s="39"/>
      <c r="AT193" s="39"/>
      <c r="AU193" s="39"/>
      <c r="AV193" s="123"/>
      <c r="AW193" s="124"/>
      <c r="AX193" s="76"/>
      <c r="AY193" s="76"/>
      <c r="AZ193" s="76"/>
      <c r="BA193" s="125"/>
      <c r="BB193" s="125"/>
      <c r="BC193" s="125"/>
      <c r="BD193" s="125"/>
      <c r="BE193" s="125"/>
      <c r="BF193" s="125"/>
      <c r="BG193" s="125"/>
      <c r="BH193" s="125"/>
      <c r="BI193" s="125"/>
      <c r="BJ193" s="41"/>
      <c r="BK193" s="69"/>
      <c r="BL193" s="39"/>
      <c r="BM193" s="39"/>
      <c r="BN193" s="39"/>
      <c r="BO193" s="39"/>
      <c r="BP193" s="39"/>
      <c r="BQ193" s="39"/>
      <c r="BR193" s="39"/>
      <c r="BS193" s="39"/>
      <c r="BT193" s="39"/>
      <c r="BU193" s="39"/>
      <c r="BV193" s="39"/>
      <c r="BW193" s="39"/>
      <c r="BX193" s="39"/>
      <c r="BY193" s="39"/>
    </row>
    <row r="194" spans="1:77" s="37" customFormat="1">
      <c r="A194" s="39"/>
      <c r="B194" s="38"/>
      <c r="C194" s="684"/>
      <c r="D194" s="38"/>
      <c r="E194" s="38"/>
      <c r="F194" s="38"/>
      <c r="G194" s="38"/>
      <c r="H194" s="39"/>
      <c r="I194" s="39"/>
      <c r="J194" s="39"/>
      <c r="K194" s="39"/>
      <c r="L194" s="39"/>
      <c r="M194" s="39"/>
      <c r="N194" s="39"/>
      <c r="O194" s="39"/>
      <c r="P194" s="39"/>
      <c r="Q194" s="39"/>
      <c r="R194" s="39"/>
      <c r="S194" s="39"/>
      <c r="T194" s="39"/>
      <c r="U194" s="39"/>
      <c r="V194" s="39"/>
      <c r="W194" s="39"/>
      <c r="X194" s="39"/>
      <c r="Y194" s="39"/>
      <c r="Z194" s="39"/>
      <c r="AA194" s="39"/>
      <c r="AB194" s="39"/>
      <c r="AC194" s="39"/>
      <c r="AD194" s="39"/>
      <c r="AE194" s="39"/>
      <c r="AF194" s="39"/>
      <c r="AG194" s="39"/>
      <c r="AH194" s="39"/>
      <c r="AI194" s="39"/>
      <c r="AJ194" s="39"/>
      <c r="AK194" s="39"/>
      <c r="AL194" s="39"/>
      <c r="AM194" s="39"/>
      <c r="AN194" s="39"/>
      <c r="AO194" s="39"/>
      <c r="AP194" s="39"/>
      <c r="AQ194" s="39"/>
      <c r="AR194" s="39"/>
      <c r="AS194" s="39"/>
      <c r="AT194" s="39"/>
      <c r="AU194" s="39"/>
      <c r="AV194" s="123"/>
      <c r="AW194" s="124"/>
      <c r="AX194" s="76"/>
      <c r="AY194" s="76"/>
      <c r="AZ194" s="76"/>
      <c r="BA194" s="125"/>
      <c r="BB194" s="125"/>
      <c r="BC194" s="125"/>
      <c r="BD194" s="125"/>
      <c r="BE194" s="125"/>
      <c r="BF194" s="125"/>
      <c r="BG194" s="125"/>
      <c r="BH194" s="125"/>
      <c r="BI194" s="125"/>
      <c r="BJ194" s="41"/>
      <c r="BK194" s="69"/>
      <c r="BL194" s="39"/>
      <c r="BM194" s="39"/>
      <c r="BN194" s="39"/>
      <c r="BO194" s="39"/>
      <c r="BP194" s="39"/>
      <c r="BQ194" s="39"/>
      <c r="BR194" s="39"/>
      <c r="BS194" s="39"/>
      <c r="BT194" s="39"/>
      <c r="BU194" s="39"/>
      <c r="BV194" s="39"/>
      <c r="BW194" s="39"/>
      <c r="BX194" s="39"/>
      <c r="BY194" s="39"/>
    </row>
    <row r="195" spans="1:77" s="37" customFormat="1">
      <c r="A195" s="39"/>
      <c r="B195" s="38"/>
      <c r="C195" s="684"/>
      <c r="D195" s="38"/>
      <c r="E195" s="38"/>
      <c r="F195" s="38"/>
      <c r="G195" s="38"/>
      <c r="H195" s="39"/>
      <c r="I195" s="39"/>
      <c r="J195" s="39"/>
      <c r="K195" s="39"/>
      <c r="L195" s="39"/>
      <c r="M195" s="39"/>
      <c r="N195" s="39"/>
      <c r="O195" s="39"/>
      <c r="P195" s="39"/>
      <c r="Q195" s="39"/>
      <c r="R195" s="39"/>
      <c r="S195" s="39"/>
      <c r="T195" s="39"/>
      <c r="U195" s="39"/>
      <c r="V195" s="39"/>
      <c r="W195" s="39"/>
      <c r="X195" s="39"/>
      <c r="Y195" s="39"/>
      <c r="Z195" s="39"/>
      <c r="AA195" s="39"/>
      <c r="AB195" s="39"/>
      <c r="AC195" s="39"/>
      <c r="AD195" s="39"/>
      <c r="AE195" s="39"/>
      <c r="AF195" s="39"/>
      <c r="AG195" s="39"/>
      <c r="AH195" s="39"/>
      <c r="AI195" s="39"/>
      <c r="AJ195" s="39"/>
      <c r="AK195" s="39"/>
      <c r="AL195" s="39"/>
      <c r="AM195" s="39"/>
      <c r="AN195" s="39"/>
      <c r="AO195" s="39"/>
      <c r="AP195" s="39"/>
      <c r="AQ195" s="39"/>
      <c r="AR195" s="39"/>
      <c r="AS195" s="39"/>
      <c r="AT195" s="39"/>
      <c r="AU195" s="39"/>
      <c r="AV195" s="123"/>
      <c r="AW195" s="124"/>
      <c r="AX195" s="76"/>
      <c r="AY195" s="76"/>
      <c r="AZ195" s="76"/>
      <c r="BA195" s="125"/>
      <c r="BB195" s="125"/>
      <c r="BC195" s="125"/>
      <c r="BD195" s="125"/>
      <c r="BE195" s="125"/>
      <c r="BF195" s="125"/>
      <c r="BG195" s="125"/>
      <c r="BH195" s="125"/>
      <c r="BI195" s="125"/>
      <c r="BJ195" s="41"/>
      <c r="BK195" s="69"/>
      <c r="BL195" s="39"/>
      <c r="BM195" s="39"/>
      <c r="BN195" s="39"/>
      <c r="BO195" s="39"/>
      <c r="BP195" s="39"/>
      <c r="BQ195" s="39"/>
      <c r="BR195" s="39"/>
      <c r="BS195" s="39"/>
      <c r="BT195" s="39"/>
      <c r="BU195" s="39"/>
      <c r="BV195" s="39"/>
      <c r="BW195" s="39"/>
      <c r="BX195" s="39"/>
      <c r="BY195" s="39"/>
    </row>
    <row r="196" spans="1:77" s="37" customFormat="1">
      <c r="A196" s="39"/>
      <c r="B196" s="38"/>
      <c r="C196" s="684"/>
      <c r="D196" s="38"/>
      <c r="E196" s="38"/>
      <c r="F196" s="38"/>
      <c r="G196" s="38"/>
      <c r="H196" s="39"/>
      <c r="I196" s="39"/>
      <c r="J196" s="39"/>
      <c r="K196" s="39"/>
      <c r="L196" s="39"/>
      <c r="M196" s="39"/>
      <c r="N196" s="39"/>
      <c r="O196" s="39"/>
      <c r="P196" s="39"/>
      <c r="Q196" s="39"/>
      <c r="R196" s="39"/>
      <c r="S196" s="39"/>
      <c r="T196" s="39"/>
      <c r="U196" s="39"/>
      <c r="V196" s="39"/>
      <c r="W196" s="39"/>
      <c r="X196" s="39"/>
      <c r="Y196" s="39"/>
      <c r="Z196" s="39"/>
      <c r="AA196" s="39"/>
      <c r="AB196" s="39"/>
      <c r="AC196" s="39"/>
      <c r="AD196" s="39"/>
      <c r="AE196" s="39"/>
      <c r="AF196" s="39"/>
      <c r="AG196" s="39"/>
      <c r="AH196" s="39"/>
      <c r="AI196" s="39"/>
      <c r="AJ196" s="39"/>
      <c r="AK196" s="39"/>
      <c r="AL196" s="39"/>
      <c r="AM196" s="39"/>
      <c r="AN196" s="39"/>
      <c r="AO196" s="39"/>
      <c r="AP196" s="39"/>
      <c r="AQ196" s="39"/>
      <c r="AR196" s="39"/>
      <c r="AS196" s="39"/>
      <c r="AT196" s="39"/>
      <c r="AU196" s="39"/>
      <c r="AV196" s="123"/>
      <c r="AW196" s="124"/>
      <c r="AX196" s="76"/>
      <c r="AY196" s="76"/>
      <c r="AZ196" s="76"/>
      <c r="BA196" s="125"/>
      <c r="BB196" s="125"/>
      <c r="BC196" s="125"/>
      <c r="BD196" s="125"/>
      <c r="BE196" s="125"/>
      <c r="BF196" s="125"/>
      <c r="BG196" s="125"/>
      <c r="BH196" s="125"/>
      <c r="BI196" s="125"/>
      <c r="BJ196" s="41"/>
      <c r="BK196" s="69"/>
      <c r="BL196" s="39"/>
      <c r="BM196" s="39"/>
      <c r="BN196" s="39"/>
      <c r="BO196" s="39"/>
      <c r="BP196" s="39"/>
      <c r="BQ196" s="39"/>
      <c r="BR196" s="39"/>
      <c r="BS196" s="39"/>
      <c r="BT196" s="39"/>
      <c r="BU196" s="39"/>
      <c r="BV196" s="39"/>
      <c r="BW196" s="39"/>
      <c r="BX196" s="39"/>
      <c r="BY196" s="39"/>
    </row>
    <row r="197" spans="1:77" s="37" customFormat="1">
      <c r="A197" s="39"/>
      <c r="B197" s="38"/>
      <c r="C197" s="684"/>
      <c r="D197" s="38"/>
      <c r="E197" s="38"/>
      <c r="F197" s="38"/>
      <c r="G197" s="38"/>
      <c r="H197" s="39"/>
      <c r="I197" s="39"/>
      <c r="J197" s="39"/>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c r="AH197" s="39"/>
      <c r="AI197" s="39"/>
      <c r="AJ197" s="39"/>
      <c r="AK197" s="39"/>
      <c r="AL197" s="39"/>
      <c r="AM197" s="39"/>
      <c r="AN197" s="39"/>
      <c r="AO197" s="39"/>
      <c r="AP197" s="39"/>
      <c r="AQ197" s="39"/>
      <c r="AR197" s="39"/>
      <c r="AS197" s="39"/>
      <c r="AT197" s="39"/>
      <c r="AU197" s="39"/>
      <c r="AV197" s="123"/>
      <c r="AW197" s="124"/>
      <c r="AX197" s="76"/>
      <c r="AY197" s="76"/>
      <c r="AZ197" s="76"/>
      <c r="BA197" s="125"/>
      <c r="BB197" s="125"/>
      <c r="BC197" s="125"/>
      <c r="BD197" s="125"/>
      <c r="BE197" s="125"/>
      <c r="BF197" s="125"/>
      <c r="BG197" s="125"/>
      <c r="BH197" s="125"/>
      <c r="BI197" s="125"/>
      <c r="BJ197" s="41"/>
      <c r="BK197" s="69"/>
      <c r="BL197" s="39"/>
      <c r="BM197" s="39"/>
      <c r="BN197" s="39"/>
      <c r="BO197" s="39"/>
      <c r="BP197" s="39"/>
      <c r="BQ197" s="39"/>
      <c r="BR197" s="39"/>
      <c r="BS197" s="39"/>
      <c r="BT197" s="39"/>
      <c r="BU197" s="39"/>
      <c r="BV197" s="39"/>
      <c r="BW197" s="39"/>
      <c r="BX197" s="39"/>
      <c r="BY197" s="39"/>
    </row>
    <row r="198" spans="1:77" s="37" customFormat="1">
      <c r="A198" s="39"/>
      <c r="B198" s="38"/>
      <c r="C198" s="684"/>
      <c r="D198" s="38"/>
      <c r="E198" s="38"/>
      <c r="F198" s="38"/>
      <c r="G198" s="38"/>
      <c r="H198" s="39"/>
      <c r="I198" s="39"/>
      <c r="J198" s="39"/>
      <c r="K198" s="39"/>
      <c r="L198" s="39"/>
      <c r="M198" s="39"/>
      <c r="N198" s="39"/>
      <c r="O198" s="39"/>
      <c r="P198" s="39"/>
      <c r="Q198" s="39"/>
      <c r="R198" s="39"/>
      <c r="S198" s="39"/>
      <c r="T198" s="39"/>
      <c r="U198" s="39"/>
      <c r="V198" s="39"/>
      <c r="W198" s="39"/>
      <c r="X198" s="39"/>
      <c r="Y198" s="39"/>
      <c r="Z198" s="39"/>
      <c r="AA198" s="39"/>
      <c r="AB198" s="39"/>
      <c r="AC198" s="39"/>
      <c r="AD198" s="39"/>
      <c r="AE198" s="39"/>
      <c r="AF198" s="39"/>
      <c r="AG198" s="39"/>
      <c r="AH198" s="39"/>
      <c r="AI198" s="39"/>
      <c r="AJ198" s="39"/>
      <c r="AK198" s="39"/>
      <c r="AL198" s="39"/>
      <c r="AM198" s="39"/>
      <c r="AN198" s="39"/>
      <c r="AO198" s="39"/>
      <c r="AP198" s="39"/>
      <c r="AQ198" s="39"/>
      <c r="AR198" s="39"/>
      <c r="AS198" s="39"/>
      <c r="AT198" s="39"/>
      <c r="AU198" s="39"/>
      <c r="AV198" s="123"/>
      <c r="AW198" s="124"/>
      <c r="AX198" s="76"/>
      <c r="AY198" s="76"/>
      <c r="AZ198" s="76"/>
      <c r="BA198" s="125"/>
      <c r="BB198" s="125"/>
      <c r="BC198" s="125"/>
      <c r="BD198" s="125"/>
      <c r="BE198" s="125"/>
      <c r="BF198" s="125"/>
      <c r="BG198" s="125"/>
      <c r="BH198" s="125"/>
      <c r="BI198" s="125"/>
      <c r="BJ198" s="41"/>
      <c r="BK198" s="69"/>
      <c r="BL198" s="39"/>
      <c r="BM198" s="39"/>
      <c r="BN198" s="39"/>
      <c r="BO198" s="39"/>
      <c r="BP198" s="39"/>
      <c r="BQ198" s="39"/>
      <c r="BR198" s="39"/>
      <c r="BS198" s="39"/>
      <c r="BT198" s="39"/>
      <c r="BU198" s="39"/>
      <c r="BV198" s="39"/>
      <c r="BW198" s="39"/>
      <c r="BX198" s="39"/>
      <c r="BY198" s="39"/>
    </row>
    <row r="199" spans="1:77" s="37" customFormat="1">
      <c r="A199" s="39"/>
      <c r="B199" s="38"/>
      <c r="C199" s="684"/>
      <c r="D199" s="38"/>
      <c r="E199" s="38"/>
      <c r="F199" s="38"/>
      <c r="G199" s="38"/>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c r="AH199" s="39"/>
      <c r="AI199" s="39"/>
      <c r="AJ199" s="39"/>
      <c r="AK199" s="39"/>
      <c r="AL199" s="39"/>
      <c r="AM199" s="39"/>
      <c r="AN199" s="39"/>
      <c r="AO199" s="39"/>
      <c r="AP199" s="39"/>
      <c r="AQ199" s="39"/>
      <c r="AR199" s="39"/>
      <c r="AS199" s="39"/>
      <c r="AT199" s="39"/>
      <c r="AU199" s="39"/>
      <c r="AV199" s="123"/>
      <c r="AW199" s="124"/>
      <c r="AX199" s="76"/>
      <c r="AY199" s="76"/>
      <c r="AZ199" s="76"/>
      <c r="BA199" s="125"/>
      <c r="BB199" s="125"/>
      <c r="BC199" s="125"/>
      <c r="BD199" s="125"/>
      <c r="BE199" s="125"/>
      <c r="BF199" s="125"/>
      <c r="BG199" s="125"/>
      <c r="BH199" s="125"/>
      <c r="BI199" s="125"/>
      <c r="BJ199" s="41"/>
      <c r="BK199" s="69"/>
      <c r="BL199" s="39"/>
      <c r="BM199" s="39"/>
      <c r="BN199" s="39"/>
      <c r="BO199" s="39"/>
      <c r="BP199" s="39"/>
      <c r="BQ199" s="39"/>
      <c r="BR199" s="39"/>
      <c r="BS199" s="39"/>
      <c r="BT199" s="39"/>
      <c r="BU199" s="39"/>
      <c r="BV199" s="39"/>
      <c r="BW199" s="39"/>
      <c r="BX199" s="39"/>
      <c r="BY199" s="39"/>
    </row>
    <row r="200" spans="1:77" s="37" customFormat="1">
      <c r="A200" s="39"/>
      <c r="B200" s="38"/>
      <c r="C200" s="684"/>
      <c r="D200" s="38"/>
      <c r="E200" s="38"/>
      <c r="F200" s="38"/>
      <c r="G200" s="38"/>
      <c r="H200" s="39"/>
      <c r="I200" s="39"/>
      <c r="J200" s="39"/>
      <c r="K200" s="39"/>
      <c r="L200" s="39"/>
      <c r="M200" s="39"/>
      <c r="N200" s="39"/>
      <c r="O200" s="39"/>
      <c r="P200" s="39"/>
      <c r="Q200" s="39"/>
      <c r="R200" s="39"/>
      <c r="S200" s="39"/>
      <c r="T200" s="39"/>
      <c r="U200" s="39"/>
      <c r="V200" s="39"/>
      <c r="W200" s="39"/>
      <c r="X200" s="39"/>
      <c r="Y200" s="39"/>
      <c r="Z200" s="39"/>
      <c r="AA200" s="39"/>
      <c r="AB200" s="39"/>
      <c r="AC200" s="39"/>
      <c r="AD200" s="39"/>
      <c r="AE200" s="39"/>
      <c r="AF200" s="39"/>
      <c r="AG200" s="39"/>
      <c r="AH200" s="39"/>
      <c r="AI200" s="39"/>
      <c r="AJ200" s="39"/>
      <c r="AK200" s="39"/>
      <c r="AL200" s="39"/>
      <c r="AM200" s="39"/>
      <c r="AN200" s="39"/>
      <c r="AO200" s="39"/>
      <c r="AP200" s="39"/>
      <c r="AQ200" s="39"/>
      <c r="AR200" s="39"/>
      <c r="AS200" s="39"/>
      <c r="AT200" s="39"/>
      <c r="AU200" s="39"/>
      <c r="AV200" s="123"/>
      <c r="AW200" s="124"/>
      <c r="AX200" s="76"/>
      <c r="AY200" s="76"/>
      <c r="AZ200" s="76"/>
      <c r="BA200" s="125"/>
      <c r="BB200" s="125"/>
      <c r="BC200" s="125"/>
      <c r="BD200" s="125"/>
      <c r="BE200" s="125"/>
      <c r="BF200" s="125"/>
      <c r="BG200" s="125"/>
      <c r="BH200" s="125"/>
      <c r="BI200" s="125"/>
      <c r="BJ200" s="41"/>
      <c r="BK200" s="69"/>
      <c r="BL200" s="39"/>
      <c r="BM200" s="39"/>
      <c r="BN200" s="39"/>
      <c r="BO200" s="39"/>
      <c r="BP200" s="39"/>
      <c r="BQ200" s="39"/>
      <c r="BR200" s="39"/>
      <c r="BS200" s="39"/>
      <c r="BT200" s="39"/>
      <c r="BU200" s="39"/>
      <c r="BV200" s="39"/>
      <c r="BW200" s="39"/>
      <c r="BX200" s="39"/>
      <c r="BY200" s="39"/>
    </row>
    <row r="201" spans="1:77" s="37" customFormat="1">
      <c r="A201" s="39"/>
      <c r="B201" s="38"/>
      <c r="C201" s="684"/>
      <c r="D201" s="38"/>
      <c r="E201" s="38"/>
      <c r="F201" s="38"/>
      <c r="G201" s="38"/>
      <c r="H201" s="39"/>
      <c r="I201" s="39"/>
      <c r="J201" s="39"/>
      <c r="K201" s="39"/>
      <c r="L201" s="39"/>
      <c r="M201" s="39"/>
      <c r="N201" s="39"/>
      <c r="O201" s="39"/>
      <c r="P201" s="39"/>
      <c r="Q201" s="39"/>
      <c r="R201" s="39"/>
      <c r="S201" s="39"/>
      <c r="T201" s="39"/>
      <c r="U201" s="39"/>
      <c r="V201" s="39"/>
      <c r="W201" s="39"/>
      <c r="X201" s="39"/>
      <c r="Y201" s="39"/>
      <c r="Z201" s="39"/>
      <c r="AA201" s="39"/>
      <c r="AB201" s="39"/>
      <c r="AC201" s="39"/>
      <c r="AD201" s="39"/>
      <c r="AE201" s="39"/>
      <c r="AF201" s="39"/>
      <c r="AG201" s="39"/>
      <c r="AH201" s="39"/>
      <c r="AI201" s="39"/>
      <c r="AJ201" s="39"/>
      <c r="AK201" s="39"/>
      <c r="AL201" s="39"/>
      <c r="AM201" s="39"/>
      <c r="AN201" s="39"/>
      <c r="AO201" s="39"/>
      <c r="AP201" s="39"/>
      <c r="AQ201" s="39"/>
      <c r="AR201" s="39"/>
      <c r="AS201" s="39"/>
      <c r="AT201" s="39"/>
      <c r="AU201" s="39"/>
      <c r="AV201" s="123"/>
      <c r="AW201" s="124"/>
      <c r="AX201" s="76"/>
      <c r="AY201" s="76"/>
      <c r="AZ201" s="76"/>
      <c r="BA201" s="125"/>
      <c r="BB201" s="125"/>
      <c r="BC201" s="125"/>
      <c r="BD201" s="125"/>
      <c r="BE201" s="125"/>
      <c r="BF201" s="125"/>
      <c r="BG201" s="125"/>
      <c r="BH201" s="125"/>
      <c r="BI201" s="125"/>
      <c r="BJ201" s="41"/>
      <c r="BK201" s="69"/>
      <c r="BL201" s="39"/>
      <c r="BM201" s="39"/>
      <c r="BN201" s="39"/>
      <c r="BO201" s="39"/>
      <c r="BP201" s="39"/>
      <c r="BQ201" s="39"/>
      <c r="BR201" s="39"/>
      <c r="BS201" s="39"/>
      <c r="BT201" s="39"/>
      <c r="BU201" s="39"/>
      <c r="BV201" s="39"/>
      <c r="BW201" s="39"/>
      <c r="BX201" s="39"/>
      <c r="BY201" s="39"/>
    </row>
    <row r="202" spans="1:77" s="37" customFormat="1">
      <c r="A202" s="39"/>
      <c r="B202" s="38"/>
      <c r="C202" s="684"/>
      <c r="D202" s="38"/>
      <c r="E202" s="38"/>
      <c r="F202" s="38"/>
      <c r="G202" s="38"/>
      <c r="H202" s="39"/>
      <c r="I202" s="39"/>
      <c r="J202" s="39"/>
      <c r="K202" s="39"/>
      <c r="L202" s="39"/>
      <c r="M202" s="39"/>
      <c r="N202" s="39"/>
      <c r="O202" s="39"/>
      <c r="P202" s="39"/>
      <c r="Q202" s="39"/>
      <c r="R202" s="39"/>
      <c r="S202" s="39"/>
      <c r="T202" s="39"/>
      <c r="U202" s="39"/>
      <c r="V202" s="39"/>
      <c r="W202" s="39"/>
      <c r="X202" s="39"/>
      <c r="Y202" s="39"/>
      <c r="Z202" s="39"/>
      <c r="AA202" s="39"/>
      <c r="AB202" s="39"/>
      <c r="AC202" s="39"/>
      <c r="AD202" s="39"/>
      <c r="AE202" s="39"/>
      <c r="AF202" s="39"/>
      <c r="AG202" s="39"/>
      <c r="AH202" s="39"/>
      <c r="AI202" s="39"/>
      <c r="AJ202" s="39"/>
      <c r="AK202" s="39"/>
      <c r="AL202" s="39"/>
      <c r="AM202" s="39"/>
      <c r="AN202" s="39"/>
      <c r="AO202" s="39"/>
      <c r="AP202" s="39"/>
      <c r="AQ202" s="39"/>
      <c r="AR202" s="39"/>
      <c r="AS202" s="39"/>
      <c r="AT202" s="39"/>
      <c r="AU202" s="39"/>
      <c r="AV202" s="123"/>
      <c r="AW202" s="124"/>
      <c r="AX202" s="76"/>
      <c r="AY202" s="76"/>
      <c r="AZ202" s="76"/>
      <c r="BA202" s="125"/>
      <c r="BB202" s="125"/>
      <c r="BC202" s="125"/>
      <c r="BD202" s="125"/>
      <c r="BE202" s="125"/>
      <c r="BF202" s="125"/>
      <c r="BG202" s="125"/>
      <c r="BH202" s="125"/>
      <c r="BI202" s="125"/>
      <c r="BJ202" s="41"/>
      <c r="BK202" s="69"/>
      <c r="BL202" s="39"/>
      <c r="BM202" s="39"/>
      <c r="BN202" s="39"/>
      <c r="BO202" s="39"/>
      <c r="BP202" s="39"/>
      <c r="BQ202" s="39"/>
      <c r="BR202" s="39"/>
      <c r="BS202" s="39"/>
      <c r="BT202" s="39"/>
      <c r="BU202" s="39"/>
      <c r="BV202" s="39"/>
      <c r="BW202" s="39"/>
      <c r="BX202" s="39"/>
      <c r="BY202" s="39"/>
    </row>
    <row r="203" spans="1:77" s="37" customFormat="1">
      <c r="A203" s="39"/>
      <c r="B203" s="38"/>
      <c r="C203" s="684"/>
      <c r="D203" s="38"/>
      <c r="E203" s="38"/>
      <c r="F203" s="38"/>
      <c r="G203" s="38"/>
      <c r="H203" s="39"/>
      <c r="I203" s="39"/>
      <c r="J203" s="39"/>
      <c r="K203" s="39"/>
      <c r="L203" s="39"/>
      <c r="M203" s="39"/>
      <c r="N203" s="39"/>
      <c r="O203" s="39"/>
      <c r="P203" s="39"/>
      <c r="Q203" s="39"/>
      <c r="R203" s="39"/>
      <c r="S203" s="39"/>
      <c r="T203" s="39"/>
      <c r="U203" s="39"/>
      <c r="V203" s="39"/>
      <c r="W203" s="39"/>
      <c r="X203" s="39"/>
      <c r="Y203" s="39"/>
      <c r="Z203" s="39"/>
      <c r="AA203" s="39"/>
      <c r="AB203" s="39"/>
      <c r="AC203" s="39"/>
      <c r="AD203" s="39"/>
      <c r="AE203" s="39"/>
      <c r="AF203" s="39"/>
      <c r="AG203" s="39"/>
      <c r="AH203" s="39"/>
      <c r="AI203" s="39"/>
      <c r="AJ203" s="39"/>
      <c r="AK203" s="39"/>
      <c r="AL203" s="39"/>
      <c r="AM203" s="39"/>
      <c r="AN203" s="39"/>
      <c r="AO203" s="39"/>
      <c r="AP203" s="39"/>
      <c r="AQ203" s="39"/>
      <c r="AR203" s="39"/>
      <c r="AS203" s="39"/>
      <c r="AT203" s="39"/>
      <c r="AU203" s="39"/>
      <c r="AV203" s="123"/>
      <c r="AW203" s="124"/>
      <c r="AX203" s="76"/>
      <c r="AY203" s="76"/>
      <c r="AZ203" s="76"/>
      <c r="BA203" s="125"/>
      <c r="BB203" s="125"/>
      <c r="BC203" s="125"/>
      <c r="BD203" s="125"/>
      <c r="BE203" s="125"/>
      <c r="BF203" s="125"/>
      <c r="BG203" s="125"/>
      <c r="BH203" s="125"/>
      <c r="BI203" s="125"/>
      <c r="BJ203" s="41"/>
      <c r="BK203" s="69"/>
      <c r="BL203" s="39"/>
      <c r="BM203" s="39"/>
      <c r="BN203" s="39"/>
      <c r="BO203" s="39"/>
      <c r="BP203" s="39"/>
      <c r="BQ203" s="39"/>
      <c r="BR203" s="39"/>
      <c r="BS203" s="39"/>
      <c r="BT203" s="39"/>
      <c r="BU203" s="39"/>
      <c r="BV203" s="39"/>
      <c r="BW203" s="39"/>
      <c r="BX203" s="39"/>
      <c r="BY203" s="39"/>
    </row>
    <row r="204" spans="1:77" s="37" customFormat="1">
      <c r="A204" s="39"/>
      <c r="B204" s="38"/>
      <c r="C204" s="684"/>
      <c r="D204" s="38"/>
      <c r="E204" s="38"/>
      <c r="F204" s="38"/>
      <c r="G204" s="38"/>
      <c r="H204" s="39"/>
      <c r="I204" s="39"/>
      <c r="J204" s="39"/>
      <c r="K204" s="39"/>
      <c r="L204" s="39"/>
      <c r="M204" s="39"/>
      <c r="N204" s="39"/>
      <c r="O204" s="39"/>
      <c r="P204" s="39"/>
      <c r="Q204" s="39"/>
      <c r="R204" s="39"/>
      <c r="S204" s="39"/>
      <c r="T204" s="39"/>
      <c r="U204" s="39"/>
      <c r="V204" s="39"/>
      <c r="W204" s="39"/>
      <c r="X204" s="39"/>
      <c r="Y204" s="39"/>
      <c r="Z204" s="39"/>
      <c r="AA204" s="39"/>
      <c r="AB204" s="39"/>
      <c r="AC204" s="39"/>
      <c r="AD204" s="39"/>
      <c r="AE204" s="39"/>
      <c r="AF204" s="39"/>
      <c r="AG204" s="39"/>
      <c r="AH204" s="39"/>
      <c r="AI204" s="39"/>
      <c r="AJ204" s="39"/>
      <c r="AK204" s="39"/>
      <c r="AL204" s="39"/>
      <c r="AM204" s="39"/>
      <c r="AN204" s="39"/>
      <c r="AO204" s="39"/>
      <c r="AP204" s="39"/>
      <c r="AQ204" s="39"/>
      <c r="AR204" s="39"/>
      <c r="AS204" s="39"/>
      <c r="AT204" s="39"/>
      <c r="AU204" s="39"/>
      <c r="AV204" s="123"/>
      <c r="AW204" s="124"/>
      <c r="AX204" s="76"/>
      <c r="AY204" s="76"/>
      <c r="AZ204" s="76"/>
      <c r="BA204" s="125"/>
      <c r="BB204" s="125"/>
      <c r="BC204" s="125"/>
      <c r="BD204" s="125"/>
      <c r="BE204" s="125"/>
      <c r="BF204" s="125"/>
      <c r="BG204" s="125"/>
      <c r="BH204" s="125"/>
      <c r="BI204" s="125"/>
      <c r="BJ204" s="41"/>
      <c r="BK204" s="69"/>
      <c r="BL204" s="39"/>
      <c r="BM204" s="39"/>
      <c r="BN204" s="39"/>
      <c r="BO204" s="39"/>
      <c r="BP204" s="39"/>
      <c r="BQ204" s="39"/>
      <c r="BR204" s="39"/>
      <c r="BS204" s="39"/>
      <c r="BT204" s="39"/>
      <c r="BU204" s="39"/>
      <c r="BV204" s="39"/>
      <c r="BW204" s="39"/>
      <c r="BX204" s="39"/>
      <c r="BY204" s="39"/>
    </row>
    <row r="205" spans="1:77" s="37" customFormat="1">
      <c r="A205" s="39"/>
      <c r="B205" s="38"/>
      <c r="C205" s="684"/>
      <c r="D205" s="38"/>
      <c r="E205" s="38"/>
      <c r="F205" s="38"/>
      <c r="G205" s="38"/>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c r="AP205" s="39"/>
      <c r="AQ205" s="39"/>
      <c r="AR205" s="39"/>
      <c r="AS205" s="39"/>
      <c r="AT205" s="39"/>
      <c r="AU205" s="39"/>
      <c r="AV205" s="123"/>
      <c r="AW205" s="124"/>
      <c r="AX205" s="76"/>
      <c r="AY205" s="76"/>
      <c r="AZ205" s="76"/>
      <c r="BA205" s="125"/>
      <c r="BB205" s="125"/>
      <c r="BC205" s="125"/>
      <c r="BD205" s="125"/>
      <c r="BE205" s="125"/>
      <c r="BF205" s="125"/>
      <c r="BG205" s="125"/>
      <c r="BH205" s="125"/>
      <c r="BI205" s="125"/>
      <c r="BJ205" s="41"/>
      <c r="BK205" s="69"/>
      <c r="BL205" s="39"/>
      <c r="BM205" s="39"/>
      <c r="BN205" s="39"/>
      <c r="BO205" s="39"/>
      <c r="BP205" s="39"/>
      <c r="BQ205" s="39"/>
      <c r="BR205" s="39"/>
      <c r="BS205" s="39"/>
      <c r="BT205" s="39"/>
      <c r="BU205" s="39"/>
      <c r="BV205" s="39"/>
      <c r="BW205" s="39"/>
      <c r="BX205" s="39"/>
      <c r="BY205" s="39"/>
    </row>
    <row r="206" spans="1:77" s="37" customFormat="1">
      <c r="A206" s="39"/>
      <c r="B206" s="38"/>
      <c r="C206" s="684"/>
      <c r="D206" s="38"/>
      <c r="E206" s="38"/>
      <c r="F206" s="38"/>
      <c r="G206" s="38"/>
      <c r="H206" s="39"/>
      <c r="I206" s="39"/>
      <c r="J206" s="39"/>
      <c r="K206" s="39"/>
      <c r="L206" s="39"/>
      <c r="M206" s="39"/>
      <c r="N206" s="39"/>
      <c r="O206" s="39"/>
      <c r="P206" s="39"/>
      <c r="Q206" s="39"/>
      <c r="R206" s="39"/>
      <c r="S206" s="39"/>
      <c r="T206" s="39"/>
      <c r="U206" s="39"/>
      <c r="V206" s="39"/>
      <c r="W206" s="39"/>
      <c r="X206" s="39"/>
      <c r="Y206" s="39"/>
      <c r="Z206" s="39"/>
      <c r="AA206" s="39"/>
      <c r="AB206" s="39"/>
      <c r="AC206" s="39"/>
      <c r="AD206" s="39"/>
      <c r="AE206" s="39"/>
      <c r="AF206" s="39"/>
      <c r="AG206" s="39"/>
      <c r="AH206" s="39"/>
      <c r="AI206" s="39"/>
      <c r="AJ206" s="39"/>
      <c r="AK206" s="39"/>
      <c r="AL206" s="39"/>
      <c r="AM206" s="39"/>
      <c r="AN206" s="39"/>
      <c r="AO206" s="39"/>
      <c r="AP206" s="39"/>
      <c r="AQ206" s="39"/>
      <c r="AR206" s="39"/>
      <c r="AS206" s="39"/>
      <c r="AT206" s="39"/>
      <c r="AU206" s="39"/>
      <c r="AV206" s="123"/>
      <c r="AW206" s="124"/>
      <c r="AX206" s="76"/>
      <c r="AY206" s="76"/>
      <c r="AZ206" s="76"/>
      <c r="BA206" s="125"/>
      <c r="BB206" s="125"/>
      <c r="BC206" s="125"/>
      <c r="BD206" s="125"/>
      <c r="BE206" s="125"/>
      <c r="BF206" s="125"/>
      <c r="BG206" s="125"/>
      <c r="BH206" s="125"/>
      <c r="BI206" s="125"/>
      <c r="BJ206" s="41"/>
      <c r="BK206" s="69"/>
      <c r="BL206" s="39"/>
      <c r="BM206" s="39"/>
      <c r="BN206" s="39"/>
      <c r="BO206" s="39"/>
      <c r="BP206" s="39"/>
      <c r="BQ206" s="39"/>
      <c r="BR206" s="39"/>
      <c r="BS206" s="39"/>
      <c r="BT206" s="39"/>
      <c r="BU206" s="39"/>
      <c r="BV206" s="39"/>
      <c r="BW206" s="39"/>
      <c r="BX206" s="39"/>
      <c r="BY206" s="39"/>
    </row>
    <row r="207" spans="1:77" s="37" customFormat="1">
      <c r="A207" s="39"/>
      <c r="B207" s="40"/>
      <c r="C207" s="684"/>
      <c r="D207" s="38"/>
      <c r="E207" s="38"/>
      <c r="F207" s="38"/>
      <c r="G207" s="38"/>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c r="AM207" s="39"/>
      <c r="AN207" s="39"/>
      <c r="AO207" s="39"/>
      <c r="AP207" s="39"/>
      <c r="AQ207" s="39"/>
      <c r="AR207" s="39"/>
      <c r="AS207" s="39"/>
      <c r="AT207" s="39"/>
      <c r="AU207" s="39"/>
      <c r="AV207" s="123"/>
      <c r="AW207" s="124"/>
      <c r="AX207" s="76"/>
      <c r="AY207" s="76"/>
      <c r="AZ207" s="76"/>
      <c r="BA207" s="125"/>
      <c r="BB207" s="125"/>
      <c r="BC207" s="125"/>
      <c r="BD207" s="125"/>
      <c r="BE207" s="125"/>
      <c r="BF207" s="125"/>
      <c r="BG207" s="125"/>
      <c r="BH207" s="125"/>
      <c r="BI207" s="125"/>
      <c r="BJ207" s="41"/>
      <c r="BK207" s="69"/>
      <c r="BL207" s="39"/>
      <c r="BM207" s="39"/>
      <c r="BN207" s="39"/>
      <c r="BO207" s="39"/>
      <c r="BP207" s="39"/>
      <c r="BQ207" s="39"/>
      <c r="BR207" s="39"/>
      <c r="BS207" s="39"/>
      <c r="BT207" s="39"/>
      <c r="BU207" s="39"/>
      <c r="BV207" s="39"/>
      <c r="BW207" s="39"/>
      <c r="BX207" s="39"/>
      <c r="BY207" s="39"/>
    </row>
    <row r="208" spans="1:77" s="37" customFormat="1">
      <c r="A208" s="39"/>
      <c r="B208" s="40"/>
      <c r="C208" s="684"/>
      <c r="D208" s="38"/>
      <c r="E208" s="38"/>
      <c r="F208" s="38"/>
      <c r="G208" s="38"/>
      <c r="H208" s="39"/>
      <c r="I208" s="39"/>
      <c r="J208" s="39"/>
      <c r="K208" s="39"/>
      <c r="L208" s="39"/>
      <c r="M208" s="39"/>
      <c r="N208" s="39"/>
      <c r="O208" s="39"/>
      <c r="P208" s="39"/>
      <c r="Q208" s="39"/>
      <c r="R208" s="39"/>
      <c r="S208" s="39"/>
      <c r="T208" s="39"/>
      <c r="U208" s="39"/>
      <c r="V208" s="39"/>
      <c r="W208" s="39"/>
      <c r="X208" s="39"/>
      <c r="Y208" s="39"/>
      <c r="Z208" s="39"/>
      <c r="AA208" s="39"/>
      <c r="AB208" s="39"/>
      <c r="AC208" s="39"/>
      <c r="AD208" s="39"/>
      <c r="AE208" s="39"/>
      <c r="AF208" s="39"/>
      <c r="AG208" s="39"/>
      <c r="AH208" s="39"/>
      <c r="AI208" s="39"/>
      <c r="AJ208" s="39"/>
      <c r="AK208" s="39"/>
      <c r="AL208" s="39"/>
      <c r="AM208" s="39"/>
      <c r="AN208" s="39"/>
      <c r="AO208" s="39"/>
      <c r="AP208" s="39"/>
      <c r="AQ208" s="39"/>
      <c r="AR208" s="39"/>
      <c r="AS208" s="39"/>
      <c r="AT208" s="39"/>
      <c r="AU208" s="39"/>
      <c r="AV208" s="123"/>
      <c r="AW208" s="124"/>
      <c r="AX208" s="76"/>
      <c r="AY208" s="76"/>
      <c r="AZ208" s="76"/>
      <c r="BA208" s="125"/>
      <c r="BB208" s="125"/>
      <c r="BC208" s="125"/>
      <c r="BD208" s="125"/>
      <c r="BE208" s="125"/>
      <c r="BF208" s="125"/>
      <c r="BG208" s="125"/>
      <c r="BH208" s="125"/>
      <c r="BI208" s="125"/>
      <c r="BJ208" s="41"/>
      <c r="BK208" s="69"/>
      <c r="BL208" s="39"/>
      <c r="BM208" s="39"/>
      <c r="BN208" s="39"/>
      <c r="BO208" s="39"/>
      <c r="BP208" s="39"/>
      <c r="BQ208" s="39"/>
      <c r="BR208" s="39"/>
      <c r="BS208" s="39"/>
      <c r="BT208" s="39"/>
      <c r="BU208" s="39"/>
      <c r="BV208" s="39"/>
      <c r="BW208" s="39"/>
      <c r="BX208" s="39"/>
      <c r="BY208" s="39"/>
    </row>
    <row r="209" spans="1:77" s="37" customFormat="1">
      <c r="A209" s="39"/>
      <c r="B209" s="40"/>
      <c r="C209" s="684"/>
      <c r="D209" s="38"/>
      <c r="E209" s="38"/>
      <c r="F209" s="38"/>
      <c r="G209" s="38"/>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c r="AM209" s="39"/>
      <c r="AN209" s="39"/>
      <c r="AO209" s="39"/>
      <c r="AP209" s="39"/>
      <c r="AQ209" s="39"/>
      <c r="AR209" s="39"/>
      <c r="AS209" s="39"/>
      <c r="AT209" s="39"/>
      <c r="AU209" s="39"/>
      <c r="AV209" s="123"/>
      <c r="AW209" s="124"/>
      <c r="AX209" s="76"/>
      <c r="AY209" s="76"/>
      <c r="AZ209" s="76"/>
      <c r="BA209" s="125"/>
      <c r="BB209" s="125"/>
      <c r="BC209" s="125"/>
      <c r="BD209" s="125"/>
      <c r="BE209" s="125"/>
      <c r="BF209" s="125"/>
      <c r="BG209" s="125"/>
      <c r="BH209" s="125"/>
      <c r="BI209" s="125"/>
      <c r="BJ209" s="41"/>
      <c r="BK209" s="69"/>
      <c r="BL209" s="39"/>
      <c r="BM209" s="39"/>
      <c r="BN209" s="39"/>
      <c r="BO209" s="39"/>
      <c r="BP209" s="39"/>
      <c r="BQ209" s="39"/>
      <c r="BR209" s="39"/>
      <c r="BS209" s="39"/>
      <c r="BT209" s="39"/>
      <c r="BU209" s="39"/>
      <c r="BV209" s="39"/>
      <c r="BW209" s="39"/>
      <c r="BX209" s="39"/>
      <c r="BY209" s="39"/>
    </row>
    <row r="210" spans="1:77" s="37" customFormat="1">
      <c r="A210" s="39"/>
      <c r="B210" s="40"/>
      <c r="C210" s="684"/>
      <c r="D210" s="38"/>
      <c r="E210" s="38"/>
      <c r="F210" s="38"/>
      <c r="G210" s="38"/>
      <c r="H210" s="39"/>
      <c r="I210" s="39"/>
      <c r="J210" s="39"/>
      <c r="K210" s="39"/>
      <c r="L210" s="39"/>
      <c r="M210" s="39"/>
      <c r="N210" s="39"/>
      <c r="O210" s="39"/>
      <c r="P210" s="39"/>
      <c r="Q210" s="39"/>
      <c r="R210" s="39"/>
      <c r="S210" s="39"/>
      <c r="T210" s="39"/>
      <c r="U210" s="39"/>
      <c r="V210" s="39"/>
      <c r="W210" s="39"/>
      <c r="X210" s="39"/>
      <c r="Y210" s="39"/>
      <c r="Z210" s="39"/>
      <c r="AA210" s="39"/>
      <c r="AB210" s="39"/>
      <c r="AC210" s="39"/>
      <c r="AD210" s="39"/>
      <c r="AE210" s="39"/>
      <c r="AF210" s="39"/>
      <c r="AG210" s="39"/>
      <c r="AH210" s="39"/>
      <c r="AI210" s="39"/>
      <c r="AJ210" s="39"/>
      <c r="AK210" s="39"/>
      <c r="AL210" s="39"/>
      <c r="AM210" s="39"/>
      <c r="AN210" s="39"/>
      <c r="AO210" s="39"/>
      <c r="AP210" s="39"/>
      <c r="AQ210" s="39"/>
      <c r="AR210" s="39"/>
      <c r="AS210" s="39"/>
      <c r="AT210" s="39"/>
      <c r="AU210" s="39"/>
      <c r="AV210" s="123"/>
      <c r="AW210" s="124"/>
      <c r="AX210" s="76"/>
      <c r="AY210" s="76"/>
      <c r="AZ210" s="76"/>
      <c r="BA210" s="125"/>
      <c r="BB210" s="125"/>
      <c r="BC210" s="125"/>
      <c r="BD210" s="125"/>
      <c r="BE210" s="125"/>
      <c r="BF210" s="125"/>
      <c r="BG210" s="125"/>
      <c r="BH210" s="125"/>
      <c r="BI210" s="125"/>
      <c r="BJ210" s="41"/>
      <c r="BK210" s="69"/>
      <c r="BL210" s="39"/>
      <c r="BM210" s="39"/>
      <c r="BN210" s="39"/>
      <c r="BO210" s="39"/>
      <c r="BP210" s="39"/>
      <c r="BQ210" s="39"/>
      <c r="BR210" s="39"/>
      <c r="BS210" s="39"/>
      <c r="BT210" s="39"/>
      <c r="BU210" s="39"/>
      <c r="BV210" s="39"/>
      <c r="BW210" s="39"/>
      <c r="BX210" s="39"/>
      <c r="BY210" s="39"/>
    </row>
    <row r="211" spans="1:77" s="37" customFormat="1">
      <c r="A211" s="39"/>
      <c r="B211" s="40"/>
      <c r="C211" s="684"/>
      <c r="D211" s="38"/>
      <c r="E211" s="38"/>
      <c r="F211" s="38"/>
      <c r="G211" s="38"/>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c r="AL211" s="39"/>
      <c r="AM211" s="39"/>
      <c r="AN211" s="39"/>
      <c r="AO211" s="39"/>
      <c r="AP211" s="39"/>
      <c r="AQ211" s="39"/>
      <c r="AR211" s="39"/>
      <c r="AS211" s="39"/>
      <c r="AT211" s="39"/>
      <c r="AU211" s="39"/>
      <c r="AV211" s="123"/>
      <c r="AW211" s="124"/>
      <c r="AX211" s="76"/>
      <c r="AY211" s="76"/>
      <c r="AZ211" s="76"/>
      <c r="BA211" s="125"/>
      <c r="BB211" s="125"/>
      <c r="BC211" s="125"/>
      <c r="BD211" s="125"/>
      <c r="BE211" s="125"/>
      <c r="BF211" s="125"/>
      <c r="BG211" s="125"/>
      <c r="BH211" s="125"/>
      <c r="BI211" s="125"/>
      <c r="BJ211" s="41"/>
      <c r="BK211" s="69"/>
      <c r="BL211" s="39"/>
      <c r="BM211" s="39"/>
      <c r="BN211" s="39"/>
      <c r="BO211" s="39"/>
      <c r="BP211" s="39"/>
      <c r="BQ211" s="39"/>
      <c r="BR211" s="39"/>
      <c r="BS211" s="39"/>
      <c r="BT211" s="39"/>
      <c r="BU211" s="39"/>
      <c r="BV211" s="39"/>
      <c r="BW211" s="39"/>
      <c r="BX211" s="39"/>
      <c r="BY211" s="39"/>
    </row>
    <row r="212" spans="1:77" s="37" customFormat="1">
      <c r="A212" s="39"/>
      <c r="B212" s="40"/>
      <c r="C212" s="684"/>
      <c r="D212" s="38"/>
      <c r="E212" s="38"/>
      <c r="F212" s="38"/>
      <c r="G212" s="38"/>
      <c r="H212" s="39"/>
      <c r="I212" s="39"/>
      <c r="J212" s="39"/>
      <c r="K212" s="39"/>
      <c r="L212" s="39"/>
      <c r="M212" s="39"/>
      <c r="N212" s="39"/>
      <c r="O212" s="39"/>
      <c r="P212" s="39"/>
      <c r="Q212" s="39"/>
      <c r="R212" s="39"/>
      <c r="S212" s="39"/>
      <c r="T212" s="39"/>
      <c r="U212" s="39"/>
      <c r="V212" s="39"/>
      <c r="W212" s="39"/>
      <c r="X212" s="39"/>
      <c r="Y212" s="39"/>
      <c r="Z212" s="39"/>
      <c r="AA212" s="39"/>
      <c r="AB212" s="39"/>
      <c r="AC212" s="39"/>
      <c r="AD212" s="39"/>
      <c r="AE212" s="39"/>
      <c r="AF212" s="39"/>
      <c r="AG212" s="39"/>
      <c r="AH212" s="39"/>
      <c r="AI212" s="39"/>
      <c r="AJ212" s="39"/>
      <c r="AK212" s="39"/>
      <c r="AL212" s="39"/>
      <c r="AM212" s="39"/>
      <c r="AN212" s="39"/>
      <c r="AO212" s="39"/>
      <c r="AP212" s="39"/>
      <c r="AQ212" s="39"/>
      <c r="AR212" s="39"/>
      <c r="AS212" s="39"/>
      <c r="AT212" s="39"/>
      <c r="AU212" s="39"/>
      <c r="AV212" s="123"/>
      <c r="AW212" s="124"/>
      <c r="AX212" s="76"/>
      <c r="AY212" s="76"/>
      <c r="AZ212" s="76"/>
      <c r="BA212" s="125"/>
      <c r="BB212" s="125"/>
      <c r="BC212" s="125"/>
      <c r="BD212" s="125"/>
      <c r="BE212" s="125"/>
      <c r="BF212" s="125"/>
      <c r="BG212" s="125"/>
      <c r="BH212" s="125"/>
      <c r="BI212" s="125"/>
      <c r="BJ212" s="41"/>
      <c r="BK212" s="69"/>
      <c r="BL212" s="39"/>
      <c r="BM212" s="39"/>
      <c r="BN212" s="39"/>
      <c r="BO212" s="39"/>
      <c r="BP212" s="39"/>
      <c r="BQ212" s="39"/>
      <c r="BR212" s="39"/>
      <c r="BS212" s="39"/>
      <c r="BT212" s="39"/>
      <c r="BU212" s="39"/>
      <c r="BV212" s="39"/>
      <c r="BW212" s="39"/>
      <c r="BX212" s="39"/>
      <c r="BY212" s="39"/>
    </row>
    <row r="213" spans="1:77" s="37" customFormat="1">
      <c r="A213" s="39"/>
      <c r="B213" s="40"/>
      <c r="C213" s="684"/>
      <c r="D213" s="38"/>
      <c r="E213" s="38"/>
      <c r="F213" s="38"/>
      <c r="G213" s="38"/>
      <c r="H213" s="39"/>
      <c r="I213" s="39"/>
      <c r="J213" s="39"/>
      <c r="K213" s="39"/>
      <c r="L213" s="39"/>
      <c r="M213" s="39"/>
      <c r="N213" s="39"/>
      <c r="O213" s="39"/>
      <c r="P213" s="39"/>
      <c r="Q213" s="39"/>
      <c r="R213" s="39"/>
      <c r="S213" s="39"/>
      <c r="T213" s="39"/>
      <c r="U213" s="39"/>
      <c r="V213" s="39"/>
      <c r="W213" s="39"/>
      <c r="X213" s="39"/>
      <c r="Y213" s="39"/>
      <c r="Z213" s="39"/>
      <c r="AA213" s="39"/>
      <c r="AB213" s="39"/>
      <c r="AC213" s="39"/>
      <c r="AD213" s="39"/>
      <c r="AE213" s="39"/>
      <c r="AF213" s="39"/>
      <c r="AG213" s="39"/>
      <c r="AH213" s="39"/>
      <c r="AI213" s="39"/>
      <c r="AJ213" s="39"/>
      <c r="AK213" s="39"/>
      <c r="AL213" s="39"/>
      <c r="AM213" s="39"/>
      <c r="AN213" s="39"/>
      <c r="AO213" s="39"/>
      <c r="AP213" s="39"/>
      <c r="AQ213" s="39"/>
      <c r="AR213" s="39"/>
      <c r="AS213" s="39"/>
      <c r="AT213" s="39"/>
      <c r="AU213" s="39"/>
      <c r="AV213" s="123"/>
      <c r="AW213" s="124"/>
      <c r="AX213" s="76"/>
      <c r="AY213" s="76"/>
      <c r="AZ213" s="76"/>
      <c r="BA213" s="125"/>
      <c r="BB213" s="125"/>
      <c r="BC213" s="125"/>
      <c r="BD213" s="125"/>
      <c r="BE213" s="125"/>
      <c r="BF213" s="125"/>
      <c r="BG213" s="125"/>
      <c r="BH213" s="125"/>
      <c r="BI213" s="125"/>
      <c r="BJ213" s="41"/>
      <c r="BK213" s="69"/>
      <c r="BL213" s="39"/>
      <c r="BM213" s="39"/>
      <c r="BN213" s="39"/>
      <c r="BO213" s="39"/>
      <c r="BP213" s="39"/>
      <c r="BQ213" s="39"/>
      <c r="BR213" s="39"/>
      <c r="BS213" s="39"/>
      <c r="BT213" s="39"/>
      <c r="BU213" s="39"/>
      <c r="BV213" s="39"/>
      <c r="BW213" s="39"/>
      <c r="BX213" s="39"/>
      <c r="BY213" s="39"/>
    </row>
    <row r="214" spans="1:77" s="37" customFormat="1">
      <c r="A214" s="39"/>
      <c r="B214" s="40"/>
      <c r="C214" s="684"/>
      <c r="D214" s="38"/>
      <c r="E214" s="38"/>
      <c r="F214" s="38"/>
      <c r="G214" s="38"/>
      <c r="H214" s="39"/>
      <c r="I214" s="39"/>
      <c r="J214" s="39"/>
      <c r="K214" s="39"/>
      <c r="L214" s="39"/>
      <c r="M214" s="39"/>
      <c r="N214" s="39"/>
      <c r="O214" s="39"/>
      <c r="P214" s="39"/>
      <c r="Q214" s="39"/>
      <c r="R214" s="39"/>
      <c r="S214" s="39"/>
      <c r="T214" s="39"/>
      <c r="U214" s="39"/>
      <c r="V214" s="39"/>
      <c r="W214" s="39"/>
      <c r="X214" s="39"/>
      <c r="Y214" s="39"/>
      <c r="Z214" s="39"/>
      <c r="AA214" s="39"/>
      <c r="AB214" s="39"/>
      <c r="AC214" s="39"/>
      <c r="AD214" s="39"/>
      <c r="AE214" s="39"/>
      <c r="AF214" s="39"/>
      <c r="AG214" s="39"/>
      <c r="AH214" s="39"/>
      <c r="AI214" s="39"/>
      <c r="AJ214" s="39"/>
      <c r="AK214" s="39"/>
      <c r="AL214" s="39"/>
      <c r="AM214" s="39"/>
      <c r="AN214" s="39"/>
      <c r="AO214" s="39"/>
      <c r="AP214" s="39"/>
      <c r="AQ214" s="39"/>
      <c r="AR214" s="39"/>
      <c r="AS214" s="39"/>
      <c r="AT214" s="39"/>
      <c r="AU214" s="39"/>
      <c r="AV214" s="123"/>
      <c r="AW214" s="124"/>
      <c r="AX214" s="76"/>
      <c r="AY214" s="76"/>
      <c r="AZ214" s="76"/>
      <c r="BA214" s="125"/>
      <c r="BB214" s="125"/>
      <c r="BC214" s="125"/>
      <c r="BD214" s="125"/>
      <c r="BE214" s="125"/>
      <c r="BF214" s="125"/>
      <c r="BG214" s="125"/>
      <c r="BH214" s="125"/>
      <c r="BI214" s="125"/>
      <c r="BJ214" s="41"/>
      <c r="BK214" s="69"/>
      <c r="BL214" s="39"/>
      <c r="BM214" s="39"/>
      <c r="BN214" s="39"/>
      <c r="BO214" s="39"/>
      <c r="BP214" s="39"/>
      <c r="BQ214" s="39"/>
      <c r="BR214" s="39"/>
      <c r="BS214" s="39"/>
      <c r="BT214" s="39"/>
      <c r="BU214" s="39"/>
      <c r="BV214" s="39"/>
      <c r="BW214" s="39"/>
      <c r="BX214" s="39"/>
      <c r="BY214" s="39"/>
    </row>
    <row r="215" spans="1:77" s="37" customFormat="1">
      <c r="A215" s="39"/>
      <c r="B215" s="40"/>
      <c r="C215" s="684"/>
      <c r="D215" s="38"/>
      <c r="E215" s="38"/>
      <c r="F215" s="38"/>
      <c r="G215" s="38"/>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c r="AP215" s="39"/>
      <c r="AQ215" s="39"/>
      <c r="AR215" s="39"/>
      <c r="AS215" s="39"/>
      <c r="AT215" s="39"/>
      <c r="AU215" s="39"/>
      <c r="AV215" s="123"/>
      <c r="AW215" s="124"/>
      <c r="AX215" s="76"/>
      <c r="AY215" s="76"/>
      <c r="AZ215" s="76"/>
      <c r="BA215" s="125"/>
      <c r="BB215" s="125"/>
      <c r="BC215" s="125"/>
      <c r="BD215" s="125"/>
      <c r="BE215" s="125"/>
      <c r="BF215" s="125"/>
      <c r="BG215" s="125"/>
      <c r="BH215" s="125"/>
      <c r="BI215" s="125"/>
      <c r="BJ215" s="41"/>
      <c r="BK215" s="69"/>
      <c r="BL215" s="39"/>
      <c r="BM215" s="39"/>
      <c r="BN215" s="39"/>
      <c r="BO215" s="39"/>
      <c r="BP215" s="39"/>
      <c r="BQ215" s="39"/>
      <c r="BR215" s="39"/>
      <c r="BS215" s="39"/>
      <c r="BT215" s="39"/>
      <c r="BU215" s="39"/>
      <c r="BV215" s="39"/>
      <c r="BW215" s="39"/>
      <c r="BX215" s="39"/>
      <c r="BY215" s="39"/>
    </row>
    <row r="216" spans="1:77" s="37" customFormat="1">
      <c r="A216" s="39"/>
      <c r="B216" s="40"/>
      <c r="C216" s="684"/>
      <c r="D216" s="38"/>
      <c r="E216" s="38"/>
      <c r="F216" s="38"/>
      <c r="G216" s="38"/>
      <c r="H216" s="39"/>
      <c r="I216" s="39"/>
      <c r="J216" s="39"/>
      <c r="K216" s="39"/>
      <c r="L216" s="39"/>
      <c r="M216" s="39"/>
      <c r="N216" s="39"/>
      <c r="O216" s="39"/>
      <c r="P216" s="39"/>
      <c r="Q216" s="39"/>
      <c r="R216" s="39"/>
      <c r="S216" s="39"/>
      <c r="T216" s="39"/>
      <c r="U216" s="39"/>
      <c r="V216" s="39"/>
      <c r="W216" s="39"/>
      <c r="X216" s="39"/>
      <c r="Y216" s="39"/>
      <c r="Z216" s="39"/>
      <c r="AA216" s="39"/>
      <c r="AB216" s="39"/>
      <c r="AC216" s="39"/>
      <c r="AD216" s="39"/>
      <c r="AE216" s="39"/>
      <c r="AF216" s="39"/>
      <c r="AG216" s="39"/>
      <c r="AH216" s="39"/>
      <c r="AI216" s="39"/>
      <c r="AJ216" s="39"/>
      <c r="AK216" s="39"/>
      <c r="AL216" s="39"/>
      <c r="AM216" s="39"/>
      <c r="AN216" s="39"/>
      <c r="AO216" s="39"/>
      <c r="AP216" s="39"/>
      <c r="AQ216" s="39"/>
      <c r="AR216" s="39"/>
      <c r="AS216" s="39"/>
      <c r="AT216" s="39"/>
      <c r="AU216" s="39"/>
      <c r="AV216" s="123"/>
      <c r="AW216" s="124"/>
      <c r="AX216" s="76"/>
      <c r="AY216" s="76"/>
      <c r="AZ216" s="76"/>
      <c r="BA216" s="125"/>
      <c r="BB216" s="125"/>
      <c r="BC216" s="125"/>
      <c r="BD216" s="125"/>
      <c r="BE216" s="125"/>
      <c r="BF216" s="125"/>
      <c r="BG216" s="125"/>
      <c r="BH216" s="125"/>
      <c r="BI216" s="125"/>
      <c r="BJ216" s="41"/>
      <c r="BK216" s="69"/>
      <c r="BL216" s="39"/>
      <c r="BM216" s="39"/>
      <c r="BN216" s="39"/>
      <c r="BO216" s="39"/>
      <c r="BP216" s="39"/>
      <c r="BQ216" s="39"/>
      <c r="BR216" s="39"/>
      <c r="BS216" s="39"/>
      <c r="BT216" s="39"/>
      <c r="BU216" s="39"/>
      <c r="BV216" s="39"/>
      <c r="BW216" s="39"/>
      <c r="BX216" s="39"/>
      <c r="BY216" s="39"/>
    </row>
    <row r="217" spans="1:77" s="37" customFormat="1">
      <c r="A217" s="39"/>
      <c r="B217" s="40"/>
      <c r="C217" s="684"/>
      <c r="D217" s="38"/>
      <c r="E217" s="38"/>
      <c r="F217" s="38"/>
      <c r="G217" s="38"/>
      <c r="H217" s="39"/>
      <c r="I217" s="39"/>
      <c r="J217" s="39"/>
      <c r="K217" s="39"/>
      <c r="L217" s="39"/>
      <c r="M217" s="39"/>
      <c r="N217" s="39"/>
      <c r="O217" s="39"/>
      <c r="P217" s="39"/>
      <c r="Q217" s="39"/>
      <c r="R217" s="39"/>
      <c r="S217" s="39"/>
      <c r="T217" s="39"/>
      <c r="U217" s="39"/>
      <c r="V217" s="39"/>
      <c r="W217" s="39"/>
      <c r="X217" s="39"/>
      <c r="Y217" s="39"/>
      <c r="Z217" s="39"/>
      <c r="AA217" s="39"/>
      <c r="AB217" s="39"/>
      <c r="AC217" s="39"/>
      <c r="AD217" s="39"/>
      <c r="AE217" s="39"/>
      <c r="AF217" s="39"/>
      <c r="AG217" s="39"/>
      <c r="AH217" s="39"/>
      <c r="AI217" s="39"/>
      <c r="AJ217" s="39"/>
      <c r="AK217" s="39"/>
      <c r="AL217" s="39"/>
      <c r="AM217" s="39"/>
      <c r="AN217" s="39"/>
      <c r="AO217" s="39"/>
      <c r="AP217" s="39"/>
      <c r="AQ217" s="39"/>
      <c r="AR217" s="39"/>
      <c r="AS217" s="39"/>
      <c r="AT217" s="39"/>
      <c r="AU217" s="39"/>
      <c r="AV217" s="123"/>
      <c r="AW217" s="124"/>
      <c r="AX217" s="76"/>
      <c r="AY217" s="76"/>
      <c r="AZ217" s="76"/>
      <c r="BA217" s="125"/>
      <c r="BB217" s="125"/>
      <c r="BC217" s="125"/>
      <c r="BD217" s="125"/>
      <c r="BE217" s="125"/>
      <c r="BF217" s="125"/>
      <c r="BG217" s="125"/>
      <c r="BH217" s="125"/>
      <c r="BI217" s="125"/>
      <c r="BJ217" s="41"/>
      <c r="BK217" s="69"/>
      <c r="BL217" s="39"/>
      <c r="BM217" s="39"/>
      <c r="BN217" s="39"/>
      <c r="BO217" s="39"/>
      <c r="BP217" s="39"/>
      <c r="BQ217" s="39"/>
      <c r="BR217" s="39"/>
      <c r="BS217" s="39"/>
      <c r="BT217" s="39"/>
      <c r="BU217" s="39"/>
      <c r="BV217" s="39"/>
      <c r="BW217" s="39"/>
      <c r="BX217" s="39"/>
      <c r="BY217" s="39"/>
    </row>
    <row r="218" spans="1:77" s="37" customFormat="1">
      <c r="A218" s="39"/>
      <c r="B218" s="40"/>
      <c r="C218" s="684"/>
      <c r="D218" s="38"/>
      <c r="E218" s="38"/>
      <c r="F218" s="38"/>
      <c r="G218" s="38"/>
      <c r="H218" s="39"/>
      <c r="I218" s="39"/>
      <c r="J218" s="39"/>
      <c r="K218" s="39"/>
      <c r="L218" s="39"/>
      <c r="M218" s="39"/>
      <c r="N218" s="39"/>
      <c r="O218" s="39"/>
      <c r="P218" s="39"/>
      <c r="Q218" s="39"/>
      <c r="R218" s="39"/>
      <c r="S218" s="39"/>
      <c r="T218" s="39"/>
      <c r="U218" s="39"/>
      <c r="V218" s="39"/>
      <c r="W218" s="39"/>
      <c r="X218" s="39"/>
      <c r="Y218" s="39"/>
      <c r="Z218" s="39"/>
      <c r="AA218" s="39"/>
      <c r="AB218" s="39"/>
      <c r="AC218" s="39"/>
      <c r="AD218" s="39"/>
      <c r="AE218" s="39"/>
      <c r="AF218" s="39"/>
      <c r="AG218" s="39"/>
      <c r="AH218" s="39"/>
      <c r="AI218" s="39"/>
      <c r="AJ218" s="39"/>
      <c r="AK218" s="39"/>
      <c r="AL218" s="39"/>
      <c r="AM218" s="39"/>
      <c r="AN218" s="39"/>
      <c r="AO218" s="39"/>
      <c r="AP218" s="39"/>
      <c r="AQ218" s="39"/>
      <c r="AR218" s="39"/>
      <c r="AS218" s="39"/>
      <c r="AT218" s="39"/>
      <c r="AU218" s="39"/>
      <c r="AV218" s="123"/>
      <c r="AW218" s="124"/>
      <c r="AX218" s="76"/>
      <c r="AY218" s="76"/>
      <c r="AZ218" s="76"/>
      <c r="BA218" s="125"/>
      <c r="BB218" s="125"/>
      <c r="BC218" s="125"/>
      <c r="BD218" s="125"/>
      <c r="BE218" s="125"/>
      <c r="BF218" s="125"/>
      <c r="BG218" s="125"/>
      <c r="BH218" s="125"/>
      <c r="BI218" s="125"/>
      <c r="BJ218" s="41"/>
      <c r="BK218" s="69"/>
      <c r="BL218" s="39"/>
      <c r="BM218" s="39"/>
      <c r="BN218" s="39"/>
      <c r="BO218" s="39"/>
      <c r="BP218" s="39"/>
      <c r="BQ218" s="39"/>
      <c r="BR218" s="39"/>
      <c r="BS218" s="39"/>
      <c r="BT218" s="39"/>
      <c r="BU218" s="39"/>
      <c r="BV218" s="39"/>
      <c r="BW218" s="39"/>
      <c r="BX218" s="39"/>
      <c r="BY218" s="39"/>
    </row>
    <row r="219" spans="1:77" s="37" customFormat="1">
      <c r="A219" s="39"/>
      <c r="B219" s="40"/>
      <c r="C219" s="684"/>
      <c r="D219" s="38"/>
      <c r="E219" s="38"/>
      <c r="F219" s="38"/>
      <c r="G219" s="38"/>
      <c r="H219" s="39"/>
      <c r="I219" s="39"/>
      <c r="J219" s="39"/>
      <c r="K219" s="39"/>
      <c r="L219" s="39"/>
      <c r="M219" s="39"/>
      <c r="N219" s="39"/>
      <c r="O219" s="39"/>
      <c r="P219" s="39"/>
      <c r="Q219" s="39"/>
      <c r="R219" s="39"/>
      <c r="S219" s="39"/>
      <c r="T219" s="39"/>
      <c r="U219" s="39"/>
      <c r="V219" s="39"/>
      <c r="W219" s="39"/>
      <c r="X219" s="39"/>
      <c r="Y219" s="39"/>
      <c r="Z219" s="39"/>
      <c r="AA219" s="39"/>
      <c r="AB219" s="39"/>
      <c r="AC219" s="39"/>
      <c r="AD219" s="39"/>
      <c r="AE219" s="39"/>
      <c r="AF219" s="39"/>
      <c r="AG219" s="39"/>
      <c r="AH219" s="39"/>
      <c r="AI219" s="39"/>
      <c r="AJ219" s="39"/>
      <c r="AK219" s="39"/>
      <c r="AL219" s="39"/>
      <c r="AM219" s="39"/>
      <c r="AN219" s="39"/>
      <c r="AO219" s="39"/>
      <c r="AP219" s="39"/>
      <c r="AQ219" s="39"/>
      <c r="AR219" s="39"/>
      <c r="AS219" s="39"/>
      <c r="AT219" s="39"/>
      <c r="AU219" s="39"/>
      <c r="AV219" s="123"/>
      <c r="AW219" s="124"/>
      <c r="AX219" s="76"/>
      <c r="AY219" s="76"/>
      <c r="AZ219" s="76"/>
      <c r="BA219" s="125"/>
      <c r="BB219" s="125"/>
      <c r="BC219" s="125"/>
      <c r="BD219" s="125"/>
      <c r="BE219" s="125"/>
      <c r="BF219" s="125"/>
      <c r="BG219" s="125"/>
      <c r="BH219" s="125"/>
      <c r="BI219" s="125"/>
      <c r="BJ219" s="41"/>
      <c r="BK219" s="69"/>
      <c r="BL219" s="39"/>
      <c r="BM219" s="39"/>
      <c r="BN219" s="39"/>
      <c r="BO219" s="39"/>
      <c r="BP219" s="39"/>
      <c r="BQ219" s="39"/>
      <c r="BR219" s="39"/>
      <c r="BS219" s="39"/>
      <c r="BT219" s="39"/>
      <c r="BU219" s="39"/>
      <c r="BV219" s="39"/>
      <c r="BW219" s="39"/>
      <c r="BX219" s="39"/>
      <c r="BY219" s="39"/>
    </row>
    <row r="220" spans="1:77" s="37" customFormat="1">
      <c r="A220" s="39"/>
      <c r="B220" s="40"/>
      <c r="C220" s="684"/>
      <c r="D220" s="38"/>
      <c r="E220" s="38"/>
      <c r="F220" s="38"/>
      <c r="G220" s="38"/>
      <c r="H220" s="39"/>
      <c r="I220" s="39"/>
      <c r="J220" s="39"/>
      <c r="K220" s="39"/>
      <c r="L220" s="39"/>
      <c r="M220" s="39"/>
      <c r="N220" s="39"/>
      <c r="O220" s="39"/>
      <c r="P220" s="39"/>
      <c r="Q220" s="39"/>
      <c r="R220" s="39"/>
      <c r="S220" s="39"/>
      <c r="T220" s="39"/>
      <c r="U220" s="39"/>
      <c r="V220" s="39"/>
      <c r="W220" s="39"/>
      <c r="X220" s="39"/>
      <c r="Y220" s="39"/>
      <c r="Z220" s="39"/>
      <c r="AA220" s="39"/>
      <c r="AB220" s="39"/>
      <c r="AC220" s="39"/>
      <c r="AD220" s="39"/>
      <c r="AE220" s="39"/>
      <c r="AF220" s="39"/>
      <c r="AG220" s="39"/>
      <c r="AH220" s="39"/>
      <c r="AI220" s="39"/>
      <c r="AJ220" s="39"/>
      <c r="AK220" s="39"/>
      <c r="AL220" s="39"/>
      <c r="AM220" s="39"/>
      <c r="AN220" s="39"/>
      <c r="AO220" s="39"/>
      <c r="AP220" s="39"/>
      <c r="AQ220" s="39"/>
      <c r="AR220" s="39"/>
      <c r="AS220" s="39"/>
      <c r="AT220" s="39"/>
      <c r="AU220" s="39"/>
      <c r="AV220" s="123"/>
      <c r="AW220" s="124"/>
      <c r="AX220" s="76"/>
      <c r="AY220" s="76"/>
      <c r="AZ220" s="76"/>
      <c r="BA220" s="125"/>
      <c r="BB220" s="125"/>
      <c r="BC220" s="125"/>
      <c r="BD220" s="125"/>
      <c r="BE220" s="125"/>
      <c r="BF220" s="125"/>
      <c r="BG220" s="125"/>
      <c r="BH220" s="125"/>
      <c r="BI220" s="125"/>
      <c r="BJ220" s="41"/>
      <c r="BK220" s="69"/>
      <c r="BL220" s="39"/>
      <c r="BM220" s="39"/>
      <c r="BN220" s="39"/>
      <c r="BO220" s="39"/>
      <c r="BP220" s="39"/>
      <c r="BQ220" s="39"/>
      <c r="BR220" s="39"/>
      <c r="BS220" s="39"/>
      <c r="BT220" s="39"/>
      <c r="BU220" s="39"/>
      <c r="BV220" s="39"/>
      <c r="BW220" s="39"/>
      <c r="BX220" s="39"/>
      <c r="BY220" s="39"/>
    </row>
    <row r="221" spans="1:77" s="37" customFormat="1">
      <c r="A221" s="39"/>
      <c r="B221" s="40"/>
      <c r="C221" s="684"/>
      <c r="D221" s="38"/>
      <c r="E221" s="38"/>
      <c r="F221" s="38"/>
      <c r="G221" s="38"/>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c r="AJ221" s="39"/>
      <c r="AK221" s="39"/>
      <c r="AL221" s="39"/>
      <c r="AM221" s="39"/>
      <c r="AN221" s="39"/>
      <c r="AO221" s="39"/>
      <c r="AP221" s="39"/>
      <c r="AQ221" s="39"/>
      <c r="AR221" s="39"/>
      <c r="AS221" s="39"/>
      <c r="AT221" s="39"/>
      <c r="AU221" s="39"/>
      <c r="AV221" s="123"/>
      <c r="AW221" s="124"/>
      <c r="AX221" s="76"/>
      <c r="AY221" s="76"/>
      <c r="AZ221" s="76"/>
      <c r="BA221" s="125"/>
      <c r="BB221" s="125"/>
      <c r="BC221" s="125"/>
      <c r="BD221" s="125"/>
      <c r="BE221" s="125"/>
      <c r="BF221" s="125"/>
      <c r="BG221" s="125"/>
      <c r="BH221" s="125"/>
      <c r="BI221" s="125"/>
      <c r="BJ221" s="41"/>
      <c r="BK221" s="69"/>
      <c r="BL221" s="39"/>
      <c r="BM221" s="39"/>
      <c r="BN221" s="39"/>
      <c r="BO221" s="39"/>
      <c r="BP221" s="39"/>
      <c r="BQ221" s="39"/>
      <c r="BR221" s="39"/>
      <c r="BS221" s="39"/>
      <c r="BT221" s="39"/>
      <c r="BU221" s="39"/>
      <c r="BV221" s="39"/>
      <c r="BW221" s="39"/>
      <c r="BX221" s="39"/>
      <c r="BY221" s="39"/>
    </row>
    <row r="222" spans="1:77" s="37" customFormat="1">
      <c r="A222" s="39"/>
      <c r="B222" s="40"/>
      <c r="C222" s="684"/>
      <c r="D222" s="38"/>
      <c r="E222" s="38"/>
      <c r="F222" s="38"/>
      <c r="G222" s="38"/>
      <c r="H222" s="39"/>
      <c r="I222" s="39"/>
      <c r="J222" s="39"/>
      <c r="K222" s="39"/>
      <c r="L222" s="39"/>
      <c r="M222" s="39"/>
      <c r="N222" s="39"/>
      <c r="O222" s="39"/>
      <c r="P222" s="39"/>
      <c r="Q222" s="39"/>
      <c r="R222" s="39"/>
      <c r="S222" s="39"/>
      <c r="T222" s="39"/>
      <c r="U222" s="39"/>
      <c r="V222" s="39"/>
      <c r="W222" s="39"/>
      <c r="X222" s="39"/>
      <c r="Y222" s="39"/>
      <c r="Z222" s="39"/>
      <c r="AA222" s="39"/>
      <c r="AB222" s="39"/>
      <c r="AC222" s="39"/>
      <c r="AD222" s="39"/>
      <c r="AE222" s="39"/>
      <c r="AF222" s="39"/>
      <c r="AG222" s="39"/>
      <c r="AH222" s="39"/>
      <c r="AI222" s="39"/>
      <c r="AJ222" s="39"/>
      <c r="AK222" s="39"/>
      <c r="AL222" s="39"/>
      <c r="AM222" s="39"/>
      <c r="AN222" s="39"/>
      <c r="AO222" s="39"/>
      <c r="AP222" s="39"/>
      <c r="AQ222" s="39"/>
      <c r="AR222" s="39"/>
      <c r="AS222" s="39"/>
      <c r="AT222" s="39"/>
      <c r="AU222" s="39"/>
      <c r="AV222" s="123"/>
      <c r="AW222" s="124"/>
      <c r="AX222" s="76"/>
      <c r="AY222" s="76"/>
      <c r="AZ222" s="76"/>
      <c r="BA222" s="125"/>
      <c r="BB222" s="125"/>
      <c r="BC222" s="125"/>
      <c r="BD222" s="125"/>
      <c r="BE222" s="125"/>
      <c r="BF222" s="125"/>
      <c r="BG222" s="125"/>
      <c r="BH222" s="125"/>
      <c r="BI222" s="125"/>
      <c r="BJ222" s="41"/>
      <c r="BK222" s="69"/>
      <c r="BL222" s="39"/>
      <c r="BM222" s="39"/>
      <c r="BN222" s="39"/>
      <c r="BO222" s="39"/>
      <c r="BP222" s="39"/>
      <c r="BQ222" s="39"/>
      <c r="BR222" s="39"/>
      <c r="BS222" s="39"/>
      <c r="BT222" s="39"/>
      <c r="BU222" s="39"/>
      <c r="BV222" s="39"/>
      <c r="BW222" s="39"/>
      <c r="BX222" s="39"/>
      <c r="BY222" s="39"/>
    </row>
    <row r="223" spans="1:77" s="37" customFormat="1">
      <c r="A223" s="39"/>
      <c r="B223" s="40"/>
      <c r="C223" s="684"/>
      <c r="D223" s="38"/>
      <c r="E223" s="38"/>
      <c r="F223" s="38"/>
      <c r="G223" s="38"/>
      <c r="H223" s="39"/>
      <c r="I223" s="39"/>
      <c r="J223" s="39"/>
      <c r="K223" s="39"/>
      <c r="L223" s="39"/>
      <c r="M223" s="39"/>
      <c r="N223" s="39"/>
      <c r="O223" s="39"/>
      <c r="P223" s="39"/>
      <c r="Q223" s="39"/>
      <c r="R223" s="39"/>
      <c r="S223" s="39"/>
      <c r="T223" s="39"/>
      <c r="U223" s="39"/>
      <c r="V223" s="39"/>
      <c r="W223" s="39"/>
      <c r="X223" s="39"/>
      <c r="Y223" s="39"/>
      <c r="Z223" s="39"/>
      <c r="AA223" s="39"/>
      <c r="AB223" s="39"/>
      <c r="AC223" s="39"/>
      <c r="AD223" s="39"/>
      <c r="AE223" s="39"/>
      <c r="AF223" s="39"/>
      <c r="AG223" s="39"/>
      <c r="AH223" s="39"/>
      <c r="AI223" s="39"/>
      <c r="AJ223" s="39"/>
      <c r="AK223" s="39"/>
      <c r="AL223" s="39"/>
      <c r="AM223" s="39"/>
      <c r="AN223" s="39"/>
      <c r="AO223" s="39"/>
      <c r="AP223" s="39"/>
      <c r="AQ223" s="39"/>
      <c r="AR223" s="39"/>
      <c r="AS223" s="39"/>
      <c r="AT223" s="39"/>
      <c r="AU223" s="39"/>
      <c r="AV223" s="123"/>
      <c r="AW223" s="124"/>
      <c r="AX223" s="76"/>
      <c r="AY223" s="76"/>
      <c r="AZ223" s="76"/>
      <c r="BA223" s="125"/>
      <c r="BB223" s="125"/>
      <c r="BC223" s="125"/>
      <c r="BD223" s="125"/>
      <c r="BE223" s="125"/>
      <c r="BF223" s="125"/>
      <c r="BG223" s="125"/>
      <c r="BH223" s="125"/>
      <c r="BI223" s="125"/>
      <c r="BJ223" s="41"/>
      <c r="BK223" s="69"/>
      <c r="BL223" s="39"/>
      <c r="BM223" s="39"/>
      <c r="BN223" s="39"/>
      <c r="BO223" s="39"/>
      <c r="BP223" s="39"/>
      <c r="BQ223" s="39"/>
      <c r="BR223" s="39"/>
      <c r="BS223" s="39"/>
      <c r="BT223" s="39"/>
      <c r="BU223" s="39"/>
      <c r="BV223" s="39"/>
      <c r="BW223" s="39"/>
      <c r="BX223" s="39"/>
      <c r="BY223" s="39"/>
    </row>
    <row r="224" spans="1:77" s="37" customFormat="1">
      <c r="A224" s="39"/>
      <c r="B224" s="40"/>
      <c r="C224" s="684"/>
      <c r="D224" s="38"/>
      <c r="E224" s="38"/>
      <c r="F224" s="38"/>
      <c r="G224" s="38"/>
      <c r="H224" s="39"/>
      <c r="I224" s="39"/>
      <c r="J224" s="39"/>
      <c r="K224" s="39"/>
      <c r="L224" s="39"/>
      <c r="M224" s="39"/>
      <c r="N224" s="39"/>
      <c r="O224" s="39"/>
      <c r="P224" s="39"/>
      <c r="Q224" s="39"/>
      <c r="R224" s="39"/>
      <c r="S224" s="39"/>
      <c r="T224" s="39"/>
      <c r="U224" s="39"/>
      <c r="V224" s="39"/>
      <c r="W224" s="39"/>
      <c r="X224" s="39"/>
      <c r="Y224" s="39"/>
      <c r="Z224" s="39"/>
      <c r="AA224" s="39"/>
      <c r="AB224" s="39"/>
      <c r="AC224" s="39"/>
      <c r="AD224" s="39"/>
      <c r="AE224" s="39"/>
      <c r="AF224" s="39"/>
      <c r="AG224" s="39"/>
      <c r="AH224" s="39"/>
      <c r="AI224" s="39"/>
      <c r="AJ224" s="39"/>
      <c r="AK224" s="39"/>
      <c r="AL224" s="39"/>
      <c r="AM224" s="39"/>
      <c r="AN224" s="39"/>
      <c r="AO224" s="39"/>
      <c r="AP224" s="39"/>
      <c r="AQ224" s="39"/>
      <c r="AR224" s="39"/>
      <c r="AS224" s="39"/>
      <c r="AT224" s="39"/>
      <c r="AU224" s="39"/>
      <c r="AV224" s="123"/>
      <c r="AW224" s="124"/>
      <c r="AX224" s="76"/>
      <c r="AY224" s="76"/>
      <c r="AZ224" s="76"/>
      <c r="BA224" s="125"/>
      <c r="BB224" s="125"/>
      <c r="BC224" s="125"/>
      <c r="BD224" s="125"/>
      <c r="BE224" s="125"/>
      <c r="BF224" s="125"/>
      <c r="BG224" s="125"/>
      <c r="BH224" s="125"/>
      <c r="BI224" s="125"/>
      <c r="BJ224" s="41"/>
      <c r="BK224" s="69"/>
      <c r="BL224" s="39"/>
      <c r="BM224" s="39"/>
      <c r="BN224" s="39"/>
      <c r="BO224" s="39"/>
      <c r="BP224" s="39"/>
      <c r="BQ224" s="39"/>
      <c r="BR224" s="39"/>
      <c r="BS224" s="39"/>
      <c r="BT224" s="39"/>
      <c r="BU224" s="39"/>
      <c r="BV224" s="39"/>
      <c r="BW224" s="39"/>
      <c r="BX224" s="39"/>
      <c r="BY224" s="39"/>
    </row>
    <row r="225" spans="1:77" s="37" customFormat="1">
      <c r="A225" s="39"/>
      <c r="B225" s="40"/>
      <c r="C225" s="684"/>
      <c r="D225" s="38"/>
      <c r="E225" s="38"/>
      <c r="F225" s="38"/>
      <c r="G225" s="38"/>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c r="AP225" s="39"/>
      <c r="AQ225" s="39"/>
      <c r="AR225" s="39"/>
      <c r="AS225" s="39"/>
      <c r="AT225" s="39"/>
      <c r="AU225" s="39"/>
      <c r="AV225" s="123"/>
      <c r="AW225" s="124"/>
      <c r="AX225" s="76"/>
      <c r="AY225" s="76"/>
      <c r="AZ225" s="76"/>
      <c r="BA225" s="125"/>
      <c r="BB225" s="125"/>
      <c r="BC225" s="125"/>
      <c r="BD225" s="125"/>
      <c r="BE225" s="125"/>
      <c r="BF225" s="125"/>
      <c r="BG225" s="125"/>
      <c r="BH225" s="125"/>
      <c r="BI225" s="125"/>
      <c r="BJ225" s="41"/>
      <c r="BK225" s="69"/>
      <c r="BL225" s="39"/>
      <c r="BM225" s="39"/>
      <c r="BN225" s="39"/>
      <c r="BO225" s="39"/>
      <c r="BP225" s="39"/>
      <c r="BQ225" s="39"/>
      <c r="BR225" s="39"/>
      <c r="BS225" s="39"/>
      <c r="BT225" s="39"/>
      <c r="BU225" s="39"/>
      <c r="BV225" s="39"/>
      <c r="BW225" s="39"/>
      <c r="BX225" s="39"/>
      <c r="BY225" s="39"/>
    </row>
    <row r="226" spans="1:77" s="37" customFormat="1">
      <c r="A226" s="39"/>
      <c r="B226" s="40"/>
      <c r="C226" s="684"/>
      <c r="D226" s="38"/>
      <c r="E226" s="38"/>
      <c r="F226" s="38"/>
      <c r="G226" s="38"/>
      <c r="H226" s="39"/>
      <c r="I226" s="39"/>
      <c r="J226" s="39"/>
      <c r="K226" s="39"/>
      <c r="L226" s="39"/>
      <c r="M226" s="39"/>
      <c r="N226" s="39"/>
      <c r="O226" s="39"/>
      <c r="P226" s="39"/>
      <c r="Q226" s="39"/>
      <c r="R226" s="39"/>
      <c r="S226" s="39"/>
      <c r="T226" s="39"/>
      <c r="U226" s="39"/>
      <c r="V226" s="39"/>
      <c r="W226" s="39"/>
      <c r="X226" s="39"/>
      <c r="Y226" s="39"/>
      <c r="Z226" s="39"/>
      <c r="AA226" s="39"/>
      <c r="AB226" s="39"/>
      <c r="AC226" s="39"/>
      <c r="AD226" s="39"/>
      <c r="AE226" s="39"/>
      <c r="AF226" s="39"/>
      <c r="AG226" s="39"/>
      <c r="AH226" s="39"/>
      <c r="AI226" s="39"/>
      <c r="AJ226" s="39"/>
      <c r="AK226" s="39"/>
      <c r="AL226" s="39"/>
      <c r="AM226" s="39"/>
      <c r="AN226" s="39"/>
      <c r="AO226" s="39"/>
      <c r="AP226" s="39"/>
      <c r="AQ226" s="39"/>
      <c r="AR226" s="39"/>
      <c r="AS226" s="39"/>
      <c r="AT226" s="39"/>
      <c r="AU226" s="39"/>
      <c r="AV226" s="123"/>
      <c r="AW226" s="124"/>
      <c r="AX226" s="76"/>
      <c r="AY226" s="76"/>
      <c r="AZ226" s="76"/>
      <c r="BA226" s="125"/>
      <c r="BB226" s="125"/>
      <c r="BC226" s="125"/>
      <c r="BD226" s="125"/>
      <c r="BE226" s="125"/>
      <c r="BF226" s="125"/>
      <c r="BG226" s="125"/>
      <c r="BH226" s="125"/>
      <c r="BI226" s="125"/>
      <c r="BJ226" s="41"/>
      <c r="BK226" s="69"/>
      <c r="BL226" s="39"/>
      <c r="BM226" s="39"/>
      <c r="BN226" s="39"/>
      <c r="BO226" s="39"/>
      <c r="BP226" s="39"/>
      <c r="BQ226" s="39"/>
      <c r="BR226" s="39"/>
      <c r="BS226" s="39"/>
      <c r="BT226" s="39"/>
      <c r="BU226" s="39"/>
      <c r="BV226" s="39"/>
      <c r="BW226" s="39"/>
      <c r="BX226" s="39"/>
      <c r="BY226" s="39"/>
    </row>
    <row r="227" spans="1:77" s="37" customFormat="1">
      <c r="A227" s="39"/>
      <c r="B227" s="40"/>
      <c r="C227" s="684"/>
      <c r="D227" s="38"/>
      <c r="E227" s="38"/>
      <c r="F227" s="38"/>
      <c r="G227" s="38"/>
      <c r="H227" s="39"/>
      <c r="I227" s="39"/>
      <c r="J227" s="39"/>
      <c r="K227" s="39"/>
      <c r="L227" s="39"/>
      <c r="M227" s="39"/>
      <c r="N227" s="39"/>
      <c r="O227" s="39"/>
      <c r="P227" s="39"/>
      <c r="Q227" s="39"/>
      <c r="R227" s="39"/>
      <c r="S227" s="39"/>
      <c r="T227" s="39"/>
      <c r="U227" s="39"/>
      <c r="V227" s="39"/>
      <c r="W227" s="39"/>
      <c r="X227" s="39"/>
      <c r="Y227" s="39"/>
      <c r="Z227" s="39"/>
      <c r="AA227" s="39"/>
      <c r="AB227" s="39"/>
      <c r="AC227" s="39"/>
      <c r="AD227" s="39"/>
      <c r="AE227" s="39"/>
      <c r="AF227" s="39"/>
      <c r="AG227" s="39"/>
      <c r="AH227" s="39"/>
      <c r="AI227" s="39"/>
      <c r="AJ227" s="39"/>
      <c r="AK227" s="39"/>
      <c r="AL227" s="39"/>
      <c r="AM227" s="39"/>
      <c r="AN227" s="39"/>
      <c r="AO227" s="39"/>
      <c r="AP227" s="39"/>
      <c r="AQ227" s="39"/>
      <c r="AR227" s="39"/>
      <c r="AS227" s="39"/>
      <c r="AT227" s="39"/>
      <c r="AU227" s="39"/>
      <c r="AV227" s="123"/>
      <c r="AW227" s="124"/>
      <c r="AX227" s="76"/>
      <c r="AY227" s="76"/>
      <c r="AZ227" s="76"/>
      <c r="BA227" s="125"/>
      <c r="BB227" s="125"/>
      <c r="BC227" s="125"/>
      <c r="BD227" s="125"/>
      <c r="BE227" s="125"/>
      <c r="BF227" s="125"/>
      <c r="BG227" s="125"/>
      <c r="BH227" s="125"/>
      <c r="BI227" s="125"/>
      <c r="BJ227" s="41"/>
      <c r="BK227" s="69"/>
      <c r="BL227" s="39"/>
      <c r="BM227" s="39"/>
      <c r="BN227" s="39"/>
      <c r="BO227" s="39"/>
      <c r="BP227" s="39"/>
      <c r="BQ227" s="39"/>
      <c r="BR227" s="39"/>
      <c r="BS227" s="39"/>
      <c r="BT227" s="39"/>
      <c r="BU227" s="39"/>
      <c r="BV227" s="39"/>
      <c r="BW227" s="39"/>
      <c r="BX227" s="39"/>
      <c r="BY227" s="39"/>
    </row>
    <row r="228" spans="1:77" s="37" customFormat="1">
      <c r="A228" s="39"/>
      <c r="B228" s="40"/>
      <c r="C228" s="684"/>
      <c r="D228" s="38"/>
      <c r="E228" s="38"/>
      <c r="F228" s="39"/>
      <c r="G228" s="39"/>
      <c r="H228" s="39"/>
      <c r="I228" s="39"/>
      <c r="J228" s="39"/>
      <c r="K228" s="39"/>
      <c r="L228" s="39"/>
      <c r="M228" s="39"/>
      <c r="N228" s="39"/>
      <c r="O228" s="39"/>
      <c r="P228" s="39"/>
      <c r="Q228" s="39"/>
      <c r="R228" s="39"/>
      <c r="S228" s="39"/>
      <c r="T228" s="39"/>
      <c r="U228" s="39"/>
      <c r="V228" s="39"/>
      <c r="W228" s="39"/>
      <c r="X228" s="39"/>
      <c r="Y228" s="39"/>
      <c r="Z228" s="39"/>
      <c r="AA228" s="39"/>
      <c r="AB228" s="39"/>
      <c r="AC228" s="39"/>
      <c r="AD228" s="39"/>
      <c r="AE228" s="39"/>
      <c r="AF228" s="39"/>
      <c r="AG228" s="39"/>
      <c r="AH228" s="39"/>
      <c r="AI228" s="39"/>
      <c r="AJ228" s="39"/>
      <c r="AK228" s="39"/>
      <c r="AL228" s="39"/>
      <c r="AM228" s="39"/>
      <c r="AN228" s="39"/>
      <c r="AO228" s="39"/>
      <c r="AP228" s="39"/>
      <c r="AQ228" s="39"/>
      <c r="AR228" s="39"/>
      <c r="AS228" s="39"/>
      <c r="AT228" s="39"/>
      <c r="AU228" s="39"/>
      <c r="AV228" s="123"/>
      <c r="AW228" s="124"/>
      <c r="AX228" s="76"/>
      <c r="AY228" s="76"/>
      <c r="AZ228" s="76"/>
      <c r="BA228" s="125"/>
      <c r="BB228" s="125"/>
      <c r="BC228" s="125"/>
      <c r="BD228" s="125"/>
      <c r="BE228" s="125"/>
      <c r="BF228" s="125"/>
      <c r="BG228" s="125"/>
      <c r="BH228" s="125"/>
      <c r="BI228" s="125"/>
      <c r="BJ228" s="41"/>
      <c r="BK228" s="69"/>
      <c r="BL228" s="39"/>
      <c r="BM228" s="39"/>
      <c r="BN228" s="39"/>
      <c r="BO228" s="39"/>
      <c r="BP228" s="39"/>
      <c r="BQ228" s="39"/>
      <c r="BR228" s="39"/>
      <c r="BS228" s="39"/>
      <c r="BT228" s="39"/>
      <c r="BU228" s="39"/>
      <c r="BV228" s="39"/>
      <c r="BW228" s="39"/>
      <c r="BX228" s="39"/>
      <c r="BY228" s="39"/>
    </row>
    <row r="229" spans="1:77" s="37" customFormat="1">
      <c r="A229" s="39"/>
      <c r="B229" s="40"/>
      <c r="C229" s="684"/>
      <c r="D229" s="38"/>
      <c r="E229" s="38"/>
      <c r="F229" s="39"/>
      <c r="G229" s="39"/>
      <c r="H229" s="39"/>
      <c r="I229" s="39"/>
      <c r="J229" s="39"/>
      <c r="K229" s="39"/>
      <c r="L229" s="39"/>
      <c r="M229" s="39"/>
      <c r="N229" s="39"/>
      <c r="O229" s="39"/>
      <c r="P229" s="39"/>
      <c r="Q229" s="39"/>
      <c r="R229" s="39"/>
      <c r="S229" s="39"/>
      <c r="T229" s="39"/>
      <c r="U229" s="39"/>
      <c r="V229" s="39"/>
      <c r="W229" s="39"/>
      <c r="X229" s="39"/>
      <c r="Y229" s="39"/>
      <c r="Z229" s="39"/>
      <c r="AA229" s="39"/>
      <c r="AB229" s="39"/>
      <c r="AC229" s="39"/>
      <c r="AD229" s="39"/>
      <c r="AE229" s="39"/>
      <c r="AF229" s="39"/>
      <c r="AG229" s="39"/>
      <c r="AH229" s="39"/>
      <c r="AI229" s="39"/>
      <c r="AJ229" s="39"/>
      <c r="AK229" s="39"/>
      <c r="AL229" s="39"/>
      <c r="AM229" s="39"/>
      <c r="AN229" s="39"/>
      <c r="AO229" s="39"/>
      <c r="AP229" s="39"/>
      <c r="AQ229" s="39"/>
      <c r="AR229" s="39"/>
      <c r="AS229" s="39"/>
      <c r="AT229" s="39"/>
      <c r="AU229" s="39"/>
      <c r="AV229" s="123"/>
      <c r="AW229" s="124"/>
      <c r="AX229" s="76"/>
      <c r="AY229" s="76"/>
      <c r="AZ229" s="76"/>
      <c r="BA229" s="125"/>
      <c r="BB229" s="125"/>
      <c r="BC229" s="125"/>
      <c r="BD229" s="125"/>
      <c r="BE229" s="125"/>
      <c r="BF229" s="125"/>
      <c r="BG229" s="125"/>
      <c r="BH229" s="125"/>
      <c r="BI229" s="125"/>
      <c r="BJ229" s="41"/>
      <c r="BK229" s="69"/>
      <c r="BL229" s="39"/>
      <c r="BM229" s="39"/>
      <c r="BN229" s="39"/>
      <c r="BO229" s="39"/>
      <c r="BP229" s="39"/>
      <c r="BQ229" s="39"/>
      <c r="BR229" s="39"/>
      <c r="BS229" s="39"/>
      <c r="BT229" s="39"/>
      <c r="BU229" s="39"/>
      <c r="BV229" s="39"/>
      <c r="BW229" s="39"/>
      <c r="BX229" s="39"/>
      <c r="BY229" s="39"/>
    </row>
    <row r="230" spans="1:77" s="37" customFormat="1">
      <c r="A230" s="39"/>
      <c r="B230" s="42"/>
      <c r="C230" s="685"/>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c r="AB230" s="39"/>
      <c r="AC230" s="39"/>
      <c r="AD230" s="39"/>
      <c r="AE230" s="39"/>
      <c r="AF230" s="39"/>
      <c r="AG230" s="39"/>
      <c r="AH230" s="39"/>
      <c r="AI230" s="39"/>
      <c r="AJ230" s="39"/>
      <c r="AK230" s="39"/>
      <c r="AL230" s="39"/>
      <c r="AM230" s="39"/>
      <c r="AN230" s="39"/>
      <c r="AO230" s="39"/>
      <c r="AP230" s="39"/>
      <c r="AQ230" s="39"/>
      <c r="AR230" s="39"/>
      <c r="AS230" s="39"/>
      <c r="AT230" s="39"/>
      <c r="AU230" s="39"/>
      <c r="AV230" s="123"/>
      <c r="AW230" s="124"/>
      <c r="AX230" s="76"/>
      <c r="AY230" s="76"/>
      <c r="AZ230" s="76"/>
      <c r="BA230" s="125"/>
      <c r="BB230" s="125"/>
      <c r="BC230" s="125"/>
      <c r="BD230" s="125"/>
      <c r="BE230" s="125"/>
      <c r="BF230" s="125"/>
      <c r="BG230" s="125"/>
      <c r="BH230" s="125"/>
      <c r="BI230" s="125"/>
      <c r="BJ230" s="41"/>
      <c r="BK230" s="69"/>
      <c r="BL230" s="39"/>
      <c r="BM230" s="39"/>
      <c r="BN230" s="39"/>
      <c r="BO230" s="39"/>
      <c r="BP230" s="39"/>
      <c r="BQ230" s="39"/>
      <c r="BR230" s="39"/>
      <c r="BS230" s="39"/>
      <c r="BT230" s="39"/>
      <c r="BU230" s="39"/>
      <c r="BV230" s="39"/>
      <c r="BW230" s="39"/>
      <c r="BX230" s="39"/>
      <c r="BY230" s="39"/>
    </row>
    <row r="231" spans="1:77" s="37" customFormat="1">
      <c r="A231" s="39"/>
      <c r="B231" s="42"/>
      <c r="C231" s="685"/>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c r="AK231" s="39"/>
      <c r="AL231" s="39"/>
      <c r="AM231" s="39"/>
      <c r="AN231" s="39"/>
      <c r="AO231" s="39"/>
      <c r="AP231" s="39"/>
      <c r="AQ231" s="39"/>
      <c r="AR231" s="39"/>
      <c r="AS231" s="39"/>
      <c r="AT231" s="39"/>
      <c r="AU231" s="39"/>
      <c r="AV231" s="123"/>
      <c r="AW231" s="124"/>
      <c r="AX231" s="76"/>
      <c r="AY231" s="76"/>
      <c r="AZ231" s="76"/>
      <c r="BA231" s="125"/>
      <c r="BB231" s="125"/>
      <c r="BC231" s="125"/>
      <c r="BD231" s="125"/>
      <c r="BE231" s="125"/>
      <c r="BF231" s="125"/>
      <c r="BG231" s="125"/>
      <c r="BH231" s="125"/>
      <c r="BI231" s="125"/>
      <c r="BJ231" s="41"/>
      <c r="BK231" s="69"/>
      <c r="BL231" s="39"/>
      <c r="BM231" s="39"/>
      <c r="BN231" s="39"/>
      <c r="BO231" s="39"/>
      <c r="BP231" s="39"/>
      <c r="BQ231" s="39"/>
      <c r="BR231" s="39"/>
      <c r="BS231" s="39"/>
      <c r="BT231" s="39"/>
      <c r="BU231" s="39"/>
      <c r="BV231" s="39"/>
      <c r="BW231" s="39"/>
      <c r="BX231" s="39"/>
      <c r="BY231" s="39"/>
    </row>
    <row r="232" spans="1:77" s="37" customFormat="1">
      <c r="A232" s="39"/>
      <c r="B232" s="42"/>
      <c r="C232" s="685"/>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c r="AB232" s="39"/>
      <c r="AC232" s="39"/>
      <c r="AD232" s="39"/>
      <c r="AE232" s="39"/>
      <c r="AF232" s="39"/>
      <c r="AG232" s="39"/>
      <c r="AH232" s="39"/>
      <c r="AI232" s="39"/>
      <c r="AJ232" s="39"/>
      <c r="AK232" s="39"/>
      <c r="AL232" s="39"/>
      <c r="AM232" s="39"/>
      <c r="AN232" s="39"/>
      <c r="AO232" s="39"/>
      <c r="AP232" s="39"/>
      <c r="AQ232" s="39"/>
      <c r="AR232" s="39"/>
      <c r="AS232" s="39"/>
      <c r="AT232" s="39"/>
      <c r="AU232" s="39"/>
      <c r="AV232" s="123"/>
      <c r="AW232" s="124"/>
      <c r="AX232" s="76"/>
      <c r="AY232" s="76"/>
      <c r="AZ232" s="76"/>
      <c r="BA232" s="125"/>
      <c r="BB232" s="125"/>
      <c r="BC232" s="125"/>
      <c r="BD232" s="125"/>
      <c r="BE232" s="125"/>
      <c r="BF232" s="125"/>
      <c r="BG232" s="125"/>
      <c r="BH232" s="125"/>
      <c r="BI232" s="125"/>
      <c r="BJ232" s="41"/>
      <c r="BK232" s="69"/>
      <c r="BL232" s="39"/>
      <c r="BM232" s="39"/>
      <c r="BN232" s="39"/>
      <c r="BO232" s="39"/>
      <c r="BP232" s="39"/>
      <c r="BQ232" s="39"/>
      <c r="BR232" s="39"/>
      <c r="BS232" s="39"/>
      <c r="BT232" s="39"/>
      <c r="BU232" s="39"/>
      <c r="BV232" s="39"/>
      <c r="BW232" s="39"/>
      <c r="BX232" s="39"/>
      <c r="BY232" s="39"/>
    </row>
    <row r="233" spans="1:77" s="37" customFormat="1">
      <c r="A233" s="39"/>
      <c r="B233" s="42"/>
      <c r="C233" s="685"/>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c r="AB233" s="39"/>
      <c r="AC233" s="39"/>
      <c r="AD233" s="39"/>
      <c r="AE233" s="39"/>
      <c r="AF233" s="39"/>
      <c r="AG233" s="39"/>
      <c r="AH233" s="39"/>
      <c r="AI233" s="39"/>
      <c r="AJ233" s="39"/>
      <c r="AK233" s="39"/>
      <c r="AL233" s="39"/>
      <c r="AM233" s="39"/>
      <c r="AN233" s="39"/>
      <c r="AO233" s="39"/>
      <c r="AP233" s="39"/>
      <c r="AQ233" s="39"/>
      <c r="AR233" s="39"/>
      <c r="AS233" s="39"/>
      <c r="AT233" s="39"/>
      <c r="AU233" s="39"/>
      <c r="AV233" s="123"/>
      <c r="AW233" s="124"/>
      <c r="AX233" s="76"/>
      <c r="AY233" s="76"/>
      <c r="AZ233" s="76"/>
      <c r="BA233" s="125"/>
      <c r="BB233" s="125"/>
      <c r="BC233" s="125"/>
      <c r="BD233" s="125"/>
      <c r="BE233" s="125"/>
      <c r="BF233" s="125"/>
      <c r="BG233" s="125"/>
      <c r="BH233" s="125"/>
      <c r="BI233" s="125"/>
      <c r="BJ233" s="41"/>
      <c r="BK233" s="69"/>
      <c r="BL233" s="39"/>
      <c r="BM233" s="39"/>
      <c r="BN233" s="39"/>
      <c r="BO233" s="39"/>
      <c r="BP233" s="39"/>
      <c r="BQ233" s="39"/>
      <c r="BR233" s="39"/>
      <c r="BS233" s="39"/>
      <c r="BT233" s="39"/>
      <c r="BU233" s="39"/>
      <c r="BV233" s="39"/>
      <c r="BW233" s="39"/>
      <c r="BX233" s="39"/>
      <c r="BY233" s="39"/>
    </row>
    <row r="234" spans="1:77" s="37" customFormat="1">
      <c r="A234" s="39"/>
      <c r="B234" s="42"/>
      <c r="C234" s="685"/>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c r="AB234" s="39"/>
      <c r="AC234" s="39"/>
      <c r="AD234" s="39"/>
      <c r="AE234" s="39"/>
      <c r="AF234" s="39"/>
      <c r="AG234" s="39"/>
      <c r="AH234" s="39"/>
      <c r="AI234" s="39"/>
      <c r="AJ234" s="39"/>
      <c r="AK234" s="39"/>
      <c r="AL234" s="39"/>
      <c r="AM234" s="39"/>
      <c r="AN234" s="39"/>
      <c r="AO234" s="39"/>
      <c r="AP234" s="39"/>
      <c r="AQ234" s="39"/>
      <c r="AR234" s="39"/>
      <c r="AS234" s="39"/>
      <c r="AT234" s="39"/>
      <c r="AU234" s="39"/>
      <c r="AV234" s="123"/>
      <c r="AW234" s="124"/>
      <c r="AX234" s="76"/>
      <c r="AY234" s="76"/>
      <c r="AZ234" s="76"/>
      <c r="BA234" s="125"/>
      <c r="BB234" s="125"/>
      <c r="BC234" s="125"/>
      <c r="BD234" s="125"/>
      <c r="BE234" s="125"/>
      <c r="BF234" s="125"/>
      <c r="BG234" s="125"/>
      <c r="BH234" s="125"/>
      <c r="BI234" s="125"/>
      <c r="BJ234" s="41"/>
      <c r="BK234" s="69"/>
      <c r="BL234" s="39"/>
      <c r="BM234" s="39"/>
      <c r="BN234" s="39"/>
      <c r="BO234" s="39"/>
      <c r="BP234" s="39"/>
      <c r="BQ234" s="39"/>
      <c r="BR234" s="39"/>
      <c r="BS234" s="39"/>
      <c r="BT234" s="39"/>
      <c r="BU234" s="39"/>
      <c r="BV234" s="39"/>
      <c r="BW234" s="39"/>
      <c r="BX234" s="39"/>
      <c r="BY234" s="39"/>
    </row>
    <row r="235" spans="1:77" s="37" customFormat="1">
      <c r="A235" s="39"/>
      <c r="B235" s="42"/>
      <c r="C235" s="685"/>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c r="AJ235" s="39"/>
      <c r="AK235" s="39"/>
      <c r="AL235" s="39"/>
      <c r="AM235" s="39"/>
      <c r="AN235" s="39"/>
      <c r="AO235" s="39"/>
      <c r="AP235" s="39"/>
      <c r="AQ235" s="39"/>
      <c r="AR235" s="39"/>
      <c r="AS235" s="39"/>
      <c r="AT235" s="39"/>
      <c r="AU235" s="39"/>
      <c r="AV235" s="123"/>
      <c r="AW235" s="124"/>
      <c r="AX235" s="76"/>
      <c r="AY235" s="76"/>
      <c r="AZ235" s="76"/>
      <c r="BA235" s="125"/>
      <c r="BB235" s="125"/>
      <c r="BC235" s="125"/>
      <c r="BD235" s="125"/>
      <c r="BE235" s="125"/>
      <c r="BF235" s="125"/>
      <c r="BG235" s="125"/>
      <c r="BH235" s="125"/>
      <c r="BI235" s="125"/>
      <c r="BJ235" s="41"/>
      <c r="BK235" s="69"/>
      <c r="BL235" s="39"/>
      <c r="BM235" s="39"/>
      <c r="BN235" s="39"/>
      <c r="BO235" s="39"/>
      <c r="BP235" s="39"/>
      <c r="BQ235" s="39"/>
      <c r="BR235" s="39"/>
      <c r="BS235" s="39"/>
      <c r="BT235" s="39"/>
      <c r="BU235" s="39"/>
      <c r="BV235" s="39"/>
      <c r="BW235" s="39"/>
      <c r="BX235" s="39"/>
      <c r="BY235" s="39"/>
    </row>
    <row r="236" spans="1:77" s="37" customFormat="1">
      <c r="A236" s="39"/>
      <c r="B236" s="42"/>
      <c r="C236" s="685"/>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c r="AB236" s="39"/>
      <c r="AC236" s="39"/>
      <c r="AD236" s="39"/>
      <c r="AE236" s="39"/>
      <c r="AF236" s="39"/>
      <c r="AG236" s="39"/>
      <c r="AH236" s="39"/>
      <c r="AI236" s="39"/>
      <c r="AJ236" s="39"/>
      <c r="AK236" s="39"/>
      <c r="AL236" s="39"/>
      <c r="AM236" s="39"/>
      <c r="AN236" s="39"/>
      <c r="AO236" s="39"/>
      <c r="AP236" s="39"/>
      <c r="AQ236" s="39"/>
      <c r="AR236" s="39"/>
      <c r="AS236" s="39"/>
      <c r="AT236" s="39"/>
      <c r="AU236" s="39"/>
      <c r="AV236" s="123"/>
      <c r="AW236" s="124"/>
      <c r="AX236" s="76"/>
      <c r="AY236" s="76"/>
      <c r="AZ236" s="76"/>
      <c r="BA236" s="125"/>
      <c r="BB236" s="125"/>
      <c r="BC236" s="125"/>
      <c r="BD236" s="125"/>
      <c r="BE236" s="125"/>
      <c r="BF236" s="125"/>
      <c r="BG236" s="125"/>
      <c r="BH236" s="125"/>
      <c r="BI236" s="125"/>
      <c r="BJ236" s="41"/>
      <c r="BK236" s="69"/>
      <c r="BL236" s="39"/>
      <c r="BM236" s="39"/>
      <c r="BN236" s="39"/>
      <c r="BO236" s="39"/>
      <c r="BP236" s="39"/>
      <c r="BQ236" s="39"/>
      <c r="BR236" s="39"/>
      <c r="BS236" s="39"/>
      <c r="BT236" s="39"/>
      <c r="BU236" s="39"/>
      <c r="BV236" s="39"/>
      <c r="BW236" s="39"/>
      <c r="BX236" s="39"/>
      <c r="BY236" s="39"/>
    </row>
    <row r="237" spans="1:77" s="37" customFormat="1">
      <c r="A237" s="39"/>
      <c r="B237" s="42"/>
      <c r="C237" s="685"/>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c r="AB237" s="39"/>
      <c r="AC237" s="39"/>
      <c r="AD237" s="39"/>
      <c r="AE237" s="39"/>
      <c r="AF237" s="39"/>
      <c r="AG237" s="39"/>
      <c r="AH237" s="39"/>
      <c r="AI237" s="39"/>
      <c r="AJ237" s="39"/>
      <c r="AK237" s="39"/>
      <c r="AL237" s="39"/>
      <c r="AM237" s="39"/>
      <c r="AN237" s="39"/>
      <c r="AO237" s="39"/>
      <c r="AP237" s="39"/>
      <c r="AQ237" s="39"/>
      <c r="AR237" s="39"/>
      <c r="AS237" s="39"/>
      <c r="AT237" s="39"/>
      <c r="AU237" s="39"/>
      <c r="AV237" s="123"/>
      <c r="AW237" s="124"/>
      <c r="AX237" s="76"/>
      <c r="AY237" s="76"/>
      <c r="AZ237" s="76"/>
      <c r="BA237" s="125"/>
      <c r="BB237" s="125"/>
      <c r="BC237" s="125"/>
      <c r="BD237" s="125"/>
      <c r="BE237" s="125"/>
      <c r="BF237" s="125"/>
      <c r="BG237" s="125"/>
      <c r="BH237" s="125"/>
      <c r="BI237" s="125"/>
      <c r="BJ237" s="41"/>
      <c r="BK237" s="69"/>
      <c r="BL237" s="39"/>
      <c r="BM237" s="39"/>
      <c r="BN237" s="39"/>
      <c r="BO237" s="39"/>
      <c r="BP237" s="39"/>
      <c r="BQ237" s="39"/>
      <c r="BR237" s="39"/>
      <c r="BS237" s="39"/>
      <c r="BT237" s="39"/>
      <c r="BU237" s="39"/>
      <c r="BV237" s="39"/>
      <c r="BW237" s="39"/>
      <c r="BX237" s="39"/>
      <c r="BY237" s="39"/>
    </row>
    <row r="238" spans="1:77" s="37" customFormat="1">
      <c r="A238" s="39"/>
      <c r="B238" s="42"/>
      <c r="C238" s="685"/>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c r="AB238" s="39"/>
      <c r="AC238" s="39"/>
      <c r="AD238" s="39"/>
      <c r="AE238" s="39"/>
      <c r="AF238" s="39"/>
      <c r="AG238" s="39"/>
      <c r="AH238" s="39"/>
      <c r="AI238" s="39"/>
      <c r="AJ238" s="39"/>
      <c r="AK238" s="39"/>
      <c r="AL238" s="39"/>
      <c r="AM238" s="39"/>
      <c r="AN238" s="39"/>
      <c r="AO238" s="39"/>
      <c r="AP238" s="39"/>
      <c r="AQ238" s="39"/>
      <c r="AR238" s="39"/>
      <c r="AS238" s="39"/>
      <c r="AT238" s="39"/>
      <c r="AU238" s="39"/>
      <c r="AV238" s="123"/>
      <c r="AW238" s="124"/>
      <c r="AX238" s="76"/>
      <c r="AY238" s="76"/>
      <c r="AZ238" s="76"/>
      <c r="BA238" s="125"/>
      <c r="BB238" s="125"/>
      <c r="BC238" s="125"/>
      <c r="BD238" s="125"/>
      <c r="BE238" s="125"/>
      <c r="BF238" s="125"/>
      <c r="BG238" s="125"/>
      <c r="BH238" s="125"/>
      <c r="BI238" s="125"/>
      <c r="BJ238" s="41"/>
      <c r="BK238" s="69"/>
      <c r="BL238" s="39"/>
      <c r="BM238" s="39"/>
      <c r="BN238" s="39"/>
      <c r="BO238" s="39"/>
      <c r="BP238" s="39"/>
      <c r="BQ238" s="39"/>
      <c r="BR238" s="39"/>
      <c r="BS238" s="39"/>
      <c r="BT238" s="39"/>
      <c r="BU238" s="39"/>
      <c r="BV238" s="39"/>
      <c r="BW238" s="39"/>
      <c r="BX238" s="39"/>
      <c r="BY238" s="39"/>
    </row>
    <row r="239" spans="1:77" s="37" customFormat="1">
      <c r="A239" s="39"/>
      <c r="B239" s="42"/>
      <c r="C239" s="685"/>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c r="AB239" s="39"/>
      <c r="AC239" s="39"/>
      <c r="AD239" s="39"/>
      <c r="AE239" s="39"/>
      <c r="AF239" s="39"/>
      <c r="AG239" s="39"/>
      <c r="AH239" s="39"/>
      <c r="AI239" s="39"/>
      <c r="AJ239" s="39"/>
      <c r="AK239" s="39"/>
      <c r="AL239" s="39"/>
      <c r="AM239" s="39"/>
      <c r="AN239" s="39"/>
      <c r="AO239" s="39"/>
      <c r="AP239" s="39"/>
      <c r="AQ239" s="39"/>
      <c r="AR239" s="39"/>
      <c r="AS239" s="39"/>
      <c r="AT239" s="39"/>
      <c r="AU239" s="39"/>
      <c r="AV239" s="123"/>
      <c r="AW239" s="124"/>
      <c r="AX239" s="76"/>
      <c r="AY239" s="76"/>
      <c r="AZ239" s="76"/>
      <c r="BA239" s="125"/>
      <c r="BB239" s="125"/>
      <c r="BC239" s="125"/>
      <c r="BD239" s="125"/>
      <c r="BE239" s="125"/>
      <c r="BF239" s="125"/>
      <c r="BG239" s="125"/>
      <c r="BH239" s="125"/>
      <c r="BI239" s="125"/>
      <c r="BJ239" s="41"/>
      <c r="BK239" s="69"/>
      <c r="BL239" s="39"/>
      <c r="BM239" s="39"/>
      <c r="BN239" s="39"/>
      <c r="BO239" s="39"/>
      <c r="BP239" s="39"/>
      <c r="BQ239" s="39"/>
      <c r="BR239" s="39"/>
      <c r="BS239" s="39"/>
      <c r="BT239" s="39"/>
      <c r="BU239" s="39"/>
      <c r="BV239" s="39"/>
      <c r="BW239" s="39"/>
      <c r="BX239" s="39"/>
      <c r="BY239" s="39"/>
    </row>
    <row r="240" spans="1:77" s="37" customFormat="1">
      <c r="A240" s="39"/>
      <c r="B240" s="42"/>
      <c r="C240" s="685"/>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c r="AB240" s="39"/>
      <c r="AC240" s="39"/>
      <c r="AD240" s="39"/>
      <c r="AE240" s="39"/>
      <c r="AF240" s="39"/>
      <c r="AG240" s="39"/>
      <c r="AH240" s="39"/>
      <c r="AI240" s="39"/>
      <c r="AJ240" s="39"/>
      <c r="AK240" s="39"/>
      <c r="AL240" s="39"/>
      <c r="AM240" s="39"/>
      <c r="AN240" s="39"/>
      <c r="AO240" s="39"/>
      <c r="AP240" s="39"/>
      <c r="AQ240" s="39"/>
      <c r="AR240" s="39"/>
      <c r="AS240" s="39"/>
      <c r="AT240" s="39"/>
      <c r="AU240" s="39"/>
      <c r="AV240" s="123"/>
      <c r="AW240" s="124"/>
      <c r="AX240" s="76"/>
      <c r="AY240" s="76"/>
      <c r="AZ240" s="76"/>
      <c r="BA240" s="125"/>
      <c r="BB240" s="125"/>
      <c r="BC240" s="125"/>
      <c r="BD240" s="125"/>
      <c r="BE240" s="125"/>
      <c r="BF240" s="125"/>
      <c r="BG240" s="125"/>
      <c r="BH240" s="125"/>
      <c r="BI240" s="125"/>
      <c r="BJ240" s="41"/>
      <c r="BK240" s="69"/>
      <c r="BL240" s="39"/>
      <c r="BM240" s="39"/>
      <c r="BN240" s="39"/>
      <c r="BO240" s="39"/>
      <c r="BP240" s="39"/>
      <c r="BQ240" s="39"/>
      <c r="BR240" s="39"/>
      <c r="BS240" s="39"/>
      <c r="BT240" s="39"/>
      <c r="BU240" s="39"/>
      <c r="BV240" s="39"/>
      <c r="BW240" s="39"/>
      <c r="BX240" s="39"/>
      <c r="BY240" s="39"/>
    </row>
    <row r="241" spans="1:77" s="37" customFormat="1">
      <c r="A241" s="39"/>
      <c r="B241" s="42"/>
      <c r="C241" s="685"/>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c r="AK241" s="39"/>
      <c r="AL241" s="39"/>
      <c r="AM241" s="39"/>
      <c r="AN241" s="39"/>
      <c r="AO241" s="39"/>
      <c r="AP241" s="39"/>
      <c r="AQ241" s="39"/>
      <c r="AR241" s="39"/>
      <c r="AS241" s="39"/>
      <c r="AT241" s="39"/>
      <c r="AU241" s="39"/>
      <c r="AV241" s="123"/>
      <c r="AW241" s="124"/>
      <c r="AX241" s="76"/>
      <c r="AY241" s="76"/>
      <c r="AZ241" s="76"/>
      <c r="BA241" s="125"/>
      <c r="BB241" s="125"/>
      <c r="BC241" s="125"/>
      <c r="BD241" s="125"/>
      <c r="BE241" s="125"/>
      <c r="BF241" s="125"/>
      <c r="BG241" s="125"/>
      <c r="BH241" s="125"/>
      <c r="BI241" s="125"/>
      <c r="BJ241" s="41"/>
      <c r="BK241" s="69"/>
      <c r="BL241" s="39"/>
      <c r="BM241" s="39"/>
      <c r="BN241" s="39"/>
      <c r="BO241" s="39"/>
      <c r="BP241" s="39"/>
      <c r="BQ241" s="39"/>
      <c r="BR241" s="39"/>
      <c r="BS241" s="39"/>
      <c r="BT241" s="39"/>
      <c r="BU241" s="39"/>
      <c r="BV241" s="39"/>
      <c r="BW241" s="39"/>
      <c r="BX241" s="39"/>
      <c r="BY241" s="39"/>
    </row>
    <row r="242" spans="1:77" s="37" customFormat="1">
      <c r="A242" s="39"/>
      <c r="B242" s="42"/>
      <c r="C242" s="685"/>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c r="AB242" s="39"/>
      <c r="AC242" s="39"/>
      <c r="AD242" s="39"/>
      <c r="AE242" s="39"/>
      <c r="AF242" s="39"/>
      <c r="AG242" s="39"/>
      <c r="AH242" s="39"/>
      <c r="AI242" s="39"/>
      <c r="AJ242" s="39"/>
      <c r="AK242" s="39"/>
      <c r="AL242" s="39"/>
      <c r="AM242" s="39"/>
      <c r="AN242" s="39"/>
      <c r="AO242" s="39"/>
      <c r="AP242" s="39"/>
      <c r="AQ242" s="39"/>
      <c r="AR242" s="39"/>
      <c r="AS242" s="39"/>
      <c r="AT242" s="39"/>
      <c r="AU242" s="39"/>
      <c r="AV242" s="123"/>
      <c r="AW242" s="124"/>
      <c r="AX242" s="76"/>
      <c r="AY242" s="76"/>
      <c r="AZ242" s="76"/>
      <c r="BA242" s="125"/>
      <c r="BB242" s="125"/>
      <c r="BC242" s="125"/>
      <c r="BD242" s="125"/>
      <c r="BE242" s="125"/>
      <c r="BF242" s="125"/>
      <c r="BG242" s="125"/>
      <c r="BH242" s="125"/>
      <c r="BI242" s="125"/>
      <c r="BJ242" s="41"/>
      <c r="BK242" s="69"/>
      <c r="BL242" s="39"/>
      <c r="BM242" s="39"/>
      <c r="BN242" s="39"/>
      <c r="BO242" s="39"/>
      <c r="BP242" s="39"/>
      <c r="BQ242" s="39"/>
      <c r="BR242" s="39"/>
      <c r="BS242" s="39"/>
      <c r="BT242" s="39"/>
      <c r="BU242" s="39"/>
      <c r="BV242" s="39"/>
      <c r="BW242" s="39"/>
      <c r="BX242" s="39"/>
      <c r="BY242" s="39"/>
    </row>
    <row r="243" spans="1:77" s="37" customFormat="1">
      <c r="A243" s="39"/>
      <c r="B243" s="42"/>
      <c r="C243" s="685"/>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c r="AB243" s="39"/>
      <c r="AC243" s="39"/>
      <c r="AD243" s="39"/>
      <c r="AE243" s="39"/>
      <c r="AF243" s="39"/>
      <c r="AG243" s="39"/>
      <c r="AH243" s="39"/>
      <c r="AI243" s="39"/>
      <c r="AJ243" s="39"/>
      <c r="AK243" s="39"/>
      <c r="AL243" s="39"/>
      <c r="AM243" s="39"/>
      <c r="AN243" s="39"/>
      <c r="AO243" s="39"/>
      <c r="AP243" s="39"/>
      <c r="AQ243" s="39"/>
      <c r="AR243" s="39"/>
      <c r="AS243" s="39"/>
      <c r="AT243" s="39"/>
      <c r="AU243" s="39"/>
      <c r="AV243" s="123"/>
      <c r="AW243" s="124"/>
      <c r="AX243" s="76"/>
      <c r="AY243" s="76"/>
      <c r="AZ243" s="76"/>
      <c r="BA243" s="125"/>
      <c r="BB243" s="125"/>
      <c r="BC243" s="125"/>
      <c r="BD243" s="125"/>
      <c r="BE243" s="125"/>
      <c r="BF243" s="125"/>
      <c r="BG243" s="125"/>
      <c r="BH243" s="125"/>
      <c r="BI243" s="125"/>
      <c r="BJ243" s="41"/>
      <c r="BK243" s="69"/>
      <c r="BL243" s="39"/>
      <c r="BM243" s="39"/>
      <c r="BN243" s="39"/>
      <c r="BO243" s="39"/>
      <c r="BP243" s="39"/>
      <c r="BQ243" s="39"/>
      <c r="BR243" s="39"/>
      <c r="BS243" s="39"/>
      <c r="BT243" s="39"/>
      <c r="BU243" s="39"/>
      <c r="BV243" s="39"/>
      <c r="BW243" s="39"/>
      <c r="BX243" s="39"/>
      <c r="BY243" s="39"/>
    </row>
    <row r="244" spans="1:77" s="37" customFormat="1">
      <c r="A244" s="39"/>
      <c r="B244" s="42"/>
      <c r="C244" s="685"/>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c r="AB244" s="39"/>
      <c r="AC244" s="39"/>
      <c r="AD244" s="39"/>
      <c r="AE244" s="39"/>
      <c r="AF244" s="39"/>
      <c r="AG244" s="39"/>
      <c r="AH244" s="39"/>
      <c r="AI244" s="39"/>
      <c r="AJ244" s="39"/>
      <c r="AK244" s="39"/>
      <c r="AL244" s="39"/>
      <c r="AM244" s="39"/>
      <c r="AN244" s="39"/>
      <c r="AO244" s="39"/>
      <c r="AP244" s="39"/>
      <c r="AQ244" s="39"/>
      <c r="AR244" s="39"/>
      <c r="AS244" s="39"/>
      <c r="AT244" s="39"/>
      <c r="AU244" s="39"/>
      <c r="AV244" s="123"/>
      <c r="AW244" s="124"/>
      <c r="AX244" s="76"/>
      <c r="AY244" s="76"/>
      <c r="AZ244" s="76"/>
      <c r="BA244" s="125"/>
      <c r="BB244" s="125"/>
      <c r="BC244" s="125"/>
      <c r="BD244" s="125"/>
      <c r="BE244" s="125"/>
      <c r="BF244" s="125"/>
      <c r="BG244" s="125"/>
      <c r="BH244" s="125"/>
      <c r="BI244" s="125"/>
      <c r="BJ244" s="41"/>
      <c r="BK244" s="69"/>
      <c r="BL244" s="39"/>
      <c r="BM244" s="39"/>
      <c r="BN244" s="39"/>
      <c r="BO244" s="39"/>
      <c r="BP244" s="39"/>
      <c r="BQ244" s="39"/>
      <c r="BR244" s="39"/>
      <c r="BS244" s="39"/>
      <c r="BT244" s="39"/>
      <c r="BU244" s="39"/>
      <c r="BV244" s="39"/>
      <c r="BW244" s="39"/>
      <c r="BX244" s="39"/>
      <c r="BY244" s="39"/>
    </row>
    <row r="245" spans="1:77" s="37" customFormat="1">
      <c r="A245" s="39"/>
      <c r="B245" s="42"/>
      <c r="C245" s="685"/>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c r="AB245" s="39"/>
      <c r="AC245" s="39"/>
      <c r="AD245" s="39"/>
      <c r="AE245" s="39"/>
      <c r="AF245" s="39"/>
      <c r="AG245" s="39"/>
      <c r="AH245" s="39"/>
      <c r="AI245" s="39"/>
      <c r="AJ245" s="39"/>
      <c r="AK245" s="39"/>
      <c r="AL245" s="39"/>
      <c r="AM245" s="39"/>
      <c r="AN245" s="39"/>
      <c r="AO245" s="39"/>
      <c r="AP245" s="39"/>
      <c r="AQ245" s="39"/>
      <c r="AR245" s="39"/>
      <c r="AS245" s="39"/>
      <c r="AT245" s="39"/>
      <c r="AU245" s="39"/>
      <c r="AV245" s="123"/>
      <c r="AW245" s="124"/>
      <c r="AX245" s="76"/>
      <c r="AY245" s="76"/>
      <c r="AZ245" s="76"/>
      <c r="BA245" s="125"/>
      <c r="BB245" s="125"/>
      <c r="BC245" s="125"/>
      <c r="BD245" s="125"/>
      <c r="BE245" s="125"/>
      <c r="BF245" s="125"/>
      <c r="BG245" s="125"/>
      <c r="BH245" s="125"/>
      <c r="BI245" s="125"/>
      <c r="BJ245" s="41"/>
      <c r="BK245" s="69"/>
      <c r="BL245" s="39"/>
      <c r="BM245" s="39"/>
      <c r="BN245" s="39"/>
      <c r="BO245" s="39"/>
      <c r="BP245" s="39"/>
      <c r="BQ245" s="39"/>
      <c r="BR245" s="39"/>
      <c r="BS245" s="39"/>
      <c r="BT245" s="39"/>
      <c r="BU245" s="39"/>
      <c r="BV245" s="39"/>
      <c r="BW245" s="39"/>
      <c r="BX245" s="39"/>
      <c r="BY245" s="39"/>
    </row>
    <row r="246" spans="1:77" s="37" customFormat="1">
      <c r="A246" s="39"/>
      <c r="B246" s="42"/>
      <c r="C246" s="685"/>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c r="AB246" s="39"/>
      <c r="AC246" s="39"/>
      <c r="AD246" s="39"/>
      <c r="AE246" s="39"/>
      <c r="AF246" s="39"/>
      <c r="AG246" s="39"/>
      <c r="AH246" s="39"/>
      <c r="AI246" s="39"/>
      <c r="AJ246" s="39"/>
      <c r="AK246" s="39"/>
      <c r="AL246" s="39"/>
      <c r="AM246" s="39"/>
      <c r="AN246" s="39"/>
      <c r="AO246" s="39"/>
      <c r="AP246" s="39"/>
      <c r="AQ246" s="39"/>
      <c r="AR246" s="39"/>
      <c r="AS246" s="39"/>
      <c r="AT246" s="39"/>
      <c r="AU246" s="39"/>
      <c r="AV246" s="123"/>
      <c r="AW246" s="124"/>
      <c r="AX246" s="76"/>
      <c r="AY246" s="76"/>
      <c r="AZ246" s="76"/>
      <c r="BA246" s="125"/>
      <c r="BB246" s="125"/>
      <c r="BC246" s="125"/>
      <c r="BD246" s="125"/>
      <c r="BE246" s="125"/>
      <c r="BF246" s="125"/>
      <c r="BG246" s="125"/>
      <c r="BH246" s="125"/>
      <c r="BI246" s="125"/>
      <c r="BJ246" s="41"/>
      <c r="BK246" s="69"/>
      <c r="BL246" s="39"/>
      <c r="BM246" s="39"/>
      <c r="BN246" s="39"/>
      <c r="BO246" s="39"/>
      <c r="BP246" s="39"/>
      <c r="BQ246" s="39"/>
      <c r="BR246" s="39"/>
      <c r="BS246" s="39"/>
      <c r="BT246" s="39"/>
      <c r="BU246" s="39"/>
      <c r="BV246" s="39"/>
      <c r="BW246" s="39"/>
      <c r="BX246" s="39"/>
      <c r="BY246" s="39"/>
    </row>
    <row r="247" spans="1:77" s="37" customFormat="1">
      <c r="A247" s="39"/>
      <c r="B247" s="42"/>
      <c r="C247" s="685"/>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c r="AK247" s="39"/>
      <c r="AL247" s="39"/>
      <c r="AM247" s="39"/>
      <c r="AN247" s="39"/>
      <c r="AO247" s="39"/>
      <c r="AP247" s="39"/>
      <c r="AQ247" s="39"/>
      <c r="AR247" s="39"/>
      <c r="AS247" s="39"/>
      <c r="AT247" s="39"/>
      <c r="AU247" s="39"/>
      <c r="AV247" s="123"/>
      <c r="AW247" s="124"/>
      <c r="AX247" s="76"/>
      <c r="AY247" s="76"/>
      <c r="AZ247" s="76"/>
      <c r="BA247" s="125"/>
      <c r="BB247" s="125"/>
      <c r="BC247" s="125"/>
      <c r="BD247" s="125"/>
      <c r="BE247" s="125"/>
      <c r="BF247" s="125"/>
      <c r="BG247" s="125"/>
      <c r="BH247" s="125"/>
      <c r="BI247" s="125"/>
      <c r="BJ247" s="41"/>
      <c r="BK247" s="69"/>
      <c r="BL247" s="39"/>
      <c r="BM247" s="39"/>
      <c r="BN247" s="39"/>
      <c r="BO247" s="39"/>
      <c r="BP247" s="39"/>
      <c r="BQ247" s="39"/>
      <c r="BR247" s="39"/>
      <c r="BS247" s="39"/>
      <c r="BT247" s="39"/>
      <c r="BU247" s="39"/>
      <c r="BV247" s="39"/>
      <c r="BW247" s="39"/>
      <c r="BX247" s="39"/>
      <c r="BY247" s="39"/>
    </row>
    <row r="248" spans="1:77" s="37" customFormat="1">
      <c r="A248" s="39"/>
      <c r="B248" s="42"/>
      <c r="C248" s="685"/>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c r="AB248" s="39"/>
      <c r="AC248" s="39"/>
      <c r="AD248" s="39"/>
      <c r="AE248" s="39"/>
      <c r="AF248" s="39"/>
      <c r="AG248" s="39"/>
      <c r="AH248" s="39"/>
      <c r="AI248" s="39"/>
      <c r="AJ248" s="39"/>
      <c r="AK248" s="39"/>
      <c r="AL248" s="39"/>
      <c r="AM248" s="39"/>
      <c r="AN248" s="39"/>
      <c r="AO248" s="39"/>
      <c r="AP248" s="39"/>
      <c r="AQ248" s="39"/>
      <c r="AR248" s="39"/>
      <c r="AS248" s="39"/>
      <c r="AT248" s="39"/>
      <c r="AU248" s="39"/>
      <c r="AV248" s="123"/>
      <c r="AW248" s="124"/>
      <c r="AX248" s="76"/>
      <c r="AY248" s="76"/>
      <c r="AZ248" s="76"/>
      <c r="BA248" s="125"/>
      <c r="BB248" s="125"/>
      <c r="BC248" s="125"/>
      <c r="BD248" s="125"/>
      <c r="BE248" s="125"/>
      <c r="BF248" s="125"/>
      <c r="BG248" s="125"/>
      <c r="BH248" s="125"/>
      <c r="BI248" s="125"/>
      <c r="BJ248" s="41"/>
      <c r="BK248" s="69"/>
      <c r="BL248" s="39"/>
      <c r="BM248" s="39"/>
      <c r="BN248" s="39"/>
      <c r="BO248" s="39"/>
      <c r="BP248" s="39"/>
      <c r="BQ248" s="39"/>
      <c r="BR248" s="39"/>
      <c r="BS248" s="39"/>
      <c r="BT248" s="39"/>
      <c r="BU248" s="39"/>
      <c r="BV248" s="39"/>
      <c r="BW248" s="39"/>
      <c r="BX248" s="39"/>
      <c r="BY248" s="39"/>
    </row>
    <row r="249" spans="1:77" s="37" customFormat="1">
      <c r="A249" s="39"/>
      <c r="B249" s="42"/>
      <c r="C249" s="685"/>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c r="AB249" s="39"/>
      <c r="AC249" s="39"/>
      <c r="AD249" s="39"/>
      <c r="AE249" s="39"/>
      <c r="AF249" s="39"/>
      <c r="AG249" s="39"/>
      <c r="AH249" s="39"/>
      <c r="AI249" s="39"/>
      <c r="AJ249" s="39"/>
      <c r="AK249" s="39"/>
      <c r="AL249" s="39"/>
      <c r="AM249" s="39"/>
      <c r="AN249" s="39"/>
      <c r="AO249" s="39"/>
      <c r="AP249" s="39"/>
      <c r="AQ249" s="39"/>
      <c r="AR249" s="39"/>
      <c r="AS249" s="39"/>
      <c r="AT249" s="39"/>
      <c r="AU249" s="39"/>
      <c r="AV249" s="123"/>
      <c r="AW249" s="124"/>
      <c r="AX249" s="76"/>
      <c r="AY249" s="76"/>
      <c r="AZ249" s="76"/>
      <c r="BA249" s="125"/>
      <c r="BB249" s="125"/>
      <c r="BC249" s="125"/>
      <c r="BD249" s="125"/>
      <c r="BE249" s="125"/>
      <c r="BF249" s="125"/>
      <c r="BG249" s="125"/>
      <c r="BH249" s="125"/>
      <c r="BI249" s="125"/>
      <c r="BJ249" s="41"/>
      <c r="BK249" s="69"/>
      <c r="BL249" s="39"/>
      <c r="BM249" s="39"/>
      <c r="BN249" s="39"/>
      <c r="BO249" s="39"/>
      <c r="BP249" s="39"/>
      <c r="BQ249" s="39"/>
      <c r="BR249" s="39"/>
      <c r="BS249" s="39"/>
      <c r="BT249" s="39"/>
      <c r="BU249" s="39"/>
      <c r="BV249" s="39"/>
      <c r="BW249" s="39"/>
      <c r="BX249" s="39"/>
      <c r="BY249" s="39"/>
    </row>
    <row r="250" spans="1:77" s="37" customFormat="1">
      <c r="A250" s="39"/>
      <c r="B250" s="42"/>
      <c r="C250" s="685"/>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c r="AB250" s="39"/>
      <c r="AC250" s="39"/>
      <c r="AD250" s="39"/>
      <c r="AE250" s="39"/>
      <c r="AF250" s="39"/>
      <c r="AG250" s="39"/>
      <c r="AH250" s="39"/>
      <c r="AI250" s="39"/>
      <c r="AJ250" s="39"/>
      <c r="AK250" s="39"/>
      <c r="AL250" s="39"/>
      <c r="AM250" s="39"/>
      <c r="AN250" s="39"/>
      <c r="AO250" s="39"/>
      <c r="AP250" s="39"/>
      <c r="AQ250" s="39"/>
      <c r="AR250" s="39"/>
      <c r="AS250" s="39"/>
      <c r="AT250" s="39"/>
      <c r="AU250" s="39"/>
      <c r="AV250" s="123"/>
      <c r="AW250" s="124"/>
      <c r="AX250" s="76"/>
      <c r="AY250" s="76"/>
      <c r="AZ250" s="76"/>
      <c r="BA250" s="125"/>
      <c r="BB250" s="125"/>
      <c r="BC250" s="125"/>
      <c r="BD250" s="125"/>
      <c r="BE250" s="125"/>
      <c r="BF250" s="125"/>
      <c r="BG250" s="125"/>
      <c r="BH250" s="125"/>
      <c r="BI250" s="125"/>
      <c r="BJ250" s="41"/>
      <c r="BK250" s="69"/>
      <c r="BL250" s="39"/>
      <c r="BM250" s="39"/>
      <c r="BN250" s="39"/>
      <c r="BO250" s="39"/>
      <c r="BP250" s="39"/>
      <c r="BQ250" s="39"/>
      <c r="BR250" s="39"/>
      <c r="BS250" s="39"/>
      <c r="BT250" s="39"/>
      <c r="BU250" s="39"/>
      <c r="BV250" s="39"/>
      <c r="BW250" s="39"/>
      <c r="BX250" s="39"/>
      <c r="BY250" s="39"/>
    </row>
    <row r="251" spans="1:77" s="37" customFormat="1">
      <c r="A251" s="39"/>
      <c r="B251" s="42"/>
      <c r="C251" s="685"/>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c r="AB251" s="39"/>
      <c r="AC251" s="39"/>
      <c r="AD251" s="39"/>
      <c r="AE251" s="39"/>
      <c r="AF251" s="39"/>
      <c r="AG251" s="39"/>
      <c r="AH251" s="39"/>
      <c r="AI251" s="39"/>
      <c r="AJ251" s="39"/>
      <c r="AK251" s="39"/>
      <c r="AL251" s="39"/>
      <c r="AM251" s="39"/>
      <c r="AN251" s="39"/>
      <c r="AO251" s="39"/>
      <c r="AP251" s="39"/>
      <c r="AQ251" s="39"/>
      <c r="AR251" s="39"/>
      <c r="AS251" s="39"/>
      <c r="AT251" s="39"/>
      <c r="AU251" s="39"/>
      <c r="AV251" s="123"/>
      <c r="AW251" s="124"/>
      <c r="AX251" s="76"/>
      <c r="AY251" s="76"/>
      <c r="AZ251" s="76"/>
      <c r="BA251" s="125"/>
      <c r="BB251" s="125"/>
      <c r="BC251" s="125"/>
      <c r="BD251" s="125"/>
      <c r="BE251" s="125"/>
      <c r="BF251" s="125"/>
      <c r="BG251" s="125"/>
      <c r="BH251" s="125"/>
      <c r="BI251" s="125"/>
      <c r="BJ251" s="41"/>
      <c r="BK251" s="69"/>
      <c r="BL251" s="39"/>
      <c r="BM251" s="39"/>
      <c r="BN251" s="39"/>
      <c r="BO251" s="39"/>
      <c r="BP251" s="39"/>
      <c r="BQ251" s="39"/>
      <c r="BR251" s="39"/>
      <c r="BS251" s="39"/>
      <c r="BT251" s="39"/>
      <c r="BU251" s="39"/>
      <c r="BV251" s="39"/>
      <c r="BW251" s="39"/>
      <c r="BX251" s="39"/>
      <c r="BY251" s="39"/>
    </row>
    <row r="252" spans="1:77" s="37" customFormat="1">
      <c r="A252" s="39"/>
      <c r="B252" s="42"/>
      <c r="C252" s="685"/>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c r="AB252" s="39"/>
      <c r="AC252" s="39"/>
      <c r="AD252" s="39"/>
      <c r="AE252" s="39"/>
      <c r="AF252" s="39"/>
      <c r="AG252" s="39"/>
      <c r="AH252" s="39"/>
      <c r="AI252" s="39"/>
      <c r="AJ252" s="39"/>
      <c r="AK252" s="39"/>
      <c r="AL252" s="39"/>
      <c r="AM252" s="39"/>
      <c r="AN252" s="39"/>
      <c r="AO252" s="39"/>
      <c r="AP252" s="39"/>
      <c r="AQ252" s="39"/>
      <c r="AR252" s="39"/>
      <c r="AS252" s="39"/>
      <c r="AT252" s="39"/>
      <c r="AU252" s="39"/>
      <c r="AV252" s="123"/>
      <c r="AW252" s="124"/>
      <c r="AX252" s="76"/>
      <c r="AY252" s="76"/>
      <c r="AZ252" s="76"/>
      <c r="BA252" s="125"/>
      <c r="BB252" s="125"/>
      <c r="BC252" s="125"/>
      <c r="BD252" s="125"/>
      <c r="BE252" s="125"/>
      <c r="BF252" s="125"/>
      <c r="BG252" s="125"/>
      <c r="BH252" s="125"/>
      <c r="BI252" s="125"/>
      <c r="BJ252" s="41"/>
      <c r="BK252" s="69"/>
      <c r="BL252" s="39"/>
      <c r="BM252" s="39"/>
      <c r="BN252" s="39"/>
      <c r="BO252" s="39"/>
      <c r="BP252" s="39"/>
      <c r="BQ252" s="39"/>
      <c r="BR252" s="39"/>
      <c r="BS252" s="39"/>
      <c r="BT252" s="39"/>
      <c r="BU252" s="39"/>
      <c r="BV252" s="39"/>
      <c r="BW252" s="39"/>
      <c r="BX252" s="39"/>
      <c r="BY252" s="39"/>
    </row>
    <row r="253" spans="1:77" s="37" customFormat="1">
      <c r="A253" s="39"/>
      <c r="B253" s="42"/>
      <c r="C253" s="685"/>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c r="AJ253" s="39"/>
      <c r="AK253" s="39"/>
      <c r="AL253" s="39"/>
      <c r="AM253" s="39"/>
      <c r="AN253" s="39"/>
      <c r="AO253" s="39"/>
      <c r="AP253" s="39"/>
      <c r="AQ253" s="39"/>
      <c r="AR253" s="39"/>
      <c r="AS253" s="39"/>
      <c r="AT253" s="39"/>
      <c r="AU253" s="39"/>
      <c r="AV253" s="123"/>
      <c r="AW253" s="124"/>
      <c r="AX253" s="76"/>
      <c r="AY253" s="76"/>
      <c r="AZ253" s="76"/>
      <c r="BA253" s="125"/>
      <c r="BB253" s="125"/>
      <c r="BC253" s="125"/>
      <c r="BD253" s="125"/>
      <c r="BE253" s="125"/>
      <c r="BF253" s="125"/>
      <c r="BG253" s="125"/>
      <c r="BH253" s="125"/>
      <c r="BI253" s="125"/>
      <c r="BJ253" s="41"/>
      <c r="BK253" s="69"/>
      <c r="BL253" s="39"/>
      <c r="BM253" s="39"/>
      <c r="BN253" s="39"/>
      <c r="BO253" s="39"/>
      <c r="BP253" s="39"/>
      <c r="BQ253" s="39"/>
      <c r="BR253" s="39"/>
      <c r="BS253" s="39"/>
      <c r="BT253" s="39"/>
      <c r="BU253" s="39"/>
      <c r="BV253" s="39"/>
      <c r="BW253" s="39"/>
      <c r="BX253" s="39"/>
      <c r="BY253" s="39"/>
    </row>
    <row r="254" spans="1:77" s="37" customFormat="1">
      <c r="A254" s="39"/>
      <c r="B254" s="42"/>
      <c r="C254" s="685"/>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c r="AB254" s="39"/>
      <c r="AC254" s="39"/>
      <c r="AD254" s="39"/>
      <c r="AE254" s="39"/>
      <c r="AF254" s="39"/>
      <c r="AG254" s="39"/>
      <c r="AH254" s="39"/>
      <c r="AI254" s="39"/>
      <c r="AJ254" s="39"/>
      <c r="AK254" s="39"/>
      <c r="AL254" s="39"/>
      <c r="AM254" s="39"/>
      <c r="AN254" s="39"/>
      <c r="AO254" s="39"/>
      <c r="AP254" s="39"/>
      <c r="AQ254" s="39"/>
      <c r="AR254" s="39"/>
      <c r="AS254" s="39"/>
      <c r="AT254" s="39"/>
      <c r="AU254" s="39"/>
      <c r="AV254" s="123"/>
      <c r="AW254" s="124"/>
      <c r="AX254" s="76"/>
      <c r="AY254" s="76"/>
      <c r="AZ254" s="76"/>
      <c r="BA254" s="125"/>
      <c r="BB254" s="125"/>
      <c r="BC254" s="125"/>
      <c r="BD254" s="125"/>
      <c r="BE254" s="125"/>
      <c r="BF254" s="125"/>
      <c r="BG254" s="125"/>
      <c r="BH254" s="125"/>
      <c r="BI254" s="125"/>
      <c r="BJ254" s="41"/>
      <c r="BK254" s="69"/>
      <c r="BL254" s="39"/>
      <c r="BM254" s="39"/>
      <c r="BN254" s="39"/>
      <c r="BO254" s="39"/>
      <c r="BP254" s="39"/>
      <c r="BQ254" s="39"/>
      <c r="BR254" s="39"/>
      <c r="BS254" s="39"/>
      <c r="BT254" s="39"/>
      <c r="BU254" s="39"/>
      <c r="BV254" s="39"/>
      <c r="BW254" s="39"/>
      <c r="BX254" s="39"/>
      <c r="BY254" s="39"/>
    </row>
    <row r="255" spans="1:77" s="37" customFormat="1">
      <c r="A255" s="39"/>
      <c r="B255" s="42"/>
      <c r="C255" s="685"/>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c r="AB255" s="39"/>
      <c r="AC255" s="39"/>
      <c r="AD255" s="39"/>
      <c r="AE255" s="39"/>
      <c r="AF255" s="39"/>
      <c r="AG255" s="39"/>
      <c r="AH255" s="39"/>
      <c r="AI255" s="39"/>
      <c r="AJ255" s="39"/>
      <c r="AK255" s="39"/>
      <c r="AL255" s="39"/>
      <c r="AM255" s="39"/>
      <c r="AN255" s="39"/>
      <c r="AO255" s="39"/>
      <c r="AP255" s="39"/>
      <c r="AQ255" s="39"/>
      <c r="AR255" s="39"/>
      <c r="AS255" s="39"/>
      <c r="AT255" s="39"/>
      <c r="AU255" s="39"/>
      <c r="AV255" s="123"/>
      <c r="AW255" s="124"/>
      <c r="AX255" s="76"/>
      <c r="AY255" s="76"/>
      <c r="AZ255" s="76"/>
      <c r="BA255" s="125"/>
      <c r="BB255" s="125"/>
      <c r="BC255" s="125"/>
      <c r="BD255" s="125"/>
      <c r="BE255" s="125"/>
      <c r="BF255" s="125"/>
      <c r="BG255" s="125"/>
      <c r="BH255" s="125"/>
      <c r="BI255" s="125"/>
      <c r="BJ255" s="41"/>
      <c r="BK255" s="69"/>
      <c r="BL255" s="39"/>
      <c r="BM255" s="39"/>
      <c r="BN255" s="39"/>
      <c r="BO255" s="39"/>
      <c r="BP255" s="39"/>
      <c r="BQ255" s="39"/>
      <c r="BR255" s="39"/>
      <c r="BS255" s="39"/>
      <c r="BT255" s="39"/>
      <c r="BU255" s="39"/>
      <c r="BV255" s="39"/>
      <c r="BW255" s="39"/>
      <c r="BX255" s="39"/>
      <c r="BY255" s="39"/>
    </row>
    <row r="256" spans="1:77" s="37" customFormat="1">
      <c r="A256" s="39"/>
      <c r="B256" s="42"/>
      <c r="C256" s="685"/>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c r="AB256" s="39"/>
      <c r="AC256" s="39"/>
      <c r="AD256" s="39"/>
      <c r="AE256" s="39"/>
      <c r="AF256" s="39"/>
      <c r="AG256" s="39"/>
      <c r="AH256" s="39"/>
      <c r="AI256" s="39"/>
      <c r="AJ256" s="39"/>
      <c r="AK256" s="39"/>
      <c r="AL256" s="39"/>
      <c r="AM256" s="39"/>
      <c r="AN256" s="39"/>
      <c r="AO256" s="39"/>
      <c r="AP256" s="39"/>
      <c r="AQ256" s="39"/>
      <c r="AR256" s="39"/>
      <c r="AS256" s="39"/>
      <c r="AT256" s="39"/>
      <c r="AU256" s="39"/>
      <c r="AV256" s="123"/>
      <c r="AW256" s="124"/>
      <c r="AX256" s="76"/>
      <c r="AY256" s="76"/>
      <c r="AZ256" s="76"/>
      <c r="BA256" s="125"/>
      <c r="BB256" s="125"/>
      <c r="BC256" s="125"/>
      <c r="BD256" s="125"/>
      <c r="BE256" s="125"/>
      <c r="BF256" s="125"/>
      <c r="BG256" s="125"/>
      <c r="BH256" s="125"/>
      <c r="BI256" s="125"/>
      <c r="BJ256" s="41"/>
      <c r="BK256" s="69"/>
      <c r="BL256" s="39"/>
      <c r="BM256" s="39"/>
      <c r="BN256" s="39"/>
      <c r="BO256" s="39"/>
      <c r="BP256" s="39"/>
      <c r="BQ256" s="39"/>
      <c r="BR256" s="39"/>
      <c r="BS256" s="39"/>
      <c r="BT256" s="39"/>
      <c r="BU256" s="39"/>
      <c r="BV256" s="39"/>
      <c r="BW256" s="39"/>
      <c r="BX256" s="39"/>
      <c r="BY256" s="39"/>
    </row>
    <row r="257" spans="1:77" s="37" customFormat="1">
      <c r="A257" s="39"/>
      <c r="B257" s="42"/>
      <c r="C257" s="685"/>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c r="AB257" s="39"/>
      <c r="AC257" s="39"/>
      <c r="AD257" s="39"/>
      <c r="AE257" s="39"/>
      <c r="AF257" s="39"/>
      <c r="AG257" s="39"/>
      <c r="AH257" s="39"/>
      <c r="AI257" s="39"/>
      <c r="AJ257" s="39"/>
      <c r="AK257" s="39"/>
      <c r="AL257" s="39"/>
      <c r="AM257" s="39"/>
      <c r="AN257" s="39"/>
      <c r="AO257" s="39"/>
      <c r="AP257" s="39"/>
      <c r="AQ257" s="39"/>
      <c r="AR257" s="39"/>
      <c r="AS257" s="39"/>
      <c r="AT257" s="39"/>
      <c r="AU257" s="39"/>
      <c r="AV257" s="123"/>
      <c r="AW257" s="124"/>
      <c r="AX257" s="76"/>
      <c r="AY257" s="76"/>
      <c r="AZ257" s="76"/>
      <c r="BA257" s="125"/>
      <c r="BB257" s="125"/>
      <c r="BC257" s="125"/>
      <c r="BD257" s="125"/>
      <c r="BE257" s="125"/>
      <c r="BF257" s="125"/>
      <c r="BG257" s="125"/>
      <c r="BH257" s="125"/>
      <c r="BI257" s="125"/>
      <c r="BJ257" s="41"/>
      <c r="BK257" s="69"/>
      <c r="BL257" s="39"/>
      <c r="BM257" s="39"/>
      <c r="BN257" s="39"/>
      <c r="BO257" s="39"/>
      <c r="BP257" s="39"/>
      <c r="BQ257" s="39"/>
      <c r="BR257" s="39"/>
      <c r="BS257" s="39"/>
      <c r="BT257" s="39"/>
      <c r="BU257" s="39"/>
      <c r="BV257" s="39"/>
      <c r="BW257" s="39"/>
      <c r="BX257" s="39"/>
      <c r="BY257" s="39"/>
    </row>
    <row r="258" spans="1:77" s="37" customFormat="1">
      <c r="A258" s="39"/>
      <c r="B258" s="42"/>
      <c r="C258" s="685"/>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c r="AB258" s="39"/>
      <c r="AC258" s="39"/>
      <c r="AD258" s="39"/>
      <c r="AE258" s="39"/>
      <c r="AF258" s="39"/>
      <c r="AG258" s="39"/>
      <c r="AH258" s="39"/>
      <c r="AI258" s="39"/>
      <c r="AJ258" s="39"/>
      <c r="AK258" s="39"/>
      <c r="AL258" s="39"/>
      <c r="AM258" s="39"/>
      <c r="AN258" s="39"/>
      <c r="AO258" s="39"/>
      <c r="AP258" s="39"/>
      <c r="AQ258" s="39"/>
      <c r="AR258" s="39"/>
      <c r="AS258" s="39"/>
      <c r="AT258" s="39"/>
      <c r="AU258" s="39"/>
      <c r="AV258" s="123"/>
      <c r="AW258" s="124"/>
      <c r="AX258" s="76"/>
      <c r="AY258" s="76"/>
      <c r="AZ258" s="76"/>
      <c r="BA258" s="125"/>
      <c r="BB258" s="125"/>
      <c r="BC258" s="125"/>
      <c r="BD258" s="125"/>
      <c r="BE258" s="125"/>
      <c r="BF258" s="125"/>
      <c r="BG258" s="125"/>
      <c r="BH258" s="125"/>
      <c r="BI258" s="125"/>
      <c r="BJ258" s="41"/>
      <c r="BK258" s="69"/>
      <c r="BL258" s="39"/>
      <c r="BM258" s="39"/>
      <c r="BN258" s="39"/>
      <c r="BO258" s="39"/>
      <c r="BP258" s="39"/>
      <c r="BQ258" s="39"/>
      <c r="BR258" s="39"/>
      <c r="BS258" s="39"/>
      <c r="BT258" s="39"/>
      <c r="BU258" s="39"/>
      <c r="BV258" s="39"/>
      <c r="BW258" s="39"/>
      <c r="BX258" s="39"/>
      <c r="BY258" s="39"/>
    </row>
    <row r="259" spans="1:77" s="37" customFormat="1">
      <c r="A259" s="39"/>
      <c r="B259" s="42"/>
      <c r="C259" s="685"/>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c r="AB259" s="39"/>
      <c r="AC259" s="39"/>
      <c r="AD259" s="39"/>
      <c r="AE259" s="39"/>
      <c r="AF259" s="39"/>
      <c r="AG259" s="39"/>
      <c r="AH259" s="39"/>
      <c r="AI259" s="39"/>
      <c r="AJ259" s="39"/>
      <c r="AK259" s="39"/>
      <c r="AL259" s="39"/>
      <c r="AM259" s="39"/>
      <c r="AN259" s="39"/>
      <c r="AO259" s="39"/>
      <c r="AP259" s="39"/>
      <c r="AQ259" s="39"/>
      <c r="AR259" s="39"/>
      <c r="AS259" s="39"/>
      <c r="AT259" s="39"/>
      <c r="AU259" s="39"/>
      <c r="AV259" s="123"/>
      <c r="AW259" s="124"/>
      <c r="AX259" s="76"/>
      <c r="AY259" s="76"/>
      <c r="AZ259" s="76"/>
      <c r="BA259" s="125"/>
      <c r="BB259" s="125"/>
      <c r="BC259" s="125"/>
      <c r="BD259" s="125"/>
      <c r="BE259" s="125"/>
      <c r="BF259" s="125"/>
      <c r="BG259" s="125"/>
      <c r="BH259" s="125"/>
      <c r="BI259" s="125"/>
      <c r="BJ259" s="41"/>
      <c r="BK259" s="69"/>
      <c r="BL259" s="39"/>
      <c r="BM259" s="39"/>
      <c r="BN259" s="39"/>
      <c r="BO259" s="39"/>
      <c r="BP259" s="39"/>
      <c r="BQ259" s="39"/>
      <c r="BR259" s="39"/>
      <c r="BS259" s="39"/>
      <c r="BT259" s="39"/>
      <c r="BU259" s="39"/>
      <c r="BV259" s="39"/>
      <c r="BW259" s="39"/>
      <c r="BX259" s="39"/>
      <c r="BY259" s="39"/>
    </row>
    <row r="260" spans="1:77" s="37" customFormat="1">
      <c r="A260" s="39"/>
      <c r="B260" s="42"/>
      <c r="C260" s="685"/>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c r="AB260" s="39"/>
      <c r="AC260" s="39"/>
      <c r="AD260" s="39"/>
      <c r="AE260" s="39"/>
      <c r="AF260" s="39"/>
      <c r="AG260" s="39"/>
      <c r="AH260" s="39"/>
      <c r="AI260" s="39"/>
      <c r="AJ260" s="39"/>
      <c r="AK260" s="39"/>
      <c r="AL260" s="39"/>
      <c r="AM260" s="39"/>
      <c r="AN260" s="39"/>
      <c r="AO260" s="39"/>
      <c r="AP260" s="39"/>
      <c r="AQ260" s="39"/>
      <c r="AR260" s="39"/>
      <c r="AS260" s="39"/>
      <c r="AT260" s="39"/>
      <c r="AU260" s="39"/>
      <c r="AV260" s="123"/>
      <c r="AW260" s="124"/>
      <c r="AX260" s="76"/>
      <c r="AY260" s="76"/>
      <c r="AZ260" s="76"/>
      <c r="BA260" s="125"/>
      <c r="BB260" s="125"/>
      <c r="BC260" s="125"/>
      <c r="BD260" s="125"/>
      <c r="BE260" s="125"/>
      <c r="BF260" s="125"/>
      <c r="BG260" s="125"/>
      <c r="BH260" s="125"/>
      <c r="BI260" s="125"/>
      <c r="BJ260" s="41"/>
      <c r="BK260" s="69"/>
      <c r="BL260" s="39"/>
      <c r="BM260" s="39"/>
      <c r="BN260" s="39"/>
      <c r="BO260" s="39"/>
      <c r="BP260" s="39"/>
      <c r="BQ260" s="39"/>
      <c r="BR260" s="39"/>
      <c r="BS260" s="39"/>
      <c r="BT260" s="39"/>
      <c r="BU260" s="39"/>
      <c r="BV260" s="39"/>
      <c r="BW260" s="39"/>
      <c r="BX260" s="39"/>
      <c r="BY260" s="39"/>
    </row>
    <row r="261" spans="1:77" s="37" customFormat="1">
      <c r="A261" s="39"/>
      <c r="B261" s="42"/>
      <c r="C261" s="685"/>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c r="AB261" s="39"/>
      <c r="AC261" s="39"/>
      <c r="AD261" s="39"/>
      <c r="AE261" s="39"/>
      <c r="AF261" s="39"/>
      <c r="AG261" s="39"/>
      <c r="AH261" s="39"/>
      <c r="AI261" s="39"/>
      <c r="AJ261" s="39"/>
      <c r="AK261" s="39"/>
      <c r="AL261" s="39"/>
      <c r="AM261" s="39"/>
      <c r="AN261" s="39"/>
      <c r="AO261" s="39"/>
      <c r="AP261" s="39"/>
      <c r="AQ261" s="39"/>
      <c r="AR261" s="39"/>
      <c r="AS261" s="39"/>
      <c r="AT261" s="39"/>
      <c r="AU261" s="39"/>
      <c r="AV261" s="123"/>
      <c r="AW261" s="124"/>
      <c r="AX261" s="76"/>
      <c r="AY261" s="76"/>
      <c r="AZ261" s="76"/>
      <c r="BA261" s="125"/>
      <c r="BB261" s="125"/>
      <c r="BC261" s="125"/>
      <c r="BD261" s="125"/>
      <c r="BE261" s="125"/>
      <c r="BF261" s="125"/>
      <c r="BG261" s="125"/>
      <c r="BH261" s="125"/>
      <c r="BI261" s="125"/>
      <c r="BJ261" s="41"/>
      <c r="BK261" s="69"/>
      <c r="BL261" s="39"/>
      <c r="BM261" s="39"/>
      <c r="BN261" s="39"/>
      <c r="BO261" s="39"/>
      <c r="BP261" s="39"/>
      <c r="BQ261" s="39"/>
      <c r="BR261" s="39"/>
      <c r="BS261" s="39"/>
      <c r="BT261" s="39"/>
      <c r="BU261" s="39"/>
      <c r="BV261" s="39"/>
      <c r="BW261" s="39"/>
      <c r="BX261" s="39"/>
      <c r="BY261" s="39"/>
    </row>
    <row r="262" spans="1:77" s="37" customFormat="1">
      <c r="A262" s="39"/>
      <c r="B262" s="42"/>
      <c r="C262" s="685"/>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c r="AB262" s="39"/>
      <c r="AC262" s="39"/>
      <c r="AD262" s="39"/>
      <c r="AE262" s="39"/>
      <c r="AF262" s="39"/>
      <c r="AG262" s="39"/>
      <c r="AH262" s="39"/>
      <c r="AI262" s="39"/>
      <c r="AJ262" s="39"/>
      <c r="AK262" s="39"/>
      <c r="AL262" s="39"/>
      <c r="AM262" s="39"/>
      <c r="AN262" s="39"/>
      <c r="AO262" s="39"/>
      <c r="AP262" s="39"/>
      <c r="AQ262" s="39"/>
      <c r="AR262" s="39"/>
      <c r="AS262" s="39"/>
      <c r="AT262" s="39"/>
      <c r="AU262" s="39"/>
      <c r="AV262" s="123"/>
      <c r="AW262" s="124"/>
      <c r="AX262" s="76"/>
      <c r="AY262" s="76"/>
      <c r="AZ262" s="76"/>
      <c r="BA262" s="125"/>
      <c r="BB262" s="125"/>
      <c r="BC262" s="125"/>
      <c r="BD262" s="125"/>
      <c r="BE262" s="125"/>
      <c r="BF262" s="125"/>
      <c r="BG262" s="125"/>
      <c r="BH262" s="125"/>
      <c r="BI262" s="125"/>
      <c r="BJ262" s="41"/>
      <c r="BK262" s="69"/>
      <c r="BL262" s="39"/>
      <c r="BM262" s="39"/>
      <c r="BN262" s="39"/>
      <c r="BO262" s="39"/>
      <c r="BP262" s="39"/>
      <c r="BQ262" s="39"/>
      <c r="BR262" s="39"/>
      <c r="BS262" s="39"/>
      <c r="BT262" s="39"/>
      <c r="BU262" s="39"/>
      <c r="BV262" s="39"/>
      <c r="BW262" s="39"/>
      <c r="BX262" s="39"/>
      <c r="BY262" s="39"/>
    </row>
    <row r="263" spans="1:77" s="37" customFormat="1">
      <c r="A263" s="39"/>
      <c r="B263" s="42"/>
      <c r="C263" s="685"/>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c r="AB263" s="39"/>
      <c r="AC263" s="39"/>
      <c r="AD263" s="39"/>
      <c r="AE263" s="39"/>
      <c r="AF263" s="39"/>
      <c r="AG263" s="39"/>
      <c r="AH263" s="39"/>
      <c r="AI263" s="39"/>
      <c r="AJ263" s="39"/>
      <c r="AK263" s="39"/>
      <c r="AL263" s="39"/>
      <c r="AM263" s="39"/>
      <c r="AN263" s="39"/>
      <c r="AO263" s="39"/>
      <c r="AP263" s="39"/>
      <c r="AQ263" s="39"/>
      <c r="AR263" s="39"/>
      <c r="AS263" s="39"/>
      <c r="AT263" s="39"/>
      <c r="AU263" s="39"/>
      <c r="AV263" s="123"/>
      <c r="AW263" s="124"/>
      <c r="AX263" s="76"/>
      <c r="AY263" s="76"/>
      <c r="AZ263" s="76"/>
      <c r="BA263" s="125"/>
      <c r="BB263" s="125"/>
      <c r="BC263" s="125"/>
      <c r="BD263" s="125"/>
      <c r="BE263" s="125"/>
      <c r="BF263" s="125"/>
      <c r="BG263" s="125"/>
      <c r="BH263" s="125"/>
      <c r="BI263" s="125"/>
      <c r="BJ263" s="41"/>
      <c r="BK263" s="69"/>
      <c r="BL263" s="39"/>
      <c r="BM263" s="39"/>
      <c r="BN263" s="39"/>
      <c r="BO263" s="39"/>
      <c r="BP263" s="39"/>
      <c r="BQ263" s="39"/>
      <c r="BR263" s="39"/>
      <c r="BS263" s="39"/>
      <c r="BT263" s="39"/>
      <c r="BU263" s="39"/>
      <c r="BV263" s="39"/>
      <c r="BW263" s="39"/>
      <c r="BX263" s="39"/>
      <c r="BY263" s="39"/>
    </row>
    <row r="264" spans="1:77" s="37" customFormat="1">
      <c r="A264" s="39"/>
      <c r="B264" s="42"/>
      <c r="C264" s="685"/>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c r="AB264" s="39"/>
      <c r="AC264" s="39"/>
      <c r="AD264" s="39"/>
      <c r="AE264" s="39"/>
      <c r="AF264" s="39"/>
      <c r="AG264" s="39"/>
      <c r="AH264" s="39"/>
      <c r="AI264" s="39"/>
      <c r="AJ264" s="39"/>
      <c r="AK264" s="39"/>
      <c r="AL264" s="39"/>
      <c r="AM264" s="39"/>
      <c r="AN264" s="39"/>
      <c r="AO264" s="39"/>
      <c r="AP264" s="39"/>
      <c r="AQ264" s="39"/>
      <c r="AR264" s="39"/>
      <c r="AS264" s="39"/>
      <c r="AT264" s="39"/>
      <c r="AU264" s="39"/>
      <c r="AV264" s="123"/>
      <c r="AW264" s="124"/>
      <c r="AX264" s="76"/>
      <c r="AY264" s="76"/>
      <c r="AZ264" s="76"/>
      <c r="BA264" s="125"/>
      <c r="BB264" s="125"/>
      <c r="BC264" s="125"/>
      <c r="BD264" s="125"/>
      <c r="BE264" s="125"/>
      <c r="BF264" s="125"/>
      <c r="BG264" s="125"/>
      <c r="BH264" s="125"/>
      <c r="BI264" s="125"/>
      <c r="BJ264" s="41"/>
      <c r="BK264" s="69"/>
      <c r="BL264" s="39"/>
      <c r="BM264" s="39"/>
      <c r="BN264" s="39"/>
      <c r="BO264" s="39"/>
      <c r="BP264" s="39"/>
      <c r="BQ264" s="39"/>
      <c r="BR264" s="39"/>
      <c r="BS264" s="39"/>
      <c r="BT264" s="39"/>
      <c r="BU264" s="39"/>
      <c r="BV264" s="39"/>
      <c r="BW264" s="39"/>
      <c r="BX264" s="39"/>
      <c r="BY264" s="39"/>
    </row>
    <row r="265" spans="1:77" s="37" customFormat="1">
      <c r="A265" s="39"/>
      <c r="B265" s="42"/>
      <c r="C265" s="685"/>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c r="AB265" s="39"/>
      <c r="AC265" s="39"/>
      <c r="AD265" s="39"/>
      <c r="AE265" s="39"/>
      <c r="AF265" s="39"/>
      <c r="AG265" s="39"/>
      <c r="AH265" s="39"/>
      <c r="AI265" s="39"/>
      <c r="AJ265" s="39"/>
      <c r="AK265" s="39"/>
      <c r="AL265" s="39"/>
      <c r="AM265" s="39"/>
      <c r="AN265" s="39"/>
      <c r="AO265" s="39"/>
      <c r="AP265" s="39"/>
      <c r="AQ265" s="39"/>
      <c r="AR265" s="39"/>
      <c r="AS265" s="39"/>
      <c r="AT265" s="39"/>
      <c r="AU265" s="39"/>
      <c r="AV265" s="123"/>
      <c r="AW265" s="124"/>
      <c r="AX265" s="76"/>
      <c r="AY265" s="76"/>
      <c r="AZ265" s="76"/>
      <c r="BA265" s="125"/>
      <c r="BB265" s="125"/>
      <c r="BC265" s="125"/>
      <c r="BD265" s="125"/>
      <c r="BE265" s="125"/>
      <c r="BF265" s="125"/>
      <c r="BG265" s="125"/>
      <c r="BH265" s="125"/>
      <c r="BI265" s="125"/>
      <c r="BJ265" s="41"/>
      <c r="BK265" s="69"/>
      <c r="BL265" s="39"/>
      <c r="BM265" s="39"/>
      <c r="BN265" s="39"/>
      <c r="BO265" s="39"/>
      <c r="BP265" s="39"/>
      <c r="BQ265" s="39"/>
      <c r="BR265" s="39"/>
      <c r="BS265" s="39"/>
      <c r="BT265" s="39"/>
      <c r="BU265" s="39"/>
      <c r="BV265" s="39"/>
      <c r="BW265" s="39"/>
      <c r="BX265" s="39"/>
      <c r="BY265" s="39"/>
    </row>
    <row r="266" spans="1:77" s="37" customFormat="1">
      <c r="A266" s="39"/>
      <c r="B266" s="42"/>
      <c r="C266" s="685"/>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c r="AB266" s="39"/>
      <c r="AC266" s="39"/>
      <c r="AD266" s="39"/>
      <c r="AE266" s="39"/>
      <c r="AF266" s="39"/>
      <c r="AG266" s="39"/>
      <c r="AH266" s="39"/>
      <c r="AI266" s="39"/>
      <c r="AJ266" s="39"/>
      <c r="AK266" s="39"/>
      <c r="AL266" s="39"/>
      <c r="AM266" s="39"/>
      <c r="AN266" s="39"/>
      <c r="AO266" s="39"/>
      <c r="AP266" s="39"/>
      <c r="AQ266" s="39"/>
      <c r="AR266" s="39"/>
      <c r="AS266" s="39"/>
      <c r="AT266" s="39"/>
      <c r="AU266" s="39"/>
      <c r="AV266" s="123"/>
      <c r="AW266" s="124"/>
      <c r="AX266" s="76"/>
      <c r="AY266" s="76"/>
      <c r="AZ266" s="76"/>
      <c r="BA266" s="125"/>
      <c r="BB266" s="125"/>
      <c r="BC266" s="125"/>
      <c r="BD266" s="125"/>
      <c r="BE266" s="125"/>
      <c r="BF266" s="125"/>
      <c r="BG266" s="125"/>
      <c r="BH266" s="125"/>
      <c r="BI266" s="125"/>
      <c r="BJ266" s="41"/>
      <c r="BK266" s="69"/>
      <c r="BL266" s="39"/>
      <c r="BM266" s="39"/>
      <c r="BN266" s="39"/>
      <c r="BO266" s="39"/>
      <c r="BP266" s="39"/>
      <c r="BQ266" s="39"/>
      <c r="BR266" s="39"/>
      <c r="BS266" s="39"/>
      <c r="BT266" s="39"/>
      <c r="BU266" s="39"/>
      <c r="BV266" s="39"/>
      <c r="BW266" s="39"/>
      <c r="BX266" s="39"/>
      <c r="BY266" s="39"/>
    </row>
    <row r="267" spans="1:77" s="37" customFormat="1">
      <c r="A267" s="39"/>
      <c r="B267" s="42"/>
      <c r="C267" s="685"/>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c r="AJ267" s="39"/>
      <c r="AK267" s="39"/>
      <c r="AL267" s="39"/>
      <c r="AM267" s="39"/>
      <c r="AN267" s="39"/>
      <c r="AO267" s="39"/>
      <c r="AP267" s="39"/>
      <c r="AQ267" s="39"/>
      <c r="AR267" s="39"/>
      <c r="AS267" s="39"/>
      <c r="AT267" s="39"/>
      <c r="AU267" s="39"/>
      <c r="AV267" s="123"/>
      <c r="AW267" s="124"/>
      <c r="AX267" s="76"/>
      <c r="AY267" s="76"/>
      <c r="AZ267" s="76"/>
      <c r="BA267" s="125"/>
      <c r="BB267" s="125"/>
      <c r="BC267" s="125"/>
      <c r="BD267" s="125"/>
      <c r="BE267" s="125"/>
      <c r="BF267" s="125"/>
      <c r="BG267" s="125"/>
      <c r="BH267" s="125"/>
      <c r="BI267" s="125"/>
      <c r="BJ267" s="41"/>
      <c r="BK267" s="69"/>
      <c r="BL267" s="39"/>
      <c r="BM267" s="39"/>
      <c r="BN267" s="39"/>
      <c r="BO267" s="39"/>
      <c r="BP267" s="39"/>
      <c r="BQ267" s="39"/>
      <c r="BR267" s="39"/>
      <c r="BS267" s="39"/>
      <c r="BT267" s="39"/>
      <c r="BU267" s="39"/>
      <c r="BV267" s="39"/>
      <c r="BW267" s="39"/>
      <c r="BX267" s="39"/>
      <c r="BY267" s="39"/>
    </row>
    <row r="268" spans="1:77" s="37" customFormat="1">
      <c r="A268" s="39"/>
      <c r="B268" s="42"/>
      <c r="C268" s="685"/>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c r="AB268" s="39"/>
      <c r="AC268" s="39"/>
      <c r="AD268" s="39"/>
      <c r="AE268" s="39"/>
      <c r="AF268" s="39"/>
      <c r="AG268" s="39"/>
      <c r="AH268" s="39"/>
      <c r="AI268" s="39"/>
      <c r="AJ268" s="39"/>
      <c r="AK268" s="39"/>
      <c r="AL268" s="39"/>
      <c r="AM268" s="39"/>
      <c r="AN268" s="39"/>
      <c r="AO268" s="39"/>
      <c r="AP268" s="39"/>
      <c r="AQ268" s="39"/>
      <c r="AR268" s="39"/>
      <c r="AS268" s="39"/>
      <c r="AT268" s="39"/>
      <c r="AU268" s="39"/>
      <c r="AV268" s="123"/>
      <c r="AW268" s="124"/>
      <c r="AX268" s="76"/>
      <c r="AY268" s="76"/>
      <c r="AZ268" s="76"/>
      <c r="BA268" s="125"/>
      <c r="BB268" s="125"/>
      <c r="BC268" s="125"/>
      <c r="BD268" s="125"/>
      <c r="BE268" s="125"/>
      <c r="BF268" s="125"/>
      <c r="BG268" s="125"/>
      <c r="BH268" s="125"/>
      <c r="BI268" s="125"/>
      <c r="BJ268" s="41"/>
      <c r="BK268" s="69"/>
      <c r="BL268" s="39"/>
      <c r="BM268" s="39"/>
      <c r="BN268" s="39"/>
      <c r="BO268" s="39"/>
      <c r="BP268" s="39"/>
      <c r="BQ268" s="39"/>
      <c r="BR268" s="39"/>
      <c r="BS268" s="39"/>
      <c r="BT268" s="39"/>
      <c r="BU268" s="39"/>
      <c r="BV268" s="39"/>
      <c r="BW268" s="39"/>
      <c r="BX268" s="39"/>
      <c r="BY268" s="39"/>
    </row>
    <row r="269" spans="1:77" s="37" customFormat="1">
      <c r="A269" s="39"/>
      <c r="B269" s="42"/>
      <c r="C269" s="685"/>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c r="AB269" s="39"/>
      <c r="AC269" s="39"/>
      <c r="AD269" s="39"/>
      <c r="AE269" s="39"/>
      <c r="AF269" s="39"/>
      <c r="AG269" s="39"/>
      <c r="AH269" s="39"/>
      <c r="AI269" s="39"/>
      <c r="AJ269" s="39"/>
      <c r="AK269" s="39"/>
      <c r="AL269" s="39"/>
      <c r="AM269" s="39"/>
      <c r="AN269" s="39"/>
      <c r="AO269" s="39"/>
      <c r="AP269" s="39"/>
      <c r="AQ269" s="39"/>
      <c r="AR269" s="39"/>
      <c r="AS269" s="39"/>
      <c r="AT269" s="39"/>
      <c r="AU269" s="39"/>
      <c r="AV269" s="123"/>
      <c r="AW269" s="124"/>
      <c r="AX269" s="76"/>
      <c r="AY269" s="76"/>
      <c r="AZ269" s="76"/>
      <c r="BA269" s="125"/>
      <c r="BB269" s="125"/>
      <c r="BC269" s="125"/>
      <c r="BD269" s="125"/>
      <c r="BE269" s="125"/>
      <c r="BF269" s="125"/>
      <c r="BG269" s="125"/>
      <c r="BH269" s="125"/>
      <c r="BI269" s="125"/>
      <c r="BJ269" s="41"/>
      <c r="BK269" s="69"/>
      <c r="BL269" s="39"/>
      <c r="BM269" s="39"/>
      <c r="BN269" s="39"/>
      <c r="BO269" s="39"/>
      <c r="BP269" s="39"/>
      <c r="BQ269" s="39"/>
      <c r="BR269" s="39"/>
      <c r="BS269" s="39"/>
      <c r="BT269" s="39"/>
      <c r="BU269" s="39"/>
      <c r="BV269" s="39"/>
      <c r="BW269" s="39"/>
      <c r="BX269" s="39"/>
      <c r="BY269" s="39"/>
    </row>
    <row r="270" spans="1:77" s="37" customFormat="1">
      <c r="A270" s="39"/>
      <c r="B270" s="42"/>
      <c r="C270" s="685"/>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c r="AB270" s="39"/>
      <c r="AC270" s="39"/>
      <c r="AD270" s="39"/>
      <c r="AE270" s="39"/>
      <c r="AF270" s="39"/>
      <c r="AG270" s="39"/>
      <c r="AH270" s="39"/>
      <c r="AI270" s="39"/>
      <c r="AJ270" s="39"/>
      <c r="AK270" s="39"/>
      <c r="AL270" s="39"/>
      <c r="AM270" s="39"/>
      <c r="AN270" s="39"/>
      <c r="AO270" s="39"/>
      <c r="AP270" s="39"/>
      <c r="AQ270" s="39"/>
      <c r="AR270" s="39"/>
      <c r="AS270" s="39"/>
      <c r="AT270" s="39"/>
      <c r="AU270" s="39"/>
      <c r="AV270" s="123"/>
      <c r="AW270" s="124"/>
      <c r="AX270" s="76"/>
      <c r="AY270" s="76"/>
      <c r="AZ270" s="76"/>
      <c r="BA270" s="125"/>
      <c r="BB270" s="125"/>
      <c r="BC270" s="125"/>
      <c r="BD270" s="125"/>
      <c r="BE270" s="125"/>
      <c r="BF270" s="125"/>
      <c r="BG270" s="125"/>
      <c r="BH270" s="125"/>
      <c r="BI270" s="125"/>
      <c r="BJ270" s="41"/>
      <c r="BK270" s="69"/>
      <c r="BL270" s="39"/>
      <c r="BM270" s="39"/>
      <c r="BN270" s="39"/>
      <c r="BO270" s="39"/>
      <c r="BP270" s="39"/>
      <c r="BQ270" s="39"/>
      <c r="BR270" s="39"/>
      <c r="BS270" s="39"/>
      <c r="BT270" s="39"/>
      <c r="BU270" s="39"/>
      <c r="BV270" s="39"/>
      <c r="BW270" s="39"/>
      <c r="BX270" s="39"/>
      <c r="BY270" s="39"/>
    </row>
    <row r="271" spans="1:77" s="37" customFormat="1">
      <c r="A271" s="39"/>
      <c r="B271" s="42"/>
      <c r="C271" s="685"/>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c r="AB271" s="39"/>
      <c r="AC271" s="39"/>
      <c r="AD271" s="39"/>
      <c r="AE271" s="39"/>
      <c r="AF271" s="39"/>
      <c r="AG271" s="39"/>
      <c r="AH271" s="39"/>
      <c r="AI271" s="39"/>
      <c r="AJ271" s="39"/>
      <c r="AK271" s="39"/>
      <c r="AL271" s="39"/>
      <c r="AM271" s="39"/>
      <c r="AN271" s="39"/>
      <c r="AO271" s="39"/>
      <c r="AP271" s="39"/>
      <c r="AQ271" s="39"/>
      <c r="AR271" s="39"/>
      <c r="AS271" s="39"/>
      <c r="AT271" s="39"/>
      <c r="AU271" s="39"/>
      <c r="AV271" s="123"/>
      <c r="AW271" s="124"/>
      <c r="AX271" s="76"/>
      <c r="AY271" s="76"/>
      <c r="AZ271" s="76"/>
      <c r="BA271" s="125"/>
      <c r="BB271" s="125"/>
      <c r="BC271" s="125"/>
      <c r="BD271" s="125"/>
      <c r="BE271" s="125"/>
      <c r="BF271" s="125"/>
      <c r="BG271" s="125"/>
      <c r="BH271" s="125"/>
      <c r="BI271" s="125"/>
      <c r="BJ271" s="41"/>
      <c r="BK271" s="69"/>
      <c r="BL271" s="39"/>
      <c r="BM271" s="39"/>
      <c r="BN271" s="39"/>
      <c r="BO271" s="39"/>
      <c r="BP271" s="39"/>
      <c r="BQ271" s="39"/>
      <c r="BR271" s="39"/>
      <c r="BS271" s="39"/>
      <c r="BT271" s="39"/>
      <c r="BU271" s="39"/>
      <c r="BV271" s="39"/>
      <c r="BW271" s="39"/>
      <c r="BX271" s="39"/>
      <c r="BY271" s="39"/>
    </row>
    <row r="272" spans="1:77" s="37" customFormat="1">
      <c r="A272" s="39"/>
      <c r="B272" s="42"/>
      <c r="C272" s="685"/>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c r="AB272" s="39"/>
      <c r="AC272" s="39"/>
      <c r="AD272" s="39"/>
      <c r="AE272" s="39"/>
      <c r="AF272" s="39"/>
      <c r="AG272" s="39"/>
      <c r="AH272" s="39"/>
      <c r="AI272" s="39"/>
      <c r="AJ272" s="39"/>
      <c r="AK272" s="39"/>
      <c r="AL272" s="39"/>
      <c r="AM272" s="39"/>
      <c r="AN272" s="39"/>
      <c r="AO272" s="39"/>
      <c r="AP272" s="39"/>
      <c r="AQ272" s="39"/>
      <c r="AR272" s="39"/>
      <c r="AS272" s="39"/>
      <c r="AT272" s="39"/>
      <c r="AU272" s="39"/>
      <c r="AV272" s="123"/>
      <c r="AW272" s="124"/>
      <c r="AX272" s="76"/>
      <c r="AY272" s="76"/>
      <c r="AZ272" s="76"/>
      <c r="BA272" s="125"/>
      <c r="BB272" s="125"/>
      <c r="BC272" s="125"/>
      <c r="BD272" s="125"/>
      <c r="BE272" s="125"/>
      <c r="BF272" s="125"/>
      <c r="BG272" s="125"/>
      <c r="BH272" s="125"/>
      <c r="BI272" s="125"/>
      <c r="BJ272" s="41"/>
      <c r="BK272" s="69"/>
      <c r="BL272" s="39"/>
      <c r="BM272" s="39"/>
      <c r="BN272" s="39"/>
      <c r="BO272" s="39"/>
      <c r="BP272" s="39"/>
      <c r="BQ272" s="39"/>
      <c r="BR272" s="39"/>
      <c r="BS272" s="39"/>
      <c r="BT272" s="39"/>
      <c r="BU272" s="39"/>
      <c r="BV272" s="39"/>
      <c r="BW272" s="39"/>
      <c r="BX272" s="39"/>
      <c r="BY272" s="39"/>
    </row>
    <row r="273" spans="1:77" s="37" customFormat="1">
      <c r="A273" s="39"/>
      <c r="B273" s="42"/>
      <c r="C273" s="685"/>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c r="AB273" s="39"/>
      <c r="AC273" s="39"/>
      <c r="AD273" s="39"/>
      <c r="AE273" s="39"/>
      <c r="AF273" s="39"/>
      <c r="AG273" s="39"/>
      <c r="AH273" s="39"/>
      <c r="AI273" s="39"/>
      <c r="AJ273" s="39"/>
      <c r="AK273" s="39"/>
      <c r="AL273" s="39"/>
      <c r="AM273" s="39"/>
      <c r="AN273" s="39"/>
      <c r="AO273" s="39"/>
      <c r="AP273" s="39"/>
      <c r="AQ273" s="39"/>
      <c r="AR273" s="39"/>
      <c r="AS273" s="39"/>
      <c r="AT273" s="39"/>
      <c r="AU273" s="39"/>
      <c r="AV273" s="123"/>
      <c r="AW273" s="124"/>
      <c r="AX273" s="76"/>
      <c r="AY273" s="76"/>
      <c r="AZ273" s="76"/>
      <c r="BA273" s="125"/>
      <c r="BB273" s="125"/>
      <c r="BC273" s="125"/>
      <c r="BD273" s="125"/>
      <c r="BE273" s="125"/>
      <c r="BF273" s="125"/>
      <c r="BG273" s="125"/>
      <c r="BH273" s="125"/>
      <c r="BI273" s="125"/>
      <c r="BJ273" s="41"/>
      <c r="BK273" s="69"/>
      <c r="BL273" s="39"/>
      <c r="BM273" s="39"/>
      <c r="BN273" s="39"/>
      <c r="BO273" s="39"/>
      <c r="BP273" s="39"/>
      <c r="BQ273" s="39"/>
      <c r="BR273" s="39"/>
      <c r="BS273" s="39"/>
      <c r="BT273" s="39"/>
      <c r="BU273" s="39"/>
      <c r="BV273" s="39"/>
      <c r="BW273" s="39"/>
      <c r="BX273" s="39"/>
      <c r="BY273" s="39"/>
    </row>
    <row r="274" spans="1:77" s="37" customFormat="1">
      <c r="A274" s="39"/>
      <c r="B274" s="42"/>
      <c r="C274" s="685"/>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c r="AJ274" s="39"/>
      <c r="AK274" s="39"/>
      <c r="AL274" s="39"/>
      <c r="AM274" s="39"/>
      <c r="AN274" s="39"/>
      <c r="AO274" s="39"/>
      <c r="AP274" s="39"/>
      <c r="AQ274" s="39"/>
      <c r="AR274" s="39"/>
      <c r="AS274" s="39"/>
      <c r="AT274" s="39"/>
      <c r="AU274" s="39"/>
      <c r="AV274" s="123"/>
      <c r="AW274" s="124"/>
      <c r="AX274" s="76"/>
      <c r="AY274" s="76"/>
      <c r="AZ274" s="76"/>
      <c r="BA274" s="125"/>
      <c r="BB274" s="125"/>
      <c r="BC274" s="125"/>
      <c r="BD274" s="125"/>
      <c r="BE274" s="125"/>
      <c r="BF274" s="125"/>
      <c r="BG274" s="125"/>
      <c r="BH274" s="125"/>
      <c r="BI274" s="125"/>
      <c r="BJ274" s="41"/>
      <c r="BK274" s="69"/>
      <c r="BL274" s="39"/>
      <c r="BM274" s="39"/>
      <c r="BN274" s="39"/>
      <c r="BO274" s="39"/>
      <c r="BP274" s="39"/>
      <c r="BQ274" s="39"/>
      <c r="BR274" s="39"/>
      <c r="BS274" s="39"/>
      <c r="BT274" s="39"/>
      <c r="BU274" s="39"/>
      <c r="BV274" s="39"/>
      <c r="BW274" s="39"/>
      <c r="BX274" s="39"/>
      <c r="BY274" s="39"/>
    </row>
    <row r="275" spans="1:77" s="37" customFormat="1">
      <c r="A275" s="39"/>
      <c r="B275" s="42"/>
      <c r="C275" s="685"/>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c r="AB275" s="39"/>
      <c r="AC275" s="39"/>
      <c r="AD275" s="39"/>
      <c r="AE275" s="39"/>
      <c r="AF275" s="39"/>
      <c r="AG275" s="39"/>
      <c r="AH275" s="39"/>
      <c r="AI275" s="39"/>
      <c r="AJ275" s="39"/>
      <c r="AK275" s="39"/>
      <c r="AL275" s="39"/>
      <c r="AM275" s="39"/>
      <c r="AN275" s="39"/>
      <c r="AO275" s="39"/>
      <c r="AP275" s="39"/>
      <c r="AQ275" s="39"/>
      <c r="AR275" s="39"/>
      <c r="AS275" s="39"/>
      <c r="AT275" s="39"/>
      <c r="AU275" s="39"/>
      <c r="AV275" s="123"/>
      <c r="AW275" s="124"/>
      <c r="AX275" s="76"/>
      <c r="AY275" s="76"/>
      <c r="AZ275" s="76"/>
      <c r="BA275" s="125"/>
      <c r="BB275" s="125"/>
      <c r="BC275" s="125"/>
      <c r="BD275" s="125"/>
      <c r="BE275" s="125"/>
      <c r="BF275" s="125"/>
      <c r="BG275" s="125"/>
      <c r="BH275" s="125"/>
      <c r="BI275" s="125"/>
      <c r="BJ275" s="41"/>
      <c r="BK275" s="69"/>
      <c r="BL275" s="39"/>
      <c r="BM275" s="39"/>
      <c r="BN275" s="39"/>
      <c r="BO275" s="39"/>
      <c r="BP275" s="39"/>
      <c r="BQ275" s="39"/>
      <c r="BR275" s="39"/>
      <c r="BS275" s="39"/>
      <c r="BT275" s="39"/>
      <c r="BU275" s="39"/>
      <c r="BV275" s="39"/>
      <c r="BW275" s="39"/>
      <c r="BX275" s="39"/>
      <c r="BY275" s="39"/>
    </row>
    <row r="276" spans="1:77" s="37" customFormat="1">
      <c r="A276" s="39"/>
      <c r="B276" s="42"/>
      <c r="C276" s="685"/>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c r="AB276" s="39"/>
      <c r="AC276" s="39"/>
      <c r="AD276" s="39"/>
      <c r="AE276" s="39"/>
      <c r="AF276" s="39"/>
      <c r="AG276" s="39"/>
      <c r="AH276" s="39"/>
      <c r="AI276" s="39"/>
      <c r="AJ276" s="39"/>
      <c r="AK276" s="39"/>
      <c r="AL276" s="39"/>
      <c r="AM276" s="39"/>
      <c r="AN276" s="39"/>
      <c r="AO276" s="39"/>
      <c r="AP276" s="39"/>
      <c r="AQ276" s="39"/>
      <c r="AR276" s="39"/>
      <c r="AS276" s="39"/>
      <c r="AT276" s="39"/>
      <c r="AU276" s="39"/>
      <c r="AV276" s="123"/>
      <c r="AW276" s="124"/>
      <c r="AX276" s="76"/>
      <c r="AY276" s="76"/>
      <c r="AZ276" s="76"/>
      <c r="BA276" s="125"/>
      <c r="BB276" s="125"/>
      <c r="BC276" s="125"/>
      <c r="BD276" s="125"/>
      <c r="BE276" s="125"/>
      <c r="BF276" s="125"/>
      <c r="BG276" s="125"/>
      <c r="BH276" s="125"/>
      <c r="BI276" s="125"/>
      <c r="BJ276" s="41"/>
      <c r="BK276" s="69"/>
      <c r="BL276" s="39"/>
      <c r="BM276" s="39"/>
      <c r="BN276" s="39"/>
      <c r="BO276" s="39"/>
      <c r="BP276" s="39"/>
      <c r="BQ276" s="39"/>
      <c r="BR276" s="39"/>
      <c r="BS276" s="39"/>
      <c r="BT276" s="39"/>
      <c r="BU276" s="39"/>
      <c r="BV276" s="39"/>
      <c r="BW276" s="39"/>
      <c r="BX276" s="39"/>
      <c r="BY276" s="39"/>
    </row>
    <row r="277" spans="1:77" s="37" customFormat="1">
      <c r="A277" s="39"/>
      <c r="B277" s="42"/>
      <c r="C277" s="685"/>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c r="AB277" s="39"/>
      <c r="AC277" s="39"/>
      <c r="AD277" s="39"/>
      <c r="AE277" s="39"/>
      <c r="AF277" s="39"/>
      <c r="AG277" s="39"/>
      <c r="AH277" s="39"/>
      <c r="AI277" s="39"/>
      <c r="AJ277" s="39"/>
      <c r="AK277" s="39"/>
      <c r="AL277" s="39"/>
      <c r="AM277" s="39"/>
      <c r="AN277" s="39"/>
      <c r="AO277" s="39"/>
      <c r="AP277" s="39"/>
      <c r="AQ277" s="39"/>
      <c r="AR277" s="39"/>
      <c r="AS277" s="39"/>
      <c r="AT277" s="39"/>
      <c r="AU277" s="39"/>
      <c r="AV277" s="123"/>
      <c r="AW277" s="124"/>
      <c r="AX277" s="76"/>
      <c r="AY277" s="76"/>
      <c r="AZ277" s="76"/>
      <c r="BA277" s="125"/>
      <c r="BB277" s="125"/>
      <c r="BC277" s="125"/>
      <c r="BD277" s="125"/>
      <c r="BE277" s="125"/>
      <c r="BF277" s="125"/>
      <c r="BG277" s="125"/>
      <c r="BH277" s="125"/>
      <c r="BI277" s="125"/>
      <c r="BJ277" s="41"/>
      <c r="BK277" s="69"/>
      <c r="BL277" s="39"/>
      <c r="BM277" s="39"/>
      <c r="BN277" s="39"/>
      <c r="BO277" s="39"/>
      <c r="BP277" s="39"/>
      <c r="BQ277" s="39"/>
      <c r="BR277" s="39"/>
      <c r="BS277" s="39"/>
      <c r="BT277" s="39"/>
      <c r="BU277" s="39"/>
      <c r="BV277" s="39"/>
      <c r="BW277" s="39"/>
      <c r="BX277" s="39"/>
      <c r="BY277" s="39"/>
    </row>
    <row r="278" spans="1:77" s="37" customFormat="1">
      <c r="A278" s="39"/>
      <c r="B278" s="42"/>
      <c r="C278" s="685"/>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c r="AB278" s="39"/>
      <c r="AC278" s="39"/>
      <c r="AD278" s="39"/>
      <c r="AE278" s="39"/>
      <c r="AF278" s="39"/>
      <c r="AG278" s="39"/>
      <c r="AH278" s="39"/>
      <c r="AI278" s="39"/>
      <c r="AJ278" s="39"/>
      <c r="AK278" s="39"/>
      <c r="AL278" s="39"/>
      <c r="AM278" s="39"/>
      <c r="AN278" s="39"/>
      <c r="AO278" s="39"/>
      <c r="AP278" s="39"/>
      <c r="AQ278" s="39"/>
      <c r="AR278" s="39"/>
      <c r="AS278" s="39"/>
      <c r="AT278" s="39"/>
      <c r="AU278" s="39"/>
      <c r="AV278" s="123"/>
      <c r="AW278" s="124"/>
      <c r="AX278" s="76"/>
      <c r="AY278" s="76"/>
      <c r="AZ278" s="76"/>
      <c r="BA278" s="125"/>
      <c r="BB278" s="125"/>
      <c r="BC278" s="125"/>
      <c r="BD278" s="125"/>
      <c r="BE278" s="125"/>
      <c r="BF278" s="125"/>
      <c r="BG278" s="125"/>
      <c r="BH278" s="125"/>
      <c r="BI278" s="125"/>
      <c r="BJ278" s="41"/>
      <c r="BK278" s="69"/>
      <c r="BL278" s="39"/>
      <c r="BM278" s="39"/>
      <c r="BN278" s="39"/>
      <c r="BO278" s="39"/>
      <c r="BP278" s="39"/>
      <c r="BQ278" s="39"/>
      <c r="BR278" s="39"/>
      <c r="BS278" s="39"/>
      <c r="BT278" s="39"/>
      <c r="BU278" s="39"/>
      <c r="BV278" s="39"/>
      <c r="BW278" s="39"/>
      <c r="BX278" s="39"/>
      <c r="BY278" s="39"/>
    </row>
    <row r="279" spans="1:77" s="37" customFormat="1">
      <c r="A279" s="39"/>
      <c r="B279" s="42"/>
      <c r="C279" s="685"/>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c r="AB279" s="39"/>
      <c r="AC279" s="39"/>
      <c r="AD279" s="39"/>
      <c r="AE279" s="39"/>
      <c r="AF279" s="39"/>
      <c r="AG279" s="39"/>
      <c r="AH279" s="39"/>
      <c r="AI279" s="39"/>
      <c r="AJ279" s="39"/>
      <c r="AK279" s="39"/>
      <c r="AL279" s="39"/>
      <c r="AM279" s="39"/>
      <c r="AN279" s="39"/>
      <c r="AO279" s="39"/>
      <c r="AP279" s="39"/>
      <c r="AQ279" s="39"/>
      <c r="AR279" s="39"/>
      <c r="AS279" s="39"/>
      <c r="AT279" s="39"/>
      <c r="AU279" s="39"/>
      <c r="AV279" s="123"/>
      <c r="AW279" s="124"/>
      <c r="AX279" s="76"/>
      <c r="AY279" s="76"/>
      <c r="AZ279" s="76"/>
      <c r="BA279" s="125"/>
      <c r="BB279" s="125"/>
      <c r="BC279" s="125"/>
      <c r="BD279" s="125"/>
      <c r="BE279" s="125"/>
      <c r="BF279" s="125"/>
      <c r="BG279" s="125"/>
      <c r="BH279" s="125"/>
      <c r="BI279" s="125"/>
      <c r="BJ279" s="41"/>
      <c r="BK279" s="69"/>
      <c r="BL279" s="39"/>
      <c r="BM279" s="39"/>
      <c r="BN279" s="39"/>
      <c r="BO279" s="39"/>
      <c r="BP279" s="39"/>
      <c r="BQ279" s="39"/>
      <c r="BR279" s="39"/>
      <c r="BS279" s="39"/>
      <c r="BT279" s="39"/>
      <c r="BU279" s="39"/>
      <c r="BV279" s="39"/>
      <c r="BW279" s="39"/>
      <c r="BX279" s="39"/>
      <c r="BY279" s="39"/>
    </row>
    <row r="280" spans="1:77" s="37" customFormat="1">
      <c r="A280" s="39"/>
      <c r="B280" s="42"/>
      <c r="C280" s="685"/>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c r="AB280" s="39"/>
      <c r="AC280" s="39"/>
      <c r="AD280" s="39"/>
      <c r="AE280" s="39"/>
      <c r="AF280" s="39"/>
      <c r="AG280" s="39"/>
      <c r="AH280" s="39"/>
      <c r="AI280" s="39"/>
      <c r="AJ280" s="39"/>
      <c r="AK280" s="39"/>
      <c r="AL280" s="39"/>
      <c r="AM280" s="39"/>
      <c r="AN280" s="39"/>
      <c r="AO280" s="39"/>
      <c r="AP280" s="39"/>
      <c r="AQ280" s="39"/>
      <c r="AR280" s="39"/>
      <c r="AS280" s="39"/>
      <c r="AT280" s="39"/>
      <c r="AU280" s="39"/>
      <c r="AV280" s="123"/>
      <c r="AW280" s="124"/>
      <c r="AX280" s="76"/>
      <c r="AY280" s="76"/>
      <c r="AZ280" s="76"/>
      <c r="BA280" s="125"/>
      <c r="BB280" s="125"/>
      <c r="BC280" s="125"/>
      <c r="BD280" s="125"/>
      <c r="BE280" s="125"/>
      <c r="BF280" s="125"/>
      <c r="BG280" s="125"/>
      <c r="BH280" s="125"/>
      <c r="BI280" s="125"/>
      <c r="BJ280" s="41"/>
      <c r="BK280" s="69"/>
      <c r="BL280" s="39"/>
      <c r="BM280" s="39"/>
      <c r="BN280" s="39"/>
      <c r="BO280" s="39"/>
      <c r="BP280" s="39"/>
      <c r="BQ280" s="39"/>
      <c r="BR280" s="39"/>
      <c r="BS280" s="39"/>
      <c r="BT280" s="39"/>
      <c r="BU280" s="39"/>
      <c r="BV280" s="39"/>
      <c r="BW280" s="39"/>
      <c r="BX280" s="39"/>
      <c r="BY280" s="39"/>
    </row>
    <row r="281" spans="1:77" s="37" customFormat="1">
      <c r="A281" s="39"/>
      <c r="B281" s="42"/>
      <c r="C281" s="685"/>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c r="AB281" s="39"/>
      <c r="AC281" s="39"/>
      <c r="AD281" s="39"/>
      <c r="AE281" s="39"/>
      <c r="AF281" s="39"/>
      <c r="AG281" s="39"/>
      <c r="AH281" s="39"/>
      <c r="AI281" s="39"/>
      <c r="AJ281" s="39"/>
      <c r="AK281" s="39"/>
      <c r="AL281" s="39"/>
      <c r="AM281" s="39"/>
      <c r="AN281" s="39"/>
      <c r="AO281" s="39"/>
      <c r="AP281" s="39"/>
      <c r="AQ281" s="39"/>
      <c r="AR281" s="39"/>
      <c r="AS281" s="39"/>
      <c r="AT281" s="39"/>
      <c r="AU281" s="39"/>
      <c r="AV281" s="123"/>
      <c r="AW281" s="124"/>
      <c r="AX281" s="76"/>
      <c r="AY281" s="76"/>
      <c r="AZ281" s="76"/>
      <c r="BA281" s="125"/>
      <c r="BB281" s="125"/>
      <c r="BC281" s="125"/>
      <c r="BD281" s="125"/>
      <c r="BE281" s="125"/>
      <c r="BF281" s="125"/>
      <c r="BG281" s="125"/>
      <c r="BH281" s="125"/>
      <c r="BI281" s="125"/>
      <c r="BJ281" s="41"/>
      <c r="BK281" s="69"/>
      <c r="BL281" s="39"/>
      <c r="BM281" s="39"/>
      <c r="BN281" s="39"/>
      <c r="BO281" s="39"/>
      <c r="BP281" s="39"/>
      <c r="BQ281" s="39"/>
      <c r="BR281" s="39"/>
      <c r="BS281" s="39"/>
      <c r="BT281" s="39"/>
      <c r="BU281" s="39"/>
      <c r="BV281" s="39"/>
      <c r="BW281" s="39"/>
      <c r="BX281" s="39"/>
      <c r="BY281" s="39"/>
    </row>
    <row r="282" spans="1:77" s="37" customFormat="1">
      <c r="A282" s="39"/>
      <c r="B282" s="42"/>
      <c r="C282" s="685"/>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c r="AB282" s="39"/>
      <c r="AC282" s="39"/>
      <c r="AD282" s="39"/>
      <c r="AE282" s="39"/>
      <c r="AF282" s="39"/>
      <c r="AG282" s="39"/>
      <c r="AH282" s="39"/>
      <c r="AI282" s="39"/>
      <c r="AJ282" s="39"/>
      <c r="AK282" s="39"/>
      <c r="AL282" s="39"/>
      <c r="AM282" s="39"/>
      <c r="AN282" s="39"/>
      <c r="AO282" s="39"/>
      <c r="AP282" s="39"/>
      <c r="AQ282" s="39"/>
      <c r="AR282" s="39"/>
      <c r="AS282" s="39"/>
      <c r="AT282" s="39"/>
      <c r="AU282" s="39"/>
      <c r="AV282" s="123"/>
      <c r="AW282" s="124"/>
      <c r="AX282" s="76"/>
      <c r="AY282" s="76"/>
      <c r="AZ282" s="76"/>
      <c r="BA282" s="125"/>
      <c r="BB282" s="125"/>
      <c r="BC282" s="125"/>
      <c r="BD282" s="125"/>
      <c r="BE282" s="125"/>
      <c r="BF282" s="125"/>
      <c r="BG282" s="125"/>
      <c r="BH282" s="125"/>
      <c r="BI282" s="125"/>
      <c r="BJ282" s="41"/>
      <c r="BK282" s="69"/>
      <c r="BL282" s="39"/>
      <c r="BM282" s="39"/>
      <c r="BN282" s="39"/>
      <c r="BO282" s="39"/>
      <c r="BP282" s="39"/>
      <c r="BQ282" s="39"/>
      <c r="BR282" s="39"/>
      <c r="BS282" s="39"/>
      <c r="BT282" s="39"/>
      <c r="BU282" s="39"/>
      <c r="BV282" s="39"/>
      <c r="BW282" s="39"/>
      <c r="BX282" s="39"/>
      <c r="BY282" s="39"/>
    </row>
    <row r="283" spans="1:77" s="37" customFormat="1">
      <c r="A283" s="39"/>
      <c r="B283" s="42"/>
      <c r="C283" s="685"/>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c r="AB283" s="39"/>
      <c r="AC283" s="39"/>
      <c r="AD283" s="39"/>
      <c r="AE283" s="39"/>
      <c r="AF283" s="39"/>
      <c r="AG283" s="39"/>
      <c r="AH283" s="39"/>
      <c r="AI283" s="39"/>
      <c r="AJ283" s="39"/>
      <c r="AK283" s="39"/>
      <c r="AL283" s="39"/>
      <c r="AM283" s="39"/>
      <c r="AN283" s="39"/>
      <c r="AO283" s="39"/>
      <c r="AP283" s="39"/>
      <c r="AQ283" s="39"/>
      <c r="AR283" s="39"/>
      <c r="AS283" s="39"/>
      <c r="AT283" s="39"/>
      <c r="AU283" s="39"/>
      <c r="AV283" s="123"/>
      <c r="AW283" s="124"/>
      <c r="AX283" s="76"/>
      <c r="AY283" s="76"/>
      <c r="AZ283" s="76"/>
      <c r="BA283" s="125"/>
      <c r="BB283" s="125"/>
      <c r="BC283" s="125"/>
      <c r="BD283" s="125"/>
      <c r="BE283" s="125"/>
      <c r="BF283" s="125"/>
      <c r="BG283" s="125"/>
      <c r="BH283" s="125"/>
      <c r="BI283" s="125"/>
      <c r="BJ283" s="41"/>
      <c r="BK283" s="69"/>
      <c r="BL283" s="39"/>
      <c r="BM283" s="39"/>
      <c r="BN283" s="39"/>
      <c r="BO283" s="39"/>
      <c r="BP283" s="39"/>
      <c r="BQ283" s="39"/>
      <c r="BR283" s="39"/>
      <c r="BS283" s="39"/>
      <c r="BT283" s="39"/>
      <c r="BU283" s="39"/>
      <c r="BV283" s="39"/>
      <c r="BW283" s="39"/>
      <c r="BX283" s="39"/>
      <c r="BY283" s="39"/>
    </row>
    <row r="284" spans="1:77" s="37" customFormat="1">
      <c r="A284" s="39"/>
      <c r="B284" s="42"/>
      <c r="C284" s="685"/>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c r="AB284" s="39"/>
      <c r="AC284" s="39"/>
      <c r="AD284" s="39"/>
      <c r="AE284" s="39"/>
      <c r="AF284" s="39"/>
      <c r="AG284" s="39"/>
      <c r="AH284" s="39"/>
      <c r="AI284" s="39"/>
      <c r="AJ284" s="39"/>
      <c r="AK284" s="39"/>
      <c r="AL284" s="39"/>
      <c r="AM284" s="39"/>
      <c r="AN284" s="39"/>
      <c r="AO284" s="39"/>
      <c r="AP284" s="39"/>
      <c r="AQ284" s="39"/>
      <c r="AR284" s="39"/>
      <c r="AS284" s="39"/>
      <c r="AT284" s="39"/>
      <c r="AU284" s="39"/>
      <c r="AV284" s="123"/>
      <c r="AW284" s="124"/>
      <c r="AX284" s="76"/>
      <c r="AY284" s="76"/>
      <c r="AZ284" s="76"/>
      <c r="BA284" s="125"/>
      <c r="BB284" s="125"/>
      <c r="BC284" s="125"/>
      <c r="BD284" s="125"/>
      <c r="BE284" s="125"/>
      <c r="BF284" s="125"/>
      <c r="BG284" s="125"/>
      <c r="BH284" s="125"/>
      <c r="BI284" s="125"/>
      <c r="BJ284" s="41"/>
      <c r="BK284" s="69"/>
      <c r="BL284" s="39"/>
      <c r="BM284" s="39"/>
      <c r="BN284" s="39"/>
      <c r="BO284" s="39"/>
      <c r="BP284" s="39"/>
      <c r="BQ284" s="39"/>
      <c r="BR284" s="39"/>
      <c r="BS284" s="39"/>
      <c r="BT284" s="39"/>
      <c r="BU284" s="39"/>
      <c r="BV284" s="39"/>
      <c r="BW284" s="39"/>
      <c r="BX284" s="39"/>
      <c r="BY284" s="39"/>
    </row>
    <row r="285" spans="1:77" s="37" customFormat="1">
      <c r="A285" s="39"/>
      <c r="B285" s="42"/>
      <c r="C285" s="685"/>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c r="AB285" s="39"/>
      <c r="AC285" s="39"/>
      <c r="AD285" s="39"/>
      <c r="AE285" s="39"/>
      <c r="AF285" s="39"/>
      <c r="AG285" s="39"/>
      <c r="AH285" s="39"/>
      <c r="AI285" s="39"/>
      <c r="AJ285" s="39"/>
      <c r="AK285" s="39"/>
      <c r="AL285" s="39"/>
      <c r="AM285" s="39"/>
      <c r="AN285" s="39"/>
      <c r="AO285" s="39"/>
      <c r="AP285" s="39"/>
      <c r="AQ285" s="39"/>
      <c r="AR285" s="39"/>
      <c r="AS285" s="39"/>
      <c r="AT285" s="39"/>
      <c r="AU285" s="39"/>
      <c r="AV285" s="123"/>
      <c r="AW285" s="124"/>
      <c r="AX285" s="76"/>
      <c r="AY285" s="76"/>
      <c r="AZ285" s="76"/>
      <c r="BA285" s="125"/>
      <c r="BB285" s="125"/>
      <c r="BC285" s="125"/>
      <c r="BD285" s="125"/>
      <c r="BE285" s="125"/>
      <c r="BF285" s="125"/>
      <c r="BG285" s="125"/>
      <c r="BH285" s="125"/>
      <c r="BI285" s="125"/>
      <c r="BJ285" s="41"/>
      <c r="BK285" s="69"/>
      <c r="BL285" s="39"/>
      <c r="BM285" s="39"/>
      <c r="BN285" s="39"/>
      <c r="BO285" s="39"/>
      <c r="BP285" s="39"/>
      <c r="BQ285" s="39"/>
      <c r="BR285" s="39"/>
      <c r="BS285" s="39"/>
      <c r="BT285" s="39"/>
      <c r="BU285" s="39"/>
      <c r="BV285" s="39"/>
      <c r="BW285" s="39"/>
      <c r="BX285" s="39"/>
      <c r="BY285" s="39"/>
    </row>
    <row r="286" spans="1:77" s="37" customFormat="1">
      <c r="A286" s="39"/>
      <c r="B286" s="42"/>
      <c r="C286" s="685"/>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c r="AB286" s="39"/>
      <c r="AC286" s="39"/>
      <c r="AD286" s="39"/>
      <c r="AE286" s="39"/>
      <c r="AF286" s="39"/>
      <c r="AG286" s="39"/>
      <c r="AH286" s="39"/>
      <c r="AI286" s="39"/>
      <c r="AJ286" s="39"/>
      <c r="AK286" s="39"/>
      <c r="AL286" s="39"/>
      <c r="AM286" s="39"/>
      <c r="AN286" s="39"/>
      <c r="AO286" s="39"/>
      <c r="AP286" s="39"/>
      <c r="AQ286" s="39"/>
      <c r="AR286" s="39"/>
      <c r="AS286" s="39"/>
      <c r="AT286" s="39"/>
      <c r="AU286" s="39"/>
      <c r="AV286" s="123"/>
      <c r="AW286" s="124"/>
      <c r="AX286" s="76"/>
      <c r="AY286" s="76"/>
      <c r="AZ286" s="76"/>
      <c r="BA286" s="125"/>
      <c r="BB286" s="125"/>
      <c r="BC286" s="125"/>
      <c r="BD286" s="125"/>
      <c r="BE286" s="125"/>
      <c r="BF286" s="125"/>
      <c r="BG286" s="125"/>
      <c r="BH286" s="125"/>
      <c r="BI286" s="125"/>
      <c r="BJ286" s="41"/>
      <c r="BK286" s="69"/>
      <c r="BL286" s="39"/>
      <c r="BM286" s="39"/>
      <c r="BN286" s="39"/>
      <c r="BO286" s="39"/>
      <c r="BP286" s="39"/>
      <c r="BQ286" s="39"/>
      <c r="BR286" s="39"/>
      <c r="BS286" s="39"/>
      <c r="BT286" s="39"/>
      <c r="BU286" s="39"/>
      <c r="BV286" s="39"/>
      <c r="BW286" s="39"/>
      <c r="BX286" s="39"/>
      <c r="BY286" s="39"/>
    </row>
    <row r="287" spans="1:77" s="37" customFormat="1">
      <c r="A287" s="39"/>
      <c r="B287" s="42"/>
      <c r="C287" s="685"/>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c r="AB287" s="39"/>
      <c r="AC287" s="39"/>
      <c r="AD287" s="39"/>
      <c r="AE287" s="39"/>
      <c r="AF287" s="39"/>
      <c r="AG287" s="39"/>
      <c r="AH287" s="39"/>
      <c r="AI287" s="39"/>
      <c r="AJ287" s="39"/>
      <c r="AK287" s="39"/>
      <c r="AL287" s="39"/>
      <c r="AM287" s="39"/>
      <c r="AN287" s="39"/>
      <c r="AO287" s="39"/>
      <c r="AP287" s="39"/>
      <c r="AQ287" s="39"/>
      <c r="AR287" s="39"/>
      <c r="AS287" s="39"/>
      <c r="AT287" s="39"/>
      <c r="AU287" s="39"/>
      <c r="AV287" s="123"/>
      <c r="AW287" s="124"/>
      <c r="AX287" s="76"/>
      <c r="AY287" s="76"/>
      <c r="AZ287" s="76"/>
      <c r="BA287" s="125"/>
      <c r="BB287" s="125"/>
      <c r="BC287" s="125"/>
      <c r="BD287" s="125"/>
      <c r="BE287" s="125"/>
      <c r="BF287" s="125"/>
      <c r="BG287" s="125"/>
      <c r="BH287" s="125"/>
      <c r="BI287" s="125"/>
      <c r="BJ287" s="41"/>
      <c r="BK287" s="69"/>
      <c r="BL287" s="39"/>
      <c r="BM287" s="39"/>
      <c r="BN287" s="39"/>
      <c r="BO287" s="39"/>
      <c r="BP287" s="39"/>
      <c r="BQ287" s="39"/>
      <c r="BR287" s="39"/>
      <c r="BS287" s="39"/>
      <c r="BT287" s="39"/>
      <c r="BU287" s="39"/>
      <c r="BV287" s="39"/>
      <c r="BW287" s="39"/>
      <c r="BX287" s="39"/>
      <c r="BY287" s="39"/>
    </row>
    <row r="288" spans="1:77" s="37" customFormat="1">
      <c r="A288" s="39"/>
      <c r="B288" s="42"/>
      <c r="C288" s="685"/>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c r="AB288" s="39"/>
      <c r="AC288" s="39"/>
      <c r="AD288" s="39"/>
      <c r="AE288" s="39"/>
      <c r="AF288" s="39"/>
      <c r="AG288" s="39"/>
      <c r="AH288" s="39"/>
      <c r="AI288" s="39"/>
      <c r="AJ288" s="39"/>
      <c r="AK288" s="39"/>
      <c r="AL288" s="39"/>
      <c r="AM288" s="39"/>
      <c r="AN288" s="39"/>
      <c r="AO288" s="39"/>
      <c r="AP288" s="39"/>
      <c r="AQ288" s="39"/>
      <c r="AR288" s="39"/>
      <c r="AS288" s="39"/>
      <c r="AT288" s="39"/>
      <c r="AU288" s="39"/>
      <c r="AV288" s="123"/>
      <c r="AW288" s="124"/>
      <c r="AX288" s="76"/>
      <c r="AY288" s="76"/>
      <c r="AZ288" s="76"/>
      <c r="BA288" s="125"/>
      <c r="BB288" s="125"/>
      <c r="BC288" s="125"/>
      <c r="BD288" s="125"/>
      <c r="BE288" s="125"/>
      <c r="BF288" s="125"/>
      <c r="BG288" s="125"/>
      <c r="BH288" s="125"/>
      <c r="BI288" s="125"/>
      <c r="BJ288" s="41"/>
      <c r="BK288" s="69"/>
      <c r="BL288" s="39"/>
      <c r="BM288" s="39"/>
      <c r="BN288" s="39"/>
      <c r="BO288" s="39"/>
      <c r="BP288" s="39"/>
      <c r="BQ288" s="39"/>
      <c r="BR288" s="39"/>
      <c r="BS288" s="39"/>
      <c r="BT288" s="39"/>
      <c r="BU288" s="39"/>
      <c r="BV288" s="39"/>
      <c r="BW288" s="39"/>
      <c r="BX288" s="39"/>
      <c r="BY288" s="39"/>
    </row>
    <row r="289" spans="1:77" s="37" customFormat="1">
      <c r="A289" s="39"/>
      <c r="B289" s="42"/>
      <c r="C289" s="685"/>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c r="AJ289" s="39"/>
      <c r="AK289" s="39"/>
      <c r="AL289" s="39"/>
      <c r="AM289" s="39"/>
      <c r="AN289" s="39"/>
      <c r="AO289" s="39"/>
      <c r="AP289" s="39"/>
      <c r="AQ289" s="39"/>
      <c r="AR289" s="39"/>
      <c r="AS289" s="39"/>
      <c r="AT289" s="39"/>
      <c r="AU289" s="39"/>
      <c r="AV289" s="123"/>
      <c r="AW289" s="124"/>
      <c r="AX289" s="76"/>
      <c r="AY289" s="76"/>
      <c r="AZ289" s="76"/>
      <c r="BA289" s="125"/>
      <c r="BB289" s="125"/>
      <c r="BC289" s="125"/>
      <c r="BD289" s="125"/>
      <c r="BE289" s="125"/>
      <c r="BF289" s="125"/>
      <c r="BG289" s="125"/>
      <c r="BH289" s="125"/>
      <c r="BI289" s="125"/>
      <c r="BJ289" s="41"/>
      <c r="BK289" s="69"/>
      <c r="BL289" s="39"/>
      <c r="BM289" s="39"/>
      <c r="BN289" s="39"/>
      <c r="BO289" s="39"/>
      <c r="BP289" s="39"/>
      <c r="BQ289" s="39"/>
      <c r="BR289" s="39"/>
      <c r="BS289" s="39"/>
      <c r="BT289" s="39"/>
      <c r="BU289" s="39"/>
      <c r="BV289" s="39"/>
      <c r="BW289" s="39"/>
      <c r="BX289" s="39"/>
      <c r="BY289" s="39"/>
    </row>
    <row r="290" spans="1:77" s="37" customFormat="1">
      <c r="A290" s="39"/>
      <c r="B290" s="42"/>
      <c r="C290" s="685"/>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c r="AB290" s="39"/>
      <c r="AC290" s="39"/>
      <c r="AD290" s="39"/>
      <c r="AE290" s="39"/>
      <c r="AF290" s="39"/>
      <c r="AG290" s="39"/>
      <c r="AH290" s="39"/>
      <c r="AI290" s="39"/>
      <c r="AJ290" s="39"/>
      <c r="AK290" s="39"/>
      <c r="AL290" s="39"/>
      <c r="AM290" s="39"/>
      <c r="AN290" s="39"/>
      <c r="AO290" s="39"/>
      <c r="AP290" s="39"/>
      <c r="AQ290" s="39"/>
      <c r="AR290" s="39"/>
      <c r="AS290" s="39"/>
      <c r="AT290" s="39"/>
      <c r="AU290" s="39"/>
      <c r="AV290" s="123"/>
      <c r="AW290" s="124"/>
      <c r="AX290" s="76"/>
      <c r="AY290" s="76"/>
      <c r="AZ290" s="76"/>
      <c r="BA290" s="125"/>
      <c r="BB290" s="125"/>
      <c r="BC290" s="125"/>
      <c r="BD290" s="125"/>
      <c r="BE290" s="125"/>
      <c r="BF290" s="125"/>
      <c r="BG290" s="125"/>
      <c r="BH290" s="125"/>
      <c r="BI290" s="125"/>
      <c r="BJ290" s="41"/>
      <c r="BK290" s="69"/>
      <c r="BL290" s="39"/>
      <c r="BM290" s="39"/>
      <c r="BN290" s="39"/>
      <c r="BO290" s="39"/>
      <c r="BP290" s="39"/>
      <c r="BQ290" s="39"/>
      <c r="BR290" s="39"/>
      <c r="BS290" s="39"/>
      <c r="BT290" s="39"/>
      <c r="BU290" s="39"/>
      <c r="BV290" s="39"/>
      <c r="BW290" s="39"/>
      <c r="BX290" s="39"/>
      <c r="BY290" s="39"/>
    </row>
    <row r="291" spans="1:77" s="37" customFormat="1">
      <c r="A291" s="39"/>
      <c r="B291" s="42"/>
      <c r="C291" s="685"/>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c r="AB291" s="39"/>
      <c r="AC291" s="39"/>
      <c r="AD291" s="39"/>
      <c r="AE291" s="39"/>
      <c r="AF291" s="39"/>
      <c r="AG291" s="39"/>
      <c r="AH291" s="39"/>
      <c r="AI291" s="39"/>
      <c r="AJ291" s="39"/>
      <c r="AK291" s="39"/>
      <c r="AL291" s="39"/>
      <c r="AM291" s="39"/>
      <c r="AN291" s="39"/>
      <c r="AO291" s="39"/>
      <c r="AP291" s="39"/>
      <c r="AQ291" s="39"/>
      <c r="AR291" s="39"/>
      <c r="AS291" s="39"/>
      <c r="AT291" s="39"/>
      <c r="AU291" s="39"/>
      <c r="AV291" s="123"/>
      <c r="AW291" s="124"/>
      <c r="AX291" s="76"/>
      <c r="AY291" s="76"/>
      <c r="AZ291" s="76"/>
      <c r="BA291" s="125"/>
      <c r="BB291" s="125"/>
      <c r="BC291" s="125"/>
      <c r="BD291" s="125"/>
      <c r="BE291" s="125"/>
      <c r="BF291" s="125"/>
      <c r="BG291" s="125"/>
      <c r="BH291" s="125"/>
      <c r="BI291" s="125"/>
      <c r="BJ291" s="41"/>
      <c r="BK291" s="69"/>
      <c r="BL291" s="39"/>
      <c r="BM291" s="39"/>
      <c r="BN291" s="39"/>
      <c r="BO291" s="39"/>
      <c r="BP291" s="39"/>
      <c r="BQ291" s="39"/>
      <c r="BR291" s="39"/>
      <c r="BS291" s="39"/>
      <c r="BT291" s="39"/>
      <c r="BU291" s="39"/>
      <c r="BV291" s="39"/>
      <c r="BW291" s="39"/>
      <c r="BX291" s="39"/>
      <c r="BY291" s="39"/>
    </row>
    <row r="292" spans="1:77" s="37" customFormat="1">
      <c r="A292" s="39"/>
      <c r="B292" s="42"/>
      <c r="C292" s="685"/>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c r="AB292" s="39"/>
      <c r="AC292" s="39"/>
      <c r="AD292" s="39"/>
      <c r="AE292" s="39"/>
      <c r="AF292" s="39"/>
      <c r="AG292" s="39"/>
      <c r="AH292" s="39"/>
      <c r="AI292" s="39"/>
      <c r="AJ292" s="39"/>
      <c r="AK292" s="39"/>
      <c r="AL292" s="39"/>
      <c r="AM292" s="39"/>
      <c r="AN292" s="39"/>
      <c r="AO292" s="39"/>
      <c r="AP292" s="39"/>
      <c r="AQ292" s="39"/>
      <c r="AR292" s="39"/>
      <c r="AS292" s="39"/>
      <c r="AT292" s="39"/>
      <c r="AU292" s="39"/>
      <c r="AV292" s="123"/>
      <c r="AW292" s="124"/>
      <c r="AX292" s="76"/>
      <c r="AY292" s="76"/>
      <c r="AZ292" s="76"/>
      <c r="BA292" s="125"/>
      <c r="BB292" s="125"/>
      <c r="BC292" s="125"/>
      <c r="BD292" s="125"/>
      <c r="BE292" s="125"/>
      <c r="BF292" s="125"/>
      <c r="BG292" s="125"/>
      <c r="BH292" s="125"/>
      <c r="BI292" s="125"/>
      <c r="BJ292" s="41"/>
      <c r="BK292" s="69"/>
      <c r="BL292" s="39"/>
      <c r="BM292" s="39"/>
      <c r="BN292" s="39"/>
      <c r="BO292" s="39"/>
      <c r="BP292" s="39"/>
      <c r="BQ292" s="39"/>
      <c r="BR292" s="39"/>
      <c r="BS292" s="39"/>
      <c r="BT292" s="39"/>
      <c r="BU292" s="39"/>
      <c r="BV292" s="39"/>
      <c r="BW292" s="39"/>
      <c r="BX292" s="39"/>
      <c r="BY292" s="39"/>
    </row>
    <row r="293" spans="1:77" s="37" customFormat="1">
      <c r="A293" s="39"/>
      <c r="B293" s="42"/>
      <c r="C293" s="685"/>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c r="AB293" s="39"/>
      <c r="AC293" s="39"/>
      <c r="AD293" s="39"/>
      <c r="AE293" s="39"/>
      <c r="AF293" s="39"/>
      <c r="AG293" s="39"/>
      <c r="AH293" s="39"/>
      <c r="AI293" s="39"/>
      <c r="AJ293" s="39"/>
      <c r="AK293" s="39"/>
      <c r="AL293" s="39"/>
      <c r="AM293" s="39"/>
      <c r="AN293" s="39"/>
      <c r="AO293" s="39"/>
      <c r="AP293" s="39"/>
      <c r="AQ293" s="39"/>
      <c r="AR293" s="39"/>
      <c r="AS293" s="39"/>
      <c r="AT293" s="39"/>
      <c r="AU293" s="39"/>
      <c r="AV293" s="123"/>
      <c r="AW293" s="124"/>
      <c r="AX293" s="76"/>
      <c r="AY293" s="76"/>
      <c r="AZ293" s="76"/>
      <c r="BA293" s="125"/>
      <c r="BB293" s="125"/>
      <c r="BC293" s="125"/>
      <c r="BD293" s="125"/>
      <c r="BE293" s="125"/>
      <c r="BF293" s="125"/>
      <c r="BG293" s="125"/>
      <c r="BH293" s="125"/>
      <c r="BI293" s="125"/>
      <c r="BJ293" s="41"/>
      <c r="BK293" s="69"/>
      <c r="BL293" s="39"/>
      <c r="BM293" s="39"/>
      <c r="BN293" s="39"/>
      <c r="BO293" s="39"/>
      <c r="BP293" s="39"/>
      <c r="BQ293" s="39"/>
      <c r="BR293" s="39"/>
      <c r="BS293" s="39"/>
      <c r="BT293" s="39"/>
      <c r="BU293" s="39"/>
      <c r="BV293" s="39"/>
      <c r="BW293" s="39"/>
      <c r="BX293" s="39"/>
      <c r="BY293" s="39"/>
    </row>
    <row r="294" spans="1:77" s="37" customFormat="1">
      <c r="A294" s="39"/>
      <c r="B294" s="42"/>
      <c r="C294" s="685"/>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c r="AJ294" s="39"/>
      <c r="AK294" s="39"/>
      <c r="AL294" s="39"/>
      <c r="AM294" s="39"/>
      <c r="AN294" s="39"/>
      <c r="AO294" s="39"/>
      <c r="AP294" s="39"/>
      <c r="AQ294" s="39"/>
      <c r="AR294" s="39"/>
      <c r="AS294" s="39"/>
      <c r="AT294" s="39"/>
      <c r="AU294" s="39"/>
      <c r="AV294" s="123"/>
      <c r="AW294" s="124"/>
      <c r="AX294" s="76"/>
      <c r="AY294" s="76"/>
      <c r="AZ294" s="76"/>
      <c r="BA294" s="125"/>
      <c r="BB294" s="125"/>
      <c r="BC294" s="125"/>
      <c r="BD294" s="125"/>
      <c r="BE294" s="125"/>
      <c r="BF294" s="125"/>
      <c r="BG294" s="125"/>
      <c r="BH294" s="125"/>
      <c r="BI294" s="125"/>
      <c r="BJ294" s="41"/>
      <c r="BK294" s="69"/>
      <c r="BL294" s="39"/>
      <c r="BM294" s="39"/>
      <c r="BN294" s="39"/>
      <c r="BO294" s="39"/>
      <c r="BP294" s="39"/>
      <c r="BQ294" s="39"/>
      <c r="BR294" s="39"/>
      <c r="BS294" s="39"/>
      <c r="BT294" s="39"/>
      <c r="BU294" s="39"/>
      <c r="BV294" s="39"/>
      <c r="BW294" s="39"/>
      <c r="BX294" s="39"/>
      <c r="BY294" s="39"/>
    </row>
    <row r="295" spans="1:77" s="37" customFormat="1">
      <c r="A295" s="39"/>
      <c r="B295" s="42"/>
      <c r="C295" s="685"/>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c r="AK295" s="39"/>
      <c r="AL295" s="39"/>
      <c r="AM295" s="39"/>
      <c r="AN295" s="39"/>
      <c r="AO295" s="39"/>
      <c r="AP295" s="39"/>
      <c r="AQ295" s="39"/>
      <c r="AR295" s="39"/>
      <c r="AS295" s="39"/>
      <c r="AT295" s="39"/>
      <c r="AU295" s="39"/>
      <c r="AV295" s="123"/>
      <c r="AW295" s="124"/>
      <c r="AX295" s="76"/>
      <c r="AY295" s="76"/>
      <c r="AZ295" s="76"/>
      <c r="BA295" s="125"/>
      <c r="BB295" s="125"/>
      <c r="BC295" s="125"/>
      <c r="BD295" s="125"/>
      <c r="BE295" s="125"/>
      <c r="BF295" s="125"/>
      <c r="BG295" s="125"/>
      <c r="BH295" s="125"/>
      <c r="BI295" s="125"/>
      <c r="BJ295" s="41"/>
      <c r="BK295" s="69"/>
      <c r="BL295" s="39"/>
      <c r="BM295" s="39"/>
      <c r="BN295" s="39"/>
      <c r="BO295" s="39"/>
      <c r="BP295" s="39"/>
      <c r="BQ295" s="39"/>
      <c r="BR295" s="39"/>
      <c r="BS295" s="39"/>
      <c r="BT295" s="39"/>
      <c r="BU295" s="39"/>
      <c r="BV295" s="39"/>
      <c r="BW295" s="39"/>
      <c r="BX295" s="39"/>
      <c r="BY295" s="39"/>
    </row>
    <row r="296" spans="1:77" s="37" customFormat="1">
      <c r="A296" s="39"/>
      <c r="B296" s="42"/>
      <c r="C296" s="685"/>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c r="AB296" s="39"/>
      <c r="AC296" s="39"/>
      <c r="AD296" s="39"/>
      <c r="AE296" s="39"/>
      <c r="AF296" s="39"/>
      <c r="AG296" s="39"/>
      <c r="AH296" s="39"/>
      <c r="AI296" s="39"/>
      <c r="AJ296" s="39"/>
      <c r="AK296" s="39"/>
      <c r="AL296" s="39"/>
      <c r="AM296" s="39"/>
      <c r="AN296" s="39"/>
      <c r="AO296" s="39"/>
      <c r="AP296" s="39"/>
      <c r="AQ296" s="39"/>
      <c r="AR296" s="39"/>
      <c r="AS296" s="39"/>
      <c r="AT296" s="39"/>
      <c r="AU296" s="39"/>
      <c r="AV296" s="123"/>
      <c r="AW296" s="124"/>
      <c r="AX296" s="76"/>
      <c r="AY296" s="76"/>
      <c r="AZ296" s="76"/>
      <c r="BA296" s="125"/>
      <c r="BB296" s="125"/>
      <c r="BC296" s="125"/>
      <c r="BD296" s="125"/>
      <c r="BE296" s="125"/>
      <c r="BF296" s="125"/>
      <c r="BG296" s="125"/>
      <c r="BH296" s="125"/>
      <c r="BI296" s="125"/>
      <c r="BJ296" s="41"/>
      <c r="BK296" s="69"/>
      <c r="BL296" s="39"/>
      <c r="BM296" s="39"/>
      <c r="BN296" s="39"/>
      <c r="BO296" s="39"/>
      <c r="BP296" s="39"/>
      <c r="BQ296" s="39"/>
      <c r="BR296" s="39"/>
      <c r="BS296" s="39"/>
      <c r="BT296" s="39"/>
      <c r="BU296" s="39"/>
      <c r="BV296" s="39"/>
      <c r="BW296" s="39"/>
      <c r="BX296" s="39"/>
      <c r="BY296" s="39"/>
    </row>
    <row r="297" spans="1:77" s="37" customFormat="1">
      <c r="A297" s="39"/>
      <c r="B297" s="42"/>
      <c r="C297" s="685"/>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c r="AB297" s="39"/>
      <c r="AC297" s="39"/>
      <c r="AD297" s="39"/>
      <c r="AE297" s="39"/>
      <c r="AF297" s="39"/>
      <c r="AG297" s="39"/>
      <c r="AH297" s="39"/>
      <c r="AI297" s="39"/>
      <c r="AJ297" s="39"/>
      <c r="AK297" s="39"/>
      <c r="AL297" s="39"/>
      <c r="AM297" s="39"/>
      <c r="AN297" s="39"/>
      <c r="AO297" s="39"/>
      <c r="AP297" s="39"/>
      <c r="AQ297" s="39"/>
      <c r="AR297" s="39"/>
      <c r="AS297" s="39"/>
      <c r="AT297" s="39"/>
      <c r="AU297" s="39"/>
      <c r="AV297" s="123"/>
      <c r="AW297" s="124"/>
      <c r="AX297" s="76"/>
      <c r="AY297" s="76"/>
      <c r="AZ297" s="76"/>
      <c r="BA297" s="125"/>
      <c r="BB297" s="125"/>
      <c r="BC297" s="125"/>
      <c r="BD297" s="125"/>
      <c r="BE297" s="125"/>
      <c r="BF297" s="125"/>
      <c r="BG297" s="125"/>
      <c r="BH297" s="125"/>
      <c r="BI297" s="125"/>
      <c r="BJ297" s="41"/>
      <c r="BK297" s="69"/>
      <c r="BL297" s="39"/>
      <c r="BM297" s="39"/>
      <c r="BN297" s="39"/>
      <c r="BO297" s="39"/>
      <c r="BP297" s="39"/>
      <c r="BQ297" s="39"/>
      <c r="BR297" s="39"/>
      <c r="BS297" s="39"/>
      <c r="BT297" s="39"/>
      <c r="BU297" s="39"/>
      <c r="BV297" s="39"/>
      <c r="BW297" s="39"/>
      <c r="BX297" s="39"/>
      <c r="BY297" s="39"/>
    </row>
    <row r="298" spans="1:77" s="37" customFormat="1">
      <c r="A298" s="39"/>
      <c r="B298" s="42"/>
      <c r="C298" s="685"/>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c r="AJ298" s="39"/>
      <c r="AK298" s="39"/>
      <c r="AL298" s="39"/>
      <c r="AM298" s="39"/>
      <c r="AN298" s="39"/>
      <c r="AO298" s="39"/>
      <c r="AP298" s="39"/>
      <c r="AQ298" s="39"/>
      <c r="AR298" s="39"/>
      <c r="AS298" s="39"/>
      <c r="AT298" s="39"/>
      <c r="AU298" s="39"/>
      <c r="AV298" s="123"/>
      <c r="AW298" s="124"/>
      <c r="AX298" s="76"/>
      <c r="AY298" s="76"/>
      <c r="AZ298" s="76"/>
      <c r="BA298" s="125"/>
      <c r="BB298" s="125"/>
      <c r="BC298" s="125"/>
      <c r="BD298" s="125"/>
      <c r="BE298" s="125"/>
      <c r="BF298" s="125"/>
      <c r="BG298" s="125"/>
      <c r="BH298" s="125"/>
      <c r="BI298" s="125"/>
      <c r="BJ298" s="41"/>
      <c r="BK298" s="69"/>
      <c r="BL298" s="39"/>
      <c r="BM298" s="39"/>
      <c r="BN298" s="39"/>
      <c r="BO298" s="39"/>
      <c r="BP298" s="39"/>
      <c r="BQ298" s="39"/>
      <c r="BR298" s="39"/>
      <c r="BS298" s="39"/>
      <c r="BT298" s="39"/>
      <c r="BU298" s="39"/>
      <c r="BV298" s="39"/>
      <c r="BW298" s="39"/>
      <c r="BX298" s="39"/>
      <c r="BY298" s="39"/>
    </row>
    <row r="299" spans="1:77" s="37" customFormat="1">
      <c r="A299" s="39"/>
      <c r="B299" s="42"/>
      <c r="C299" s="685"/>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c r="AB299" s="39"/>
      <c r="AC299" s="39"/>
      <c r="AD299" s="39"/>
      <c r="AE299" s="39"/>
      <c r="AF299" s="39"/>
      <c r="AG299" s="39"/>
      <c r="AH299" s="39"/>
      <c r="AI299" s="39"/>
      <c r="AJ299" s="39"/>
      <c r="AK299" s="39"/>
      <c r="AL299" s="39"/>
      <c r="AM299" s="39"/>
      <c r="AN299" s="39"/>
      <c r="AO299" s="39"/>
      <c r="AP299" s="39"/>
      <c r="AQ299" s="39"/>
      <c r="AR299" s="39"/>
      <c r="AS299" s="39"/>
      <c r="AT299" s="39"/>
      <c r="AU299" s="39"/>
      <c r="AV299" s="123"/>
      <c r="AW299" s="124"/>
      <c r="AX299" s="76"/>
      <c r="AY299" s="76"/>
      <c r="AZ299" s="76"/>
      <c r="BA299" s="125"/>
      <c r="BB299" s="125"/>
      <c r="BC299" s="125"/>
      <c r="BD299" s="125"/>
      <c r="BE299" s="125"/>
      <c r="BF299" s="125"/>
      <c r="BG299" s="125"/>
      <c r="BH299" s="125"/>
      <c r="BI299" s="125"/>
      <c r="BJ299" s="41"/>
      <c r="BK299" s="69"/>
      <c r="BL299" s="39"/>
      <c r="BM299" s="39"/>
      <c r="BN299" s="39"/>
      <c r="BO299" s="39"/>
      <c r="BP299" s="39"/>
      <c r="BQ299" s="39"/>
      <c r="BR299" s="39"/>
      <c r="BS299" s="39"/>
      <c r="BT299" s="39"/>
      <c r="BU299" s="39"/>
      <c r="BV299" s="39"/>
      <c r="BW299" s="39"/>
      <c r="BX299" s="39"/>
      <c r="BY299" s="39"/>
    </row>
    <row r="300" spans="1:77" s="37" customFormat="1">
      <c r="A300" s="39"/>
      <c r="B300" s="42"/>
      <c r="C300" s="685"/>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c r="AB300" s="39"/>
      <c r="AC300" s="39"/>
      <c r="AD300" s="39"/>
      <c r="AE300" s="39"/>
      <c r="AF300" s="39"/>
      <c r="AG300" s="39"/>
      <c r="AH300" s="39"/>
      <c r="AI300" s="39"/>
      <c r="AJ300" s="39"/>
      <c r="AK300" s="39"/>
      <c r="AL300" s="39"/>
      <c r="AM300" s="39"/>
      <c r="AN300" s="39"/>
      <c r="AO300" s="39"/>
      <c r="AP300" s="39"/>
      <c r="AQ300" s="39"/>
      <c r="AR300" s="39"/>
      <c r="AS300" s="39"/>
      <c r="AT300" s="39"/>
      <c r="AU300" s="39"/>
      <c r="AV300" s="123"/>
      <c r="AW300" s="124"/>
      <c r="AX300" s="76"/>
      <c r="AY300" s="76"/>
      <c r="AZ300" s="76"/>
      <c r="BA300" s="125"/>
      <c r="BB300" s="125"/>
      <c r="BC300" s="125"/>
      <c r="BD300" s="125"/>
      <c r="BE300" s="125"/>
      <c r="BF300" s="125"/>
      <c r="BG300" s="125"/>
      <c r="BH300" s="125"/>
      <c r="BI300" s="125"/>
      <c r="BJ300" s="41"/>
      <c r="BK300" s="69"/>
      <c r="BL300" s="39"/>
      <c r="BM300" s="39"/>
      <c r="BN300" s="39"/>
      <c r="BO300" s="39"/>
      <c r="BP300" s="39"/>
      <c r="BQ300" s="39"/>
      <c r="BR300" s="39"/>
      <c r="BS300" s="39"/>
      <c r="BT300" s="39"/>
      <c r="BU300" s="39"/>
      <c r="BV300" s="39"/>
      <c r="BW300" s="39"/>
      <c r="BX300" s="39"/>
      <c r="BY300" s="39"/>
    </row>
    <row r="301" spans="1:77" s="37" customFormat="1">
      <c r="A301" s="39"/>
      <c r="B301" s="42"/>
      <c r="C301" s="685"/>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c r="AK301" s="39"/>
      <c r="AL301" s="39"/>
      <c r="AM301" s="39"/>
      <c r="AN301" s="39"/>
      <c r="AO301" s="39"/>
      <c r="AP301" s="39"/>
      <c r="AQ301" s="39"/>
      <c r="AR301" s="39"/>
      <c r="AS301" s="39"/>
      <c r="AT301" s="39"/>
      <c r="AU301" s="39"/>
      <c r="AV301" s="123"/>
      <c r="AW301" s="124"/>
      <c r="AX301" s="76"/>
      <c r="AY301" s="76"/>
      <c r="AZ301" s="76"/>
      <c r="BA301" s="125"/>
      <c r="BB301" s="125"/>
      <c r="BC301" s="125"/>
      <c r="BD301" s="125"/>
      <c r="BE301" s="125"/>
      <c r="BF301" s="125"/>
      <c r="BG301" s="125"/>
      <c r="BH301" s="125"/>
      <c r="BI301" s="125"/>
      <c r="BJ301" s="41"/>
      <c r="BK301" s="69"/>
      <c r="BL301" s="39"/>
      <c r="BM301" s="39"/>
      <c r="BN301" s="39"/>
      <c r="BO301" s="39"/>
      <c r="BP301" s="39"/>
      <c r="BQ301" s="39"/>
      <c r="BR301" s="39"/>
      <c r="BS301" s="39"/>
      <c r="BT301" s="39"/>
      <c r="BU301" s="39"/>
      <c r="BV301" s="39"/>
      <c r="BW301" s="39"/>
      <c r="BX301" s="39"/>
      <c r="BY301" s="39"/>
    </row>
    <row r="302" spans="1:77" s="37" customFormat="1">
      <c r="A302" s="39"/>
      <c r="B302" s="42"/>
      <c r="C302" s="685"/>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c r="AB302" s="39"/>
      <c r="AC302" s="39"/>
      <c r="AD302" s="39"/>
      <c r="AE302" s="39"/>
      <c r="AF302" s="39"/>
      <c r="AG302" s="39"/>
      <c r="AH302" s="39"/>
      <c r="AI302" s="39"/>
      <c r="AJ302" s="39"/>
      <c r="AK302" s="39"/>
      <c r="AL302" s="39"/>
      <c r="AM302" s="39"/>
      <c r="AN302" s="39"/>
      <c r="AO302" s="39"/>
      <c r="AP302" s="39"/>
      <c r="AQ302" s="39"/>
      <c r="AR302" s="39"/>
      <c r="AS302" s="39"/>
      <c r="AT302" s="39"/>
      <c r="AU302" s="39"/>
      <c r="AV302" s="123"/>
      <c r="AW302" s="124"/>
      <c r="AX302" s="76"/>
      <c r="AY302" s="76"/>
      <c r="AZ302" s="76"/>
      <c r="BA302" s="125"/>
      <c r="BB302" s="125"/>
      <c r="BC302" s="125"/>
      <c r="BD302" s="125"/>
      <c r="BE302" s="125"/>
      <c r="BF302" s="125"/>
      <c r="BG302" s="125"/>
      <c r="BH302" s="125"/>
      <c r="BI302" s="125"/>
      <c r="BJ302" s="41"/>
      <c r="BK302" s="69"/>
      <c r="BL302" s="39"/>
      <c r="BM302" s="39"/>
      <c r="BN302" s="39"/>
      <c r="BO302" s="39"/>
      <c r="BP302" s="39"/>
      <c r="BQ302" s="39"/>
      <c r="BR302" s="39"/>
      <c r="BS302" s="39"/>
      <c r="BT302" s="39"/>
      <c r="BU302" s="39"/>
      <c r="BV302" s="39"/>
      <c r="BW302" s="39"/>
      <c r="BX302" s="39"/>
      <c r="BY302" s="39"/>
    </row>
    <row r="303" spans="1:77" s="37" customFormat="1">
      <c r="A303" s="39"/>
      <c r="B303" s="42"/>
      <c r="C303" s="685"/>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c r="AB303" s="39"/>
      <c r="AC303" s="39"/>
      <c r="AD303" s="39"/>
      <c r="AE303" s="39"/>
      <c r="AF303" s="39"/>
      <c r="AG303" s="39"/>
      <c r="AH303" s="39"/>
      <c r="AI303" s="39"/>
      <c r="AJ303" s="39"/>
      <c r="AK303" s="39"/>
      <c r="AL303" s="39"/>
      <c r="AM303" s="39"/>
      <c r="AN303" s="39"/>
      <c r="AO303" s="39"/>
      <c r="AP303" s="39"/>
      <c r="AQ303" s="39"/>
      <c r="AR303" s="39"/>
      <c r="AS303" s="39"/>
      <c r="AT303" s="39"/>
      <c r="AU303" s="39"/>
      <c r="AV303" s="123"/>
      <c r="AW303" s="124"/>
      <c r="AX303" s="76"/>
      <c r="AY303" s="76"/>
      <c r="AZ303" s="76"/>
      <c r="BA303" s="125"/>
      <c r="BB303" s="125"/>
      <c r="BC303" s="125"/>
      <c r="BD303" s="125"/>
      <c r="BE303" s="125"/>
      <c r="BF303" s="125"/>
      <c r="BG303" s="125"/>
      <c r="BH303" s="125"/>
      <c r="BI303" s="125"/>
      <c r="BJ303" s="41"/>
      <c r="BK303" s="69"/>
      <c r="BL303" s="39"/>
      <c r="BM303" s="39"/>
      <c r="BN303" s="39"/>
      <c r="BO303" s="39"/>
      <c r="BP303" s="39"/>
      <c r="BQ303" s="39"/>
      <c r="BR303" s="39"/>
      <c r="BS303" s="39"/>
      <c r="BT303" s="39"/>
      <c r="BU303" s="39"/>
      <c r="BV303" s="39"/>
      <c r="BW303" s="39"/>
      <c r="BX303" s="39"/>
      <c r="BY303" s="39"/>
    </row>
    <row r="304" spans="1:77" s="37" customFormat="1">
      <c r="A304" s="39"/>
      <c r="B304" s="42"/>
      <c r="C304" s="685"/>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c r="AE304" s="39"/>
      <c r="AF304" s="39"/>
      <c r="AG304" s="39"/>
      <c r="AH304" s="39"/>
      <c r="AI304" s="39"/>
      <c r="AJ304" s="39"/>
      <c r="AK304" s="39"/>
      <c r="AL304" s="39"/>
      <c r="AM304" s="39"/>
      <c r="AN304" s="39"/>
      <c r="AO304" s="39"/>
      <c r="AP304" s="39"/>
      <c r="AQ304" s="39"/>
      <c r="AR304" s="39"/>
      <c r="AS304" s="39"/>
      <c r="AT304" s="39"/>
      <c r="AU304" s="39"/>
      <c r="AV304" s="123"/>
      <c r="AW304" s="124"/>
      <c r="AX304" s="76"/>
      <c r="AY304" s="76"/>
      <c r="AZ304" s="76"/>
      <c r="BA304" s="125"/>
      <c r="BB304" s="125"/>
      <c r="BC304" s="125"/>
      <c r="BD304" s="125"/>
      <c r="BE304" s="125"/>
      <c r="BF304" s="125"/>
      <c r="BG304" s="125"/>
      <c r="BH304" s="125"/>
      <c r="BI304" s="125"/>
      <c r="BJ304" s="41"/>
      <c r="BK304" s="69"/>
      <c r="BL304" s="39"/>
      <c r="BM304" s="39"/>
      <c r="BN304" s="39"/>
      <c r="BO304" s="39"/>
      <c r="BP304" s="39"/>
      <c r="BQ304" s="39"/>
      <c r="BR304" s="39"/>
      <c r="BS304" s="39"/>
      <c r="BT304" s="39"/>
      <c r="BU304" s="39"/>
      <c r="BV304" s="39"/>
      <c r="BW304" s="39"/>
      <c r="BX304" s="39"/>
      <c r="BY304" s="39"/>
    </row>
    <row r="305" spans="1:77" s="37" customFormat="1">
      <c r="A305" s="39"/>
      <c r="B305" s="42"/>
      <c r="C305" s="685"/>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c r="AB305" s="39"/>
      <c r="AC305" s="39"/>
      <c r="AD305" s="39"/>
      <c r="AE305" s="39"/>
      <c r="AF305" s="39"/>
      <c r="AG305" s="39"/>
      <c r="AH305" s="39"/>
      <c r="AI305" s="39"/>
      <c r="AJ305" s="39"/>
      <c r="AK305" s="39"/>
      <c r="AL305" s="39"/>
      <c r="AM305" s="39"/>
      <c r="AN305" s="39"/>
      <c r="AO305" s="39"/>
      <c r="AP305" s="39"/>
      <c r="AQ305" s="39"/>
      <c r="AR305" s="39"/>
      <c r="AS305" s="39"/>
      <c r="AT305" s="39"/>
      <c r="AU305" s="39"/>
      <c r="AV305" s="123"/>
      <c r="AW305" s="124"/>
      <c r="AX305" s="76"/>
      <c r="AY305" s="76"/>
      <c r="AZ305" s="76"/>
      <c r="BA305" s="125"/>
      <c r="BB305" s="125"/>
      <c r="BC305" s="125"/>
      <c r="BD305" s="125"/>
      <c r="BE305" s="125"/>
      <c r="BF305" s="125"/>
      <c r="BG305" s="125"/>
      <c r="BH305" s="125"/>
      <c r="BI305" s="125"/>
      <c r="BJ305" s="41"/>
      <c r="BK305" s="69"/>
      <c r="BL305" s="39"/>
      <c r="BM305" s="39"/>
      <c r="BN305" s="39"/>
      <c r="BO305" s="39"/>
      <c r="BP305" s="39"/>
      <c r="BQ305" s="39"/>
      <c r="BR305" s="39"/>
      <c r="BS305" s="39"/>
      <c r="BT305" s="39"/>
      <c r="BU305" s="39"/>
      <c r="BV305" s="39"/>
      <c r="BW305" s="39"/>
      <c r="BX305" s="39"/>
      <c r="BY305" s="39"/>
    </row>
    <row r="306" spans="1:77" s="37" customFormat="1">
      <c r="A306" s="39"/>
      <c r="B306" s="42"/>
      <c r="C306" s="685"/>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c r="AB306" s="39"/>
      <c r="AC306" s="39"/>
      <c r="AD306" s="39"/>
      <c r="AE306" s="39"/>
      <c r="AF306" s="39"/>
      <c r="AG306" s="39"/>
      <c r="AH306" s="39"/>
      <c r="AI306" s="39"/>
      <c r="AJ306" s="39"/>
      <c r="AK306" s="39"/>
      <c r="AL306" s="39"/>
      <c r="AM306" s="39"/>
      <c r="AN306" s="39"/>
      <c r="AO306" s="39"/>
      <c r="AP306" s="39"/>
      <c r="AQ306" s="39"/>
      <c r="AR306" s="39"/>
      <c r="AS306" s="39"/>
      <c r="AT306" s="39"/>
      <c r="AU306" s="39"/>
      <c r="AV306" s="123"/>
      <c r="AW306" s="124"/>
      <c r="AX306" s="76"/>
      <c r="AY306" s="76"/>
      <c r="AZ306" s="76"/>
      <c r="BA306" s="125"/>
      <c r="BB306" s="125"/>
      <c r="BC306" s="125"/>
      <c r="BD306" s="125"/>
      <c r="BE306" s="125"/>
      <c r="BF306" s="125"/>
      <c r="BG306" s="125"/>
      <c r="BH306" s="125"/>
      <c r="BI306" s="125"/>
      <c r="BJ306" s="41"/>
      <c r="BK306" s="69"/>
      <c r="BL306" s="39"/>
      <c r="BM306" s="39"/>
      <c r="BN306" s="39"/>
      <c r="BO306" s="39"/>
      <c r="BP306" s="39"/>
      <c r="BQ306" s="39"/>
      <c r="BR306" s="39"/>
      <c r="BS306" s="39"/>
      <c r="BT306" s="39"/>
      <c r="BU306" s="39"/>
      <c r="BV306" s="39"/>
      <c r="BW306" s="39"/>
      <c r="BX306" s="39"/>
      <c r="BY306" s="39"/>
    </row>
    <row r="307" spans="1:77" s="37" customFormat="1">
      <c r="A307" s="39"/>
      <c r="B307" s="42"/>
      <c r="C307" s="685"/>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c r="AJ307" s="39"/>
      <c r="AK307" s="39"/>
      <c r="AL307" s="39"/>
      <c r="AM307" s="39"/>
      <c r="AN307" s="39"/>
      <c r="AO307" s="39"/>
      <c r="AP307" s="39"/>
      <c r="AQ307" s="39"/>
      <c r="AR307" s="39"/>
      <c r="AS307" s="39"/>
      <c r="AT307" s="39"/>
      <c r="AU307" s="39"/>
      <c r="AV307" s="123"/>
      <c r="AW307" s="124"/>
      <c r="AX307" s="76"/>
      <c r="AY307" s="76"/>
      <c r="AZ307" s="76"/>
      <c r="BA307" s="125"/>
      <c r="BB307" s="125"/>
      <c r="BC307" s="125"/>
      <c r="BD307" s="125"/>
      <c r="BE307" s="125"/>
      <c r="BF307" s="125"/>
      <c r="BG307" s="125"/>
      <c r="BH307" s="125"/>
      <c r="BI307" s="125"/>
      <c r="BJ307" s="41"/>
      <c r="BK307" s="69"/>
      <c r="BL307" s="39"/>
      <c r="BM307" s="39"/>
      <c r="BN307" s="39"/>
      <c r="BO307" s="39"/>
      <c r="BP307" s="39"/>
      <c r="BQ307" s="39"/>
      <c r="BR307" s="39"/>
      <c r="BS307" s="39"/>
      <c r="BT307" s="39"/>
      <c r="BU307" s="39"/>
      <c r="BV307" s="39"/>
      <c r="BW307" s="39"/>
      <c r="BX307" s="39"/>
      <c r="BY307" s="39"/>
    </row>
    <row r="308" spans="1:77" s="37" customFormat="1">
      <c r="A308" s="39"/>
      <c r="B308" s="42"/>
      <c r="C308" s="685"/>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c r="AB308" s="39"/>
      <c r="AC308" s="39"/>
      <c r="AD308" s="39"/>
      <c r="AE308" s="39"/>
      <c r="AF308" s="39"/>
      <c r="AG308" s="39"/>
      <c r="AH308" s="39"/>
      <c r="AI308" s="39"/>
      <c r="AJ308" s="39"/>
      <c r="AK308" s="39"/>
      <c r="AL308" s="39"/>
      <c r="AM308" s="39"/>
      <c r="AN308" s="39"/>
      <c r="AO308" s="39"/>
      <c r="AP308" s="39"/>
      <c r="AQ308" s="39"/>
      <c r="AR308" s="39"/>
      <c r="AS308" s="39"/>
      <c r="AT308" s="39"/>
      <c r="AU308" s="39"/>
      <c r="AV308" s="123"/>
      <c r="AW308" s="124"/>
      <c r="AX308" s="76"/>
      <c r="AY308" s="76"/>
      <c r="AZ308" s="76"/>
      <c r="BA308" s="125"/>
      <c r="BB308" s="125"/>
      <c r="BC308" s="125"/>
      <c r="BD308" s="125"/>
      <c r="BE308" s="125"/>
      <c r="BF308" s="125"/>
      <c r="BG308" s="125"/>
      <c r="BH308" s="125"/>
      <c r="BI308" s="125"/>
      <c r="BJ308" s="41"/>
      <c r="BK308" s="69"/>
      <c r="BL308" s="39"/>
      <c r="BM308" s="39"/>
      <c r="BN308" s="39"/>
      <c r="BO308" s="39"/>
      <c r="BP308" s="39"/>
      <c r="BQ308" s="39"/>
      <c r="BR308" s="39"/>
      <c r="BS308" s="39"/>
      <c r="BT308" s="39"/>
      <c r="BU308" s="39"/>
      <c r="BV308" s="39"/>
      <c r="BW308" s="39"/>
      <c r="BX308" s="39"/>
      <c r="BY308" s="39"/>
    </row>
    <row r="309" spans="1:77" s="37" customFormat="1">
      <c r="A309" s="39"/>
      <c r="B309" s="42"/>
      <c r="C309" s="685"/>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c r="AB309" s="39"/>
      <c r="AC309" s="39"/>
      <c r="AD309" s="39"/>
      <c r="AE309" s="39"/>
      <c r="AF309" s="39"/>
      <c r="AG309" s="39"/>
      <c r="AH309" s="39"/>
      <c r="AI309" s="39"/>
      <c r="AJ309" s="39"/>
      <c r="AK309" s="39"/>
      <c r="AL309" s="39"/>
      <c r="AM309" s="39"/>
      <c r="AN309" s="39"/>
      <c r="AO309" s="39"/>
      <c r="AP309" s="39"/>
      <c r="AQ309" s="39"/>
      <c r="AR309" s="39"/>
      <c r="AS309" s="39"/>
      <c r="AT309" s="39"/>
      <c r="AU309" s="39"/>
      <c r="AV309" s="123"/>
      <c r="AW309" s="124"/>
      <c r="AX309" s="76"/>
      <c r="AY309" s="76"/>
      <c r="AZ309" s="76"/>
      <c r="BA309" s="125"/>
      <c r="BB309" s="125"/>
      <c r="BC309" s="125"/>
      <c r="BD309" s="125"/>
      <c r="BE309" s="125"/>
      <c r="BF309" s="125"/>
      <c r="BG309" s="125"/>
      <c r="BH309" s="125"/>
      <c r="BI309" s="125"/>
      <c r="BJ309" s="41"/>
      <c r="BK309" s="69"/>
      <c r="BL309" s="39"/>
      <c r="BM309" s="39"/>
      <c r="BN309" s="39"/>
      <c r="BO309" s="39"/>
      <c r="BP309" s="39"/>
      <c r="BQ309" s="39"/>
      <c r="BR309" s="39"/>
      <c r="BS309" s="39"/>
      <c r="BT309" s="39"/>
      <c r="BU309" s="39"/>
      <c r="BV309" s="39"/>
      <c r="BW309" s="39"/>
      <c r="BX309" s="39"/>
      <c r="BY309" s="39"/>
    </row>
    <row r="310" spans="1:77" s="37" customFormat="1">
      <c r="A310" s="39"/>
      <c r="B310" s="42"/>
      <c r="C310" s="685"/>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c r="AB310" s="39"/>
      <c r="AC310" s="39"/>
      <c r="AD310" s="39"/>
      <c r="AE310" s="39"/>
      <c r="AF310" s="39"/>
      <c r="AG310" s="39"/>
      <c r="AH310" s="39"/>
      <c r="AI310" s="39"/>
      <c r="AJ310" s="39"/>
      <c r="AK310" s="39"/>
      <c r="AL310" s="39"/>
      <c r="AM310" s="39"/>
      <c r="AN310" s="39"/>
      <c r="AO310" s="39"/>
      <c r="AP310" s="39"/>
      <c r="AQ310" s="39"/>
      <c r="AR310" s="39"/>
      <c r="AS310" s="39"/>
      <c r="AT310" s="39"/>
      <c r="AU310" s="39"/>
      <c r="AV310" s="123"/>
      <c r="AW310" s="124"/>
      <c r="AX310" s="76"/>
      <c r="AY310" s="76"/>
      <c r="AZ310" s="76"/>
      <c r="BA310" s="125"/>
      <c r="BB310" s="125"/>
      <c r="BC310" s="125"/>
      <c r="BD310" s="125"/>
      <c r="BE310" s="125"/>
      <c r="BF310" s="125"/>
      <c r="BG310" s="125"/>
      <c r="BH310" s="125"/>
      <c r="BI310" s="125"/>
      <c r="BJ310" s="41"/>
      <c r="BK310" s="69"/>
      <c r="BL310" s="39"/>
      <c r="BM310" s="39"/>
      <c r="BN310" s="39"/>
      <c r="BO310" s="39"/>
      <c r="BP310" s="39"/>
      <c r="BQ310" s="39"/>
      <c r="BR310" s="39"/>
      <c r="BS310" s="39"/>
      <c r="BT310" s="39"/>
      <c r="BU310" s="39"/>
      <c r="BV310" s="39"/>
      <c r="BW310" s="39"/>
      <c r="BX310" s="39"/>
      <c r="BY310" s="39"/>
    </row>
    <row r="311" spans="1:77" s="37" customFormat="1">
      <c r="A311" s="39"/>
      <c r="B311" s="42"/>
      <c r="C311" s="685"/>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c r="AB311" s="39"/>
      <c r="AC311" s="39"/>
      <c r="AD311" s="39"/>
      <c r="AE311" s="39"/>
      <c r="AF311" s="39"/>
      <c r="AG311" s="39"/>
      <c r="AH311" s="39"/>
      <c r="AI311" s="39"/>
      <c r="AJ311" s="39"/>
      <c r="AK311" s="39"/>
      <c r="AL311" s="39"/>
      <c r="AM311" s="39"/>
      <c r="AN311" s="39"/>
      <c r="AO311" s="39"/>
      <c r="AP311" s="39"/>
      <c r="AQ311" s="39"/>
      <c r="AR311" s="39"/>
      <c r="AS311" s="39"/>
      <c r="AT311" s="39"/>
      <c r="AU311" s="39"/>
      <c r="AV311" s="123"/>
      <c r="AW311" s="124"/>
      <c r="AX311" s="76"/>
      <c r="AY311" s="76"/>
      <c r="AZ311" s="76"/>
      <c r="BA311" s="125"/>
      <c r="BB311" s="125"/>
      <c r="BC311" s="125"/>
      <c r="BD311" s="125"/>
      <c r="BE311" s="125"/>
      <c r="BF311" s="125"/>
      <c r="BG311" s="125"/>
      <c r="BH311" s="125"/>
      <c r="BI311" s="125"/>
      <c r="BJ311" s="41"/>
      <c r="BK311" s="69"/>
      <c r="BL311" s="39"/>
      <c r="BM311" s="39"/>
      <c r="BN311" s="39"/>
      <c r="BO311" s="39"/>
      <c r="BP311" s="39"/>
      <c r="BQ311" s="39"/>
      <c r="BR311" s="39"/>
      <c r="BS311" s="39"/>
      <c r="BT311" s="39"/>
      <c r="BU311" s="39"/>
      <c r="BV311" s="39"/>
      <c r="BW311" s="39"/>
      <c r="BX311" s="39"/>
      <c r="BY311" s="39"/>
    </row>
    <row r="312" spans="1:77" s="37" customFormat="1">
      <c r="A312" s="39"/>
      <c r="B312" s="42"/>
      <c r="C312" s="685"/>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c r="AJ312" s="39"/>
      <c r="AK312" s="39"/>
      <c r="AL312" s="39"/>
      <c r="AM312" s="39"/>
      <c r="AN312" s="39"/>
      <c r="AO312" s="39"/>
      <c r="AP312" s="39"/>
      <c r="AQ312" s="39"/>
      <c r="AR312" s="39"/>
      <c r="AS312" s="39"/>
      <c r="AT312" s="39"/>
      <c r="AU312" s="39"/>
      <c r="AV312" s="123"/>
      <c r="AW312" s="124"/>
      <c r="AX312" s="76"/>
      <c r="AY312" s="76"/>
      <c r="AZ312" s="76"/>
      <c r="BA312" s="125"/>
      <c r="BB312" s="125"/>
      <c r="BC312" s="125"/>
      <c r="BD312" s="125"/>
      <c r="BE312" s="125"/>
      <c r="BF312" s="125"/>
      <c r="BG312" s="125"/>
      <c r="BH312" s="125"/>
      <c r="BI312" s="125"/>
      <c r="BJ312" s="41"/>
      <c r="BK312" s="69"/>
      <c r="BL312" s="39"/>
      <c r="BM312" s="39"/>
      <c r="BN312" s="39"/>
      <c r="BO312" s="39"/>
      <c r="BP312" s="39"/>
      <c r="BQ312" s="39"/>
      <c r="BR312" s="39"/>
      <c r="BS312" s="39"/>
      <c r="BT312" s="39"/>
      <c r="BU312" s="39"/>
      <c r="BV312" s="39"/>
      <c r="BW312" s="39"/>
      <c r="BX312" s="39"/>
      <c r="BY312" s="39"/>
    </row>
    <row r="313" spans="1:77" s="37" customFormat="1">
      <c r="A313" s="39"/>
      <c r="B313" s="42"/>
      <c r="C313" s="685"/>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c r="AJ313" s="39"/>
      <c r="AK313" s="39"/>
      <c r="AL313" s="39"/>
      <c r="AM313" s="39"/>
      <c r="AN313" s="39"/>
      <c r="AO313" s="39"/>
      <c r="AP313" s="39"/>
      <c r="AQ313" s="39"/>
      <c r="AR313" s="39"/>
      <c r="AS313" s="39"/>
      <c r="AT313" s="39"/>
      <c r="AU313" s="39"/>
      <c r="AV313" s="123"/>
      <c r="AW313" s="124"/>
      <c r="AX313" s="76"/>
      <c r="AY313" s="76"/>
      <c r="AZ313" s="76"/>
      <c r="BA313" s="125"/>
      <c r="BB313" s="125"/>
      <c r="BC313" s="125"/>
      <c r="BD313" s="125"/>
      <c r="BE313" s="125"/>
      <c r="BF313" s="125"/>
      <c r="BG313" s="125"/>
      <c r="BH313" s="125"/>
      <c r="BI313" s="125"/>
      <c r="BJ313" s="41"/>
      <c r="BK313" s="69"/>
      <c r="BL313" s="39"/>
      <c r="BM313" s="39"/>
      <c r="BN313" s="39"/>
      <c r="BO313" s="39"/>
      <c r="BP313" s="39"/>
      <c r="BQ313" s="39"/>
      <c r="BR313" s="39"/>
      <c r="BS313" s="39"/>
      <c r="BT313" s="39"/>
      <c r="BU313" s="39"/>
      <c r="BV313" s="39"/>
      <c r="BW313" s="39"/>
      <c r="BX313" s="39"/>
      <c r="BY313" s="39"/>
    </row>
    <row r="314" spans="1:77" s="37" customFormat="1">
      <c r="A314" s="39"/>
      <c r="B314" s="42"/>
      <c r="C314" s="685"/>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c r="AM314" s="39"/>
      <c r="AN314" s="39"/>
      <c r="AO314" s="39"/>
      <c r="AP314" s="39"/>
      <c r="AQ314" s="39"/>
      <c r="AR314" s="39"/>
      <c r="AS314" s="39"/>
      <c r="AT314" s="39"/>
      <c r="AU314" s="39"/>
      <c r="AV314" s="123"/>
      <c r="AW314" s="124"/>
      <c r="AX314" s="76"/>
      <c r="AY314" s="76"/>
      <c r="AZ314" s="76"/>
      <c r="BA314" s="125"/>
      <c r="BB314" s="125"/>
      <c r="BC314" s="125"/>
      <c r="BD314" s="125"/>
      <c r="BE314" s="125"/>
      <c r="BF314" s="125"/>
      <c r="BG314" s="125"/>
      <c r="BH314" s="125"/>
      <c r="BI314" s="125"/>
      <c r="BJ314" s="41"/>
      <c r="BK314" s="69"/>
      <c r="BL314" s="39"/>
      <c r="BM314" s="39"/>
      <c r="BN314" s="39"/>
      <c r="BO314" s="39"/>
      <c r="BP314" s="39"/>
      <c r="BQ314" s="39"/>
      <c r="BR314" s="39"/>
      <c r="BS314" s="39"/>
      <c r="BT314" s="39"/>
      <c r="BU314" s="39"/>
      <c r="BV314" s="39"/>
      <c r="BW314" s="39"/>
      <c r="BX314" s="39"/>
      <c r="BY314" s="39"/>
    </row>
    <row r="315" spans="1:77" s="37" customFormat="1">
      <c r="A315" s="39"/>
      <c r="B315" s="42"/>
      <c r="C315" s="685"/>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c r="AB315" s="39"/>
      <c r="AC315" s="39"/>
      <c r="AD315" s="39"/>
      <c r="AE315" s="39"/>
      <c r="AF315" s="39"/>
      <c r="AG315" s="39"/>
      <c r="AH315" s="39"/>
      <c r="AI315" s="39"/>
      <c r="AJ315" s="39"/>
      <c r="AK315" s="39"/>
      <c r="AL315" s="39"/>
      <c r="AM315" s="39"/>
      <c r="AN315" s="39"/>
      <c r="AO315" s="39"/>
      <c r="AP315" s="39"/>
      <c r="AQ315" s="39"/>
      <c r="AR315" s="39"/>
      <c r="AS315" s="39"/>
      <c r="AT315" s="39"/>
      <c r="AU315" s="39"/>
      <c r="AV315" s="123"/>
      <c r="AW315" s="124"/>
      <c r="AX315" s="76"/>
      <c r="AY315" s="76"/>
      <c r="AZ315" s="76"/>
      <c r="BA315" s="125"/>
      <c r="BB315" s="125"/>
      <c r="BC315" s="125"/>
      <c r="BD315" s="125"/>
      <c r="BE315" s="125"/>
      <c r="BF315" s="125"/>
      <c r="BG315" s="125"/>
      <c r="BH315" s="125"/>
      <c r="BI315" s="125"/>
      <c r="BJ315" s="41"/>
      <c r="BK315" s="69"/>
      <c r="BL315" s="39"/>
      <c r="BM315" s="39"/>
      <c r="BN315" s="39"/>
      <c r="BO315" s="39"/>
      <c r="BP315" s="39"/>
      <c r="BQ315" s="39"/>
      <c r="BR315" s="39"/>
      <c r="BS315" s="39"/>
      <c r="BT315" s="39"/>
      <c r="BU315" s="39"/>
      <c r="BV315" s="39"/>
      <c r="BW315" s="39"/>
      <c r="BX315" s="39"/>
      <c r="BY315" s="39"/>
    </row>
    <row r="316" spans="1:77" s="37" customFormat="1">
      <c r="A316" s="39"/>
      <c r="B316" s="42"/>
      <c r="C316" s="685"/>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c r="AE316" s="39"/>
      <c r="AF316" s="39"/>
      <c r="AG316" s="39"/>
      <c r="AH316" s="39"/>
      <c r="AI316" s="39"/>
      <c r="AJ316" s="39"/>
      <c r="AK316" s="39"/>
      <c r="AL316" s="39"/>
      <c r="AM316" s="39"/>
      <c r="AN316" s="39"/>
      <c r="AO316" s="39"/>
      <c r="AP316" s="39"/>
      <c r="AQ316" s="39"/>
      <c r="AR316" s="39"/>
      <c r="AS316" s="39"/>
      <c r="AT316" s="39"/>
      <c r="AU316" s="39"/>
      <c r="AV316" s="123"/>
      <c r="AW316" s="124"/>
      <c r="AX316" s="76"/>
      <c r="AY316" s="76"/>
      <c r="AZ316" s="76"/>
      <c r="BA316" s="125"/>
      <c r="BB316" s="125"/>
      <c r="BC316" s="125"/>
      <c r="BD316" s="125"/>
      <c r="BE316" s="125"/>
      <c r="BF316" s="125"/>
      <c r="BG316" s="125"/>
      <c r="BH316" s="125"/>
      <c r="BI316" s="125"/>
      <c r="BJ316" s="41"/>
      <c r="BK316" s="69"/>
      <c r="BL316" s="39"/>
      <c r="BM316" s="39"/>
      <c r="BN316" s="39"/>
      <c r="BO316" s="39"/>
      <c r="BP316" s="39"/>
      <c r="BQ316" s="39"/>
      <c r="BR316" s="39"/>
      <c r="BS316" s="39"/>
      <c r="BT316" s="39"/>
      <c r="BU316" s="39"/>
      <c r="BV316" s="39"/>
      <c r="BW316" s="39"/>
      <c r="BX316" s="39"/>
      <c r="BY316" s="39"/>
    </row>
    <row r="317" spans="1:77" s="37" customFormat="1">
      <c r="A317" s="39"/>
      <c r="B317" s="42"/>
      <c r="C317" s="685"/>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c r="AB317" s="39"/>
      <c r="AC317" s="39"/>
      <c r="AD317" s="39"/>
      <c r="AE317" s="39"/>
      <c r="AF317" s="39"/>
      <c r="AG317" s="39"/>
      <c r="AH317" s="39"/>
      <c r="AI317" s="39"/>
      <c r="AJ317" s="39"/>
      <c r="AK317" s="39"/>
      <c r="AL317" s="39"/>
      <c r="AM317" s="39"/>
      <c r="AN317" s="39"/>
      <c r="AO317" s="39"/>
      <c r="AP317" s="39"/>
      <c r="AQ317" s="39"/>
      <c r="AR317" s="39"/>
      <c r="AS317" s="39"/>
      <c r="AT317" s="39"/>
      <c r="AU317" s="39"/>
      <c r="AV317" s="123"/>
      <c r="AW317" s="124"/>
      <c r="AX317" s="76"/>
      <c r="AY317" s="76"/>
      <c r="AZ317" s="76"/>
      <c r="BA317" s="125"/>
      <c r="BB317" s="125"/>
      <c r="BC317" s="125"/>
      <c r="BD317" s="125"/>
      <c r="BE317" s="125"/>
      <c r="BF317" s="125"/>
      <c r="BG317" s="125"/>
      <c r="BH317" s="125"/>
      <c r="BI317" s="125"/>
      <c r="BJ317" s="41"/>
      <c r="BK317" s="69"/>
      <c r="BL317" s="39"/>
      <c r="BM317" s="39"/>
      <c r="BN317" s="39"/>
      <c r="BO317" s="39"/>
      <c r="BP317" s="39"/>
      <c r="BQ317" s="39"/>
      <c r="BR317" s="39"/>
      <c r="BS317" s="39"/>
      <c r="BT317" s="39"/>
      <c r="BU317" s="39"/>
      <c r="BV317" s="39"/>
      <c r="BW317" s="39"/>
      <c r="BX317" s="39"/>
      <c r="BY317" s="39"/>
    </row>
    <row r="318" spans="1:77" s="37" customFormat="1">
      <c r="A318" s="39"/>
      <c r="B318" s="42"/>
      <c r="C318" s="685"/>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c r="AI318" s="39"/>
      <c r="AJ318" s="39"/>
      <c r="AK318" s="39"/>
      <c r="AL318" s="39"/>
      <c r="AM318" s="39"/>
      <c r="AN318" s="39"/>
      <c r="AO318" s="39"/>
      <c r="AP318" s="39"/>
      <c r="AQ318" s="39"/>
      <c r="AR318" s="39"/>
      <c r="AS318" s="39"/>
      <c r="AT318" s="39"/>
      <c r="AU318" s="39"/>
      <c r="AV318" s="123"/>
      <c r="AW318" s="124"/>
      <c r="AX318" s="76"/>
      <c r="AY318" s="76"/>
      <c r="AZ318" s="76"/>
      <c r="BA318" s="125"/>
      <c r="BB318" s="125"/>
      <c r="BC318" s="125"/>
      <c r="BD318" s="125"/>
      <c r="BE318" s="125"/>
      <c r="BF318" s="125"/>
      <c r="BG318" s="125"/>
      <c r="BH318" s="125"/>
      <c r="BI318" s="125"/>
      <c r="BJ318" s="41"/>
      <c r="BK318" s="69"/>
      <c r="BL318" s="39"/>
      <c r="BM318" s="39"/>
      <c r="BN318" s="39"/>
      <c r="BO318" s="39"/>
      <c r="BP318" s="39"/>
      <c r="BQ318" s="39"/>
      <c r="BR318" s="39"/>
      <c r="BS318" s="39"/>
      <c r="BT318" s="39"/>
      <c r="BU318" s="39"/>
      <c r="BV318" s="39"/>
      <c r="BW318" s="39"/>
      <c r="BX318" s="39"/>
      <c r="BY318" s="39"/>
    </row>
    <row r="319" spans="1:77" s="37" customFormat="1">
      <c r="A319" s="39"/>
      <c r="B319" s="42"/>
      <c r="C319" s="685"/>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c r="AB319" s="39"/>
      <c r="AC319" s="39"/>
      <c r="AD319" s="39"/>
      <c r="AE319" s="39"/>
      <c r="AF319" s="39"/>
      <c r="AG319" s="39"/>
      <c r="AH319" s="39"/>
      <c r="AI319" s="39"/>
      <c r="AJ319" s="39"/>
      <c r="AK319" s="39"/>
      <c r="AL319" s="39"/>
      <c r="AM319" s="39"/>
      <c r="AN319" s="39"/>
      <c r="AO319" s="39"/>
      <c r="AP319" s="39"/>
      <c r="AQ319" s="39"/>
      <c r="AR319" s="39"/>
      <c r="AS319" s="39"/>
      <c r="AT319" s="39"/>
      <c r="AU319" s="39"/>
      <c r="AV319" s="123"/>
      <c r="AW319" s="124"/>
      <c r="AX319" s="76"/>
      <c r="AY319" s="76"/>
      <c r="AZ319" s="76"/>
      <c r="BA319" s="125"/>
      <c r="BB319" s="125"/>
      <c r="BC319" s="125"/>
      <c r="BD319" s="125"/>
      <c r="BE319" s="125"/>
      <c r="BF319" s="125"/>
      <c r="BG319" s="125"/>
      <c r="BH319" s="125"/>
      <c r="BI319" s="125"/>
      <c r="BJ319" s="41"/>
      <c r="BK319" s="69"/>
      <c r="BL319" s="39"/>
      <c r="BM319" s="39"/>
      <c r="BN319" s="39"/>
      <c r="BO319" s="39"/>
      <c r="BP319" s="39"/>
      <c r="BQ319" s="39"/>
      <c r="BR319" s="39"/>
      <c r="BS319" s="39"/>
      <c r="BT319" s="39"/>
      <c r="BU319" s="39"/>
      <c r="BV319" s="39"/>
      <c r="BW319" s="39"/>
      <c r="BX319" s="39"/>
      <c r="BY319" s="39"/>
    </row>
    <row r="320" spans="1:77" s="37" customFormat="1">
      <c r="A320" s="39"/>
      <c r="B320" s="42"/>
      <c r="C320" s="685"/>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c r="AI320" s="39"/>
      <c r="AJ320" s="39"/>
      <c r="AK320" s="39"/>
      <c r="AL320" s="39"/>
      <c r="AM320" s="39"/>
      <c r="AN320" s="39"/>
      <c r="AO320" s="39"/>
      <c r="AP320" s="39"/>
      <c r="AQ320" s="39"/>
      <c r="AR320" s="39"/>
      <c r="AS320" s="39"/>
      <c r="AT320" s="39"/>
      <c r="AU320" s="39"/>
      <c r="AV320" s="123"/>
      <c r="AW320" s="124"/>
      <c r="AX320" s="76"/>
      <c r="AY320" s="76"/>
      <c r="AZ320" s="76"/>
      <c r="BA320" s="125"/>
      <c r="BB320" s="125"/>
      <c r="BC320" s="125"/>
      <c r="BD320" s="125"/>
      <c r="BE320" s="125"/>
      <c r="BF320" s="125"/>
      <c r="BG320" s="125"/>
      <c r="BH320" s="125"/>
      <c r="BI320" s="125"/>
      <c r="BJ320" s="41"/>
      <c r="BK320" s="69"/>
      <c r="BL320" s="39"/>
      <c r="BM320" s="39"/>
      <c r="BN320" s="39"/>
      <c r="BO320" s="39"/>
      <c r="BP320" s="39"/>
      <c r="BQ320" s="39"/>
      <c r="BR320" s="39"/>
      <c r="BS320" s="39"/>
      <c r="BT320" s="39"/>
      <c r="BU320" s="39"/>
      <c r="BV320" s="39"/>
      <c r="BW320" s="39"/>
      <c r="BX320" s="39"/>
      <c r="BY320" s="39"/>
    </row>
    <row r="321" spans="1:77" s="37" customFormat="1">
      <c r="A321" s="39"/>
      <c r="B321" s="42"/>
      <c r="C321" s="685"/>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c r="AB321" s="39"/>
      <c r="AC321" s="39"/>
      <c r="AD321" s="39"/>
      <c r="AE321" s="39"/>
      <c r="AF321" s="39"/>
      <c r="AG321" s="39"/>
      <c r="AH321" s="39"/>
      <c r="AI321" s="39"/>
      <c r="AJ321" s="39"/>
      <c r="AK321" s="39"/>
      <c r="AL321" s="39"/>
      <c r="AM321" s="39"/>
      <c r="AN321" s="39"/>
      <c r="AO321" s="39"/>
      <c r="AP321" s="39"/>
      <c r="AQ321" s="39"/>
      <c r="AR321" s="39"/>
      <c r="AS321" s="39"/>
      <c r="AT321" s="39"/>
      <c r="AU321" s="39"/>
      <c r="AV321" s="123"/>
      <c r="AW321" s="124"/>
      <c r="AX321" s="76"/>
      <c r="AY321" s="76"/>
      <c r="AZ321" s="76"/>
      <c r="BA321" s="125"/>
      <c r="BB321" s="125"/>
      <c r="BC321" s="125"/>
      <c r="BD321" s="125"/>
      <c r="BE321" s="125"/>
      <c r="BF321" s="125"/>
      <c r="BG321" s="125"/>
      <c r="BH321" s="125"/>
      <c r="BI321" s="125"/>
      <c r="BJ321" s="41"/>
      <c r="BK321" s="69"/>
      <c r="BL321" s="39"/>
      <c r="BM321" s="39"/>
      <c r="BN321" s="39"/>
      <c r="BO321" s="39"/>
      <c r="BP321" s="39"/>
      <c r="BQ321" s="39"/>
      <c r="BR321" s="39"/>
      <c r="BS321" s="39"/>
      <c r="BT321" s="39"/>
      <c r="BU321" s="39"/>
      <c r="BV321" s="39"/>
      <c r="BW321" s="39"/>
      <c r="BX321" s="39"/>
      <c r="BY321" s="39"/>
    </row>
    <row r="322" spans="1:77" s="37" customFormat="1">
      <c r="A322" s="39"/>
      <c r="B322" s="42"/>
      <c r="C322" s="685"/>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c r="AI322" s="39"/>
      <c r="AJ322" s="39"/>
      <c r="AK322" s="39"/>
      <c r="AL322" s="39"/>
      <c r="AM322" s="39"/>
      <c r="AN322" s="39"/>
      <c r="AO322" s="39"/>
      <c r="AP322" s="39"/>
      <c r="AQ322" s="39"/>
      <c r="AR322" s="39"/>
      <c r="AS322" s="39"/>
      <c r="AT322" s="39"/>
      <c r="AU322" s="39"/>
      <c r="AV322" s="123"/>
      <c r="AW322" s="124"/>
      <c r="AX322" s="76"/>
      <c r="AY322" s="76"/>
      <c r="AZ322" s="76"/>
      <c r="BA322" s="125"/>
      <c r="BB322" s="125"/>
      <c r="BC322" s="125"/>
      <c r="BD322" s="125"/>
      <c r="BE322" s="125"/>
      <c r="BF322" s="125"/>
      <c r="BG322" s="125"/>
      <c r="BH322" s="125"/>
      <c r="BI322" s="125"/>
      <c r="BJ322" s="41"/>
      <c r="BK322" s="69"/>
      <c r="BL322" s="39"/>
      <c r="BM322" s="39"/>
      <c r="BN322" s="39"/>
      <c r="BO322" s="39"/>
      <c r="BP322" s="39"/>
      <c r="BQ322" s="39"/>
      <c r="BR322" s="39"/>
      <c r="BS322" s="39"/>
      <c r="BT322" s="39"/>
      <c r="BU322" s="39"/>
      <c r="BV322" s="39"/>
      <c r="BW322" s="39"/>
      <c r="BX322" s="39"/>
      <c r="BY322" s="39"/>
    </row>
    <row r="323" spans="1:77" s="37" customFormat="1">
      <c r="A323" s="39"/>
      <c r="B323" s="42"/>
      <c r="C323" s="685"/>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c r="AD323" s="39"/>
      <c r="AE323" s="39"/>
      <c r="AF323" s="39"/>
      <c r="AG323" s="39"/>
      <c r="AH323" s="39"/>
      <c r="AI323" s="39"/>
      <c r="AJ323" s="39"/>
      <c r="AK323" s="39"/>
      <c r="AL323" s="39"/>
      <c r="AM323" s="39"/>
      <c r="AN323" s="39"/>
      <c r="AO323" s="39"/>
      <c r="AP323" s="39"/>
      <c r="AQ323" s="39"/>
      <c r="AR323" s="39"/>
      <c r="AS323" s="39"/>
      <c r="AT323" s="39"/>
      <c r="AU323" s="39"/>
      <c r="AV323" s="123"/>
      <c r="AW323" s="124"/>
      <c r="AX323" s="76"/>
      <c r="AY323" s="76"/>
      <c r="AZ323" s="76"/>
      <c r="BA323" s="125"/>
      <c r="BB323" s="125"/>
      <c r="BC323" s="125"/>
      <c r="BD323" s="125"/>
      <c r="BE323" s="125"/>
      <c r="BF323" s="125"/>
      <c r="BG323" s="125"/>
      <c r="BH323" s="125"/>
      <c r="BI323" s="125"/>
      <c r="BJ323" s="41"/>
      <c r="BK323" s="69"/>
      <c r="BL323" s="39"/>
      <c r="BM323" s="39"/>
      <c r="BN323" s="39"/>
      <c r="BO323" s="39"/>
      <c r="BP323" s="39"/>
      <c r="BQ323" s="39"/>
      <c r="BR323" s="39"/>
      <c r="BS323" s="39"/>
      <c r="BT323" s="39"/>
      <c r="BU323" s="39"/>
      <c r="BV323" s="39"/>
      <c r="BW323" s="39"/>
      <c r="BX323" s="39"/>
      <c r="BY323" s="39"/>
    </row>
    <row r="324" spans="1:77" s="37" customFormat="1">
      <c r="A324" s="39"/>
      <c r="B324" s="42"/>
      <c r="C324" s="685"/>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c r="AB324" s="39"/>
      <c r="AC324" s="39"/>
      <c r="AD324" s="39"/>
      <c r="AE324" s="39"/>
      <c r="AF324" s="39"/>
      <c r="AG324" s="39"/>
      <c r="AH324" s="39"/>
      <c r="AI324" s="39"/>
      <c r="AJ324" s="39"/>
      <c r="AK324" s="39"/>
      <c r="AL324" s="39"/>
      <c r="AM324" s="39"/>
      <c r="AN324" s="39"/>
      <c r="AO324" s="39"/>
      <c r="AP324" s="39"/>
      <c r="AQ324" s="39"/>
      <c r="AR324" s="39"/>
      <c r="AS324" s="39"/>
      <c r="AT324" s="39"/>
      <c r="AU324" s="39"/>
      <c r="AV324" s="123"/>
      <c r="AW324" s="124"/>
      <c r="AX324" s="76"/>
      <c r="AY324" s="76"/>
      <c r="AZ324" s="76"/>
      <c r="BA324" s="125"/>
      <c r="BB324" s="125"/>
      <c r="BC324" s="125"/>
      <c r="BD324" s="125"/>
      <c r="BE324" s="125"/>
      <c r="BF324" s="125"/>
      <c r="BG324" s="125"/>
      <c r="BH324" s="125"/>
      <c r="BI324" s="125"/>
      <c r="BJ324" s="41"/>
      <c r="BK324" s="69"/>
      <c r="BL324" s="39"/>
      <c r="BM324" s="39"/>
      <c r="BN324" s="39"/>
      <c r="BO324" s="39"/>
      <c r="BP324" s="39"/>
      <c r="BQ324" s="39"/>
      <c r="BR324" s="39"/>
      <c r="BS324" s="39"/>
      <c r="BT324" s="39"/>
      <c r="BU324" s="39"/>
      <c r="BV324" s="39"/>
      <c r="BW324" s="39"/>
      <c r="BX324" s="39"/>
      <c r="BY324" s="39"/>
    </row>
    <row r="325" spans="1:77" s="37" customFormat="1">
      <c r="A325" s="39"/>
      <c r="B325" s="42"/>
      <c r="C325" s="685"/>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c r="AB325" s="39"/>
      <c r="AC325" s="39"/>
      <c r="AD325" s="39"/>
      <c r="AE325" s="39"/>
      <c r="AF325" s="39"/>
      <c r="AG325" s="39"/>
      <c r="AH325" s="39"/>
      <c r="AI325" s="39"/>
      <c r="AJ325" s="39"/>
      <c r="AK325" s="39"/>
      <c r="AL325" s="39"/>
      <c r="AM325" s="39"/>
      <c r="AN325" s="39"/>
      <c r="AO325" s="39"/>
      <c r="AP325" s="39"/>
      <c r="AQ325" s="39"/>
      <c r="AR325" s="39"/>
      <c r="AS325" s="39"/>
      <c r="AT325" s="39"/>
      <c r="AU325" s="39"/>
      <c r="AV325" s="123"/>
      <c r="AW325" s="124"/>
      <c r="AX325" s="76"/>
      <c r="AY325" s="76"/>
      <c r="AZ325" s="76"/>
      <c r="BA325" s="125"/>
      <c r="BB325" s="125"/>
      <c r="BC325" s="125"/>
      <c r="BD325" s="125"/>
      <c r="BE325" s="125"/>
      <c r="BF325" s="125"/>
      <c r="BG325" s="125"/>
      <c r="BH325" s="125"/>
      <c r="BI325" s="125"/>
      <c r="BJ325" s="41"/>
      <c r="BK325" s="69"/>
      <c r="BL325" s="39"/>
      <c r="BM325" s="39"/>
      <c r="BN325" s="39"/>
      <c r="BO325" s="39"/>
      <c r="BP325" s="39"/>
      <c r="BQ325" s="39"/>
      <c r="BR325" s="39"/>
      <c r="BS325" s="39"/>
      <c r="BT325" s="39"/>
      <c r="BU325" s="39"/>
      <c r="BV325" s="39"/>
      <c r="BW325" s="39"/>
      <c r="BX325" s="39"/>
      <c r="BY325" s="39"/>
    </row>
    <row r="326" spans="1:77" s="37" customFormat="1">
      <c r="A326" s="39"/>
      <c r="B326" s="42"/>
      <c r="C326" s="685"/>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c r="AB326" s="39"/>
      <c r="AC326" s="39"/>
      <c r="AD326" s="39"/>
      <c r="AE326" s="39"/>
      <c r="AF326" s="39"/>
      <c r="AG326" s="39"/>
      <c r="AH326" s="39"/>
      <c r="AI326" s="39"/>
      <c r="AJ326" s="39"/>
      <c r="AK326" s="39"/>
      <c r="AL326" s="39"/>
      <c r="AM326" s="39"/>
      <c r="AN326" s="39"/>
      <c r="AO326" s="39"/>
      <c r="AP326" s="39"/>
      <c r="AQ326" s="39"/>
      <c r="AR326" s="39"/>
      <c r="AS326" s="39"/>
      <c r="AT326" s="39"/>
      <c r="AU326" s="39"/>
      <c r="AV326" s="123"/>
      <c r="AW326" s="124"/>
      <c r="AX326" s="76"/>
      <c r="AY326" s="76"/>
      <c r="AZ326" s="76"/>
      <c r="BA326" s="125"/>
      <c r="BB326" s="125"/>
      <c r="BC326" s="125"/>
      <c r="BD326" s="125"/>
      <c r="BE326" s="125"/>
      <c r="BF326" s="125"/>
      <c r="BG326" s="125"/>
      <c r="BH326" s="125"/>
      <c r="BI326" s="125"/>
      <c r="BJ326" s="41"/>
      <c r="BK326" s="69"/>
      <c r="BL326" s="39"/>
      <c r="BM326" s="39"/>
      <c r="BN326" s="39"/>
      <c r="BO326" s="39"/>
      <c r="BP326" s="39"/>
      <c r="BQ326" s="39"/>
      <c r="BR326" s="39"/>
      <c r="BS326" s="39"/>
      <c r="BT326" s="39"/>
      <c r="BU326" s="39"/>
      <c r="BV326" s="39"/>
      <c r="BW326" s="39"/>
      <c r="BX326" s="39"/>
      <c r="BY326" s="39"/>
    </row>
    <row r="327" spans="1:77" s="37" customFormat="1">
      <c r="A327" s="39"/>
      <c r="B327" s="42"/>
      <c r="C327" s="685"/>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c r="AB327" s="39"/>
      <c r="AC327" s="39"/>
      <c r="AD327" s="39"/>
      <c r="AE327" s="39"/>
      <c r="AF327" s="39"/>
      <c r="AG327" s="39"/>
      <c r="AH327" s="39"/>
      <c r="AI327" s="39"/>
      <c r="AJ327" s="39"/>
      <c r="AK327" s="39"/>
      <c r="AL327" s="39"/>
      <c r="AM327" s="39"/>
      <c r="AN327" s="39"/>
      <c r="AO327" s="39"/>
      <c r="AP327" s="39"/>
      <c r="AQ327" s="39"/>
      <c r="AR327" s="39"/>
      <c r="AS327" s="39"/>
      <c r="AT327" s="39"/>
      <c r="AU327" s="39"/>
      <c r="AV327" s="123"/>
      <c r="AW327" s="124"/>
      <c r="AX327" s="76"/>
      <c r="AY327" s="76"/>
      <c r="AZ327" s="76"/>
      <c r="BA327" s="125"/>
      <c r="BB327" s="125"/>
      <c r="BC327" s="125"/>
      <c r="BD327" s="125"/>
      <c r="BE327" s="125"/>
      <c r="BF327" s="125"/>
      <c r="BG327" s="125"/>
      <c r="BH327" s="125"/>
      <c r="BI327" s="125"/>
      <c r="BJ327" s="41"/>
      <c r="BK327" s="69"/>
      <c r="BL327" s="39"/>
      <c r="BM327" s="39"/>
      <c r="BN327" s="39"/>
      <c r="BO327" s="39"/>
      <c r="BP327" s="39"/>
      <c r="BQ327" s="39"/>
      <c r="BR327" s="39"/>
      <c r="BS327" s="39"/>
      <c r="BT327" s="39"/>
      <c r="BU327" s="39"/>
      <c r="BV327" s="39"/>
      <c r="BW327" s="39"/>
      <c r="BX327" s="39"/>
      <c r="BY327" s="39"/>
    </row>
    <row r="328" spans="1:77" s="37" customFormat="1">
      <c r="A328" s="39"/>
      <c r="B328" s="42"/>
      <c r="C328" s="685"/>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c r="AB328" s="39"/>
      <c r="AC328" s="39"/>
      <c r="AD328" s="39"/>
      <c r="AE328" s="39"/>
      <c r="AF328" s="39"/>
      <c r="AG328" s="39"/>
      <c r="AH328" s="39"/>
      <c r="AI328" s="39"/>
      <c r="AJ328" s="39"/>
      <c r="AK328" s="39"/>
      <c r="AL328" s="39"/>
      <c r="AM328" s="39"/>
      <c r="AN328" s="39"/>
      <c r="AO328" s="39"/>
      <c r="AP328" s="39"/>
      <c r="AQ328" s="39"/>
      <c r="AR328" s="39"/>
      <c r="AS328" s="39"/>
      <c r="AT328" s="39"/>
      <c r="AU328" s="39"/>
      <c r="AV328" s="123"/>
      <c r="AW328" s="124"/>
      <c r="AX328" s="76"/>
      <c r="AY328" s="76"/>
      <c r="AZ328" s="76"/>
      <c r="BA328" s="125"/>
      <c r="BB328" s="125"/>
      <c r="BC328" s="125"/>
      <c r="BD328" s="125"/>
      <c r="BE328" s="125"/>
      <c r="BF328" s="125"/>
      <c r="BG328" s="125"/>
      <c r="BH328" s="125"/>
      <c r="BI328" s="125"/>
      <c r="BJ328" s="41"/>
      <c r="BK328" s="69"/>
      <c r="BL328" s="39"/>
      <c r="BM328" s="39"/>
      <c r="BN328" s="39"/>
      <c r="BO328" s="39"/>
      <c r="BP328" s="39"/>
      <c r="BQ328" s="39"/>
      <c r="BR328" s="39"/>
      <c r="BS328" s="39"/>
      <c r="BT328" s="39"/>
      <c r="BU328" s="39"/>
      <c r="BV328" s="39"/>
      <c r="BW328" s="39"/>
      <c r="BX328" s="39"/>
      <c r="BY328" s="39"/>
    </row>
    <row r="329" spans="1:77" s="37" customFormat="1">
      <c r="A329" s="39"/>
      <c r="B329" s="42"/>
      <c r="C329" s="685"/>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c r="AB329" s="39"/>
      <c r="AC329" s="39"/>
      <c r="AD329" s="39"/>
      <c r="AE329" s="39"/>
      <c r="AF329" s="39"/>
      <c r="AG329" s="39"/>
      <c r="AH329" s="39"/>
      <c r="AI329" s="39"/>
      <c r="AJ329" s="39"/>
      <c r="AK329" s="39"/>
      <c r="AL329" s="39"/>
      <c r="AM329" s="39"/>
      <c r="AN329" s="39"/>
      <c r="AO329" s="39"/>
      <c r="AP329" s="39"/>
      <c r="AQ329" s="39"/>
      <c r="AR329" s="39"/>
      <c r="AS329" s="39"/>
      <c r="AT329" s="39"/>
      <c r="AU329" s="39"/>
      <c r="AV329" s="123"/>
      <c r="AW329" s="124"/>
      <c r="AX329" s="76"/>
      <c r="AY329" s="76"/>
      <c r="AZ329" s="76"/>
      <c r="BA329" s="125"/>
      <c r="BB329" s="125"/>
      <c r="BC329" s="125"/>
      <c r="BD329" s="125"/>
      <c r="BE329" s="125"/>
      <c r="BF329" s="125"/>
      <c r="BG329" s="125"/>
      <c r="BH329" s="125"/>
      <c r="BI329" s="125"/>
      <c r="BJ329" s="41"/>
      <c r="BK329" s="69"/>
      <c r="BL329" s="39"/>
      <c r="BM329" s="39"/>
      <c r="BN329" s="39"/>
      <c r="BO329" s="39"/>
      <c r="BP329" s="39"/>
      <c r="BQ329" s="39"/>
      <c r="BR329" s="39"/>
      <c r="BS329" s="39"/>
      <c r="BT329" s="39"/>
      <c r="BU329" s="39"/>
      <c r="BV329" s="39"/>
      <c r="BW329" s="39"/>
      <c r="BX329" s="39"/>
      <c r="BY329" s="39"/>
    </row>
    <row r="330" spans="1:77" s="37" customFormat="1">
      <c r="A330" s="39"/>
      <c r="B330" s="42"/>
      <c r="C330" s="685"/>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c r="AB330" s="39"/>
      <c r="AC330" s="39"/>
      <c r="AD330" s="39"/>
      <c r="AE330" s="39"/>
      <c r="AF330" s="39"/>
      <c r="AG330" s="39"/>
      <c r="AH330" s="39"/>
      <c r="AI330" s="39"/>
      <c r="AJ330" s="39"/>
      <c r="AK330" s="39"/>
      <c r="AL330" s="39"/>
      <c r="AM330" s="39"/>
      <c r="AN330" s="39"/>
      <c r="AO330" s="39"/>
      <c r="AP330" s="39"/>
      <c r="AQ330" s="39"/>
      <c r="AR330" s="39"/>
      <c r="AS330" s="39"/>
      <c r="AT330" s="39"/>
      <c r="AU330" s="39"/>
      <c r="AV330" s="123"/>
      <c r="AW330" s="124"/>
      <c r="AX330" s="76"/>
      <c r="AY330" s="76"/>
      <c r="AZ330" s="76"/>
      <c r="BA330" s="125"/>
      <c r="BB330" s="125"/>
      <c r="BC330" s="125"/>
      <c r="BD330" s="125"/>
      <c r="BE330" s="125"/>
      <c r="BF330" s="125"/>
      <c r="BG330" s="125"/>
      <c r="BH330" s="125"/>
      <c r="BI330" s="125"/>
      <c r="BJ330" s="41"/>
      <c r="BK330" s="69"/>
      <c r="BL330" s="39"/>
      <c r="BM330" s="39"/>
      <c r="BN330" s="39"/>
      <c r="BO330" s="39"/>
      <c r="BP330" s="39"/>
      <c r="BQ330" s="39"/>
      <c r="BR330" s="39"/>
      <c r="BS330" s="39"/>
      <c r="BT330" s="39"/>
      <c r="BU330" s="39"/>
      <c r="BV330" s="39"/>
      <c r="BW330" s="39"/>
      <c r="BX330" s="39"/>
      <c r="BY330" s="39"/>
    </row>
    <row r="331" spans="1:77" s="37" customFormat="1">
      <c r="A331" s="39"/>
      <c r="B331" s="42"/>
      <c r="C331" s="685"/>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c r="AB331" s="39"/>
      <c r="AC331" s="39"/>
      <c r="AD331" s="39"/>
      <c r="AE331" s="39"/>
      <c r="AF331" s="39"/>
      <c r="AG331" s="39"/>
      <c r="AH331" s="39"/>
      <c r="AI331" s="39"/>
      <c r="AJ331" s="39"/>
      <c r="AK331" s="39"/>
      <c r="AL331" s="39"/>
      <c r="AM331" s="39"/>
      <c r="AN331" s="39"/>
      <c r="AO331" s="39"/>
      <c r="AP331" s="39"/>
      <c r="AQ331" s="39"/>
      <c r="AR331" s="39"/>
      <c r="AS331" s="39"/>
      <c r="AT331" s="39"/>
      <c r="AU331" s="39"/>
      <c r="AV331" s="123"/>
      <c r="AW331" s="124"/>
      <c r="AX331" s="76"/>
      <c r="AY331" s="76"/>
      <c r="AZ331" s="76"/>
      <c r="BA331" s="125"/>
      <c r="BB331" s="125"/>
      <c r="BC331" s="125"/>
      <c r="BD331" s="125"/>
      <c r="BE331" s="125"/>
      <c r="BF331" s="125"/>
      <c r="BG331" s="125"/>
      <c r="BH331" s="125"/>
      <c r="BI331" s="125"/>
      <c r="BJ331" s="41"/>
      <c r="BK331" s="69"/>
      <c r="BL331" s="39"/>
      <c r="BM331" s="39"/>
      <c r="BN331" s="39"/>
      <c r="BO331" s="39"/>
      <c r="BP331" s="39"/>
      <c r="BQ331" s="39"/>
      <c r="BR331" s="39"/>
      <c r="BS331" s="39"/>
      <c r="BT331" s="39"/>
      <c r="BU331" s="39"/>
      <c r="BV331" s="39"/>
      <c r="BW331" s="39"/>
      <c r="BX331" s="39"/>
      <c r="BY331" s="39"/>
    </row>
    <row r="332" spans="1:77" s="37" customFormat="1">
      <c r="A332" s="39"/>
      <c r="B332" s="43"/>
      <c r="C332" s="43"/>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c r="AB332" s="39"/>
      <c r="AC332" s="39"/>
      <c r="AD332" s="39"/>
      <c r="AE332" s="39"/>
      <c r="AF332" s="39"/>
      <c r="AG332" s="39"/>
      <c r="AH332" s="39"/>
      <c r="AI332" s="39"/>
      <c r="AJ332" s="39"/>
      <c r="AK332" s="39"/>
      <c r="AL332" s="39"/>
      <c r="AM332" s="39"/>
      <c r="AN332" s="39"/>
      <c r="AO332" s="39"/>
      <c r="AP332" s="39"/>
      <c r="AQ332" s="39"/>
      <c r="AR332" s="39"/>
      <c r="AS332" s="39"/>
      <c r="AT332" s="39"/>
      <c r="AU332" s="39"/>
      <c r="AV332" s="123"/>
      <c r="AW332" s="124"/>
      <c r="AX332" s="76"/>
      <c r="AY332" s="76"/>
      <c r="AZ332" s="76"/>
      <c r="BA332" s="125"/>
      <c r="BB332" s="125"/>
      <c r="BC332" s="125"/>
      <c r="BD332" s="125"/>
      <c r="BE332" s="125"/>
      <c r="BF332" s="125"/>
      <c r="BG332" s="125"/>
      <c r="BH332" s="125"/>
      <c r="BI332" s="125"/>
      <c r="BJ332" s="41"/>
      <c r="BK332" s="69"/>
      <c r="BL332" s="39"/>
      <c r="BM332" s="39"/>
      <c r="BN332" s="39"/>
      <c r="BO332" s="39"/>
      <c r="BP332" s="39"/>
      <c r="BQ332" s="39"/>
      <c r="BR332" s="39"/>
      <c r="BS332" s="39"/>
      <c r="BT332" s="39"/>
      <c r="BU332" s="39"/>
      <c r="BV332" s="39"/>
      <c r="BW332" s="39"/>
      <c r="BX332" s="39"/>
      <c r="BY332" s="39"/>
    </row>
    <row r="333" spans="1:77" s="37" customFormat="1" ht="15">
      <c r="A333" s="39"/>
      <c r="B333" s="44"/>
      <c r="C333" s="44"/>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c r="AB333" s="39"/>
      <c r="AC333" s="39"/>
      <c r="AD333" s="39"/>
      <c r="AE333" s="39"/>
      <c r="AF333" s="39"/>
      <c r="AG333" s="39"/>
      <c r="AH333" s="39"/>
      <c r="AI333" s="39"/>
      <c r="AJ333" s="39"/>
      <c r="AK333" s="39"/>
      <c r="AL333" s="39"/>
      <c r="AM333" s="39"/>
      <c r="AN333" s="39"/>
      <c r="AO333" s="39"/>
      <c r="AP333" s="39"/>
      <c r="AQ333" s="39"/>
      <c r="AR333" s="39"/>
      <c r="AS333" s="39"/>
      <c r="AT333" s="39"/>
      <c r="AU333" s="39"/>
      <c r="AV333" s="123"/>
      <c r="AW333" s="124"/>
      <c r="AX333" s="76"/>
      <c r="AY333" s="76"/>
      <c r="AZ333" s="76"/>
      <c r="BA333" s="125"/>
      <c r="BB333" s="125"/>
      <c r="BC333" s="125"/>
      <c r="BD333" s="125"/>
      <c r="BE333" s="125"/>
      <c r="BF333" s="125"/>
      <c r="BG333" s="125"/>
      <c r="BH333" s="125"/>
      <c r="BI333" s="125"/>
      <c r="BJ333" s="41"/>
      <c r="BK333" s="69"/>
      <c r="BL333" s="39"/>
      <c r="BM333" s="39"/>
      <c r="BN333" s="39"/>
      <c r="BO333" s="39"/>
      <c r="BP333" s="39"/>
      <c r="BQ333" s="39"/>
      <c r="BR333" s="39"/>
      <c r="BS333" s="39"/>
      <c r="BT333" s="39"/>
      <c r="BU333" s="39"/>
      <c r="BV333" s="39"/>
      <c r="BW333" s="39"/>
      <c r="BX333" s="39"/>
      <c r="BY333" s="39"/>
    </row>
    <row r="334" spans="1:77" ht="12.75" customHeight="1">
      <c r="B334" s="44"/>
      <c r="C334" s="45"/>
      <c r="D334" s="39"/>
      <c r="E334" s="39"/>
      <c r="F334" s="39"/>
      <c r="G334" s="39"/>
      <c r="H334" s="39"/>
      <c r="I334" s="39"/>
      <c r="J334" s="39"/>
      <c r="K334" s="39"/>
      <c r="L334" s="39"/>
      <c r="M334" s="39"/>
      <c r="N334" s="39"/>
    </row>
    <row r="335" spans="1:77" ht="12.75" customHeight="1">
      <c r="B335" s="44"/>
      <c r="C335" s="44"/>
      <c r="D335" s="39"/>
      <c r="E335" s="39"/>
      <c r="F335" s="39"/>
      <c r="G335" s="39"/>
      <c r="H335" s="39"/>
      <c r="I335" s="39"/>
      <c r="J335" s="39"/>
      <c r="K335" s="39"/>
      <c r="L335" s="39"/>
      <c r="M335" s="39"/>
      <c r="N335" s="39"/>
    </row>
    <row r="336" spans="1:77" ht="12.75" customHeight="1">
      <c r="B336" s="42"/>
      <c r="C336" s="685"/>
      <c r="D336" s="39"/>
      <c r="E336" s="39"/>
      <c r="F336" s="39"/>
      <c r="G336" s="39"/>
      <c r="H336" s="39"/>
      <c r="I336" s="39"/>
      <c r="J336" s="39"/>
      <c r="K336" s="39"/>
      <c r="L336" s="39"/>
      <c r="M336" s="39"/>
      <c r="N336" s="39"/>
    </row>
    <row r="337" spans="2:150" ht="12.75" customHeight="1">
      <c r="B337" s="42"/>
      <c r="C337" s="685"/>
      <c r="D337" s="39"/>
      <c r="E337" s="39"/>
      <c r="F337" s="39"/>
      <c r="G337" s="39"/>
      <c r="H337" s="39"/>
      <c r="I337" s="39"/>
      <c r="J337" s="39"/>
      <c r="K337" s="39"/>
      <c r="L337" s="39"/>
      <c r="M337" s="39"/>
      <c r="N337" s="39"/>
      <c r="ET337" t="s">
        <v>1751</v>
      </c>
    </row>
    <row r="338" spans="2:150" ht="12.75" customHeight="1">
      <c r="B338" s="42"/>
      <c r="C338" s="685"/>
      <c r="D338" s="39"/>
      <c r="E338" s="39"/>
      <c r="F338" s="39"/>
      <c r="G338" s="39"/>
      <c r="H338" s="39"/>
      <c r="I338" s="39"/>
      <c r="J338" s="39"/>
      <c r="K338" s="39"/>
      <c r="L338" s="39"/>
      <c r="M338" s="39"/>
      <c r="N338" s="39"/>
      <c r="ET338" t="s">
        <v>1752</v>
      </c>
    </row>
    <row r="339" spans="2:150" ht="12.75" customHeight="1">
      <c r="B339" s="42"/>
      <c r="C339" s="685"/>
      <c r="D339" s="39"/>
      <c r="E339" s="39"/>
      <c r="F339" s="39"/>
      <c r="G339" s="39"/>
      <c r="H339" s="39"/>
      <c r="I339" s="39"/>
      <c r="J339" s="39"/>
      <c r="K339" s="39"/>
      <c r="L339" s="39"/>
      <c r="M339" s="39"/>
      <c r="N339" s="39"/>
      <c r="ET339" t="s">
        <v>1753</v>
      </c>
    </row>
    <row r="340" spans="2:150" ht="12.75" customHeight="1">
      <c r="B340" s="42"/>
      <c r="C340" s="685"/>
      <c r="D340" s="39"/>
      <c r="E340" s="39"/>
      <c r="F340" s="39"/>
      <c r="G340" s="39"/>
      <c r="H340" s="39"/>
      <c r="I340" s="39"/>
      <c r="J340" s="39"/>
      <c r="K340" s="39"/>
      <c r="L340" s="39"/>
      <c r="M340" s="39"/>
      <c r="N340" s="39"/>
    </row>
    <row r="341" spans="2:150" ht="12.75" customHeight="1">
      <c r="B341" s="42"/>
      <c r="C341" s="685"/>
      <c r="D341" s="39"/>
      <c r="E341" s="39"/>
      <c r="F341" s="39"/>
      <c r="G341" s="39"/>
      <c r="H341" s="39"/>
      <c r="I341" s="39"/>
      <c r="J341" s="39"/>
      <c r="K341" s="39"/>
      <c r="L341" s="39"/>
      <c r="M341" s="39"/>
      <c r="N341" s="39"/>
    </row>
    <row r="342" spans="2:150" ht="12.75" customHeight="1">
      <c r="B342" s="42"/>
      <c r="C342" s="685"/>
      <c r="D342" s="39"/>
      <c r="E342" s="39"/>
    </row>
    <row r="343" spans="2:150" ht="12.75" customHeight="1">
      <c r="B343" s="42"/>
      <c r="C343" s="685"/>
      <c r="D343" s="39"/>
      <c r="E343" s="39"/>
    </row>
  </sheetData>
  <sheetProtection password="ECEC" sheet="1" objects="1" scenarios="1" insertRows="0"/>
  <dataConsolidate/>
  <customSheetViews>
    <customSheetView guid="{9FD33A57-86F0-4BF5-A6C0-5833A5B59516}" showGridLines="0" fitToPage="1" topLeftCell="A4">
      <selection activeCell="E68" sqref="E68:N68"/>
      <colBreaks count="1" manualBreakCount="1">
        <brk id="4" max="37" man="1"/>
      </colBreaks>
      <pageMargins left="0" right="0" top="0.25" bottom="0" header="0" footer="0"/>
      <pageSetup paperSize="9" scale="46" orientation="landscape" r:id="rId1"/>
      <headerFooter alignWithMargins="0">
        <oddHeader>&amp;C&amp;"Verdana,Bold"&amp;12DAILY PRODUCTION REPORT - AG FIELD</oddHeader>
        <oddFooter>&amp;CPage &amp;P</oddFooter>
      </headerFooter>
    </customSheetView>
  </customSheetViews>
  <mergeCells count="27">
    <mergeCell ref="BO46:BO47"/>
    <mergeCell ref="BP46:BP47"/>
    <mergeCell ref="N1:O1"/>
    <mergeCell ref="BJ2:BK2"/>
    <mergeCell ref="O46:O47"/>
    <mergeCell ref="BA46:BA47"/>
    <mergeCell ref="BB46:BB47"/>
    <mergeCell ref="T46:T47"/>
    <mergeCell ref="BC46:BC47"/>
    <mergeCell ref="Q46:Q47"/>
    <mergeCell ref="BR46:BR47"/>
    <mergeCell ref="BQ46:BQ47"/>
    <mergeCell ref="B61:E61"/>
    <mergeCell ref="B46:B47"/>
    <mergeCell ref="C46:C47"/>
    <mergeCell ref="D46:D47"/>
    <mergeCell ref="N46:N47"/>
    <mergeCell ref="H46:H47"/>
    <mergeCell ref="G46:G47"/>
    <mergeCell ref="L46:L47"/>
    <mergeCell ref="E46:E47"/>
    <mergeCell ref="I46:K46"/>
    <mergeCell ref="M46:M47"/>
    <mergeCell ref="F46:F47"/>
    <mergeCell ref="S46:S47"/>
    <mergeCell ref="P46:P47"/>
    <mergeCell ref="R46:R47"/>
  </mergeCells>
  <phoneticPr fontId="2" type="noConversion"/>
  <conditionalFormatting sqref="B13:C13 C10 D18 B15:C18 B19 B44:D44 D20:D24 B3:D7 B20:C29 B42:C43 B8:C9 B30:D41">
    <cfRule type="expression" dxfId="1786" priority="35281" stopIfTrue="1">
      <formula>OR($D3="SI",$D3="T&amp;A")</formula>
    </cfRule>
  </conditionalFormatting>
  <conditionalFormatting sqref="C11:C12">
    <cfRule type="expression" dxfId="1785" priority="34621" stopIfTrue="1">
      <formula>OR($D11="SI",$D11="T&amp;A")</formula>
    </cfRule>
  </conditionalFormatting>
  <conditionalFormatting sqref="C14">
    <cfRule type="expression" dxfId="1784" priority="34575" stopIfTrue="1">
      <formula>OR($D14="SI",$D14="T&amp;A")</formula>
    </cfRule>
  </conditionalFormatting>
  <conditionalFormatting sqref="B14">
    <cfRule type="expression" dxfId="1783" priority="34489" stopIfTrue="1">
      <formula>OR($D14="SI",$D14="T&amp;A")</formula>
    </cfRule>
  </conditionalFormatting>
  <conditionalFormatting sqref="B10:B12">
    <cfRule type="expression" dxfId="1782" priority="33902" stopIfTrue="1">
      <formula>OR($D10="SI",$D10="T&amp;A")</formula>
    </cfRule>
  </conditionalFormatting>
  <conditionalFormatting sqref="D9:D10">
    <cfRule type="expression" dxfId="1781" priority="33805" stopIfTrue="1">
      <formula>OR($D9="SI",$D9="T&amp;A")</formula>
    </cfRule>
  </conditionalFormatting>
  <conditionalFormatting sqref="D11">
    <cfRule type="expression" dxfId="1780" priority="33526" stopIfTrue="1">
      <formula>OR($D11="SI",$D11="T&amp;A")</formula>
    </cfRule>
  </conditionalFormatting>
  <conditionalFormatting sqref="D12">
    <cfRule type="expression" dxfId="1779" priority="33525" stopIfTrue="1">
      <formula>OR($D12="SI",$D12="T&amp;A")</formula>
    </cfRule>
  </conditionalFormatting>
  <conditionalFormatting sqref="D14">
    <cfRule type="expression" dxfId="1778" priority="33524" stopIfTrue="1">
      <formula>OR($D14="SI",$D14="T&amp;A")</formula>
    </cfRule>
  </conditionalFormatting>
  <conditionalFormatting sqref="D17">
    <cfRule type="expression" dxfId="1777" priority="33523" stopIfTrue="1">
      <formula>OR($D17="SI",$D17="T&amp;A")</formula>
    </cfRule>
  </conditionalFormatting>
  <conditionalFormatting sqref="D13">
    <cfRule type="expression" dxfId="1776" priority="28994" stopIfTrue="1">
      <formula>OR($D13="SI",$D13="T&amp;A")</formula>
    </cfRule>
  </conditionalFormatting>
  <conditionalFormatting sqref="D26">
    <cfRule type="expression" dxfId="1775" priority="26876" stopIfTrue="1">
      <formula>OR($D26="SI",$D26="T&amp;A")</formula>
    </cfRule>
  </conditionalFormatting>
  <conditionalFormatting sqref="C19">
    <cfRule type="expression" dxfId="1774" priority="26821" stopIfTrue="1">
      <formula>OR($D19="SI",$D19="T&amp;A")</formula>
    </cfRule>
  </conditionalFormatting>
  <conditionalFormatting sqref="D16">
    <cfRule type="expression" dxfId="1773" priority="26817" stopIfTrue="1">
      <formula>OR($D16="SI",$D16="T&amp;A")</formula>
    </cfRule>
  </conditionalFormatting>
  <conditionalFormatting sqref="D27:D28">
    <cfRule type="expression" dxfId="1772" priority="26599" stopIfTrue="1">
      <formula>OR($D27="SI",$D27="T&amp;A")</formula>
    </cfRule>
  </conditionalFormatting>
  <conditionalFormatting sqref="D25">
    <cfRule type="expression" dxfId="1771" priority="26598" stopIfTrue="1">
      <formula>OR($D25="SI",$D25="T&amp;A")</formula>
    </cfRule>
  </conditionalFormatting>
  <conditionalFormatting sqref="T53">
    <cfRule type="expression" dxfId="1770" priority="26570" stopIfTrue="1">
      <formula>AND($D53&lt;&gt;"SI",$N53&lt;24)</formula>
    </cfRule>
  </conditionalFormatting>
  <conditionalFormatting sqref="T53">
    <cfRule type="expression" dxfId="1769" priority="26569" stopIfTrue="1">
      <formula>AND($D53&lt;&gt;"SI",$N53&lt;24)</formula>
    </cfRule>
  </conditionalFormatting>
  <conditionalFormatting sqref="T55">
    <cfRule type="expression" dxfId="1768" priority="26568" stopIfTrue="1">
      <formula>AND($D55&lt;&gt;"SI",$N55&lt;24)</formula>
    </cfRule>
  </conditionalFormatting>
  <conditionalFormatting sqref="T55">
    <cfRule type="expression" dxfId="1767" priority="26567" stopIfTrue="1">
      <formula>AND($D55&lt;&gt;"SI",$N55&lt;24)</formula>
    </cfRule>
  </conditionalFormatting>
  <conditionalFormatting sqref="T55">
    <cfRule type="expression" dxfId="1766" priority="26566" stopIfTrue="1">
      <formula>AND($D55&lt;&gt;"SI",$N55&lt;24)</formula>
    </cfRule>
  </conditionalFormatting>
  <conditionalFormatting sqref="D42:D43">
    <cfRule type="expression" dxfId="1765" priority="26434" stopIfTrue="1">
      <formula>OR($D42="SI",$D42="T&amp;A")</formula>
    </cfRule>
  </conditionalFormatting>
  <conditionalFormatting sqref="T54">
    <cfRule type="expression" dxfId="1764" priority="25540" stopIfTrue="1">
      <formula>AND($D54&lt;&gt;"SI",$N54&lt;24)</formula>
    </cfRule>
  </conditionalFormatting>
  <conditionalFormatting sqref="T54">
    <cfRule type="expression" dxfId="1763" priority="25539" stopIfTrue="1">
      <formula>AND($D54&lt;&gt;"SI",$N54&lt;24)</formula>
    </cfRule>
  </conditionalFormatting>
  <conditionalFormatting sqref="T56">
    <cfRule type="expression" dxfId="1762" priority="22165" stopIfTrue="1">
      <formula>AND($D56&lt;&gt;"SI",$N56&lt;24)</formula>
    </cfRule>
  </conditionalFormatting>
  <conditionalFormatting sqref="T56">
    <cfRule type="expression" dxfId="1761" priority="22164" stopIfTrue="1">
      <formula>AND($D56&lt;&gt;"SI",$N56&lt;24)</formula>
    </cfRule>
  </conditionalFormatting>
  <conditionalFormatting sqref="T48:T49 T52:T57 T59">
    <cfRule type="expression" dxfId="1760" priority="17805" stopIfTrue="1">
      <formula>AND($D48&lt;&gt;"SI",$N48&lt;24)</formula>
    </cfRule>
  </conditionalFormatting>
  <conditionalFormatting sqref="T48:T49 T52:T57 T59">
    <cfRule type="expression" dxfId="1759" priority="17804" stopIfTrue="1">
      <formula>AND($D48&lt;&gt;"SI",$N48&lt;24)</formula>
    </cfRule>
  </conditionalFormatting>
  <conditionalFormatting sqref="R59">
    <cfRule type="expression" dxfId="1758" priority="16834" stopIfTrue="1">
      <formula>AND($D59&lt;&gt;"SI",$N59&lt;24)</formula>
    </cfRule>
  </conditionalFormatting>
  <conditionalFormatting sqref="R59">
    <cfRule type="expression" dxfId="1757" priority="16833" stopIfTrue="1">
      <formula>AND($D59&lt;&gt;"SI",$N59&lt;24)</formula>
    </cfRule>
  </conditionalFormatting>
  <conditionalFormatting sqref="R59">
    <cfRule type="expression" dxfId="1756" priority="16832" stopIfTrue="1">
      <formula>AND($D59&lt;&gt;"SI",$N59&lt;24)</formula>
    </cfRule>
  </conditionalFormatting>
  <conditionalFormatting sqref="R59">
    <cfRule type="expression" dxfId="1755" priority="16831" stopIfTrue="1">
      <formula>AND($D59&lt;&gt;"SI",$N59&lt;24)</formula>
    </cfRule>
  </conditionalFormatting>
  <conditionalFormatting sqref="R59">
    <cfRule type="expression" dxfId="1754" priority="16830" stopIfTrue="1">
      <formula>AND($D59&lt;&gt;"SI",$N59&lt;24)</formula>
    </cfRule>
  </conditionalFormatting>
  <conditionalFormatting sqref="R59">
    <cfRule type="expression" dxfId="1753" priority="16829" stopIfTrue="1">
      <formula>AND($D59&lt;&gt;"SI",$N59&lt;24)</formula>
    </cfRule>
  </conditionalFormatting>
  <conditionalFormatting sqref="R59">
    <cfRule type="expression" dxfId="1752" priority="16828" stopIfTrue="1">
      <formula>AND($D59&lt;&gt;"SI",$N59&lt;24)</formula>
    </cfRule>
  </conditionalFormatting>
  <conditionalFormatting sqref="R59">
    <cfRule type="expression" dxfId="1751" priority="16827" stopIfTrue="1">
      <formula>AND($D59&lt;&gt;"SI",$N59&lt;24)</formula>
    </cfRule>
  </conditionalFormatting>
  <conditionalFormatting sqref="R59">
    <cfRule type="expression" dxfId="1750" priority="16826" stopIfTrue="1">
      <formula>AND($D59&lt;&gt;"SI",$N59&lt;24)</formula>
    </cfRule>
  </conditionalFormatting>
  <conditionalFormatting sqref="R59">
    <cfRule type="expression" dxfId="1749" priority="16825" stopIfTrue="1">
      <formula>AND($D59&lt;&gt;"SI",$N59&lt;24)</formula>
    </cfRule>
  </conditionalFormatting>
  <conditionalFormatting sqref="R59">
    <cfRule type="expression" dxfId="1748" priority="16824" stopIfTrue="1">
      <formula>AND($D59&lt;&gt;"SI",$N59&lt;24)</formula>
    </cfRule>
  </conditionalFormatting>
  <conditionalFormatting sqref="R59">
    <cfRule type="expression" dxfId="1747" priority="16823" stopIfTrue="1">
      <formula>AND($D59&lt;&gt;"SI",$N59&lt;24)</formula>
    </cfRule>
  </conditionalFormatting>
  <conditionalFormatting sqref="R59">
    <cfRule type="expression" dxfId="1746" priority="16822" stopIfTrue="1">
      <formula>AND($D59&lt;&gt;"SI",$N59&lt;24)</formula>
    </cfRule>
  </conditionalFormatting>
  <conditionalFormatting sqref="R59">
    <cfRule type="expression" dxfId="1745" priority="16821" stopIfTrue="1">
      <formula>AND($D59&lt;&gt;"SI",$N59&lt;24)</formula>
    </cfRule>
  </conditionalFormatting>
  <conditionalFormatting sqref="R59">
    <cfRule type="expression" dxfId="1744" priority="16820" stopIfTrue="1">
      <formula>AND($D59&lt;&gt;"SI",$N59&lt;24)</formula>
    </cfRule>
  </conditionalFormatting>
  <conditionalFormatting sqref="R59">
    <cfRule type="expression" dxfId="1743" priority="16819" stopIfTrue="1">
      <formula>AND($D59&lt;&gt;"SI",$N59&lt;24)</formula>
    </cfRule>
  </conditionalFormatting>
  <conditionalFormatting sqref="R59">
    <cfRule type="expression" dxfId="1742" priority="16818" stopIfTrue="1">
      <formula>AND($D59&lt;&gt;"SI",$N59&lt;24)</formula>
    </cfRule>
  </conditionalFormatting>
  <conditionalFormatting sqref="R59">
    <cfRule type="expression" dxfId="1741" priority="16817" stopIfTrue="1">
      <formula>AND($D59&lt;&gt;"SI",$N59&lt;24)</formula>
    </cfRule>
  </conditionalFormatting>
  <conditionalFormatting sqref="R59">
    <cfRule type="expression" dxfId="1740" priority="16816" stopIfTrue="1">
      <formula>AND($D59&lt;&gt;"SI",$N59&lt;24)</formula>
    </cfRule>
  </conditionalFormatting>
  <conditionalFormatting sqref="R59">
    <cfRule type="expression" dxfId="1739" priority="16815" stopIfTrue="1">
      <formula>AND($D59&lt;&gt;"SI",$N59&lt;24)</formula>
    </cfRule>
  </conditionalFormatting>
  <conditionalFormatting sqref="R59">
    <cfRule type="expression" dxfId="1738" priority="16814" stopIfTrue="1">
      <formula>AND($D59&lt;&gt;"SI",$N59&lt;24)</formula>
    </cfRule>
  </conditionalFormatting>
  <conditionalFormatting sqref="R59">
    <cfRule type="expression" dxfId="1737" priority="16813" stopIfTrue="1">
      <formula>AND($D59&lt;&gt;"SI",$N59&lt;24)</formula>
    </cfRule>
  </conditionalFormatting>
  <conditionalFormatting sqref="R59">
    <cfRule type="expression" dxfId="1736" priority="16812" stopIfTrue="1">
      <formula>AND($D59&lt;&gt;"SI",$N59&lt;24)</formula>
    </cfRule>
  </conditionalFormatting>
  <conditionalFormatting sqref="R59">
    <cfRule type="expression" dxfId="1735" priority="16811" stopIfTrue="1">
      <formula>AND($D59&lt;&gt;"SI",$N59&lt;24)</formula>
    </cfRule>
  </conditionalFormatting>
  <conditionalFormatting sqref="R59">
    <cfRule type="expression" dxfId="1734" priority="16810" stopIfTrue="1">
      <formula>AND($D59&lt;&gt;"SI",$N59&lt;24)</formula>
    </cfRule>
  </conditionalFormatting>
  <conditionalFormatting sqref="R59">
    <cfRule type="expression" dxfId="1733" priority="16809" stopIfTrue="1">
      <formula>AND($D59&lt;&gt;"SI",$N59&lt;24)</formula>
    </cfRule>
  </conditionalFormatting>
  <conditionalFormatting sqref="R59">
    <cfRule type="expression" dxfId="1732" priority="16808" stopIfTrue="1">
      <formula>AND($D59&lt;&gt;"SI",$N59&lt;24)</formula>
    </cfRule>
  </conditionalFormatting>
  <conditionalFormatting sqref="R59">
    <cfRule type="expression" dxfId="1731" priority="16807" stopIfTrue="1">
      <formula>AND($D59&lt;&gt;"SI",$N59&lt;24)</formula>
    </cfRule>
  </conditionalFormatting>
  <conditionalFormatting sqref="R59">
    <cfRule type="expression" dxfId="1730" priority="16806" stopIfTrue="1">
      <formula>AND($D59&lt;&gt;"SI",$N59&lt;24)</formula>
    </cfRule>
  </conditionalFormatting>
  <conditionalFormatting sqref="R59">
    <cfRule type="expression" dxfId="1729" priority="16805" stopIfTrue="1">
      <formula>AND($D59&lt;&gt;"SI",$N59&lt;24)</formula>
    </cfRule>
  </conditionalFormatting>
  <conditionalFormatting sqref="R59">
    <cfRule type="expression" dxfId="1728" priority="16804" stopIfTrue="1">
      <formula>AND($D59&lt;&gt;"SI",$N59&lt;24)</formula>
    </cfRule>
  </conditionalFormatting>
  <conditionalFormatting sqref="R59">
    <cfRule type="expression" dxfId="1727" priority="16803" stopIfTrue="1">
      <formula>AND($D59&lt;&gt;"SI",$N59&lt;24)</formula>
    </cfRule>
  </conditionalFormatting>
  <conditionalFormatting sqref="R59">
    <cfRule type="expression" dxfId="1726" priority="15664" stopIfTrue="1">
      <formula>AND($D59&lt;&gt;"SI",$N59&lt;24)</formula>
    </cfRule>
  </conditionalFormatting>
  <conditionalFormatting sqref="R59">
    <cfRule type="expression" dxfId="1725" priority="15663" stopIfTrue="1">
      <formula>AND($D59&lt;&gt;"SI",$N59&lt;24)</formula>
    </cfRule>
  </conditionalFormatting>
  <conditionalFormatting sqref="R59">
    <cfRule type="expression" dxfId="1724" priority="15662" stopIfTrue="1">
      <formula>AND($D59&lt;&gt;"SI",$N59&lt;24)</formula>
    </cfRule>
  </conditionalFormatting>
  <conditionalFormatting sqref="R59">
    <cfRule type="expression" dxfId="1723" priority="15661" stopIfTrue="1">
      <formula>AND($D59&lt;&gt;"SI",$N59&lt;24)</formula>
    </cfRule>
  </conditionalFormatting>
  <conditionalFormatting sqref="R59">
    <cfRule type="expression" dxfId="1722" priority="15660" stopIfTrue="1">
      <formula>AND($D59&lt;&gt;"SI",$N59&lt;24)</formula>
    </cfRule>
  </conditionalFormatting>
  <conditionalFormatting sqref="R59">
    <cfRule type="expression" dxfId="1721" priority="15659" stopIfTrue="1">
      <formula>AND($D59&lt;&gt;"SI",$N59&lt;24)</formula>
    </cfRule>
  </conditionalFormatting>
  <conditionalFormatting sqref="R59">
    <cfRule type="expression" dxfId="1720" priority="15658" stopIfTrue="1">
      <formula>AND($D59&lt;&gt;"SI",$N59&lt;24)</formula>
    </cfRule>
  </conditionalFormatting>
  <conditionalFormatting sqref="R59">
    <cfRule type="expression" dxfId="1719" priority="15657" stopIfTrue="1">
      <formula>AND($D59&lt;&gt;"SI",$N59&lt;24)</formula>
    </cfRule>
  </conditionalFormatting>
  <conditionalFormatting sqref="R59">
    <cfRule type="expression" dxfId="1718" priority="15656" stopIfTrue="1">
      <formula>AND($D59&lt;&gt;"SI",$N59&lt;24)</formula>
    </cfRule>
  </conditionalFormatting>
  <conditionalFormatting sqref="R59">
    <cfRule type="expression" dxfId="1717" priority="15655" stopIfTrue="1">
      <formula>AND($D59&lt;&gt;"SI",$N59&lt;24)</formula>
    </cfRule>
  </conditionalFormatting>
  <conditionalFormatting sqref="R59">
    <cfRule type="expression" dxfId="1716" priority="15654" stopIfTrue="1">
      <formula>AND($D59&lt;&gt;"SI",$N59&lt;24)</formula>
    </cfRule>
  </conditionalFormatting>
  <conditionalFormatting sqref="R59">
    <cfRule type="expression" dxfId="1715" priority="15653" stopIfTrue="1">
      <formula>AND($D59&lt;&gt;"SI",$N59&lt;24)</formula>
    </cfRule>
  </conditionalFormatting>
  <conditionalFormatting sqref="R59">
    <cfRule type="expression" dxfId="1714" priority="15652" stopIfTrue="1">
      <formula>AND($D59&lt;&gt;"SI",$N59&lt;24)</formula>
    </cfRule>
  </conditionalFormatting>
  <conditionalFormatting sqref="R59">
    <cfRule type="expression" dxfId="1713" priority="15651" stopIfTrue="1">
      <formula>AND($D59&lt;&gt;"SI",$N59&lt;24)</formula>
    </cfRule>
  </conditionalFormatting>
  <conditionalFormatting sqref="R59">
    <cfRule type="expression" dxfId="1712" priority="15650" stopIfTrue="1">
      <formula>AND($D59&lt;&gt;"SI",$N59&lt;24)</formula>
    </cfRule>
  </conditionalFormatting>
  <conditionalFormatting sqref="R59">
    <cfRule type="expression" dxfId="1711" priority="15649" stopIfTrue="1">
      <formula>AND($D59&lt;&gt;"SI",$N59&lt;24)</formula>
    </cfRule>
  </conditionalFormatting>
  <conditionalFormatting sqref="R59">
    <cfRule type="expression" dxfId="1710" priority="15648" stopIfTrue="1">
      <formula>AND($D59&lt;&gt;"SI",$N59&lt;24)</formula>
    </cfRule>
  </conditionalFormatting>
  <conditionalFormatting sqref="R59">
    <cfRule type="expression" dxfId="1709" priority="15647" stopIfTrue="1">
      <formula>AND($D59&lt;&gt;"SI",$N59&lt;24)</formula>
    </cfRule>
  </conditionalFormatting>
  <conditionalFormatting sqref="R59">
    <cfRule type="expression" dxfId="1708" priority="15646" stopIfTrue="1">
      <formula>AND($D59&lt;&gt;"SI",$N59&lt;24)</formula>
    </cfRule>
  </conditionalFormatting>
  <conditionalFormatting sqref="R59">
    <cfRule type="expression" dxfId="1707" priority="15645" stopIfTrue="1">
      <formula>AND($D59&lt;&gt;"SI",$N59&lt;24)</formula>
    </cfRule>
  </conditionalFormatting>
  <conditionalFormatting sqref="R59">
    <cfRule type="expression" dxfId="1706" priority="15644" stopIfTrue="1">
      <formula>AND($D59&lt;&gt;"SI",$N59&lt;24)</formula>
    </cfRule>
  </conditionalFormatting>
  <conditionalFormatting sqref="R59">
    <cfRule type="expression" dxfId="1705" priority="15643" stopIfTrue="1">
      <formula>AND($D59&lt;&gt;"SI",$N59&lt;24)</formula>
    </cfRule>
  </conditionalFormatting>
  <conditionalFormatting sqref="R59">
    <cfRule type="expression" dxfId="1704" priority="15642" stopIfTrue="1">
      <formula>AND($D59&lt;&gt;"SI",$N59&lt;24)</formula>
    </cfRule>
  </conditionalFormatting>
  <conditionalFormatting sqref="R59">
    <cfRule type="expression" dxfId="1703" priority="15641" stopIfTrue="1">
      <formula>AND($D59&lt;&gt;"SI",$N59&lt;24)</formula>
    </cfRule>
  </conditionalFormatting>
  <conditionalFormatting sqref="R59">
    <cfRule type="expression" dxfId="1702" priority="15640" stopIfTrue="1">
      <formula>AND($D59&lt;&gt;"SI",$N59&lt;24)</formula>
    </cfRule>
  </conditionalFormatting>
  <conditionalFormatting sqref="R59">
    <cfRule type="expression" dxfId="1701" priority="15639" stopIfTrue="1">
      <formula>AND($D59&lt;&gt;"SI",$N59&lt;24)</formula>
    </cfRule>
  </conditionalFormatting>
  <conditionalFormatting sqref="R59">
    <cfRule type="expression" dxfId="1700" priority="15638" stopIfTrue="1">
      <formula>AND($D59&lt;&gt;"SI",$N59&lt;24)</formula>
    </cfRule>
  </conditionalFormatting>
  <conditionalFormatting sqref="R59">
    <cfRule type="expression" dxfId="1699" priority="15637" stopIfTrue="1">
      <formula>AND($D59&lt;&gt;"SI",$N59&lt;24)</formula>
    </cfRule>
  </conditionalFormatting>
  <conditionalFormatting sqref="R59">
    <cfRule type="expression" dxfId="1698" priority="15636" stopIfTrue="1">
      <formula>AND($D59&lt;&gt;"SI",$N59&lt;24)</formula>
    </cfRule>
  </conditionalFormatting>
  <conditionalFormatting sqref="R59">
    <cfRule type="expression" dxfId="1697" priority="15635" stopIfTrue="1">
      <formula>AND($D59&lt;&gt;"SI",$N59&lt;24)</formula>
    </cfRule>
  </conditionalFormatting>
  <conditionalFormatting sqref="R59">
    <cfRule type="expression" dxfId="1696" priority="15634" stopIfTrue="1">
      <formula>AND($D59&lt;&gt;"SI",$N59&lt;24)</formula>
    </cfRule>
  </conditionalFormatting>
  <conditionalFormatting sqref="R59">
    <cfRule type="expression" dxfId="1695" priority="15633" stopIfTrue="1">
      <formula>AND($D59&lt;&gt;"SI",$N59&lt;24)</formula>
    </cfRule>
  </conditionalFormatting>
  <conditionalFormatting sqref="T48">
    <cfRule type="expression" dxfId="1694" priority="14709" stopIfTrue="1">
      <formula>AND($D48&lt;&gt;"SI",$N48&lt;24)</formula>
    </cfRule>
  </conditionalFormatting>
  <conditionalFormatting sqref="T48">
    <cfRule type="expression" dxfId="1693" priority="14708" stopIfTrue="1">
      <formula>AND($D48&lt;&gt;"SI",$N48&lt;24)</formula>
    </cfRule>
  </conditionalFormatting>
  <conditionalFormatting sqref="T51">
    <cfRule type="expression" dxfId="1692" priority="10338" stopIfTrue="1">
      <formula>AND($D51&lt;&gt;"SI",$N51&lt;24)</formula>
    </cfRule>
  </conditionalFormatting>
  <conditionalFormatting sqref="T51">
    <cfRule type="expression" dxfId="1691" priority="10337" stopIfTrue="1">
      <formula>AND($D51&lt;&gt;"SI",$N51&lt;24)</formula>
    </cfRule>
  </conditionalFormatting>
  <conditionalFormatting sqref="T51">
    <cfRule type="expression" dxfId="1690" priority="10336" stopIfTrue="1">
      <formula>AND($D51&lt;&gt;"SI",$N51&lt;24)</formula>
    </cfRule>
  </conditionalFormatting>
  <conditionalFormatting sqref="T51">
    <cfRule type="expression" dxfId="1689" priority="10335" stopIfTrue="1">
      <formula>AND($D51&lt;&gt;"SI",$N51&lt;24)</formula>
    </cfRule>
  </conditionalFormatting>
  <conditionalFormatting sqref="T51">
    <cfRule type="expression" dxfId="1688" priority="10334" stopIfTrue="1">
      <formula>AND($D51&lt;&gt;"SI",$N51&lt;24)</formula>
    </cfRule>
  </conditionalFormatting>
  <conditionalFormatting sqref="T51">
    <cfRule type="expression" dxfId="1687" priority="10333" stopIfTrue="1">
      <formula>AND($D51&lt;&gt;"SI",$N51&lt;24)</formula>
    </cfRule>
  </conditionalFormatting>
  <conditionalFormatting sqref="T51">
    <cfRule type="expression" dxfId="1686" priority="10332" stopIfTrue="1">
      <formula>AND($D51&lt;&gt;"SI",$N51&lt;24)</formula>
    </cfRule>
  </conditionalFormatting>
  <conditionalFormatting sqref="T51">
    <cfRule type="expression" dxfId="1685" priority="10331" stopIfTrue="1">
      <formula>AND($D51&lt;&gt;"SI",$N51&lt;24)</formula>
    </cfRule>
  </conditionalFormatting>
  <conditionalFormatting sqref="T51">
    <cfRule type="expression" dxfId="1684" priority="10330" stopIfTrue="1">
      <formula>AND($D51&lt;&gt;"SI",$N51&lt;24)</formula>
    </cfRule>
  </conditionalFormatting>
  <conditionalFormatting sqref="T51">
    <cfRule type="expression" dxfId="1683" priority="10329" stopIfTrue="1">
      <formula>AND($D51&lt;&gt;"SI",$N51&lt;24)</formula>
    </cfRule>
  </conditionalFormatting>
  <conditionalFormatting sqref="T51">
    <cfRule type="expression" dxfId="1682" priority="10328" stopIfTrue="1">
      <formula>AND($D51&lt;&gt;"SI",$N51&lt;24)</formula>
    </cfRule>
  </conditionalFormatting>
  <conditionalFormatting sqref="T51">
    <cfRule type="expression" dxfId="1681" priority="10327" stopIfTrue="1">
      <formula>AND($D51&lt;&gt;"SI",$N51&lt;24)</formula>
    </cfRule>
  </conditionalFormatting>
  <conditionalFormatting sqref="T51">
    <cfRule type="expression" dxfId="1680" priority="10326" stopIfTrue="1">
      <formula>AND($D51&lt;&gt;"SI",$N51&lt;24)</formula>
    </cfRule>
  </conditionalFormatting>
  <conditionalFormatting sqref="T51">
    <cfRule type="expression" dxfId="1679" priority="10325" stopIfTrue="1">
      <formula>AND($D51&lt;&gt;"SI",$N51&lt;24)</formula>
    </cfRule>
  </conditionalFormatting>
  <conditionalFormatting sqref="T51">
    <cfRule type="expression" dxfId="1678" priority="10324" stopIfTrue="1">
      <formula>AND($D51&lt;&gt;"SI",$N51&lt;24)</formula>
    </cfRule>
  </conditionalFormatting>
  <conditionalFormatting sqref="T51">
    <cfRule type="expression" dxfId="1677" priority="10323" stopIfTrue="1">
      <formula>AND($D51&lt;&gt;"SI",$N51&lt;24)</formula>
    </cfRule>
  </conditionalFormatting>
  <conditionalFormatting sqref="T51">
    <cfRule type="expression" dxfId="1676" priority="10322" stopIfTrue="1">
      <formula>AND($D51&lt;&gt;"SI",$N51&lt;24)</formula>
    </cfRule>
  </conditionalFormatting>
  <conditionalFormatting sqref="T51">
    <cfRule type="expression" dxfId="1675" priority="10321" stopIfTrue="1">
      <formula>AND($D51&lt;&gt;"SI",$N51&lt;24)</formula>
    </cfRule>
  </conditionalFormatting>
  <conditionalFormatting sqref="T51">
    <cfRule type="expression" dxfId="1674" priority="10320" stopIfTrue="1">
      <formula>AND($D51&lt;&gt;"SI",$N51&lt;24)</formula>
    </cfRule>
  </conditionalFormatting>
  <conditionalFormatting sqref="T51">
    <cfRule type="expression" dxfId="1673" priority="10319" stopIfTrue="1">
      <formula>AND($D51&lt;&gt;"SI",$N51&lt;24)</formula>
    </cfRule>
  </conditionalFormatting>
  <conditionalFormatting sqref="T51">
    <cfRule type="expression" dxfId="1672" priority="10318" stopIfTrue="1">
      <formula>AND($D51&lt;&gt;"SI",$N51&lt;24)</formula>
    </cfRule>
  </conditionalFormatting>
  <conditionalFormatting sqref="T51">
    <cfRule type="expression" dxfId="1671" priority="10317" stopIfTrue="1">
      <formula>AND($D51&lt;&gt;"SI",$N51&lt;24)</formula>
    </cfRule>
  </conditionalFormatting>
  <conditionalFormatting sqref="T51">
    <cfRule type="expression" dxfId="1670" priority="10316" stopIfTrue="1">
      <formula>AND($D51&lt;&gt;"SI",$N51&lt;24)</formula>
    </cfRule>
  </conditionalFormatting>
  <conditionalFormatting sqref="T51">
    <cfRule type="expression" dxfId="1669" priority="10315" stopIfTrue="1">
      <formula>AND($D51&lt;&gt;"SI",$N51&lt;24)</formula>
    </cfRule>
  </conditionalFormatting>
  <conditionalFormatting sqref="T51">
    <cfRule type="expression" dxfId="1668" priority="10314" stopIfTrue="1">
      <formula>AND($D51&lt;&gt;"SI",$N51&lt;24)</formula>
    </cfRule>
  </conditionalFormatting>
  <conditionalFormatting sqref="T51">
    <cfRule type="expression" dxfId="1667" priority="10313" stopIfTrue="1">
      <formula>AND($D51&lt;&gt;"SI",$N51&lt;24)</formula>
    </cfRule>
  </conditionalFormatting>
  <conditionalFormatting sqref="T51">
    <cfRule type="expression" dxfId="1666" priority="10312" stopIfTrue="1">
      <formula>AND($D51&lt;&gt;"SI",$N51&lt;24)</formula>
    </cfRule>
  </conditionalFormatting>
  <conditionalFormatting sqref="T51">
    <cfRule type="expression" dxfId="1665" priority="10311" stopIfTrue="1">
      <formula>AND($D51&lt;&gt;"SI",$N51&lt;24)</formula>
    </cfRule>
  </conditionalFormatting>
  <conditionalFormatting sqref="T51">
    <cfRule type="expression" dxfId="1664" priority="10310" stopIfTrue="1">
      <formula>AND($D51&lt;&gt;"SI",$N51&lt;24)</formula>
    </cfRule>
  </conditionalFormatting>
  <conditionalFormatting sqref="T51">
    <cfRule type="expression" dxfId="1663" priority="10309" stopIfTrue="1">
      <formula>AND($D51&lt;&gt;"SI",$N51&lt;24)</formula>
    </cfRule>
  </conditionalFormatting>
  <conditionalFormatting sqref="T51">
    <cfRule type="expression" dxfId="1662" priority="10308" stopIfTrue="1">
      <formula>AND($D51&lt;&gt;"SI",$N51&lt;24)</formula>
    </cfRule>
  </conditionalFormatting>
  <conditionalFormatting sqref="T51">
    <cfRule type="expression" dxfId="1661" priority="10307" stopIfTrue="1">
      <formula>AND($D51&lt;&gt;"SI",$N51&lt;24)</formula>
    </cfRule>
  </conditionalFormatting>
  <conditionalFormatting sqref="T51">
    <cfRule type="expression" dxfId="1660" priority="10306" stopIfTrue="1">
      <formula>AND($D51&lt;&gt;"SI",$N51&lt;24)</formula>
    </cfRule>
  </conditionalFormatting>
  <conditionalFormatting sqref="T51">
    <cfRule type="expression" dxfId="1659" priority="10305" stopIfTrue="1">
      <formula>AND($D51&lt;&gt;"SI",$N51&lt;24)</formula>
    </cfRule>
  </conditionalFormatting>
  <conditionalFormatting sqref="T51">
    <cfRule type="expression" dxfId="1658" priority="10304" stopIfTrue="1">
      <formula>AND($D51&lt;&gt;"SI",$N51&lt;24)</formula>
    </cfRule>
  </conditionalFormatting>
  <conditionalFormatting sqref="T51">
    <cfRule type="expression" dxfId="1657" priority="10303" stopIfTrue="1">
      <formula>AND($D51&lt;&gt;"SI",$N51&lt;24)</formula>
    </cfRule>
  </conditionalFormatting>
  <conditionalFormatting sqref="T51">
    <cfRule type="expression" dxfId="1656" priority="10302" stopIfTrue="1">
      <formula>AND($D51&lt;&gt;"SI",$N51&lt;24)</formula>
    </cfRule>
  </conditionalFormatting>
  <conditionalFormatting sqref="T51">
    <cfRule type="expression" dxfId="1655" priority="10301" stopIfTrue="1">
      <formula>AND($D51&lt;&gt;"SI",$N51&lt;24)</formula>
    </cfRule>
  </conditionalFormatting>
  <conditionalFormatting sqref="T51">
    <cfRule type="expression" dxfId="1654" priority="10300" stopIfTrue="1">
      <formula>AND($D51&lt;&gt;"SI",$N51&lt;24)</formula>
    </cfRule>
  </conditionalFormatting>
  <conditionalFormatting sqref="T51">
    <cfRule type="expression" dxfId="1653" priority="10299" stopIfTrue="1">
      <formula>AND($D51&lt;&gt;"SI",$N51&lt;24)</formula>
    </cfRule>
  </conditionalFormatting>
  <conditionalFormatting sqref="T51">
    <cfRule type="expression" dxfId="1652" priority="10298" stopIfTrue="1">
      <formula>AND($D51&lt;&gt;"SI",$N51&lt;24)</formula>
    </cfRule>
  </conditionalFormatting>
  <conditionalFormatting sqref="T51">
    <cfRule type="expression" dxfId="1651" priority="10297" stopIfTrue="1">
      <formula>AND($D51&lt;&gt;"SI",$N51&lt;24)</formula>
    </cfRule>
  </conditionalFormatting>
  <conditionalFormatting sqref="T51">
    <cfRule type="expression" dxfId="1650" priority="10296" stopIfTrue="1">
      <formula>AND($D51&lt;&gt;"SI",$N51&lt;24)</formula>
    </cfRule>
  </conditionalFormatting>
  <conditionalFormatting sqref="T51">
    <cfRule type="expression" dxfId="1649" priority="10295" stopIfTrue="1">
      <formula>AND($D51&lt;&gt;"SI",$N51&lt;24)</formula>
    </cfRule>
  </conditionalFormatting>
  <conditionalFormatting sqref="T51">
    <cfRule type="expression" dxfId="1648" priority="10294" stopIfTrue="1">
      <formula>AND($D51&lt;&gt;"SI",$N51&lt;24)</formula>
    </cfRule>
  </conditionalFormatting>
  <conditionalFormatting sqref="T51">
    <cfRule type="expression" dxfId="1647" priority="10293" stopIfTrue="1">
      <formula>AND($D51&lt;&gt;"SI",$N51&lt;24)</formula>
    </cfRule>
  </conditionalFormatting>
  <conditionalFormatting sqref="T51">
    <cfRule type="expression" dxfId="1646" priority="10292" stopIfTrue="1">
      <formula>AND($D51&lt;&gt;"SI",$N51&lt;24)</formula>
    </cfRule>
  </conditionalFormatting>
  <conditionalFormatting sqref="T51">
    <cfRule type="expression" dxfId="1645" priority="10291" stopIfTrue="1">
      <formula>AND($D51&lt;&gt;"SI",$N51&lt;24)</formula>
    </cfRule>
  </conditionalFormatting>
  <conditionalFormatting sqref="T51">
    <cfRule type="expression" dxfId="1644" priority="10290" stopIfTrue="1">
      <formula>AND($D51&lt;&gt;"SI",$N51&lt;24)</formula>
    </cfRule>
  </conditionalFormatting>
  <conditionalFormatting sqref="T51">
    <cfRule type="expression" dxfId="1643" priority="10289" stopIfTrue="1">
      <formula>AND($D51&lt;&gt;"SI",$N51&lt;24)</formula>
    </cfRule>
  </conditionalFormatting>
  <conditionalFormatting sqref="T51">
    <cfRule type="expression" dxfId="1642" priority="10288" stopIfTrue="1">
      <formula>AND($D51&lt;&gt;"SI",$N51&lt;24)</formula>
    </cfRule>
  </conditionalFormatting>
  <conditionalFormatting sqref="T51">
    <cfRule type="expression" dxfId="1641" priority="10287" stopIfTrue="1">
      <formula>AND($D51&lt;&gt;"SI",$N51&lt;24)</formula>
    </cfRule>
  </conditionalFormatting>
  <conditionalFormatting sqref="T51">
    <cfRule type="expression" dxfId="1640" priority="10286" stopIfTrue="1">
      <formula>AND($D51&lt;&gt;"SI",$N51&lt;24)</formula>
    </cfRule>
  </conditionalFormatting>
  <conditionalFormatting sqref="T51">
    <cfRule type="expression" dxfId="1639" priority="10285" stopIfTrue="1">
      <formula>AND($D51&lt;&gt;"SI",$N51&lt;24)</formula>
    </cfRule>
  </conditionalFormatting>
  <conditionalFormatting sqref="T51">
    <cfRule type="expression" dxfId="1638" priority="10284" stopIfTrue="1">
      <formula>AND($D51&lt;&gt;"SI",$N51&lt;24)</formula>
    </cfRule>
  </conditionalFormatting>
  <conditionalFormatting sqref="T51">
    <cfRule type="expression" dxfId="1637" priority="10283" stopIfTrue="1">
      <formula>AND($D51&lt;&gt;"SI",$N51&lt;24)</formula>
    </cfRule>
  </conditionalFormatting>
  <conditionalFormatting sqref="T51">
    <cfRule type="expression" dxfId="1636" priority="10282" stopIfTrue="1">
      <formula>AND($D51&lt;&gt;"SI",$N51&lt;24)</formula>
    </cfRule>
  </conditionalFormatting>
  <conditionalFormatting sqref="T51">
    <cfRule type="expression" dxfId="1635" priority="10281" stopIfTrue="1">
      <formula>AND($D51&lt;&gt;"SI",$N51&lt;24)</formula>
    </cfRule>
  </conditionalFormatting>
  <conditionalFormatting sqref="T51">
    <cfRule type="expression" dxfId="1634" priority="10280" stopIfTrue="1">
      <formula>AND($D51&lt;&gt;"SI",$N51&lt;24)</formula>
    </cfRule>
  </conditionalFormatting>
  <conditionalFormatting sqref="T51">
    <cfRule type="expression" dxfId="1633" priority="10279" stopIfTrue="1">
      <formula>AND($D51&lt;&gt;"SI",$N51&lt;24)</formula>
    </cfRule>
  </conditionalFormatting>
  <conditionalFormatting sqref="T51">
    <cfRule type="expression" dxfId="1632" priority="10278" stopIfTrue="1">
      <formula>AND($D51&lt;&gt;"SI",$N51&lt;24)</formula>
    </cfRule>
  </conditionalFormatting>
  <conditionalFormatting sqref="T51">
    <cfRule type="expression" dxfId="1631" priority="10277" stopIfTrue="1">
      <formula>AND($D51&lt;&gt;"SI",$N51&lt;24)</formula>
    </cfRule>
  </conditionalFormatting>
  <conditionalFormatting sqref="T51">
    <cfRule type="expression" dxfId="1630" priority="10276" stopIfTrue="1">
      <formula>AND($D51&lt;&gt;"SI",$N51&lt;24)</formula>
    </cfRule>
  </conditionalFormatting>
  <conditionalFormatting sqref="T51">
    <cfRule type="expression" dxfId="1629" priority="10275" stopIfTrue="1">
      <formula>AND($D51&lt;&gt;"SI",$N51&lt;24)</formula>
    </cfRule>
  </conditionalFormatting>
  <conditionalFormatting sqref="D8">
    <cfRule type="expression" dxfId="1628" priority="8726" stopIfTrue="1">
      <formula>OR($D8="SI",$D8="T&amp;A")</formula>
    </cfRule>
  </conditionalFormatting>
  <conditionalFormatting sqref="D19">
    <cfRule type="expression" dxfId="1627" priority="8725" stopIfTrue="1">
      <formula>OR($D19="SI",$D19="T&amp;A")</formula>
    </cfRule>
  </conditionalFormatting>
  <conditionalFormatting sqref="D15">
    <cfRule type="expression" dxfId="1626" priority="8724" stopIfTrue="1">
      <formula>OR($D15="SI",$D15="T&amp;A")</formula>
    </cfRule>
  </conditionalFormatting>
  <conditionalFormatting sqref="R49">
    <cfRule type="expression" dxfId="1625" priority="7271" stopIfTrue="1">
      <formula>AND($D49&lt;&gt;"SI",$E49&lt;24)</formula>
    </cfRule>
  </conditionalFormatting>
  <conditionalFormatting sqref="R49">
    <cfRule type="expression" dxfId="1624" priority="7270" stopIfTrue="1">
      <formula>AND($D49&lt;&gt;"SI",$E49&lt;24)</formula>
    </cfRule>
  </conditionalFormatting>
  <conditionalFormatting sqref="R49">
    <cfRule type="expression" dxfId="1623" priority="7269" stopIfTrue="1">
      <formula>AND($D49&lt;&gt;"SI",$E49&lt;24)</formula>
    </cfRule>
  </conditionalFormatting>
  <conditionalFormatting sqref="R49">
    <cfRule type="expression" dxfId="1622" priority="7268" stopIfTrue="1">
      <formula>AND($D49&lt;&gt;"SI",$E49&lt;24)</formula>
    </cfRule>
  </conditionalFormatting>
  <conditionalFormatting sqref="R49">
    <cfRule type="expression" dxfId="1621" priority="7267" stopIfTrue="1">
      <formula>AND($D49&lt;&gt;"SI",$E49&lt;24)</formula>
    </cfRule>
  </conditionalFormatting>
  <conditionalFormatting sqref="R49">
    <cfRule type="expression" dxfId="1620" priority="7266" stopIfTrue="1">
      <formula>AND($D49&lt;&gt;"SI",$E49&lt;24)</formula>
    </cfRule>
  </conditionalFormatting>
  <conditionalFormatting sqref="R49">
    <cfRule type="expression" dxfId="1619" priority="7265" stopIfTrue="1">
      <formula>AND($D49&lt;&gt;"SI",$E49&lt;24)</formula>
    </cfRule>
  </conditionalFormatting>
  <conditionalFormatting sqref="R49">
    <cfRule type="expression" dxfId="1618" priority="7264" stopIfTrue="1">
      <formula>AND($D49&lt;&gt;"SI",$E49&lt;24)</formula>
    </cfRule>
  </conditionalFormatting>
  <conditionalFormatting sqref="R49">
    <cfRule type="expression" dxfId="1617" priority="7263" stopIfTrue="1">
      <formula>AND($D49&lt;&gt;"SI",$E49&lt;24)</formula>
    </cfRule>
  </conditionalFormatting>
  <conditionalFormatting sqref="R49">
    <cfRule type="expression" dxfId="1616" priority="7262" stopIfTrue="1">
      <formula>AND($D49&lt;&gt;"SI",$E49&lt;24)</formula>
    </cfRule>
  </conditionalFormatting>
  <conditionalFormatting sqref="R49">
    <cfRule type="expression" dxfId="1615" priority="7261" stopIfTrue="1">
      <formula>AND($D49&lt;&gt;"SI",$E49&lt;24)</formula>
    </cfRule>
  </conditionalFormatting>
  <conditionalFormatting sqref="R49">
    <cfRule type="expression" dxfId="1614" priority="7260" stopIfTrue="1">
      <formula>AND($D49&lt;&gt;"SI",$E49&lt;24)</formula>
    </cfRule>
  </conditionalFormatting>
  <conditionalFormatting sqref="R49">
    <cfRule type="expression" dxfId="1613" priority="7259" stopIfTrue="1">
      <formula>AND($D49&lt;&gt;"SI",$E49&lt;24)</formula>
    </cfRule>
  </conditionalFormatting>
  <conditionalFormatting sqref="R49">
    <cfRule type="expression" dxfId="1612" priority="7258" stopIfTrue="1">
      <formula>AND($D49&lt;&gt;"SI",$E49&lt;24)</formula>
    </cfRule>
  </conditionalFormatting>
  <conditionalFormatting sqref="R49">
    <cfRule type="expression" dxfId="1611" priority="7257" stopIfTrue="1">
      <formula>AND($D49&lt;&gt;"SI",$E49&lt;24)</formula>
    </cfRule>
  </conditionalFormatting>
  <conditionalFormatting sqref="R49">
    <cfRule type="expression" dxfId="1610" priority="7256" stopIfTrue="1">
      <formula>AND($D49&lt;&gt;"SI",$E49&lt;24)</formula>
    </cfRule>
  </conditionalFormatting>
  <conditionalFormatting sqref="R49">
    <cfRule type="expression" dxfId="1609" priority="7255" stopIfTrue="1">
      <formula>AND($D49&lt;&gt;"SI",$E49&lt;24)</formula>
    </cfRule>
  </conditionalFormatting>
  <conditionalFormatting sqref="R49">
    <cfRule type="expression" dxfId="1608" priority="7254" stopIfTrue="1">
      <formula>AND($D49&lt;&gt;"SI",$E49&lt;24)</formula>
    </cfRule>
  </conditionalFormatting>
  <conditionalFormatting sqref="R49">
    <cfRule type="expression" dxfId="1607" priority="7253" stopIfTrue="1">
      <formula>AND($D49&lt;&gt;"SI",$E49&lt;24)</formula>
    </cfRule>
  </conditionalFormatting>
  <conditionalFormatting sqref="R49">
    <cfRule type="expression" dxfId="1606" priority="7252" stopIfTrue="1">
      <formula>AND($D49&lt;&gt;"SI",$E49&lt;24)</formula>
    </cfRule>
  </conditionalFormatting>
  <conditionalFormatting sqref="R49">
    <cfRule type="expression" dxfId="1605" priority="7251" stopIfTrue="1">
      <formula>AND($D49&lt;&gt;"SI",$E49&lt;24)</formula>
    </cfRule>
  </conditionalFormatting>
  <conditionalFormatting sqref="R49">
    <cfRule type="expression" dxfId="1604" priority="7250" stopIfTrue="1">
      <formula>AND($D49&lt;&gt;"SI",$E49&lt;24)</formula>
    </cfRule>
  </conditionalFormatting>
  <conditionalFormatting sqref="R49">
    <cfRule type="expression" dxfId="1603" priority="7249" stopIfTrue="1">
      <formula>AND($D49&lt;&gt;"SI",$E49&lt;24)</formula>
    </cfRule>
  </conditionalFormatting>
  <conditionalFormatting sqref="R55">
    <cfRule type="expression" dxfId="1602" priority="7248" stopIfTrue="1">
      <formula>AND($D55&lt;&gt;"SI",$E55&lt;24)</formula>
    </cfRule>
  </conditionalFormatting>
  <conditionalFormatting sqref="R55">
    <cfRule type="expression" dxfId="1601" priority="7247" stopIfTrue="1">
      <formula>AND($D55&lt;&gt;"SI",$E55&lt;24)</formula>
    </cfRule>
  </conditionalFormatting>
  <conditionalFormatting sqref="R55">
    <cfRule type="expression" dxfId="1600" priority="7246" stopIfTrue="1">
      <formula>AND($D55&lt;&gt;"SI",$E55&lt;24)</formula>
    </cfRule>
  </conditionalFormatting>
  <conditionalFormatting sqref="R55">
    <cfRule type="expression" dxfId="1599" priority="7245" stopIfTrue="1">
      <formula>AND($D55&lt;&gt;"SI",$E55&lt;24)</formula>
    </cfRule>
  </conditionalFormatting>
  <conditionalFormatting sqref="R55">
    <cfRule type="expression" dxfId="1598" priority="7244" stopIfTrue="1">
      <formula>AND($D55&lt;&gt;"SI",$E55&lt;24)</formula>
    </cfRule>
  </conditionalFormatting>
  <conditionalFormatting sqref="R55">
    <cfRule type="expression" dxfId="1597" priority="7243" stopIfTrue="1">
      <formula>AND($D55&lt;&gt;"SI",$E55&lt;24)</formula>
    </cfRule>
  </conditionalFormatting>
  <conditionalFormatting sqref="R55">
    <cfRule type="expression" dxfId="1596" priority="7242" stopIfTrue="1">
      <formula>AND($D55&lt;&gt;"SI",$E55&lt;24)</formula>
    </cfRule>
  </conditionalFormatting>
  <conditionalFormatting sqref="R55">
    <cfRule type="expression" dxfId="1595" priority="7241" stopIfTrue="1">
      <formula>AND($D55&lt;&gt;"SI",$E55&lt;24)</formula>
    </cfRule>
  </conditionalFormatting>
  <conditionalFormatting sqref="R55">
    <cfRule type="expression" dxfId="1594" priority="7240" stopIfTrue="1">
      <formula>AND($D55&lt;&gt;"SI",$E55&lt;24)</formula>
    </cfRule>
  </conditionalFormatting>
  <conditionalFormatting sqref="R55">
    <cfRule type="expression" dxfId="1593" priority="7239" stopIfTrue="1">
      <formula>AND($D55&lt;&gt;"SI",$E55&lt;24)</formula>
    </cfRule>
  </conditionalFormatting>
  <conditionalFormatting sqref="R55">
    <cfRule type="expression" dxfId="1592" priority="7238" stopIfTrue="1">
      <formula>AND($D55&lt;&gt;"SI",$E55&lt;24)</formula>
    </cfRule>
  </conditionalFormatting>
  <conditionalFormatting sqref="R55">
    <cfRule type="expression" dxfId="1591" priority="7237" stopIfTrue="1">
      <formula>AND($D55&lt;&gt;"SI",$E55&lt;24)</formula>
    </cfRule>
  </conditionalFormatting>
  <conditionalFormatting sqref="R55">
    <cfRule type="expression" dxfId="1590" priority="7236" stopIfTrue="1">
      <formula>AND($D55&lt;&gt;"SI",$E55&lt;24)</formula>
    </cfRule>
  </conditionalFormatting>
  <conditionalFormatting sqref="R55">
    <cfRule type="expression" dxfId="1589" priority="7235" stopIfTrue="1">
      <formula>AND($D55&lt;&gt;"SI",$E55&lt;24)</formula>
    </cfRule>
  </conditionalFormatting>
  <conditionalFormatting sqref="R55">
    <cfRule type="expression" dxfId="1588" priority="7234" stopIfTrue="1">
      <formula>AND($D55&lt;&gt;"SI",$E55&lt;24)</formula>
    </cfRule>
  </conditionalFormatting>
  <conditionalFormatting sqref="R55">
    <cfRule type="expression" dxfId="1587" priority="7233" stopIfTrue="1">
      <formula>AND($D55&lt;&gt;"SI",$E55&lt;24)</formula>
    </cfRule>
  </conditionalFormatting>
  <conditionalFormatting sqref="R55">
    <cfRule type="expression" dxfId="1586" priority="7232" stopIfTrue="1">
      <formula>AND($D55&lt;&gt;"SI",$E55&lt;24)</formula>
    </cfRule>
  </conditionalFormatting>
  <conditionalFormatting sqref="R55">
    <cfRule type="expression" dxfId="1585" priority="7231" stopIfTrue="1">
      <formula>AND($D55&lt;&gt;"SI",$E55&lt;24)</formula>
    </cfRule>
  </conditionalFormatting>
  <conditionalFormatting sqref="R55">
    <cfRule type="expression" dxfId="1584" priority="7230" stopIfTrue="1">
      <formula>AND($D55&lt;&gt;"SI",$E55&lt;24)</formula>
    </cfRule>
  </conditionalFormatting>
  <conditionalFormatting sqref="R55">
    <cfRule type="expression" dxfId="1583" priority="7229" stopIfTrue="1">
      <formula>AND($D55&lt;&gt;"SI",$E55&lt;24)</formula>
    </cfRule>
  </conditionalFormatting>
  <conditionalFormatting sqref="R55">
    <cfRule type="expression" dxfId="1582" priority="7228" stopIfTrue="1">
      <formula>AND($D55&lt;&gt;"SI",$E55&lt;24)</formula>
    </cfRule>
  </conditionalFormatting>
  <conditionalFormatting sqref="R55">
    <cfRule type="expression" dxfId="1581" priority="7227" stopIfTrue="1">
      <formula>AND($D55&lt;&gt;"SI",$E55&lt;24)</formula>
    </cfRule>
  </conditionalFormatting>
  <conditionalFormatting sqref="R55">
    <cfRule type="expression" dxfId="1580" priority="7226" stopIfTrue="1">
      <formula>AND($D55&lt;&gt;"SI",$E55&lt;24)</formula>
    </cfRule>
  </conditionalFormatting>
  <conditionalFormatting sqref="R56">
    <cfRule type="expression" dxfId="1579" priority="7202" stopIfTrue="1">
      <formula>AND($D56&lt;&gt;"SI",$N56&lt;24)</formula>
    </cfRule>
  </conditionalFormatting>
  <conditionalFormatting sqref="R56">
    <cfRule type="expression" dxfId="1578" priority="7201" stopIfTrue="1">
      <formula>AND($D56&lt;&gt;"SI",$N56&lt;24)</formula>
    </cfRule>
  </conditionalFormatting>
  <conditionalFormatting sqref="R56">
    <cfRule type="expression" dxfId="1577" priority="7200" stopIfTrue="1">
      <formula>AND($D56&lt;&gt;"SI",$N56&lt;24)</formula>
    </cfRule>
  </conditionalFormatting>
  <conditionalFormatting sqref="R56">
    <cfRule type="expression" dxfId="1576" priority="7199" stopIfTrue="1">
      <formula>AND($D56&lt;&gt;"SI",$N56&lt;24)</formula>
    </cfRule>
  </conditionalFormatting>
  <conditionalFormatting sqref="R56">
    <cfRule type="expression" dxfId="1575" priority="7198" stopIfTrue="1">
      <formula>AND($D56&lt;&gt;"SI",$N56&lt;24)</formula>
    </cfRule>
  </conditionalFormatting>
  <conditionalFormatting sqref="R56">
    <cfRule type="expression" dxfId="1574" priority="7197" stopIfTrue="1">
      <formula>AND($D56&lt;&gt;"SI",$N56&lt;24)</formula>
    </cfRule>
  </conditionalFormatting>
  <conditionalFormatting sqref="R56">
    <cfRule type="expression" dxfId="1573" priority="7196" stopIfTrue="1">
      <formula>AND($D56&lt;&gt;"SI",$N56&lt;24)</formula>
    </cfRule>
  </conditionalFormatting>
  <conditionalFormatting sqref="R56">
    <cfRule type="expression" dxfId="1572" priority="7195" stopIfTrue="1">
      <formula>AND($D56&lt;&gt;"SI",$N56&lt;24)</formula>
    </cfRule>
  </conditionalFormatting>
  <conditionalFormatting sqref="R56">
    <cfRule type="expression" dxfId="1571" priority="7194" stopIfTrue="1">
      <formula>AND($D56&lt;&gt;"SI",$N56&lt;24)</formula>
    </cfRule>
  </conditionalFormatting>
  <conditionalFormatting sqref="R56">
    <cfRule type="expression" dxfId="1570" priority="7193" stopIfTrue="1">
      <formula>AND($D56&lt;&gt;"SI",$N56&lt;24)</formula>
    </cfRule>
  </conditionalFormatting>
  <conditionalFormatting sqref="R56">
    <cfRule type="expression" dxfId="1569" priority="7192" stopIfTrue="1">
      <formula>AND($D56&lt;&gt;"SI",$N56&lt;24)</formula>
    </cfRule>
  </conditionalFormatting>
  <conditionalFormatting sqref="R56">
    <cfRule type="expression" dxfId="1568" priority="7191" stopIfTrue="1">
      <formula>AND($D56&lt;&gt;"SI",$N56&lt;24)</formula>
    </cfRule>
  </conditionalFormatting>
  <conditionalFormatting sqref="R56">
    <cfRule type="expression" dxfId="1567" priority="7190" stopIfTrue="1">
      <formula>AND($D56&lt;&gt;"SI",$N56&lt;24)</formula>
    </cfRule>
  </conditionalFormatting>
  <conditionalFormatting sqref="R56">
    <cfRule type="expression" dxfId="1566" priority="7189" stopIfTrue="1">
      <formula>AND($D56&lt;&gt;"SI",$N56&lt;24)</formula>
    </cfRule>
  </conditionalFormatting>
  <conditionalFormatting sqref="R56">
    <cfRule type="expression" dxfId="1565" priority="7188" stopIfTrue="1">
      <formula>AND($D56&lt;&gt;"SI",$N56&lt;24)</formula>
    </cfRule>
  </conditionalFormatting>
  <conditionalFormatting sqref="R56">
    <cfRule type="expression" dxfId="1564" priority="7187" stopIfTrue="1">
      <formula>AND($D56&lt;&gt;"SI",$N56&lt;24)</formula>
    </cfRule>
  </conditionalFormatting>
  <conditionalFormatting sqref="R56">
    <cfRule type="expression" dxfId="1563" priority="7186" stopIfTrue="1">
      <formula>AND($D56&lt;&gt;"SI",$N56&lt;24)</formula>
    </cfRule>
  </conditionalFormatting>
  <conditionalFormatting sqref="R56">
    <cfRule type="expression" dxfId="1562" priority="7185" stopIfTrue="1">
      <formula>AND($D56&lt;&gt;"SI",$N56&lt;24)</formula>
    </cfRule>
  </conditionalFormatting>
  <conditionalFormatting sqref="R56">
    <cfRule type="expression" dxfId="1561" priority="7184" stopIfTrue="1">
      <formula>AND($D56&lt;&gt;"SI",$N56&lt;24)</formula>
    </cfRule>
  </conditionalFormatting>
  <conditionalFormatting sqref="R56">
    <cfRule type="expression" dxfId="1560" priority="7183" stopIfTrue="1">
      <formula>AND($D56&lt;&gt;"SI",$N56&lt;24)</formula>
    </cfRule>
  </conditionalFormatting>
  <conditionalFormatting sqref="R56">
    <cfRule type="expression" dxfId="1559" priority="7182" stopIfTrue="1">
      <formula>AND($D56&lt;&gt;"SI",$N56&lt;24)</formula>
    </cfRule>
  </conditionalFormatting>
  <conditionalFormatting sqref="R56">
    <cfRule type="expression" dxfId="1558" priority="7181" stopIfTrue="1">
      <formula>AND($D56&lt;&gt;"SI",$N56&lt;24)</formula>
    </cfRule>
  </conditionalFormatting>
  <conditionalFormatting sqref="R56">
    <cfRule type="expression" dxfId="1557" priority="7180" stopIfTrue="1">
      <formula>AND($D56&lt;&gt;"SI",$N56&lt;24)</formula>
    </cfRule>
  </conditionalFormatting>
  <conditionalFormatting sqref="R56">
    <cfRule type="expression" dxfId="1556" priority="7179" stopIfTrue="1">
      <formula>AND($D56&lt;&gt;"SI",$N56&lt;24)</formula>
    </cfRule>
  </conditionalFormatting>
  <conditionalFormatting sqref="R56">
    <cfRule type="expression" dxfId="1555" priority="7178" stopIfTrue="1">
      <formula>AND($D56&lt;&gt;"SI",$N56&lt;24)</formula>
    </cfRule>
  </conditionalFormatting>
  <conditionalFormatting sqref="R56">
    <cfRule type="expression" dxfId="1554" priority="7177" stopIfTrue="1">
      <formula>AND($D56&lt;&gt;"SI",$N56&lt;24)</formula>
    </cfRule>
  </conditionalFormatting>
  <conditionalFormatting sqref="R56">
    <cfRule type="expression" dxfId="1553" priority="7176" stopIfTrue="1">
      <formula>AND($D56&lt;&gt;"SI",$N56&lt;24)</formula>
    </cfRule>
  </conditionalFormatting>
  <conditionalFormatting sqref="R56">
    <cfRule type="expression" dxfId="1552" priority="7175" stopIfTrue="1">
      <formula>AND($D56&lt;&gt;"SI",$N56&lt;24)</formula>
    </cfRule>
  </conditionalFormatting>
  <conditionalFormatting sqref="R56">
    <cfRule type="expression" dxfId="1551" priority="7174" stopIfTrue="1">
      <formula>AND($D56&lt;&gt;"SI",$N56&lt;24)</formula>
    </cfRule>
  </conditionalFormatting>
  <conditionalFormatting sqref="R56">
    <cfRule type="expression" dxfId="1550" priority="7173" stopIfTrue="1">
      <formula>AND($D56&lt;&gt;"SI",$N56&lt;24)</formula>
    </cfRule>
  </conditionalFormatting>
  <conditionalFormatting sqref="R56">
    <cfRule type="expression" dxfId="1549" priority="7172" stopIfTrue="1">
      <formula>AND($D56&lt;&gt;"SI",$N56&lt;24)</formula>
    </cfRule>
  </conditionalFormatting>
  <conditionalFormatting sqref="R56">
    <cfRule type="expression" dxfId="1548" priority="7171" stopIfTrue="1">
      <formula>AND($D56&lt;&gt;"SI",$N56&lt;24)</formula>
    </cfRule>
  </conditionalFormatting>
  <conditionalFormatting sqref="R56">
    <cfRule type="expression" dxfId="1547" priority="7170" stopIfTrue="1">
      <formula>AND($D56&lt;&gt;"SI",$N56&lt;24)</formula>
    </cfRule>
  </conditionalFormatting>
  <conditionalFormatting sqref="R56">
    <cfRule type="expression" dxfId="1546" priority="7169" stopIfTrue="1">
      <formula>AND($D56&lt;&gt;"SI",$N56&lt;24)</formula>
    </cfRule>
  </conditionalFormatting>
  <conditionalFormatting sqref="R56">
    <cfRule type="expression" dxfId="1545" priority="7168" stopIfTrue="1">
      <formula>AND($D56&lt;&gt;"SI",$N56&lt;24)</formula>
    </cfRule>
  </conditionalFormatting>
  <conditionalFormatting sqref="R56">
    <cfRule type="expression" dxfId="1544" priority="7167" stopIfTrue="1">
      <formula>AND($D56&lt;&gt;"SI",$N56&lt;24)</formula>
    </cfRule>
  </conditionalFormatting>
  <conditionalFormatting sqref="R56">
    <cfRule type="expression" dxfId="1543" priority="7166" stopIfTrue="1">
      <formula>AND($D56&lt;&gt;"SI",$N56&lt;24)</formula>
    </cfRule>
  </conditionalFormatting>
  <conditionalFormatting sqref="R56">
    <cfRule type="expression" dxfId="1542" priority="7165" stopIfTrue="1">
      <formula>AND($D56&lt;&gt;"SI",$N56&lt;24)</formula>
    </cfRule>
  </conditionalFormatting>
  <conditionalFormatting sqref="R56">
    <cfRule type="expression" dxfId="1541" priority="7164" stopIfTrue="1">
      <formula>AND($D56&lt;&gt;"SI",$N56&lt;24)</formula>
    </cfRule>
  </conditionalFormatting>
  <conditionalFormatting sqref="R56">
    <cfRule type="expression" dxfId="1540" priority="7163" stopIfTrue="1">
      <formula>AND($D56&lt;&gt;"SI",$N56&lt;24)</formula>
    </cfRule>
  </conditionalFormatting>
  <conditionalFormatting sqref="R56">
    <cfRule type="expression" dxfId="1539" priority="7162" stopIfTrue="1">
      <formula>AND($D56&lt;&gt;"SI",$N56&lt;24)</formula>
    </cfRule>
  </conditionalFormatting>
  <conditionalFormatting sqref="R56">
    <cfRule type="expression" dxfId="1538" priority="7161" stopIfTrue="1">
      <formula>AND($D56&lt;&gt;"SI",$N56&lt;24)</formula>
    </cfRule>
  </conditionalFormatting>
  <conditionalFormatting sqref="R56">
    <cfRule type="expression" dxfId="1537" priority="7160" stopIfTrue="1">
      <formula>AND($D56&lt;&gt;"SI",$N56&lt;24)</formula>
    </cfRule>
  </conditionalFormatting>
  <conditionalFormatting sqref="R56">
    <cfRule type="expression" dxfId="1536" priority="7159" stopIfTrue="1">
      <formula>AND($D56&lt;&gt;"SI",$N56&lt;24)</formula>
    </cfRule>
  </conditionalFormatting>
  <conditionalFormatting sqref="R56">
    <cfRule type="expression" dxfId="1535" priority="7158" stopIfTrue="1">
      <formula>AND($D56&lt;&gt;"SI",$N56&lt;24)</formula>
    </cfRule>
  </conditionalFormatting>
  <conditionalFormatting sqref="R56">
    <cfRule type="expression" dxfId="1534" priority="7157" stopIfTrue="1">
      <formula>AND($D56&lt;&gt;"SI",$N56&lt;24)</formula>
    </cfRule>
  </conditionalFormatting>
  <conditionalFormatting sqref="R56">
    <cfRule type="expression" dxfId="1533" priority="7156" stopIfTrue="1">
      <formula>AND($D56&lt;&gt;"SI",$N56&lt;24)</formula>
    </cfRule>
  </conditionalFormatting>
  <conditionalFormatting sqref="R56">
    <cfRule type="expression" dxfId="1532" priority="7155" stopIfTrue="1">
      <formula>AND($D56&lt;&gt;"SI",$N56&lt;24)</formula>
    </cfRule>
  </conditionalFormatting>
  <conditionalFormatting sqref="R56">
    <cfRule type="expression" dxfId="1531" priority="7154" stopIfTrue="1">
      <formula>AND($D56&lt;&gt;"SI",$N56&lt;24)</formula>
    </cfRule>
  </conditionalFormatting>
  <conditionalFormatting sqref="R56">
    <cfRule type="expression" dxfId="1530" priority="7153" stopIfTrue="1">
      <formula>AND($D56&lt;&gt;"SI",$N56&lt;24)</formula>
    </cfRule>
  </conditionalFormatting>
  <conditionalFormatting sqref="R56">
    <cfRule type="expression" dxfId="1529" priority="7152" stopIfTrue="1">
      <formula>AND($D56&lt;&gt;"SI",$N56&lt;24)</formula>
    </cfRule>
  </conditionalFormatting>
  <conditionalFormatting sqref="R56">
    <cfRule type="expression" dxfId="1528" priority="7151" stopIfTrue="1">
      <formula>AND($D56&lt;&gt;"SI",$N56&lt;24)</formula>
    </cfRule>
  </conditionalFormatting>
  <conditionalFormatting sqref="R56">
    <cfRule type="expression" dxfId="1527" priority="7150" stopIfTrue="1">
      <formula>AND($D56&lt;&gt;"SI",$N56&lt;24)</formula>
    </cfRule>
  </conditionalFormatting>
  <conditionalFormatting sqref="R56">
    <cfRule type="expression" dxfId="1526" priority="7149" stopIfTrue="1">
      <formula>AND($D56&lt;&gt;"SI",$N56&lt;24)</formula>
    </cfRule>
  </conditionalFormatting>
  <conditionalFormatting sqref="R56">
    <cfRule type="expression" dxfId="1525" priority="7148" stopIfTrue="1">
      <formula>AND($D56&lt;&gt;"SI",$N56&lt;24)</formula>
    </cfRule>
  </conditionalFormatting>
  <conditionalFormatting sqref="R56">
    <cfRule type="expression" dxfId="1524" priority="7147" stopIfTrue="1">
      <formula>AND($D56&lt;&gt;"SI",$N56&lt;24)</formula>
    </cfRule>
  </conditionalFormatting>
  <conditionalFormatting sqref="R56">
    <cfRule type="expression" dxfId="1523" priority="7146" stopIfTrue="1">
      <formula>AND($D56&lt;&gt;"SI",$N56&lt;24)</formula>
    </cfRule>
  </conditionalFormatting>
  <conditionalFormatting sqref="R56">
    <cfRule type="expression" dxfId="1522" priority="7145" stopIfTrue="1">
      <formula>AND($D56&lt;&gt;"SI",$N56&lt;24)</formula>
    </cfRule>
  </conditionalFormatting>
  <conditionalFormatting sqref="R56">
    <cfRule type="expression" dxfId="1521" priority="7144" stopIfTrue="1">
      <formula>AND($D56&lt;&gt;"SI",$N56&lt;24)</formula>
    </cfRule>
  </conditionalFormatting>
  <conditionalFormatting sqref="R56">
    <cfRule type="expression" dxfId="1520" priority="7143" stopIfTrue="1">
      <formula>AND($D56&lt;&gt;"SI",$N56&lt;24)</formula>
    </cfRule>
  </conditionalFormatting>
  <conditionalFormatting sqref="R56">
    <cfRule type="expression" dxfId="1519" priority="7142" stopIfTrue="1">
      <formula>AND($D56&lt;&gt;"SI",$N56&lt;24)</formula>
    </cfRule>
  </conditionalFormatting>
  <conditionalFormatting sqref="R56">
    <cfRule type="expression" dxfId="1518" priority="7141" stopIfTrue="1">
      <formula>AND($D56&lt;&gt;"SI",$N56&lt;24)</formula>
    </cfRule>
  </conditionalFormatting>
  <conditionalFormatting sqref="R56">
    <cfRule type="expression" dxfId="1517" priority="7140" stopIfTrue="1">
      <formula>AND($D56&lt;&gt;"SI",$N56&lt;24)</formula>
    </cfRule>
  </conditionalFormatting>
  <conditionalFormatting sqref="R56">
    <cfRule type="expression" dxfId="1516" priority="7139" stopIfTrue="1">
      <formula>AND($D56&lt;&gt;"SI",$N56&lt;24)</formula>
    </cfRule>
  </conditionalFormatting>
  <conditionalFormatting sqref="R51">
    <cfRule type="expression" dxfId="1515" priority="5057" stopIfTrue="1">
      <formula>AND($D51&lt;&gt;"SI",$N51&lt;24)</formula>
    </cfRule>
  </conditionalFormatting>
  <conditionalFormatting sqref="R51">
    <cfRule type="expression" dxfId="1514" priority="5056" stopIfTrue="1">
      <formula>AND($D51&lt;&gt;"SI",$N51&lt;24)</formula>
    </cfRule>
  </conditionalFormatting>
  <conditionalFormatting sqref="R51">
    <cfRule type="expression" dxfId="1513" priority="5055" stopIfTrue="1">
      <formula>AND($D51&lt;&gt;"SI",$N51&lt;24)</formula>
    </cfRule>
  </conditionalFormatting>
  <conditionalFormatting sqref="R51">
    <cfRule type="expression" dxfId="1512" priority="5054" stopIfTrue="1">
      <formula>AND($D51&lt;&gt;"SI",$N51&lt;24)</formula>
    </cfRule>
  </conditionalFormatting>
  <conditionalFormatting sqref="R51">
    <cfRule type="expression" dxfId="1511" priority="5053" stopIfTrue="1">
      <formula>AND($D51&lt;&gt;"SI",$N51&lt;24)</formula>
    </cfRule>
  </conditionalFormatting>
  <conditionalFormatting sqref="R51">
    <cfRule type="expression" dxfId="1510" priority="5052" stopIfTrue="1">
      <formula>AND($D51&lt;&gt;"SI",$N51&lt;24)</formula>
    </cfRule>
  </conditionalFormatting>
  <conditionalFormatting sqref="R51">
    <cfRule type="expression" dxfId="1509" priority="5051" stopIfTrue="1">
      <formula>AND($D51&lt;&gt;"SI",$N51&lt;24)</formula>
    </cfRule>
  </conditionalFormatting>
  <conditionalFormatting sqref="R51">
    <cfRule type="expression" dxfId="1508" priority="5050" stopIfTrue="1">
      <formula>AND($D51&lt;&gt;"SI",$N51&lt;24)</formula>
    </cfRule>
  </conditionalFormatting>
  <conditionalFormatting sqref="R51">
    <cfRule type="expression" dxfId="1507" priority="5049" stopIfTrue="1">
      <formula>AND($D51&lt;&gt;"SI",$N51&lt;24)</formula>
    </cfRule>
  </conditionalFormatting>
  <conditionalFormatting sqref="R51">
    <cfRule type="expression" dxfId="1506" priority="5048" stopIfTrue="1">
      <formula>AND($D51&lt;&gt;"SI",$N51&lt;24)</formula>
    </cfRule>
  </conditionalFormatting>
  <conditionalFormatting sqref="R51">
    <cfRule type="expression" dxfId="1505" priority="5047" stopIfTrue="1">
      <formula>AND($D51&lt;&gt;"SI",$N51&lt;24)</formula>
    </cfRule>
  </conditionalFormatting>
  <conditionalFormatting sqref="R51">
    <cfRule type="expression" dxfId="1504" priority="5046" stopIfTrue="1">
      <formula>AND($D51&lt;&gt;"SI",$N51&lt;24)</formula>
    </cfRule>
  </conditionalFormatting>
  <conditionalFormatting sqref="R51">
    <cfRule type="expression" dxfId="1503" priority="5045" stopIfTrue="1">
      <formula>AND($D51&lt;&gt;"SI",$N51&lt;24)</formula>
    </cfRule>
  </conditionalFormatting>
  <conditionalFormatting sqref="R51">
    <cfRule type="expression" dxfId="1502" priority="5044" stopIfTrue="1">
      <formula>AND($D51&lt;&gt;"SI",$N51&lt;24)</formula>
    </cfRule>
  </conditionalFormatting>
  <conditionalFormatting sqref="R51">
    <cfRule type="expression" dxfId="1501" priority="5043" stopIfTrue="1">
      <formula>AND($D51&lt;&gt;"SI",$N51&lt;24)</formula>
    </cfRule>
  </conditionalFormatting>
  <conditionalFormatting sqref="R51">
    <cfRule type="expression" dxfId="1500" priority="5042" stopIfTrue="1">
      <formula>AND($D51&lt;&gt;"SI",$N51&lt;24)</formula>
    </cfRule>
  </conditionalFormatting>
  <conditionalFormatting sqref="R51">
    <cfRule type="expression" dxfId="1499" priority="5041" stopIfTrue="1">
      <formula>AND($D51&lt;&gt;"SI",$N51&lt;24)</formula>
    </cfRule>
  </conditionalFormatting>
  <conditionalFormatting sqref="R51">
    <cfRule type="expression" dxfId="1498" priority="5040" stopIfTrue="1">
      <formula>AND($D51&lt;&gt;"SI",$N51&lt;24)</formula>
    </cfRule>
  </conditionalFormatting>
  <conditionalFormatting sqref="R51">
    <cfRule type="expression" dxfId="1497" priority="5039" stopIfTrue="1">
      <formula>AND($D51&lt;&gt;"SI",$N51&lt;24)</formula>
    </cfRule>
  </conditionalFormatting>
  <conditionalFormatting sqref="R51">
    <cfRule type="expression" dxfId="1496" priority="5038" stopIfTrue="1">
      <formula>AND($D51&lt;&gt;"SI",$N51&lt;24)</formula>
    </cfRule>
  </conditionalFormatting>
  <conditionalFormatting sqref="R51">
    <cfRule type="expression" dxfId="1495" priority="5037" stopIfTrue="1">
      <formula>AND($D51&lt;&gt;"SI",$N51&lt;24)</formula>
    </cfRule>
  </conditionalFormatting>
  <conditionalFormatting sqref="R51">
    <cfRule type="expression" dxfId="1494" priority="5036" stopIfTrue="1">
      <formula>AND($D51&lt;&gt;"SI",$N51&lt;24)</formula>
    </cfRule>
  </conditionalFormatting>
  <conditionalFormatting sqref="R51">
    <cfRule type="expression" dxfId="1493" priority="5035" stopIfTrue="1">
      <formula>AND($D51&lt;&gt;"SI",$N51&lt;24)</formula>
    </cfRule>
  </conditionalFormatting>
  <conditionalFormatting sqref="R51">
    <cfRule type="expression" dxfId="1492" priority="5034" stopIfTrue="1">
      <formula>AND($D51&lt;&gt;"SI",$N51&lt;24)</formula>
    </cfRule>
  </conditionalFormatting>
  <conditionalFormatting sqref="R51">
    <cfRule type="expression" dxfId="1491" priority="5033" stopIfTrue="1">
      <formula>AND($D51&lt;&gt;"SI",$N51&lt;24)</formula>
    </cfRule>
  </conditionalFormatting>
  <conditionalFormatting sqref="R51">
    <cfRule type="expression" dxfId="1490" priority="5032" stopIfTrue="1">
      <formula>AND($D51&lt;&gt;"SI",$N51&lt;24)</formula>
    </cfRule>
  </conditionalFormatting>
  <conditionalFormatting sqref="R51">
    <cfRule type="expression" dxfId="1489" priority="5031" stopIfTrue="1">
      <formula>AND($D51&lt;&gt;"SI",$N51&lt;24)</formula>
    </cfRule>
  </conditionalFormatting>
  <conditionalFormatting sqref="R51">
    <cfRule type="expression" dxfId="1488" priority="5030" stopIfTrue="1">
      <formula>AND($D51&lt;&gt;"SI",$N51&lt;24)</formula>
    </cfRule>
  </conditionalFormatting>
  <conditionalFormatting sqref="R51">
    <cfRule type="expression" dxfId="1487" priority="5029" stopIfTrue="1">
      <formula>AND($D51&lt;&gt;"SI",$N51&lt;24)</formula>
    </cfRule>
  </conditionalFormatting>
  <conditionalFormatting sqref="R51">
    <cfRule type="expression" dxfId="1486" priority="5028" stopIfTrue="1">
      <formula>AND($D51&lt;&gt;"SI",$N51&lt;24)</formula>
    </cfRule>
  </conditionalFormatting>
  <conditionalFormatting sqref="R51">
    <cfRule type="expression" dxfId="1485" priority="5027" stopIfTrue="1">
      <formula>AND($D51&lt;&gt;"SI",$N51&lt;24)</formula>
    </cfRule>
  </conditionalFormatting>
  <conditionalFormatting sqref="R51">
    <cfRule type="expression" dxfId="1484" priority="5026" stopIfTrue="1">
      <formula>AND($D51&lt;&gt;"SI",$N51&lt;24)</formula>
    </cfRule>
  </conditionalFormatting>
  <conditionalFormatting sqref="R51">
    <cfRule type="expression" dxfId="1483" priority="5025" stopIfTrue="1">
      <formula>AND($D51&lt;&gt;"SI",$N51&lt;24)</formula>
    </cfRule>
  </conditionalFormatting>
  <conditionalFormatting sqref="R51">
    <cfRule type="expression" dxfId="1482" priority="5024" stopIfTrue="1">
      <formula>AND($D51&lt;&gt;"SI",$N51&lt;24)</formula>
    </cfRule>
  </conditionalFormatting>
  <conditionalFormatting sqref="R51">
    <cfRule type="expression" dxfId="1481" priority="5023" stopIfTrue="1">
      <formula>AND($D51&lt;&gt;"SI",$N51&lt;24)</formula>
    </cfRule>
  </conditionalFormatting>
  <conditionalFormatting sqref="R51">
    <cfRule type="expression" dxfId="1480" priority="5022" stopIfTrue="1">
      <formula>AND($D51&lt;&gt;"SI",$N51&lt;24)</formula>
    </cfRule>
  </conditionalFormatting>
  <conditionalFormatting sqref="R51">
    <cfRule type="expression" dxfId="1479" priority="5021" stopIfTrue="1">
      <formula>AND($D51&lt;&gt;"SI",$N51&lt;24)</formula>
    </cfRule>
  </conditionalFormatting>
  <conditionalFormatting sqref="R51">
    <cfRule type="expression" dxfId="1478" priority="5020" stopIfTrue="1">
      <formula>AND($D51&lt;&gt;"SI",$N51&lt;24)</formula>
    </cfRule>
  </conditionalFormatting>
  <conditionalFormatting sqref="R51">
    <cfRule type="expression" dxfId="1477" priority="5019" stopIfTrue="1">
      <formula>AND($D51&lt;&gt;"SI",$N51&lt;24)</formula>
    </cfRule>
  </conditionalFormatting>
  <conditionalFormatting sqref="R51">
    <cfRule type="expression" dxfId="1476" priority="5018" stopIfTrue="1">
      <formula>AND($D51&lt;&gt;"SI",$N51&lt;24)</formula>
    </cfRule>
  </conditionalFormatting>
  <conditionalFormatting sqref="R51">
    <cfRule type="expression" dxfId="1475" priority="5017" stopIfTrue="1">
      <formula>AND($D51&lt;&gt;"SI",$N51&lt;24)</formula>
    </cfRule>
  </conditionalFormatting>
  <conditionalFormatting sqref="R51">
    <cfRule type="expression" dxfId="1474" priority="5016" stopIfTrue="1">
      <formula>AND($D51&lt;&gt;"SI",$N51&lt;24)</formula>
    </cfRule>
  </conditionalFormatting>
  <conditionalFormatting sqref="R51">
    <cfRule type="expression" dxfId="1473" priority="5015" stopIfTrue="1">
      <formula>AND($D51&lt;&gt;"SI",$N51&lt;24)</formula>
    </cfRule>
  </conditionalFormatting>
  <conditionalFormatting sqref="R51">
    <cfRule type="expression" dxfId="1472" priority="5014" stopIfTrue="1">
      <formula>AND($D51&lt;&gt;"SI",$N51&lt;24)</formula>
    </cfRule>
  </conditionalFormatting>
  <conditionalFormatting sqref="R51">
    <cfRule type="expression" dxfId="1471" priority="5013" stopIfTrue="1">
      <formula>AND($D51&lt;&gt;"SI",$N51&lt;24)</formula>
    </cfRule>
  </conditionalFormatting>
  <conditionalFormatting sqref="R51">
    <cfRule type="expression" dxfId="1470" priority="5012" stopIfTrue="1">
      <formula>AND($D51&lt;&gt;"SI",$N51&lt;24)</formula>
    </cfRule>
  </conditionalFormatting>
  <conditionalFormatting sqref="R51">
    <cfRule type="expression" dxfId="1469" priority="5011" stopIfTrue="1">
      <formula>AND($D51&lt;&gt;"SI",$N51&lt;24)</formula>
    </cfRule>
  </conditionalFormatting>
  <conditionalFormatting sqref="R51">
    <cfRule type="expression" dxfId="1468" priority="5010" stopIfTrue="1">
      <formula>AND($D51&lt;&gt;"SI",$N51&lt;24)</formula>
    </cfRule>
  </conditionalFormatting>
  <conditionalFormatting sqref="R51">
    <cfRule type="expression" dxfId="1467" priority="5009" stopIfTrue="1">
      <formula>AND($D51&lt;&gt;"SI",$N51&lt;24)</formula>
    </cfRule>
  </conditionalFormatting>
  <conditionalFormatting sqref="R51">
    <cfRule type="expression" dxfId="1466" priority="5008" stopIfTrue="1">
      <formula>AND($D51&lt;&gt;"SI",$N51&lt;24)</formula>
    </cfRule>
  </conditionalFormatting>
  <conditionalFormatting sqref="R51">
    <cfRule type="expression" dxfId="1465" priority="5007" stopIfTrue="1">
      <formula>AND($D51&lt;&gt;"SI",$N51&lt;24)</formula>
    </cfRule>
  </conditionalFormatting>
  <conditionalFormatting sqref="R51">
    <cfRule type="expression" dxfId="1464" priority="5006" stopIfTrue="1">
      <formula>AND($D51&lt;&gt;"SI",$N51&lt;24)</formula>
    </cfRule>
  </conditionalFormatting>
  <conditionalFormatting sqref="R51">
    <cfRule type="expression" dxfId="1463" priority="5005" stopIfTrue="1">
      <formula>AND($D51&lt;&gt;"SI",$N51&lt;24)</formula>
    </cfRule>
  </conditionalFormatting>
  <conditionalFormatting sqref="R51">
    <cfRule type="expression" dxfId="1462" priority="5004" stopIfTrue="1">
      <formula>AND($D51&lt;&gt;"SI",$N51&lt;24)</formula>
    </cfRule>
  </conditionalFormatting>
  <conditionalFormatting sqref="R51">
    <cfRule type="expression" dxfId="1461" priority="5003" stopIfTrue="1">
      <formula>AND($D51&lt;&gt;"SI",$N51&lt;24)</formula>
    </cfRule>
  </conditionalFormatting>
  <conditionalFormatting sqref="R51">
    <cfRule type="expression" dxfId="1460" priority="5002" stopIfTrue="1">
      <formula>AND($D51&lt;&gt;"SI",$N51&lt;24)</formula>
    </cfRule>
  </conditionalFormatting>
  <conditionalFormatting sqref="R51">
    <cfRule type="expression" dxfId="1459" priority="5001" stopIfTrue="1">
      <formula>AND($D51&lt;&gt;"SI",$N51&lt;24)</formula>
    </cfRule>
  </conditionalFormatting>
  <conditionalFormatting sqref="R51">
    <cfRule type="expression" dxfId="1458" priority="5000" stopIfTrue="1">
      <formula>AND($D51&lt;&gt;"SI",$N51&lt;24)</formula>
    </cfRule>
  </conditionalFormatting>
  <conditionalFormatting sqref="R51">
    <cfRule type="expression" dxfId="1457" priority="4999" stopIfTrue="1">
      <formula>AND($D51&lt;&gt;"SI",$N51&lt;24)</formula>
    </cfRule>
  </conditionalFormatting>
  <conditionalFormatting sqref="R51">
    <cfRule type="expression" dxfId="1456" priority="4998" stopIfTrue="1">
      <formula>AND($D51&lt;&gt;"SI",$N51&lt;24)</formula>
    </cfRule>
  </conditionalFormatting>
  <conditionalFormatting sqref="R51">
    <cfRule type="expression" dxfId="1455" priority="4997" stopIfTrue="1">
      <formula>AND($D51&lt;&gt;"SI",$N51&lt;24)</formula>
    </cfRule>
  </conditionalFormatting>
  <conditionalFormatting sqref="R51">
    <cfRule type="expression" dxfId="1454" priority="4996" stopIfTrue="1">
      <formula>AND($D51&lt;&gt;"SI",$N51&lt;24)</formula>
    </cfRule>
  </conditionalFormatting>
  <conditionalFormatting sqref="R51">
    <cfRule type="expression" dxfId="1453" priority="4995" stopIfTrue="1">
      <formula>AND($D51&lt;&gt;"SI",$N51&lt;24)</formula>
    </cfRule>
  </conditionalFormatting>
  <conditionalFormatting sqref="R51">
    <cfRule type="expression" dxfId="1452" priority="4994" stopIfTrue="1">
      <formula>AND($D51&lt;&gt;"SI",$N51&lt;24)</formula>
    </cfRule>
  </conditionalFormatting>
  <conditionalFormatting sqref="R54">
    <cfRule type="expression" dxfId="1451" priority="4589" stopIfTrue="1">
      <formula>AND($D54&lt;&gt;"SI",$N54&lt;24)</formula>
    </cfRule>
  </conditionalFormatting>
  <conditionalFormatting sqref="R54">
    <cfRule type="expression" dxfId="1450" priority="4588" stopIfTrue="1">
      <formula>AND($D54&lt;&gt;"SI",$N54&lt;24)</formula>
    </cfRule>
  </conditionalFormatting>
  <conditionalFormatting sqref="R54">
    <cfRule type="expression" dxfId="1449" priority="4587" stopIfTrue="1">
      <formula>AND($D54&lt;&gt;"SI",$N54&lt;24)</formula>
    </cfRule>
  </conditionalFormatting>
  <conditionalFormatting sqref="R54">
    <cfRule type="expression" dxfId="1448" priority="4586" stopIfTrue="1">
      <formula>AND($D54&lt;&gt;"SI",$N54&lt;24)</formula>
    </cfRule>
  </conditionalFormatting>
  <conditionalFormatting sqref="R54">
    <cfRule type="expression" dxfId="1447" priority="4585" stopIfTrue="1">
      <formula>AND($D54&lt;&gt;"SI",$N54&lt;24)</formula>
    </cfRule>
  </conditionalFormatting>
  <conditionalFormatting sqref="R54">
    <cfRule type="expression" dxfId="1446" priority="4584" stopIfTrue="1">
      <formula>AND($D54&lt;&gt;"SI",$N54&lt;24)</formula>
    </cfRule>
  </conditionalFormatting>
  <conditionalFormatting sqref="R54">
    <cfRule type="expression" dxfId="1445" priority="4583" stopIfTrue="1">
      <formula>AND($D54&lt;&gt;"SI",$N54&lt;24)</formula>
    </cfRule>
  </conditionalFormatting>
  <conditionalFormatting sqref="R54">
    <cfRule type="expression" dxfId="1444" priority="4582" stopIfTrue="1">
      <formula>AND($D54&lt;&gt;"SI",$N54&lt;24)</formula>
    </cfRule>
  </conditionalFormatting>
  <conditionalFormatting sqref="R54">
    <cfRule type="expression" dxfId="1443" priority="4581" stopIfTrue="1">
      <formula>AND($D54&lt;&gt;"SI",$N54&lt;24)</formula>
    </cfRule>
  </conditionalFormatting>
  <conditionalFormatting sqref="R54">
    <cfRule type="expression" dxfId="1442" priority="4580" stopIfTrue="1">
      <formula>AND($D54&lt;&gt;"SI",$N54&lt;24)</formula>
    </cfRule>
  </conditionalFormatting>
  <conditionalFormatting sqref="R54">
    <cfRule type="expression" dxfId="1441" priority="4579" stopIfTrue="1">
      <formula>AND($D54&lt;&gt;"SI",$N54&lt;24)</formula>
    </cfRule>
  </conditionalFormatting>
  <conditionalFormatting sqref="R54">
    <cfRule type="expression" dxfId="1440" priority="4578" stopIfTrue="1">
      <formula>AND($D54&lt;&gt;"SI",$N54&lt;24)</formula>
    </cfRule>
  </conditionalFormatting>
  <conditionalFormatting sqref="R54">
    <cfRule type="expression" dxfId="1439" priority="4577" stopIfTrue="1">
      <formula>AND($D54&lt;&gt;"SI",$N54&lt;24)</formula>
    </cfRule>
  </conditionalFormatting>
  <conditionalFormatting sqref="R54">
    <cfRule type="expression" dxfId="1438" priority="4576" stopIfTrue="1">
      <formula>AND($D54&lt;&gt;"SI",$N54&lt;24)</formula>
    </cfRule>
  </conditionalFormatting>
  <conditionalFormatting sqref="R54">
    <cfRule type="expression" dxfId="1437" priority="4575" stopIfTrue="1">
      <formula>AND($D54&lt;&gt;"SI",$N54&lt;24)</formula>
    </cfRule>
  </conditionalFormatting>
  <conditionalFormatting sqref="R54">
    <cfRule type="expression" dxfId="1436" priority="4574" stopIfTrue="1">
      <formula>AND($D54&lt;&gt;"SI",$N54&lt;24)</formula>
    </cfRule>
  </conditionalFormatting>
  <conditionalFormatting sqref="R54">
    <cfRule type="expression" dxfId="1435" priority="4573" stopIfTrue="1">
      <formula>AND($D54&lt;&gt;"SI",$N54&lt;24)</formula>
    </cfRule>
  </conditionalFormatting>
  <conditionalFormatting sqref="R54">
    <cfRule type="expression" dxfId="1434" priority="4572" stopIfTrue="1">
      <formula>AND($D54&lt;&gt;"SI",$N54&lt;24)</formula>
    </cfRule>
  </conditionalFormatting>
  <conditionalFormatting sqref="R54">
    <cfRule type="expression" dxfId="1433" priority="4571" stopIfTrue="1">
      <formula>AND($D54&lt;&gt;"SI",$N54&lt;24)</formula>
    </cfRule>
  </conditionalFormatting>
  <conditionalFormatting sqref="R54">
    <cfRule type="expression" dxfId="1432" priority="4570" stopIfTrue="1">
      <formula>AND($D54&lt;&gt;"SI",$N54&lt;24)</formula>
    </cfRule>
  </conditionalFormatting>
  <conditionalFormatting sqref="R54">
    <cfRule type="expression" dxfId="1431" priority="4569" stopIfTrue="1">
      <formula>AND($D54&lt;&gt;"SI",$N54&lt;24)</formula>
    </cfRule>
  </conditionalFormatting>
  <conditionalFormatting sqref="R54">
    <cfRule type="expression" dxfId="1430" priority="4568" stopIfTrue="1">
      <formula>AND($D54&lt;&gt;"SI",$N54&lt;24)</formula>
    </cfRule>
  </conditionalFormatting>
  <conditionalFormatting sqref="R54">
    <cfRule type="expression" dxfId="1429" priority="4567" stopIfTrue="1">
      <formula>AND($D54&lt;&gt;"SI",$N54&lt;24)</formula>
    </cfRule>
  </conditionalFormatting>
  <conditionalFormatting sqref="R54">
    <cfRule type="expression" dxfId="1428" priority="4566" stopIfTrue="1">
      <formula>AND($D54&lt;&gt;"SI",$N54&lt;24)</formula>
    </cfRule>
  </conditionalFormatting>
  <conditionalFormatting sqref="R54">
    <cfRule type="expression" dxfId="1427" priority="4565" stopIfTrue="1">
      <formula>AND($D54&lt;&gt;"SI",$N54&lt;24)</formula>
    </cfRule>
  </conditionalFormatting>
  <conditionalFormatting sqref="R54">
    <cfRule type="expression" dxfId="1426" priority="4564" stopIfTrue="1">
      <formula>AND($D54&lt;&gt;"SI",$N54&lt;24)</formula>
    </cfRule>
  </conditionalFormatting>
  <conditionalFormatting sqref="R54">
    <cfRule type="expression" dxfId="1425" priority="4563" stopIfTrue="1">
      <formula>AND($D54&lt;&gt;"SI",$N54&lt;24)</formula>
    </cfRule>
  </conditionalFormatting>
  <conditionalFormatting sqref="R54">
    <cfRule type="expression" dxfId="1424" priority="4562" stopIfTrue="1">
      <formula>AND($D54&lt;&gt;"SI",$N54&lt;24)</formula>
    </cfRule>
  </conditionalFormatting>
  <conditionalFormatting sqref="R54">
    <cfRule type="expression" dxfId="1423" priority="4561" stopIfTrue="1">
      <formula>AND($D54&lt;&gt;"SI",$N54&lt;24)</formula>
    </cfRule>
  </conditionalFormatting>
  <conditionalFormatting sqref="R54">
    <cfRule type="expression" dxfId="1422" priority="4560" stopIfTrue="1">
      <formula>AND($D54&lt;&gt;"SI",$N54&lt;24)</formula>
    </cfRule>
  </conditionalFormatting>
  <conditionalFormatting sqref="R54">
    <cfRule type="expression" dxfId="1421" priority="4559" stopIfTrue="1">
      <formula>AND($D54&lt;&gt;"SI",$N54&lt;24)</formula>
    </cfRule>
  </conditionalFormatting>
  <conditionalFormatting sqref="R54">
    <cfRule type="expression" dxfId="1420" priority="4558" stopIfTrue="1">
      <formula>AND($D54&lt;&gt;"SI",$N54&lt;24)</formula>
    </cfRule>
  </conditionalFormatting>
  <conditionalFormatting sqref="R54">
    <cfRule type="expression" dxfId="1419" priority="4557" stopIfTrue="1">
      <formula>AND($D54&lt;&gt;"SI",$N54&lt;24)</formula>
    </cfRule>
  </conditionalFormatting>
  <conditionalFormatting sqref="R54">
    <cfRule type="expression" dxfId="1418" priority="4556" stopIfTrue="1">
      <formula>AND($D54&lt;&gt;"SI",$N54&lt;24)</formula>
    </cfRule>
  </conditionalFormatting>
  <conditionalFormatting sqref="R54">
    <cfRule type="expression" dxfId="1417" priority="4555" stopIfTrue="1">
      <formula>AND($D54&lt;&gt;"SI",$N54&lt;24)</formula>
    </cfRule>
  </conditionalFormatting>
  <conditionalFormatting sqref="R54">
    <cfRule type="expression" dxfId="1416" priority="4554" stopIfTrue="1">
      <formula>AND($D54&lt;&gt;"SI",$N54&lt;24)</formula>
    </cfRule>
  </conditionalFormatting>
  <conditionalFormatting sqref="R54">
    <cfRule type="expression" dxfId="1415" priority="4553" stopIfTrue="1">
      <formula>AND($D54&lt;&gt;"SI",$N54&lt;24)</formula>
    </cfRule>
  </conditionalFormatting>
  <conditionalFormatting sqref="R54">
    <cfRule type="expression" dxfId="1414" priority="4552" stopIfTrue="1">
      <formula>AND($D54&lt;&gt;"SI",$N54&lt;24)</formula>
    </cfRule>
  </conditionalFormatting>
  <conditionalFormatting sqref="R54">
    <cfRule type="expression" dxfId="1413" priority="4551" stopIfTrue="1">
      <formula>AND($D54&lt;&gt;"SI",$N54&lt;24)</formula>
    </cfRule>
  </conditionalFormatting>
  <conditionalFormatting sqref="R54">
    <cfRule type="expression" dxfId="1412" priority="4550" stopIfTrue="1">
      <formula>AND($D54&lt;&gt;"SI",$N54&lt;24)</formula>
    </cfRule>
  </conditionalFormatting>
  <conditionalFormatting sqref="R54">
    <cfRule type="expression" dxfId="1411" priority="4549" stopIfTrue="1">
      <formula>AND($D54&lt;&gt;"SI",$N54&lt;24)</formula>
    </cfRule>
  </conditionalFormatting>
  <conditionalFormatting sqref="R54">
    <cfRule type="expression" dxfId="1410" priority="4548" stopIfTrue="1">
      <formula>AND($D54&lt;&gt;"SI",$N54&lt;24)</formula>
    </cfRule>
  </conditionalFormatting>
  <conditionalFormatting sqref="R54">
    <cfRule type="expression" dxfId="1409" priority="4547" stopIfTrue="1">
      <formula>AND($D54&lt;&gt;"SI",$N54&lt;24)</formula>
    </cfRule>
  </conditionalFormatting>
  <conditionalFormatting sqref="R54">
    <cfRule type="expression" dxfId="1408" priority="4546" stopIfTrue="1">
      <formula>AND($D54&lt;&gt;"SI",$N54&lt;24)</formula>
    </cfRule>
  </conditionalFormatting>
  <conditionalFormatting sqref="R54">
    <cfRule type="expression" dxfId="1407" priority="4545" stopIfTrue="1">
      <formula>AND($D54&lt;&gt;"SI",$N54&lt;24)</formula>
    </cfRule>
  </conditionalFormatting>
  <conditionalFormatting sqref="R54">
    <cfRule type="expression" dxfId="1406" priority="4544" stopIfTrue="1">
      <formula>AND($D54&lt;&gt;"SI",$N54&lt;24)</formula>
    </cfRule>
  </conditionalFormatting>
  <conditionalFormatting sqref="R54">
    <cfRule type="expression" dxfId="1405" priority="4543" stopIfTrue="1">
      <formula>AND($D54&lt;&gt;"SI",$N54&lt;24)</formula>
    </cfRule>
  </conditionalFormatting>
  <conditionalFormatting sqref="R54">
    <cfRule type="expression" dxfId="1404" priority="4542" stopIfTrue="1">
      <formula>AND($D54&lt;&gt;"SI",$N54&lt;24)</formula>
    </cfRule>
  </conditionalFormatting>
  <conditionalFormatting sqref="R54">
    <cfRule type="expression" dxfId="1403" priority="4541" stopIfTrue="1">
      <formula>AND($D54&lt;&gt;"SI",$N54&lt;24)</formula>
    </cfRule>
  </conditionalFormatting>
  <conditionalFormatting sqref="R54">
    <cfRule type="expression" dxfId="1402" priority="4540" stopIfTrue="1">
      <formula>AND($D54&lt;&gt;"SI",$N54&lt;24)</formula>
    </cfRule>
  </conditionalFormatting>
  <conditionalFormatting sqref="R54">
    <cfRule type="expression" dxfId="1401" priority="4539" stopIfTrue="1">
      <formula>AND($D54&lt;&gt;"SI",$N54&lt;24)</formula>
    </cfRule>
  </conditionalFormatting>
  <conditionalFormatting sqref="R54">
    <cfRule type="expression" dxfId="1400" priority="4538" stopIfTrue="1">
      <formula>AND($D54&lt;&gt;"SI",$N54&lt;24)</formula>
    </cfRule>
  </conditionalFormatting>
  <conditionalFormatting sqref="R54">
    <cfRule type="expression" dxfId="1399" priority="4537" stopIfTrue="1">
      <formula>AND($D54&lt;&gt;"SI",$N54&lt;24)</formula>
    </cfRule>
  </conditionalFormatting>
  <conditionalFormatting sqref="R54">
    <cfRule type="expression" dxfId="1398" priority="4536" stopIfTrue="1">
      <formula>AND($D54&lt;&gt;"SI",$N54&lt;24)</formula>
    </cfRule>
  </conditionalFormatting>
  <conditionalFormatting sqref="R54">
    <cfRule type="expression" dxfId="1397" priority="4535" stopIfTrue="1">
      <formula>AND($D54&lt;&gt;"SI",$N54&lt;24)</formula>
    </cfRule>
  </conditionalFormatting>
  <conditionalFormatting sqref="R54">
    <cfRule type="expression" dxfId="1396" priority="4534" stopIfTrue="1">
      <formula>AND($D54&lt;&gt;"SI",$N54&lt;24)</formula>
    </cfRule>
  </conditionalFormatting>
  <conditionalFormatting sqref="R54">
    <cfRule type="expression" dxfId="1395" priority="4533" stopIfTrue="1">
      <formula>AND($D54&lt;&gt;"SI",$N54&lt;24)</formula>
    </cfRule>
  </conditionalFormatting>
  <conditionalFormatting sqref="R54">
    <cfRule type="expression" dxfId="1394" priority="4532" stopIfTrue="1">
      <formula>AND($D54&lt;&gt;"SI",$N54&lt;24)</formula>
    </cfRule>
  </conditionalFormatting>
  <conditionalFormatting sqref="R54">
    <cfRule type="expression" dxfId="1393" priority="4531" stopIfTrue="1">
      <formula>AND($D54&lt;&gt;"SI",$N54&lt;24)</formula>
    </cfRule>
  </conditionalFormatting>
  <conditionalFormatting sqref="R54">
    <cfRule type="expression" dxfId="1392" priority="4530" stopIfTrue="1">
      <formula>AND($D54&lt;&gt;"SI",$N54&lt;24)</formula>
    </cfRule>
  </conditionalFormatting>
  <conditionalFormatting sqref="R54">
    <cfRule type="expression" dxfId="1391" priority="4529" stopIfTrue="1">
      <formula>AND($D54&lt;&gt;"SI",$N54&lt;24)</formula>
    </cfRule>
  </conditionalFormatting>
  <conditionalFormatting sqref="R54">
    <cfRule type="expression" dxfId="1390" priority="4528" stopIfTrue="1">
      <formula>AND($D54&lt;&gt;"SI",$N54&lt;24)</formula>
    </cfRule>
  </conditionalFormatting>
  <conditionalFormatting sqref="R54">
    <cfRule type="expression" dxfId="1389" priority="4527" stopIfTrue="1">
      <formula>AND($D54&lt;&gt;"SI",$N54&lt;24)</formula>
    </cfRule>
  </conditionalFormatting>
  <conditionalFormatting sqref="R54">
    <cfRule type="expression" dxfId="1388" priority="4526" stopIfTrue="1">
      <formula>AND($D54&lt;&gt;"SI",$N54&lt;24)</formula>
    </cfRule>
  </conditionalFormatting>
  <conditionalFormatting sqref="F5">
    <cfRule type="expression" dxfId="1387" priority="3868" stopIfTrue="1">
      <formula>AND($D5&lt;&gt;"SI",$E5&lt;24)</formula>
    </cfRule>
  </conditionalFormatting>
  <conditionalFormatting sqref="F5">
    <cfRule type="expression" dxfId="1386" priority="3867" stopIfTrue="1">
      <formula>AND($D5&lt;&gt;"SI",$E5&lt;24)</formula>
    </cfRule>
  </conditionalFormatting>
  <conditionalFormatting sqref="F44 F5:F6">
    <cfRule type="expression" dxfId="1385" priority="3866" stopIfTrue="1">
      <formula>AND($D5&lt;&gt;"SI",$E5&lt;24)</formula>
    </cfRule>
  </conditionalFormatting>
  <conditionalFormatting sqref="F44 F5:F6">
    <cfRule type="expression" dxfId="1384" priority="3865" stopIfTrue="1">
      <formula>AND($D5&lt;&gt;"SI",$E5&lt;24)</formula>
    </cfRule>
  </conditionalFormatting>
  <conditionalFormatting sqref="F44 F5:F6">
    <cfRule type="expression" dxfId="1383" priority="3864" stopIfTrue="1">
      <formula>AND($D5&lt;&gt;"SI",$E5&lt;24)</formula>
    </cfRule>
  </conditionalFormatting>
  <conditionalFormatting sqref="F44 F5:F6">
    <cfRule type="expression" dxfId="1382" priority="3863" stopIfTrue="1">
      <formula>AND($D5&lt;&gt;"SI",$E5&lt;24)</formula>
    </cfRule>
  </conditionalFormatting>
  <conditionalFormatting sqref="F44 F5:F6">
    <cfRule type="expression" dxfId="1381" priority="3862" stopIfTrue="1">
      <formula>AND($D5&lt;&gt;"SI",$E5&lt;24)</formula>
    </cfRule>
  </conditionalFormatting>
  <conditionalFormatting sqref="F44 F5:F6">
    <cfRule type="expression" dxfId="1380" priority="3861" stopIfTrue="1">
      <formula>AND($D5&lt;&gt;"SI",$E5&lt;24)</formula>
    </cfRule>
  </conditionalFormatting>
  <conditionalFormatting sqref="F44 F5:F6">
    <cfRule type="expression" dxfId="1379" priority="3860" stopIfTrue="1">
      <formula>AND($D5&lt;&gt;"SI",$E5&lt;24)</formula>
    </cfRule>
  </conditionalFormatting>
  <conditionalFormatting sqref="F44 F5:F6">
    <cfRule type="expression" dxfId="1378" priority="3859" stopIfTrue="1">
      <formula>AND($D5&lt;&gt;"SI",$E5&lt;24)</formula>
    </cfRule>
  </conditionalFormatting>
  <conditionalFormatting sqref="F44 F5:F6">
    <cfRule type="expression" dxfId="1377" priority="3858" stopIfTrue="1">
      <formula>AND($D5&lt;&gt;"SI",$E5&lt;24)</formula>
    </cfRule>
  </conditionalFormatting>
  <conditionalFormatting sqref="F44 F5:F6">
    <cfRule type="expression" dxfId="1376" priority="3857" stopIfTrue="1">
      <formula>AND($D5&lt;&gt;"SI",$E5&lt;24)</formula>
    </cfRule>
  </conditionalFormatting>
  <conditionalFormatting sqref="F44 F5:F6">
    <cfRule type="expression" dxfId="1375" priority="3856" stopIfTrue="1">
      <formula>AND($D5&lt;&gt;"SI",$E5&lt;24)</formula>
    </cfRule>
  </conditionalFormatting>
  <conditionalFormatting sqref="F44 F5:F6">
    <cfRule type="expression" dxfId="1374" priority="3855" stopIfTrue="1">
      <formula>AND($D5&lt;&gt;"SI",$E5&lt;24)</formula>
    </cfRule>
  </conditionalFormatting>
  <conditionalFormatting sqref="F44 F5:F6">
    <cfRule type="expression" dxfId="1373" priority="3854" stopIfTrue="1">
      <formula>AND($D5&lt;&gt;"SI",$E5&lt;24)</formula>
    </cfRule>
  </conditionalFormatting>
  <conditionalFormatting sqref="F44 F5:F6">
    <cfRule type="expression" dxfId="1372" priority="3853" stopIfTrue="1">
      <formula>AND($D5&lt;&gt;"SI",$E5&lt;24)</formula>
    </cfRule>
  </conditionalFormatting>
  <conditionalFormatting sqref="F44 F5:F6">
    <cfRule type="expression" dxfId="1371" priority="3852" stopIfTrue="1">
      <formula>AND($D5&lt;&gt;"SI",$E5&lt;24)</formula>
    </cfRule>
  </conditionalFormatting>
  <conditionalFormatting sqref="F44 F5:F6">
    <cfRule type="expression" dxfId="1370" priority="3851" stopIfTrue="1">
      <formula>AND($D5&lt;&gt;"SI",$E5&lt;24)</formula>
    </cfRule>
  </conditionalFormatting>
  <conditionalFormatting sqref="F44 F5:F6">
    <cfRule type="expression" dxfId="1369" priority="3850" stopIfTrue="1">
      <formula>AND($D5&lt;&gt;"SI",$E5&lt;24)</formula>
    </cfRule>
  </conditionalFormatting>
  <conditionalFormatting sqref="F44 F5:F6">
    <cfRule type="expression" dxfId="1368" priority="3849" stopIfTrue="1">
      <formula>AND($D5&lt;&gt;"SI",$E5&lt;24)</formula>
    </cfRule>
  </conditionalFormatting>
  <conditionalFormatting sqref="F44 F5:F6">
    <cfRule type="expression" dxfId="1367" priority="3848" stopIfTrue="1">
      <formula>AND($D5&lt;&gt;"SI",$E5&lt;24)</formula>
    </cfRule>
  </conditionalFormatting>
  <conditionalFormatting sqref="F44 F5:F6">
    <cfRule type="expression" dxfId="1366" priority="3847" stopIfTrue="1">
      <formula>AND($D5&lt;&gt;"SI",$E5&lt;24)</formula>
    </cfRule>
  </conditionalFormatting>
  <conditionalFormatting sqref="F44 F5:F6">
    <cfRule type="expression" dxfId="1365" priority="3846" stopIfTrue="1">
      <formula>AND($D5&lt;&gt;"SI",$E5&lt;24)</formula>
    </cfRule>
  </conditionalFormatting>
  <conditionalFormatting sqref="F44 F5:F6">
    <cfRule type="expression" dxfId="1364" priority="3845" stopIfTrue="1">
      <formula>AND($D5&lt;&gt;"SI",$E5&lt;24)</formula>
    </cfRule>
  </conditionalFormatting>
  <conditionalFormatting sqref="F6 F44">
    <cfRule type="expression" dxfId="1363" priority="3844" stopIfTrue="1">
      <formula>AND($D6&lt;&gt;"SI",$E6&lt;24)</formula>
    </cfRule>
  </conditionalFormatting>
  <conditionalFormatting sqref="F44 F26">
    <cfRule type="expression" dxfId="1362" priority="3843" stopIfTrue="1">
      <formula>AND($D26&lt;&gt;"SI",$E26&lt;24)</formula>
    </cfRule>
  </conditionalFormatting>
  <conditionalFormatting sqref="F44 F26">
    <cfRule type="expression" dxfId="1361" priority="3842" stopIfTrue="1">
      <formula>AND($D26&lt;&gt;"SI",$E26&lt;24)</formula>
    </cfRule>
  </conditionalFormatting>
  <conditionalFormatting sqref="F44 F26">
    <cfRule type="expression" dxfId="1360" priority="3841" stopIfTrue="1">
      <formula>AND($D26&lt;&gt;"SI",$E26&lt;24)</formula>
    </cfRule>
  </conditionalFormatting>
  <conditionalFormatting sqref="F44 F26">
    <cfRule type="expression" dxfId="1359" priority="3840" stopIfTrue="1">
      <formula>AND($D26&lt;&gt;"SI",$E26&lt;24)</formula>
    </cfRule>
  </conditionalFormatting>
  <conditionalFormatting sqref="F44 F26">
    <cfRule type="expression" dxfId="1358" priority="3839" stopIfTrue="1">
      <formula>AND($D26&lt;&gt;"SI",$E26&lt;24)</formula>
    </cfRule>
  </conditionalFormatting>
  <conditionalFormatting sqref="F44 F26">
    <cfRule type="expression" dxfId="1357" priority="3838" stopIfTrue="1">
      <formula>AND($D26&lt;&gt;"SI",$E26&lt;24)</formula>
    </cfRule>
  </conditionalFormatting>
  <conditionalFormatting sqref="F44 F26">
    <cfRule type="expression" dxfId="1356" priority="3837" stopIfTrue="1">
      <formula>AND($D26&lt;&gt;"SI",$E26&lt;24)</formula>
    </cfRule>
  </conditionalFormatting>
  <conditionalFormatting sqref="F44 F26">
    <cfRule type="expression" dxfId="1355" priority="3836" stopIfTrue="1">
      <formula>AND($D26&lt;&gt;"SI",$E26&lt;24)</formula>
    </cfRule>
  </conditionalFormatting>
  <conditionalFormatting sqref="F44 F26">
    <cfRule type="expression" dxfId="1354" priority="3835" stopIfTrue="1">
      <formula>AND($D26&lt;&gt;"SI",$E26&lt;24)</formula>
    </cfRule>
  </conditionalFormatting>
  <conditionalFormatting sqref="F44 F26">
    <cfRule type="expression" dxfId="1353" priority="3834" stopIfTrue="1">
      <formula>AND($D26&lt;&gt;"SI",$E26&lt;24)</formula>
    </cfRule>
  </conditionalFormatting>
  <conditionalFormatting sqref="F44 F26">
    <cfRule type="expression" dxfId="1352" priority="3833" stopIfTrue="1">
      <formula>AND($D26&lt;&gt;"SI",$E26&lt;24)</formula>
    </cfRule>
  </conditionalFormatting>
  <conditionalFormatting sqref="F44 F26">
    <cfRule type="expression" dxfId="1351" priority="3832" stopIfTrue="1">
      <formula>AND($D26&lt;&gt;"SI",$E26&lt;24)</formula>
    </cfRule>
  </conditionalFormatting>
  <conditionalFormatting sqref="F44 F26">
    <cfRule type="expression" dxfId="1350" priority="3831" stopIfTrue="1">
      <formula>AND($D26&lt;&gt;"SI",$E26&lt;24)</formula>
    </cfRule>
  </conditionalFormatting>
  <conditionalFormatting sqref="F44 F26">
    <cfRule type="expression" dxfId="1349" priority="3830" stopIfTrue="1">
      <formula>AND($D26&lt;&gt;"SI",$E26&lt;24)</formula>
    </cfRule>
  </conditionalFormatting>
  <conditionalFormatting sqref="F44 F26">
    <cfRule type="expression" dxfId="1348" priority="3829" stopIfTrue="1">
      <formula>AND($D26&lt;&gt;"SI",$E26&lt;24)</formula>
    </cfRule>
  </conditionalFormatting>
  <conditionalFormatting sqref="F44 F26">
    <cfRule type="expression" dxfId="1347" priority="3828" stopIfTrue="1">
      <formula>AND($D26&lt;&gt;"SI",$E26&lt;24)</formula>
    </cfRule>
  </conditionalFormatting>
  <conditionalFormatting sqref="F44 F26">
    <cfRule type="expression" dxfId="1346" priority="3827" stopIfTrue="1">
      <formula>AND($D26&lt;&gt;"SI",$E26&lt;24)</formula>
    </cfRule>
  </conditionalFormatting>
  <conditionalFormatting sqref="F44 F26">
    <cfRule type="expression" dxfId="1345" priority="3826" stopIfTrue="1">
      <formula>AND($D26&lt;&gt;"SI",$E26&lt;24)</formula>
    </cfRule>
  </conditionalFormatting>
  <conditionalFormatting sqref="F44 F26">
    <cfRule type="expression" dxfId="1344" priority="3825" stopIfTrue="1">
      <formula>AND($D26&lt;&gt;"SI",$E26&lt;24)</formula>
    </cfRule>
  </conditionalFormatting>
  <conditionalFormatting sqref="F44 F26">
    <cfRule type="expression" dxfId="1343" priority="3824" stopIfTrue="1">
      <formula>AND($D26&lt;&gt;"SI",$E26&lt;24)</formula>
    </cfRule>
  </conditionalFormatting>
  <conditionalFormatting sqref="F44 F26">
    <cfRule type="expression" dxfId="1342" priority="3823" stopIfTrue="1">
      <formula>AND($D26&lt;&gt;"SI",$E26&lt;24)</formula>
    </cfRule>
  </conditionalFormatting>
  <conditionalFormatting sqref="F44 F26">
    <cfRule type="expression" dxfId="1341" priority="3822" stopIfTrue="1">
      <formula>AND($D26&lt;&gt;"SI",$E26&lt;24)</formula>
    </cfRule>
  </conditionalFormatting>
  <conditionalFormatting sqref="F44 F26">
    <cfRule type="expression" dxfId="1340" priority="3821" stopIfTrue="1">
      <formula>AND($D26&lt;&gt;"SI",$E26&lt;24)</formula>
    </cfRule>
  </conditionalFormatting>
  <conditionalFormatting sqref="F9:F14">
    <cfRule type="expression" dxfId="1339" priority="3820" stopIfTrue="1">
      <formula>AND($D9&lt;&gt;"SI",$E9&lt;24)</formula>
    </cfRule>
  </conditionalFormatting>
  <conditionalFormatting sqref="F9:F14">
    <cfRule type="expression" dxfId="1338" priority="3819" stopIfTrue="1">
      <formula>AND($D9&lt;&gt;"SI",$E9&lt;24)</formula>
    </cfRule>
  </conditionalFormatting>
  <conditionalFormatting sqref="F9:F14">
    <cfRule type="expression" dxfId="1337" priority="3818" stopIfTrue="1">
      <formula>AND($D9&lt;&gt;"SI",$E9&lt;24)</formula>
    </cfRule>
  </conditionalFormatting>
  <conditionalFormatting sqref="F9:F14">
    <cfRule type="expression" dxfId="1336" priority="3817" stopIfTrue="1">
      <formula>AND($D9&lt;&gt;"SI",$E9&lt;24)</formula>
    </cfRule>
  </conditionalFormatting>
  <conditionalFormatting sqref="F9:F14">
    <cfRule type="expression" dxfId="1335" priority="3816" stopIfTrue="1">
      <formula>AND($D9&lt;&gt;"SI",$E9&lt;24)</formula>
    </cfRule>
  </conditionalFormatting>
  <conditionalFormatting sqref="F9:F14">
    <cfRule type="expression" dxfId="1334" priority="3815" stopIfTrue="1">
      <formula>AND($D9&lt;&gt;"SI",$E9&lt;24)</formula>
    </cfRule>
  </conditionalFormatting>
  <conditionalFormatting sqref="F9:F14">
    <cfRule type="expression" dxfId="1333" priority="3814" stopIfTrue="1">
      <formula>AND($D9&lt;&gt;"SI",$E9&lt;24)</formula>
    </cfRule>
  </conditionalFormatting>
  <conditionalFormatting sqref="F9:F14">
    <cfRule type="expression" dxfId="1332" priority="3813" stopIfTrue="1">
      <formula>AND($D9&lt;&gt;"SI",$E9&lt;24)</formula>
    </cfRule>
  </conditionalFormatting>
  <conditionalFormatting sqref="F9:F14">
    <cfRule type="expression" dxfId="1331" priority="3812" stopIfTrue="1">
      <formula>AND($D9&lt;&gt;"SI",$E9&lt;24)</formula>
    </cfRule>
  </conditionalFormatting>
  <conditionalFormatting sqref="F9:F14">
    <cfRule type="expression" dxfId="1330" priority="3811" stopIfTrue="1">
      <formula>AND($D9&lt;&gt;"SI",$E9&lt;24)</formula>
    </cfRule>
  </conditionalFormatting>
  <conditionalFormatting sqref="F9:F14">
    <cfRule type="expression" dxfId="1329" priority="3810" stopIfTrue="1">
      <formula>AND($D9&lt;&gt;"SI",$E9&lt;24)</formula>
    </cfRule>
  </conditionalFormatting>
  <conditionalFormatting sqref="F9:F14">
    <cfRule type="expression" dxfId="1328" priority="3809" stopIfTrue="1">
      <formula>AND($D9&lt;&gt;"SI",$E9&lt;24)</formula>
    </cfRule>
  </conditionalFormatting>
  <conditionalFormatting sqref="F9:F14">
    <cfRule type="expression" dxfId="1327" priority="3808" stopIfTrue="1">
      <formula>AND($D9&lt;&gt;"SI",$E9&lt;24)</formula>
    </cfRule>
  </conditionalFormatting>
  <conditionalFormatting sqref="F9:F14">
    <cfRule type="expression" dxfId="1326" priority="3807" stopIfTrue="1">
      <formula>AND($D9&lt;&gt;"SI",$E9&lt;24)</formula>
    </cfRule>
  </conditionalFormatting>
  <conditionalFormatting sqref="F9:F14">
    <cfRule type="expression" dxfId="1325" priority="3806" stopIfTrue="1">
      <formula>AND($D9&lt;&gt;"SI",$E9&lt;24)</formula>
    </cfRule>
  </conditionalFormatting>
  <conditionalFormatting sqref="F9:F14">
    <cfRule type="expression" dxfId="1324" priority="3805" stopIfTrue="1">
      <formula>AND($D9&lt;&gt;"SI",$E9&lt;24)</formula>
    </cfRule>
  </conditionalFormatting>
  <conditionalFormatting sqref="F9:F14">
    <cfRule type="expression" dxfId="1323" priority="3804" stopIfTrue="1">
      <formula>AND($D9&lt;&gt;"SI",$E9&lt;24)</formula>
    </cfRule>
  </conditionalFormatting>
  <conditionalFormatting sqref="F9:F14">
    <cfRule type="expression" dxfId="1322" priority="3803" stopIfTrue="1">
      <formula>AND($D9&lt;&gt;"SI",$E9&lt;24)</formula>
    </cfRule>
  </conditionalFormatting>
  <conditionalFormatting sqref="F9:F14">
    <cfRule type="expression" dxfId="1321" priority="3802" stopIfTrue="1">
      <formula>AND($D9&lt;&gt;"SI",$E9&lt;24)</formula>
    </cfRule>
  </conditionalFormatting>
  <conditionalFormatting sqref="F9:F14">
    <cfRule type="expression" dxfId="1320" priority="3801" stopIfTrue="1">
      <formula>AND($D9&lt;&gt;"SI",$E9&lt;24)</formula>
    </cfRule>
  </conditionalFormatting>
  <conditionalFormatting sqref="F9:F14">
    <cfRule type="expression" dxfId="1319" priority="3800" stopIfTrue="1">
      <formula>AND($D9&lt;&gt;"SI",$E9&lt;24)</formula>
    </cfRule>
  </conditionalFormatting>
  <conditionalFormatting sqref="F9:F14">
    <cfRule type="expression" dxfId="1318" priority="3799" stopIfTrue="1">
      <formula>AND($D9&lt;&gt;"SI",$E9&lt;24)</formula>
    </cfRule>
  </conditionalFormatting>
  <conditionalFormatting sqref="F9:F14">
    <cfRule type="expression" dxfId="1317" priority="3798" stopIfTrue="1">
      <formula>AND($D9&lt;&gt;"SI",$E9&lt;24)</formula>
    </cfRule>
  </conditionalFormatting>
  <conditionalFormatting sqref="F26">
    <cfRule type="expression" dxfId="1316" priority="3797" stopIfTrue="1">
      <formula>AND($D26&lt;&gt;"SI",$E26&lt;24)</formula>
    </cfRule>
  </conditionalFormatting>
  <conditionalFormatting sqref="F26">
    <cfRule type="expression" dxfId="1315" priority="3796" stopIfTrue="1">
      <formula>AND($D26&lt;&gt;"SI",$E26&lt;24)</formula>
    </cfRule>
  </conditionalFormatting>
  <conditionalFormatting sqref="F26">
    <cfRule type="expression" dxfId="1314" priority="3795" stopIfTrue="1">
      <formula>AND($D26&lt;&gt;"SI",$E26&lt;24)</formula>
    </cfRule>
  </conditionalFormatting>
  <conditionalFormatting sqref="F26">
    <cfRule type="expression" dxfId="1313" priority="3794" stopIfTrue="1">
      <formula>AND($D26&lt;&gt;"SI",$E26&lt;24)</formula>
    </cfRule>
  </conditionalFormatting>
  <conditionalFormatting sqref="F26">
    <cfRule type="expression" dxfId="1312" priority="3793" stopIfTrue="1">
      <formula>AND($D26&lt;&gt;"SI",$E26&lt;24)</formula>
    </cfRule>
  </conditionalFormatting>
  <conditionalFormatting sqref="F26">
    <cfRule type="expression" dxfId="1311" priority="3792" stopIfTrue="1">
      <formula>AND($D26&lt;&gt;"SI",$E26&lt;24)</formula>
    </cfRule>
  </conditionalFormatting>
  <conditionalFormatting sqref="F26">
    <cfRule type="expression" dxfId="1310" priority="3791" stopIfTrue="1">
      <formula>AND($D26&lt;&gt;"SI",$E26&lt;24)</formula>
    </cfRule>
  </conditionalFormatting>
  <conditionalFormatting sqref="F26">
    <cfRule type="expression" dxfId="1309" priority="3790" stopIfTrue="1">
      <formula>AND($D26&lt;&gt;"SI",$E26&lt;24)</formula>
    </cfRule>
  </conditionalFormatting>
  <conditionalFormatting sqref="F26">
    <cfRule type="expression" dxfId="1308" priority="3789" stopIfTrue="1">
      <formula>AND($D26&lt;&gt;"SI",$E26&lt;24)</formula>
    </cfRule>
  </conditionalFormatting>
  <conditionalFormatting sqref="F26">
    <cfRule type="expression" dxfId="1307" priority="3788" stopIfTrue="1">
      <formula>AND($D26&lt;&gt;"SI",$E26&lt;24)</formula>
    </cfRule>
  </conditionalFormatting>
  <conditionalFormatting sqref="F26">
    <cfRule type="expression" dxfId="1306" priority="3787" stopIfTrue="1">
      <formula>AND($D26&lt;&gt;"SI",$E26&lt;24)</formula>
    </cfRule>
  </conditionalFormatting>
  <conditionalFormatting sqref="F26">
    <cfRule type="expression" dxfId="1305" priority="3786" stopIfTrue="1">
      <formula>AND($D26&lt;&gt;"SI",$E26&lt;24)</formula>
    </cfRule>
  </conditionalFormatting>
  <conditionalFormatting sqref="F26">
    <cfRule type="expression" dxfId="1304" priority="3785" stopIfTrue="1">
      <formula>AND($D26&lt;&gt;"SI",$E26&lt;24)</formula>
    </cfRule>
  </conditionalFormatting>
  <conditionalFormatting sqref="F26">
    <cfRule type="expression" dxfId="1303" priority="3784" stopIfTrue="1">
      <formula>AND($D26&lt;&gt;"SI",$E26&lt;24)</formula>
    </cfRule>
  </conditionalFormatting>
  <conditionalFormatting sqref="F26">
    <cfRule type="expression" dxfId="1302" priority="3783" stopIfTrue="1">
      <formula>AND($D26&lt;&gt;"SI",$E26&lt;24)</formula>
    </cfRule>
  </conditionalFormatting>
  <conditionalFormatting sqref="F26">
    <cfRule type="expression" dxfId="1301" priority="3782" stopIfTrue="1">
      <formula>AND($D26&lt;&gt;"SI",$E26&lt;24)</formula>
    </cfRule>
  </conditionalFormatting>
  <conditionalFormatting sqref="F26">
    <cfRule type="expression" dxfId="1300" priority="3781" stopIfTrue="1">
      <formula>AND($D26&lt;&gt;"SI",$E26&lt;24)</formula>
    </cfRule>
  </conditionalFormatting>
  <conditionalFormatting sqref="F26">
    <cfRule type="expression" dxfId="1299" priority="3780" stopIfTrue="1">
      <formula>AND($D26&lt;&gt;"SI",$E26&lt;24)</formula>
    </cfRule>
  </conditionalFormatting>
  <conditionalFormatting sqref="F26">
    <cfRule type="expression" dxfId="1298" priority="3779" stopIfTrue="1">
      <formula>AND($D26&lt;&gt;"SI",$E26&lt;24)</formula>
    </cfRule>
  </conditionalFormatting>
  <conditionalFormatting sqref="F26">
    <cfRule type="expression" dxfId="1297" priority="3778" stopIfTrue="1">
      <formula>AND($D26&lt;&gt;"SI",$E26&lt;24)</formula>
    </cfRule>
  </conditionalFormatting>
  <conditionalFormatting sqref="F26">
    <cfRule type="expression" dxfId="1296" priority="3777" stopIfTrue="1">
      <formula>AND($D26&lt;&gt;"SI",$E26&lt;24)</formula>
    </cfRule>
  </conditionalFormatting>
  <conditionalFormatting sqref="F26">
    <cfRule type="expression" dxfId="1295" priority="3776" stopIfTrue="1">
      <formula>AND($D26&lt;&gt;"SI",$E26&lt;24)</formula>
    </cfRule>
  </conditionalFormatting>
  <conditionalFormatting sqref="F26">
    <cfRule type="expression" dxfId="1294" priority="3775" stopIfTrue="1">
      <formula>AND($D26&lt;&gt;"SI",$E26&lt;24)</formula>
    </cfRule>
  </conditionalFormatting>
  <conditionalFormatting sqref="F26">
    <cfRule type="expression" dxfId="1293" priority="3774" stopIfTrue="1">
      <formula>AND($D26&lt;&gt;"SI",$E26&lt;24)</formula>
    </cfRule>
  </conditionalFormatting>
  <conditionalFormatting sqref="F26">
    <cfRule type="expression" dxfId="1292" priority="3773" stopIfTrue="1">
      <formula>AND($D26&lt;&gt;"SI",$E26&lt;24)</formula>
    </cfRule>
  </conditionalFormatting>
  <conditionalFormatting sqref="F26">
    <cfRule type="expression" dxfId="1291" priority="3772" stopIfTrue="1">
      <formula>AND($D26&lt;&gt;"SI",$E26&lt;24)</formula>
    </cfRule>
  </conditionalFormatting>
  <conditionalFormatting sqref="F26">
    <cfRule type="expression" dxfId="1290" priority="3771" stopIfTrue="1">
      <formula>AND($D26&lt;&gt;"SI",$E26&lt;24)</formula>
    </cfRule>
  </conditionalFormatting>
  <conditionalFormatting sqref="F26">
    <cfRule type="expression" dxfId="1289" priority="3770" stopIfTrue="1">
      <formula>AND($D26&lt;&gt;"SI",$E26&lt;24)</formula>
    </cfRule>
  </conditionalFormatting>
  <conditionalFormatting sqref="F26">
    <cfRule type="expression" dxfId="1288" priority="3769" stopIfTrue="1">
      <formula>AND($D26&lt;&gt;"SI",$E26&lt;24)</formula>
    </cfRule>
  </conditionalFormatting>
  <conditionalFormatting sqref="F26">
    <cfRule type="expression" dxfId="1287" priority="3768" stopIfTrue="1">
      <formula>AND($D26&lt;&gt;"SI",$E26&lt;24)</formula>
    </cfRule>
  </conditionalFormatting>
  <conditionalFormatting sqref="F26">
    <cfRule type="expression" dxfId="1286" priority="3767" stopIfTrue="1">
      <formula>AND($D26&lt;&gt;"SI",$E26&lt;24)</formula>
    </cfRule>
  </conditionalFormatting>
  <conditionalFormatting sqref="F26">
    <cfRule type="expression" dxfId="1285" priority="3766" stopIfTrue="1">
      <formula>AND($D26&lt;&gt;"SI",$E26&lt;24)</formula>
    </cfRule>
  </conditionalFormatting>
  <conditionalFormatting sqref="F26">
    <cfRule type="expression" dxfId="1284" priority="3765" stopIfTrue="1">
      <formula>AND($D26&lt;&gt;"SI",$E26&lt;24)</formula>
    </cfRule>
  </conditionalFormatting>
  <conditionalFormatting sqref="F26">
    <cfRule type="expression" dxfId="1283" priority="3764" stopIfTrue="1">
      <formula>AND($D26&lt;&gt;"SI",$E26&lt;24)</formula>
    </cfRule>
  </conditionalFormatting>
  <conditionalFormatting sqref="F26">
    <cfRule type="expression" dxfId="1282" priority="3763" stopIfTrue="1">
      <formula>AND($D26&lt;&gt;"SI",$E26&lt;24)</formula>
    </cfRule>
  </conditionalFormatting>
  <conditionalFormatting sqref="F26">
    <cfRule type="expression" dxfId="1281" priority="3762" stopIfTrue="1">
      <formula>AND($D26&lt;&gt;"SI",$E26&lt;24)</formula>
    </cfRule>
  </conditionalFormatting>
  <conditionalFormatting sqref="F26">
    <cfRule type="expression" dxfId="1280" priority="3761" stopIfTrue="1">
      <formula>AND($D26&lt;&gt;"SI",$E26&lt;24)</formula>
    </cfRule>
  </conditionalFormatting>
  <conditionalFormatting sqref="F26">
    <cfRule type="expression" dxfId="1279" priority="3760" stopIfTrue="1">
      <formula>AND($D26&lt;&gt;"SI",$E26&lt;24)</formula>
    </cfRule>
  </conditionalFormatting>
  <conditionalFormatting sqref="F26">
    <cfRule type="expression" dxfId="1278" priority="3759" stopIfTrue="1">
      <formula>AND($D26&lt;&gt;"SI",$E26&lt;24)</formula>
    </cfRule>
  </conditionalFormatting>
  <conditionalFormatting sqref="F26">
    <cfRule type="expression" dxfId="1277" priority="3758" stopIfTrue="1">
      <formula>AND($D26&lt;&gt;"SI",$E26&lt;24)</formula>
    </cfRule>
  </conditionalFormatting>
  <conditionalFormatting sqref="F26">
    <cfRule type="expression" dxfId="1276" priority="3757" stopIfTrue="1">
      <formula>AND($D26&lt;&gt;"SI",$E26&lt;24)</formula>
    </cfRule>
  </conditionalFormatting>
  <conditionalFormatting sqref="F26">
    <cfRule type="expression" dxfId="1275" priority="3756" stopIfTrue="1">
      <formula>AND($D26&lt;&gt;"SI",$E26&lt;24)</formula>
    </cfRule>
  </conditionalFormatting>
  <conditionalFormatting sqref="F26">
    <cfRule type="expression" dxfId="1274" priority="3755" stopIfTrue="1">
      <formula>AND($D26&lt;&gt;"SI",$E26&lt;24)</formula>
    </cfRule>
  </conditionalFormatting>
  <conditionalFormatting sqref="F26">
    <cfRule type="expression" dxfId="1273" priority="3754" stopIfTrue="1">
      <formula>AND($D26&lt;&gt;"SI",$E26&lt;24)</formula>
    </cfRule>
  </conditionalFormatting>
  <conditionalFormatting sqref="F26">
    <cfRule type="expression" dxfId="1272" priority="3753" stopIfTrue="1">
      <formula>AND($D26&lt;&gt;"SI",$E26&lt;24)</formula>
    </cfRule>
  </conditionalFormatting>
  <conditionalFormatting sqref="F26">
    <cfRule type="expression" dxfId="1271" priority="3752" stopIfTrue="1">
      <formula>AND($D26&lt;&gt;"SI",$E26&lt;24)</formula>
    </cfRule>
  </conditionalFormatting>
  <conditionalFormatting sqref="F30">
    <cfRule type="expression" dxfId="1270" priority="3751" stopIfTrue="1">
      <formula>AND($D30&lt;&gt;"SI",$E30&lt;24)</formula>
    </cfRule>
  </conditionalFormatting>
  <conditionalFormatting sqref="F30">
    <cfRule type="expression" dxfId="1269" priority="3750" stopIfTrue="1">
      <formula>AND($D30&lt;&gt;"SI",$E30&lt;24)</formula>
    </cfRule>
  </conditionalFormatting>
  <conditionalFormatting sqref="F30">
    <cfRule type="expression" dxfId="1268" priority="3749" stopIfTrue="1">
      <formula>AND($D30&lt;&gt;"SI",$E30&lt;24)</formula>
    </cfRule>
  </conditionalFormatting>
  <conditionalFormatting sqref="F30">
    <cfRule type="expression" dxfId="1267" priority="3748" stopIfTrue="1">
      <formula>AND($D30&lt;&gt;"SI",$E30&lt;24)</formula>
    </cfRule>
  </conditionalFormatting>
  <conditionalFormatting sqref="F30">
    <cfRule type="expression" dxfId="1266" priority="3747" stopIfTrue="1">
      <formula>AND($D30&lt;&gt;"SI",$E30&lt;24)</formula>
    </cfRule>
  </conditionalFormatting>
  <conditionalFormatting sqref="F30">
    <cfRule type="expression" dxfId="1265" priority="3746" stopIfTrue="1">
      <formula>AND($D30&lt;&gt;"SI",$E30&lt;24)</formula>
    </cfRule>
  </conditionalFormatting>
  <conditionalFormatting sqref="F30">
    <cfRule type="expression" dxfId="1264" priority="3745" stopIfTrue="1">
      <formula>AND($D30&lt;&gt;"SI",$E30&lt;24)</formula>
    </cfRule>
  </conditionalFormatting>
  <conditionalFormatting sqref="F30">
    <cfRule type="expression" dxfId="1263" priority="3744" stopIfTrue="1">
      <formula>AND($D30&lt;&gt;"SI",$E30&lt;24)</formula>
    </cfRule>
  </conditionalFormatting>
  <conditionalFormatting sqref="F30">
    <cfRule type="expression" dxfId="1262" priority="3743" stopIfTrue="1">
      <formula>AND($D30&lt;&gt;"SI",$E30&lt;24)</formula>
    </cfRule>
  </conditionalFormatting>
  <conditionalFormatting sqref="F30">
    <cfRule type="expression" dxfId="1261" priority="3742" stopIfTrue="1">
      <formula>AND($D30&lt;&gt;"SI",$E30&lt;24)</formula>
    </cfRule>
  </conditionalFormatting>
  <conditionalFormatting sqref="F30">
    <cfRule type="expression" dxfId="1260" priority="3741" stopIfTrue="1">
      <formula>AND($D30&lt;&gt;"SI",$E30&lt;24)</formula>
    </cfRule>
  </conditionalFormatting>
  <conditionalFormatting sqref="F30">
    <cfRule type="expression" dxfId="1259" priority="3740" stopIfTrue="1">
      <formula>AND($D30&lt;&gt;"SI",$E30&lt;24)</formula>
    </cfRule>
  </conditionalFormatting>
  <conditionalFormatting sqref="F30">
    <cfRule type="expression" dxfId="1258" priority="3739" stopIfTrue="1">
      <formula>AND($D30&lt;&gt;"SI",$E30&lt;24)</formula>
    </cfRule>
  </conditionalFormatting>
  <conditionalFormatting sqref="F30">
    <cfRule type="expression" dxfId="1257" priority="3738" stopIfTrue="1">
      <formula>AND($D30&lt;&gt;"SI",$E30&lt;24)</formula>
    </cfRule>
  </conditionalFormatting>
  <conditionalFormatting sqref="F30">
    <cfRule type="expression" dxfId="1256" priority="3737" stopIfTrue="1">
      <formula>AND($D30&lt;&gt;"SI",$E30&lt;24)</formula>
    </cfRule>
  </conditionalFormatting>
  <conditionalFormatting sqref="F30">
    <cfRule type="expression" dxfId="1255" priority="3736" stopIfTrue="1">
      <formula>AND($D30&lt;&gt;"SI",$E30&lt;24)</formula>
    </cfRule>
  </conditionalFormatting>
  <conditionalFormatting sqref="F30">
    <cfRule type="expression" dxfId="1254" priority="3735" stopIfTrue="1">
      <formula>AND($D30&lt;&gt;"SI",$E30&lt;24)</formula>
    </cfRule>
  </conditionalFormatting>
  <conditionalFormatting sqref="F30">
    <cfRule type="expression" dxfId="1253" priority="3734" stopIfTrue="1">
      <formula>AND($D30&lt;&gt;"SI",$E30&lt;24)</formula>
    </cfRule>
  </conditionalFormatting>
  <conditionalFormatting sqref="F30">
    <cfRule type="expression" dxfId="1252" priority="3733" stopIfTrue="1">
      <formula>AND($D30&lt;&gt;"SI",$E30&lt;24)</formula>
    </cfRule>
  </conditionalFormatting>
  <conditionalFormatting sqref="F30">
    <cfRule type="expression" dxfId="1251" priority="3732" stopIfTrue="1">
      <formula>AND($D30&lt;&gt;"SI",$E30&lt;24)</formula>
    </cfRule>
  </conditionalFormatting>
  <conditionalFormatting sqref="F30">
    <cfRule type="expression" dxfId="1250" priority="3731" stopIfTrue="1">
      <formula>AND($D30&lt;&gt;"SI",$E30&lt;24)</formula>
    </cfRule>
  </conditionalFormatting>
  <conditionalFormatting sqref="F30">
    <cfRule type="expression" dxfId="1249" priority="3730" stopIfTrue="1">
      <formula>AND($D30&lt;&gt;"SI",$E30&lt;24)</formula>
    </cfRule>
  </conditionalFormatting>
  <conditionalFormatting sqref="F30">
    <cfRule type="expression" dxfId="1248" priority="3729" stopIfTrue="1">
      <formula>AND($D30&lt;&gt;"SI",$E30&lt;24)</formula>
    </cfRule>
  </conditionalFormatting>
  <conditionalFormatting sqref="F31:F34">
    <cfRule type="expression" dxfId="1247" priority="3728" stopIfTrue="1">
      <formula>AND($D31&lt;&gt;"SI",$E31&lt;24)</formula>
    </cfRule>
  </conditionalFormatting>
  <conditionalFormatting sqref="F31:F34">
    <cfRule type="expression" dxfId="1246" priority="3727" stopIfTrue="1">
      <formula>AND($D31&lt;&gt;"SI",$E31&lt;24)</formula>
    </cfRule>
  </conditionalFormatting>
  <conditionalFormatting sqref="F31:F34">
    <cfRule type="expression" dxfId="1245" priority="3726" stopIfTrue="1">
      <formula>AND($D31&lt;&gt;"SI",$E31&lt;24)</formula>
    </cfRule>
  </conditionalFormatting>
  <conditionalFormatting sqref="F31:F34">
    <cfRule type="expression" dxfId="1244" priority="3725" stopIfTrue="1">
      <formula>AND($D31&lt;&gt;"SI",$E31&lt;24)</formula>
    </cfRule>
  </conditionalFormatting>
  <conditionalFormatting sqref="F31:F34">
    <cfRule type="expression" dxfId="1243" priority="3724" stopIfTrue="1">
      <formula>AND($D31&lt;&gt;"SI",$E31&lt;24)</formula>
    </cfRule>
  </conditionalFormatting>
  <conditionalFormatting sqref="F31:F34">
    <cfRule type="expression" dxfId="1242" priority="3723" stopIfTrue="1">
      <formula>AND($D31&lt;&gt;"SI",$E31&lt;24)</formula>
    </cfRule>
  </conditionalFormatting>
  <conditionalFormatting sqref="F31:F34">
    <cfRule type="expression" dxfId="1241" priority="3722" stopIfTrue="1">
      <formula>AND($D31&lt;&gt;"SI",$E31&lt;24)</formula>
    </cfRule>
  </conditionalFormatting>
  <conditionalFormatting sqref="F31:F34">
    <cfRule type="expression" dxfId="1240" priority="3721" stopIfTrue="1">
      <formula>AND($D31&lt;&gt;"SI",$E31&lt;24)</formula>
    </cfRule>
  </conditionalFormatting>
  <conditionalFormatting sqref="F31:F34">
    <cfRule type="expression" dxfId="1239" priority="3720" stopIfTrue="1">
      <formula>AND($D31&lt;&gt;"SI",$E31&lt;24)</formula>
    </cfRule>
  </conditionalFormatting>
  <conditionalFormatting sqref="F31:F34">
    <cfRule type="expression" dxfId="1238" priority="3719" stopIfTrue="1">
      <formula>AND($D31&lt;&gt;"SI",$E31&lt;24)</formula>
    </cfRule>
  </conditionalFormatting>
  <conditionalFormatting sqref="F31:F34">
    <cfRule type="expression" dxfId="1237" priority="3718" stopIfTrue="1">
      <formula>AND($D31&lt;&gt;"SI",$E31&lt;24)</formula>
    </cfRule>
  </conditionalFormatting>
  <conditionalFormatting sqref="F31:F34">
    <cfRule type="expression" dxfId="1236" priority="3717" stopIfTrue="1">
      <formula>AND($D31&lt;&gt;"SI",$E31&lt;24)</formula>
    </cfRule>
  </conditionalFormatting>
  <conditionalFormatting sqref="F31:F34">
    <cfRule type="expression" dxfId="1235" priority="3716" stopIfTrue="1">
      <formula>AND($D31&lt;&gt;"SI",$E31&lt;24)</formula>
    </cfRule>
  </conditionalFormatting>
  <conditionalFormatting sqref="F31:F34">
    <cfRule type="expression" dxfId="1234" priority="3715" stopIfTrue="1">
      <formula>AND($D31&lt;&gt;"SI",$E31&lt;24)</formula>
    </cfRule>
  </conditionalFormatting>
  <conditionalFormatting sqref="F31:F34">
    <cfRule type="expression" dxfId="1233" priority="3714" stopIfTrue="1">
      <formula>AND($D31&lt;&gt;"SI",$E31&lt;24)</formula>
    </cfRule>
  </conditionalFormatting>
  <conditionalFormatting sqref="F31:F34">
    <cfRule type="expression" dxfId="1232" priority="3713" stopIfTrue="1">
      <formula>AND($D31&lt;&gt;"SI",$E31&lt;24)</formula>
    </cfRule>
  </conditionalFormatting>
  <conditionalFormatting sqref="F31:F34">
    <cfRule type="expression" dxfId="1231" priority="3712" stopIfTrue="1">
      <formula>AND($D31&lt;&gt;"SI",$E31&lt;24)</formula>
    </cfRule>
  </conditionalFormatting>
  <conditionalFormatting sqref="F31:F34">
    <cfRule type="expression" dxfId="1230" priority="3711" stopIfTrue="1">
      <formula>AND($D31&lt;&gt;"SI",$E31&lt;24)</formula>
    </cfRule>
  </conditionalFormatting>
  <conditionalFormatting sqref="F31:F34">
    <cfRule type="expression" dxfId="1229" priority="3710" stopIfTrue="1">
      <formula>AND($D31&lt;&gt;"SI",$E31&lt;24)</formula>
    </cfRule>
  </conditionalFormatting>
  <conditionalFormatting sqref="F31:F34">
    <cfRule type="expression" dxfId="1228" priority="3709" stopIfTrue="1">
      <formula>AND($D31&lt;&gt;"SI",$E31&lt;24)</formula>
    </cfRule>
  </conditionalFormatting>
  <conditionalFormatting sqref="F31:F34">
    <cfRule type="expression" dxfId="1227" priority="3708" stopIfTrue="1">
      <formula>AND($D31&lt;&gt;"SI",$E31&lt;24)</formula>
    </cfRule>
  </conditionalFormatting>
  <conditionalFormatting sqref="F31:F34">
    <cfRule type="expression" dxfId="1226" priority="3707" stopIfTrue="1">
      <formula>AND($D31&lt;&gt;"SI",$E31&lt;24)</formula>
    </cfRule>
  </conditionalFormatting>
  <conditionalFormatting sqref="F31:F34">
    <cfRule type="expression" dxfId="1225" priority="3706" stopIfTrue="1">
      <formula>AND($D31&lt;&gt;"SI",$E31&lt;24)</formula>
    </cfRule>
  </conditionalFormatting>
  <conditionalFormatting sqref="F8">
    <cfRule type="expression" dxfId="1224" priority="3659" stopIfTrue="1">
      <formula>AND($D8&lt;&gt;"SI",$E8&lt;24)</formula>
    </cfRule>
  </conditionalFormatting>
  <conditionalFormatting sqref="F8">
    <cfRule type="expression" dxfId="1223" priority="3658" stopIfTrue="1">
      <formula>AND($D8&lt;&gt;"SI",$E8&lt;24)</formula>
    </cfRule>
  </conditionalFormatting>
  <conditionalFormatting sqref="F8">
    <cfRule type="expression" dxfId="1222" priority="3657" stopIfTrue="1">
      <formula>AND($D8&lt;&gt;"SI",$E8&lt;24)</formula>
    </cfRule>
  </conditionalFormatting>
  <conditionalFormatting sqref="F8">
    <cfRule type="expression" dxfId="1221" priority="3656" stopIfTrue="1">
      <formula>AND($D8&lt;&gt;"SI",$E8&lt;24)</formula>
    </cfRule>
  </conditionalFormatting>
  <conditionalFormatting sqref="F8">
    <cfRule type="expression" dxfId="1220" priority="3655" stopIfTrue="1">
      <formula>AND($D8&lt;&gt;"SI",$E8&lt;24)</formula>
    </cfRule>
  </conditionalFormatting>
  <conditionalFormatting sqref="F8">
    <cfRule type="expression" dxfId="1219" priority="3654" stopIfTrue="1">
      <formula>AND($D8&lt;&gt;"SI",$E8&lt;24)</formula>
    </cfRule>
  </conditionalFormatting>
  <conditionalFormatting sqref="F8">
    <cfRule type="expression" dxfId="1218" priority="3653" stopIfTrue="1">
      <formula>AND($D8&lt;&gt;"SI",$E8&lt;24)</formula>
    </cfRule>
  </conditionalFormatting>
  <conditionalFormatting sqref="F8">
    <cfRule type="expression" dxfId="1217" priority="3652" stopIfTrue="1">
      <formula>AND($D8&lt;&gt;"SI",$E8&lt;24)</formula>
    </cfRule>
  </conditionalFormatting>
  <conditionalFormatting sqref="F8">
    <cfRule type="expression" dxfId="1216" priority="3651" stopIfTrue="1">
      <formula>AND($D8&lt;&gt;"SI",$E8&lt;24)</formula>
    </cfRule>
  </conditionalFormatting>
  <conditionalFormatting sqref="F8">
    <cfRule type="expression" dxfId="1215" priority="3650" stopIfTrue="1">
      <formula>AND($D8&lt;&gt;"SI",$E8&lt;24)</formula>
    </cfRule>
  </conditionalFormatting>
  <conditionalFormatting sqref="F8">
    <cfRule type="expression" dxfId="1214" priority="3649" stopIfTrue="1">
      <formula>AND($D8&lt;&gt;"SI",$E8&lt;24)</formula>
    </cfRule>
  </conditionalFormatting>
  <conditionalFormatting sqref="F8">
    <cfRule type="expression" dxfId="1213" priority="3648" stopIfTrue="1">
      <formula>AND($D8&lt;&gt;"SI",$E8&lt;24)</formula>
    </cfRule>
  </conditionalFormatting>
  <conditionalFormatting sqref="F8">
    <cfRule type="expression" dxfId="1212" priority="3647" stopIfTrue="1">
      <formula>AND($D8&lt;&gt;"SI",$E8&lt;24)</formula>
    </cfRule>
  </conditionalFormatting>
  <conditionalFormatting sqref="F8">
    <cfRule type="expression" dxfId="1211" priority="3646" stopIfTrue="1">
      <formula>AND($D8&lt;&gt;"SI",$E8&lt;24)</formula>
    </cfRule>
  </conditionalFormatting>
  <conditionalFormatting sqref="F8">
    <cfRule type="expression" dxfId="1210" priority="3645" stopIfTrue="1">
      <formula>AND($D8&lt;&gt;"SI",$E8&lt;24)</formula>
    </cfRule>
  </conditionalFormatting>
  <conditionalFormatting sqref="F8">
    <cfRule type="expression" dxfId="1209" priority="3644" stopIfTrue="1">
      <formula>AND($D8&lt;&gt;"SI",$E8&lt;24)</formula>
    </cfRule>
  </conditionalFormatting>
  <conditionalFormatting sqref="F8">
    <cfRule type="expression" dxfId="1208" priority="3643" stopIfTrue="1">
      <formula>AND($D8&lt;&gt;"SI",$E8&lt;24)</formula>
    </cfRule>
  </conditionalFormatting>
  <conditionalFormatting sqref="F8">
    <cfRule type="expression" dxfId="1207" priority="3642" stopIfTrue="1">
      <formula>AND($D8&lt;&gt;"SI",$E8&lt;24)</formula>
    </cfRule>
  </conditionalFormatting>
  <conditionalFormatting sqref="F8">
    <cfRule type="expression" dxfId="1206" priority="3641" stopIfTrue="1">
      <formula>AND($D8&lt;&gt;"SI",$E8&lt;24)</formula>
    </cfRule>
  </conditionalFormatting>
  <conditionalFormatting sqref="F8">
    <cfRule type="expression" dxfId="1205" priority="3640" stopIfTrue="1">
      <formula>AND($D8&lt;&gt;"SI",$E8&lt;24)</formula>
    </cfRule>
  </conditionalFormatting>
  <conditionalFormatting sqref="F8">
    <cfRule type="expression" dxfId="1204" priority="3639" stopIfTrue="1">
      <formula>AND($D8&lt;&gt;"SI",$E8&lt;24)</formula>
    </cfRule>
  </conditionalFormatting>
  <conditionalFormatting sqref="F8">
    <cfRule type="expression" dxfId="1203" priority="3638" stopIfTrue="1">
      <formula>AND($D8&lt;&gt;"SI",$E8&lt;24)</formula>
    </cfRule>
  </conditionalFormatting>
  <conditionalFormatting sqref="F8">
    <cfRule type="expression" dxfId="1202" priority="3637" stopIfTrue="1">
      <formula>AND($D8&lt;&gt;"SI",$E8&lt;24)</formula>
    </cfRule>
  </conditionalFormatting>
  <conditionalFormatting sqref="F15">
    <cfRule type="expression" dxfId="1201" priority="3636" stopIfTrue="1">
      <formula>AND($D15&lt;&gt;"SI",$E15&lt;24)</formula>
    </cfRule>
  </conditionalFormatting>
  <conditionalFormatting sqref="F15">
    <cfRule type="expression" dxfId="1200" priority="3635" stopIfTrue="1">
      <formula>AND($D15&lt;&gt;"SI",$E15&lt;24)</formula>
    </cfRule>
  </conditionalFormatting>
  <conditionalFormatting sqref="F15">
    <cfRule type="expression" dxfId="1199" priority="3634" stopIfTrue="1">
      <formula>AND($D15&lt;&gt;"SI",$E15&lt;24)</formula>
    </cfRule>
  </conditionalFormatting>
  <conditionalFormatting sqref="F15">
    <cfRule type="expression" dxfId="1198" priority="3633" stopIfTrue="1">
      <formula>AND($D15&lt;&gt;"SI",$E15&lt;24)</formula>
    </cfRule>
  </conditionalFormatting>
  <conditionalFormatting sqref="F15">
    <cfRule type="expression" dxfId="1197" priority="3632" stopIfTrue="1">
      <formula>AND($D15&lt;&gt;"SI",$E15&lt;24)</formula>
    </cfRule>
  </conditionalFormatting>
  <conditionalFormatting sqref="F15">
    <cfRule type="expression" dxfId="1196" priority="3631" stopIfTrue="1">
      <formula>AND($D15&lt;&gt;"SI",$E15&lt;24)</formula>
    </cfRule>
  </conditionalFormatting>
  <conditionalFormatting sqref="F15">
    <cfRule type="expression" dxfId="1195" priority="3630" stopIfTrue="1">
      <formula>AND($D15&lt;&gt;"SI",$E15&lt;24)</formula>
    </cfRule>
  </conditionalFormatting>
  <conditionalFormatting sqref="F15">
    <cfRule type="expression" dxfId="1194" priority="3629" stopIfTrue="1">
      <formula>AND($D15&lt;&gt;"SI",$E15&lt;24)</formula>
    </cfRule>
  </conditionalFormatting>
  <conditionalFormatting sqref="F15">
    <cfRule type="expression" dxfId="1193" priority="3628" stopIfTrue="1">
      <formula>AND($D15&lt;&gt;"SI",$E15&lt;24)</formula>
    </cfRule>
  </conditionalFormatting>
  <conditionalFormatting sqref="F15">
    <cfRule type="expression" dxfId="1192" priority="3627" stopIfTrue="1">
      <formula>AND($D15&lt;&gt;"SI",$E15&lt;24)</formula>
    </cfRule>
  </conditionalFormatting>
  <conditionalFormatting sqref="F15">
    <cfRule type="expression" dxfId="1191" priority="3626" stopIfTrue="1">
      <formula>AND($D15&lt;&gt;"SI",$E15&lt;24)</formula>
    </cfRule>
  </conditionalFormatting>
  <conditionalFormatting sqref="F15">
    <cfRule type="expression" dxfId="1190" priority="3625" stopIfTrue="1">
      <formula>AND($D15&lt;&gt;"SI",$E15&lt;24)</formula>
    </cfRule>
  </conditionalFormatting>
  <conditionalFormatting sqref="F15">
    <cfRule type="expression" dxfId="1189" priority="3624" stopIfTrue="1">
      <formula>AND($D15&lt;&gt;"SI",$E15&lt;24)</formula>
    </cfRule>
  </conditionalFormatting>
  <conditionalFormatting sqref="F15">
    <cfRule type="expression" dxfId="1188" priority="3623" stopIfTrue="1">
      <formula>AND($D15&lt;&gt;"SI",$E15&lt;24)</formula>
    </cfRule>
  </conditionalFormatting>
  <conditionalFormatting sqref="F15">
    <cfRule type="expression" dxfId="1187" priority="3622" stopIfTrue="1">
      <formula>AND($D15&lt;&gt;"SI",$E15&lt;24)</formula>
    </cfRule>
  </conditionalFormatting>
  <conditionalFormatting sqref="F15">
    <cfRule type="expression" dxfId="1186" priority="3621" stopIfTrue="1">
      <formula>AND($D15&lt;&gt;"SI",$E15&lt;24)</formula>
    </cfRule>
  </conditionalFormatting>
  <conditionalFormatting sqref="F15">
    <cfRule type="expression" dxfId="1185" priority="3620" stopIfTrue="1">
      <formula>AND($D15&lt;&gt;"SI",$E15&lt;24)</formula>
    </cfRule>
  </conditionalFormatting>
  <conditionalFormatting sqref="F15">
    <cfRule type="expression" dxfId="1184" priority="3619" stopIfTrue="1">
      <formula>AND($D15&lt;&gt;"SI",$E15&lt;24)</formula>
    </cfRule>
  </conditionalFormatting>
  <conditionalFormatting sqref="F15">
    <cfRule type="expression" dxfId="1183" priority="3618" stopIfTrue="1">
      <formula>AND($D15&lt;&gt;"SI",$E15&lt;24)</formula>
    </cfRule>
  </conditionalFormatting>
  <conditionalFormatting sqref="F15">
    <cfRule type="expression" dxfId="1182" priority="3617" stopIfTrue="1">
      <formula>AND($D15&lt;&gt;"SI",$E15&lt;24)</formula>
    </cfRule>
  </conditionalFormatting>
  <conditionalFormatting sqref="F15">
    <cfRule type="expression" dxfId="1181" priority="3616" stopIfTrue="1">
      <formula>AND($D15&lt;&gt;"SI",$E15&lt;24)</formula>
    </cfRule>
  </conditionalFormatting>
  <conditionalFormatting sqref="F15">
    <cfRule type="expression" dxfId="1180" priority="3615" stopIfTrue="1">
      <formula>AND($D15&lt;&gt;"SI",$E15&lt;24)</formula>
    </cfRule>
  </conditionalFormatting>
  <conditionalFormatting sqref="F15">
    <cfRule type="expression" dxfId="1179" priority="3614" stopIfTrue="1">
      <formula>AND($D15&lt;&gt;"SI",$E15&lt;24)</formula>
    </cfRule>
  </conditionalFormatting>
  <conditionalFormatting sqref="F4">
    <cfRule type="expression" dxfId="1178" priority="3590" stopIfTrue="1">
      <formula>AND($D4&lt;&gt;"SI",$E4&lt;24)</formula>
    </cfRule>
  </conditionalFormatting>
  <conditionalFormatting sqref="F4">
    <cfRule type="expression" dxfId="1177" priority="3589" stopIfTrue="1">
      <formula>AND($D4&lt;&gt;"SI",$E4&lt;24)</formula>
    </cfRule>
  </conditionalFormatting>
  <conditionalFormatting sqref="F4">
    <cfRule type="expression" dxfId="1176" priority="3588" stopIfTrue="1">
      <formula>AND($D4&lt;&gt;"SI",$E4&lt;24)</formula>
    </cfRule>
  </conditionalFormatting>
  <conditionalFormatting sqref="F4">
    <cfRule type="expression" dxfId="1175" priority="3587" stopIfTrue="1">
      <formula>AND($D4&lt;&gt;"SI",$E4&lt;24)</formula>
    </cfRule>
  </conditionalFormatting>
  <conditionalFormatting sqref="F4">
    <cfRule type="expression" dxfId="1174" priority="3586" stopIfTrue="1">
      <formula>AND($D4&lt;&gt;"SI",$E4&lt;24)</formula>
    </cfRule>
  </conditionalFormatting>
  <conditionalFormatting sqref="F4">
    <cfRule type="expression" dxfId="1173" priority="3585" stopIfTrue="1">
      <formula>AND($D4&lt;&gt;"SI",$E4&lt;24)</formula>
    </cfRule>
  </conditionalFormatting>
  <conditionalFormatting sqref="F4">
    <cfRule type="expression" dxfId="1172" priority="3584" stopIfTrue="1">
      <formula>AND($D4&lt;&gt;"SI",$E4&lt;24)</formula>
    </cfRule>
  </conditionalFormatting>
  <conditionalFormatting sqref="F4">
    <cfRule type="expression" dxfId="1171" priority="3583" stopIfTrue="1">
      <formula>AND($D4&lt;&gt;"SI",$E4&lt;24)</formula>
    </cfRule>
  </conditionalFormatting>
  <conditionalFormatting sqref="F4">
    <cfRule type="expression" dxfId="1170" priority="3582" stopIfTrue="1">
      <formula>AND($D4&lt;&gt;"SI",$E4&lt;24)</formula>
    </cfRule>
  </conditionalFormatting>
  <conditionalFormatting sqref="F4">
    <cfRule type="expression" dxfId="1169" priority="3581" stopIfTrue="1">
      <formula>AND($D4&lt;&gt;"SI",$E4&lt;24)</formula>
    </cfRule>
  </conditionalFormatting>
  <conditionalFormatting sqref="F4">
    <cfRule type="expression" dxfId="1168" priority="3580" stopIfTrue="1">
      <formula>AND($D4&lt;&gt;"SI",$E4&lt;24)</formula>
    </cfRule>
  </conditionalFormatting>
  <conditionalFormatting sqref="F4">
    <cfRule type="expression" dxfId="1167" priority="3579" stopIfTrue="1">
      <formula>AND($D4&lt;&gt;"SI",$E4&lt;24)</formula>
    </cfRule>
  </conditionalFormatting>
  <conditionalFormatting sqref="F4">
    <cfRule type="expression" dxfId="1166" priority="3578" stopIfTrue="1">
      <formula>AND($D4&lt;&gt;"SI",$E4&lt;24)</formula>
    </cfRule>
  </conditionalFormatting>
  <conditionalFormatting sqref="F4">
    <cfRule type="expression" dxfId="1165" priority="3577" stopIfTrue="1">
      <formula>AND($D4&lt;&gt;"SI",$E4&lt;24)</formula>
    </cfRule>
  </conditionalFormatting>
  <conditionalFormatting sqref="F4">
    <cfRule type="expression" dxfId="1164" priority="3576" stopIfTrue="1">
      <formula>AND($D4&lt;&gt;"SI",$E4&lt;24)</formula>
    </cfRule>
  </conditionalFormatting>
  <conditionalFormatting sqref="F4">
    <cfRule type="expression" dxfId="1163" priority="3575" stopIfTrue="1">
      <formula>AND($D4&lt;&gt;"SI",$E4&lt;24)</formula>
    </cfRule>
  </conditionalFormatting>
  <conditionalFormatting sqref="F4">
    <cfRule type="expression" dxfId="1162" priority="3574" stopIfTrue="1">
      <formula>AND($D4&lt;&gt;"SI",$E4&lt;24)</formula>
    </cfRule>
  </conditionalFormatting>
  <conditionalFormatting sqref="F4">
    <cfRule type="expression" dxfId="1161" priority="3573" stopIfTrue="1">
      <formula>AND($D4&lt;&gt;"SI",$E4&lt;24)</formula>
    </cfRule>
  </conditionalFormatting>
  <conditionalFormatting sqref="F4">
    <cfRule type="expression" dxfId="1160" priority="3572" stopIfTrue="1">
      <formula>AND($D4&lt;&gt;"SI",$E4&lt;24)</formula>
    </cfRule>
  </conditionalFormatting>
  <conditionalFormatting sqref="F4">
    <cfRule type="expression" dxfId="1159" priority="3571" stopIfTrue="1">
      <formula>AND($D4&lt;&gt;"SI",$E4&lt;24)</formula>
    </cfRule>
  </conditionalFormatting>
  <conditionalFormatting sqref="F4">
    <cfRule type="expression" dxfId="1158" priority="3570" stopIfTrue="1">
      <formula>AND($D4&lt;&gt;"SI",$E4&lt;24)</formula>
    </cfRule>
  </conditionalFormatting>
  <conditionalFormatting sqref="F4">
    <cfRule type="expression" dxfId="1157" priority="3569" stopIfTrue="1">
      <formula>AND($D4&lt;&gt;"SI",$E4&lt;24)</formula>
    </cfRule>
  </conditionalFormatting>
  <conditionalFormatting sqref="F4">
    <cfRule type="expression" dxfId="1156" priority="3568" stopIfTrue="1">
      <formula>AND($D4&lt;&gt;"SI",$E4&lt;24)</formula>
    </cfRule>
  </conditionalFormatting>
  <conditionalFormatting sqref="F4">
    <cfRule type="expression" dxfId="1155" priority="3567" stopIfTrue="1">
      <formula>AND($D4&lt;&gt;"SI",$E4&lt;24)</formula>
    </cfRule>
  </conditionalFormatting>
  <conditionalFormatting sqref="F39">
    <cfRule type="expression" dxfId="1154" priority="3406" stopIfTrue="1">
      <formula>AND($D39&lt;&gt;"SI",$E39&lt;24)</formula>
    </cfRule>
  </conditionalFormatting>
  <conditionalFormatting sqref="F39">
    <cfRule type="expression" dxfId="1153" priority="3405" stopIfTrue="1">
      <formula>AND($D39&lt;&gt;"SI",$E39&lt;24)</formula>
    </cfRule>
  </conditionalFormatting>
  <conditionalFormatting sqref="F39">
    <cfRule type="expression" dxfId="1152" priority="3404" stopIfTrue="1">
      <formula>AND($D39&lt;&gt;"SI",$E39&lt;24)</formula>
    </cfRule>
  </conditionalFormatting>
  <conditionalFormatting sqref="F39">
    <cfRule type="expression" dxfId="1151" priority="3403" stopIfTrue="1">
      <formula>AND($D39&lt;&gt;"SI",$E39&lt;24)</formula>
    </cfRule>
  </conditionalFormatting>
  <conditionalFormatting sqref="F39">
    <cfRule type="expression" dxfId="1150" priority="3402" stopIfTrue="1">
      <formula>AND($D39&lt;&gt;"SI",$E39&lt;24)</formula>
    </cfRule>
  </conditionalFormatting>
  <conditionalFormatting sqref="F39">
    <cfRule type="expression" dxfId="1149" priority="3401" stopIfTrue="1">
      <formula>AND($D39&lt;&gt;"SI",$E39&lt;24)</formula>
    </cfRule>
  </conditionalFormatting>
  <conditionalFormatting sqref="F39">
    <cfRule type="expression" dxfId="1148" priority="3400" stopIfTrue="1">
      <formula>AND($D39&lt;&gt;"SI",$E39&lt;24)</formula>
    </cfRule>
  </conditionalFormatting>
  <conditionalFormatting sqref="F39">
    <cfRule type="expression" dxfId="1147" priority="3399" stopIfTrue="1">
      <formula>AND($D39&lt;&gt;"SI",$E39&lt;24)</formula>
    </cfRule>
  </conditionalFormatting>
  <conditionalFormatting sqref="F39">
    <cfRule type="expression" dxfId="1146" priority="3398" stopIfTrue="1">
      <formula>AND($D39&lt;&gt;"SI",$E39&lt;24)</formula>
    </cfRule>
  </conditionalFormatting>
  <conditionalFormatting sqref="F39">
    <cfRule type="expression" dxfId="1145" priority="3397" stopIfTrue="1">
      <formula>AND($D39&lt;&gt;"SI",$E39&lt;24)</formula>
    </cfRule>
  </conditionalFormatting>
  <conditionalFormatting sqref="F39">
    <cfRule type="expression" dxfId="1144" priority="3396" stopIfTrue="1">
      <formula>AND($D39&lt;&gt;"SI",$E39&lt;24)</formula>
    </cfRule>
  </conditionalFormatting>
  <conditionalFormatting sqref="F39">
    <cfRule type="expression" dxfId="1143" priority="3395" stopIfTrue="1">
      <formula>AND($D39&lt;&gt;"SI",$E39&lt;24)</formula>
    </cfRule>
  </conditionalFormatting>
  <conditionalFormatting sqref="F39">
    <cfRule type="expression" dxfId="1142" priority="3394" stopIfTrue="1">
      <formula>AND($D39&lt;&gt;"SI",$E39&lt;24)</formula>
    </cfRule>
  </conditionalFormatting>
  <conditionalFormatting sqref="F39">
    <cfRule type="expression" dxfId="1141" priority="3393" stopIfTrue="1">
      <formula>AND($D39&lt;&gt;"SI",$E39&lt;24)</formula>
    </cfRule>
  </conditionalFormatting>
  <conditionalFormatting sqref="F39">
    <cfRule type="expression" dxfId="1140" priority="3392" stopIfTrue="1">
      <formula>AND($D39&lt;&gt;"SI",$E39&lt;24)</formula>
    </cfRule>
  </conditionalFormatting>
  <conditionalFormatting sqref="F39">
    <cfRule type="expression" dxfId="1139" priority="3391" stopIfTrue="1">
      <formula>AND($D39&lt;&gt;"SI",$E39&lt;24)</formula>
    </cfRule>
  </conditionalFormatting>
  <conditionalFormatting sqref="F39">
    <cfRule type="expression" dxfId="1138" priority="3390" stopIfTrue="1">
      <formula>AND($D39&lt;&gt;"SI",$E39&lt;24)</formula>
    </cfRule>
  </conditionalFormatting>
  <conditionalFormatting sqref="F39">
    <cfRule type="expression" dxfId="1137" priority="3389" stopIfTrue="1">
      <formula>AND($D39&lt;&gt;"SI",$E39&lt;24)</formula>
    </cfRule>
  </conditionalFormatting>
  <conditionalFormatting sqref="F39">
    <cfRule type="expression" dxfId="1136" priority="3388" stopIfTrue="1">
      <formula>AND($D39&lt;&gt;"SI",$E39&lt;24)</formula>
    </cfRule>
  </conditionalFormatting>
  <conditionalFormatting sqref="F39">
    <cfRule type="expression" dxfId="1135" priority="3387" stopIfTrue="1">
      <formula>AND($D39&lt;&gt;"SI",$E39&lt;24)</formula>
    </cfRule>
  </conditionalFormatting>
  <conditionalFormatting sqref="F39">
    <cfRule type="expression" dxfId="1134" priority="3386" stopIfTrue="1">
      <formula>AND($D39&lt;&gt;"SI",$E39&lt;24)</formula>
    </cfRule>
  </conditionalFormatting>
  <conditionalFormatting sqref="F39">
    <cfRule type="expression" dxfId="1133" priority="3385" stopIfTrue="1">
      <formula>AND($D39&lt;&gt;"SI",$E39&lt;24)</formula>
    </cfRule>
  </conditionalFormatting>
  <conditionalFormatting sqref="F39">
    <cfRule type="expression" dxfId="1132" priority="3384" stopIfTrue="1">
      <formula>AND($D39&lt;&gt;"SI",$E39&lt;24)</formula>
    </cfRule>
  </conditionalFormatting>
  <conditionalFormatting sqref="F39">
    <cfRule type="expression" dxfId="1131" priority="3383" stopIfTrue="1">
      <formula>AND($D39&lt;&gt;"SI",$E39&lt;24)</formula>
    </cfRule>
  </conditionalFormatting>
  <conditionalFormatting sqref="F39">
    <cfRule type="expression" dxfId="1130" priority="3382" stopIfTrue="1">
      <formula>AND($D39&lt;&gt;"SI",$E39&lt;24)</formula>
    </cfRule>
  </conditionalFormatting>
  <conditionalFormatting sqref="F39">
    <cfRule type="expression" dxfId="1129" priority="3381" stopIfTrue="1">
      <formula>AND($D39&lt;&gt;"SI",$E39&lt;24)</formula>
    </cfRule>
  </conditionalFormatting>
  <conditionalFormatting sqref="F39">
    <cfRule type="expression" dxfId="1128" priority="3380" stopIfTrue="1">
      <formula>AND($D39&lt;&gt;"SI",$E39&lt;24)</formula>
    </cfRule>
  </conditionalFormatting>
  <conditionalFormatting sqref="F39">
    <cfRule type="expression" dxfId="1127" priority="3379" stopIfTrue="1">
      <formula>AND($D39&lt;&gt;"SI",$E39&lt;24)</formula>
    </cfRule>
  </conditionalFormatting>
  <conditionalFormatting sqref="F39">
    <cfRule type="expression" dxfId="1126" priority="3378" stopIfTrue="1">
      <formula>AND($D39&lt;&gt;"SI",$E39&lt;24)</formula>
    </cfRule>
  </conditionalFormatting>
  <conditionalFormatting sqref="F39">
    <cfRule type="expression" dxfId="1125" priority="3377" stopIfTrue="1">
      <formula>AND($D39&lt;&gt;"SI",$E39&lt;24)</formula>
    </cfRule>
  </conditionalFormatting>
  <conditionalFormatting sqref="F39">
    <cfRule type="expression" dxfId="1124" priority="3376" stopIfTrue="1">
      <formula>AND($D39&lt;&gt;"SI",$E39&lt;24)</formula>
    </cfRule>
  </conditionalFormatting>
  <conditionalFormatting sqref="F39">
    <cfRule type="expression" dxfId="1123" priority="3375" stopIfTrue="1">
      <formula>AND($D39&lt;&gt;"SI",$E39&lt;24)</formula>
    </cfRule>
  </conditionalFormatting>
  <conditionalFormatting sqref="F39">
    <cfRule type="expression" dxfId="1122" priority="3374" stopIfTrue="1">
      <formula>AND($D39&lt;&gt;"SI",$E39&lt;24)</formula>
    </cfRule>
  </conditionalFormatting>
  <conditionalFormatting sqref="F39">
    <cfRule type="expression" dxfId="1121" priority="3373" stopIfTrue="1">
      <formula>AND($D39&lt;&gt;"SI",$E39&lt;24)</formula>
    </cfRule>
  </conditionalFormatting>
  <conditionalFormatting sqref="F39">
    <cfRule type="expression" dxfId="1120" priority="3372" stopIfTrue="1">
      <formula>AND($D39&lt;&gt;"SI",$E39&lt;24)</formula>
    </cfRule>
  </conditionalFormatting>
  <conditionalFormatting sqref="F39">
    <cfRule type="expression" dxfId="1119" priority="3371" stopIfTrue="1">
      <formula>AND($D39&lt;&gt;"SI",$E39&lt;24)</formula>
    </cfRule>
  </conditionalFormatting>
  <conditionalFormatting sqref="F39">
    <cfRule type="expression" dxfId="1118" priority="3370" stopIfTrue="1">
      <formula>AND($D39&lt;&gt;"SI",$E39&lt;24)</formula>
    </cfRule>
  </conditionalFormatting>
  <conditionalFormatting sqref="F39">
    <cfRule type="expression" dxfId="1117" priority="3369" stopIfTrue="1">
      <formula>AND($D39&lt;&gt;"SI",$E39&lt;24)</formula>
    </cfRule>
  </conditionalFormatting>
  <conditionalFormatting sqref="F39">
    <cfRule type="expression" dxfId="1116" priority="3368" stopIfTrue="1">
      <formula>AND($D39&lt;&gt;"SI",$E39&lt;24)</formula>
    </cfRule>
  </conditionalFormatting>
  <conditionalFormatting sqref="F39">
    <cfRule type="expression" dxfId="1115" priority="3367" stopIfTrue="1">
      <formula>AND($D39&lt;&gt;"SI",$E39&lt;24)</formula>
    </cfRule>
  </conditionalFormatting>
  <conditionalFormatting sqref="F39">
    <cfRule type="expression" dxfId="1114" priority="3366" stopIfTrue="1">
      <formula>AND($D39&lt;&gt;"SI",$E39&lt;24)</formula>
    </cfRule>
  </conditionalFormatting>
  <conditionalFormatting sqref="F39">
    <cfRule type="expression" dxfId="1113" priority="3365" stopIfTrue="1">
      <formula>AND($D39&lt;&gt;"SI",$E39&lt;24)</formula>
    </cfRule>
  </conditionalFormatting>
  <conditionalFormatting sqref="F39">
    <cfRule type="expression" dxfId="1112" priority="3364" stopIfTrue="1">
      <formula>AND($D39&lt;&gt;"SI",$E39&lt;24)</formula>
    </cfRule>
  </conditionalFormatting>
  <conditionalFormatting sqref="F39">
    <cfRule type="expression" dxfId="1111" priority="3363" stopIfTrue="1">
      <formula>AND($D39&lt;&gt;"SI",$E39&lt;24)</formula>
    </cfRule>
  </conditionalFormatting>
  <conditionalFormatting sqref="F39">
    <cfRule type="expression" dxfId="1110" priority="3362" stopIfTrue="1">
      <formula>AND($D39&lt;&gt;"SI",$E39&lt;24)</formula>
    </cfRule>
  </conditionalFormatting>
  <conditionalFormatting sqref="F39">
    <cfRule type="expression" dxfId="1109" priority="3361" stopIfTrue="1">
      <formula>AND($D39&lt;&gt;"SI",$E39&lt;24)</formula>
    </cfRule>
  </conditionalFormatting>
  <conditionalFormatting sqref="F39">
    <cfRule type="expression" dxfId="1108" priority="3360" stopIfTrue="1">
      <formula>AND($D39&lt;&gt;"SI",$E39&lt;24)</formula>
    </cfRule>
  </conditionalFormatting>
  <conditionalFormatting sqref="F39">
    <cfRule type="expression" dxfId="1107" priority="3359" stopIfTrue="1">
      <formula>AND($D39&lt;&gt;"SI",$E39&lt;24)</formula>
    </cfRule>
  </conditionalFormatting>
  <conditionalFormatting sqref="F39">
    <cfRule type="expression" dxfId="1106" priority="3358" stopIfTrue="1">
      <formula>AND($D39&lt;&gt;"SI",$E39&lt;24)</formula>
    </cfRule>
  </conditionalFormatting>
  <conditionalFormatting sqref="F39">
    <cfRule type="expression" dxfId="1105" priority="3357" stopIfTrue="1">
      <formula>AND($D39&lt;&gt;"SI",$E39&lt;24)</formula>
    </cfRule>
  </conditionalFormatting>
  <conditionalFormatting sqref="F39">
    <cfRule type="expression" dxfId="1104" priority="3356" stopIfTrue="1">
      <formula>AND($D39&lt;&gt;"SI",$E39&lt;24)</formula>
    </cfRule>
  </conditionalFormatting>
  <conditionalFormatting sqref="F39">
    <cfRule type="expression" dxfId="1103" priority="3355" stopIfTrue="1">
      <formula>AND($D39&lt;&gt;"SI",$E39&lt;24)</formula>
    </cfRule>
  </conditionalFormatting>
  <conditionalFormatting sqref="F39">
    <cfRule type="expression" dxfId="1102" priority="3354" stopIfTrue="1">
      <formula>AND($D39&lt;&gt;"SI",$E39&lt;24)</formula>
    </cfRule>
  </conditionalFormatting>
  <conditionalFormatting sqref="F39">
    <cfRule type="expression" dxfId="1101" priority="3353" stopIfTrue="1">
      <formula>AND($D39&lt;&gt;"SI",$E39&lt;24)</formula>
    </cfRule>
  </conditionalFormatting>
  <conditionalFormatting sqref="F39">
    <cfRule type="expression" dxfId="1100" priority="3352" stopIfTrue="1">
      <formula>AND($D39&lt;&gt;"SI",$E39&lt;24)</formula>
    </cfRule>
  </conditionalFormatting>
  <conditionalFormatting sqref="F39">
    <cfRule type="expression" dxfId="1099" priority="3351" stopIfTrue="1">
      <formula>AND($D39&lt;&gt;"SI",$E39&lt;24)</formula>
    </cfRule>
  </conditionalFormatting>
  <conditionalFormatting sqref="F39">
    <cfRule type="expression" dxfId="1098" priority="3350" stopIfTrue="1">
      <formula>AND($D39&lt;&gt;"SI",$E39&lt;24)</formula>
    </cfRule>
  </conditionalFormatting>
  <conditionalFormatting sqref="F39">
    <cfRule type="expression" dxfId="1097" priority="3349" stopIfTrue="1">
      <formula>AND($D39&lt;&gt;"SI",$E39&lt;24)</formula>
    </cfRule>
  </conditionalFormatting>
  <conditionalFormatting sqref="F39">
    <cfRule type="expression" dxfId="1096" priority="3348" stopIfTrue="1">
      <formula>AND($D39&lt;&gt;"SI",$E39&lt;24)</formula>
    </cfRule>
  </conditionalFormatting>
  <conditionalFormatting sqref="F39">
    <cfRule type="expression" dxfId="1095" priority="3347" stopIfTrue="1">
      <formula>AND($D39&lt;&gt;"SI",$E39&lt;24)</formula>
    </cfRule>
  </conditionalFormatting>
  <conditionalFormatting sqref="F39">
    <cfRule type="expression" dxfId="1094" priority="3346" stopIfTrue="1">
      <formula>AND($D39&lt;&gt;"SI",$E39&lt;24)</formula>
    </cfRule>
  </conditionalFormatting>
  <conditionalFormatting sqref="F39">
    <cfRule type="expression" dxfId="1093" priority="3345" stopIfTrue="1">
      <formula>AND($D39&lt;&gt;"SI",$E39&lt;24)</formula>
    </cfRule>
  </conditionalFormatting>
  <conditionalFormatting sqref="F39">
    <cfRule type="expression" dxfId="1092" priority="3344" stopIfTrue="1">
      <formula>AND($D39&lt;&gt;"SI",$E39&lt;24)</formula>
    </cfRule>
  </conditionalFormatting>
  <conditionalFormatting sqref="F39">
    <cfRule type="expression" dxfId="1091" priority="3343" stopIfTrue="1">
      <formula>AND($D39&lt;&gt;"SI",$E39&lt;24)</formula>
    </cfRule>
  </conditionalFormatting>
  <conditionalFormatting sqref="F39">
    <cfRule type="expression" dxfId="1090" priority="3342" stopIfTrue="1">
      <formula>AND($D39&lt;&gt;"SI",$E39&lt;24)</formula>
    </cfRule>
  </conditionalFormatting>
  <conditionalFormatting sqref="F39">
    <cfRule type="expression" dxfId="1089" priority="3341" stopIfTrue="1">
      <formula>AND($D39&lt;&gt;"SI",$E39&lt;24)</formula>
    </cfRule>
  </conditionalFormatting>
  <conditionalFormatting sqref="F39">
    <cfRule type="expression" dxfId="1088" priority="3340" stopIfTrue="1">
      <formula>AND($D39&lt;&gt;"SI",$E39&lt;24)</formula>
    </cfRule>
  </conditionalFormatting>
  <conditionalFormatting sqref="F39">
    <cfRule type="expression" dxfId="1087" priority="3339" stopIfTrue="1">
      <formula>AND($D39&lt;&gt;"SI",$E39&lt;24)</formula>
    </cfRule>
  </conditionalFormatting>
  <conditionalFormatting sqref="F39">
    <cfRule type="expression" dxfId="1086" priority="3338" stopIfTrue="1">
      <formula>AND($D39&lt;&gt;"SI",$E39&lt;24)</formula>
    </cfRule>
  </conditionalFormatting>
  <conditionalFormatting sqref="F39">
    <cfRule type="expression" dxfId="1085" priority="3337" stopIfTrue="1">
      <formula>AND($D39&lt;&gt;"SI",$E39&lt;24)</formula>
    </cfRule>
  </conditionalFormatting>
  <conditionalFormatting sqref="F39">
    <cfRule type="expression" dxfId="1084" priority="3336" stopIfTrue="1">
      <formula>AND($D39&lt;&gt;"SI",$E39&lt;24)</formula>
    </cfRule>
  </conditionalFormatting>
  <conditionalFormatting sqref="F39">
    <cfRule type="expression" dxfId="1083" priority="3335" stopIfTrue="1">
      <formula>AND($D39&lt;&gt;"SI",$E39&lt;24)</formula>
    </cfRule>
  </conditionalFormatting>
  <conditionalFormatting sqref="F39">
    <cfRule type="expression" dxfId="1082" priority="3334" stopIfTrue="1">
      <formula>AND($D39&lt;&gt;"SI",$E39&lt;24)</formula>
    </cfRule>
  </conditionalFormatting>
  <conditionalFormatting sqref="F39">
    <cfRule type="expression" dxfId="1081" priority="3333" stopIfTrue="1">
      <formula>AND($D39&lt;&gt;"SI",$E39&lt;24)</formula>
    </cfRule>
  </conditionalFormatting>
  <conditionalFormatting sqref="F39">
    <cfRule type="expression" dxfId="1080" priority="3332" stopIfTrue="1">
      <formula>AND($D39&lt;&gt;"SI",$E39&lt;24)</formula>
    </cfRule>
  </conditionalFormatting>
  <conditionalFormatting sqref="F39">
    <cfRule type="expression" dxfId="1079" priority="3331" stopIfTrue="1">
      <formula>AND($D39&lt;&gt;"SI",$E39&lt;24)</formula>
    </cfRule>
  </conditionalFormatting>
  <conditionalFormatting sqref="F39">
    <cfRule type="expression" dxfId="1078" priority="3330" stopIfTrue="1">
      <formula>AND($D39&lt;&gt;"SI",$E39&lt;24)</formula>
    </cfRule>
  </conditionalFormatting>
  <conditionalFormatting sqref="F39">
    <cfRule type="expression" dxfId="1077" priority="3329" stopIfTrue="1">
      <formula>AND($D39&lt;&gt;"SI",$E39&lt;24)</formula>
    </cfRule>
  </conditionalFormatting>
  <conditionalFormatting sqref="F39">
    <cfRule type="expression" dxfId="1076" priority="3328" stopIfTrue="1">
      <formula>AND($D39&lt;&gt;"SI",$E39&lt;24)</formula>
    </cfRule>
  </conditionalFormatting>
  <conditionalFormatting sqref="F39">
    <cfRule type="expression" dxfId="1075" priority="3327" stopIfTrue="1">
      <formula>AND($D39&lt;&gt;"SI",$E39&lt;24)</formula>
    </cfRule>
  </conditionalFormatting>
  <conditionalFormatting sqref="F39">
    <cfRule type="expression" dxfId="1074" priority="3326" stopIfTrue="1">
      <formula>AND($D39&lt;&gt;"SI",$E39&lt;24)</formula>
    </cfRule>
  </conditionalFormatting>
  <conditionalFormatting sqref="F39">
    <cfRule type="expression" dxfId="1073" priority="3325" stopIfTrue="1">
      <formula>AND($D39&lt;&gt;"SI",$E39&lt;24)</formula>
    </cfRule>
  </conditionalFormatting>
  <conditionalFormatting sqref="F39">
    <cfRule type="expression" dxfId="1072" priority="3324" stopIfTrue="1">
      <formula>AND($D39&lt;&gt;"SI",$E39&lt;24)</formula>
    </cfRule>
  </conditionalFormatting>
  <conditionalFormatting sqref="F39">
    <cfRule type="expression" dxfId="1071" priority="3323" stopIfTrue="1">
      <formula>AND($D39&lt;&gt;"SI",$E39&lt;24)</formula>
    </cfRule>
  </conditionalFormatting>
  <conditionalFormatting sqref="F39">
    <cfRule type="expression" dxfId="1070" priority="3322" stopIfTrue="1">
      <formula>AND($D39&lt;&gt;"SI",$E39&lt;24)</formula>
    </cfRule>
  </conditionalFormatting>
  <conditionalFormatting sqref="F39">
    <cfRule type="expression" dxfId="1069" priority="3321" stopIfTrue="1">
      <formula>AND($D39&lt;&gt;"SI",$E39&lt;24)</formula>
    </cfRule>
  </conditionalFormatting>
  <conditionalFormatting sqref="F39">
    <cfRule type="expression" dxfId="1068" priority="3320" stopIfTrue="1">
      <formula>AND($D39&lt;&gt;"SI",$E39&lt;24)</formula>
    </cfRule>
  </conditionalFormatting>
  <conditionalFormatting sqref="F39">
    <cfRule type="expression" dxfId="1067" priority="3319" stopIfTrue="1">
      <formula>AND($D39&lt;&gt;"SI",$E39&lt;24)</formula>
    </cfRule>
  </conditionalFormatting>
  <conditionalFormatting sqref="F39">
    <cfRule type="expression" dxfId="1066" priority="3318" stopIfTrue="1">
      <formula>AND($D39&lt;&gt;"SI",$E39&lt;24)</formula>
    </cfRule>
  </conditionalFormatting>
  <conditionalFormatting sqref="F39">
    <cfRule type="expression" dxfId="1065" priority="3317" stopIfTrue="1">
      <formula>AND($D39&lt;&gt;"SI",$E39&lt;24)</formula>
    </cfRule>
  </conditionalFormatting>
  <conditionalFormatting sqref="F39">
    <cfRule type="expression" dxfId="1064" priority="3316" stopIfTrue="1">
      <formula>AND($D39&lt;&gt;"SI",$E39&lt;24)</formula>
    </cfRule>
  </conditionalFormatting>
  <conditionalFormatting sqref="F39">
    <cfRule type="expression" dxfId="1063" priority="3315" stopIfTrue="1">
      <formula>AND($D39&lt;&gt;"SI",$E39&lt;24)</formula>
    </cfRule>
  </conditionalFormatting>
  <conditionalFormatting sqref="F35:F37">
    <cfRule type="expression" dxfId="1062" priority="3112" stopIfTrue="1">
      <formula>AND($D35&lt;&gt;"SI",$E35&lt;24)</formula>
    </cfRule>
  </conditionalFormatting>
  <conditionalFormatting sqref="F35:F37">
    <cfRule type="expression" dxfId="1061" priority="3111" stopIfTrue="1">
      <formula>AND($D35&lt;&gt;"SI",$E35&lt;24)</formula>
    </cfRule>
  </conditionalFormatting>
  <conditionalFormatting sqref="F35:F37">
    <cfRule type="expression" dxfId="1060" priority="3110" stopIfTrue="1">
      <formula>AND($D35&lt;&gt;"SI",$E35&lt;24)</formula>
    </cfRule>
  </conditionalFormatting>
  <conditionalFormatting sqref="F35:F37">
    <cfRule type="expression" dxfId="1059" priority="3109" stopIfTrue="1">
      <formula>AND($D35&lt;&gt;"SI",$E35&lt;24)</formula>
    </cfRule>
  </conditionalFormatting>
  <conditionalFormatting sqref="F35:F37">
    <cfRule type="expression" dxfId="1058" priority="3108" stopIfTrue="1">
      <formula>AND($D35&lt;&gt;"SI",$E35&lt;24)</formula>
    </cfRule>
  </conditionalFormatting>
  <conditionalFormatting sqref="F35:F37">
    <cfRule type="expression" dxfId="1057" priority="3107" stopIfTrue="1">
      <formula>AND($D35&lt;&gt;"SI",$E35&lt;24)</formula>
    </cfRule>
  </conditionalFormatting>
  <conditionalFormatting sqref="F35:F37">
    <cfRule type="expression" dxfId="1056" priority="3106" stopIfTrue="1">
      <formula>AND($D35&lt;&gt;"SI",$E35&lt;24)</formula>
    </cfRule>
  </conditionalFormatting>
  <conditionalFormatting sqref="F35:F37">
    <cfRule type="expression" dxfId="1055" priority="3105" stopIfTrue="1">
      <formula>AND($D35&lt;&gt;"SI",$E35&lt;24)</formula>
    </cfRule>
  </conditionalFormatting>
  <conditionalFormatting sqref="F35:F37">
    <cfRule type="expression" dxfId="1054" priority="3104" stopIfTrue="1">
      <formula>AND($D35&lt;&gt;"SI",$E35&lt;24)</formula>
    </cfRule>
  </conditionalFormatting>
  <conditionalFormatting sqref="F35:F37">
    <cfRule type="expression" dxfId="1053" priority="3103" stopIfTrue="1">
      <formula>AND($D35&lt;&gt;"SI",$E35&lt;24)</formula>
    </cfRule>
  </conditionalFormatting>
  <conditionalFormatting sqref="F35:F37">
    <cfRule type="expression" dxfId="1052" priority="3102" stopIfTrue="1">
      <formula>AND($D35&lt;&gt;"SI",$E35&lt;24)</formula>
    </cfRule>
  </conditionalFormatting>
  <conditionalFormatting sqref="F35:F37">
    <cfRule type="expression" dxfId="1051" priority="3101" stopIfTrue="1">
      <formula>AND($D35&lt;&gt;"SI",$E35&lt;24)</formula>
    </cfRule>
  </conditionalFormatting>
  <conditionalFormatting sqref="F35:F37">
    <cfRule type="expression" dxfId="1050" priority="3100" stopIfTrue="1">
      <formula>AND($D35&lt;&gt;"SI",$E35&lt;24)</formula>
    </cfRule>
  </conditionalFormatting>
  <conditionalFormatting sqref="F35:F37">
    <cfRule type="expression" dxfId="1049" priority="3099" stopIfTrue="1">
      <formula>AND($D35&lt;&gt;"SI",$E35&lt;24)</formula>
    </cfRule>
  </conditionalFormatting>
  <conditionalFormatting sqref="F35:F37">
    <cfRule type="expression" dxfId="1048" priority="3098" stopIfTrue="1">
      <formula>AND($D35&lt;&gt;"SI",$E35&lt;24)</formula>
    </cfRule>
  </conditionalFormatting>
  <conditionalFormatting sqref="F35:F37">
    <cfRule type="expression" dxfId="1047" priority="3097" stopIfTrue="1">
      <formula>AND($D35&lt;&gt;"SI",$E35&lt;24)</formula>
    </cfRule>
  </conditionalFormatting>
  <conditionalFormatting sqref="F35:F37">
    <cfRule type="expression" dxfId="1046" priority="3096" stopIfTrue="1">
      <formula>AND($D35&lt;&gt;"SI",$E35&lt;24)</formula>
    </cfRule>
  </conditionalFormatting>
  <conditionalFormatting sqref="F35:F37">
    <cfRule type="expression" dxfId="1045" priority="3095" stopIfTrue="1">
      <formula>AND($D35&lt;&gt;"SI",$E35&lt;24)</formula>
    </cfRule>
  </conditionalFormatting>
  <conditionalFormatting sqref="F35:F37">
    <cfRule type="expression" dxfId="1044" priority="3094" stopIfTrue="1">
      <formula>AND($D35&lt;&gt;"SI",$E35&lt;24)</formula>
    </cfRule>
  </conditionalFormatting>
  <conditionalFormatting sqref="F35:F37">
    <cfRule type="expression" dxfId="1043" priority="3093" stopIfTrue="1">
      <formula>AND($D35&lt;&gt;"SI",$E35&lt;24)</formula>
    </cfRule>
  </conditionalFormatting>
  <conditionalFormatting sqref="F35:F37">
    <cfRule type="expression" dxfId="1042" priority="3092" stopIfTrue="1">
      <formula>AND($D35&lt;&gt;"SI",$E35&lt;24)</formula>
    </cfRule>
  </conditionalFormatting>
  <conditionalFormatting sqref="F35:F37">
    <cfRule type="expression" dxfId="1041" priority="3091" stopIfTrue="1">
      <formula>AND($D35&lt;&gt;"SI",$E35&lt;24)</formula>
    </cfRule>
  </conditionalFormatting>
  <conditionalFormatting sqref="F35:F37">
    <cfRule type="expression" dxfId="1040" priority="3090" stopIfTrue="1">
      <formula>AND($D35&lt;&gt;"SI",$E35&lt;24)</formula>
    </cfRule>
  </conditionalFormatting>
  <conditionalFormatting sqref="F35:F37">
    <cfRule type="expression" dxfId="1039" priority="3089" stopIfTrue="1">
      <formula>AND($D35&lt;&gt;"SI",$E35&lt;24)</formula>
    </cfRule>
  </conditionalFormatting>
  <conditionalFormatting sqref="F35:F37">
    <cfRule type="expression" dxfId="1038" priority="3088" stopIfTrue="1">
      <formula>AND($D35&lt;&gt;"SI",$E35&lt;24)</formula>
    </cfRule>
  </conditionalFormatting>
  <conditionalFormatting sqref="F35:F37">
    <cfRule type="expression" dxfId="1037" priority="3087" stopIfTrue="1">
      <formula>AND($D35&lt;&gt;"SI",$E35&lt;24)</formula>
    </cfRule>
  </conditionalFormatting>
  <conditionalFormatting sqref="F35:F37">
    <cfRule type="expression" dxfId="1036" priority="3086" stopIfTrue="1">
      <formula>AND($D35&lt;&gt;"SI",$E35&lt;24)</formula>
    </cfRule>
  </conditionalFormatting>
  <conditionalFormatting sqref="F35:F37">
    <cfRule type="expression" dxfId="1035" priority="3085" stopIfTrue="1">
      <formula>AND($D35&lt;&gt;"SI",$E35&lt;24)</formula>
    </cfRule>
  </conditionalFormatting>
  <conditionalFormatting sqref="F35:F37">
    <cfRule type="expression" dxfId="1034" priority="3084" stopIfTrue="1">
      <formula>AND($D35&lt;&gt;"SI",$E35&lt;24)</formula>
    </cfRule>
  </conditionalFormatting>
  <conditionalFormatting sqref="F35:F37">
    <cfRule type="expression" dxfId="1033" priority="3083" stopIfTrue="1">
      <formula>AND($D35&lt;&gt;"SI",$E35&lt;24)</formula>
    </cfRule>
  </conditionalFormatting>
  <conditionalFormatting sqref="F35:F37">
    <cfRule type="expression" dxfId="1032" priority="3082" stopIfTrue="1">
      <formula>AND($D35&lt;&gt;"SI",$E35&lt;24)</formula>
    </cfRule>
  </conditionalFormatting>
  <conditionalFormatting sqref="F35:F37">
    <cfRule type="expression" dxfId="1031" priority="3081" stopIfTrue="1">
      <formula>AND($D35&lt;&gt;"SI",$E35&lt;24)</formula>
    </cfRule>
  </conditionalFormatting>
  <conditionalFormatting sqref="F35:F37">
    <cfRule type="expression" dxfId="1030" priority="3080" stopIfTrue="1">
      <formula>AND($D35&lt;&gt;"SI",$E35&lt;24)</formula>
    </cfRule>
  </conditionalFormatting>
  <conditionalFormatting sqref="F35:F37">
    <cfRule type="expression" dxfId="1029" priority="3079" stopIfTrue="1">
      <formula>AND($D35&lt;&gt;"SI",$E35&lt;24)</formula>
    </cfRule>
  </conditionalFormatting>
  <conditionalFormatting sqref="F35:F37">
    <cfRule type="expression" dxfId="1028" priority="3078" stopIfTrue="1">
      <formula>AND($D35&lt;&gt;"SI",$E35&lt;24)</formula>
    </cfRule>
  </conditionalFormatting>
  <conditionalFormatting sqref="F35:F37">
    <cfRule type="expression" dxfId="1027" priority="3077" stopIfTrue="1">
      <formula>AND($D35&lt;&gt;"SI",$E35&lt;24)</formula>
    </cfRule>
  </conditionalFormatting>
  <conditionalFormatting sqref="F35:F37">
    <cfRule type="expression" dxfId="1026" priority="3076" stopIfTrue="1">
      <formula>AND($D35&lt;&gt;"SI",$E35&lt;24)</formula>
    </cfRule>
  </conditionalFormatting>
  <conditionalFormatting sqref="F35:F37">
    <cfRule type="expression" dxfId="1025" priority="3075" stopIfTrue="1">
      <formula>AND($D35&lt;&gt;"SI",$E35&lt;24)</formula>
    </cfRule>
  </conditionalFormatting>
  <conditionalFormatting sqref="F35:F37">
    <cfRule type="expression" dxfId="1024" priority="3074" stopIfTrue="1">
      <formula>AND($D35&lt;&gt;"SI",$E35&lt;24)</formula>
    </cfRule>
  </conditionalFormatting>
  <conditionalFormatting sqref="F35:F37">
    <cfRule type="expression" dxfId="1023" priority="3073" stopIfTrue="1">
      <formula>AND($D35&lt;&gt;"SI",$E35&lt;24)</formula>
    </cfRule>
  </conditionalFormatting>
  <conditionalFormatting sqref="F35:F37">
    <cfRule type="expression" dxfId="1022" priority="3072" stopIfTrue="1">
      <formula>AND($D35&lt;&gt;"SI",$E35&lt;24)</formula>
    </cfRule>
  </conditionalFormatting>
  <conditionalFormatting sqref="F35:F37">
    <cfRule type="expression" dxfId="1021" priority="3071" stopIfTrue="1">
      <formula>AND($D35&lt;&gt;"SI",$E35&lt;24)</formula>
    </cfRule>
  </conditionalFormatting>
  <conditionalFormatting sqref="F35:F37">
    <cfRule type="expression" dxfId="1020" priority="3070" stopIfTrue="1">
      <formula>AND($D35&lt;&gt;"SI",$E35&lt;24)</formula>
    </cfRule>
  </conditionalFormatting>
  <conditionalFormatting sqref="F35:F37">
    <cfRule type="expression" dxfId="1019" priority="3069" stopIfTrue="1">
      <formula>AND($D35&lt;&gt;"SI",$E35&lt;24)</formula>
    </cfRule>
  </conditionalFormatting>
  <conditionalFormatting sqref="F35:F37">
    <cfRule type="expression" dxfId="1018" priority="3068" stopIfTrue="1">
      <formula>AND($D35&lt;&gt;"SI",$E35&lt;24)</formula>
    </cfRule>
  </conditionalFormatting>
  <conditionalFormatting sqref="F35:F37">
    <cfRule type="expression" dxfId="1017" priority="3067" stopIfTrue="1">
      <formula>AND($D35&lt;&gt;"SI",$E35&lt;24)</formula>
    </cfRule>
  </conditionalFormatting>
  <conditionalFormatting sqref="F35:F37">
    <cfRule type="expression" dxfId="1016" priority="3066" stopIfTrue="1">
      <formula>AND($D35&lt;&gt;"SI",$E35&lt;24)</formula>
    </cfRule>
  </conditionalFormatting>
  <conditionalFormatting sqref="F35:F37">
    <cfRule type="expression" dxfId="1015" priority="3065" stopIfTrue="1">
      <formula>AND($D35&lt;&gt;"SI",$E35&lt;24)</formula>
    </cfRule>
  </conditionalFormatting>
  <conditionalFormatting sqref="F35:F37">
    <cfRule type="expression" dxfId="1014" priority="3064" stopIfTrue="1">
      <formula>AND($D35&lt;&gt;"SI",$E35&lt;24)</formula>
    </cfRule>
  </conditionalFormatting>
  <conditionalFormatting sqref="F35:F37">
    <cfRule type="expression" dxfId="1013" priority="3063" stopIfTrue="1">
      <formula>AND($D35&lt;&gt;"SI",$E35&lt;24)</formula>
    </cfRule>
  </conditionalFormatting>
  <conditionalFormatting sqref="F35:F37">
    <cfRule type="expression" dxfId="1012" priority="3062" stopIfTrue="1">
      <formula>AND($D35&lt;&gt;"SI",$E35&lt;24)</formula>
    </cfRule>
  </conditionalFormatting>
  <conditionalFormatting sqref="F35:F37">
    <cfRule type="expression" dxfId="1011" priority="3061" stopIfTrue="1">
      <formula>AND($D35&lt;&gt;"SI",$E35&lt;24)</formula>
    </cfRule>
  </conditionalFormatting>
  <conditionalFormatting sqref="F35:F37">
    <cfRule type="expression" dxfId="1010" priority="3060" stopIfTrue="1">
      <formula>AND($D35&lt;&gt;"SI",$E35&lt;24)</formula>
    </cfRule>
  </conditionalFormatting>
  <conditionalFormatting sqref="F35:F37">
    <cfRule type="expression" dxfId="1009" priority="3059" stopIfTrue="1">
      <formula>AND($D35&lt;&gt;"SI",$E35&lt;24)</formula>
    </cfRule>
  </conditionalFormatting>
  <conditionalFormatting sqref="F35:F37">
    <cfRule type="expression" dxfId="1008" priority="3058" stopIfTrue="1">
      <formula>AND($D35&lt;&gt;"SI",$E35&lt;24)</formula>
    </cfRule>
  </conditionalFormatting>
  <conditionalFormatting sqref="F35:F37">
    <cfRule type="expression" dxfId="1007" priority="3057" stopIfTrue="1">
      <formula>AND($D35&lt;&gt;"SI",$E35&lt;24)</formula>
    </cfRule>
  </conditionalFormatting>
  <conditionalFormatting sqref="F35:F37">
    <cfRule type="expression" dxfId="1006" priority="3056" stopIfTrue="1">
      <formula>AND($D35&lt;&gt;"SI",$E35&lt;24)</formula>
    </cfRule>
  </conditionalFormatting>
  <conditionalFormatting sqref="F35:F37">
    <cfRule type="expression" dxfId="1005" priority="3055" stopIfTrue="1">
      <formula>AND($D35&lt;&gt;"SI",$E35&lt;24)</formula>
    </cfRule>
  </conditionalFormatting>
  <conditionalFormatting sqref="F35:F37">
    <cfRule type="expression" dxfId="1004" priority="3054" stopIfTrue="1">
      <formula>AND($D35&lt;&gt;"SI",$E35&lt;24)</formula>
    </cfRule>
  </conditionalFormatting>
  <conditionalFormatting sqref="F35:F37">
    <cfRule type="expression" dxfId="1003" priority="3053" stopIfTrue="1">
      <formula>AND($D35&lt;&gt;"SI",$E35&lt;24)</formula>
    </cfRule>
  </conditionalFormatting>
  <conditionalFormatting sqref="F35:F37">
    <cfRule type="expression" dxfId="1002" priority="3052" stopIfTrue="1">
      <formula>AND($D35&lt;&gt;"SI",$E35&lt;24)</formula>
    </cfRule>
  </conditionalFormatting>
  <conditionalFormatting sqref="F35:F37">
    <cfRule type="expression" dxfId="1001" priority="3051" stopIfTrue="1">
      <formula>AND($D35&lt;&gt;"SI",$E35&lt;24)</formula>
    </cfRule>
  </conditionalFormatting>
  <conditionalFormatting sqref="F35:F37">
    <cfRule type="expression" dxfId="1000" priority="3050" stopIfTrue="1">
      <formula>AND($D35&lt;&gt;"SI",$E35&lt;24)</formula>
    </cfRule>
  </conditionalFormatting>
  <conditionalFormatting sqref="F35:F37">
    <cfRule type="expression" dxfId="999" priority="3049" stopIfTrue="1">
      <formula>AND($D35&lt;&gt;"SI",$E35&lt;24)</formula>
    </cfRule>
  </conditionalFormatting>
  <conditionalFormatting sqref="F35:F37">
    <cfRule type="expression" dxfId="998" priority="3048" stopIfTrue="1">
      <formula>AND($D35&lt;&gt;"SI",$E35&lt;24)</formula>
    </cfRule>
  </conditionalFormatting>
  <conditionalFormatting sqref="F35:F37">
    <cfRule type="expression" dxfId="997" priority="3047" stopIfTrue="1">
      <formula>AND($D35&lt;&gt;"SI",$E35&lt;24)</formula>
    </cfRule>
  </conditionalFormatting>
  <conditionalFormatting sqref="F35:F37">
    <cfRule type="expression" dxfId="996" priority="3046" stopIfTrue="1">
      <formula>AND($D35&lt;&gt;"SI",$E35&lt;24)</formula>
    </cfRule>
  </conditionalFormatting>
  <conditionalFormatting sqref="F35:F37">
    <cfRule type="expression" dxfId="995" priority="3045" stopIfTrue="1">
      <formula>AND($D35&lt;&gt;"SI",$E35&lt;24)</formula>
    </cfRule>
  </conditionalFormatting>
  <conditionalFormatting sqref="F35:F37">
    <cfRule type="expression" dxfId="994" priority="3044" stopIfTrue="1">
      <formula>AND($D35&lt;&gt;"SI",$E35&lt;24)</formula>
    </cfRule>
  </conditionalFormatting>
  <conditionalFormatting sqref="F35:F37">
    <cfRule type="expression" dxfId="993" priority="3043" stopIfTrue="1">
      <formula>AND($D35&lt;&gt;"SI",$E35&lt;24)</formula>
    </cfRule>
  </conditionalFormatting>
  <conditionalFormatting sqref="F35:F37">
    <cfRule type="expression" dxfId="992" priority="3042" stopIfTrue="1">
      <formula>AND($D35&lt;&gt;"SI",$E35&lt;24)</formula>
    </cfRule>
  </conditionalFormatting>
  <conditionalFormatting sqref="F35:F37">
    <cfRule type="expression" dxfId="991" priority="3041" stopIfTrue="1">
      <formula>AND($D35&lt;&gt;"SI",$E35&lt;24)</formula>
    </cfRule>
  </conditionalFormatting>
  <conditionalFormatting sqref="F35:F37">
    <cfRule type="expression" dxfId="990" priority="3040" stopIfTrue="1">
      <formula>AND($D35&lt;&gt;"SI",$E35&lt;24)</formula>
    </cfRule>
  </conditionalFormatting>
  <conditionalFormatting sqref="F35:F37">
    <cfRule type="expression" dxfId="989" priority="3039" stopIfTrue="1">
      <formula>AND($D35&lt;&gt;"SI",$E35&lt;24)</formula>
    </cfRule>
  </conditionalFormatting>
  <conditionalFormatting sqref="F35:F37">
    <cfRule type="expression" dxfId="988" priority="3038" stopIfTrue="1">
      <formula>AND($D35&lt;&gt;"SI",$E35&lt;24)</formula>
    </cfRule>
  </conditionalFormatting>
  <conditionalFormatting sqref="F35:F37">
    <cfRule type="expression" dxfId="987" priority="3037" stopIfTrue="1">
      <formula>AND($D35&lt;&gt;"SI",$E35&lt;24)</formula>
    </cfRule>
  </conditionalFormatting>
  <conditionalFormatting sqref="F35:F37">
    <cfRule type="expression" dxfId="986" priority="3036" stopIfTrue="1">
      <formula>AND($D35&lt;&gt;"SI",$E35&lt;24)</formula>
    </cfRule>
  </conditionalFormatting>
  <conditionalFormatting sqref="F35:F37">
    <cfRule type="expression" dxfId="985" priority="3035" stopIfTrue="1">
      <formula>AND($D35&lt;&gt;"SI",$E35&lt;24)</formula>
    </cfRule>
  </conditionalFormatting>
  <conditionalFormatting sqref="F35:F37">
    <cfRule type="expression" dxfId="984" priority="3034" stopIfTrue="1">
      <formula>AND($D35&lt;&gt;"SI",$E35&lt;24)</formula>
    </cfRule>
  </conditionalFormatting>
  <conditionalFormatting sqref="F35:F37">
    <cfRule type="expression" dxfId="983" priority="3033" stopIfTrue="1">
      <formula>AND($D35&lt;&gt;"SI",$E35&lt;24)</formula>
    </cfRule>
  </conditionalFormatting>
  <conditionalFormatting sqref="F35:F37">
    <cfRule type="expression" dxfId="982" priority="3032" stopIfTrue="1">
      <formula>AND($D35&lt;&gt;"SI",$E35&lt;24)</formula>
    </cfRule>
  </conditionalFormatting>
  <conditionalFormatting sqref="F35:F37">
    <cfRule type="expression" dxfId="981" priority="3031" stopIfTrue="1">
      <formula>AND($D35&lt;&gt;"SI",$E35&lt;24)</formula>
    </cfRule>
  </conditionalFormatting>
  <conditionalFormatting sqref="F35:F37">
    <cfRule type="expression" dxfId="980" priority="3030" stopIfTrue="1">
      <formula>AND($D35&lt;&gt;"SI",$E35&lt;24)</formula>
    </cfRule>
  </conditionalFormatting>
  <conditionalFormatting sqref="F35:F37">
    <cfRule type="expression" dxfId="979" priority="3029" stopIfTrue="1">
      <formula>AND($D35&lt;&gt;"SI",$E35&lt;24)</formula>
    </cfRule>
  </conditionalFormatting>
  <conditionalFormatting sqref="F35:F37">
    <cfRule type="expression" dxfId="978" priority="3028" stopIfTrue="1">
      <formula>AND($D35&lt;&gt;"SI",$E35&lt;24)</formula>
    </cfRule>
  </conditionalFormatting>
  <conditionalFormatting sqref="F35:F37">
    <cfRule type="expression" dxfId="977" priority="3027" stopIfTrue="1">
      <formula>AND($D35&lt;&gt;"SI",$E35&lt;24)</formula>
    </cfRule>
  </conditionalFormatting>
  <conditionalFormatting sqref="F35:F37">
    <cfRule type="expression" dxfId="976" priority="3026" stopIfTrue="1">
      <formula>AND($D35&lt;&gt;"SI",$E35&lt;24)</formula>
    </cfRule>
  </conditionalFormatting>
  <conditionalFormatting sqref="F35:F37">
    <cfRule type="expression" dxfId="975" priority="3025" stopIfTrue="1">
      <formula>AND($D35&lt;&gt;"SI",$E35&lt;24)</formula>
    </cfRule>
  </conditionalFormatting>
  <conditionalFormatting sqref="F35:F37">
    <cfRule type="expression" dxfId="974" priority="3024" stopIfTrue="1">
      <formula>AND($D35&lt;&gt;"SI",$E35&lt;24)</formula>
    </cfRule>
  </conditionalFormatting>
  <conditionalFormatting sqref="F35:F37">
    <cfRule type="expression" dxfId="973" priority="3023" stopIfTrue="1">
      <formula>AND($D35&lt;&gt;"SI",$E35&lt;24)</formula>
    </cfRule>
  </conditionalFormatting>
  <conditionalFormatting sqref="F35:F37">
    <cfRule type="expression" dxfId="972" priority="3022" stopIfTrue="1">
      <formula>AND($D35&lt;&gt;"SI",$E35&lt;24)</formula>
    </cfRule>
  </conditionalFormatting>
  <conditionalFormatting sqref="F35:F37">
    <cfRule type="expression" dxfId="971" priority="3021" stopIfTrue="1">
      <formula>AND($D35&lt;&gt;"SI",$E35&lt;24)</formula>
    </cfRule>
  </conditionalFormatting>
  <conditionalFormatting sqref="T50">
    <cfRule type="expression" dxfId="970" priority="2478" stopIfTrue="1">
      <formula>AND($D50&lt;&gt;"SI",$N50&lt;24)</formula>
    </cfRule>
  </conditionalFormatting>
  <conditionalFormatting sqref="T50">
    <cfRule type="expression" dxfId="969" priority="2477" stopIfTrue="1">
      <formula>AND($D50&lt;&gt;"SI",$N50&lt;24)</formula>
    </cfRule>
  </conditionalFormatting>
  <conditionalFormatting sqref="T50">
    <cfRule type="expression" dxfId="968" priority="2476" stopIfTrue="1">
      <formula>AND($D50&lt;&gt;"SI",$N50&lt;24)</formula>
    </cfRule>
  </conditionalFormatting>
  <conditionalFormatting sqref="T50">
    <cfRule type="expression" dxfId="967" priority="2475" stopIfTrue="1">
      <formula>AND($D50&lt;&gt;"SI",$N50&lt;24)</formula>
    </cfRule>
  </conditionalFormatting>
  <conditionalFormatting sqref="T58">
    <cfRule type="expression" dxfId="966" priority="2474" stopIfTrue="1">
      <formula>AND($D58&lt;&gt;"SI",$N58&lt;24)</formula>
    </cfRule>
  </conditionalFormatting>
  <conditionalFormatting sqref="T58">
    <cfRule type="expression" dxfId="965" priority="2473" stopIfTrue="1">
      <formula>AND($D58&lt;&gt;"SI",$N58&lt;24)</formula>
    </cfRule>
  </conditionalFormatting>
  <conditionalFormatting sqref="T58">
    <cfRule type="expression" dxfId="964" priority="2472" stopIfTrue="1">
      <formula>AND($D58&lt;&gt;"SI",$N58&lt;24)</formula>
    </cfRule>
  </conditionalFormatting>
  <conditionalFormatting sqref="T58">
    <cfRule type="expression" dxfId="963" priority="2471" stopIfTrue="1">
      <formula>AND($D58&lt;&gt;"SI",$N58&lt;24)</formula>
    </cfRule>
  </conditionalFormatting>
  <conditionalFormatting sqref="F28:F29">
    <cfRule type="expression" dxfId="962" priority="2332" stopIfTrue="1">
      <formula>AND($D28&lt;&gt;"SI",$E28&lt;24)</formula>
    </cfRule>
  </conditionalFormatting>
  <conditionalFormatting sqref="F28:F29">
    <cfRule type="expression" dxfId="961" priority="2331" stopIfTrue="1">
      <formula>AND($D28&lt;&gt;"SI",$E28&lt;24)</formula>
    </cfRule>
  </conditionalFormatting>
  <conditionalFormatting sqref="F28:F29">
    <cfRule type="expression" dxfId="960" priority="2330" stopIfTrue="1">
      <formula>AND($D28&lt;&gt;"SI",$E28&lt;24)</formula>
    </cfRule>
  </conditionalFormatting>
  <conditionalFormatting sqref="F28:F29">
    <cfRule type="expression" dxfId="959" priority="2329" stopIfTrue="1">
      <formula>AND($D28&lt;&gt;"SI",$E28&lt;24)</formula>
    </cfRule>
  </conditionalFormatting>
  <conditionalFormatting sqref="F28:F29">
    <cfRule type="expression" dxfId="958" priority="2328" stopIfTrue="1">
      <formula>AND($D28&lt;&gt;"SI",$E28&lt;24)</formula>
    </cfRule>
  </conditionalFormatting>
  <conditionalFormatting sqref="F28:F29">
    <cfRule type="expression" dxfId="957" priority="2327" stopIfTrue="1">
      <formula>AND($D28&lt;&gt;"SI",$E28&lt;24)</formula>
    </cfRule>
  </conditionalFormatting>
  <conditionalFormatting sqref="F28:F29">
    <cfRule type="expression" dxfId="956" priority="2326" stopIfTrue="1">
      <formula>AND($D28&lt;&gt;"SI",$E28&lt;24)</formula>
    </cfRule>
  </conditionalFormatting>
  <conditionalFormatting sqref="F28:F29">
    <cfRule type="expression" dxfId="955" priority="2325" stopIfTrue="1">
      <formula>AND($D28&lt;&gt;"SI",$E28&lt;24)</formula>
    </cfRule>
  </conditionalFormatting>
  <conditionalFormatting sqref="F28:F29">
    <cfRule type="expression" dxfId="954" priority="2324" stopIfTrue="1">
      <formula>AND($D28&lt;&gt;"SI",$E28&lt;24)</formula>
    </cfRule>
  </conditionalFormatting>
  <conditionalFormatting sqref="F28:F29">
    <cfRule type="expression" dxfId="953" priority="2323" stopIfTrue="1">
      <formula>AND($D28&lt;&gt;"SI",$E28&lt;24)</formula>
    </cfRule>
  </conditionalFormatting>
  <conditionalFormatting sqref="F28:F29">
    <cfRule type="expression" dxfId="952" priority="2322" stopIfTrue="1">
      <formula>AND($D28&lt;&gt;"SI",$E28&lt;24)</formula>
    </cfRule>
  </conditionalFormatting>
  <conditionalFormatting sqref="F28:F29">
    <cfRule type="expression" dxfId="951" priority="2321" stopIfTrue="1">
      <formula>AND($D28&lt;&gt;"SI",$E28&lt;24)</formula>
    </cfRule>
  </conditionalFormatting>
  <conditionalFormatting sqref="F28:F29">
    <cfRule type="expression" dxfId="950" priority="2320" stopIfTrue="1">
      <formula>AND($D28&lt;&gt;"SI",$E28&lt;24)</formula>
    </cfRule>
  </conditionalFormatting>
  <conditionalFormatting sqref="F28:F29">
    <cfRule type="expression" dxfId="949" priority="2319" stopIfTrue="1">
      <formula>AND($D28&lt;&gt;"SI",$E28&lt;24)</formula>
    </cfRule>
  </conditionalFormatting>
  <conditionalFormatting sqref="F28:F29">
    <cfRule type="expression" dxfId="948" priority="2318" stopIfTrue="1">
      <formula>AND($D28&lt;&gt;"SI",$E28&lt;24)</formula>
    </cfRule>
  </conditionalFormatting>
  <conditionalFormatting sqref="F28:F29">
    <cfRule type="expression" dxfId="947" priority="2317" stopIfTrue="1">
      <formula>AND($D28&lt;&gt;"SI",$E28&lt;24)</formula>
    </cfRule>
  </conditionalFormatting>
  <conditionalFormatting sqref="F28:F29">
    <cfRule type="expression" dxfId="946" priority="2316" stopIfTrue="1">
      <formula>AND($D28&lt;&gt;"SI",$E28&lt;24)</formula>
    </cfRule>
  </conditionalFormatting>
  <conditionalFormatting sqref="F28:F29">
    <cfRule type="expression" dxfId="945" priority="2315" stopIfTrue="1">
      <formula>AND($D28&lt;&gt;"SI",$E28&lt;24)</formula>
    </cfRule>
  </conditionalFormatting>
  <conditionalFormatting sqref="F28:F29">
    <cfRule type="expression" dxfId="944" priority="2314" stopIfTrue="1">
      <formula>AND($D28&lt;&gt;"SI",$E28&lt;24)</formula>
    </cfRule>
  </conditionalFormatting>
  <conditionalFormatting sqref="F28:F29">
    <cfRule type="expression" dxfId="943" priority="2313" stopIfTrue="1">
      <formula>AND($D28&lt;&gt;"SI",$E28&lt;24)</formula>
    </cfRule>
  </conditionalFormatting>
  <conditionalFormatting sqref="F28:F29">
    <cfRule type="expression" dxfId="942" priority="2312" stopIfTrue="1">
      <formula>AND($D28&lt;&gt;"SI",$E28&lt;24)</formula>
    </cfRule>
  </conditionalFormatting>
  <conditionalFormatting sqref="F28:F29">
    <cfRule type="expression" dxfId="941" priority="2311" stopIfTrue="1">
      <formula>AND($D28&lt;&gt;"SI",$E28&lt;24)</formula>
    </cfRule>
  </conditionalFormatting>
  <conditionalFormatting sqref="F28:F29">
    <cfRule type="expression" dxfId="940" priority="2310" stopIfTrue="1">
      <formula>AND($D28&lt;&gt;"SI",$E28&lt;24)</formula>
    </cfRule>
  </conditionalFormatting>
  <conditionalFormatting sqref="F28:F29">
    <cfRule type="expression" dxfId="939" priority="2309" stopIfTrue="1">
      <formula>AND($D28&lt;&gt;"SI",$E28&lt;24)</formula>
    </cfRule>
  </conditionalFormatting>
  <conditionalFormatting sqref="F28:F29">
    <cfRule type="expression" dxfId="938" priority="2308" stopIfTrue="1">
      <formula>AND($D28&lt;&gt;"SI",$E28&lt;24)</formula>
    </cfRule>
  </conditionalFormatting>
  <conditionalFormatting sqref="F28:F29">
    <cfRule type="expression" dxfId="937" priority="2307" stopIfTrue="1">
      <formula>AND($D28&lt;&gt;"SI",$E28&lt;24)</formula>
    </cfRule>
  </conditionalFormatting>
  <conditionalFormatting sqref="F28:F29">
    <cfRule type="expression" dxfId="936" priority="2306" stopIfTrue="1">
      <formula>AND($D28&lt;&gt;"SI",$E28&lt;24)</formula>
    </cfRule>
  </conditionalFormatting>
  <conditionalFormatting sqref="F28:F29">
    <cfRule type="expression" dxfId="935" priority="2305" stopIfTrue="1">
      <formula>AND($D28&lt;&gt;"SI",$E28&lt;24)</formula>
    </cfRule>
  </conditionalFormatting>
  <conditionalFormatting sqref="F28:F29">
    <cfRule type="expression" dxfId="934" priority="2304" stopIfTrue="1">
      <formula>AND($D28&lt;&gt;"SI",$E28&lt;24)</formula>
    </cfRule>
  </conditionalFormatting>
  <conditionalFormatting sqref="F28:F29">
    <cfRule type="expression" dxfId="933" priority="2303" stopIfTrue="1">
      <formula>AND($D28&lt;&gt;"SI",$E28&lt;24)</formula>
    </cfRule>
  </conditionalFormatting>
  <conditionalFormatting sqref="F28:F29">
    <cfRule type="expression" dxfId="932" priority="2302" stopIfTrue="1">
      <formula>AND($D28&lt;&gt;"SI",$E28&lt;24)</formula>
    </cfRule>
  </conditionalFormatting>
  <conditionalFormatting sqref="F28:F29">
    <cfRule type="expression" dxfId="931" priority="2301" stopIfTrue="1">
      <formula>AND($D28&lt;&gt;"SI",$E28&lt;24)</formula>
    </cfRule>
  </conditionalFormatting>
  <conditionalFormatting sqref="F28:F29">
    <cfRule type="expression" dxfId="930" priority="2300" stopIfTrue="1">
      <formula>AND($D28&lt;&gt;"SI",$E28&lt;24)</formula>
    </cfRule>
  </conditionalFormatting>
  <conditionalFormatting sqref="F28:F29">
    <cfRule type="expression" dxfId="929" priority="2299" stopIfTrue="1">
      <formula>AND($D28&lt;&gt;"SI",$E28&lt;24)</formula>
    </cfRule>
  </conditionalFormatting>
  <conditionalFormatting sqref="F28:F29">
    <cfRule type="expression" dxfId="928" priority="2298" stopIfTrue="1">
      <formula>AND($D28&lt;&gt;"SI",$E28&lt;24)</formula>
    </cfRule>
  </conditionalFormatting>
  <conditionalFormatting sqref="F28:F29">
    <cfRule type="expression" dxfId="927" priority="2297" stopIfTrue="1">
      <formula>AND($D28&lt;&gt;"SI",$E28&lt;24)</formula>
    </cfRule>
  </conditionalFormatting>
  <conditionalFormatting sqref="F28:F29">
    <cfRule type="expression" dxfId="926" priority="2296" stopIfTrue="1">
      <formula>AND($D28&lt;&gt;"SI",$E28&lt;24)</formula>
    </cfRule>
  </conditionalFormatting>
  <conditionalFormatting sqref="F28:F29">
    <cfRule type="expression" dxfId="925" priority="2295" stopIfTrue="1">
      <formula>AND($D28&lt;&gt;"SI",$E28&lt;24)</formula>
    </cfRule>
  </conditionalFormatting>
  <conditionalFormatting sqref="F28:F29">
    <cfRule type="expression" dxfId="924" priority="2294" stopIfTrue="1">
      <formula>AND($D28&lt;&gt;"SI",$E28&lt;24)</formula>
    </cfRule>
  </conditionalFormatting>
  <conditionalFormatting sqref="F28:F29">
    <cfRule type="expression" dxfId="923" priority="2293" stopIfTrue="1">
      <formula>AND($D28&lt;&gt;"SI",$E28&lt;24)</formula>
    </cfRule>
  </conditionalFormatting>
  <conditionalFormatting sqref="F28:F29">
    <cfRule type="expression" dxfId="922" priority="2292" stopIfTrue="1">
      <formula>AND($D28&lt;&gt;"SI",$E28&lt;24)</formula>
    </cfRule>
  </conditionalFormatting>
  <conditionalFormatting sqref="F28:F29">
    <cfRule type="expression" dxfId="921" priority="2291" stopIfTrue="1">
      <formula>AND($D28&lt;&gt;"SI",$E28&lt;24)</formula>
    </cfRule>
  </conditionalFormatting>
  <conditionalFormatting sqref="F28:F29">
    <cfRule type="expression" dxfId="920" priority="2290" stopIfTrue="1">
      <formula>AND($D28&lt;&gt;"SI",$E28&lt;24)</formula>
    </cfRule>
  </conditionalFormatting>
  <conditionalFormatting sqref="F28:F29">
    <cfRule type="expression" dxfId="919" priority="2289" stopIfTrue="1">
      <formula>AND($D28&lt;&gt;"SI",$E28&lt;24)</formula>
    </cfRule>
  </conditionalFormatting>
  <conditionalFormatting sqref="F28:F29">
    <cfRule type="expression" dxfId="918" priority="2288" stopIfTrue="1">
      <formula>AND($D28&lt;&gt;"SI",$E28&lt;24)</formula>
    </cfRule>
  </conditionalFormatting>
  <conditionalFormatting sqref="F28:F29">
    <cfRule type="expression" dxfId="917" priority="2287" stopIfTrue="1">
      <formula>AND($D28&lt;&gt;"SI",$E28&lt;24)</formula>
    </cfRule>
  </conditionalFormatting>
  <conditionalFormatting sqref="D29">
    <cfRule type="expression" dxfId="916" priority="2130" stopIfTrue="1">
      <formula>OR($D29="SI",$D29="T&amp;A")</formula>
    </cfRule>
  </conditionalFormatting>
  <conditionalFormatting sqref="R52">
    <cfRule type="expression" dxfId="915" priority="1681" stopIfTrue="1">
      <formula>AND($D52&lt;&gt;"SI",$N52&lt;24)</formula>
    </cfRule>
  </conditionalFormatting>
  <conditionalFormatting sqref="R52">
    <cfRule type="expression" dxfId="914" priority="1680" stopIfTrue="1">
      <formula>AND($D52&lt;&gt;"SI",$N52&lt;24)</formula>
    </cfRule>
  </conditionalFormatting>
  <conditionalFormatting sqref="R52">
    <cfRule type="expression" dxfId="913" priority="1679" stopIfTrue="1">
      <formula>AND($D52&lt;&gt;"SI",$N52&lt;24)</formula>
    </cfRule>
  </conditionalFormatting>
  <conditionalFormatting sqref="R52">
    <cfRule type="expression" dxfId="912" priority="1678" stopIfTrue="1">
      <formula>AND($D52&lt;&gt;"SI",$N52&lt;24)</formula>
    </cfRule>
  </conditionalFormatting>
  <conditionalFormatting sqref="R52">
    <cfRule type="expression" dxfId="911" priority="1677" stopIfTrue="1">
      <formula>AND($D52&lt;&gt;"SI",$N52&lt;24)</formula>
    </cfRule>
  </conditionalFormatting>
  <conditionalFormatting sqref="R52">
    <cfRule type="expression" dxfId="910" priority="1676" stopIfTrue="1">
      <formula>AND($D52&lt;&gt;"SI",$N52&lt;24)</formula>
    </cfRule>
  </conditionalFormatting>
  <conditionalFormatting sqref="R52">
    <cfRule type="expression" dxfId="909" priority="1675" stopIfTrue="1">
      <formula>AND($D52&lt;&gt;"SI",$N52&lt;24)</formula>
    </cfRule>
  </conditionalFormatting>
  <conditionalFormatting sqref="R52">
    <cfRule type="expression" dxfId="908" priority="1674" stopIfTrue="1">
      <formula>AND($D52&lt;&gt;"SI",$N52&lt;24)</formula>
    </cfRule>
  </conditionalFormatting>
  <conditionalFormatting sqref="R52">
    <cfRule type="expression" dxfId="907" priority="1673" stopIfTrue="1">
      <formula>AND($D52&lt;&gt;"SI",$N52&lt;24)</formula>
    </cfRule>
  </conditionalFormatting>
  <conditionalFormatting sqref="R52">
    <cfRule type="expression" dxfId="906" priority="1672" stopIfTrue="1">
      <formula>AND($D52&lt;&gt;"SI",$N52&lt;24)</formula>
    </cfRule>
  </conditionalFormatting>
  <conditionalFormatting sqref="R52">
    <cfRule type="expression" dxfId="905" priority="1671" stopIfTrue="1">
      <formula>AND($D52&lt;&gt;"SI",$N52&lt;24)</formula>
    </cfRule>
  </conditionalFormatting>
  <conditionalFormatting sqref="R52">
    <cfRule type="expression" dxfId="904" priority="1670" stopIfTrue="1">
      <formula>AND($D52&lt;&gt;"SI",$N52&lt;24)</formula>
    </cfRule>
  </conditionalFormatting>
  <conditionalFormatting sqref="R52">
    <cfRule type="expression" dxfId="903" priority="1669" stopIfTrue="1">
      <formula>AND($D52&lt;&gt;"SI",$N52&lt;24)</formula>
    </cfRule>
  </conditionalFormatting>
  <conditionalFormatting sqref="R52">
    <cfRule type="expression" dxfId="902" priority="1668" stopIfTrue="1">
      <formula>AND($D52&lt;&gt;"SI",$N52&lt;24)</formula>
    </cfRule>
  </conditionalFormatting>
  <conditionalFormatting sqref="R52">
    <cfRule type="expression" dxfId="901" priority="1667" stopIfTrue="1">
      <formula>AND($D52&lt;&gt;"SI",$N52&lt;24)</formula>
    </cfRule>
  </conditionalFormatting>
  <conditionalFormatting sqref="R52">
    <cfRule type="expression" dxfId="900" priority="1666" stopIfTrue="1">
      <formula>AND($D52&lt;&gt;"SI",$N52&lt;24)</formula>
    </cfRule>
  </conditionalFormatting>
  <conditionalFormatting sqref="R52">
    <cfRule type="expression" dxfId="899" priority="1665" stopIfTrue="1">
      <formula>AND($D52&lt;&gt;"SI",$N52&lt;24)</formula>
    </cfRule>
  </conditionalFormatting>
  <conditionalFormatting sqref="R52">
    <cfRule type="expression" dxfId="898" priority="1664" stopIfTrue="1">
      <formula>AND($D52&lt;&gt;"SI",$N52&lt;24)</formula>
    </cfRule>
  </conditionalFormatting>
  <conditionalFormatting sqref="R52">
    <cfRule type="expression" dxfId="897" priority="1663" stopIfTrue="1">
      <formula>AND($D52&lt;&gt;"SI",$N52&lt;24)</formula>
    </cfRule>
  </conditionalFormatting>
  <conditionalFormatting sqref="R52">
    <cfRule type="expression" dxfId="896" priority="1662" stopIfTrue="1">
      <formula>AND($D52&lt;&gt;"SI",$N52&lt;24)</formula>
    </cfRule>
  </conditionalFormatting>
  <conditionalFormatting sqref="R52">
    <cfRule type="expression" dxfId="895" priority="1661" stopIfTrue="1">
      <formula>AND($D52&lt;&gt;"SI",$N52&lt;24)</formula>
    </cfRule>
  </conditionalFormatting>
  <conditionalFormatting sqref="R52">
    <cfRule type="expression" dxfId="894" priority="1660" stopIfTrue="1">
      <formula>AND($D52&lt;&gt;"SI",$N52&lt;24)</formula>
    </cfRule>
  </conditionalFormatting>
  <conditionalFormatting sqref="R52">
    <cfRule type="expression" dxfId="893" priority="1659" stopIfTrue="1">
      <formula>AND($D52&lt;&gt;"SI",$N52&lt;24)</formula>
    </cfRule>
  </conditionalFormatting>
  <conditionalFormatting sqref="R52">
    <cfRule type="expression" dxfId="892" priority="1658" stopIfTrue="1">
      <formula>AND($D52&lt;&gt;"SI",$N52&lt;24)</formula>
    </cfRule>
  </conditionalFormatting>
  <conditionalFormatting sqref="R52">
    <cfRule type="expression" dxfId="891" priority="1657" stopIfTrue="1">
      <formula>AND($D52&lt;&gt;"SI",$N52&lt;24)</formula>
    </cfRule>
  </conditionalFormatting>
  <conditionalFormatting sqref="R52">
    <cfRule type="expression" dxfId="890" priority="1656" stopIfTrue="1">
      <formula>AND($D52&lt;&gt;"SI",$N52&lt;24)</formula>
    </cfRule>
  </conditionalFormatting>
  <conditionalFormatting sqref="R52">
    <cfRule type="expression" dxfId="889" priority="1655" stopIfTrue="1">
      <formula>AND($D52&lt;&gt;"SI",$N52&lt;24)</formula>
    </cfRule>
  </conditionalFormatting>
  <conditionalFormatting sqref="R52">
    <cfRule type="expression" dxfId="888" priority="1654" stopIfTrue="1">
      <formula>AND($D52&lt;&gt;"SI",$N52&lt;24)</formula>
    </cfRule>
  </conditionalFormatting>
  <conditionalFormatting sqref="R52">
    <cfRule type="expression" dxfId="887" priority="1653" stopIfTrue="1">
      <formula>AND($D52&lt;&gt;"SI",$N52&lt;24)</formula>
    </cfRule>
  </conditionalFormatting>
  <conditionalFormatting sqref="R52">
    <cfRule type="expression" dxfId="886" priority="1652" stopIfTrue="1">
      <formula>AND($D52&lt;&gt;"SI",$N52&lt;24)</formula>
    </cfRule>
  </conditionalFormatting>
  <conditionalFormatting sqref="R52">
    <cfRule type="expression" dxfId="885" priority="1651" stopIfTrue="1">
      <formula>AND($D52&lt;&gt;"SI",$N52&lt;24)</formula>
    </cfRule>
  </conditionalFormatting>
  <conditionalFormatting sqref="R52">
    <cfRule type="expression" dxfId="884" priority="1650" stopIfTrue="1">
      <formula>AND($D52&lt;&gt;"SI",$N52&lt;24)</formula>
    </cfRule>
  </conditionalFormatting>
  <conditionalFormatting sqref="R52">
    <cfRule type="expression" dxfId="883" priority="1649" stopIfTrue="1">
      <formula>AND($D52&lt;&gt;"SI",$N52&lt;24)</formula>
    </cfRule>
  </conditionalFormatting>
  <conditionalFormatting sqref="R52">
    <cfRule type="expression" dxfId="882" priority="1648" stopIfTrue="1">
      <formula>AND($D52&lt;&gt;"SI",$N52&lt;24)</formula>
    </cfRule>
  </conditionalFormatting>
  <conditionalFormatting sqref="R52">
    <cfRule type="expression" dxfId="881" priority="1647" stopIfTrue="1">
      <formula>AND($D52&lt;&gt;"SI",$N52&lt;24)</formula>
    </cfRule>
  </conditionalFormatting>
  <conditionalFormatting sqref="R52">
    <cfRule type="expression" dxfId="880" priority="1646" stopIfTrue="1">
      <formula>AND($D52&lt;&gt;"SI",$N52&lt;24)</formula>
    </cfRule>
  </conditionalFormatting>
  <conditionalFormatting sqref="R52">
    <cfRule type="expression" dxfId="879" priority="1645" stopIfTrue="1">
      <formula>AND($D52&lt;&gt;"SI",$N52&lt;24)</formula>
    </cfRule>
  </conditionalFormatting>
  <conditionalFormatting sqref="R52">
    <cfRule type="expression" dxfId="878" priority="1644" stopIfTrue="1">
      <formula>AND($D52&lt;&gt;"SI",$N52&lt;24)</formula>
    </cfRule>
  </conditionalFormatting>
  <conditionalFormatting sqref="R52">
    <cfRule type="expression" dxfId="877" priority="1643" stopIfTrue="1">
      <formula>AND($D52&lt;&gt;"SI",$N52&lt;24)</formula>
    </cfRule>
  </conditionalFormatting>
  <conditionalFormatting sqref="R52">
    <cfRule type="expression" dxfId="876" priority="1642" stopIfTrue="1">
      <formula>AND($D52&lt;&gt;"SI",$N52&lt;24)</formula>
    </cfRule>
  </conditionalFormatting>
  <conditionalFormatting sqref="R52">
    <cfRule type="expression" dxfId="875" priority="1641" stopIfTrue="1">
      <formula>AND($D52&lt;&gt;"SI",$N52&lt;24)</formula>
    </cfRule>
  </conditionalFormatting>
  <conditionalFormatting sqref="R52">
    <cfRule type="expression" dxfId="874" priority="1640" stopIfTrue="1">
      <formula>AND($D52&lt;&gt;"SI",$N52&lt;24)</formula>
    </cfRule>
  </conditionalFormatting>
  <conditionalFormatting sqref="R52">
    <cfRule type="expression" dxfId="873" priority="1639" stopIfTrue="1">
      <formula>AND($D52&lt;&gt;"SI",$N52&lt;24)</formula>
    </cfRule>
  </conditionalFormatting>
  <conditionalFormatting sqref="R52">
    <cfRule type="expression" dxfId="872" priority="1638" stopIfTrue="1">
      <formula>AND($D52&lt;&gt;"SI",$N52&lt;24)</formula>
    </cfRule>
  </conditionalFormatting>
  <conditionalFormatting sqref="R52">
    <cfRule type="expression" dxfId="871" priority="1637" stopIfTrue="1">
      <formula>AND($D52&lt;&gt;"SI",$N52&lt;24)</formula>
    </cfRule>
  </conditionalFormatting>
  <conditionalFormatting sqref="R52">
    <cfRule type="expression" dxfId="870" priority="1636" stopIfTrue="1">
      <formula>AND($D52&lt;&gt;"SI",$N52&lt;24)</formula>
    </cfRule>
  </conditionalFormatting>
  <conditionalFormatting sqref="R52">
    <cfRule type="expression" dxfId="869" priority="1635" stopIfTrue="1">
      <formula>AND($D52&lt;&gt;"SI",$N52&lt;24)</formula>
    </cfRule>
  </conditionalFormatting>
  <conditionalFormatting sqref="R52">
    <cfRule type="expression" dxfId="868" priority="1634" stopIfTrue="1">
      <formula>AND($D52&lt;&gt;"SI",$N52&lt;24)</formula>
    </cfRule>
  </conditionalFormatting>
  <conditionalFormatting sqref="R52">
    <cfRule type="expression" dxfId="867" priority="1633" stopIfTrue="1">
      <formula>AND($D52&lt;&gt;"SI",$N52&lt;24)</formula>
    </cfRule>
  </conditionalFormatting>
  <conditionalFormatting sqref="R52">
    <cfRule type="expression" dxfId="866" priority="1632" stopIfTrue="1">
      <formula>AND($D52&lt;&gt;"SI",$N52&lt;24)</formula>
    </cfRule>
  </conditionalFormatting>
  <conditionalFormatting sqref="R52">
    <cfRule type="expression" dxfId="865" priority="1631" stopIfTrue="1">
      <formula>AND($D52&lt;&gt;"SI",$N52&lt;24)</formula>
    </cfRule>
  </conditionalFormatting>
  <conditionalFormatting sqref="R52">
    <cfRule type="expression" dxfId="864" priority="1630" stopIfTrue="1">
      <formula>AND($D52&lt;&gt;"SI",$N52&lt;24)</formula>
    </cfRule>
  </conditionalFormatting>
  <conditionalFormatting sqref="R52">
    <cfRule type="expression" dxfId="863" priority="1629" stopIfTrue="1">
      <formula>AND($D52&lt;&gt;"SI",$N52&lt;24)</formula>
    </cfRule>
  </conditionalFormatting>
  <conditionalFormatting sqref="R52">
    <cfRule type="expression" dxfId="862" priority="1628" stopIfTrue="1">
      <formula>AND($D52&lt;&gt;"SI",$N52&lt;24)</formula>
    </cfRule>
  </conditionalFormatting>
  <conditionalFormatting sqref="R52">
    <cfRule type="expression" dxfId="861" priority="1627" stopIfTrue="1">
      <formula>AND($D52&lt;&gt;"SI",$N52&lt;24)</formula>
    </cfRule>
  </conditionalFormatting>
  <conditionalFormatting sqref="R52">
    <cfRule type="expression" dxfId="860" priority="1626" stopIfTrue="1">
      <formula>AND($D52&lt;&gt;"SI",$N52&lt;24)</formula>
    </cfRule>
  </conditionalFormatting>
  <conditionalFormatting sqref="R52">
    <cfRule type="expression" dxfId="859" priority="1625" stopIfTrue="1">
      <formula>AND($D52&lt;&gt;"SI",$N52&lt;24)</formula>
    </cfRule>
  </conditionalFormatting>
  <conditionalFormatting sqref="R52">
    <cfRule type="expression" dxfId="858" priority="1624" stopIfTrue="1">
      <formula>AND($D52&lt;&gt;"SI",$N52&lt;24)</formula>
    </cfRule>
  </conditionalFormatting>
  <conditionalFormatting sqref="R52">
    <cfRule type="expression" dxfId="857" priority="1623" stopIfTrue="1">
      <formula>AND($D52&lt;&gt;"SI",$N52&lt;24)</formula>
    </cfRule>
  </conditionalFormatting>
  <conditionalFormatting sqref="R52">
    <cfRule type="expression" dxfId="856" priority="1622" stopIfTrue="1">
      <formula>AND($D52&lt;&gt;"SI",$N52&lt;24)</formula>
    </cfRule>
  </conditionalFormatting>
  <conditionalFormatting sqref="R52">
    <cfRule type="expression" dxfId="855" priority="1621" stopIfTrue="1">
      <formula>AND($D52&lt;&gt;"SI",$N52&lt;24)</formula>
    </cfRule>
  </conditionalFormatting>
  <conditionalFormatting sqref="R52">
    <cfRule type="expression" dxfId="854" priority="1620" stopIfTrue="1">
      <formula>AND($D52&lt;&gt;"SI",$N52&lt;24)</formula>
    </cfRule>
  </conditionalFormatting>
  <conditionalFormatting sqref="R52">
    <cfRule type="expression" dxfId="853" priority="1619" stopIfTrue="1">
      <formula>AND($D52&lt;&gt;"SI",$N52&lt;24)</formula>
    </cfRule>
  </conditionalFormatting>
  <conditionalFormatting sqref="R52">
    <cfRule type="expression" dxfId="852" priority="1618" stopIfTrue="1">
      <formula>AND($D52&lt;&gt;"SI",$N52&lt;24)</formula>
    </cfRule>
  </conditionalFormatting>
  <conditionalFormatting sqref="F17 F19">
    <cfRule type="expression" dxfId="851" priority="688" stopIfTrue="1">
      <formula>AND($D17&lt;&gt;"SI",$E17&lt;24)</formula>
    </cfRule>
  </conditionalFormatting>
  <conditionalFormatting sqref="F17 F19">
    <cfRule type="expression" dxfId="850" priority="687" stopIfTrue="1">
      <formula>AND($D17&lt;&gt;"SI",$E17&lt;24)</formula>
    </cfRule>
  </conditionalFormatting>
  <conditionalFormatting sqref="F17 F19">
    <cfRule type="expression" dxfId="849" priority="686" stopIfTrue="1">
      <formula>AND($D17&lt;&gt;"SI",$E17&lt;24)</formula>
    </cfRule>
  </conditionalFormatting>
  <conditionalFormatting sqref="F17 F19">
    <cfRule type="expression" dxfId="848" priority="685" stopIfTrue="1">
      <formula>AND($D17&lt;&gt;"SI",$E17&lt;24)</formula>
    </cfRule>
  </conditionalFormatting>
  <conditionalFormatting sqref="F17 F19">
    <cfRule type="expression" dxfId="847" priority="684" stopIfTrue="1">
      <formula>AND($D17&lt;&gt;"SI",$E17&lt;24)</formula>
    </cfRule>
  </conditionalFormatting>
  <conditionalFormatting sqref="F17 F19">
    <cfRule type="expression" dxfId="846" priority="683" stopIfTrue="1">
      <formula>AND($D17&lt;&gt;"SI",$E17&lt;24)</formula>
    </cfRule>
  </conditionalFormatting>
  <conditionalFormatting sqref="F17 F19">
    <cfRule type="expression" dxfId="845" priority="682" stopIfTrue="1">
      <formula>AND($D17&lt;&gt;"SI",$E17&lt;24)</formula>
    </cfRule>
  </conditionalFormatting>
  <conditionalFormatting sqref="F17 F19">
    <cfRule type="expression" dxfId="844" priority="681" stopIfTrue="1">
      <formula>AND($D17&lt;&gt;"SI",$E17&lt;24)</formula>
    </cfRule>
  </conditionalFormatting>
  <conditionalFormatting sqref="F17 F19">
    <cfRule type="expression" dxfId="843" priority="680" stopIfTrue="1">
      <formula>AND($D17&lt;&gt;"SI",$E17&lt;24)</formula>
    </cfRule>
  </conditionalFormatting>
  <conditionalFormatting sqref="F17 F19">
    <cfRule type="expression" dxfId="842" priority="679" stopIfTrue="1">
      <formula>AND($D17&lt;&gt;"SI",$E17&lt;24)</formula>
    </cfRule>
  </conditionalFormatting>
  <conditionalFormatting sqref="F17 F19">
    <cfRule type="expression" dxfId="841" priority="678" stopIfTrue="1">
      <formula>AND($D17&lt;&gt;"SI",$E17&lt;24)</formula>
    </cfRule>
  </conditionalFormatting>
  <conditionalFormatting sqref="F17 F19">
    <cfRule type="expression" dxfId="840" priority="677" stopIfTrue="1">
      <formula>AND($D17&lt;&gt;"SI",$E17&lt;24)</formula>
    </cfRule>
  </conditionalFormatting>
  <conditionalFormatting sqref="F17 F19">
    <cfRule type="expression" dxfId="839" priority="676" stopIfTrue="1">
      <formula>AND($D17&lt;&gt;"SI",$E17&lt;24)</formula>
    </cfRule>
  </conditionalFormatting>
  <conditionalFormatting sqref="F17 F19">
    <cfRule type="expression" dxfId="838" priority="675" stopIfTrue="1">
      <formula>AND($D17&lt;&gt;"SI",$E17&lt;24)</formula>
    </cfRule>
  </conditionalFormatting>
  <conditionalFormatting sqref="F17 F19">
    <cfRule type="expression" dxfId="837" priority="674" stopIfTrue="1">
      <formula>AND($D17&lt;&gt;"SI",$E17&lt;24)</formula>
    </cfRule>
  </conditionalFormatting>
  <conditionalFormatting sqref="F17 F19">
    <cfRule type="expression" dxfId="836" priority="673" stopIfTrue="1">
      <formula>AND($D17&lt;&gt;"SI",$E17&lt;24)</formula>
    </cfRule>
  </conditionalFormatting>
  <conditionalFormatting sqref="F17 F19">
    <cfRule type="expression" dxfId="835" priority="672" stopIfTrue="1">
      <formula>AND($D17&lt;&gt;"SI",$E17&lt;24)</formula>
    </cfRule>
  </conditionalFormatting>
  <conditionalFormatting sqref="F17 F19">
    <cfRule type="expression" dxfId="834" priority="671" stopIfTrue="1">
      <formula>AND($D17&lt;&gt;"SI",$E17&lt;24)</formula>
    </cfRule>
  </conditionalFormatting>
  <conditionalFormatting sqref="F17 F19">
    <cfRule type="expression" dxfId="833" priority="670" stopIfTrue="1">
      <formula>AND($D17&lt;&gt;"SI",$E17&lt;24)</formula>
    </cfRule>
  </conditionalFormatting>
  <conditionalFormatting sqref="F17 F19">
    <cfRule type="expression" dxfId="832" priority="669" stopIfTrue="1">
      <formula>AND($D17&lt;&gt;"SI",$E17&lt;24)</formula>
    </cfRule>
  </conditionalFormatting>
  <conditionalFormatting sqref="F17 F19">
    <cfRule type="expression" dxfId="831" priority="668" stopIfTrue="1">
      <formula>AND($D17&lt;&gt;"SI",$E17&lt;24)</formula>
    </cfRule>
  </conditionalFormatting>
  <conditionalFormatting sqref="F17 F19">
    <cfRule type="expression" dxfId="830" priority="667" stopIfTrue="1">
      <formula>AND($D17&lt;&gt;"SI",$E17&lt;24)</formula>
    </cfRule>
  </conditionalFormatting>
  <conditionalFormatting sqref="F17 F19">
    <cfRule type="expression" dxfId="829" priority="666" stopIfTrue="1">
      <formula>AND($D17&lt;&gt;"SI",$E17&lt;24)</formula>
    </cfRule>
  </conditionalFormatting>
  <conditionalFormatting sqref="F38">
    <cfRule type="expression" dxfId="828" priority="619" stopIfTrue="1">
      <formula>AND($D38&lt;&gt;"SI",$E38&lt;24)</formula>
    </cfRule>
  </conditionalFormatting>
  <conditionalFormatting sqref="F38">
    <cfRule type="expression" dxfId="827" priority="618" stopIfTrue="1">
      <formula>AND($D38&lt;&gt;"SI",$E38&lt;24)</formula>
    </cfRule>
  </conditionalFormatting>
  <conditionalFormatting sqref="F38">
    <cfRule type="expression" dxfId="826" priority="617" stopIfTrue="1">
      <formula>AND($D38&lt;&gt;"SI",$E38&lt;24)</formula>
    </cfRule>
  </conditionalFormatting>
  <conditionalFormatting sqref="F38">
    <cfRule type="expression" dxfId="825" priority="616" stopIfTrue="1">
      <formula>AND($D38&lt;&gt;"SI",$E38&lt;24)</formula>
    </cfRule>
  </conditionalFormatting>
  <conditionalFormatting sqref="F38">
    <cfRule type="expression" dxfId="824" priority="615" stopIfTrue="1">
      <formula>AND($D38&lt;&gt;"SI",$E38&lt;24)</formula>
    </cfRule>
  </conditionalFormatting>
  <conditionalFormatting sqref="F38">
    <cfRule type="expression" dxfId="823" priority="614" stopIfTrue="1">
      <formula>AND($D38&lt;&gt;"SI",$E38&lt;24)</formula>
    </cfRule>
  </conditionalFormatting>
  <conditionalFormatting sqref="F38">
    <cfRule type="expression" dxfId="822" priority="613" stopIfTrue="1">
      <formula>AND($D38&lt;&gt;"SI",$E38&lt;24)</formula>
    </cfRule>
  </conditionalFormatting>
  <conditionalFormatting sqref="F38">
    <cfRule type="expression" dxfId="821" priority="612" stopIfTrue="1">
      <formula>AND($D38&lt;&gt;"SI",$E38&lt;24)</formula>
    </cfRule>
  </conditionalFormatting>
  <conditionalFormatting sqref="F38">
    <cfRule type="expression" dxfId="820" priority="611" stopIfTrue="1">
      <formula>AND($D38&lt;&gt;"SI",$E38&lt;24)</formula>
    </cfRule>
  </conditionalFormatting>
  <conditionalFormatting sqref="F38">
    <cfRule type="expression" dxfId="819" priority="610" stopIfTrue="1">
      <formula>AND($D38&lt;&gt;"SI",$E38&lt;24)</formula>
    </cfRule>
  </conditionalFormatting>
  <conditionalFormatting sqref="F38">
    <cfRule type="expression" dxfId="818" priority="609" stopIfTrue="1">
      <formula>AND($D38&lt;&gt;"SI",$E38&lt;24)</formula>
    </cfRule>
  </conditionalFormatting>
  <conditionalFormatting sqref="F38">
    <cfRule type="expression" dxfId="817" priority="608" stopIfTrue="1">
      <formula>AND($D38&lt;&gt;"SI",$E38&lt;24)</formula>
    </cfRule>
  </conditionalFormatting>
  <conditionalFormatting sqref="F38">
    <cfRule type="expression" dxfId="816" priority="607" stopIfTrue="1">
      <formula>AND($D38&lt;&gt;"SI",$E38&lt;24)</formula>
    </cfRule>
  </conditionalFormatting>
  <conditionalFormatting sqref="F38">
    <cfRule type="expression" dxfId="815" priority="606" stopIfTrue="1">
      <formula>AND($D38&lt;&gt;"SI",$E38&lt;24)</formula>
    </cfRule>
  </conditionalFormatting>
  <conditionalFormatting sqref="F38">
    <cfRule type="expression" dxfId="814" priority="605" stopIfTrue="1">
      <formula>AND($D38&lt;&gt;"SI",$E38&lt;24)</formula>
    </cfRule>
  </conditionalFormatting>
  <conditionalFormatting sqref="F38">
    <cfRule type="expression" dxfId="813" priority="604" stopIfTrue="1">
      <formula>AND($D38&lt;&gt;"SI",$E38&lt;24)</formula>
    </cfRule>
  </conditionalFormatting>
  <conditionalFormatting sqref="F38">
    <cfRule type="expression" dxfId="812" priority="603" stopIfTrue="1">
      <formula>AND($D38&lt;&gt;"SI",$E38&lt;24)</formula>
    </cfRule>
  </conditionalFormatting>
  <conditionalFormatting sqref="F38">
    <cfRule type="expression" dxfId="811" priority="602" stopIfTrue="1">
      <formula>AND($D38&lt;&gt;"SI",$E38&lt;24)</formula>
    </cfRule>
  </conditionalFormatting>
  <conditionalFormatting sqref="F38">
    <cfRule type="expression" dxfId="810" priority="601" stopIfTrue="1">
      <formula>AND($D38&lt;&gt;"SI",$E38&lt;24)</formula>
    </cfRule>
  </conditionalFormatting>
  <conditionalFormatting sqref="F38">
    <cfRule type="expression" dxfId="809" priority="600" stopIfTrue="1">
      <formula>AND($D38&lt;&gt;"SI",$E38&lt;24)</formula>
    </cfRule>
  </conditionalFormatting>
  <conditionalFormatting sqref="F38">
    <cfRule type="expression" dxfId="808" priority="599" stopIfTrue="1">
      <formula>AND($D38&lt;&gt;"SI",$E38&lt;24)</formula>
    </cfRule>
  </conditionalFormatting>
  <conditionalFormatting sqref="F38">
    <cfRule type="expression" dxfId="807" priority="598" stopIfTrue="1">
      <formula>AND($D38&lt;&gt;"SI",$E38&lt;24)</formula>
    </cfRule>
  </conditionalFormatting>
  <conditionalFormatting sqref="F38">
    <cfRule type="expression" dxfId="806" priority="597" stopIfTrue="1">
      <formula>AND($D38&lt;&gt;"SI",$E38&lt;24)</formula>
    </cfRule>
  </conditionalFormatting>
  <conditionalFormatting sqref="F40">
    <cfRule type="expression" dxfId="805" priority="596" stopIfTrue="1">
      <formula>AND($D40&lt;&gt;"SI",$E40&lt;24)</formula>
    </cfRule>
  </conditionalFormatting>
  <conditionalFormatting sqref="F40">
    <cfRule type="expression" dxfId="804" priority="595" stopIfTrue="1">
      <formula>AND($D40&lt;&gt;"SI",$E40&lt;24)</formula>
    </cfRule>
  </conditionalFormatting>
  <conditionalFormatting sqref="F40">
    <cfRule type="expression" dxfId="803" priority="594" stopIfTrue="1">
      <formula>AND($D40&lt;&gt;"SI",$E40&lt;24)</formula>
    </cfRule>
  </conditionalFormatting>
  <conditionalFormatting sqref="F40">
    <cfRule type="expression" dxfId="802" priority="593" stopIfTrue="1">
      <formula>AND($D40&lt;&gt;"SI",$E40&lt;24)</formula>
    </cfRule>
  </conditionalFormatting>
  <conditionalFormatting sqref="F40">
    <cfRule type="expression" dxfId="801" priority="592" stopIfTrue="1">
      <formula>AND($D40&lt;&gt;"SI",$E40&lt;24)</formula>
    </cfRule>
  </conditionalFormatting>
  <conditionalFormatting sqref="F40">
    <cfRule type="expression" dxfId="800" priority="591" stopIfTrue="1">
      <formula>AND($D40&lt;&gt;"SI",$E40&lt;24)</formula>
    </cfRule>
  </conditionalFormatting>
  <conditionalFormatting sqref="F40">
    <cfRule type="expression" dxfId="799" priority="590" stopIfTrue="1">
      <formula>AND($D40&lt;&gt;"SI",$E40&lt;24)</formula>
    </cfRule>
  </conditionalFormatting>
  <conditionalFormatting sqref="F40">
    <cfRule type="expression" dxfId="798" priority="589" stopIfTrue="1">
      <formula>AND($D40&lt;&gt;"SI",$E40&lt;24)</formula>
    </cfRule>
  </conditionalFormatting>
  <conditionalFormatting sqref="F40">
    <cfRule type="expression" dxfId="797" priority="588" stopIfTrue="1">
      <formula>AND($D40&lt;&gt;"SI",$E40&lt;24)</formula>
    </cfRule>
  </conditionalFormatting>
  <conditionalFormatting sqref="F40">
    <cfRule type="expression" dxfId="796" priority="587" stopIfTrue="1">
      <formula>AND($D40&lt;&gt;"SI",$E40&lt;24)</formula>
    </cfRule>
  </conditionalFormatting>
  <conditionalFormatting sqref="F40">
    <cfRule type="expression" dxfId="795" priority="586" stopIfTrue="1">
      <formula>AND($D40&lt;&gt;"SI",$E40&lt;24)</formula>
    </cfRule>
  </conditionalFormatting>
  <conditionalFormatting sqref="F40">
    <cfRule type="expression" dxfId="794" priority="585" stopIfTrue="1">
      <formula>AND($D40&lt;&gt;"SI",$E40&lt;24)</formula>
    </cfRule>
  </conditionalFormatting>
  <conditionalFormatting sqref="F40">
    <cfRule type="expression" dxfId="793" priority="584" stopIfTrue="1">
      <formula>AND($D40&lt;&gt;"SI",$E40&lt;24)</formula>
    </cfRule>
  </conditionalFormatting>
  <conditionalFormatting sqref="F40">
    <cfRule type="expression" dxfId="792" priority="583" stopIfTrue="1">
      <formula>AND($D40&lt;&gt;"SI",$E40&lt;24)</formula>
    </cfRule>
  </conditionalFormatting>
  <conditionalFormatting sqref="F40">
    <cfRule type="expression" dxfId="791" priority="582" stopIfTrue="1">
      <formula>AND($D40&lt;&gt;"SI",$E40&lt;24)</formula>
    </cfRule>
  </conditionalFormatting>
  <conditionalFormatting sqref="F40">
    <cfRule type="expression" dxfId="790" priority="581" stopIfTrue="1">
      <formula>AND($D40&lt;&gt;"SI",$E40&lt;24)</formula>
    </cfRule>
  </conditionalFormatting>
  <conditionalFormatting sqref="F40">
    <cfRule type="expression" dxfId="789" priority="580" stopIfTrue="1">
      <formula>AND($D40&lt;&gt;"SI",$E40&lt;24)</formula>
    </cfRule>
  </conditionalFormatting>
  <conditionalFormatting sqref="F40">
    <cfRule type="expression" dxfId="788" priority="579" stopIfTrue="1">
      <formula>AND($D40&lt;&gt;"SI",$E40&lt;24)</formula>
    </cfRule>
  </conditionalFormatting>
  <conditionalFormatting sqref="F40">
    <cfRule type="expression" dxfId="787" priority="578" stopIfTrue="1">
      <formula>AND($D40&lt;&gt;"SI",$E40&lt;24)</formula>
    </cfRule>
  </conditionalFormatting>
  <conditionalFormatting sqref="F40">
    <cfRule type="expression" dxfId="786" priority="577" stopIfTrue="1">
      <formula>AND($D40&lt;&gt;"SI",$E40&lt;24)</formula>
    </cfRule>
  </conditionalFormatting>
  <conditionalFormatting sqref="F40">
    <cfRule type="expression" dxfId="785" priority="576" stopIfTrue="1">
      <formula>AND($D40&lt;&gt;"SI",$E40&lt;24)</formula>
    </cfRule>
  </conditionalFormatting>
  <conditionalFormatting sqref="F40">
    <cfRule type="expression" dxfId="784" priority="575" stopIfTrue="1">
      <formula>AND($D40&lt;&gt;"SI",$E40&lt;24)</formula>
    </cfRule>
  </conditionalFormatting>
  <conditionalFormatting sqref="F40">
    <cfRule type="expression" dxfId="783" priority="574" stopIfTrue="1">
      <formula>AND($D40&lt;&gt;"SI",$E40&lt;24)</formula>
    </cfRule>
  </conditionalFormatting>
  <conditionalFormatting sqref="F16">
    <cfRule type="expression" dxfId="782" priority="550" stopIfTrue="1">
      <formula>AND($D16&lt;&gt;"SI",$E16&lt;24)</formula>
    </cfRule>
  </conditionalFormatting>
  <conditionalFormatting sqref="F16">
    <cfRule type="expression" dxfId="781" priority="549" stopIfTrue="1">
      <formula>AND($D16&lt;&gt;"SI",$E16&lt;24)</formula>
    </cfRule>
  </conditionalFormatting>
  <conditionalFormatting sqref="F16">
    <cfRule type="expression" dxfId="780" priority="548" stopIfTrue="1">
      <formula>AND($D16&lt;&gt;"SI",$E16&lt;24)</formula>
    </cfRule>
  </conditionalFormatting>
  <conditionalFormatting sqref="F16">
    <cfRule type="expression" dxfId="779" priority="547" stopIfTrue="1">
      <formula>AND($D16&lt;&gt;"SI",$E16&lt;24)</formula>
    </cfRule>
  </conditionalFormatting>
  <conditionalFormatting sqref="F16">
    <cfRule type="expression" dxfId="778" priority="546" stopIfTrue="1">
      <formula>AND($D16&lt;&gt;"SI",$E16&lt;24)</formula>
    </cfRule>
  </conditionalFormatting>
  <conditionalFormatting sqref="F16">
    <cfRule type="expression" dxfId="777" priority="545" stopIfTrue="1">
      <formula>AND($D16&lt;&gt;"SI",$E16&lt;24)</formula>
    </cfRule>
  </conditionalFormatting>
  <conditionalFormatting sqref="F16">
    <cfRule type="expression" dxfId="776" priority="544" stopIfTrue="1">
      <formula>AND($D16&lt;&gt;"SI",$E16&lt;24)</formula>
    </cfRule>
  </conditionalFormatting>
  <conditionalFormatting sqref="F16">
    <cfRule type="expression" dxfId="775" priority="543" stopIfTrue="1">
      <formula>AND($D16&lt;&gt;"SI",$E16&lt;24)</formula>
    </cfRule>
  </conditionalFormatting>
  <conditionalFormatting sqref="F16">
    <cfRule type="expression" dxfId="774" priority="542" stopIfTrue="1">
      <formula>AND($D16&lt;&gt;"SI",$E16&lt;24)</formula>
    </cfRule>
  </conditionalFormatting>
  <conditionalFormatting sqref="F16">
    <cfRule type="expression" dxfId="773" priority="541" stopIfTrue="1">
      <formula>AND($D16&lt;&gt;"SI",$E16&lt;24)</formula>
    </cfRule>
  </conditionalFormatting>
  <conditionalFormatting sqref="F16">
    <cfRule type="expression" dxfId="772" priority="540" stopIfTrue="1">
      <formula>AND($D16&lt;&gt;"SI",$E16&lt;24)</formula>
    </cfRule>
  </conditionalFormatting>
  <conditionalFormatting sqref="F16">
    <cfRule type="expression" dxfId="771" priority="539" stopIfTrue="1">
      <formula>AND($D16&lt;&gt;"SI",$E16&lt;24)</formula>
    </cfRule>
  </conditionalFormatting>
  <conditionalFormatting sqref="F16">
    <cfRule type="expression" dxfId="770" priority="538" stopIfTrue="1">
      <formula>AND($D16&lt;&gt;"SI",$E16&lt;24)</formula>
    </cfRule>
  </conditionalFormatting>
  <conditionalFormatting sqref="F16">
    <cfRule type="expression" dxfId="769" priority="537" stopIfTrue="1">
      <formula>AND($D16&lt;&gt;"SI",$E16&lt;24)</formula>
    </cfRule>
  </conditionalFormatting>
  <conditionalFormatting sqref="F16">
    <cfRule type="expression" dxfId="768" priority="536" stopIfTrue="1">
      <formula>AND($D16&lt;&gt;"SI",$E16&lt;24)</formula>
    </cfRule>
  </conditionalFormatting>
  <conditionalFormatting sqref="F16">
    <cfRule type="expression" dxfId="767" priority="535" stopIfTrue="1">
      <formula>AND($D16&lt;&gt;"SI",$E16&lt;24)</formula>
    </cfRule>
  </conditionalFormatting>
  <conditionalFormatting sqref="F16">
    <cfRule type="expression" dxfId="766" priority="534" stopIfTrue="1">
      <formula>AND($D16&lt;&gt;"SI",$E16&lt;24)</formula>
    </cfRule>
  </conditionalFormatting>
  <conditionalFormatting sqref="F16">
    <cfRule type="expression" dxfId="765" priority="533" stopIfTrue="1">
      <formula>AND($D16&lt;&gt;"SI",$E16&lt;24)</formula>
    </cfRule>
  </conditionalFormatting>
  <conditionalFormatting sqref="F16">
    <cfRule type="expression" dxfId="764" priority="532" stopIfTrue="1">
      <formula>AND($D16&lt;&gt;"SI",$E16&lt;24)</formula>
    </cfRule>
  </conditionalFormatting>
  <conditionalFormatting sqref="F16">
    <cfRule type="expression" dxfId="763" priority="531" stopIfTrue="1">
      <formula>AND($D16&lt;&gt;"SI",$E16&lt;24)</formula>
    </cfRule>
  </conditionalFormatting>
  <conditionalFormatting sqref="F16">
    <cfRule type="expression" dxfId="762" priority="530" stopIfTrue="1">
      <formula>AND($D16&lt;&gt;"SI",$E16&lt;24)</formula>
    </cfRule>
  </conditionalFormatting>
  <conditionalFormatting sqref="F16">
    <cfRule type="expression" dxfId="761" priority="529" stopIfTrue="1">
      <formula>AND($D16&lt;&gt;"SI",$E16&lt;24)</formula>
    </cfRule>
  </conditionalFormatting>
  <conditionalFormatting sqref="F16">
    <cfRule type="expression" dxfId="760" priority="528" stopIfTrue="1">
      <formula>AND($D16&lt;&gt;"SI",$E16&lt;24)</formula>
    </cfRule>
  </conditionalFormatting>
  <conditionalFormatting sqref="F22">
    <cfRule type="expression" dxfId="759" priority="527" stopIfTrue="1">
      <formula>AND($D22&lt;&gt;"SI",$E22&lt;24)</formula>
    </cfRule>
  </conditionalFormatting>
  <conditionalFormatting sqref="F22">
    <cfRule type="expression" dxfId="758" priority="526" stopIfTrue="1">
      <formula>AND($D22&lt;&gt;"SI",$E22&lt;24)</formula>
    </cfRule>
  </conditionalFormatting>
  <conditionalFormatting sqref="F22">
    <cfRule type="expression" dxfId="757" priority="525" stopIfTrue="1">
      <formula>AND($D22&lt;&gt;"SI",$E22&lt;24)</formula>
    </cfRule>
  </conditionalFormatting>
  <conditionalFormatting sqref="F22">
    <cfRule type="expression" dxfId="756" priority="524" stopIfTrue="1">
      <formula>AND($D22&lt;&gt;"SI",$E22&lt;24)</formula>
    </cfRule>
  </conditionalFormatting>
  <conditionalFormatting sqref="F22">
    <cfRule type="expression" dxfId="755" priority="523" stopIfTrue="1">
      <formula>AND($D22&lt;&gt;"SI",$E22&lt;24)</formula>
    </cfRule>
  </conditionalFormatting>
  <conditionalFormatting sqref="F22">
    <cfRule type="expression" dxfId="754" priority="522" stopIfTrue="1">
      <formula>AND($D22&lt;&gt;"SI",$E22&lt;24)</formula>
    </cfRule>
  </conditionalFormatting>
  <conditionalFormatting sqref="F22">
    <cfRule type="expression" dxfId="753" priority="521" stopIfTrue="1">
      <formula>AND($D22&lt;&gt;"SI",$E22&lt;24)</formula>
    </cfRule>
  </conditionalFormatting>
  <conditionalFormatting sqref="F22">
    <cfRule type="expression" dxfId="752" priority="520" stopIfTrue="1">
      <formula>AND($D22&lt;&gt;"SI",$E22&lt;24)</formula>
    </cfRule>
  </conditionalFormatting>
  <conditionalFormatting sqref="F22">
    <cfRule type="expression" dxfId="751" priority="519" stopIfTrue="1">
      <formula>AND($D22&lt;&gt;"SI",$E22&lt;24)</formula>
    </cfRule>
  </conditionalFormatting>
  <conditionalFormatting sqref="F22">
    <cfRule type="expression" dxfId="750" priority="518" stopIfTrue="1">
      <formula>AND($D22&lt;&gt;"SI",$E22&lt;24)</formula>
    </cfRule>
  </conditionalFormatting>
  <conditionalFormatting sqref="F22">
    <cfRule type="expression" dxfId="749" priority="517" stopIfTrue="1">
      <formula>AND($D22&lt;&gt;"SI",$E22&lt;24)</formula>
    </cfRule>
  </conditionalFormatting>
  <conditionalFormatting sqref="F22">
    <cfRule type="expression" dxfId="748" priority="516" stopIfTrue="1">
      <formula>AND($D22&lt;&gt;"SI",$E22&lt;24)</formula>
    </cfRule>
  </conditionalFormatting>
  <conditionalFormatting sqref="F22">
    <cfRule type="expression" dxfId="747" priority="515" stopIfTrue="1">
      <formula>AND($D22&lt;&gt;"SI",$E22&lt;24)</formula>
    </cfRule>
  </conditionalFormatting>
  <conditionalFormatting sqref="F22">
    <cfRule type="expression" dxfId="746" priority="514" stopIfTrue="1">
      <formula>AND($D22&lt;&gt;"SI",$E22&lt;24)</formula>
    </cfRule>
  </conditionalFormatting>
  <conditionalFormatting sqref="F22">
    <cfRule type="expression" dxfId="745" priority="513" stopIfTrue="1">
      <formula>AND($D22&lt;&gt;"SI",$E22&lt;24)</formula>
    </cfRule>
  </conditionalFormatting>
  <conditionalFormatting sqref="F22">
    <cfRule type="expression" dxfId="744" priority="512" stopIfTrue="1">
      <formula>AND($D22&lt;&gt;"SI",$E22&lt;24)</formula>
    </cfRule>
  </conditionalFormatting>
  <conditionalFormatting sqref="F22">
    <cfRule type="expression" dxfId="743" priority="511" stopIfTrue="1">
      <formula>AND($D22&lt;&gt;"SI",$E22&lt;24)</formula>
    </cfRule>
  </conditionalFormatting>
  <conditionalFormatting sqref="F22">
    <cfRule type="expression" dxfId="742" priority="510" stopIfTrue="1">
      <formula>AND($D22&lt;&gt;"SI",$E22&lt;24)</formula>
    </cfRule>
  </conditionalFormatting>
  <conditionalFormatting sqref="F22">
    <cfRule type="expression" dxfId="741" priority="509" stopIfTrue="1">
      <formula>AND($D22&lt;&gt;"SI",$E22&lt;24)</formula>
    </cfRule>
  </conditionalFormatting>
  <conditionalFormatting sqref="F22">
    <cfRule type="expression" dxfId="740" priority="508" stopIfTrue="1">
      <formula>AND($D22&lt;&gt;"SI",$E22&lt;24)</formula>
    </cfRule>
  </conditionalFormatting>
  <conditionalFormatting sqref="F22">
    <cfRule type="expression" dxfId="739" priority="507" stopIfTrue="1">
      <formula>AND($D22&lt;&gt;"SI",$E22&lt;24)</formula>
    </cfRule>
  </conditionalFormatting>
  <conditionalFormatting sqref="F22">
    <cfRule type="expression" dxfId="738" priority="506" stopIfTrue="1">
      <formula>AND($D22&lt;&gt;"SI",$E22&lt;24)</formula>
    </cfRule>
  </conditionalFormatting>
  <conditionalFormatting sqref="F22">
    <cfRule type="expression" dxfId="737" priority="505" stopIfTrue="1">
      <formula>AND($D22&lt;&gt;"SI",$E22&lt;24)</formula>
    </cfRule>
  </conditionalFormatting>
  <conditionalFormatting sqref="R53">
    <cfRule type="expression" dxfId="736" priority="504" stopIfTrue="1">
      <formula>AND($D53&lt;&gt;"SI",$N53&lt;24)</formula>
    </cfRule>
  </conditionalFormatting>
  <conditionalFormatting sqref="R53">
    <cfRule type="expression" dxfId="735" priority="503" stopIfTrue="1">
      <formula>AND($D53&lt;&gt;"SI",$N53&lt;24)</formula>
    </cfRule>
  </conditionalFormatting>
  <conditionalFormatting sqref="R53">
    <cfRule type="expression" dxfId="734" priority="502" stopIfTrue="1">
      <formula>AND($D53&lt;&gt;"SI",$N53&lt;24)</formula>
    </cfRule>
  </conditionalFormatting>
  <conditionalFormatting sqref="R53">
    <cfRule type="expression" dxfId="733" priority="501" stopIfTrue="1">
      <formula>AND($D53&lt;&gt;"SI",$N53&lt;24)</formula>
    </cfRule>
  </conditionalFormatting>
  <conditionalFormatting sqref="R53">
    <cfRule type="expression" dxfId="732" priority="500" stopIfTrue="1">
      <formula>AND($D53&lt;&gt;"SI",$N53&lt;24)</formula>
    </cfRule>
  </conditionalFormatting>
  <conditionalFormatting sqref="R53">
    <cfRule type="expression" dxfId="731" priority="499" stopIfTrue="1">
      <formula>AND($D53&lt;&gt;"SI",$N53&lt;24)</formula>
    </cfRule>
  </conditionalFormatting>
  <conditionalFormatting sqref="R53">
    <cfRule type="expression" dxfId="730" priority="498" stopIfTrue="1">
      <formula>AND($D53&lt;&gt;"SI",$N53&lt;24)</formula>
    </cfRule>
  </conditionalFormatting>
  <conditionalFormatting sqref="R53">
    <cfRule type="expression" dxfId="729" priority="497" stopIfTrue="1">
      <formula>AND($D53&lt;&gt;"SI",$N53&lt;24)</formula>
    </cfRule>
  </conditionalFormatting>
  <conditionalFormatting sqref="R53">
    <cfRule type="expression" dxfId="728" priority="496" stopIfTrue="1">
      <formula>AND($D53&lt;&gt;"SI",$N53&lt;24)</formula>
    </cfRule>
  </conditionalFormatting>
  <conditionalFormatting sqref="R53">
    <cfRule type="expression" dxfId="727" priority="495" stopIfTrue="1">
      <formula>AND($D53&lt;&gt;"SI",$N53&lt;24)</formula>
    </cfRule>
  </conditionalFormatting>
  <conditionalFormatting sqref="R53">
    <cfRule type="expression" dxfId="726" priority="494" stopIfTrue="1">
      <formula>AND($D53&lt;&gt;"SI",$N53&lt;24)</formula>
    </cfRule>
  </conditionalFormatting>
  <conditionalFormatting sqref="R53">
    <cfRule type="expression" dxfId="725" priority="493" stopIfTrue="1">
      <formula>AND($D53&lt;&gt;"SI",$N53&lt;24)</formula>
    </cfRule>
  </conditionalFormatting>
  <conditionalFormatting sqref="R53">
    <cfRule type="expression" dxfId="724" priority="492" stopIfTrue="1">
      <formula>AND($D53&lt;&gt;"SI",$N53&lt;24)</formula>
    </cfRule>
  </conditionalFormatting>
  <conditionalFormatting sqref="R53">
    <cfRule type="expression" dxfId="723" priority="491" stopIfTrue="1">
      <formula>AND($D53&lt;&gt;"SI",$N53&lt;24)</formula>
    </cfRule>
  </conditionalFormatting>
  <conditionalFormatting sqref="R53">
    <cfRule type="expression" dxfId="722" priority="490" stopIfTrue="1">
      <formula>AND($D53&lt;&gt;"SI",$N53&lt;24)</formula>
    </cfRule>
  </conditionalFormatting>
  <conditionalFormatting sqref="R53">
    <cfRule type="expression" dxfId="721" priority="489" stopIfTrue="1">
      <formula>AND($D53&lt;&gt;"SI",$N53&lt;24)</formula>
    </cfRule>
  </conditionalFormatting>
  <conditionalFormatting sqref="R53">
    <cfRule type="expression" dxfId="720" priority="488" stopIfTrue="1">
      <formula>AND($D53&lt;&gt;"SI",$N53&lt;24)</formula>
    </cfRule>
  </conditionalFormatting>
  <conditionalFormatting sqref="R53">
    <cfRule type="expression" dxfId="719" priority="487" stopIfTrue="1">
      <formula>AND($D53&lt;&gt;"SI",$N53&lt;24)</formula>
    </cfRule>
  </conditionalFormatting>
  <conditionalFormatting sqref="R53">
    <cfRule type="expression" dxfId="718" priority="486" stopIfTrue="1">
      <formula>AND($D53&lt;&gt;"SI",$N53&lt;24)</formula>
    </cfRule>
  </conditionalFormatting>
  <conditionalFormatting sqref="R53">
    <cfRule type="expression" dxfId="717" priority="485" stopIfTrue="1">
      <formula>AND($D53&lt;&gt;"SI",$N53&lt;24)</formula>
    </cfRule>
  </conditionalFormatting>
  <conditionalFormatting sqref="R53">
    <cfRule type="expression" dxfId="716" priority="484" stopIfTrue="1">
      <formula>AND($D53&lt;&gt;"SI",$N53&lt;24)</formula>
    </cfRule>
  </conditionalFormatting>
  <conditionalFormatting sqref="R53">
    <cfRule type="expression" dxfId="715" priority="483" stopIfTrue="1">
      <formula>AND($D53&lt;&gt;"SI",$N53&lt;24)</formula>
    </cfRule>
  </conditionalFormatting>
  <conditionalFormatting sqref="R53">
    <cfRule type="expression" dxfId="714" priority="482" stopIfTrue="1">
      <formula>AND($D53&lt;&gt;"SI",$N53&lt;24)</formula>
    </cfRule>
  </conditionalFormatting>
  <conditionalFormatting sqref="R53">
    <cfRule type="expression" dxfId="713" priority="481" stopIfTrue="1">
      <formula>AND($D53&lt;&gt;"SI",$N53&lt;24)</formula>
    </cfRule>
  </conditionalFormatting>
  <conditionalFormatting sqref="R53">
    <cfRule type="expression" dxfId="712" priority="480" stopIfTrue="1">
      <formula>AND($D53&lt;&gt;"SI",$N53&lt;24)</formula>
    </cfRule>
  </conditionalFormatting>
  <conditionalFormatting sqref="R53">
    <cfRule type="expression" dxfId="711" priority="479" stopIfTrue="1">
      <formula>AND($D53&lt;&gt;"SI",$N53&lt;24)</formula>
    </cfRule>
  </conditionalFormatting>
  <conditionalFormatting sqref="R53">
    <cfRule type="expression" dxfId="710" priority="478" stopIfTrue="1">
      <formula>AND($D53&lt;&gt;"SI",$N53&lt;24)</formula>
    </cfRule>
  </conditionalFormatting>
  <conditionalFormatting sqref="R53">
    <cfRule type="expression" dxfId="709" priority="477" stopIfTrue="1">
      <formula>AND($D53&lt;&gt;"SI",$N53&lt;24)</formula>
    </cfRule>
  </conditionalFormatting>
  <conditionalFormatting sqref="R53">
    <cfRule type="expression" dxfId="708" priority="476" stopIfTrue="1">
      <formula>AND($D53&lt;&gt;"SI",$N53&lt;24)</formula>
    </cfRule>
  </conditionalFormatting>
  <conditionalFormatting sqref="R53">
    <cfRule type="expression" dxfId="707" priority="475" stopIfTrue="1">
      <formula>AND($D53&lt;&gt;"SI",$N53&lt;24)</formula>
    </cfRule>
  </conditionalFormatting>
  <conditionalFormatting sqref="R53">
    <cfRule type="expression" dxfId="706" priority="474" stopIfTrue="1">
      <formula>AND($D53&lt;&gt;"SI",$N53&lt;24)</formula>
    </cfRule>
  </conditionalFormatting>
  <conditionalFormatting sqref="R53">
    <cfRule type="expression" dxfId="705" priority="473" stopIfTrue="1">
      <formula>AND($D53&lt;&gt;"SI",$N53&lt;24)</formula>
    </cfRule>
  </conditionalFormatting>
  <conditionalFormatting sqref="R53">
    <cfRule type="expression" dxfId="704" priority="472" stopIfTrue="1">
      <formula>AND($D53&lt;&gt;"SI",$N53&lt;24)</formula>
    </cfRule>
  </conditionalFormatting>
  <conditionalFormatting sqref="R53">
    <cfRule type="expression" dxfId="703" priority="471" stopIfTrue="1">
      <formula>AND($D53&lt;&gt;"SI",$N53&lt;24)</formula>
    </cfRule>
  </conditionalFormatting>
  <conditionalFormatting sqref="R53">
    <cfRule type="expression" dxfId="702" priority="470" stopIfTrue="1">
      <formula>AND($D53&lt;&gt;"SI",$N53&lt;24)</formula>
    </cfRule>
  </conditionalFormatting>
  <conditionalFormatting sqref="R53">
    <cfRule type="expression" dxfId="701" priority="469" stopIfTrue="1">
      <formula>AND($D53&lt;&gt;"SI",$N53&lt;24)</formula>
    </cfRule>
  </conditionalFormatting>
  <conditionalFormatting sqref="R53">
    <cfRule type="expression" dxfId="700" priority="468" stopIfTrue="1">
      <formula>AND($D53&lt;&gt;"SI",$N53&lt;24)</formula>
    </cfRule>
  </conditionalFormatting>
  <conditionalFormatting sqref="R53">
    <cfRule type="expression" dxfId="699" priority="467" stopIfTrue="1">
      <formula>AND($D53&lt;&gt;"SI",$N53&lt;24)</formula>
    </cfRule>
  </conditionalFormatting>
  <conditionalFormatting sqref="R53">
    <cfRule type="expression" dxfId="698" priority="466" stopIfTrue="1">
      <formula>AND($D53&lt;&gt;"SI",$N53&lt;24)</formula>
    </cfRule>
  </conditionalFormatting>
  <conditionalFormatting sqref="R53">
    <cfRule type="expression" dxfId="697" priority="465" stopIfTrue="1">
      <formula>AND($D53&lt;&gt;"SI",$N53&lt;24)</formula>
    </cfRule>
  </conditionalFormatting>
  <conditionalFormatting sqref="R53">
    <cfRule type="expression" dxfId="696" priority="464" stopIfTrue="1">
      <formula>AND($D53&lt;&gt;"SI",$N53&lt;24)</formula>
    </cfRule>
  </conditionalFormatting>
  <conditionalFormatting sqref="R53">
    <cfRule type="expression" dxfId="695" priority="463" stopIfTrue="1">
      <formula>AND($D53&lt;&gt;"SI",$N53&lt;24)</formula>
    </cfRule>
  </conditionalFormatting>
  <conditionalFormatting sqref="R53">
    <cfRule type="expression" dxfId="694" priority="462" stopIfTrue="1">
      <formula>AND($D53&lt;&gt;"SI",$N53&lt;24)</formula>
    </cfRule>
  </conditionalFormatting>
  <conditionalFormatting sqref="R53">
    <cfRule type="expression" dxfId="693" priority="461" stopIfTrue="1">
      <formula>AND($D53&lt;&gt;"SI",$N53&lt;24)</formula>
    </cfRule>
  </conditionalFormatting>
  <conditionalFormatting sqref="R53">
    <cfRule type="expression" dxfId="692" priority="460" stopIfTrue="1">
      <formula>AND($D53&lt;&gt;"SI",$N53&lt;24)</formula>
    </cfRule>
  </conditionalFormatting>
  <conditionalFormatting sqref="R53">
    <cfRule type="expression" dxfId="691" priority="459" stopIfTrue="1">
      <formula>AND($D53&lt;&gt;"SI",$N53&lt;24)</formula>
    </cfRule>
  </conditionalFormatting>
  <conditionalFormatting sqref="R53">
    <cfRule type="expression" dxfId="690" priority="458" stopIfTrue="1">
      <formula>AND($D53&lt;&gt;"SI",$N53&lt;24)</formula>
    </cfRule>
  </conditionalFormatting>
  <conditionalFormatting sqref="R53">
    <cfRule type="expression" dxfId="689" priority="457" stopIfTrue="1">
      <formula>AND($D53&lt;&gt;"SI",$N53&lt;24)</formula>
    </cfRule>
  </conditionalFormatting>
  <conditionalFormatting sqref="R53">
    <cfRule type="expression" dxfId="688" priority="456" stopIfTrue="1">
      <formula>AND($D53&lt;&gt;"SI",$N53&lt;24)</formula>
    </cfRule>
  </conditionalFormatting>
  <conditionalFormatting sqref="R53">
    <cfRule type="expression" dxfId="687" priority="455" stopIfTrue="1">
      <formula>AND($D53&lt;&gt;"SI",$N53&lt;24)</formula>
    </cfRule>
  </conditionalFormatting>
  <conditionalFormatting sqref="R53">
    <cfRule type="expression" dxfId="686" priority="454" stopIfTrue="1">
      <formula>AND($D53&lt;&gt;"SI",$N53&lt;24)</formula>
    </cfRule>
  </conditionalFormatting>
  <conditionalFormatting sqref="R53">
    <cfRule type="expression" dxfId="685" priority="453" stopIfTrue="1">
      <formula>AND($D53&lt;&gt;"SI",$N53&lt;24)</formula>
    </cfRule>
  </conditionalFormatting>
  <conditionalFormatting sqref="R53">
    <cfRule type="expression" dxfId="684" priority="452" stopIfTrue="1">
      <formula>AND($D53&lt;&gt;"SI",$N53&lt;24)</formula>
    </cfRule>
  </conditionalFormatting>
  <conditionalFormatting sqref="R53">
    <cfRule type="expression" dxfId="683" priority="451" stopIfTrue="1">
      <formula>AND($D53&lt;&gt;"SI",$N53&lt;24)</formula>
    </cfRule>
  </conditionalFormatting>
  <conditionalFormatting sqref="R53">
    <cfRule type="expression" dxfId="682" priority="450" stopIfTrue="1">
      <formula>AND($D53&lt;&gt;"SI",$N53&lt;24)</formula>
    </cfRule>
  </conditionalFormatting>
  <conditionalFormatting sqref="R53">
    <cfRule type="expression" dxfId="681" priority="449" stopIfTrue="1">
      <formula>AND($D53&lt;&gt;"SI",$N53&lt;24)</formula>
    </cfRule>
  </conditionalFormatting>
  <conditionalFormatting sqref="R53">
    <cfRule type="expression" dxfId="680" priority="448" stopIfTrue="1">
      <formula>AND($D53&lt;&gt;"SI",$N53&lt;24)</formula>
    </cfRule>
  </conditionalFormatting>
  <conditionalFormatting sqref="R53">
    <cfRule type="expression" dxfId="679" priority="447" stopIfTrue="1">
      <formula>AND($D53&lt;&gt;"SI",$N53&lt;24)</formula>
    </cfRule>
  </conditionalFormatting>
  <conditionalFormatting sqref="R53">
    <cfRule type="expression" dxfId="678" priority="446" stopIfTrue="1">
      <formula>AND($D53&lt;&gt;"SI",$N53&lt;24)</formula>
    </cfRule>
  </conditionalFormatting>
  <conditionalFormatting sqref="R53">
    <cfRule type="expression" dxfId="677" priority="445" stopIfTrue="1">
      <formula>AND($D53&lt;&gt;"SI",$N53&lt;24)</formula>
    </cfRule>
  </conditionalFormatting>
  <conditionalFormatting sqref="R53">
    <cfRule type="expression" dxfId="676" priority="444" stopIfTrue="1">
      <formula>AND($D53&lt;&gt;"SI",$N53&lt;24)</formula>
    </cfRule>
  </conditionalFormatting>
  <conditionalFormatting sqref="R53">
    <cfRule type="expression" dxfId="675" priority="443" stopIfTrue="1">
      <formula>AND($D53&lt;&gt;"SI",$N53&lt;24)</formula>
    </cfRule>
  </conditionalFormatting>
  <conditionalFormatting sqref="R53">
    <cfRule type="expression" dxfId="674" priority="442" stopIfTrue="1">
      <formula>AND($D53&lt;&gt;"SI",$N53&lt;24)</formula>
    </cfRule>
  </conditionalFormatting>
  <conditionalFormatting sqref="R53">
    <cfRule type="expression" dxfId="673" priority="441" stopIfTrue="1">
      <formula>AND($D53&lt;&gt;"SI",$N53&lt;24)</formula>
    </cfRule>
  </conditionalFormatting>
  <conditionalFormatting sqref="R57">
    <cfRule type="expression" dxfId="672" priority="440" stopIfTrue="1">
      <formula>AND($D57&lt;&gt;"SI",$N57&lt;24)</formula>
    </cfRule>
  </conditionalFormatting>
  <conditionalFormatting sqref="R57">
    <cfRule type="expression" dxfId="671" priority="439" stopIfTrue="1">
      <formula>AND($D57&lt;&gt;"SI",$N57&lt;24)</formula>
    </cfRule>
  </conditionalFormatting>
  <conditionalFormatting sqref="R57">
    <cfRule type="expression" dxfId="670" priority="438" stopIfTrue="1">
      <formula>AND($D57&lt;&gt;"SI",$N57&lt;24)</formula>
    </cfRule>
  </conditionalFormatting>
  <conditionalFormatting sqref="R57">
    <cfRule type="expression" dxfId="669" priority="437" stopIfTrue="1">
      <formula>AND($D57&lt;&gt;"SI",$N57&lt;24)</formula>
    </cfRule>
  </conditionalFormatting>
  <conditionalFormatting sqref="R57">
    <cfRule type="expression" dxfId="668" priority="436" stopIfTrue="1">
      <formula>AND($D57&lt;&gt;"SI",$N57&lt;24)</formula>
    </cfRule>
  </conditionalFormatting>
  <conditionalFormatting sqref="R57">
    <cfRule type="expression" dxfId="667" priority="435" stopIfTrue="1">
      <formula>AND($D57&lt;&gt;"SI",$N57&lt;24)</formula>
    </cfRule>
  </conditionalFormatting>
  <conditionalFormatting sqref="R57">
    <cfRule type="expression" dxfId="666" priority="434" stopIfTrue="1">
      <formula>AND($D57&lt;&gt;"SI",$N57&lt;24)</formula>
    </cfRule>
  </conditionalFormatting>
  <conditionalFormatting sqref="R57">
    <cfRule type="expression" dxfId="665" priority="433" stopIfTrue="1">
      <formula>AND($D57&lt;&gt;"SI",$N57&lt;24)</formula>
    </cfRule>
  </conditionalFormatting>
  <conditionalFormatting sqref="R57">
    <cfRule type="expression" dxfId="664" priority="432" stopIfTrue="1">
      <formula>AND($D57&lt;&gt;"SI",$N57&lt;24)</formula>
    </cfRule>
  </conditionalFormatting>
  <conditionalFormatting sqref="R57">
    <cfRule type="expression" dxfId="663" priority="431" stopIfTrue="1">
      <formula>AND($D57&lt;&gt;"SI",$N57&lt;24)</formula>
    </cfRule>
  </conditionalFormatting>
  <conditionalFormatting sqref="R57">
    <cfRule type="expression" dxfId="662" priority="430" stopIfTrue="1">
      <formula>AND($D57&lt;&gt;"SI",$N57&lt;24)</formula>
    </cfRule>
  </conditionalFormatting>
  <conditionalFormatting sqref="R57">
    <cfRule type="expression" dxfId="661" priority="429" stopIfTrue="1">
      <formula>AND($D57&lt;&gt;"SI",$N57&lt;24)</formula>
    </cfRule>
  </conditionalFormatting>
  <conditionalFormatting sqref="R57">
    <cfRule type="expression" dxfId="660" priority="428" stopIfTrue="1">
      <formula>AND($D57&lt;&gt;"SI",$N57&lt;24)</formula>
    </cfRule>
  </conditionalFormatting>
  <conditionalFormatting sqref="R57">
    <cfRule type="expression" dxfId="659" priority="427" stopIfTrue="1">
      <formula>AND($D57&lt;&gt;"SI",$N57&lt;24)</formula>
    </cfRule>
  </conditionalFormatting>
  <conditionalFormatting sqref="R57">
    <cfRule type="expression" dxfId="658" priority="426" stopIfTrue="1">
      <formula>AND($D57&lt;&gt;"SI",$N57&lt;24)</formula>
    </cfRule>
  </conditionalFormatting>
  <conditionalFormatting sqref="R57">
    <cfRule type="expression" dxfId="657" priority="425" stopIfTrue="1">
      <formula>AND($D57&lt;&gt;"SI",$N57&lt;24)</formula>
    </cfRule>
  </conditionalFormatting>
  <conditionalFormatting sqref="R57">
    <cfRule type="expression" dxfId="656" priority="424" stopIfTrue="1">
      <formula>AND($D57&lt;&gt;"SI",$N57&lt;24)</formula>
    </cfRule>
  </conditionalFormatting>
  <conditionalFormatting sqref="R57">
    <cfRule type="expression" dxfId="655" priority="423" stopIfTrue="1">
      <formula>AND($D57&lt;&gt;"SI",$N57&lt;24)</formula>
    </cfRule>
  </conditionalFormatting>
  <conditionalFormatting sqref="R57">
    <cfRule type="expression" dxfId="654" priority="422" stopIfTrue="1">
      <formula>AND($D57&lt;&gt;"SI",$N57&lt;24)</formula>
    </cfRule>
  </conditionalFormatting>
  <conditionalFormatting sqref="R57">
    <cfRule type="expression" dxfId="653" priority="421" stopIfTrue="1">
      <formula>AND($D57&lt;&gt;"SI",$N57&lt;24)</formula>
    </cfRule>
  </conditionalFormatting>
  <conditionalFormatting sqref="R57">
    <cfRule type="expression" dxfId="652" priority="420" stopIfTrue="1">
      <formula>AND($D57&lt;&gt;"SI",$N57&lt;24)</formula>
    </cfRule>
  </conditionalFormatting>
  <conditionalFormatting sqref="R57">
    <cfRule type="expression" dxfId="651" priority="419" stopIfTrue="1">
      <formula>AND($D57&lt;&gt;"SI",$N57&lt;24)</formula>
    </cfRule>
  </conditionalFormatting>
  <conditionalFormatting sqref="R57">
    <cfRule type="expression" dxfId="650" priority="418" stopIfTrue="1">
      <formula>AND($D57&lt;&gt;"SI",$N57&lt;24)</formula>
    </cfRule>
  </conditionalFormatting>
  <conditionalFormatting sqref="R57">
    <cfRule type="expression" dxfId="649" priority="417" stopIfTrue="1">
      <formula>AND($D57&lt;&gt;"SI",$N57&lt;24)</formula>
    </cfRule>
  </conditionalFormatting>
  <conditionalFormatting sqref="R57">
    <cfRule type="expression" dxfId="648" priority="416" stopIfTrue="1">
      <formula>AND($D57&lt;&gt;"SI",$N57&lt;24)</formula>
    </cfRule>
  </conditionalFormatting>
  <conditionalFormatting sqref="R57">
    <cfRule type="expression" dxfId="647" priority="415" stopIfTrue="1">
      <formula>AND($D57&lt;&gt;"SI",$N57&lt;24)</formula>
    </cfRule>
  </conditionalFormatting>
  <conditionalFormatting sqref="R57">
    <cfRule type="expression" dxfId="646" priority="414" stopIfTrue="1">
      <formula>AND($D57&lt;&gt;"SI",$N57&lt;24)</formula>
    </cfRule>
  </conditionalFormatting>
  <conditionalFormatting sqref="R57">
    <cfRule type="expression" dxfId="645" priority="413" stopIfTrue="1">
      <formula>AND($D57&lt;&gt;"SI",$N57&lt;24)</formula>
    </cfRule>
  </conditionalFormatting>
  <conditionalFormatting sqref="R57">
    <cfRule type="expression" dxfId="644" priority="412" stopIfTrue="1">
      <formula>AND($D57&lt;&gt;"SI",$N57&lt;24)</formula>
    </cfRule>
  </conditionalFormatting>
  <conditionalFormatting sqref="R57">
    <cfRule type="expression" dxfId="643" priority="411" stopIfTrue="1">
      <formula>AND($D57&lt;&gt;"SI",$N57&lt;24)</formula>
    </cfRule>
  </conditionalFormatting>
  <conditionalFormatting sqref="R57">
    <cfRule type="expression" dxfId="642" priority="410" stopIfTrue="1">
      <formula>AND($D57&lt;&gt;"SI",$N57&lt;24)</formula>
    </cfRule>
  </conditionalFormatting>
  <conditionalFormatting sqref="R57">
    <cfRule type="expression" dxfId="641" priority="409" stopIfTrue="1">
      <formula>AND($D57&lt;&gt;"SI",$N57&lt;24)</formula>
    </cfRule>
  </conditionalFormatting>
  <conditionalFormatting sqref="R57">
    <cfRule type="expression" dxfId="640" priority="408" stopIfTrue="1">
      <formula>AND($D57&lt;&gt;"SI",$N57&lt;24)</formula>
    </cfRule>
  </conditionalFormatting>
  <conditionalFormatting sqref="R57">
    <cfRule type="expression" dxfId="639" priority="407" stopIfTrue="1">
      <formula>AND($D57&lt;&gt;"SI",$N57&lt;24)</formula>
    </cfRule>
  </conditionalFormatting>
  <conditionalFormatting sqref="R57">
    <cfRule type="expression" dxfId="638" priority="406" stopIfTrue="1">
      <formula>AND($D57&lt;&gt;"SI",$N57&lt;24)</formula>
    </cfRule>
  </conditionalFormatting>
  <conditionalFormatting sqref="R57">
    <cfRule type="expression" dxfId="637" priority="405" stopIfTrue="1">
      <formula>AND($D57&lt;&gt;"SI",$N57&lt;24)</formula>
    </cfRule>
  </conditionalFormatting>
  <conditionalFormatting sqref="R57">
    <cfRule type="expression" dxfId="636" priority="404" stopIfTrue="1">
      <formula>AND($D57&lt;&gt;"SI",$N57&lt;24)</formula>
    </cfRule>
  </conditionalFormatting>
  <conditionalFormatting sqref="R57">
    <cfRule type="expression" dxfId="635" priority="403" stopIfTrue="1">
      <formula>AND($D57&lt;&gt;"SI",$N57&lt;24)</formula>
    </cfRule>
  </conditionalFormatting>
  <conditionalFormatting sqref="R57">
    <cfRule type="expression" dxfId="634" priority="402" stopIfTrue="1">
      <formula>AND($D57&lt;&gt;"SI",$N57&lt;24)</formula>
    </cfRule>
  </conditionalFormatting>
  <conditionalFormatting sqref="R57">
    <cfRule type="expression" dxfId="633" priority="401" stopIfTrue="1">
      <formula>AND($D57&lt;&gt;"SI",$N57&lt;24)</formula>
    </cfRule>
  </conditionalFormatting>
  <conditionalFormatting sqref="R57">
    <cfRule type="expression" dxfId="632" priority="400" stopIfTrue="1">
      <formula>AND($D57&lt;&gt;"SI",$N57&lt;24)</formula>
    </cfRule>
  </conditionalFormatting>
  <conditionalFormatting sqref="R57">
    <cfRule type="expression" dxfId="631" priority="399" stopIfTrue="1">
      <formula>AND($D57&lt;&gt;"SI",$N57&lt;24)</formula>
    </cfRule>
  </conditionalFormatting>
  <conditionalFormatting sqref="R57">
    <cfRule type="expression" dxfId="630" priority="398" stopIfTrue="1">
      <formula>AND($D57&lt;&gt;"SI",$N57&lt;24)</formula>
    </cfRule>
  </conditionalFormatting>
  <conditionalFormatting sqref="R57">
    <cfRule type="expression" dxfId="629" priority="397" stopIfTrue="1">
      <formula>AND($D57&lt;&gt;"SI",$N57&lt;24)</formula>
    </cfRule>
  </conditionalFormatting>
  <conditionalFormatting sqref="R57">
    <cfRule type="expression" dxfId="628" priority="396" stopIfTrue="1">
      <formula>AND($D57&lt;&gt;"SI",$N57&lt;24)</formula>
    </cfRule>
  </conditionalFormatting>
  <conditionalFormatting sqref="R57">
    <cfRule type="expression" dxfId="627" priority="395" stopIfTrue="1">
      <formula>AND($D57&lt;&gt;"SI",$N57&lt;24)</formula>
    </cfRule>
  </conditionalFormatting>
  <conditionalFormatting sqref="R57">
    <cfRule type="expression" dxfId="626" priority="394" stopIfTrue="1">
      <formula>AND($D57&lt;&gt;"SI",$N57&lt;24)</formula>
    </cfRule>
  </conditionalFormatting>
  <conditionalFormatting sqref="R57">
    <cfRule type="expression" dxfId="625" priority="393" stopIfTrue="1">
      <formula>AND($D57&lt;&gt;"SI",$N57&lt;24)</formula>
    </cfRule>
  </conditionalFormatting>
  <conditionalFormatting sqref="R57">
    <cfRule type="expression" dxfId="624" priority="392" stopIfTrue="1">
      <formula>AND($D57&lt;&gt;"SI",$N57&lt;24)</formula>
    </cfRule>
  </conditionalFormatting>
  <conditionalFormatting sqref="R57">
    <cfRule type="expression" dxfId="623" priority="391" stopIfTrue="1">
      <formula>AND($D57&lt;&gt;"SI",$N57&lt;24)</formula>
    </cfRule>
  </conditionalFormatting>
  <conditionalFormatting sqref="R57">
    <cfRule type="expression" dxfId="622" priority="390" stopIfTrue="1">
      <formula>AND($D57&lt;&gt;"SI",$N57&lt;24)</formula>
    </cfRule>
  </conditionalFormatting>
  <conditionalFormatting sqref="R57">
    <cfRule type="expression" dxfId="621" priority="389" stopIfTrue="1">
      <formula>AND($D57&lt;&gt;"SI",$N57&lt;24)</formula>
    </cfRule>
  </conditionalFormatting>
  <conditionalFormatting sqref="R57">
    <cfRule type="expression" dxfId="620" priority="388" stopIfTrue="1">
      <formula>AND($D57&lt;&gt;"SI",$N57&lt;24)</formula>
    </cfRule>
  </conditionalFormatting>
  <conditionalFormatting sqref="R57">
    <cfRule type="expression" dxfId="619" priority="387" stopIfTrue="1">
      <formula>AND($D57&lt;&gt;"SI",$N57&lt;24)</formula>
    </cfRule>
  </conditionalFormatting>
  <conditionalFormatting sqref="R57">
    <cfRule type="expression" dxfId="618" priority="386" stopIfTrue="1">
      <formula>AND($D57&lt;&gt;"SI",$N57&lt;24)</formula>
    </cfRule>
  </conditionalFormatting>
  <conditionalFormatting sqref="R57">
    <cfRule type="expression" dxfId="617" priority="385" stopIfTrue="1">
      <formula>AND($D57&lt;&gt;"SI",$N57&lt;24)</formula>
    </cfRule>
  </conditionalFormatting>
  <conditionalFormatting sqref="R57">
    <cfRule type="expression" dxfId="616" priority="384" stopIfTrue="1">
      <formula>AND($D57&lt;&gt;"SI",$N57&lt;24)</formula>
    </cfRule>
  </conditionalFormatting>
  <conditionalFormatting sqref="R57">
    <cfRule type="expression" dxfId="615" priority="383" stopIfTrue="1">
      <formula>AND($D57&lt;&gt;"SI",$N57&lt;24)</formula>
    </cfRule>
  </conditionalFormatting>
  <conditionalFormatting sqref="R57">
    <cfRule type="expression" dxfId="614" priority="382" stopIfTrue="1">
      <formula>AND($D57&lt;&gt;"SI",$N57&lt;24)</formula>
    </cfRule>
  </conditionalFormatting>
  <conditionalFormatting sqref="R57">
    <cfRule type="expression" dxfId="613" priority="381" stopIfTrue="1">
      <formula>AND($D57&lt;&gt;"SI",$N57&lt;24)</formula>
    </cfRule>
  </conditionalFormatting>
  <conditionalFormatting sqref="R57">
    <cfRule type="expression" dxfId="612" priority="380" stopIfTrue="1">
      <formula>AND($D57&lt;&gt;"SI",$N57&lt;24)</formula>
    </cfRule>
  </conditionalFormatting>
  <conditionalFormatting sqref="R57">
    <cfRule type="expression" dxfId="611" priority="379" stopIfTrue="1">
      <formula>AND($D57&lt;&gt;"SI",$N57&lt;24)</formula>
    </cfRule>
  </conditionalFormatting>
  <conditionalFormatting sqref="R57">
    <cfRule type="expression" dxfId="610" priority="378" stopIfTrue="1">
      <formula>AND($D57&lt;&gt;"SI",$N57&lt;24)</formula>
    </cfRule>
  </conditionalFormatting>
  <conditionalFormatting sqref="R57">
    <cfRule type="expression" dxfId="609" priority="377" stopIfTrue="1">
      <formula>AND($D57&lt;&gt;"SI",$N57&lt;24)</formula>
    </cfRule>
  </conditionalFormatting>
  <conditionalFormatting sqref="F3">
    <cfRule type="expression" dxfId="608" priority="376" stopIfTrue="1">
      <formula>AND($D3&lt;&gt;"SI",$E3&lt;24)</formula>
    </cfRule>
  </conditionalFormatting>
  <conditionalFormatting sqref="F3">
    <cfRule type="expression" dxfId="607" priority="375" stopIfTrue="1">
      <formula>AND($D3&lt;&gt;"SI",$E3&lt;24)</formula>
    </cfRule>
  </conditionalFormatting>
  <conditionalFormatting sqref="F3">
    <cfRule type="expression" dxfId="606" priority="374" stopIfTrue="1">
      <formula>AND($D3&lt;&gt;"SI",$E3&lt;24)</formula>
    </cfRule>
  </conditionalFormatting>
  <conditionalFormatting sqref="F3">
    <cfRule type="expression" dxfId="605" priority="373" stopIfTrue="1">
      <formula>AND($D3&lt;&gt;"SI",$E3&lt;24)</formula>
    </cfRule>
  </conditionalFormatting>
  <conditionalFormatting sqref="F3">
    <cfRule type="expression" dxfId="604" priority="372" stopIfTrue="1">
      <formula>AND($D3&lt;&gt;"SI",$E3&lt;24)</formula>
    </cfRule>
  </conditionalFormatting>
  <conditionalFormatting sqref="F3">
    <cfRule type="expression" dxfId="603" priority="371" stopIfTrue="1">
      <formula>AND($D3&lt;&gt;"SI",$E3&lt;24)</formula>
    </cfRule>
  </conditionalFormatting>
  <conditionalFormatting sqref="F3">
    <cfRule type="expression" dxfId="602" priority="370" stopIfTrue="1">
      <formula>AND($D3&lt;&gt;"SI",$E3&lt;24)</formula>
    </cfRule>
  </conditionalFormatting>
  <conditionalFormatting sqref="F3">
    <cfRule type="expression" dxfId="601" priority="369" stopIfTrue="1">
      <formula>AND($D3&lt;&gt;"SI",$E3&lt;24)</formula>
    </cfRule>
  </conditionalFormatting>
  <conditionalFormatting sqref="F3">
    <cfRule type="expression" dxfId="600" priority="368" stopIfTrue="1">
      <formula>AND($D3&lt;&gt;"SI",$E3&lt;24)</formula>
    </cfRule>
  </conditionalFormatting>
  <conditionalFormatting sqref="F3">
    <cfRule type="expression" dxfId="599" priority="367" stopIfTrue="1">
      <formula>AND($D3&lt;&gt;"SI",$E3&lt;24)</formula>
    </cfRule>
  </conditionalFormatting>
  <conditionalFormatting sqref="F3">
    <cfRule type="expression" dxfId="598" priority="366" stopIfTrue="1">
      <formula>AND($D3&lt;&gt;"SI",$E3&lt;24)</formula>
    </cfRule>
  </conditionalFormatting>
  <conditionalFormatting sqref="F3">
    <cfRule type="expression" dxfId="597" priority="365" stopIfTrue="1">
      <formula>AND($D3&lt;&gt;"SI",$E3&lt;24)</formula>
    </cfRule>
  </conditionalFormatting>
  <conditionalFormatting sqref="F3">
    <cfRule type="expression" dxfId="596" priority="364" stopIfTrue="1">
      <formula>AND($D3&lt;&gt;"SI",$E3&lt;24)</formula>
    </cfRule>
  </conditionalFormatting>
  <conditionalFormatting sqref="F3">
    <cfRule type="expression" dxfId="595" priority="363" stopIfTrue="1">
      <formula>AND($D3&lt;&gt;"SI",$E3&lt;24)</formula>
    </cfRule>
  </conditionalFormatting>
  <conditionalFormatting sqref="F3">
    <cfRule type="expression" dxfId="594" priority="362" stopIfTrue="1">
      <formula>AND($D3&lt;&gt;"SI",$E3&lt;24)</formula>
    </cfRule>
  </conditionalFormatting>
  <conditionalFormatting sqref="F3">
    <cfRule type="expression" dxfId="593" priority="361" stopIfTrue="1">
      <formula>AND($D3&lt;&gt;"SI",$E3&lt;24)</formula>
    </cfRule>
  </conditionalFormatting>
  <conditionalFormatting sqref="F3">
    <cfRule type="expression" dxfId="592" priority="360" stopIfTrue="1">
      <formula>AND($D3&lt;&gt;"SI",$E3&lt;24)</formula>
    </cfRule>
  </conditionalFormatting>
  <conditionalFormatting sqref="F3">
    <cfRule type="expression" dxfId="591" priority="359" stopIfTrue="1">
      <formula>AND($D3&lt;&gt;"SI",$E3&lt;24)</formula>
    </cfRule>
  </conditionalFormatting>
  <conditionalFormatting sqref="F3">
    <cfRule type="expression" dxfId="590" priority="358" stopIfTrue="1">
      <formula>AND($D3&lt;&gt;"SI",$E3&lt;24)</formula>
    </cfRule>
  </conditionalFormatting>
  <conditionalFormatting sqref="F3">
    <cfRule type="expression" dxfId="589" priority="357" stopIfTrue="1">
      <formula>AND($D3&lt;&gt;"SI",$E3&lt;24)</formula>
    </cfRule>
  </conditionalFormatting>
  <conditionalFormatting sqref="F3">
    <cfRule type="expression" dxfId="588" priority="356" stopIfTrue="1">
      <formula>AND($D3&lt;&gt;"SI",$E3&lt;24)</formula>
    </cfRule>
  </conditionalFormatting>
  <conditionalFormatting sqref="F3">
    <cfRule type="expression" dxfId="587" priority="355" stopIfTrue="1">
      <formula>AND($D3&lt;&gt;"SI",$E3&lt;24)</formula>
    </cfRule>
  </conditionalFormatting>
  <conditionalFormatting sqref="F3">
    <cfRule type="expression" dxfId="586" priority="354" stopIfTrue="1">
      <formula>AND($D3&lt;&gt;"SI",$E3&lt;24)</formula>
    </cfRule>
  </conditionalFormatting>
  <conditionalFormatting sqref="F7">
    <cfRule type="expression" dxfId="585" priority="353" stopIfTrue="1">
      <formula>AND($D7&lt;&gt;"SI",$E7&lt;24)</formula>
    </cfRule>
  </conditionalFormatting>
  <conditionalFormatting sqref="F7">
    <cfRule type="expression" dxfId="584" priority="352" stopIfTrue="1">
      <formula>AND($D7&lt;&gt;"SI",$E7&lt;24)</formula>
    </cfRule>
  </conditionalFormatting>
  <conditionalFormatting sqref="F7">
    <cfRule type="expression" dxfId="583" priority="351" stopIfTrue="1">
      <formula>AND($D7&lt;&gt;"SI",$E7&lt;24)</formula>
    </cfRule>
  </conditionalFormatting>
  <conditionalFormatting sqref="F7">
    <cfRule type="expression" dxfId="582" priority="350" stopIfTrue="1">
      <formula>AND($D7&lt;&gt;"SI",$E7&lt;24)</formula>
    </cfRule>
  </conditionalFormatting>
  <conditionalFormatting sqref="F7">
    <cfRule type="expression" dxfId="581" priority="349" stopIfTrue="1">
      <formula>AND($D7&lt;&gt;"SI",$E7&lt;24)</formula>
    </cfRule>
  </conditionalFormatting>
  <conditionalFormatting sqref="F7">
    <cfRule type="expression" dxfId="580" priority="348" stopIfTrue="1">
      <formula>AND($D7&lt;&gt;"SI",$E7&lt;24)</formula>
    </cfRule>
  </conditionalFormatting>
  <conditionalFormatting sqref="F7">
    <cfRule type="expression" dxfId="579" priority="347" stopIfTrue="1">
      <formula>AND($D7&lt;&gt;"SI",$E7&lt;24)</formula>
    </cfRule>
  </conditionalFormatting>
  <conditionalFormatting sqref="F7">
    <cfRule type="expression" dxfId="578" priority="346" stopIfTrue="1">
      <formula>AND($D7&lt;&gt;"SI",$E7&lt;24)</formula>
    </cfRule>
  </conditionalFormatting>
  <conditionalFormatting sqref="F7">
    <cfRule type="expression" dxfId="577" priority="345" stopIfTrue="1">
      <formula>AND($D7&lt;&gt;"SI",$E7&lt;24)</formula>
    </cfRule>
  </conditionalFormatting>
  <conditionalFormatting sqref="F7">
    <cfRule type="expression" dxfId="576" priority="344" stopIfTrue="1">
      <formula>AND($D7&lt;&gt;"SI",$E7&lt;24)</formula>
    </cfRule>
  </conditionalFormatting>
  <conditionalFormatting sqref="F7">
    <cfRule type="expression" dxfId="575" priority="343" stopIfTrue="1">
      <formula>AND($D7&lt;&gt;"SI",$E7&lt;24)</formula>
    </cfRule>
  </conditionalFormatting>
  <conditionalFormatting sqref="F7">
    <cfRule type="expression" dxfId="574" priority="342" stopIfTrue="1">
      <formula>AND($D7&lt;&gt;"SI",$E7&lt;24)</formula>
    </cfRule>
  </conditionalFormatting>
  <conditionalFormatting sqref="F7">
    <cfRule type="expression" dxfId="573" priority="341" stopIfTrue="1">
      <formula>AND($D7&lt;&gt;"SI",$E7&lt;24)</formula>
    </cfRule>
  </conditionalFormatting>
  <conditionalFormatting sqref="F7">
    <cfRule type="expression" dxfId="572" priority="340" stopIfTrue="1">
      <formula>AND($D7&lt;&gt;"SI",$E7&lt;24)</formula>
    </cfRule>
  </conditionalFormatting>
  <conditionalFormatting sqref="F7">
    <cfRule type="expression" dxfId="571" priority="339" stopIfTrue="1">
      <formula>AND($D7&lt;&gt;"SI",$E7&lt;24)</formula>
    </cfRule>
  </conditionalFormatting>
  <conditionalFormatting sqref="F7">
    <cfRule type="expression" dxfId="570" priority="338" stopIfTrue="1">
      <formula>AND($D7&lt;&gt;"SI",$E7&lt;24)</formula>
    </cfRule>
  </conditionalFormatting>
  <conditionalFormatting sqref="F7">
    <cfRule type="expression" dxfId="569" priority="337" stopIfTrue="1">
      <formula>AND($D7&lt;&gt;"SI",$E7&lt;24)</formula>
    </cfRule>
  </conditionalFormatting>
  <conditionalFormatting sqref="F7">
    <cfRule type="expression" dxfId="568" priority="336" stopIfTrue="1">
      <formula>AND($D7&lt;&gt;"SI",$E7&lt;24)</formula>
    </cfRule>
  </conditionalFormatting>
  <conditionalFormatting sqref="F7">
    <cfRule type="expression" dxfId="567" priority="335" stopIfTrue="1">
      <formula>AND($D7&lt;&gt;"SI",$E7&lt;24)</formula>
    </cfRule>
  </conditionalFormatting>
  <conditionalFormatting sqref="F7">
    <cfRule type="expression" dxfId="566" priority="334" stopIfTrue="1">
      <formula>AND($D7&lt;&gt;"SI",$E7&lt;24)</formula>
    </cfRule>
  </conditionalFormatting>
  <conditionalFormatting sqref="F7">
    <cfRule type="expression" dxfId="565" priority="333" stopIfTrue="1">
      <formula>AND($D7&lt;&gt;"SI",$E7&lt;24)</formula>
    </cfRule>
  </conditionalFormatting>
  <conditionalFormatting sqref="F7">
    <cfRule type="expression" dxfId="564" priority="332" stopIfTrue="1">
      <formula>AND($D7&lt;&gt;"SI",$E7&lt;24)</formula>
    </cfRule>
  </conditionalFormatting>
  <conditionalFormatting sqref="F7">
    <cfRule type="expression" dxfId="563" priority="331" stopIfTrue="1">
      <formula>AND($D7&lt;&gt;"SI",$E7&lt;24)</formula>
    </cfRule>
  </conditionalFormatting>
  <conditionalFormatting sqref="F18">
    <cfRule type="expression" dxfId="562" priority="330" stopIfTrue="1">
      <formula>AND($D18&lt;&gt;"SI",$E18&lt;24)</formula>
    </cfRule>
  </conditionalFormatting>
  <conditionalFormatting sqref="F18">
    <cfRule type="expression" dxfId="561" priority="329" stopIfTrue="1">
      <formula>AND($D18&lt;&gt;"SI",$E18&lt;24)</formula>
    </cfRule>
  </conditionalFormatting>
  <conditionalFormatting sqref="F18">
    <cfRule type="expression" dxfId="560" priority="328" stopIfTrue="1">
      <formula>AND($D18&lt;&gt;"SI",$E18&lt;24)</formula>
    </cfRule>
  </conditionalFormatting>
  <conditionalFormatting sqref="F18">
    <cfRule type="expression" dxfId="559" priority="327" stopIfTrue="1">
      <formula>AND($D18&lt;&gt;"SI",$E18&lt;24)</formula>
    </cfRule>
  </conditionalFormatting>
  <conditionalFormatting sqref="F18">
    <cfRule type="expression" dxfId="558" priority="326" stopIfTrue="1">
      <formula>AND($D18&lt;&gt;"SI",$E18&lt;24)</formula>
    </cfRule>
  </conditionalFormatting>
  <conditionalFormatting sqref="F18">
    <cfRule type="expression" dxfId="557" priority="325" stopIfTrue="1">
      <formula>AND($D18&lt;&gt;"SI",$E18&lt;24)</formula>
    </cfRule>
  </conditionalFormatting>
  <conditionalFormatting sqref="F18">
    <cfRule type="expression" dxfId="556" priority="324" stopIfTrue="1">
      <formula>AND($D18&lt;&gt;"SI",$E18&lt;24)</formula>
    </cfRule>
  </conditionalFormatting>
  <conditionalFormatting sqref="F18">
    <cfRule type="expression" dxfId="555" priority="323" stopIfTrue="1">
      <formula>AND($D18&lt;&gt;"SI",$E18&lt;24)</formula>
    </cfRule>
  </conditionalFormatting>
  <conditionalFormatting sqref="F18">
    <cfRule type="expression" dxfId="554" priority="322" stopIfTrue="1">
      <formula>AND($D18&lt;&gt;"SI",$E18&lt;24)</formula>
    </cfRule>
  </conditionalFormatting>
  <conditionalFormatting sqref="F18">
    <cfRule type="expression" dxfId="553" priority="321" stopIfTrue="1">
      <formula>AND($D18&lt;&gt;"SI",$E18&lt;24)</formula>
    </cfRule>
  </conditionalFormatting>
  <conditionalFormatting sqref="F18">
    <cfRule type="expression" dxfId="552" priority="320" stopIfTrue="1">
      <formula>AND($D18&lt;&gt;"SI",$E18&lt;24)</formula>
    </cfRule>
  </conditionalFormatting>
  <conditionalFormatting sqref="F18">
    <cfRule type="expression" dxfId="551" priority="319" stopIfTrue="1">
      <formula>AND($D18&lt;&gt;"SI",$E18&lt;24)</formula>
    </cfRule>
  </conditionalFormatting>
  <conditionalFormatting sqref="F18">
    <cfRule type="expression" dxfId="550" priority="318" stopIfTrue="1">
      <formula>AND($D18&lt;&gt;"SI",$E18&lt;24)</formula>
    </cfRule>
  </conditionalFormatting>
  <conditionalFormatting sqref="F18">
    <cfRule type="expression" dxfId="549" priority="317" stopIfTrue="1">
      <formula>AND($D18&lt;&gt;"SI",$E18&lt;24)</formula>
    </cfRule>
  </conditionalFormatting>
  <conditionalFormatting sqref="F18">
    <cfRule type="expression" dxfId="548" priority="316" stopIfTrue="1">
      <formula>AND($D18&lt;&gt;"SI",$E18&lt;24)</formula>
    </cfRule>
  </conditionalFormatting>
  <conditionalFormatting sqref="F18">
    <cfRule type="expression" dxfId="547" priority="315" stopIfTrue="1">
      <formula>AND($D18&lt;&gt;"SI",$E18&lt;24)</formula>
    </cfRule>
  </conditionalFormatting>
  <conditionalFormatting sqref="F18">
    <cfRule type="expression" dxfId="546" priority="314" stopIfTrue="1">
      <formula>AND($D18&lt;&gt;"SI",$E18&lt;24)</formula>
    </cfRule>
  </conditionalFormatting>
  <conditionalFormatting sqref="F18">
    <cfRule type="expression" dxfId="545" priority="313" stopIfTrue="1">
      <formula>AND($D18&lt;&gt;"SI",$E18&lt;24)</formula>
    </cfRule>
  </conditionalFormatting>
  <conditionalFormatting sqref="F18">
    <cfRule type="expression" dxfId="544" priority="312" stopIfTrue="1">
      <formula>AND($D18&lt;&gt;"SI",$E18&lt;24)</formula>
    </cfRule>
  </conditionalFormatting>
  <conditionalFormatting sqref="F18">
    <cfRule type="expression" dxfId="543" priority="311" stopIfTrue="1">
      <formula>AND($D18&lt;&gt;"SI",$E18&lt;24)</formula>
    </cfRule>
  </conditionalFormatting>
  <conditionalFormatting sqref="F18">
    <cfRule type="expression" dxfId="542" priority="310" stopIfTrue="1">
      <formula>AND($D18&lt;&gt;"SI",$E18&lt;24)</formula>
    </cfRule>
  </conditionalFormatting>
  <conditionalFormatting sqref="F18">
    <cfRule type="expression" dxfId="541" priority="309" stopIfTrue="1">
      <formula>AND($D18&lt;&gt;"SI",$E18&lt;24)</formula>
    </cfRule>
  </conditionalFormatting>
  <conditionalFormatting sqref="F18">
    <cfRule type="expression" dxfId="540" priority="308" stopIfTrue="1">
      <formula>AND($D18&lt;&gt;"SI",$E18&lt;24)</formula>
    </cfRule>
  </conditionalFormatting>
  <conditionalFormatting sqref="F25">
    <cfRule type="expression" dxfId="539" priority="307" stopIfTrue="1">
      <formula>AND($D25&lt;&gt;"SI",$E25&lt;24)</formula>
    </cfRule>
  </conditionalFormatting>
  <conditionalFormatting sqref="F25">
    <cfRule type="expression" dxfId="538" priority="306" stopIfTrue="1">
      <formula>AND($D25&lt;&gt;"SI",$E25&lt;24)</formula>
    </cfRule>
  </conditionalFormatting>
  <conditionalFormatting sqref="F25">
    <cfRule type="expression" dxfId="537" priority="305" stopIfTrue="1">
      <formula>AND($D25&lt;&gt;"SI",$E25&lt;24)</formula>
    </cfRule>
  </conditionalFormatting>
  <conditionalFormatting sqref="F25">
    <cfRule type="expression" dxfId="536" priority="304" stopIfTrue="1">
      <formula>AND($D25&lt;&gt;"SI",$E25&lt;24)</formula>
    </cfRule>
  </conditionalFormatting>
  <conditionalFormatting sqref="F25">
    <cfRule type="expression" dxfId="535" priority="303" stopIfTrue="1">
      <formula>AND($D25&lt;&gt;"SI",$E25&lt;24)</formula>
    </cfRule>
  </conditionalFormatting>
  <conditionalFormatting sqref="F25">
    <cfRule type="expression" dxfId="534" priority="302" stopIfTrue="1">
      <formula>AND($D25&lt;&gt;"SI",$E25&lt;24)</formula>
    </cfRule>
  </conditionalFormatting>
  <conditionalFormatting sqref="F25">
    <cfRule type="expression" dxfId="533" priority="301" stopIfTrue="1">
      <formula>AND($D25&lt;&gt;"SI",$E25&lt;24)</formula>
    </cfRule>
  </conditionalFormatting>
  <conditionalFormatting sqref="F25">
    <cfRule type="expression" dxfId="532" priority="300" stopIfTrue="1">
      <formula>AND($D25&lt;&gt;"SI",$E25&lt;24)</formula>
    </cfRule>
  </conditionalFormatting>
  <conditionalFormatting sqref="F25">
    <cfRule type="expression" dxfId="531" priority="299" stopIfTrue="1">
      <formula>AND($D25&lt;&gt;"SI",$E25&lt;24)</formula>
    </cfRule>
  </conditionalFormatting>
  <conditionalFormatting sqref="F25">
    <cfRule type="expression" dxfId="530" priority="298" stopIfTrue="1">
      <formula>AND($D25&lt;&gt;"SI",$E25&lt;24)</formula>
    </cfRule>
  </conditionalFormatting>
  <conditionalFormatting sqref="F25">
    <cfRule type="expression" dxfId="529" priority="297" stopIfTrue="1">
      <formula>AND($D25&lt;&gt;"SI",$E25&lt;24)</formula>
    </cfRule>
  </conditionalFormatting>
  <conditionalFormatting sqref="F25">
    <cfRule type="expression" dxfId="528" priority="296" stopIfTrue="1">
      <formula>AND($D25&lt;&gt;"SI",$E25&lt;24)</formula>
    </cfRule>
  </conditionalFormatting>
  <conditionalFormatting sqref="F25">
    <cfRule type="expression" dxfId="527" priority="295" stopIfTrue="1">
      <formula>AND($D25&lt;&gt;"SI",$E25&lt;24)</formula>
    </cfRule>
  </conditionalFormatting>
  <conditionalFormatting sqref="F25">
    <cfRule type="expression" dxfId="526" priority="294" stopIfTrue="1">
      <formula>AND($D25&lt;&gt;"SI",$E25&lt;24)</formula>
    </cfRule>
  </conditionalFormatting>
  <conditionalFormatting sqref="F25">
    <cfRule type="expression" dxfId="525" priority="293" stopIfTrue="1">
      <formula>AND($D25&lt;&gt;"SI",$E25&lt;24)</formula>
    </cfRule>
  </conditionalFormatting>
  <conditionalFormatting sqref="F25">
    <cfRule type="expression" dxfId="524" priority="292" stopIfTrue="1">
      <formula>AND($D25&lt;&gt;"SI",$E25&lt;24)</formula>
    </cfRule>
  </conditionalFormatting>
  <conditionalFormatting sqref="F25">
    <cfRule type="expression" dxfId="523" priority="291" stopIfTrue="1">
      <formula>AND($D25&lt;&gt;"SI",$E25&lt;24)</formula>
    </cfRule>
  </conditionalFormatting>
  <conditionalFormatting sqref="F25">
    <cfRule type="expression" dxfId="522" priority="290" stopIfTrue="1">
      <formula>AND($D25&lt;&gt;"SI",$E25&lt;24)</formula>
    </cfRule>
  </conditionalFormatting>
  <conditionalFormatting sqref="F25">
    <cfRule type="expression" dxfId="521" priority="289" stopIfTrue="1">
      <formula>AND($D25&lt;&gt;"SI",$E25&lt;24)</formula>
    </cfRule>
  </conditionalFormatting>
  <conditionalFormatting sqref="F25">
    <cfRule type="expression" dxfId="520" priority="288" stopIfTrue="1">
      <formula>AND($D25&lt;&gt;"SI",$E25&lt;24)</formula>
    </cfRule>
  </conditionalFormatting>
  <conditionalFormatting sqref="F25">
    <cfRule type="expression" dxfId="519" priority="287" stopIfTrue="1">
      <formula>AND($D25&lt;&gt;"SI",$E25&lt;24)</formula>
    </cfRule>
  </conditionalFormatting>
  <conditionalFormatting sqref="F25">
    <cfRule type="expression" dxfId="518" priority="286" stopIfTrue="1">
      <formula>AND($D25&lt;&gt;"SI",$E25&lt;24)</formula>
    </cfRule>
  </conditionalFormatting>
  <conditionalFormatting sqref="F25">
    <cfRule type="expression" dxfId="517" priority="285" stopIfTrue="1">
      <formula>AND($D25&lt;&gt;"SI",$E25&lt;24)</formula>
    </cfRule>
  </conditionalFormatting>
  <conditionalFormatting sqref="F27">
    <cfRule type="expression" dxfId="516" priority="284" stopIfTrue="1">
      <formula>AND($D27&lt;&gt;"SI",$E27&lt;24)</formula>
    </cfRule>
  </conditionalFormatting>
  <conditionalFormatting sqref="F27">
    <cfRule type="expression" dxfId="515" priority="283" stopIfTrue="1">
      <formula>AND($D27&lt;&gt;"SI",$E27&lt;24)</formula>
    </cfRule>
  </conditionalFormatting>
  <conditionalFormatting sqref="F27">
    <cfRule type="expression" dxfId="514" priority="282" stopIfTrue="1">
      <formula>AND($D27&lt;&gt;"SI",$E27&lt;24)</formula>
    </cfRule>
  </conditionalFormatting>
  <conditionalFormatting sqref="F27">
    <cfRule type="expression" dxfId="513" priority="281" stopIfTrue="1">
      <formula>AND($D27&lt;&gt;"SI",$E27&lt;24)</formula>
    </cfRule>
  </conditionalFormatting>
  <conditionalFormatting sqref="F27">
    <cfRule type="expression" dxfId="512" priority="280" stopIfTrue="1">
      <formula>AND($D27&lt;&gt;"SI",$E27&lt;24)</formula>
    </cfRule>
  </conditionalFormatting>
  <conditionalFormatting sqref="F27">
    <cfRule type="expression" dxfId="511" priority="279" stopIfTrue="1">
      <formula>AND($D27&lt;&gt;"SI",$E27&lt;24)</formula>
    </cfRule>
  </conditionalFormatting>
  <conditionalFormatting sqref="F27">
    <cfRule type="expression" dxfId="510" priority="278" stopIfTrue="1">
      <formula>AND($D27&lt;&gt;"SI",$E27&lt;24)</formula>
    </cfRule>
  </conditionalFormatting>
  <conditionalFormatting sqref="F27">
    <cfRule type="expression" dxfId="509" priority="277" stopIfTrue="1">
      <formula>AND($D27&lt;&gt;"SI",$E27&lt;24)</formula>
    </cfRule>
  </conditionalFormatting>
  <conditionalFormatting sqref="F27">
    <cfRule type="expression" dxfId="508" priority="276" stopIfTrue="1">
      <formula>AND($D27&lt;&gt;"SI",$E27&lt;24)</formula>
    </cfRule>
  </conditionalFormatting>
  <conditionalFormatting sqref="F27">
    <cfRule type="expression" dxfId="507" priority="275" stopIfTrue="1">
      <formula>AND($D27&lt;&gt;"SI",$E27&lt;24)</formula>
    </cfRule>
  </conditionalFormatting>
  <conditionalFormatting sqref="F27">
    <cfRule type="expression" dxfId="506" priority="274" stopIfTrue="1">
      <formula>AND($D27&lt;&gt;"SI",$E27&lt;24)</formula>
    </cfRule>
  </conditionalFormatting>
  <conditionalFormatting sqref="F27">
    <cfRule type="expression" dxfId="505" priority="273" stopIfTrue="1">
      <formula>AND($D27&lt;&gt;"SI",$E27&lt;24)</formula>
    </cfRule>
  </conditionalFormatting>
  <conditionalFormatting sqref="F27">
    <cfRule type="expression" dxfId="504" priority="272" stopIfTrue="1">
      <formula>AND($D27&lt;&gt;"SI",$E27&lt;24)</formula>
    </cfRule>
  </conditionalFormatting>
  <conditionalFormatting sqref="F27">
    <cfRule type="expression" dxfId="503" priority="271" stopIfTrue="1">
      <formula>AND($D27&lt;&gt;"SI",$E27&lt;24)</formula>
    </cfRule>
  </conditionalFormatting>
  <conditionalFormatting sqref="F27">
    <cfRule type="expression" dxfId="502" priority="270" stopIfTrue="1">
      <formula>AND($D27&lt;&gt;"SI",$E27&lt;24)</formula>
    </cfRule>
  </conditionalFormatting>
  <conditionalFormatting sqref="F27">
    <cfRule type="expression" dxfId="501" priority="269" stopIfTrue="1">
      <formula>AND($D27&lt;&gt;"SI",$E27&lt;24)</formula>
    </cfRule>
  </conditionalFormatting>
  <conditionalFormatting sqref="F27">
    <cfRule type="expression" dxfId="500" priority="268" stopIfTrue="1">
      <formula>AND($D27&lt;&gt;"SI",$E27&lt;24)</formula>
    </cfRule>
  </conditionalFormatting>
  <conditionalFormatting sqref="F27">
    <cfRule type="expression" dxfId="499" priority="267" stopIfTrue="1">
      <formula>AND($D27&lt;&gt;"SI",$E27&lt;24)</formula>
    </cfRule>
  </conditionalFormatting>
  <conditionalFormatting sqref="F27">
    <cfRule type="expression" dxfId="498" priority="266" stopIfTrue="1">
      <formula>AND($D27&lt;&gt;"SI",$E27&lt;24)</formula>
    </cfRule>
  </conditionalFormatting>
  <conditionalFormatting sqref="F27">
    <cfRule type="expression" dxfId="497" priority="265" stopIfTrue="1">
      <formula>AND($D27&lt;&gt;"SI",$E27&lt;24)</formula>
    </cfRule>
  </conditionalFormatting>
  <conditionalFormatting sqref="F27">
    <cfRule type="expression" dxfId="496" priority="264" stopIfTrue="1">
      <formula>AND($D27&lt;&gt;"SI",$E27&lt;24)</formula>
    </cfRule>
  </conditionalFormatting>
  <conditionalFormatting sqref="F27">
    <cfRule type="expression" dxfId="495" priority="263" stopIfTrue="1">
      <formula>AND($D27&lt;&gt;"SI",$E27&lt;24)</formula>
    </cfRule>
  </conditionalFormatting>
  <conditionalFormatting sqref="F27">
    <cfRule type="expression" dxfId="494" priority="262" stopIfTrue="1">
      <formula>AND($D27&lt;&gt;"SI",$E27&lt;24)</formula>
    </cfRule>
  </conditionalFormatting>
  <conditionalFormatting sqref="F41">
    <cfRule type="expression" dxfId="493" priority="261" stopIfTrue="1">
      <formula>AND($D41&lt;&gt;"SI",$E41&lt;24)</formula>
    </cfRule>
  </conditionalFormatting>
  <conditionalFormatting sqref="F41">
    <cfRule type="expression" dxfId="492" priority="260" stopIfTrue="1">
      <formula>AND($D41&lt;&gt;"SI",$E41&lt;24)</formula>
    </cfRule>
  </conditionalFormatting>
  <conditionalFormatting sqref="F41">
    <cfRule type="expression" dxfId="491" priority="259" stopIfTrue="1">
      <formula>AND($D41&lt;&gt;"SI",$E41&lt;24)</formula>
    </cfRule>
  </conditionalFormatting>
  <conditionalFormatting sqref="F41">
    <cfRule type="expression" dxfId="490" priority="258" stopIfTrue="1">
      <formula>AND($D41&lt;&gt;"SI",$E41&lt;24)</formula>
    </cfRule>
  </conditionalFormatting>
  <conditionalFormatting sqref="F41">
    <cfRule type="expression" dxfId="489" priority="257" stopIfTrue="1">
      <formula>AND($D41&lt;&gt;"SI",$E41&lt;24)</formula>
    </cfRule>
  </conditionalFormatting>
  <conditionalFormatting sqref="F41">
    <cfRule type="expression" dxfId="488" priority="256" stopIfTrue="1">
      <formula>AND($D41&lt;&gt;"SI",$E41&lt;24)</formula>
    </cfRule>
  </conditionalFormatting>
  <conditionalFormatting sqref="F41">
    <cfRule type="expression" dxfId="487" priority="255" stopIfTrue="1">
      <formula>AND($D41&lt;&gt;"SI",$E41&lt;24)</formula>
    </cfRule>
  </conditionalFormatting>
  <conditionalFormatting sqref="F41">
    <cfRule type="expression" dxfId="486" priority="254" stopIfTrue="1">
      <formula>AND($D41&lt;&gt;"SI",$E41&lt;24)</formula>
    </cfRule>
  </conditionalFormatting>
  <conditionalFormatting sqref="F41">
    <cfRule type="expression" dxfId="485" priority="253" stopIfTrue="1">
      <formula>AND($D41&lt;&gt;"SI",$E41&lt;24)</formula>
    </cfRule>
  </conditionalFormatting>
  <conditionalFormatting sqref="F41">
    <cfRule type="expression" dxfId="484" priority="252" stopIfTrue="1">
      <formula>AND($D41&lt;&gt;"SI",$E41&lt;24)</formula>
    </cfRule>
  </conditionalFormatting>
  <conditionalFormatting sqref="F41">
    <cfRule type="expression" dxfId="483" priority="251" stopIfTrue="1">
      <formula>AND($D41&lt;&gt;"SI",$E41&lt;24)</formula>
    </cfRule>
  </conditionalFormatting>
  <conditionalFormatting sqref="F41">
    <cfRule type="expression" dxfId="482" priority="250" stopIfTrue="1">
      <formula>AND($D41&lt;&gt;"SI",$E41&lt;24)</formula>
    </cfRule>
  </conditionalFormatting>
  <conditionalFormatting sqref="F41">
    <cfRule type="expression" dxfId="481" priority="249" stopIfTrue="1">
      <formula>AND($D41&lt;&gt;"SI",$E41&lt;24)</formula>
    </cfRule>
  </conditionalFormatting>
  <conditionalFormatting sqref="F41">
    <cfRule type="expression" dxfId="480" priority="248" stopIfTrue="1">
      <formula>AND($D41&lt;&gt;"SI",$E41&lt;24)</formula>
    </cfRule>
  </conditionalFormatting>
  <conditionalFormatting sqref="F41">
    <cfRule type="expression" dxfId="479" priority="247" stopIfTrue="1">
      <formula>AND($D41&lt;&gt;"SI",$E41&lt;24)</formula>
    </cfRule>
  </conditionalFormatting>
  <conditionalFormatting sqref="F41">
    <cfRule type="expression" dxfId="478" priority="246" stopIfTrue="1">
      <formula>AND($D41&lt;&gt;"SI",$E41&lt;24)</formula>
    </cfRule>
  </conditionalFormatting>
  <conditionalFormatting sqref="F41">
    <cfRule type="expression" dxfId="477" priority="245" stopIfTrue="1">
      <formula>AND($D41&lt;&gt;"SI",$E41&lt;24)</formula>
    </cfRule>
  </conditionalFormatting>
  <conditionalFormatting sqref="F41">
    <cfRule type="expression" dxfId="476" priority="244" stopIfTrue="1">
      <formula>AND($D41&lt;&gt;"SI",$E41&lt;24)</formula>
    </cfRule>
  </conditionalFormatting>
  <conditionalFormatting sqref="F41">
    <cfRule type="expression" dxfId="475" priority="243" stopIfTrue="1">
      <formula>AND($D41&lt;&gt;"SI",$E41&lt;24)</formula>
    </cfRule>
  </conditionalFormatting>
  <conditionalFormatting sqref="F41">
    <cfRule type="expression" dxfId="474" priority="242" stopIfTrue="1">
      <formula>AND($D41&lt;&gt;"SI",$E41&lt;24)</formula>
    </cfRule>
  </conditionalFormatting>
  <conditionalFormatting sqref="F41">
    <cfRule type="expression" dxfId="473" priority="241" stopIfTrue="1">
      <formula>AND($D41&lt;&gt;"SI",$E41&lt;24)</formula>
    </cfRule>
  </conditionalFormatting>
  <conditionalFormatting sqref="F41">
    <cfRule type="expression" dxfId="472" priority="240" stopIfTrue="1">
      <formula>AND($D41&lt;&gt;"SI",$E41&lt;24)</formula>
    </cfRule>
  </conditionalFormatting>
  <conditionalFormatting sqref="F41">
    <cfRule type="expression" dxfId="471" priority="239" stopIfTrue="1">
      <formula>AND($D41&lt;&gt;"SI",$E41&lt;24)</formula>
    </cfRule>
  </conditionalFormatting>
  <conditionalFormatting sqref="F42">
    <cfRule type="expression" dxfId="470" priority="238" stopIfTrue="1">
      <formula>AND($D42&lt;&gt;"SI",$E42&lt;24)</formula>
    </cfRule>
  </conditionalFormatting>
  <conditionalFormatting sqref="F42">
    <cfRule type="expression" dxfId="469" priority="237" stopIfTrue="1">
      <formula>AND($D42&lt;&gt;"SI",$E42&lt;24)</formula>
    </cfRule>
  </conditionalFormatting>
  <conditionalFormatting sqref="F42">
    <cfRule type="expression" dxfId="468" priority="236" stopIfTrue="1">
      <formula>AND($D42&lt;&gt;"SI",$E42&lt;24)</formula>
    </cfRule>
  </conditionalFormatting>
  <conditionalFormatting sqref="F42">
    <cfRule type="expression" dxfId="467" priority="235" stopIfTrue="1">
      <formula>AND($D42&lt;&gt;"SI",$E42&lt;24)</formula>
    </cfRule>
  </conditionalFormatting>
  <conditionalFormatting sqref="F42">
    <cfRule type="expression" dxfId="466" priority="234" stopIfTrue="1">
      <formula>AND($D42&lt;&gt;"SI",$E42&lt;24)</formula>
    </cfRule>
  </conditionalFormatting>
  <conditionalFormatting sqref="F42">
    <cfRule type="expression" dxfId="465" priority="233" stopIfTrue="1">
      <formula>AND($D42&lt;&gt;"SI",$E42&lt;24)</formula>
    </cfRule>
  </conditionalFormatting>
  <conditionalFormatting sqref="F42">
    <cfRule type="expression" dxfId="464" priority="232" stopIfTrue="1">
      <formula>AND($D42&lt;&gt;"SI",$E42&lt;24)</formula>
    </cfRule>
  </conditionalFormatting>
  <conditionalFormatting sqref="F42">
    <cfRule type="expression" dxfId="463" priority="231" stopIfTrue="1">
      <formula>AND($D42&lt;&gt;"SI",$E42&lt;24)</formula>
    </cfRule>
  </conditionalFormatting>
  <conditionalFormatting sqref="F42">
    <cfRule type="expression" dxfId="462" priority="230" stopIfTrue="1">
      <formula>AND($D42&lt;&gt;"SI",$E42&lt;24)</formula>
    </cfRule>
  </conditionalFormatting>
  <conditionalFormatting sqref="F42">
    <cfRule type="expression" dxfId="461" priority="229" stopIfTrue="1">
      <formula>AND($D42&lt;&gt;"SI",$E42&lt;24)</formula>
    </cfRule>
  </conditionalFormatting>
  <conditionalFormatting sqref="F42">
    <cfRule type="expression" dxfId="460" priority="228" stopIfTrue="1">
      <formula>AND($D42&lt;&gt;"SI",$E42&lt;24)</formula>
    </cfRule>
  </conditionalFormatting>
  <conditionalFormatting sqref="F42">
    <cfRule type="expression" dxfId="459" priority="227" stopIfTrue="1">
      <formula>AND($D42&lt;&gt;"SI",$E42&lt;24)</formula>
    </cfRule>
  </conditionalFormatting>
  <conditionalFormatting sqref="F42">
    <cfRule type="expression" dxfId="458" priority="226" stopIfTrue="1">
      <formula>AND($D42&lt;&gt;"SI",$E42&lt;24)</formula>
    </cfRule>
  </conditionalFormatting>
  <conditionalFormatting sqref="F42">
    <cfRule type="expression" dxfId="457" priority="225" stopIfTrue="1">
      <formula>AND($D42&lt;&gt;"SI",$E42&lt;24)</formula>
    </cfRule>
  </conditionalFormatting>
  <conditionalFormatting sqref="F42">
    <cfRule type="expression" dxfId="456" priority="224" stopIfTrue="1">
      <formula>AND($D42&lt;&gt;"SI",$E42&lt;24)</formula>
    </cfRule>
  </conditionalFormatting>
  <conditionalFormatting sqref="F42">
    <cfRule type="expression" dxfId="455" priority="223" stopIfTrue="1">
      <formula>AND($D42&lt;&gt;"SI",$E42&lt;24)</formula>
    </cfRule>
  </conditionalFormatting>
  <conditionalFormatting sqref="F42">
    <cfRule type="expression" dxfId="454" priority="222" stopIfTrue="1">
      <formula>AND($D42&lt;&gt;"SI",$E42&lt;24)</formula>
    </cfRule>
  </conditionalFormatting>
  <conditionalFormatting sqref="F42">
    <cfRule type="expression" dxfId="453" priority="221" stopIfTrue="1">
      <formula>AND($D42&lt;&gt;"SI",$E42&lt;24)</formula>
    </cfRule>
  </conditionalFormatting>
  <conditionalFormatting sqref="F42">
    <cfRule type="expression" dxfId="452" priority="220" stopIfTrue="1">
      <formula>AND($D42&lt;&gt;"SI",$E42&lt;24)</formula>
    </cfRule>
  </conditionalFormatting>
  <conditionalFormatting sqref="F42">
    <cfRule type="expression" dxfId="451" priority="219" stopIfTrue="1">
      <formula>AND($D42&lt;&gt;"SI",$E42&lt;24)</formula>
    </cfRule>
  </conditionalFormatting>
  <conditionalFormatting sqref="F42">
    <cfRule type="expression" dxfId="450" priority="218" stopIfTrue="1">
      <formula>AND($D42&lt;&gt;"SI",$E42&lt;24)</formula>
    </cfRule>
  </conditionalFormatting>
  <conditionalFormatting sqref="F42">
    <cfRule type="expression" dxfId="449" priority="217" stopIfTrue="1">
      <formula>AND($D42&lt;&gt;"SI",$E42&lt;24)</formula>
    </cfRule>
  </conditionalFormatting>
  <conditionalFormatting sqref="F42">
    <cfRule type="expression" dxfId="448" priority="216" stopIfTrue="1">
      <formula>AND($D42&lt;&gt;"SI",$E42&lt;24)</formula>
    </cfRule>
  </conditionalFormatting>
  <conditionalFormatting sqref="F43">
    <cfRule type="expression" dxfId="447" priority="215" stopIfTrue="1">
      <formula>AND($D43&lt;&gt;"SI",$E43&lt;24)</formula>
    </cfRule>
  </conditionalFormatting>
  <conditionalFormatting sqref="F43">
    <cfRule type="expression" dxfId="446" priority="214" stopIfTrue="1">
      <formula>AND($D43&lt;&gt;"SI",$E43&lt;24)</formula>
    </cfRule>
  </conditionalFormatting>
  <conditionalFormatting sqref="F43">
    <cfRule type="expression" dxfId="445" priority="213" stopIfTrue="1">
      <formula>AND($D43&lt;&gt;"SI",$E43&lt;24)</formula>
    </cfRule>
  </conditionalFormatting>
  <conditionalFormatting sqref="F43">
    <cfRule type="expression" dxfId="444" priority="212" stopIfTrue="1">
      <formula>AND($D43&lt;&gt;"SI",$E43&lt;24)</formula>
    </cfRule>
  </conditionalFormatting>
  <conditionalFormatting sqref="F43">
    <cfRule type="expression" dxfId="443" priority="211" stopIfTrue="1">
      <formula>AND($D43&lt;&gt;"SI",$E43&lt;24)</formula>
    </cfRule>
  </conditionalFormatting>
  <conditionalFormatting sqref="F43">
    <cfRule type="expression" dxfId="442" priority="210" stopIfTrue="1">
      <formula>AND($D43&lt;&gt;"SI",$E43&lt;24)</formula>
    </cfRule>
  </conditionalFormatting>
  <conditionalFormatting sqref="F43">
    <cfRule type="expression" dxfId="441" priority="209" stopIfTrue="1">
      <formula>AND($D43&lt;&gt;"SI",$E43&lt;24)</formula>
    </cfRule>
  </conditionalFormatting>
  <conditionalFormatting sqref="F43">
    <cfRule type="expression" dxfId="440" priority="208" stopIfTrue="1">
      <formula>AND($D43&lt;&gt;"SI",$E43&lt;24)</formula>
    </cfRule>
  </conditionalFormatting>
  <conditionalFormatting sqref="F43">
    <cfRule type="expression" dxfId="439" priority="207" stopIfTrue="1">
      <formula>AND($D43&lt;&gt;"SI",$E43&lt;24)</formula>
    </cfRule>
  </conditionalFormatting>
  <conditionalFormatting sqref="F43">
    <cfRule type="expression" dxfId="438" priority="206" stopIfTrue="1">
      <formula>AND($D43&lt;&gt;"SI",$E43&lt;24)</formula>
    </cfRule>
  </conditionalFormatting>
  <conditionalFormatting sqref="F43">
    <cfRule type="expression" dxfId="437" priority="205" stopIfTrue="1">
      <formula>AND($D43&lt;&gt;"SI",$E43&lt;24)</formula>
    </cfRule>
  </conditionalFormatting>
  <conditionalFormatting sqref="F43">
    <cfRule type="expression" dxfId="436" priority="204" stopIfTrue="1">
      <formula>AND($D43&lt;&gt;"SI",$E43&lt;24)</formula>
    </cfRule>
  </conditionalFormatting>
  <conditionalFormatting sqref="F43">
    <cfRule type="expression" dxfId="435" priority="203" stopIfTrue="1">
      <formula>AND($D43&lt;&gt;"SI",$E43&lt;24)</formula>
    </cfRule>
  </conditionalFormatting>
  <conditionalFormatting sqref="F43">
    <cfRule type="expression" dxfId="434" priority="202" stopIfTrue="1">
      <formula>AND($D43&lt;&gt;"SI",$E43&lt;24)</formula>
    </cfRule>
  </conditionalFormatting>
  <conditionalFormatting sqref="F43">
    <cfRule type="expression" dxfId="433" priority="201" stopIfTrue="1">
      <formula>AND($D43&lt;&gt;"SI",$E43&lt;24)</formula>
    </cfRule>
  </conditionalFormatting>
  <conditionalFormatting sqref="F43">
    <cfRule type="expression" dxfId="432" priority="200" stopIfTrue="1">
      <formula>AND($D43&lt;&gt;"SI",$E43&lt;24)</formula>
    </cfRule>
  </conditionalFormatting>
  <conditionalFormatting sqref="F43">
    <cfRule type="expression" dxfId="431" priority="199" stopIfTrue="1">
      <formula>AND($D43&lt;&gt;"SI",$E43&lt;24)</formula>
    </cfRule>
  </conditionalFormatting>
  <conditionalFormatting sqref="F43">
    <cfRule type="expression" dxfId="430" priority="198" stopIfTrue="1">
      <formula>AND($D43&lt;&gt;"SI",$E43&lt;24)</formula>
    </cfRule>
  </conditionalFormatting>
  <conditionalFormatting sqref="F43">
    <cfRule type="expression" dxfId="429" priority="197" stopIfTrue="1">
      <formula>AND($D43&lt;&gt;"SI",$E43&lt;24)</formula>
    </cfRule>
  </conditionalFormatting>
  <conditionalFormatting sqref="F43">
    <cfRule type="expression" dxfId="428" priority="196" stopIfTrue="1">
      <formula>AND($D43&lt;&gt;"SI",$E43&lt;24)</formula>
    </cfRule>
  </conditionalFormatting>
  <conditionalFormatting sqref="F43">
    <cfRule type="expression" dxfId="427" priority="195" stopIfTrue="1">
      <formula>AND($D43&lt;&gt;"SI",$E43&lt;24)</formula>
    </cfRule>
  </conditionalFormatting>
  <conditionalFormatting sqref="F43">
    <cfRule type="expression" dxfId="426" priority="194" stopIfTrue="1">
      <formula>AND($D43&lt;&gt;"SI",$E43&lt;24)</formula>
    </cfRule>
  </conditionalFormatting>
  <conditionalFormatting sqref="F43">
    <cfRule type="expression" dxfId="425" priority="193" stopIfTrue="1">
      <formula>AND($D43&lt;&gt;"SI",$E43&lt;24)</formula>
    </cfRule>
  </conditionalFormatting>
  <conditionalFormatting sqref="R48">
    <cfRule type="expression" dxfId="424" priority="192" stopIfTrue="1">
      <formula>AND($D48&lt;&gt;"SI",$N48&lt;24)</formula>
    </cfRule>
  </conditionalFormatting>
  <conditionalFormatting sqref="R48">
    <cfRule type="expression" dxfId="423" priority="191" stopIfTrue="1">
      <formula>AND($D48&lt;&gt;"SI",$N48&lt;24)</formula>
    </cfRule>
  </conditionalFormatting>
  <conditionalFormatting sqref="R48">
    <cfRule type="expression" dxfId="422" priority="190" stopIfTrue="1">
      <formula>AND($D48&lt;&gt;"SI",$N48&lt;24)</formula>
    </cfRule>
  </conditionalFormatting>
  <conditionalFormatting sqref="R48">
    <cfRule type="expression" dxfId="421" priority="189" stopIfTrue="1">
      <formula>AND($D48&lt;&gt;"SI",$N48&lt;24)</formula>
    </cfRule>
  </conditionalFormatting>
  <conditionalFormatting sqref="R48">
    <cfRule type="expression" dxfId="420" priority="188" stopIfTrue="1">
      <formula>AND($D48&lt;&gt;"SI",$N48&lt;24)</formula>
    </cfRule>
  </conditionalFormatting>
  <conditionalFormatting sqref="R48">
    <cfRule type="expression" dxfId="419" priority="187" stopIfTrue="1">
      <formula>AND($D48&lt;&gt;"SI",$N48&lt;24)</formula>
    </cfRule>
  </conditionalFormatting>
  <conditionalFormatting sqref="R48">
    <cfRule type="expression" dxfId="418" priority="186" stopIfTrue="1">
      <formula>AND($D48&lt;&gt;"SI",$N48&lt;24)</formula>
    </cfRule>
  </conditionalFormatting>
  <conditionalFormatting sqref="R48">
    <cfRule type="expression" dxfId="417" priority="185" stopIfTrue="1">
      <formula>AND($D48&lt;&gt;"SI",$N48&lt;24)</formula>
    </cfRule>
  </conditionalFormatting>
  <conditionalFormatting sqref="R48">
    <cfRule type="expression" dxfId="416" priority="184" stopIfTrue="1">
      <formula>AND($D48&lt;&gt;"SI",$N48&lt;24)</formula>
    </cfRule>
  </conditionalFormatting>
  <conditionalFormatting sqref="R48">
    <cfRule type="expression" dxfId="415" priority="183" stopIfTrue="1">
      <formula>AND($D48&lt;&gt;"SI",$N48&lt;24)</formula>
    </cfRule>
  </conditionalFormatting>
  <conditionalFormatting sqref="R48">
    <cfRule type="expression" dxfId="414" priority="182" stopIfTrue="1">
      <formula>AND($D48&lt;&gt;"SI",$N48&lt;24)</formula>
    </cfRule>
  </conditionalFormatting>
  <conditionalFormatting sqref="R48">
    <cfRule type="expression" dxfId="413" priority="181" stopIfTrue="1">
      <formula>AND($D48&lt;&gt;"SI",$N48&lt;24)</formula>
    </cfRule>
  </conditionalFormatting>
  <conditionalFormatting sqref="R48">
    <cfRule type="expression" dxfId="412" priority="180" stopIfTrue="1">
      <formula>AND($D48&lt;&gt;"SI",$N48&lt;24)</formula>
    </cfRule>
  </conditionalFormatting>
  <conditionalFormatting sqref="R48">
    <cfRule type="expression" dxfId="411" priority="179" stopIfTrue="1">
      <formula>AND($D48&lt;&gt;"SI",$N48&lt;24)</formula>
    </cfRule>
  </conditionalFormatting>
  <conditionalFormatting sqref="R48">
    <cfRule type="expression" dxfId="410" priority="178" stopIfTrue="1">
      <formula>AND($D48&lt;&gt;"SI",$N48&lt;24)</formula>
    </cfRule>
  </conditionalFormatting>
  <conditionalFormatting sqref="R48">
    <cfRule type="expression" dxfId="409" priority="177" stopIfTrue="1">
      <formula>AND($D48&lt;&gt;"SI",$N48&lt;24)</formula>
    </cfRule>
  </conditionalFormatting>
  <conditionalFormatting sqref="R48">
    <cfRule type="expression" dxfId="408" priority="176" stopIfTrue="1">
      <formula>AND($D48&lt;&gt;"SI",$N48&lt;24)</formula>
    </cfRule>
  </conditionalFormatting>
  <conditionalFormatting sqref="R48">
    <cfRule type="expression" dxfId="407" priority="175" stopIfTrue="1">
      <formula>AND($D48&lt;&gt;"SI",$N48&lt;24)</formula>
    </cfRule>
  </conditionalFormatting>
  <conditionalFormatting sqref="R48">
    <cfRule type="expression" dxfId="406" priority="174" stopIfTrue="1">
      <formula>AND($D48&lt;&gt;"SI",$N48&lt;24)</formula>
    </cfRule>
  </conditionalFormatting>
  <conditionalFormatting sqref="R48">
    <cfRule type="expression" dxfId="405" priority="173" stopIfTrue="1">
      <formula>AND($D48&lt;&gt;"SI",$N48&lt;24)</formula>
    </cfRule>
  </conditionalFormatting>
  <conditionalFormatting sqref="R48">
    <cfRule type="expression" dxfId="404" priority="172" stopIfTrue="1">
      <formula>AND($D48&lt;&gt;"SI",$N48&lt;24)</formula>
    </cfRule>
  </conditionalFormatting>
  <conditionalFormatting sqref="R48">
    <cfRule type="expression" dxfId="403" priority="171" stopIfTrue="1">
      <formula>AND($D48&lt;&gt;"SI",$N48&lt;24)</formula>
    </cfRule>
  </conditionalFormatting>
  <conditionalFormatting sqref="R48">
    <cfRule type="expression" dxfId="402" priority="170" stopIfTrue="1">
      <formula>AND($D48&lt;&gt;"SI",$N48&lt;24)</formula>
    </cfRule>
  </conditionalFormatting>
  <conditionalFormatting sqref="R48">
    <cfRule type="expression" dxfId="401" priority="169" stopIfTrue="1">
      <formula>AND($D48&lt;&gt;"SI",$N48&lt;24)</formula>
    </cfRule>
  </conditionalFormatting>
  <conditionalFormatting sqref="R48">
    <cfRule type="expression" dxfId="400" priority="168" stopIfTrue="1">
      <formula>AND($D48&lt;&gt;"SI",$N48&lt;24)</formula>
    </cfRule>
  </conditionalFormatting>
  <conditionalFormatting sqref="R48">
    <cfRule type="expression" dxfId="399" priority="167" stopIfTrue="1">
      <formula>AND($D48&lt;&gt;"SI",$N48&lt;24)</formula>
    </cfRule>
  </conditionalFormatting>
  <conditionalFormatting sqref="R48">
    <cfRule type="expression" dxfId="398" priority="166" stopIfTrue="1">
      <formula>AND($D48&lt;&gt;"SI",$N48&lt;24)</formula>
    </cfRule>
  </conditionalFormatting>
  <conditionalFormatting sqref="R48">
    <cfRule type="expression" dxfId="397" priority="165" stopIfTrue="1">
      <formula>AND($D48&lt;&gt;"SI",$N48&lt;24)</formula>
    </cfRule>
  </conditionalFormatting>
  <conditionalFormatting sqref="R48">
    <cfRule type="expression" dxfId="396" priority="164" stopIfTrue="1">
      <formula>AND($D48&lt;&gt;"SI",$N48&lt;24)</formula>
    </cfRule>
  </conditionalFormatting>
  <conditionalFormatting sqref="R48">
    <cfRule type="expression" dxfId="395" priority="163" stopIfTrue="1">
      <formula>AND($D48&lt;&gt;"SI",$N48&lt;24)</formula>
    </cfRule>
  </conditionalFormatting>
  <conditionalFormatting sqref="R48">
    <cfRule type="expression" dxfId="394" priority="162" stopIfTrue="1">
      <formula>AND($D48&lt;&gt;"SI",$N48&lt;24)</formula>
    </cfRule>
  </conditionalFormatting>
  <conditionalFormatting sqref="R48">
    <cfRule type="expression" dxfId="393" priority="161" stopIfTrue="1">
      <formula>AND($D48&lt;&gt;"SI",$N48&lt;24)</formula>
    </cfRule>
  </conditionalFormatting>
  <conditionalFormatting sqref="R48">
    <cfRule type="expression" dxfId="392" priority="160" stopIfTrue="1">
      <formula>AND($D48&lt;&gt;"SI",$N48&lt;24)</formula>
    </cfRule>
  </conditionalFormatting>
  <conditionalFormatting sqref="R48">
    <cfRule type="expression" dxfId="391" priority="159" stopIfTrue="1">
      <formula>AND($D48&lt;&gt;"SI",$N48&lt;24)</formula>
    </cfRule>
  </conditionalFormatting>
  <conditionalFormatting sqref="R48">
    <cfRule type="expression" dxfId="390" priority="158" stopIfTrue="1">
      <formula>AND($D48&lt;&gt;"SI",$N48&lt;24)</formula>
    </cfRule>
  </conditionalFormatting>
  <conditionalFormatting sqref="R48">
    <cfRule type="expression" dxfId="389" priority="157" stopIfTrue="1">
      <formula>AND($D48&lt;&gt;"SI",$N48&lt;24)</formula>
    </cfRule>
  </conditionalFormatting>
  <conditionalFormatting sqref="R48">
    <cfRule type="expression" dxfId="388" priority="156" stopIfTrue="1">
      <formula>AND($D48&lt;&gt;"SI",$N48&lt;24)</formula>
    </cfRule>
  </conditionalFormatting>
  <conditionalFormatting sqref="R48">
    <cfRule type="expression" dxfId="387" priority="155" stopIfTrue="1">
      <formula>AND($D48&lt;&gt;"SI",$N48&lt;24)</formula>
    </cfRule>
  </conditionalFormatting>
  <conditionalFormatting sqref="R48">
    <cfRule type="expression" dxfId="386" priority="154" stopIfTrue="1">
      <formula>AND($D48&lt;&gt;"SI",$N48&lt;24)</formula>
    </cfRule>
  </conditionalFormatting>
  <conditionalFormatting sqref="R48">
    <cfRule type="expression" dxfId="385" priority="153" stopIfTrue="1">
      <formula>AND($D48&lt;&gt;"SI",$N48&lt;24)</formula>
    </cfRule>
  </conditionalFormatting>
  <conditionalFormatting sqref="R48">
    <cfRule type="expression" dxfId="384" priority="152" stopIfTrue="1">
      <formula>AND($D48&lt;&gt;"SI",$N48&lt;24)</formula>
    </cfRule>
  </conditionalFormatting>
  <conditionalFormatting sqref="R48">
    <cfRule type="expression" dxfId="383" priority="151" stopIfTrue="1">
      <formula>AND($D48&lt;&gt;"SI",$N48&lt;24)</formula>
    </cfRule>
  </conditionalFormatting>
  <conditionalFormatting sqref="R48">
    <cfRule type="expression" dxfId="382" priority="150" stopIfTrue="1">
      <formula>AND($D48&lt;&gt;"SI",$N48&lt;24)</formula>
    </cfRule>
  </conditionalFormatting>
  <conditionalFormatting sqref="R48">
    <cfRule type="expression" dxfId="381" priority="149" stopIfTrue="1">
      <formula>AND($D48&lt;&gt;"SI",$N48&lt;24)</formula>
    </cfRule>
  </conditionalFormatting>
  <conditionalFormatting sqref="R48">
    <cfRule type="expression" dxfId="380" priority="148" stopIfTrue="1">
      <formula>AND($D48&lt;&gt;"SI",$N48&lt;24)</formula>
    </cfRule>
  </conditionalFormatting>
  <conditionalFormatting sqref="R48">
    <cfRule type="expression" dxfId="379" priority="147" stopIfTrue="1">
      <formula>AND($D48&lt;&gt;"SI",$N48&lt;24)</formula>
    </cfRule>
  </conditionalFormatting>
  <conditionalFormatting sqref="R48">
    <cfRule type="expression" dxfId="378" priority="146" stopIfTrue="1">
      <formula>AND($D48&lt;&gt;"SI",$N48&lt;24)</formula>
    </cfRule>
  </conditionalFormatting>
  <conditionalFormatting sqref="R48">
    <cfRule type="expression" dxfId="377" priority="145" stopIfTrue="1">
      <formula>AND($D48&lt;&gt;"SI",$N48&lt;24)</formula>
    </cfRule>
  </conditionalFormatting>
  <conditionalFormatting sqref="R48">
    <cfRule type="expression" dxfId="376" priority="144" stopIfTrue="1">
      <formula>AND($D48&lt;&gt;"SI",$N48&lt;24)</formula>
    </cfRule>
  </conditionalFormatting>
  <conditionalFormatting sqref="R48">
    <cfRule type="expression" dxfId="375" priority="143" stopIfTrue="1">
      <formula>AND($D48&lt;&gt;"SI",$N48&lt;24)</formula>
    </cfRule>
  </conditionalFormatting>
  <conditionalFormatting sqref="R48">
    <cfRule type="expression" dxfId="374" priority="142" stopIfTrue="1">
      <formula>AND($D48&lt;&gt;"SI",$N48&lt;24)</formula>
    </cfRule>
  </conditionalFormatting>
  <conditionalFormatting sqref="R48">
    <cfRule type="expression" dxfId="373" priority="141" stopIfTrue="1">
      <formula>AND($D48&lt;&gt;"SI",$N48&lt;24)</formula>
    </cfRule>
  </conditionalFormatting>
  <conditionalFormatting sqref="R48">
    <cfRule type="expression" dxfId="372" priority="140" stopIfTrue="1">
      <formula>AND($D48&lt;&gt;"SI",$N48&lt;24)</formula>
    </cfRule>
  </conditionalFormatting>
  <conditionalFormatting sqref="R48">
    <cfRule type="expression" dxfId="371" priority="139" stopIfTrue="1">
      <formula>AND($D48&lt;&gt;"SI",$N48&lt;24)</formula>
    </cfRule>
  </conditionalFormatting>
  <conditionalFormatting sqref="R48">
    <cfRule type="expression" dxfId="370" priority="138" stopIfTrue="1">
      <formula>AND($D48&lt;&gt;"SI",$N48&lt;24)</formula>
    </cfRule>
  </conditionalFormatting>
  <conditionalFormatting sqref="R48">
    <cfRule type="expression" dxfId="369" priority="137" stopIfTrue="1">
      <formula>AND($D48&lt;&gt;"SI",$N48&lt;24)</formula>
    </cfRule>
  </conditionalFormatting>
  <conditionalFormatting sqref="R48">
    <cfRule type="expression" dxfId="368" priority="136" stopIfTrue="1">
      <formula>AND($D48&lt;&gt;"SI",$N48&lt;24)</formula>
    </cfRule>
  </conditionalFormatting>
  <conditionalFormatting sqref="R48">
    <cfRule type="expression" dxfId="367" priority="135" stopIfTrue="1">
      <formula>AND($D48&lt;&gt;"SI",$N48&lt;24)</formula>
    </cfRule>
  </conditionalFormatting>
  <conditionalFormatting sqref="R48">
    <cfRule type="expression" dxfId="366" priority="134" stopIfTrue="1">
      <formula>AND($D48&lt;&gt;"SI",$N48&lt;24)</formula>
    </cfRule>
  </conditionalFormatting>
  <conditionalFormatting sqref="R48">
    <cfRule type="expression" dxfId="365" priority="133" stopIfTrue="1">
      <formula>AND($D48&lt;&gt;"SI",$N48&lt;24)</formula>
    </cfRule>
  </conditionalFormatting>
  <conditionalFormatting sqref="R48">
    <cfRule type="expression" dxfId="364" priority="132" stopIfTrue="1">
      <formula>AND($D48&lt;&gt;"SI",$N48&lt;24)</formula>
    </cfRule>
  </conditionalFormatting>
  <conditionalFormatting sqref="R48">
    <cfRule type="expression" dxfId="363" priority="131" stopIfTrue="1">
      <formula>AND($D48&lt;&gt;"SI",$N48&lt;24)</formula>
    </cfRule>
  </conditionalFormatting>
  <conditionalFormatting sqref="R48">
    <cfRule type="expression" dxfId="362" priority="130" stopIfTrue="1">
      <formula>AND($D48&lt;&gt;"SI",$N48&lt;24)</formula>
    </cfRule>
  </conditionalFormatting>
  <conditionalFormatting sqref="R48">
    <cfRule type="expression" dxfId="361" priority="129" stopIfTrue="1">
      <formula>AND($D48&lt;&gt;"SI",$N48&lt;24)</formula>
    </cfRule>
  </conditionalFormatting>
  <conditionalFormatting sqref="R50">
    <cfRule type="expression" dxfId="360" priority="128" stopIfTrue="1">
      <formula>AND($D50&lt;&gt;"SI",$N50&lt;24)</formula>
    </cfRule>
  </conditionalFormatting>
  <conditionalFormatting sqref="R50">
    <cfRule type="expression" dxfId="359" priority="127" stopIfTrue="1">
      <formula>AND($D50&lt;&gt;"SI",$N50&lt;24)</formula>
    </cfRule>
  </conditionalFormatting>
  <conditionalFormatting sqref="R50">
    <cfRule type="expression" dxfId="358" priority="126" stopIfTrue="1">
      <formula>AND($D50&lt;&gt;"SI",$N50&lt;24)</formula>
    </cfRule>
  </conditionalFormatting>
  <conditionalFormatting sqref="R50">
    <cfRule type="expression" dxfId="357" priority="125" stopIfTrue="1">
      <formula>AND($D50&lt;&gt;"SI",$N50&lt;24)</formula>
    </cfRule>
  </conditionalFormatting>
  <conditionalFormatting sqref="R50">
    <cfRule type="expression" dxfId="356" priority="124" stopIfTrue="1">
      <formula>AND($D50&lt;&gt;"SI",$N50&lt;24)</formula>
    </cfRule>
  </conditionalFormatting>
  <conditionalFormatting sqref="R50">
    <cfRule type="expression" dxfId="355" priority="123" stopIfTrue="1">
      <formula>AND($D50&lt;&gt;"SI",$N50&lt;24)</formula>
    </cfRule>
  </conditionalFormatting>
  <conditionalFormatting sqref="R50">
    <cfRule type="expression" dxfId="354" priority="122" stopIfTrue="1">
      <formula>AND($D50&lt;&gt;"SI",$N50&lt;24)</formula>
    </cfRule>
  </conditionalFormatting>
  <conditionalFormatting sqref="R50">
    <cfRule type="expression" dxfId="353" priority="121" stopIfTrue="1">
      <formula>AND($D50&lt;&gt;"SI",$N50&lt;24)</formula>
    </cfRule>
  </conditionalFormatting>
  <conditionalFormatting sqref="R50">
    <cfRule type="expression" dxfId="352" priority="120" stopIfTrue="1">
      <formula>AND($D50&lt;&gt;"SI",$N50&lt;24)</formula>
    </cfRule>
  </conditionalFormatting>
  <conditionalFormatting sqref="R50">
    <cfRule type="expression" dxfId="351" priority="119" stopIfTrue="1">
      <formula>AND($D50&lt;&gt;"SI",$N50&lt;24)</formula>
    </cfRule>
  </conditionalFormatting>
  <conditionalFormatting sqref="R50">
    <cfRule type="expression" dxfId="350" priority="118" stopIfTrue="1">
      <formula>AND($D50&lt;&gt;"SI",$N50&lt;24)</formula>
    </cfRule>
  </conditionalFormatting>
  <conditionalFormatting sqref="R50">
    <cfRule type="expression" dxfId="349" priority="117" stopIfTrue="1">
      <formula>AND($D50&lt;&gt;"SI",$N50&lt;24)</formula>
    </cfRule>
  </conditionalFormatting>
  <conditionalFormatting sqref="R50">
    <cfRule type="expression" dxfId="348" priority="116" stopIfTrue="1">
      <formula>AND($D50&lt;&gt;"SI",$N50&lt;24)</formula>
    </cfRule>
  </conditionalFormatting>
  <conditionalFormatting sqref="R50">
    <cfRule type="expression" dxfId="347" priority="115" stopIfTrue="1">
      <formula>AND($D50&lt;&gt;"SI",$N50&lt;24)</formula>
    </cfRule>
  </conditionalFormatting>
  <conditionalFormatting sqref="R50">
    <cfRule type="expression" dxfId="346" priority="114" stopIfTrue="1">
      <formula>AND($D50&lt;&gt;"SI",$N50&lt;24)</formula>
    </cfRule>
  </conditionalFormatting>
  <conditionalFormatting sqref="R50">
    <cfRule type="expression" dxfId="345" priority="113" stopIfTrue="1">
      <formula>AND($D50&lt;&gt;"SI",$N50&lt;24)</formula>
    </cfRule>
  </conditionalFormatting>
  <conditionalFormatting sqref="R50">
    <cfRule type="expression" dxfId="344" priority="112" stopIfTrue="1">
      <formula>AND($D50&lt;&gt;"SI",$N50&lt;24)</formula>
    </cfRule>
  </conditionalFormatting>
  <conditionalFormatting sqref="R50">
    <cfRule type="expression" dxfId="343" priority="111" stopIfTrue="1">
      <formula>AND($D50&lt;&gt;"SI",$N50&lt;24)</formula>
    </cfRule>
  </conditionalFormatting>
  <conditionalFormatting sqref="R50">
    <cfRule type="expression" dxfId="342" priority="110" stopIfTrue="1">
      <formula>AND($D50&lt;&gt;"SI",$N50&lt;24)</formula>
    </cfRule>
  </conditionalFormatting>
  <conditionalFormatting sqref="R50">
    <cfRule type="expression" dxfId="341" priority="109" stopIfTrue="1">
      <formula>AND($D50&lt;&gt;"SI",$N50&lt;24)</formula>
    </cfRule>
  </conditionalFormatting>
  <conditionalFormatting sqref="R50">
    <cfRule type="expression" dxfId="340" priority="108" stopIfTrue="1">
      <formula>AND($D50&lt;&gt;"SI",$N50&lt;24)</formula>
    </cfRule>
  </conditionalFormatting>
  <conditionalFormatting sqref="R50">
    <cfRule type="expression" dxfId="339" priority="107" stopIfTrue="1">
      <formula>AND($D50&lt;&gt;"SI",$N50&lt;24)</formula>
    </cfRule>
  </conditionalFormatting>
  <conditionalFormatting sqref="R50">
    <cfRule type="expression" dxfId="338" priority="106" stopIfTrue="1">
      <formula>AND($D50&lt;&gt;"SI",$N50&lt;24)</formula>
    </cfRule>
  </conditionalFormatting>
  <conditionalFormatting sqref="R50">
    <cfRule type="expression" dxfId="337" priority="105" stopIfTrue="1">
      <formula>AND($D50&lt;&gt;"SI",$N50&lt;24)</formula>
    </cfRule>
  </conditionalFormatting>
  <conditionalFormatting sqref="R50">
    <cfRule type="expression" dxfId="336" priority="104" stopIfTrue="1">
      <formula>AND($D50&lt;&gt;"SI",$N50&lt;24)</formula>
    </cfRule>
  </conditionalFormatting>
  <conditionalFormatting sqref="R50">
    <cfRule type="expression" dxfId="335" priority="103" stopIfTrue="1">
      <formula>AND($D50&lt;&gt;"SI",$N50&lt;24)</formula>
    </cfRule>
  </conditionalFormatting>
  <conditionalFormatting sqref="R50">
    <cfRule type="expression" dxfId="334" priority="102" stopIfTrue="1">
      <formula>AND($D50&lt;&gt;"SI",$N50&lt;24)</formula>
    </cfRule>
  </conditionalFormatting>
  <conditionalFormatting sqref="R50">
    <cfRule type="expression" dxfId="333" priority="101" stopIfTrue="1">
      <formula>AND($D50&lt;&gt;"SI",$N50&lt;24)</formula>
    </cfRule>
  </conditionalFormatting>
  <conditionalFormatting sqref="R50">
    <cfRule type="expression" dxfId="332" priority="100" stopIfTrue="1">
      <formula>AND($D50&lt;&gt;"SI",$N50&lt;24)</formula>
    </cfRule>
  </conditionalFormatting>
  <conditionalFormatting sqref="R50">
    <cfRule type="expression" dxfId="331" priority="99" stopIfTrue="1">
      <formula>AND($D50&lt;&gt;"SI",$N50&lt;24)</formula>
    </cfRule>
  </conditionalFormatting>
  <conditionalFormatting sqref="R50">
    <cfRule type="expression" dxfId="330" priority="98" stopIfTrue="1">
      <formula>AND($D50&lt;&gt;"SI",$N50&lt;24)</formula>
    </cfRule>
  </conditionalFormatting>
  <conditionalFormatting sqref="R50">
    <cfRule type="expression" dxfId="329" priority="97" stopIfTrue="1">
      <formula>AND($D50&lt;&gt;"SI",$N50&lt;24)</formula>
    </cfRule>
  </conditionalFormatting>
  <conditionalFormatting sqref="R50">
    <cfRule type="expression" dxfId="328" priority="96" stopIfTrue="1">
      <formula>AND($D50&lt;&gt;"SI",$N50&lt;24)</formula>
    </cfRule>
  </conditionalFormatting>
  <conditionalFormatting sqref="R50">
    <cfRule type="expression" dxfId="327" priority="95" stopIfTrue="1">
      <formula>AND($D50&lt;&gt;"SI",$N50&lt;24)</formula>
    </cfRule>
  </conditionalFormatting>
  <conditionalFormatting sqref="R50">
    <cfRule type="expression" dxfId="326" priority="94" stopIfTrue="1">
      <formula>AND($D50&lt;&gt;"SI",$N50&lt;24)</formula>
    </cfRule>
  </conditionalFormatting>
  <conditionalFormatting sqref="R50">
    <cfRule type="expression" dxfId="325" priority="93" stopIfTrue="1">
      <formula>AND($D50&lt;&gt;"SI",$N50&lt;24)</formula>
    </cfRule>
  </conditionalFormatting>
  <conditionalFormatting sqref="R50">
    <cfRule type="expression" dxfId="324" priority="92" stopIfTrue="1">
      <formula>AND($D50&lt;&gt;"SI",$N50&lt;24)</formula>
    </cfRule>
  </conditionalFormatting>
  <conditionalFormatting sqref="R50">
    <cfRule type="expression" dxfId="323" priority="91" stopIfTrue="1">
      <formula>AND($D50&lt;&gt;"SI",$N50&lt;24)</formula>
    </cfRule>
  </conditionalFormatting>
  <conditionalFormatting sqref="R50">
    <cfRule type="expression" dxfId="322" priority="90" stopIfTrue="1">
      <formula>AND($D50&lt;&gt;"SI",$N50&lt;24)</formula>
    </cfRule>
  </conditionalFormatting>
  <conditionalFormatting sqref="R50">
    <cfRule type="expression" dxfId="321" priority="89" stopIfTrue="1">
      <formula>AND($D50&lt;&gt;"SI",$N50&lt;24)</formula>
    </cfRule>
  </conditionalFormatting>
  <conditionalFormatting sqref="R50">
    <cfRule type="expression" dxfId="320" priority="88" stopIfTrue="1">
      <formula>AND($D50&lt;&gt;"SI",$N50&lt;24)</formula>
    </cfRule>
  </conditionalFormatting>
  <conditionalFormatting sqref="R50">
    <cfRule type="expression" dxfId="319" priority="87" stopIfTrue="1">
      <formula>AND($D50&lt;&gt;"SI",$N50&lt;24)</formula>
    </cfRule>
  </conditionalFormatting>
  <conditionalFormatting sqref="R50">
    <cfRule type="expression" dxfId="318" priority="86" stopIfTrue="1">
      <formula>AND($D50&lt;&gt;"SI",$N50&lt;24)</formula>
    </cfRule>
  </conditionalFormatting>
  <conditionalFormatting sqref="R50">
    <cfRule type="expression" dxfId="317" priority="85" stopIfTrue="1">
      <formula>AND($D50&lt;&gt;"SI",$N50&lt;24)</formula>
    </cfRule>
  </conditionalFormatting>
  <conditionalFormatting sqref="R50">
    <cfRule type="expression" dxfId="316" priority="84" stopIfTrue="1">
      <formula>AND($D50&lt;&gt;"SI",$N50&lt;24)</formula>
    </cfRule>
  </conditionalFormatting>
  <conditionalFormatting sqref="R50">
    <cfRule type="expression" dxfId="315" priority="83" stopIfTrue="1">
      <formula>AND($D50&lt;&gt;"SI",$N50&lt;24)</formula>
    </cfRule>
  </conditionalFormatting>
  <conditionalFormatting sqref="R50">
    <cfRule type="expression" dxfId="314" priority="82" stopIfTrue="1">
      <formula>AND($D50&lt;&gt;"SI",$N50&lt;24)</formula>
    </cfRule>
  </conditionalFormatting>
  <conditionalFormatting sqref="R50">
    <cfRule type="expression" dxfId="313" priority="81" stopIfTrue="1">
      <formula>AND($D50&lt;&gt;"SI",$N50&lt;24)</formula>
    </cfRule>
  </conditionalFormatting>
  <conditionalFormatting sqref="R50">
    <cfRule type="expression" dxfId="312" priority="80" stopIfTrue="1">
      <formula>AND($D50&lt;&gt;"SI",$N50&lt;24)</formula>
    </cfRule>
  </conditionalFormatting>
  <conditionalFormatting sqref="R50">
    <cfRule type="expression" dxfId="311" priority="79" stopIfTrue="1">
      <formula>AND($D50&lt;&gt;"SI",$N50&lt;24)</formula>
    </cfRule>
  </conditionalFormatting>
  <conditionalFormatting sqref="R50">
    <cfRule type="expression" dxfId="310" priority="78" stopIfTrue="1">
      <formula>AND($D50&lt;&gt;"SI",$N50&lt;24)</formula>
    </cfRule>
  </conditionalFormatting>
  <conditionalFormatting sqref="R50">
    <cfRule type="expression" dxfId="309" priority="77" stopIfTrue="1">
      <formula>AND($D50&lt;&gt;"SI",$N50&lt;24)</formula>
    </cfRule>
  </conditionalFormatting>
  <conditionalFormatting sqref="R50">
    <cfRule type="expression" dxfId="308" priority="76" stopIfTrue="1">
      <formula>AND($D50&lt;&gt;"SI",$N50&lt;24)</formula>
    </cfRule>
  </conditionalFormatting>
  <conditionalFormatting sqref="R50">
    <cfRule type="expression" dxfId="307" priority="75" stopIfTrue="1">
      <formula>AND($D50&lt;&gt;"SI",$N50&lt;24)</formula>
    </cfRule>
  </conditionalFormatting>
  <conditionalFormatting sqref="R50">
    <cfRule type="expression" dxfId="306" priority="74" stopIfTrue="1">
      <formula>AND($D50&lt;&gt;"SI",$N50&lt;24)</formula>
    </cfRule>
  </conditionalFormatting>
  <conditionalFormatting sqref="R50">
    <cfRule type="expression" dxfId="305" priority="73" stopIfTrue="1">
      <formula>AND($D50&lt;&gt;"SI",$N50&lt;24)</formula>
    </cfRule>
  </conditionalFormatting>
  <conditionalFormatting sqref="R50">
    <cfRule type="expression" dxfId="304" priority="72" stopIfTrue="1">
      <formula>AND($D50&lt;&gt;"SI",$N50&lt;24)</formula>
    </cfRule>
  </conditionalFormatting>
  <conditionalFormatting sqref="R50">
    <cfRule type="expression" dxfId="303" priority="71" stopIfTrue="1">
      <formula>AND($D50&lt;&gt;"SI",$N50&lt;24)</formula>
    </cfRule>
  </conditionalFormatting>
  <conditionalFormatting sqref="R50">
    <cfRule type="expression" dxfId="302" priority="70" stopIfTrue="1">
      <formula>AND($D50&lt;&gt;"SI",$N50&lt;24)</formula>
    </cfRule>
  </conditionalFormatting>
  <conditionalFormatting sqref="R50">
    <cfRule type="expression" dxfId="301" priority="69" stopIfTrue="1">
      <formula>AND($D50&lt;&gt;"SI",$N50&lt;24)</formula>
    </cfRule>
  </conditionalFormatting>
  <conditionalFormatting sqref="R50">
    <cfRule type="expression" dxfId="300" priority="68" stopIfTrue="1">
      <formula>AND($D50&lt;&gt;"SI",$N50&lt;24)</formula>
    </cfRule>
  </conditionalFormatting>
  <conditionalFormatting sqref="R50">
    <cfRule type="expression" dxfId="299" priority="67" stopIfTrue="1">
      <formula>AND($D50&lt;&gt;"SI",$N50&lt;24)</formula>
    </cfRule>
  </conditionalFormatting>
  <conditionalFormatting sqref="R50">
    <cfRule type="expression" dxfId="298" priority="66" stopIfTrue="1">
      <formula>AND($D50&lt;&gt;"SI",$N50&lt;24)</formula>
    </cfRule>
  </conditionalFormatting>
  <conditionalFormatting sqref="R50">
    <cfRule type="expression" dxfId="297" priority="65" stopIfTrue="1">
      <formula>AND($D50&lt;&gt;"SI",$N50&lt;24)</formula>
    </cfRule>
  </conditionalFormatting>
  <conditionalFormatting sqref="R58">
    <cfRule type="expression" dxfId="296" priority="64" stopIfTrue="1">
      <formula>AND($D58&lt;&gt;"SI",$N58&lt;24)</formula>
    </cfRule>
  </conditionalFormatting>
  <conditionalFormatting sqref="R58">
    <cfRule type="expression" dxfId="295" priority="63" stopIfTrue="1">
      <formula>AND($D58&lt;&gt;"SI",$N58&lt;24)</formula>
    </cfRule>
  </conditionalFormatting>
  <conditionalFormatting sqref="R58">
    <cfRule type="expression" dxfId="294" priority="62" stopIfTrue="1">
      <formula>AND($D58&lt;&gt;"SI",$N58&lt;24)</formula>
    </cfRule>
  </conditionalFormatting>
  <conditionalFormatting sqref="R58">
    <cfRule type="expression" dxfId="293" priority="61" stopIfTrue="1">
      <formula>AND($D58&lt;&gt;"SI",$N58&lt;24)</formula>
    </cfRule>
  </conditionalFormatting>
  <conditionalFormatting sqref="R58">
    <cfRule type="expression" dxfId="292" priority="60" stopIfTrue="1">
      <formula>AND($D58&lt;&gt;"SI",$N58&lt;24)</formula>
    </cfRule>
  </conditionalFormatting>
  <conditionalFormatting sqref="R58">
    <cfRule type="expression" dxfId="291" priority="59" stopIfTrue="1">
      <formula>AND($D58&lt;&gt;"SI",$N58&lt;24)</formula>
    </cfRule>
  </conditionalFormatting>
  <conditionalFormatting sqref="R58">
    <cfRule type="expression" dxfId="290" priority="58" stopIfTrue="1">
      <formula>AND($D58&lt;&gt;"SI",$N58&lt;24)</formula>
    </cfRule>
  </conditionalFormatting>
  <conditionalFormatting sqref="R58">
    <cfRule type="expression" dxfId="289" priority="57" stopIfTrue="1">
      <formula>AND($D58&lt;&gt;"SI",$N58&lt;24)</formula>
    </cfRule>
  </conditionalFormatting>
  <conditionalFormatting sqref="R58">
    <cfRule type="expression" dxfId="288" priority="56" stopIfTrue="1">
      <formula>AND($D58&lt;&gt;"SI",$N58&lt;24)</formula>
    </cfRule>
  </conditionalFormatting>
  <conditionalFormatting sqref="R58">
    <cfRule type="expression" dxfId="287" priority="55" stopIfTrue="1">
      <formula>AND($D58&lt;&gt;"SI",$N58&lt;24)</formula>
    </cfRule>
  </conditionalFormatting>
  <conditionalFormatting sqref="R58">
    <cfRule type="expression" dxfId="286" priority="54" stopIfTrue="1">
      <formula>AND($D58&lt;&gt;"SI",$N58&lt;24)</formula>
    </cfRule>
  </conditionalFormatting>
  <conditionalFormatting sqref="R58">
    <cfRule type="expression" dxfId="285" priority="53" stopIfTrue="1">
      <formula>AND($D58&lt;&gt;"SI",$N58&lt;24)</formula>
    </cfRule>
  </conditionalFormatting>
  <conditionalFormatting sqref="R58">
    <cfRule type="expression" dxfId="284" priority="52" stopIfTrue="1">
      <formula>AND($D58&lt;&gt;"SI",$N58&lt;24)</formula>
    </cfRule>
  </conditionalFormatting>
  <conditionalFormatting sqref="R58">
    <cfRule type="expression" dxfId="283" priority="51" stopIfTrue="1">
      <formula>AND($D58&lt;&gt;"SI",$N58&lt;24)</formula>
    </cfRule>
  </conditionalFormatting>
  <conditionalFormatting sqref="R58">
    <cfRule type="expression" dxfId="282" priority="50" stopIfTrue="1">
      <formula>AND($D58&lt;&gt;"SI",$N58&lt;24)</formula>
    </cfRule>
  </conditionalFormatting>
  <conditionalFormatting sqref="R58">
    <cfRule type="expression" dxfId="281" priority="49" stopIfTrue="1">
      <formula>AND($D58&lt;&gt;"SI",$N58&lt;24)</formula>
    </cfRule>
  </conditionalFormatting>
  <conditionalFormatting sqref="R58">
    <cfRule type="expression" dxfId="280" priority="48" stopIfTrue="1">
      <formula>AND($D58&lt;&gt;"SI",$N58&lt;24)</formula>
    </cfRule>
  </conditionalFormatting>
  <conditionalFormatting sqref="R58">
    <cfRule type="expression" dxfId="279" priority="47" stopIfTrue="1">
      <formula>AND($D58&lt;&gt;"SI",$N58&lt;24)</formula>
    </cfRule>
  </conditionalFormatting>
  <conditionalFormatting sqref="R58">
    <cfRule type="expression" dxfId="278" priority="46" stopIfTrue="1">
      <formula>AND($D58&lt;&gt;"SI",$N58&lt;24)</formula>
    </cfRule>
  </conditionalFormatting>
  <conditionalFormatting sqref="R58">
    <cfRule type="expression" dxfId="277" priority="45" stopIfTrue="1">
      <formula>AND($D58&lt;&gt;"SI",$N58&lt;24)</formula>
    </cfRule>
  </conditionalFormatting>
  <conditionalFormatting sqref="R58">
    <cfRule type="expression" dxfId="276" priority="44" stopIfTrue="1">
      <formula>AND($D58&lt;&gt;"SI",$N58&lt;24)</formula>
    </cfRule>
  </conditionalFormatting>
  <conditionalFormatting sqref="R58">
    <cfRule type="expression" dxfId="275" priority="43" stopIfTrue="1">
      <formula>AND($D58&lt;&gt;"SI",$N58&lt;24)</formula>
    </cfRule>
  </conditionalFormatting>
  <conditionalFormatting sqref="R58">
    <cfRule type="expression" dxfId="274" priority="42" stopIfTrue="1">
      <formula>AND($D58&lt;&gt;"SI",$N58&lt;24)</formula>
    </cfRule>
  </conditionalFormatting>
  <conditionalFormatting sqref="R58">
    <cfRule type="expression" dxfId="273" priority="41" stopIfTrue="1">
      <formula>AND($D58&lt;&gt;"SI",$N58&lt;24)</formula>
    </cfRule>
  </conditionalFormatting>
  <conditionalFormatting sqref="R58">
    <cfRule type="expression" dxfId="272" priority="40" stopIfTrue="1">
      <formula>AND($D58&lt;&gt;"SI",$N58&lt;24)</formula>
    </cfRule>
  </conditionalFormatting>
  <conditionalFormatting sqref="R58">
    <cfRule type="expression" dxfId="271" priority="39" stopIfTrue="1">
      <formula>AND($D58&lt;&gt;"SI",$N58&lt;24)</formula>
    </cfRule>
  </conditionalFormatting>
  <conditionalFormatting sqref="R58">
    <cfRule type="expression" dxfId="270" priority="38" stopIfTrue="1">
      <formula>AND($D58&lt;&gt;"SI",$N58&lt;24)</formula>
    </cfRule>
  </conditionalFormatting>
  <conditionalFormatting sqref="R58">
    <cfRule type="expression" dxfId="269" priority="37" stopIfTrue="1">
      <formula>AND($D58&lt;&gt;"SI",$N58&lt;24)</formula>
    </cfRule>
  </conditionalFormatting>
  <conditionalFormatting sqref="R58">
    <cfRule type="expression" dxfId="268" priority="36" stopIfTrue="1">
      <formula>AND($D58&lt;&gt;"SI",$N58&lt;24)</formula>
    </cfRule>
  </conditionalFormatting>
  <conditionalFormatting sqref="R58">
    <cfRule type="expression" dxfId="267" priority="35" stopIfTrue="1">
      <formula>AND($D58&lt;&gt;"SI",$N58&lt;24)</formula>
    </cfRule>
  </conditionalFormatting>
  <conditionalFormatting sqref="R58">
    <cfRule type="expression" dxfId="266" priority="34" stopIfTrue="1">
      <formula>AND($D58&lt;&gt;"SI",$N58&lt;24)</formula>
    </cfRule>
  </conditionalFormatting>
  <conditionalFormatting sqref="R58">
    <cfRule type="expression" dxfId="265" priority="33" stopIfTrue="1">
      <formula>AND($D58&lt;&gt;"SI",$N58&lt;24)</formula>
    </cfRule>
  </conditionalFormatting>
  <conditionalFormatting sqref="R58">
    <cfRule type="expression" dxfId="264" priority="32" stopIfTrue="1">
      <formula>AND($D58&lt;&gt;"SI",$N58&lt;24)</formula>
    </cfRule>
  </conditionalFormatting>
  <conditionalFormatting sqref="R58">
    <cfRule type="expression" dxfId="263" priority="31" stopIfTrue="1">
      <formula>AND($D58&lt;&gt;"SI",$N58&lt;24)</formula>
    </cfRule>
  </conditionalFormatting>
  <conditionalFormatting sqref="R58">
    <cfRule type="expression" dxfId="262" priority="30" stopIfTrue="1">
      <formula>AND($D58&lt;&gt;"SI",$N58&lt;24)</formula>
    </cfRule>
  </conditionalFormatting>
  <conditionalFormatting sqref="R58">
    <cfRule type="expression" dxfId="261" priority="29" stopIfTrue="1">
      <formula>AND($D58&lt;&gt;"SI",$N58&lt;24)</formula>
    </cfRule>
  </conditionalFormatting>
  <conditionalFormatting sqref="R58">
    <cfRule type="expression" dxfId="260" priority="28" stopIfTrue="1">
      <formula>AND($D58&lt;&gt;"SI",$N58&lt;24)</formula>
    </cfRule>
  </conditionalFormatting>
  <conditionalFormatting sqref="R58">
    <cfRule type="expression" dxfId="259" priority="27" stopIfTrue="1">
      <formula>AND($D58&lt;&gt;"SI",$N58&lt;24)</formula>
    </cfRule>
  </conditionalFormatting>
  <conditionalFormatting sqref="R58">
    <cfRule type="expression" dxfId="258" priority="26" stopIfTrue="1">
      <formula>AND($D58&lt;&gt;"SI",$N58&lt;24)</formula>
    </cfRule>
  </conditionalFormatting>
  <conditionalFormatting sqref="R58">
    <cfRule type="expression" dxfId="257" priority="25" stopIfTrue="1">
      <formula>AND($D58&lt;&gt;"SI",$N58&lt;24)</formula>
    </cfRule>
  </conditionalFormatting>
  <conditionalFormatting sqref="R58">
    <cfRule type="expression" dxfId="256" priority="24" stopIfTrue="1">
      <formula>AND($D58&lt;&gt;"SI",$N58&lt;24)</formula>
    </cfRule>
  </conditionalFormatting>
  <conditionalFormatting sqref="R58">
    <cfRule type="expression" dxfId="255" priority="23" stopIfTrue="1">
      <formula>AND($D58&lt;&gt;"SI",$N58&lt;24)</formula>
    </cfRule>
  </conditionalFormatting>
  <conditionalFormatting sqref="R58">
    <cfRule type="expression" dxfId="254" priority="22" stopIfTrue="1">
      <formula>AND($D58&lt;&gt;"SI",$N58&lt;24)</formula>
    </cfRule>
  </conditionalFormatting>
  <conditionalFormatting sqref="R58">
    <cfRule type="expression" dxfId="253" priority="21" stopIfTrue="1">
      <formula>AND($D58&lt;&gt;"SI",$N58&lt;24)</formula>
    </cfRule>
  </conditionalFormatting>
  <conditionalFormatting sqref="R58">
    <cfRule type="expression" dxfId="252" priority="20" stopIfTrue="1">
      <formula>AND($D58&lt;&gt;"SI",$N58&lt;24)</formula>
    </cfRule>
  </conditionalFormatting>
  <conditionalFormatting sqref="R58">
    <cfRule type="expression" dxfId="251" priority="19" stopIfTrue="1">
      <formula>AND($D58&lt;&gt;"SI",$N58&lt;24)</formula>
    </cfRule>
  </conditionalFormatting>
  <conditionalFormatting sqref="R58">
    <cfRule type="expression" dxfId="250" priority="18" stopIfTrue="1">
      <formula>AND($D58&lt;&gt;"SI",$N58&lt;24)</formula>
    </cfRule>
  </conditionalFormatting>
  <conditionalFormatting sqref="R58">
    <cfRule type="expression" dxfId="249" priority="17" stopIfTrue="1">
      <formula>AND($D58&lt;&gt;"SI",$N58&lt;24)</formula>
    </cfRule>
  </conditionalFormatting>
  <conditionalFormatting sqref="R58">
    <cfRule type="expression" dxfId="248" priority="16" stopIfTrue="1">
      <formula>AND($D58&lt;&gt;"SI",$N58&lt;24)</formula>
    </cfRule>
  </conditionalFormatting>
  <conditionalFormatting sqref="R58">
    <cfRule type="expression" dxfId="247" priority="15" stopIfTrue="1">
      <formula>AND($D58&lt;&gt;"SI",$N58&lt;24)</formula>
    </cfRule>
  </conditionalFormatting>
  <conditionalFormatting sqref="R58">
    <cfRule type="expression" dxfId="246" priority="14" stopIfTrue="1">
      <formula>AND($D58&lt;&gt;"SI",$N58&lt;24)</formula>
    </cfRule>
  </conditionalFormatting>
  <conditionalFormatting sqref="R58">
    <cfRule type="expression" dxfId="245" priority="13" stopIfTrue="1">
      <formula>AND($D58&lt;&gt;"SI",$N58&lt;24)</formula>
    </cfRule>
  </conditionalFormatting>
  <conditionalFormatting sqref="R58">
    <cfRule type="expression" dxfId="244" priority="12" stopIfTrue="1">
      <formula>AND($D58&lt;&gt;"SI",$N58&lt;24)</formula>
    </cfRule>
  </conditionalFormatting>
  <conditionalFormatting sqref="R58">
    <cfRule type="expression" dxfId="243" priority="11" stopIfTrue="1">
      <formula>AND($D58&lt;&gt;"SI",$N58&lt;24)</formula>
    </cfRule>
  </conditionalFormatting>
  <conditionalFormatting sqref="R58">
    <cfRule type="expression" dxfId="242" priority="10" stopIfTrue="1">
      <formula>AND($D58&lt;&gt;"SI",$N58&lt;24)</formula>
    </cfRule>
  </conditionalFormatting>
  <conditionalFormatting sqref="R58">
    <cfRule type="expression" dxfId="241" priority="9" stopIfTrue="1">
      <formula>AND($D58&lt;&gt;"SI",$N58&lt;24)</formula>
    </cfRule>
  </conditionalFormatting>
  <conditionalFormatting sqref="R58">
    <cfRule type="expression" dxfId="240" priority="8" stopIfTrue="1">
      <formula>AND($D58&lt;&gt;"SI",$N58&lt;24)</formula>
    </cfRule>
  </conditionalFormatting>
  <conditionalFormatting sqref="R58">
    <cfRule type="expression" dxfId="239" priority="7" stopIfTrue="1">
      <formula>AND($D58&lt;&gt;"SI",$N58&lt;24)</formula>
    </cfRule>
  </conditionalFormatting>
  <conditionalFormatting sqref="R58">
    <cfRule type="expression" dxfId="238" priority="6" stopIfTrue="1">
      <formula>AND($D58&lt;&gt;"SI",$N58&lt;24)</formula>
    </cfRule>
  </conditionalFormatting>
  <conditionalFormatting sqref="R58">
    <cfRule type="expression" dxfId="237" priority="5" stopIfTrue="1">
      <formula>AND($D58&lt;&gt;"SI",$N58&lt;24)</formula>
    </cfRule>
  </conditionalFormatting>
  <conditionalFormatting sqref="R58">
    <cfRule type="expression" dxfId="236" priority="4" stopIfTrue="1">
      <formula>AND($D58&lt;&gt;"SI",$N58&lt;24)</formula>
    </cfRule>
  </conditionalFormatting>
  <conditionalFormatting sqref="R58">
    <cfRule type="expression" dxfId="235" priority="3" stopIfTrue="1">
      <formula>AND($D58&lt;&gt;"SI",$N58&lt;24)</formula>
    </cfRule>
  </conditionalFormatting>
  <conditionalFormatting sqref="R58">
    <cfRule type="expression" dxfId="234" priority="2" stopIfTrue="1">
      <formula>AND($D58&lt;&gt;"SI",$N58&lt;24)</formula>
    </cfRule>
  </conditionalFormatting>
  <conditionalFormatting sqref="R58">
    <cfRule type="expression" dxfId="233" priority="1" stopIfTrue="1">
      <formula>AND($D58&lt;&gt;"SI",$N58&lt;24)</formula>
    </cfRule>
  </conditionalFormatting>
  <dataValidations count="7">
    <dataValidation type="list" allowBlank="1" showInputMessage="1" showErrorMessage="1" sqref="R48:R59 F26:F29 F33:F44 F3:F24">
      <formula1>WATERWELL_DTCAUSE</formula1>
    </dataValidation>
    <dataValidation type="list" allowBlank="1" showInputMessage="1" showErrorMessage="1" sqref="E48:E59 G3:G44">
      <formula1>CHOKE</formula1>
    </dataValidation>
    <dataValidation type="whole" allowBlank="1" showInputMessage="1" showErrorMessage="1" errorTitle="WELL DATA" error="Whole number &gt;=0" sqref="L3:M44 H3:J44">
      <formula1>0</formula1>
      <formula2>50000</formula2>
    </dataValidation>
    <dataValidation type="list" allowBlank="1" showInputMessage="1" showErrorMessage="1" errorTitle="WELL NAME" error="You have entered a well that is not on the master well list.  Please select the well name from the dropdown." sqref="B3:B44">
      <formula1>WELL_NAME</formula1>
    </dataValidation>
    <dataValidation type="list" allowBlank="1" showInputMessage="1" showErrorMessage="1" sqref="D3:D44">
      <formula1>WELL_STATUS</formula1>
    </dataValidation>
    <dataValidation type="list" allowBlank="1" showInputMessage="1" showErrorMessage="1" errorTitle="WELL NAME" error="You have entered a well that is not on the master well list.  Please select the well name from the dropdown." sqref="C3:C44">
      <formula1>ZONE</formula1>
    </dataValidation>
    <dataValidation type="list" allowBlank="1" showInputMessage="1" showErrorMessage="1" sqref="P3:P44">
      <formula1>$ET$337:$ET$340</formula1>
    </dataValidation>
  </dataValidations>
  <printOptions horizontalCentered="1" verticalCentered="1"/>
  <pageMargins left="0" right="0" top="0" bottom="0" header="0" footer="0"/>
  <pageSetup paperSize="9" scale="34" orientation="landscape" r:id="rId2"/>
  <headerFooter alignWithMargins="0">
    <oddHeader>&amp;C&amp;"Verdana,Bold"&amp;12DAILY PRODUCTION REPORT - AG FIELD</oddHeader>
    <oddFooter>&amp;CPage &amp;P</oddFooter>
  </headerFooter>
  <colBreaks count="1" manualBreakCount="1">
    <brk id="4" max="53" man="1"/>
  </colBreaks>
  <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pageSetUpPr fitToPage="1"/>
  </sheetPr>
  <dimension ref="A1:CZ70"/>
  <sheetViews>
    <sheetView workbookViewId="0">
      <selection activeCell="H11" sqref="H11"/>
    </sheetView>
  </sheetViews>
  <sheetFormatPr defaultRowHeight="12.75" customHeight="1"/>
  <cols>
    <col min="1" max="1" width="2.85546875" style="620" customWidth="1"/>
    <col min="2" max="2" width="22.5703125" style="620" customWidth="1"/>
    <col min="3" max="3" width="14" style="620" customWidth="1"/>
    <col min="4" max="4" width="12.42578125" style="620" customWidth="1"/>
    <col min="5" max="5" width="14" style="620" customWidth="1"/>
    <col min="6" max="6" width="11.28515625" style="620" customWidth="1"/>
    <col min="7" max="10" width="10.42578125" style="620" customWidth="1"/>
    <col min="11" max="11" width="13.140625" style="620" customWidth="1"/>
    <col min="12" max="12" width="32" style="620" customWidth="1"/>
    <col min="13" max="16384" width="9.140625" style="620"/>
  </cols>
  <sheetData>
    <row r="1" spans="1:104" s="585" customFormat="1" ht="27" customHeight="1">
      <c r="A1" s="582"/>
      <c r="B1" s="583" t="s">
        <v>1473</v>
      </c>
      <c r="C1" s="584"/>
      <c r="D1" s="584"/>
      <c r="E1" s="584"/>
      <c r="F1" s="584"/>
      <c r="G1" s="584"/>
      <c r="H1" s="584"/>
      <c r="I1" s="584"/>
      <c r="J1" s="584"/>
      <c r="K1" s="584"/>
      <c r="L1" s="584"/>
      <c r="M1" s="584"/>
      <c r="N1" s="584"/>
      <c r="AF1" s="584"/>
      <c r="AG1" s="584"/>
      <c r="AH1" s="584"/>
      <c r="AI1" s="586"/>
      <c r="AJ1" s="587"/>
      <c r="AK1" s="587"/>
      <c r="AL1" s="587"/>
      <c r="AM1" s="587"/>
      <c r="AN1" s="587"/>
      <c r="AO1" s="587"/>
      <c r="AP1" s="587"/>
      <c r="AQ1" s="587"/>
      <c r="AR1" s="587"/>
      <c r="AS1" s="587"/>
      <c r="AT1" s="587"/>
      <c r="AU1" s="587"/>
      <c r="AV1" s="587"/>
      <c r="AW1" s="587"/>
      <c r="AX1" s="587"/>
      <c r="AY1" s="587"/>
      <c r="AZ1" s="587"/>
      <c r="BA1" s="587"/>
      <c r="BB1" s="587"/>
      <c r="BC1" s="587"/>
      <c r="BD1" s="587"/>
      <c r="BE1" s="587"/>
      <c r="BF1" s="587"/>
      <c r="BG1" s="587"/>
      <c r="BH1" s="587"/>
      <c r="BI1" s="587"/>
      <c r="BJ1" s="587"/>
      <c r="BK1" s="587"/>
      <c r="BL1" s="587"/>
      <c r="BM1" s="587"/>
      <c r="BN1" s="587"/>
      <c r="BO1" s="587"/>
      <c r="BP1" s="587"/>
      <c r="BQ1" s="587"/>
      <c r="BR1" s="587"/>
      <c r="BS1" s="587"/>
      <c r="BT1" s="587"/>
      <c r="BU1" s="587"/>
      <c r="BV1" s="587"/>
      <c r="BW1" s="587"/>
      <c r="BX1" s="587"/>
      <c r="BY1" s="587"/>
      <c r="BZ1" s="587"/>
      <c r="CA1" s="587"/>
      <c r="CB1" s="587"/>
      <c r="CC1" s="587"/>
      <c r="CD1" s="587"/>
      <c r="CE1" s="587"/>
      <c r="CF1" s="587"/>
      <c r="CG1" s="587"/>
      <c r="CH1" s="587"/>
      <c r="CI1" s="587"/>
      <c r="CJ1" s="587"/>
      <c r="CK1" s="587"/>
      <c r="CL1" s="587"/>
      <c r="CM1" s="587"/>
      <c r="CN1" s="587"/>
      <c r="CO1" s="587"/>
      <c r="CP1" s="587"/>
      <c r="CQ1" s="587"/>
      <c r="CR1" s="587"/>
      <c r="CS1" s="587"/>
      <c r="CT1" s="587"/>
      <c r="CU1" s="587"/>
      <c r="CV1" s="587"/>
      <c r="CW1" s="587"/>
      <c r="CX1" s="587"/>
      <c r="CY1" s="587"/>
      <c r="CZ1" s="587"/>
    </row>
    <row r="2" spans="1:104" s="588" customFormat="1" ht="30.2" customHeight="1">
      <c r="B2" s="1311" t="s">
        <v>28</v>
      </c>
      <c r="C2" s="1312"/>
      <c r="D2" s="1312"/>
      <c r="E2" s="1312"/>
      <c r="F2" s="1313" t="s">
        <v>1474</v>
      </c>
      <c r="G2" s="1314"/>
      <c r="H2" s="1313" t="s">
        <v>1475</v>
      </c>
      <c r="I2" s="1314"/>
      <c r="J2" s="1315" t="s">
        <v>29</v>
      </c>
      <c r="K2" s="1316"/>
    </row>
    <row r="3" spans="1:104" s="588" customFormat="1" ht="16.5" customHeight="1">
      <c r="A3" s="590"/>
      <c r="B3" s="1317"/>
      <c r="C3" s="1318"/>
      <c r="D3" s="1318"/>
      <c r="E3" s="1318"/>
      <c r="F3" s="1319"/>
      <c r="G3" s="1319"/>
      <c r="H3" s="1320"/>
      <c r="I3" s="1320"/>
      <c r="J3" s="1321"/>
      <c r="K3" s="1322"/>
    </row>
    <row r="4" spans="1:104" s="588" customFormat="1" ht="16.5" customHeight="1">
      <c r="A4" s="590"/>
      <c r="B4" s="1323" t="s">
        <v>1476</v>
      </c>
      <c r="C4" s="1324"/>
      <c r="D4" s="1324"/>
      <c r="E4" s="1324"/>
      <c r="F4" s="1325">
        <f>SUM(F3:G3)</f>
        <v>0</v>
      </c>
      <c r="G4" s="1325"/>
      <c r="H4" s="1325">
        <v>5164</v>
      </c>
      <c r="I4" s="1325"/>
      <c r="J4" s="1326" t="s">
        <v>1536</v>
      </c>
      <c r="K4" s="1327"/>
    </row>
    <row r="5" spans="1:104" s="588" customFormat="1" ht="16.5" customHeight="1">
      <c r="A5" s="590"/>
      <c r="B5" s="621"/>
      <c r="C5" s="621"/>
      <c r="D5" s="621"/>
      <c r="E5" s="621"/>
      <c r="F5" s="622"/>
      <c r="G5" s="622"/>
      <c r="H5" s="622"/>
      <c r="I5" s="622"/>
      <c r="J5" s="623"/>
      <c r="K5" s="623"/>
    </row>
    <row r="6" spans="1:104" s="593" customFormat="1" ht="16.5" customHeight="1">
      <c r="A6" s="592"/>
      <c r="B6" s="624"/>
      <c r="C6" s="624"/>
      <c r="D6" s="624"/>
      <c r="E6" s="624"/>
      <c r="F6" s="624"/>
      <c r="G6" s="624"/>
      <c r="H6" s="624"/>
      <c r="I6" s="624"/>
      <c r="J6" s="624"/>
      <c r="K6" s="625"/>
      <c r="L6" s="626"/>
      <c r="N6" s="588"/>
      <c r="O6" s="588"/>
      <c r="P6" s="588"/>
      <c r="Q6" s="588"/>
      <c r="R6" s="588"/>
      <c r="S6" s="588"/>
      <c r="T6" s="588"/>
      <c r="U6" s="588"/>
      <c r="V6" s="588"/>
      <c r="W6" s="588"/>
      <c r="X6" s="588"/>
      <c r="Y6" s="588"/>
      <c r="Z6" s="588"/>
      <c r="AA6" s="588"/>
      <c r="AB6" s="588"/>
      <c r="AC6" s="588"/>
      <c r="AD6" s="588"/>
      <c r="AE6" s="588"/>
      <c r="AF6" s="588"/>
      <c r="AG6" s="588"/>
      <c r="AH6" s="588"/>
      <c r="AI6" s="592"/>
      <c r="AJ6" s="592"/>
      <c r="AK6" s="592"/>
      <c r="AL6" s="592"/>
      <c r="AM6" s="592"/>
      <c r="AN6" s="592"/>
      <c r="AO6" s="592"/>
      <c r="AP6" s="592"/>
      <c r="AQ6" s="592"/>
      <c r="AR6" s="592"/>
      <c r="AS6" s="592"/>
      <c r="AT6" s="592"/>
      <c r="AU6" s="592"/>
      <c r="AV6" s="592"/>
      <c r="AW6" s="592"/>
      <c r="AX6" s="592"/>
      <c r="AY6" s="592"/>
      <c r="AZ6" s="592"/>
      <c r="BA6" s="592"/>
      <c r="BB6" s="592"/>
      <c r="BC6" s="592"/>
      <c r="BD6" s="592"/>
      <c r="BE6" s="592"/>
      <c r="BF6" s="592"/>
      <c r="BG6" s="592"/>
      <c r="BH6" s="592"/>
      <c r="BI6" s="592"/>
      <c r="BJ6" s="592"/>
      <c r="BK6" s="592"/>
      <c r="BL6" s="592"/>
      <c r="BM6" s="592"/>
      <c r="BN6" s="592"/>
      <c r="BO6" s="592"/>
      <c r="BP6" s="592"/>
      <c r="BQ6" s="592"/>
      <c r="BR6" s="592"/>
      <c r="BS6" s="592"/>
      <c r="BT6" s="592"/>
      <c r="BU6" s="592"/>
      <c r="BV6" s="592"/>
      <c r="BW6" s="592"/>
      <c r="BX6" s="592"/>
      <c r="BY6" s="592"/>
      <c r="BZ6" s="592"/>
      <c r="CA6" s="592"/>
      <c r="CB6" s="592"/>
      <c r="CC6" s="592"/>
      <c r="CD6" s="592"/>
      <c r="CE6" s="592"/>
      <c r="CF6" s="592"/>
      <c r="CG6" s="592"/>
      <c r="CH6" s="592"/>
      <c r="CI6" s="592"/>
      <c r="CJ6" s="592"/>
      <c r="CK6" s="592"/>
      <c r="CL6" s="592"/>
      <c r="CM6" s="592"/>
      <c r="CN6" s="592"/>
      <c r="CO6" s="592"/>
      <c r="CP6" s="592"/>
      <c r="CQ6" s="592"/>
      <c r="CR6" s="592"/>
      <c r="CS6" s="592"/>
      <c r="CT6" s="592"/>
      <c r="CU6" s="592"/>
      <c r="CV6" s="592"/>
      <c r="CW6" s="592"/>
      <c r="CX6" s="592"/>
      <c r="CY6" s="592"/>
      <c r="CZ6" s="592"/>
    </row>
    <row r="7" spans="1:104" s="587" customFormat="1" ht="27" customHeight="1">
      <c r="A7" s="594"/>
      <c r="B7" s="595" t="s">
        <v>1478</v>
      </c>
      <c r="C7" s="586"/>
      <c r="D7" s="586"/>
      <c r="E7" s="586"/>
      <c r="F7" s="586"/>
      <c r="G7" s="586"/>
      <c r="H7" s="586"/>
      <c r="I7" s="586"/>
      <c r="J7" s="586"/>
      <c r="K7" s="586"/>
      <c r="L7" s="586"/>
      <c r="M7" s="586"/>
      <c r="N7" s="586"/>
      <c r="AF7" s="586"/>
      <c r="AG7" s="586"/>
      <c r="AH7" s="586"/>
      <c r="AI7" s="586"/>
    </row>
    <row r="8" spans="1:104" s="592" customFormat="1" ht="26.25" customHeight="1">
      <c r="B8" s="640" t="s">
        <v>5</v>
      </c>
      <c r="C8" s="641" t="s">
        <v>4</v>
      </c>
      <c r="D8" s="641" t="s">
        <v>11</v>
      </c>
      <c r="E8" s="641" t="s">
        <v>1351</v>
      </c>
      <c r="F8" s="642" t="s">
        <v>32</v>
      </c>
      <c r="N8" s="599"/>
      <c r="O8" s="599"/>
      <c r="P8" s="599"/>
      <c r="Q8" s="599"/>
      <c r="R8" s="599"/>
      <c r="S8" s="599"/>
      <c r="T8" s="599"/>
      <c r="U8" s="599"/>
      <c r="V8" s="599"/>
      <c r="W8" s="599"/>
      <c r="X8" s="599"/>
      <c r="Y8" s="599"/>
      <c r="Z8" s="599"/>
      <c r="AA8" s="599"/>
      <c r="AB8" s="599"/>
      <c r="AC8" s="599"/>
      <c r="AD8" s="599"/>
      <c r="AE8" s="599"/>
      <c r="AF8" s="599"/>
      <c r="AG8" s="599"/>
      <c r="AH8" s="599"/>
    </row>
    <row r="9" spans="1:104" s="592" customFormat="1" ht="21" customHeight="1">
      <c r="B9" s="643"/>
      <c r="C9" s="644"/>
      <c r="D9" s="644"/>
      <c r="E9" s="645"/>
      <c r="F9" s="646"/>
      <c r="N9" s="599"/>
      <c r="O9" s="599"/>
      <c r="P9" s="599"/>
      <c r="Q9" s="599"/>
      <c r="R9" s="599"/>
      <c r="S9" s="599"/>
      <c r="T9" s="599"/>
      <c r="U9" s="599"/>
      <c r="V9" s="599"/>
      <c r="W9" s="599"/>
      <c r="X9" s="599"/>
      <c r="Y9" s="599"/>
      <c r="Z9" s="599"/>
      <c r="AA9" s="599"/>
      <c r="AB9" s="599"/>
      <c r="AC9" s="599"/>
      <c r="AD9" s="599"/>
      <c r="AE9" s="599"/>
      <c r="AF9" s="599"/>
      <c r="AG9" s="599"/>
      <c r="AH9" s="599"/>
    </row>
    <row r="10" spans="1:104" s="592" customFormat="1" ht="21" customHeight="1">
      <c r="B10" s="627"/>
      <c r="C10" s="627"/>
      <c r="D10" s="627"/>
      <c r="E10" s="628"/>
      <c r="F10" s="628"/>
      <c r="N10" s="599"/>
      <c r="O10" s="599"/>
      <c r="P10" s="599"/>
      <c r="Q10" s="599"/>
      <c r="R10" s="599"/>
      <c r="S10" s="599"/>
      <c r="T10" s="599"/>
      <c r="U10" s="599"/>
      <c r="V10" s="599"/>
      <c r="W10" s="599"/>
      <c r="X10" s="599"/>
      <c r="Y10" s="599"/>
      <c r="Z10" s="599"/>
      <c r="AA10" s="599"/>
      <c r="AB10" s="599"/>
      <c r="AC10" s="599"/>
      <c r="AD10" s="599"/>
      <c r="AE10" s="599"/>
      <c r="AF10" s="599"/>
      <c r="AG10" s="599"/>
      <c r="AH10" s="599"/>
    </row>
    <row r="11" spans="1:104" s="592" customFormat="1" ht="16.5" customHeight="1">
      <c r="B11" s="627"/>
      <c r="C11" s="627"/>
      <c r="D11" s="627"/>
      <c r="E11" s="628"/>
      <c r="F11" s="628"/>
      <c r="N11" s="599"/>
      <c r="O11" s="599"/>
      <c r="P11" s="599"/>
      <c r="Q11" s="599"/>
      <c r="R11" s="599"/>
      <c r="S11" s="599"/>
      <c r="T11" s="599"/>
      <c r="U11" s="599"/>
      <c r="V11" s="599"/>
      <c r="W11" s="599"/>
      <c r="X11" s="599"/>
      <c r="Y11" s="599"/>
      <c r="Z11" s="599"/>
      <c r="AA11" s="599"/>
      <c r="AB11" s="599"/>
      <c r="AC11" s="599"/>
      <c r="AD11" s="599"/>
      <c r="AE11" s="599"/>
      <c r="AF11" s="599"/>
      <c r="AG11" s="599"/>
      <c r="AH11" s="599"/>
    </row>
    <row r="12" spans="1:104" s="587" customFormat="1" ht="27" customHeight="1">
      <c r="A12" s="594"/>
      <c r="B12" s="600" t="s">
        <v>1479</v>
      </c>
      <c r="C12" s="586"/>
      <c r="D12" s="586"/>
      <c r="E12" s="586"/>
      <c r="F12" s="586"/>
      <c r="G12" s="586"/>
      <c r="H12" s="586"/>
      <c r="I12" s="586"/>
      <c r="J12" s="586"/>
      <c r="K12" s="586"/>
      <c r="L12" s="586"/>
      <c r="M12" s="586"/>
      <c r="N12" s="586"/>
      <c r="AF12" s="586"/>
      <c r="AG12" s="586"/>
      <c r="AH12" s="586"/>
      <c r="AI12" s="586"/>
    </row>
    <row r="13" spans="1:104" s="601" customFormat="1" ht="34.5" customHeight="1">
      <c r="B13" s="596" t="s">
        <v>1480</v>
      </c>
      <c r="C13" s="597" t="s">
        <v>1481</v>
      </c>
      <c r="D13" s="597" t="s">
        <v>1482</v>
      </c>
      <c r="E13" s="1328" t="s">
        <v>112</v>
      </c>
      <c r="F13" s="1329"/>
      <c r="G13" s="1329"/>
      <c r="H13" s="1329"/>
      <c r="I13" s="1329"/>
      <c r="J13" s="1329"/>
      <c r="K13" s="598" t="s">
        <v>1483</v>
      </c>
      <c r="L13" s="591"/>
      <c r="M13" s="591"/>
      <c r="N13" s="591"/>
      <c r="O13" s="591"/>
      <c r="Q13" s="591"/>
      <c r="R13" s="591"/>
      <c r="S13" s="591"/>
      <c r="T13" s="591"/>
      <c r="U13" s="591"/>
      <c r="V13" s="591"/>
      <c r="W13" s="591"/>
      <c r="X13" s="591"/>
      <c r="Y13" s="591"/>
      <c r="Z13" s="591"/>
      <c r="AA13" s="591"/>
      <c r="AB13" s="591"/>
      <c r="AC13" s="591"/>
      <c r="AD13" s="591"/>
      <c r="AE13" s="591"/>
      <c r="AF13" s="591"/>
      <c r="AG13" s="591"/>
    </row>
    <row r="14" spans="1:104" s="592" customFormat="1" ht="18.75" customHeight="1">
      <c r="B14" s="651"/>
      <c r="C14" s="649"/>
      <c r="D14" s="650"/>
      <c r="E14" s="1334"/>
      <c r="F14" s="1335"/>
      <c r="G14" s="1335"/>
      <c r="H14" s="1335"/>
      <c r="I14" s="1335"/>
      <c r="J14" s="1335"/>
      <c r="K14" s="652"/>
      <c r="L14" s="602"/>
      <c r="M14" s="602"/>
      <c r="N14" s="602"/>
      <c r="O14" s="602"/>
      <c r="Q14" s="603"/>
      <c r="R14" s="603"/>
      <c r="S14" s="603"/>
      <c r="T14" s="603"/>
      <c r="U14" s="603"/>
      <c r="V14" s="603"/>
      <c r="W14" s="603"/>
      <c r="X14" s="603"/>
      <c r="Y14" s="603"/>
      <c r="Z14" s="603"/>
      <c r="AA14" s="603"/>
      <c r="AB14" s="603"/>
      <c r="AC14" s="603"/>
      <c r="AD14" s="603"/>
      <c r="AE14" s="603"/>
      <c r="AF14" s="603"/>
      <c r="AG14" s="603"/>
    </row>
    <row r="15" spans="1:104" s="599" customFormat="1" ht="18.75" customHeight="1">
      <c r="B15" s="653" t="s">
        <v>1417</v>
      </c>
      <c r="C15" s="654"/>
      <c r="D15" s="654"/>
      <c r="E15" s="1336"/>
      <c r="F15" s="1336"/>
      <c r="G15" s="1336"/>
      <c r="H15" s="1336"/>
      <c r="I15" s="1336"/>
      <c r="J15" s="1336"/>
      <c r="K15" s="655"/>
      <c r="L15" s="604"/>
      <c r="M15" s="604"/>
      <c r="N15" s="604"/>
      <c r="O15" s="604"/>
      <c r="Q15" s="605"/>
      <c r="R15" s="605"/>
      <c r="S15" s="605"/>
      <c r="T15" s="605"/>
      <c r="U15" s="605"/>
      <c r="V15" s="605"/>
      <c r="W15" s="605"/>
      <c r="X15" s="605"/>
      <c r="Y15" s="605"/>
      <c r="Z15" s="605"/>
      <c r="AA15" s="605"/>
      <c r="AB15" s="605"/>
      <c r="AC15" s="605"/>
      <c r="AD15" s="605"/>
      <c r="AE15" s="605"/>
      <c r="AF15" s="605"/>
      <c r="AG15" s="605"/>
    </row>
    <row r="16" spans="1:104" s="599" customFormat="1" ht="18.75" customHeight="1">
      <c r="B16" s="629"/>
      <c r="C16" s="630"/>
      <c r="D16" s="630"/>
      <c r="E16" s="604"/>
      <c r="F16" s="604"/>
      <c r="G16" s="604"/>
      <c r="H16" s="604"/>
      <c r="I16" s="604"/>
      <c r="J16" s="604"/>
      <c r="K16" s="631"/>
      <c r="L16" s="604"/>
      <c r="M16" s="604"/>
      <c r="N16" s="604"/>
      <c r="O16" s="604"/>
      <c r="Q16" s="605"/>
      <c r="R16" s="605"/>
      <c r="S16" s="605"/>
      <c r="T16" s="605"/>
      <c r="U16" s="605"/>
      <c r="V16" s="605"/>
      <c r="W16" s="605"/>
      <c r="X16" s="605"/>
      <c r="Y16" s="605"/>
      <c r="Z16" s="605"/>
      <c r="AA16" s="605"/>
      <c r="AB16" s="605"/>
      <c r="AC16" s="605"/>
      <c r="AD16" s="605"/>
      <c r="AE16" s="605"/>
      <c r="AF16" s="605"/>
      <c r="AG16" s="605"/>
    </row>
    <row r="17" spans="1:104" s="599" customFormat="1" ht="15.75" customHeight="1">
      <c r="B17" s="629"/>
      <c r="C17" s="630"/>
      <c r="D17" s="604"/>
      <c r="E17" s="604"/>
      <c r="F17" s="604"/>
      <c r="G17" s="604"/>
      <c r="H17" s="604"/>
      <c r="I17" s="604"/>
      <c r="J17" s="604"/>
      <c r="K17" s="631"/>
      <c r="L17" s="604"/>
      <c r="M17" s="604"/>
      <c r="N17" s="604"/>
      <c r="O17" s="604"/>
      <c r="Q17" s="605"/>
      <c r="R17" s="605"/>
      <c r="S17" s="605"/>
      <c r="T17" s="605"/>
      <c r="U17" s="605"/>
      <c r="V17" s="605"/>
      <c r="W17" s="605"/>
      <c r="X17" s="605"/>
      <c r="Y17" s="605"/>
      <c r="Z17" s="605"/>
      <c r="AA17" s="605"/>
      <c r="AB17" s="605"/>
      <c r="AC17" s="605"/>
      <c r="AD17" s="605"/>
      <c r="AE17" s="605"/>
      <c r="AF17" s="605"/>
      <c r="AG17" s="605"/>
    </row>
    <row r="18" spans="1:104" s="585" customFormat="1" ht="27" customHeight="1">
      <c r="A18" s="582"/>
      <c r="B18" s="583" t="s">
        <v>1484</v>
      </c>
      <c r="C18" s="584"/>
      <c r="D18" s="584"/>
      <c r="E18" s="584"/>
      <c r="F18" s="584"/>
      <c r="G18" s="584"/>
      <c r="H18" s="584"/>
      <c r="I18" s="584"/>
      <c r="J18" s="584"/>
      <c r="K18" s="584"/>
      <c r="L18" s="584"/>
      <c r="M18" s="584"/>
      <c r="N18" s="584"/>
      <c r="AF18" s="584"/>
      <c r="AG18" s="584"/>
      <c r="AH18" s="584"/>
      <c r="AI18" s="586"/>
      <c r="AJ18" s="587"/>
      <c r="AK18" s="587"/>
      <c r="AL18" s="587"/>
      <c r="AM18" s="587"/>
      <c r="AN18" s="587"/>
      <c r="AO18" s="587"/>
      <c r="AP18" s="587"/>
      <c r="AQ18" s="587"/>
      <c r="AR18" s="587"/>
      <c r="AS18" s="587"/>
      <c r="AT18" s="587"/>
      <c r="AU18" s="587"/>
      <c r="AV18" s="587"/>
      <c r="AW18" s="587"/>
      <c r="AX18" s="587"/>
      <c r="AY18" s="587"/>
      <c r="AZ18" s="587"/>
      <c r="BA18" s="587"/>
      <c r="BB18" s="587"/>
      <c r="BC18" s="587"/>
      <c r="BD18" s="587"/>
      <c r="BE18" s="587"/>
      <c r="BF18" s="587"/>
      <c r="BG18" s="587"/>
      <c r="BH18" s="587"/>
      <c r="BI18" s="587"/>
      <c r="BJ18" s="587"/>
      <c r="BK18" s="587"/>
      <c r="BL18" s="587"/>
      <c r="BM18" s="587"/>
      <c r="BN18" s="587"/>
      <c r="BO18" s="587"/>
      <c r="BP18" s="587"/>
      <c r="BQ18" s="587"/>
      <c r="BR18" s="587"/>
      <c r="BS18" s="587"/>
      <c r="BT18" s="587"/>
      <c r="BU18" s="587"/>
      <c r="BV18" s="587"/>
      <c r="BW18" s="587"/>
      <c r="BX18" s="587"/>
      <c r="BY18" s="587"/>
      <c r="BZ18" s="587"/>
      <c r="CA18" s="587"/>
      <c r="CB18" s="587"/>
      <c r="CC18" s="587"/>
      <c r="CD18" s="587"/>
      <c r="CE18" s="587"/>
      <c r="CF18" s="587"/>
      <c r="CG18" s="587"/>
      <c r="CH18" s="587"/>
      <c r="CI18" s="587"/>
      <c r="CJ18" s="587"/>
      <c r="CK18" s="587"/>
      <c r="CL18" s="587"/>
      <c r="CM18" s="587"/>
      <c r="CN18" s="587"/>
      <c r="CO18" s="587"/>
      <c r="CP18" s="587"/>
      <c r="CQ18" s="587"/>
      <c r="CR18" s="587"/>
      <c r="CS18" s="587"/>
      <c r="CT18" s="587"/>
      <c r="CU18" s="587"/>
      <c r="CV18" s="587"/>
      <c r="CW18" s="587"/>
      <c r="CX18" s="587"/>
      <c r="CY18" s="587"/>
      <c r="CZ18" s="587"/>
    </row>
    <row r="19" spans="1:104" s="606" customFormat="1" ht="16.5" customHeight="1">
      <c r="B19" s="1330" t="s">
        <v>1485</v>
      </c>
      <c r="C19" s="1332" t="s">
        <v>1486</v>
      </c>
      <c r="D19" s="1332"/>
      <c r="E19" s="1332" t="s">
        <v>1487</v>
      </c>
      <c r="F19" s="1333"/>
      <c r="G19" s="607"/>
      <c r="H19" s="607"/>
      <c r="I19" s="605"/>
      <c r="J19" s="605"/>
      <c r="K19" s="607"/>
      <c r="L19" s="608"/>
      <c r="M19" s="608"/>
      <c r="N19" s="607"/>
      <c r="O19" s="608"/>
      <c r="P19" s="607"/>
      <c r="Q19" s="609"/>
      <c r="R19" s="610"/>
      <c r="S19" s="610"/>
      <c r="T19" s="610"/>
      <c r="U19" s="610"/>
      <c r="V19" s="610"/>
      <c r="W19" s="610"/>
      <c r="X19" s="610"/>
      <c r="Y19" s="610"/>
      <c r="Z19" s="610"/>
      <c r="AA19" s="610"/>
      <c r="AB19" s="610"/>
      <c r="AC19" s="610"/>
      <c r="AD19" s="610"/>
      <c r="AE19" s="610"/>
      <c r="AF19" s="610"/>
      <c r="AG19" s="610"/>
      <c r="AH19" s="610"/>
      <c r="AI19" s="610"/>
      <c r="AJ19" s="610"/>
      <c r="AK19" s="610"/>
      <c r="AL19" s="610"/>
      <c r="AM19" s="610"/>
      <c r="AN19" s="610"/>
      <c r="AO19" s="610"/>
      <c r="AP19" s="610"/>
      <c r="AQ19" s="610"/>
    </row>
    <row r="20" spans="1:104" s="599" customFormat="1" ht="16.5" customHeight="1">
      <c r="B20" s="1331"/>
      <c r="C20" s="632" t="s">
        <v>1488</v>
      </c>
      <c r="D20" s="632" t="s">
        <v>1489</v>
      </c>
      <c r="E20" s="632" t="s">
        <v>1488</v>
      </c>
      <c r="F20" s="633" t="s">
        <v>1489</v>
      </c>
      <c r="G20" s="607"/>
      <c r="H20" s="607"/>
      <c r="I20" s="605"/>
      <c r="J20" s="605"/>
      <c r="L20" s="604"/>
      <c r="M20" s="604"/>
      <c r="N20" s="604"/>
      <c r="O20" s="604"/>
      <c r="Q20" s="605"/>
      <c r="R20" s="605"/>
      <c r="S20" s="605"/>
      <c r="T20" s="605"/>
      <c r="U20" s="605"/>
      <c r="V20" s="605"/>
      <c r="W20" s="605"/>
      <c r="X20" s="605"/>
      <c r="Y20" s="605"/>
      <c r="Z20" s="605"/>
      <c r="AA20" s="605"/>
      <c r="AB20" s="605"/>
      <c r="AC20" s="605"/>
      <c r="AD20" s="605"/>
      <c r="AE20" s="605"/>
      <c r="AF20" s="605"/>
      <c r="AG20" s="605"/>
    </row>
    <row r="21" spans="1:104" s="599" customFormat="1" ht="18.75" customHeight="1">
      <c r="B21" s="635"/>
      <c r="C21" s="634"/>
      <c r="D21" s="634"/>
      <c r="E21" s="634"/>
      <c r="F21" s="636"/>
      <c r="G21" s="611"/>
      <c r="H21" s="604"/>
      <c r="I21" s="605"/>
      <c r="J21" s="605"/>
      <c r="L21" s="604"/>
      <c r="M21" s="604"/>
      <c r="N21" s="604"/>
      <c r="O21" s="604"/>
      <c r="Q21" s="605"/>
      <c r="R21" s="605"/>
      <c r="S21" s="605"/>
      <c r="T21" s="605"/>
      <c r="U21" s="605"/>
      <c r="V21" s="605"/>
      <c r="W21" s="605"/>
      <c r="X21" s="605"/>
      <c r="Y21" s="605"/>
      <c r="Z21" s="605"/>
      <c r="AA21" s="605"/>
      <c r="AB21" s="605"/>
      <c r="AC21" s="605"/>
      <c r="AD21" s="605"/>
      <c r="AE21" s="605"/>
      <c r="AF21" s="605"/>
      <c r="AG21" s="605"/>
    </row>
    <row r="22" spans="1:104" s="599" customFormat="1" ht="18.75" customHeight="1">
      <c r="B22" s="637"/>
      <c r="C22" s="638"/>
      <c r="D22" s="638"/>
      <c r="E22" s="638"/>
      <c r="F22" s="639"/>
      <c r="G22" s="611"/>
      <c r="H22" s="604"/>
      <c r="I22" s="605"/>
      <c r="J22" s="605"/>
      <c r="L22" s="604"/>
      <c r="M22" s="604"/>
      <c r="N22" s="604"/>
      <c r="O22" s="604"/>
      <c r="Q22" s="605"/>
      <c r="R22" s="605"/>
      <c r="S22" s="605"/>
      <c r="T22" s="605"/>
      <c r="U22" s="605"/>
      <c r="V22" s="605"/>
      <c r="W22" s="605"/>
      <c r="X22" s="605"/>
      <c r="Y22" s="605"/>
      <c r="Z22" s="605"/>
      <c r="AA22" s="605"/>
      <c r="AB22" s="605"/>
      <c r="AC22" s="605"/>
      <c r="AD22" s="605"/>
      <c r="AE22" s="605"/>
      <c r="AF22" s="605"/>
      <c r="AG22" s="605"/>
    </row>
    <row r="23" spans="1:104" s="599" customFormat="1" ht="16.5" customHeight="1">
      <c r="B23" s="647"/>
      <c r="C23" s="648"/>
      <c r="D23" s="648"/>
      <c r="E23" s="648"/>
      <c r="F23" s="648"/>
      <c r="G23" s="611"/>
      <c r="H23" s="604"/>
      <c r="I23" s="605"/>
      <c r="J23" s="605"/>
      <c r="L23" s="604"/>
      <c r="M23" s="604"/>
      <c r="N23" s="604"/>
      <c r="O23" s="604"/>
      <c r="Q23" s="605"/>
      <c r="R23" s="605"/>
      <c r="S23" s="605"/>
      <c r="T23" s="605"/>
      <c r="U23" s="605"/>
      <c r="V23" s="605"/>
      <c r="W23" s="605"/>
      <c r="X23" s="605"/>
      <c r="Y23" s="605"/>
      <c r="Z23" s="605"/>
      <c r="AA23" s="605"/>
      <c r="AB23" s="605"/>
      <c r="AC23" s="605"/>
      <c r="AD23" s="605"/>
      <c r="AE23" s="605"/>
      <c r="AF23" s="605"/>
      <c r="AG23" s="605"/>
    </row>
    <row r="24" spans="1:104" s="599" customFormat="1" ht="16.5" customHeight="1">
      <c r="B24" s="647"/>
      <c r="C24" s="648"/>
      <c r="D24" s="648"/>
      <c r="E24" s="648"/>
      <c r="F24" s="648"/>
      <c r="G24" s="611"/>
      <c r="H24" s="604"/>
      <c r="I24" s="605"/>
      <c r="J24" s="605"/>
      <c r="L24" s="604"/>
      <c r="M24" s="604"/>
      <c r="N24" s="604"/>
      <c r="O24" s="604"/>
      <c r="Q24" s="605"/>
      <c r="R24" s="605"/>
      <c r="S24" s="605"/>
      <c r="T24" s="605"/>
      <c r="U24" s="605"/>
      <c r="V24" s="605"/>
      <c r="W24" s="605"/>
      <c r="X24" s="605"/>
      <c r="Y24" s="605"/>
      <c r="Z24" s="605"/>
      <c r="AA24" s="605"/>
      <c r="AB24" s="605"/>
      <c r="AC24" s="605"/>
      <c r="AD24" s="605"/>
      <c r="AE24" s="605"/>
      <c r="AF24" s="605"/>
      <c r="AG24" s="605"/>
    </row>
    <row r="25" spans="1:104" s="614" customFormat="1" ht="27" customHeight="1">
      <c r="A25" s="612"/>
      <c r="B25" s="613" t="s">
        <v>1490</v>
      </c>
    </row>
    <row r="26" spans="1:104" s="617" customFormat="1" ht="23.25" customHeight="1">
      <c r="A26" s="615"/>
      <c r="B26" s="1344" t="s">
        <v>29</v>
      </c>
      <c r="C26" s="1345"/>
      <c r="D26" s="1345"/>
      <c r="E26" s="1345"/>
      <c r="F26" s="1345"/>
      <c r="G26" s="1345"/>
      <c r="H26" s="1345"/>
      <c r="I26" s="1345"/>
      <c r="J26" s="1345"/>
      <c r="K26" s="1346"/>
      <c r="L26" s="589"/>
      <c r="M26" s="589"/>
      <c r="N26" s="616"/>
      <c r="O26" s="589"/>
      <c r="P26" s="588"/>
      <c r="U26" s="588"/>
      <c r="V26" s="588"/>
      <c r="W26" s="588"/>
      <c r="X26" s="588"/>
      <c r="Y26" s="588"/>
      <c r="Z26" s="588"/>
      <c r="AA26" s="588"/>
      <c r="AB26" s="588"/>
      <c r="AC26" s="588"/>
      <c r="AD26" s="588"/>
      <c r="AE26" s="588"/>
      <c r="AF26" s="588"/>
      <c r="AG26" s="588"/>
    </row>
    <row r="27" spans="1:104" s="617" customFormat="1" ht="18.75" customHeight="1">
      <c r="A27" s="615"/>
      <c r="B27" s="1347"/>
      <c r="C27" s="1339"/>
      <c r="D27" s="1339"/>
      <c r="E27" s="1339"/>
      <c r="F27" s="1339"/>
      <c r="G27" s="1339"/>
      <c r="H27" s="1339"/>
      <c r="I27" s="1339"/>
      <c r="J27" s="1339"/>
      <c r="K27" s="1340"/>
      <c r="L27" s="589"/>
      <c r="M27" s="589"/>
      <c r="N27" s="616"/>
      <c r="O27" s="589"/>
      <c r="P27" s="588"/>
      <c r="U27" s="588"/>
      <c r="V27" s="588"/>
      <c r="W27" s="588"/>
      <c r="X27" s="588"/>
      <c r="Y27" s="588"/>
      <c r="Z27" s="588"/>
      <c r="AA27" s="588"/>
      <c r="AB27" s="588"/>
      <c r="AC27" s="588"/>
      <c r="AD27" s="588"/>
      <c r="AE27" s="588"/>
      <c r="AF27" s="588"/>
      <c r="AG27" s="588"/>
    </row>
    <row r="28" spans="1:104" s="617" customFormat="1" ht="18.75" customHeight="1">
      <c r="A28" s="615"/>
      <c r="B28" s="1338"/>
      <c r="C28" s="1339"/>
      <c r="D28" s="1339"/>
      <c r="E28" s="1339"/>
      <c r="F28" s="1339"/>
      <c r="G28" s="1339"/>
      <c r="H28" s="1339"/>
      <c r="I28" s="1339"/>
      <c r="J28" s="1339"/>
      <c r="K28" s="1340"/>
      <c r="L28" s="589"/>
      <c r="M28" s="589"/>
      <c r="N28" s="616"/>
      <c r="O28" s="589"/>
      <c r="P28" s="588"/>
      <c r="U28" s="588"/>
      <c r="V28" s="588"/>
      <c r="W28" s="588"/>
      <c r="X28" s="588"/>
      <c r="Y28" s="588"/>
      <c r="Z28" s="588"/>
      <c r="AA28" s="588"/>
      <c r="AB28" s="588"/>
      <c r="AC28" s="588"/>
      <c r="AD28" s="588"/>
      <c r="AE28" s="588"/>
      <c r="AF28" s="588"/>
      <c r="AG28" s="588"/>
    </row>
    <row r="29" spans="1:104" s="588" customFormat="1" ht="18.75" customHeight="1">
      <c r="A29" s="590"/>
      <c r="B29" s="1338"/>
      <c r="C29" s="1339"/>
      <c r="D29" s="1339"/>
      <c r="E29" s="1339"/>
      <c r="F29" s="1339"/>
      <c r="G29" s="1339"/>
      <c r="H29" s="1339"/>
      <c r="I29" s="1339"/>
      <c r="J29" s="1339"/>
      <c r="K29" s="1340"/>
      <c r="N29" s="590"/>
      <c r="O29" s="605"/>
      <c r="P29" s="605"/>
      <c r="Q29" s="605"/>
      <c r="R29" s="605"/>
      <c r="S29" s="605"/>
      <c r="T29" s="590"/>
      <c r="U29" s="590"/>
      <c r="V29" s="590"/>
      <c r="W29" s="590"/>
      <c r="X29" s="590"/>
      <c r="Y29" s="590"/>
      <c r="Z29" s="590"/>
      <c r="AA29" s="590"/>
      <c r="AB29" s="590"/>
      <c r="AC29" s="590"/>
      <c r="AD29" s="590"/>
      <c r="AE29" s="590"/>
      <c r="AF29" s="590"/>
      <c r="AG29" s="618"/>
    </row>
    <row r="30" spans="1:104" s="588" customFormat="1" ht="18.75" customHeight="1">
      <c r="A30" s="590"/>
      <c r="B30" s="1338"/>
      <c r="C30" s="1339"/>
      <c r="D30" s="1339"/>
      <c r="E30" s="1339"/>
      <c r="F30" s="1339"/>
      <c r="G30" s="1339"/>
      <c r="H30" s="1339"/>
      <c r="I30" s="1339"/>
      <c r="J30" s="1339"/>
      <c r="K30" s="1340"/>
      <c r="N30" s="590"/>
      <c r="O30" s="605"/>
      <c r="P30" s="605"/>
      <c r="Q30" s="605"/>
      <c r="R30" s="605"/>
      <c r="S30" s="605"/>
      <c r="T30" s="590"/>
      <c r="U30" s="590"/>
      <c r="V30" s="590"/>
      <c r="W30" s="590"/>
      <c r="X30" s="590"/>
      <c r="Y30" s="590"/>
      <c r="Z30" s="590"/>
      <c r="AA30" s="590"/>
      <c r="AB30" s="590"/>
      <c r="AC30" s="590"/>
      <c r="AD30" s="590"/>
      <c r="AE30" s="590"/>
      <c r="AF30" s="590"/>
      <c r="AG30" s="618"/>
    </row>
    <row r="31" spans="1:104" s="588" customFormat="1" ht="18.75" customHeight="1">
      <c r="A31" s="590"/>
      <c r="B31" s="1338"/>
      <c r="C31" s="1339"/>
      <c r="D31" s="1339"/>
      <c r="E31" s="1339"/>
      <c r="F31" s="1339"/>
      <c r="G31" s="1339"/>
      <c r="H31" s="1339"/>
      <c r="I31" s="1339"/>
      <c r="J31" s="1339"/>
      <c r="K31" s="1340"/>
      <c r="N31" s="590"/>
      <c r="O31" s="605"/>
      <c r="P31" s="605"/>
      <c r="Q31" s="605"/>
      <c r="R31" s="605"/>
      <c r="S31" s="605"/>
      <c r="T31" s="590"/>
      <c r="U31" s="590"/>
      <c r="V31" s="590"/>
      <c r="W31" s="590"/>
      <c r="X31" s="590"/>
      <c r="Y31" s="590"/>
      <c r="Z31" s="590"/>
      <c r="AA31" s="590"/>
      <c r="AB31" s="590"/>
      <c r="AC31" s="590"/>
      <c r="AD31" s="590"/>
      <c r="AE31" s="590"/>
      <c r="AF31" s="590"/>
      <c r="AG31" s="618"/>
    </row>
    <row r="32" spans="1:104" s="588" customFormat="1" ht="18.75" customHeight="1">
      <c r="A32" s="590"/>
      <c r="B32" s="1338"/>
      <c r="C32" s="1339"/>
      <c r="D32" s="1339"/>
      <c r="E32" s="1339"/>
      <c r="F32" s="1339"/>
      <c r="G32" s="1339"/>
      <c r="H32" s="1339"/>
      <c r="I32" s="1339"/>
      <c r="J32" s="1339"/>
      <c r="K32" s="1340"/>
      <c r="N32" s="590"/>
      <c r="O32" s="605"/>
      <c r="P32" s="605"/>
      <c r="Q32" s="605"/>
      <c r="R32" s="605"/>
      <c r="S32" s="605"/>
      <c r="T32" s="590"/>
      <c r="U32" s="590"/>
      <c r="V32" s="590"/>
      <c r="W32" s="590"/>
      <c r="X32" s="590"/>
      <c r="Y32" s="590"/>
      <c r="Z32" s="590"/>
      <c r="AA32" s="590"/>
      <c r="AB32" s="590"/>
      <c r="AC32" s="590"/>
      <c r="AD32" s="590"/>
      <c r="AE32" s="590"/>
      <c r="AF32" s="590"/>
      <c r="AG32" s="618"/>
    </row>
    <row r="33" spans="1:33" s="588" customFormat="1" ht="18.75" customHeight="1">
      <c r="A33" s="590"/>
      <c r="B33" s="1341"/>
      <c r="C33" s="1342"/>
      <c r="D33" s="1342"/>
      <c r="E33" s="1342"/>
      <c r="F33" s="1342"/>
      <c r="G33" s="1342"/>
      <c r="H33" s="1342"/>
      <c r="I33" s="1342"/>
      <c r="J33" s="1342"/>
      <c r="K33" s="1343"/>
      <c r="N33" s="590"/>
      <c r="O33" s="605"/>
      <c r="P33" s="605"/>
      <c r="Q33" s="605"/>
      <c r="R33" s="605"/>
      <c r="S33" s="605"/>
      <c r="T33" s="590"/>
      <c r="U33" s="590"/>
      <c r="V33" s="590"/>
      <c r="W33" s="590"/>
      <c r="X33" s="590"/>
      <c r="Y33" s="590"/>
      <c r="Z33" s="590"/>
      <c r="AA33" s="590"/>
      <c r="AB33" s="590"/>
      <c r="AC33" s="590"/>
      <c r="AD33" s="590"/>
      <c r="AE33" s="590"/>
      <c r="AF33" s="590"/>
      <c r="AG33" s="618"/>
    </row>
    <row r="34" spans="1:33" s="588" customFormat="1" ht="16.5" customHeight="1">
      <c r="A34" s="616"/>
      <c r="B34" s="616"/>
      <c r="C34" s="616"/>
      <c r="D34" s="616"/>
      <c r="E34" s="616"/>
      <c r="F34" s="616"/>
      <c r="G34" s="616"/>
      <c r="H34" s="616"/>
      <c r="I34" s="616"/>
      <c r="J34" s="616"/>
      <c r="K34" s="616"/>
      <c r="L34" s="616"/>
      <c r="M34" s="616"/>
      <c r="N34" s="616"/>
      <c r="O34" s="616"/>
      <c r="P34" s="616"/>
      <c r="Q34" s="616"/>
      <c r="R34" s="616"/>
      <c r="S34" s="1337"/>
      <c r="T34" s="1337"/>
      <c r="U34" s="1337"/>
      <c r="V34" s="1337"/>
      <c r="W34" s="1337"/>
      <c r="X34" s="1337"/>
      <c r="Y34" s="1337"/>
      <c r="Z34" s="1337"/>
      <c r="AA34" s="1337"/>
      <c r="AB34" s="1337"/>
      <c r="AC34" s="1337"/>
      <c r="AD34" s="1337"/>
      <c r="AE34" s="1337"/>
      <c r="AF34" s="1337"/>
    </row>
    <row r="35" spans="1:33" s="588" customFormat="1">
      <c r="A35" s="589"/>
      <c r="B35" s="589"/>
      <c r="C35" s="589"/>
      <c r="L35" s="589"/>
      <c r="M35" s="589"/>
      <c r="N35" s="589"/>
      <c r="O35" s="589"/>
      <c r="P35" s="589"/>
      <c r="Q35" s="619"/>
      <c r="R35" s="589"/>
      <c r="S35" s="589"/>
      <c r="T35" s="589"/>
      <c r="U35" s="589"/>
      <c r="V35" s="589"/>
      <c r="W35" s="589"/>
      <c r="X35" s="589"/>
      <c r="Y35" s="589"/>
      <c r="Z35" s="589"/>
      <c r="AA35" s="589"/>
      <c r="AB35" s="589"/>
      <c r="AC35" s="589"/>
      <c r="AD35" s="589"/>
      <c r="AE35" s="589"/>
      <c r="AF35" s="589"/>
      <c r="AG35" s="618"/>
    </row>
    <row r="70" spans="2:2" ht="12.75" customHeight="1">
      <c r="B70" s="678" t="s">
        <v>1537</v>
      </c>
    </row>
  </sheetData>
  <sheetProtection password="ECEC" sheet="1" insertRows="0"/>
  <dataConsolidate/>
  <customSheetViews>
    <customSheetView guid="{9FD33A57-86F0-4BF5-A6C0-5833A5B59516}" scale="70" showGridLines="0" fitToPage="1">
      <selection activeCell="L21" sqref="L21"/>
      <pageMargins left="0.433070866" right="0.43307086614173201" top="0.55118110236220497" bottom="0.55118110236220497" header="0.23622047244094499" footer="0.23622047244094499"/>
      <printOptions horizontalCentered="1"/>
      <pageSetup paperSize="9" scale="58" orientation="portrait" r:id="rId1"/>
      <headerFooter alignWithMargins="0">
        <oddHeader>&amp;C&amp;"Verdana,Bold"&amp;12DAILY PRODUCTION REPORT - SALAM BASE</oddHeader>
        <oddFooter>&amp;CPage &amp;P</oddFooter>
      </headerFooter>
    </customSheetView>
  </customSheetViews>
  <mergeCells count="27">
    <mergeCell ref="S34:AF34"/>
    <mergeCell ref="B32:K32"/>
    <mergeCell ref="B33:K33"/>
    <mergeCell ref="B26:K26"/>
    <mergeCell ref="B27:K27"/>
    <mergeCell ref="B28:K28"/>
    <mergeCell ref="B29:K29"/>
    <mergeCell ref="B30:K30"/>
    <mergeCell ref="B31:K31"/>
    <mergeCell ref="B4:E4"/>
    <mergeCell ref="F4:G4"/>
    <mergeCell ref="H4:I4"/>
    <mergeCell ref="J4:K4"/>
    <mergeCell ref="E13:J13"/>
    <mergeCell ref="B19:B20"/>
    <mergeCell ref="C19:D19"/>
    <mergeCell ref="E19:F19"/>
    <mergeCell ref="E14:J14"/>
    <mergeCell ref="E15:J15"/>
    <mergeCell ref="B2:E2"/>
    <mergeCell ref="F2:G2"/>
    <mergeCell ref="H2:I2"/>
    <mergeCell ref="J2:K2"/>
    <mergeCell ref="B3:E3"/>
    <mergeCell ref="F3:G3"/>
    <mergeCell ref="H3:I3"/>
    <mergeCell ref="J3:K3"/>
  </mergeCells>
  <phoneticPr fontId="153" type="noConversion"/>
  <conditionalFormatting sqref="B9:B11">
    <cfRule type="expression" dxfId="232" priority="44" stopIfTrue="1">
      <formula>$D9="SI"</formula>
    </cfRule>
  </conditionalFormatting>
  <conditionalFormatting sqref="C9:D11">
    <cfRule type="expression" dxfId="231" priority="43" stopIfTrue="1">
      <formula>$D9="SI"</formula>
    </cfRule>
  </conditionalFormatting>
  <dataValidations count="2">
    <dataValidation type="whole" allowBlank="1" showInputMessage="1" showErrorMessage="1" error="Value must be a whole number" sqref="H8:J11">
      <formula1>0</formula1>
      <formula2>20000</formula2>
    </dataValidation>
    <dataValidation type="decimal" allowBlank="1" showInputMessage="1" showErrorMessage="1" error="The value must be between 0 and 24" sqref="K8:K11">
      <formula1>0</formula1>
      <formula2>24</formula2>
    </dataValidation>
  </dataValidations>
  <printOptions horizontalCentered="1"/>
  <pageMargins left="0.433070866" right="0.43307086614173201" top="0.55118110236220497" bottom="0.55118110236220497" header="0.23622047244094499" footer="0.23622047244094499"/>
  <pageSetup paperSize="9" scale="58" orientation="portrait" r:id="rId2"/>
  <headerFooter alignWithMargins="0">
    <oddHeader>&amp;C&amp;"Verdana,Bold"&amp;12DAILY PRODUCTION REPORT - SALAM BASE</oddHeader>
    <oddFooter>&amp;CPage &amp;P</oddFooter>
  </headerFooter>
  <drawing r:id="rId3"/>
  <legacy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B1:AP45"/>
  <sheetViews>
    <sheetView zoomScale="85" zoomScaleNormal="85" workbookViewId="0">
      <selection activeCell="AJ3" sqref="AJ3:AP3"/>
    </sheetView>
  </sheetViews>
  <sheetFormatPr defaultRowHeight="12.75"/>
  <cols>
    <col min="1" max="1" width="2.5703125" customWidth="1"/>
    <col min="2" max="2" width="41.28515625" customWidth="1"/>
    <col min="3" max="3" width="24" customWidth="1"/>
    <col min="5" max="5" width="64.140625" customWidth="1"/>
    <col min="6" max="6" width="42.140625" customWidth="1"/>
    <col min="36" max="36" width="23.7109375" customWidth="1"/>
    <col min="37" max="37" width="13.7109375" customWidth="1"/>
    <col min="38" max="38" width="37.7109375" customWidth="1"/>
    <col min="39" max="39" width="11" customWidth="1"/>
    <col min="40" max="40" width="10.140625" customWidth="1"/>
    <col min="41" max="41" width="32.7109375" customWidth="1"/>
    <col min="42" max="42" width="37.28515625" customWidth="1"/>
  </cols>
  <sheetData>
    <row r="1" spans="2:42" s="269" customFormat="1" ht="30" customHeight="1">
      <c r="B1" s="270" t="s">
        <v>1303</v>
      </c>
      <c r="E1" s="369" t="s">
        <v>1296</v>
      </c>
      <c r="I1" s="370"/>
      <c r="J1" s="293"/>
    </row>
    <row r="2" spans="2:42" s="272" customFormat="1" ht="30" customHeight="1">
      <c r="B2" s="273" t="s">
        <v>1297</v>
      </c>
      <c r="C2" s="1066" t="s">
        <v>11</v>
      </c>
      <c r="D2" s="1067" t="s">
        <v>1298</v>
      </c>
      <c r="E2" s="274" t="s">
        <v>1299</v>
      </c>
      <c r="F2" s="279" t="s">
        <v>29</v>
      </c>
      <c r="H2"/>
      <c r="I2"/>
      <c r="J2"/>
      <c r="AI2" s="272">
        <v>9</v>
      </c>
      <c r="AJ2" s="274" t="s">
        <v>59</v>
      </c>
      <c r="AK2" s="274" t="s">
        <v>16</v>
      </c>
      <c r="AL2" s="274" t="s">
        <v>260</v>
      </c>
      <c r="AM2" s="274" t="s">
        <v>11</v>
      </c>
      <c r="AN2" s="274" t="s">
        <v>1298</v>
      </c>
      <c r="AO2" s="275" t="s">
        <v>1299</v>
      </c>
      <c r="AP2" s="279" t="s">
        <v>29</v>
      </c>
    </row>
    <row r="3" spans="2:42" s="54" customFormat="1" ht="18.600000000000001" hidden="1" customHeight="1">
      <c r="D3" s="407"/>
      <c r="F3" s="371"/>
      <c r="AJ3" s="376" t="s">
        <v>1342</v>
      </c>
      <c r="AK3" s="71">
        <f t="shared" ref="AK3:AK28" si="0">REPDATE</f>
        <v>46299</v>
      </c>
      <c r="AL3" s="72" t="str">
        <f>$AI$2&amp;B3</f>
        <v>9</v>
      </c>
      <c r="AM3" s="72">
        <f>C3</f>
        <v>0</v>
      </c>
      <c r="AN3" s="72">
        <f>D3</f>
        <v>0</v>
      </c>
      <c r="AO3" s="72">
        <f>E3</f>
        <v>0</v>
      </c>
      <c r="AP3" s="72">
        <f>F3</f>
        <v>0</v>
      </c>
    </row>
    <row r="4" spans="2:42" s="54" customFormat="1" ht="18.600000000000001" customHeight="1">
      <c r="B4" s="386" t="s">
        <v>2179</v>
      </c>
      <c r="C4" s="1063" t="s">
        <v>2344</v>
      </c>
      <c r="D4" s="48">
        <v>180</v>
      </c>
      <c r="E4" s="1064" t="s">
        <v>2659</v>
      </c>
      <c r="F4" s="371"/>
      <c r="AJ4" s="376" t="s">
        <v>1342</v>
      </c>
      <c r="AK4" s="71">
        <f t="shared" si="0"/>
        <v>46299</v>
      </c>
      <c r="AL4" s="72" t="str">
        <f t="shared" ref="AL4:AL28" si="1">$AI$2&amp;B4</f>
        <v>9AG-80 MFD</v>
      </c>
      <c r="AM4" s="72" t="str">
        <f t="shared" ref="AM4:AM28" si="2">C4</f>
        <v>Active</v>
      </c>
      <c r="AN4" s="72">
        <f t="shared" ref="AN4:AN28" si="3">D4</f>
        <v>180</v>
      </c>
      <c r="AO4" s="72" t="str">
        <f t="shared" ref="AO4:AO28" si="4">E4</f>
        <v xml:space="preserve">AG-[80,83,132,146], HAWK-(3, 5), SHADOW-[E01,E02,E04,E10] </v>
      </c>
      <c r="AP4" s="72">
        <f t="shared" ref="AP4:AP28" si="5">F4</f>
        <v>0</v>
      </c>
    </row>
    <row r="5" spans="2:42" s="54" customFormat="1" ht="18.600000000000001" customHeight="1">
      <c r="B5" s="386" t="s">
        <v>1754</v>
      </c>
      <c r="C5" s="1063" t="s">
        <v>2344</v>
      </c>
      <c r="D5" s="48">
        <v>115</v>
      </c>
      <c r="E5" s="1065" t="s">
        <v>2707</v>
      </c>
      <c r="F5" s="371"/>
      <c r="AJ5" s="376" t="s">
        <v>1342</v>
      </c>
      <c r="AK5" s="71">
        <f t="shared" si="0"/>
        <v>46299</v>
      </c>
      <c r="AL5" s="72" t="str">
        <f t="shared" si="1"/>
        <v>9ARD MANIFOLD (10") F</v>
      </c>
      <c r="AM5" s="72" t="str">
        <f t="shared" si="2"/>
        <v>Active</v>
      </c>
      <c r="AN5" s="72">
        <f t="shared" si="3"/>
        <v>115</v>
      </c>
      <c r="AO5" s="72" t="str">
        <f t="shared" si="4"/>
        <v>*Shadow-(W02, NW01).
*WD30-A01, AG-(15,24,43,62,121,130,131).
*SPY Line B [Ridgewood-01, Firestone-01, SAG Oil MFD Share, Pacific-02, Spyglass-(01, 02,W01), Riviera-(2, SW02)].
*SWAG New MFD [SWAG-(6,7,8,9,10)].</v>
      </c>
      <c r="AP5" s="72">
        <f t="shared" si="5"/>
        <v>0</v>
      </c>
    </row>
    <row r="6" spans="2:42" s="54" customFormat="1" ht="18.600000000000001" customHeight="1">
      <c r="B6" s="386" t="s">
        <v>2121</v>
      </c>
      <c r="C6" s="1063" t="s">
        <v>2344</v>
      </c>
      <c r="D6" s="48">
        <v>165</v>
      </c>
      <c r="E6" s="1064" t="s">
        <v>2672</v>
      </c>
      <c r="F6" s="371"/>
      <c r="AJ6" s="376" t="s">
        <v>1342</v>
      </c>
      <c r="AK6" s="71">
        <f t="shared" si="0"/>
        <v>46299</v>
      </c>
      <c r="AL6" s="72" t="str">
        <f t="shared" si="1"/>
        <v>9ARD MANIFOLD (6") A</v>
      </c>
      <c r="AM6" s="72" t="str">
        <f t="shared" si="2"/>
        <v>Active</v>
      </c>
      <c r="AN6" s="72">
        <f t="shared" si="3"/>
        <v>165</v>
      </c>
      <c r="AO6" s="72" t="str">
        <f t="shared" si="4"/>
        <v>*AG-54, SAG Line A, Shadow-W01
*SAG Line D</v>
      </c>
      <c r="AP6" s="72">
        <f t="shared" si="5"/>
        <v>0</v>
      </c>
    </row>
    <row r="7" spans="2:42" s="54" customFormat="1" ht="18.600000000000001" customHeight="1">
      <c r="B7" s="386" t="s">
        <v>2123</v>
      </c>
      <c r="C7" s="1063" t="s">
        <v>2344</v>
      </c>
      <c r="D7" s="48">
        <v>150</v>
      </c>
      <c r="E7" s="1065" t="s">
        <v>2707</v>
      </c>
      <c r="F7" s="371"/>
      <c r="AJ7" s="376" t="s">
        <v>1342</v>
      </c>
      <c r="AK7" s="71">
        <f t="shared" si="0"/>
        <v>46299</v>
      </c>
      <c r="AL7" s="72" t="str">
        <f t="shared" si="1"/>
        <v>9ARD MANIFOLD (8") C</v>
      </c>
      <c r="AM7" s="72" t="str">
        <f t="shared" si="2"/>
        <v>Active</v>
      </c>
      <c r="AN7" s="72">
        <f t="shared" si="3"/>
        <v>150</v>
      </c>
      <c r="AO7" s="72" t="str">
        <f t="shared" si="4"/>
        <v>*Shadow-(W02, NW01).
*WD30-A01, AG-(15,24,43,62,121,130,131).
*SPY Line B [Ridgewood-01, Firestone-01, SAG Oil MFD Share, Pacific-02, Spyglass-(01, 02,W01), Riviera-(2, SW02)].
*SWAG New MFD [SWAG-(6,7,8,9,10)].</v>
      </c>
      <c r="AP7" s="72">
        <f t="shared" si="5"/>
        <v>0</v>
      </c>
    </row>
    <row r="8" spans="2:42" s="54" customFormat="1" ht="18.600000000000001" customHeight="1">
      <c r="B8" s="386" t="s">
        <v>2124</v>
      </c>
      <c r="C8" s="1063" t="s">
        <v>2344</v>
      </c>
      <c r="D8" s="48">
        <v>120</v>
      </c>
      <c r="E8" s="1065" t="s">
        <v>2673</v>
      </c>
      <c r="F8" s="371"/>
      <c r="AJ8" s="376" t="s">
        <v>1342</v>
      </c>
      <c r="AK8" s="71">
        <f t="shared" si="0"/>
        <v>46299</v>
      </c>
      <c r="AL8" s="72" t="str">
        <f t="shared" si="1"/>
        <v>9ARD MANIFOLD (8") D</v>
      </c>
      <c r="AM8" s="72" t="str">
        <f t="shared" si="2"/>
        <v>Active</v>
      </c>
      <c r="AN8" s="72">
        <f t="shared" si="3"/>
        <v>120</v>
      </c>
      <c r="AO8" s="72" t="str">
        <f t="shared" si="4"/>
        <v>*Outlet SWAG Old MFD (Olympic-01, Montezuma-01x)
*Outlet Shadow MFD [Shadow-(1,2,5,6, E08, E09)].
*AG-(44,64,65,68)</v>
      </c>
      <c r="AP8" s="72">
        <f t="shared" si="5"/>
        <v>0</v>
      </c>
    </row>
    <row r="9" spans="2:42" s="54" customFormat="1" ht="18.600000000000001" customHeight="1">
      <c r="B9" s="386" t="s">
        <v>2122</v>
      </c>
      <c r="C9" s="1063" t="s">
        <v>2344</v>
      </c>
      <c r="D9" s="48">
        <v>150</v>
      </c>
      <c r="E9" s="1064" t="s">
        <v>2663</v>
      </c>
      <c r="F9" s="371"/>
      <c r="AJ9" s="376" t="s">
        <v>1342</v>
      </c>
      <c r="AK9" s="71">
        <f t="shared" si="0"/>
        <v>46299</v>
      </c>
      <c r="AL9" s="72" t="str">
        <f t="shared" si="1"/>
        <v>9ARD NEW LINE - TEST (6") B</v>
      </c>
      <c r="AM9" s="72" t="str">
        <f t="shared" si="2"/>
        <v>Active</v>
      </c>
      <c r="AN9" s="72">
        <f t="shared" si="3"/>
        <v>150</v>
      </c>
      <c r="AO9" s="72" t="str">
        <f t="shared" si="4"/>
        <v xml:space="preserve">SAG Line C </v>
      </c>
      <c r="AP9" s="72">
        <f t="shared" si="5"/>
        <v>0</v>
      </c>
    </row>
    <row r="10" spans="2:42" s="54" customFormat="1" ht="18.600000000000001" customHeight="1">
      <c r="B10" s="386" t="s">
        <v>2119</v>
      </c>
      <c r="C10" s="1063" t="s">
        <v>2344</v>
      </c>
      <c r="D10" s="48">
        <v>130</v>
      </c>
      <c r="E10" s="1064" t="s">
        <v>2666</v>
      </c>
      <c r="F10" s="371"/>
      <c r="AJ10" s="376" t="s">
        <v>1342</v>
      </c>
      <c r="AK10" s="71">
        <f t="shared" si="0"/>
        <v>46299</v>
      </c>
      <c r="AL10" s="72" t="str">
        <f t="shared" si="1"/>
        <v>9EAST MANIFOLD NEW LINE (8") B</v>
      </c>
      <c r="AM10" s="72" t="str">
        <f t="shared" si="2"/>
        <v>Active</v>
      </c>
      <c r="AN10" s="72">
        <f t="shared" si="3"/>
        <v>130</v>
      </c>
      <c r="AO10" s="72" t="str">
        <f t="shared" si="4"/>
        <v>WD-09-K01X, AG-13, NAG-01</v>
      </c>
      <c r="AP10" s="72">
        <f t="shared" si="5"/>
        <v>0</v>
      </c>
    </row>
    <row r="11" spans="2:42" s="54" customFormat="1" ht="18.600000000000001" customHeight="1">
      <c r="B11" s="386" t="s">
        <v>2120</v>
      </c>
      <c r="C11" s="1063" t="s">
        <v>2643</v>
      </c>
      <c r="D11" s="48" t="s">
        <v>18</v>
      </c>
      <c r="E11" s="1064" t="s">
        <v>2342</v>
      </c>
      <c r="F11" s="371"/>
      <c r="AJ11" s="376" t="s">
        <v>1342</v>
      </c>
      <c r="AK11" s="71">
        <f t="shared" si="0"/>
        <v>46299</v>
      </c>
      <c r="AL11" s="72" t="str">
        <f t="shared" si="1"/>
        <v>9EAST MANIFOLD NEW LINE (8") C</v>
      </c>
      <c r="AM11" s="72" t="str">
        <f t="shared" si="2"/>
        <v>Leak - Closed</v>
      </c>
      <c r="AN11" s="72" t="str">
        <f t="shared" si="3"/>
        <v>SI</v>
      </c>
      <c r="AO11" s="72" t="str">
        <f t="shared" si="4"/>
        <v>Leak</v>
      </c>
      <c r="AP11" s="72">
        <f t="shared" si="5"/>
        <v>0</v>
      </c>
    </row>
    <row r="12" spans="2:42" s="54" customFormat="1" ht="18.600000000000001" customHeight="1">
      <c r="B12" s="386" t="s">
        <v>2118</v>
      </c>
      <c r="C12" s="1063" t="s">
        <v>2344</v>
      </c>
      <c r="D12" s="48">
        <v>130</v>
      </c>
      <c r="E12" s="1064" t="s">
        <v>2666</v>
      </c>
      <c r="F12" s="371"/>
      <c r="AJ12" s="376" t="s">
        <v>1342</v>
      </c>
      <c r="AK12" s="71">
        <f t="shared" si="0"/>
        <v>46299</v>
      </c>
      <c r="AL12" s="72" t="str">
        <f t="shared" si="1"/>
        <v>9EAST MANIFOLD TEST (6") A</v>
      </c>
      <c r="AM12" s="72" t="str">
        <f t="shared" si="2"/>
        <v>Active</v>
      </c>
      <c r="AN12" s="72">
        <f t="shared" si="3"/>
        <v>130</v>
      </c>
      <c r="AO12" s="72" t="str">
        <f t="shared" si="4"/>
        <v>WD-09-K01X, AG-13, NAG-01</v>
      </c>
      <c r="AP12" s="72">
        <f t="shared" si="5"/>
        <v>0</v>
      </c>
    </row>
    <row r="13" spans="2:42" s="54" customFormat="1" ht="18.600000000000001" customHeight="1">
      <c r="B13" s="386" t="s">
        <v>2067</v>
      </c>
      <c r="C13" s="1063" t="s">
        <v>2344</v>
      </c>
      <c r="D13" s="48">
        <v>0</v>
      </c>
      <c r="E13" s="1064" t="s">
        <v>2618</v>
      </c>
      <c r="F13" s="371"/>
      <c r="AJ13" s="376" t="s">
        <v>1342</v>
      </c>
      <c r="AK13" s="71">
        <f t="shared" si="0"/>
        <v>46299</v>
      </c>
      <c r="AL13" s="72" t="str">
        <f t="shared" si="1"/>
        <v>9HORST MANIFOLD (6") C</v>
      </c>
      <c r="AM13" s="72" t="str">
        <f t="shared" si="2"/>
        <v>Active</v>
      </c>
      <c r="AN13" s="72">
        <f t="shared" si="3"/>
        <v>0</v>
      </c>
      <c r="AO13" s="72" t="str">
        <f t="shared" si="4"/>
        <v>AG 52 &amp; SPYGLASS- A</v>
      </c>
      <c r="AP13" s="72">
        <f t="shared" si="5"/>
        <v>0</v>
      </c>
    </row>
    <row r="14" spans="2:42" s="54" customFormat="1" ht="18.600000000000001" customHeight="1">
      <c r="B14" s="386" t="s">
        <v>2125</v>
      </c>
      <c r="C14" s="1063" t="s">
        <v>2644</v>
      </c>
      <c r="D14" s="48">
        <v>0</v>
      </c>
      <c r="E14" s="1064" t="s">
        <v>2408</v>
      </c>
      <c r="F14" s="371"/>
      <c r="AJ14" s="376" t="s">
        <v>1342</v>
      </c>
      <c r="AK14" s="71">
        <f t="shared" si="0"/>
        <v>46299</v>
      </c>
      <c r="AL14" s="72" t="str">
        <f t="shared" si="1"/>
        <v>9HORST MANIFOLD (6") D</v>
      </c>
      <c r="AM14" s="72" t="str">
        <f t="shared" si="2"/>
        <v>Closed</v>
      </c>
      <c r="AN14" s="72">
        <f t="shared" si="3"/>
        <v>0</v>
      </c>
      <c r="AO14" s="72" t="str">
        <f t="shared" si="4"/>
        <v>SAG GAS MFD Line C &amp; REVIERA.SW2</v>
      </c>
      <c r="AP14" s="72">
        <f t="shared" si="5"/>
        <v>0</v>
      </c>
    </row>
    <row r="15" spans="2:42" s="54" customFormat="1" ht="18.600000000000001" customHeight="1">
      <c r="B15" s="386" t="s">
        <v>2219</v>
      </c>
      <c r="C15" s="1063" t="s">
        <v>2344</v>
      </c>
      <c r="D15" s="48">
        <v>150</v>
      </c>
      <c r="E15" s="1064" t="s">
        <v>2614</v>
      </c>
      <c r="F15" s="371"/>
      <c r="AJ15" s="376" t="s">
        <v>1342</v>
      </c>
      <c r="AK15" s="71">
        <f t="shared" si="0"/>
        <v>46299</v>
      </c>
      <c r="AL15" s="72" t="str">
        <f t="shared" si="1"/>
        <v>9HORST MANIFOLD (6") G</v>
      </c>
      <c r="AM15" s="72" t="str">
        <f t="shared" si="2"/>
        <v>Active</v>
      </c>
      <c r="AN15" s="72">
        <f t="shared" si="3"/>
        <v>150</v>
      </c>
      <c r="AO15" s="72" t="str">
        <f t="shared" si="4"/>
        <v>AG-16&amp;BOLT NILE-3</v>
      </c>
      <c r="AP15" s="72">
        <f t="shared" si="5"/>
        <v>0</v>
      </c>
    </row>
    <row r="16" spans="2:42" s="54" customFormat="1" ht="18.600000000000001" customHeight="1">
      <c r="B16" s="386" t="s">
        <v>2195</v>
      </c>
      <c r="C16" s="1063" t="s">
        <v>2344</v>
      </c>
      <c r="D16" s="48">
        <v>180</v>
      </c>
      <c r="E16" s="1064" t="s">
        <v>2708</v>
      </c>
      <c r="F16" s="371"/>
      <c r="AJ16" s="376" t="s">
        <v>1342</v>
      </c>
      <c r="AK16" s="71">
        <f t="shared" si="0"/>
        <v>46299</v>
      </c>
      <c r="AL16" s="72" t="str">
        <f t="shared" si="1"/>
        <v>9HORST MANIFOLD (8") A</v>
      </c>
      <c r="AM16" s="72" t="str">
        <f t="shared" si="2"/>
        <v>Active</v>
      </c>
      <c r="AN16" s="72">
        <f t="shared" si="3"/>
        <v>180</v>
      </c>
      <c r="AO16" s="72" t="str">
        <f t="shared" si="4"/>
        <v xml:space="preserve">SAG GAS MFD Line -A, SWAG-(N01, N02) </v>
      </c>
      <c r="AP16" s="72">
        <f t="shared" si="5"/>
        <v>0</v>
      </c>
    </row>
    <row r="17" spans="2:42" s="54" customFormat="1" ht="18.600000000000001" customHeight="1">
      <c r="B17" s="386" t="s">
        <v>1432</v>
      </c>
      <c r="C17" s="1063" t="s">
        <v>2344</v>
      </c>
      <c r="D17" s="48">
        <v>180</v>
      </c>
      <c r="E17" s="1064" t="s">
        <v>2705</v>
      </c>
      <c r="F17" s="371"/>
      <c r="AJ17" s="376" t="s">
        <v>1342</v>
      </c>
      <c r="AK17" s="71">
        <f t="shared" si="0"/>
        <v>46299</v>
      </c>
      <c r="AL17" s="72" t="str">
        <f t="shared" si="1"/>
        <v>9MIN SAG MANIFOLD (6") A</v>
      </c>
      <c r="AM17" s="72" t="str">
        <f t="shared" si="2"/>
        <v>Active</v>
      </c>
      <c r="AN17" s="72">
        <f t="shared" si="3"/>
        <v>180</v>
      </c>
      <c r="AO17" s="72" t="str">
        <f t="shared" si="4"/>
        <v>MAHROUSA-N01, AG-104, Meghar-(1, 6), Pacific-3
AG-79
AG-104</v>
      </c>
      <c r="AP17" s="72">
        <f t="shared" si="5"/>
        <v>0</v>
      </c>
    </row>
    <row r="18" spans="2:42" s="54" customFormat="1" ht="18.600000000000001" customHeight="1">
      <c r="B18" s="386" t="s">
        <v>1550</v>
      </c>
      <c r="C18" s="1063" t="s">
        <v>2344</v>
      </c>
      <c r="D18" s="48">
        <v>180</v>
      </c>
      <c r="E18" s="1064" t="s">
        <v>2705</v>
      </c>
      <c r="F18" s="371"/>
      <c r="AJ18" s="376" t="s">
        <v>1342</v>
      </c>
      <c r="AK18" s="71">
        <f t="shared" si="0"/>
        <v>46299</v>
      </c>
      <c r="AL18" s="72" t="str">
        <f t="shared" si="1"/>
        <v>9MIN SAG MANIFOLD (6") C</v>
      </c>
      <c r="AM18" s="72" t="str">
        <f t="shared" si="2"/>
        <v>Active</v>
      </c>
      <c r="AN18" s="72">
        <f t="shared" si="3"/>
        <v>180</v>
      </c>
      <c r="AO18" s="72" t="str">
        <f t="shared" si="4"/>
        <v>MAHROUSA-N01, AG-104, Meghar-(1, 6), Pacific-3
AG-79
AG-104</v>
      </c>
      <c r="AP18" s="72">
        <f t="shared" si="5"/>
        <v>0</v>
      </c>
    </row>
    <row r="19" spans="2:42" s="54" customFormat="1" ht="18.600000000000001" customHeight="1">
      <c r="B19" s="386" t="s">
        <v>1551</v>
      </c>
      <c r="C19" s="1063" t="s">
        <v>2644</v>
      </c>
      <c r="D19" s="48">
        <v>0</v>
      </c>
      <c r="E19" s="1064" t="s">
        <v>2706</v>
      </c>
      <c r="F19" s="371"/>
      <c r="AJ19" s="376" t="s">
        <v>1342</v>
      </c>
      <c r="AK19" s="71">
        <f t="shared" si="0"/>
        <v>46299</v>
      </c>
      <c r="AL19" s="72" t="str">
        <f t="shared" si="1"/>
        <v>9MIN SAG MANIFOLD (6") D</v>
      </c>
      <c r="AM19" s="72" t="str">
        <f t="shared" si="2"/>
        <v>Closed</v>
      </c>
      <c r="AN19" s="72">
        <f t="shared" si="3"/>
        <v>0</v>
      </c>
      <c r="AO19" s="72" t="str">
        <f t="shared" si="4"/>
        <v>Isolated</v>
      </c>
      <c r="AP19" s="72">
        <f t="shared" si="5"/>
        <v>0</v>
      </c>
    </row>
    <row r="20" spans="2:42" s="54" customFormat="1" ht="18.600000000000001" customHeight="1">
      <c r="B20" s="386" t="s">
        <v>1433</v>
      </c>
      <c r="C20" s="1063" t="s">
        <v>2344</v>
      </c>
      <c r="D20" s="48">
        <v>540</v>
      </c>
      <c r="E20" s="1064" t="s">
        <v>2690</v>
      </c>
      <c r="F20" s="371"/>
      <c r="AJ20" s="376" t="s">
        <v>1342</v>
      </c>
      <c r="AK20" s="71">
        <f t="shared" si="0"/>
        <v>46299</v>
      </c>
      <c r="AL20" s="72" t="str">
        <f t="shared" si="1"/>
        <v>9MIN SAG MANIFOLD (8") B</v>
      </c>
      <c r="AM20" s="72" t="str">
        <f t="shared" si="2"/>
        <v>Active</v>
      </c>
      <c r="AN20" s="72">
        <f t="shared" si="3"/>
        <v>540</v>
      </c>
      <c r="AO20" s="72" t="str">
        <f t="shared" si="4"/>
        <v xml:space="preserve">   MAHROUSA-A02X, AG-140</v>
      </c>
      <c r="AP20" s="72">
        <f t="shared" si="5"/>
        <v>0</v>
      </c>
    </row>
    <row r="21" spans="2:42" s="54" customFormat="1" ht="18.600000000000001" customHeight="1">
      <c r="B21" s="386" t="s">
        <v>1552</v>
      </c>
      <c r="C21" s="1063" t="s">
        <v>2344</v>
      </c>
      <c r="D21" s="48">
        <v>440</v>
      </c>
      <c r="E21" s="1064" t="s">
        <v>2700</v>
      </c>
      <c r="F21" s="371"/>
      <c r="AJ21" s="376" t="s">
        <v>1342</v>
      </c>
      <c r="AK21" s="71">
        <f t="shared" si="0"/>
        <v>46299</v>
      </c>
      <c r="AL21" s="72" t="str">
        <f t="shared" si="1"/>
        <v>9MIN SAG MANIFOLD (8") F</v>
      </c>
      <c r="AM21" s="72" t="str">
        <f t="shared" si="2"/>
        <v>Active</v>
      </c>
      <c r="AN21" s="72">
        <f t="shared" si="3"/>
        <v>440</v>
      </c>
      <c r="AO21" s="72" t="str">
        <f t="shared" si="4"/>
        <v xml:space="preserve"> MAHROUSA-A01X</v>
      </c>
      <c r="AP21" s="72">
        <f t="shared" si="5"/>
        <v>0</v>
      </c>
    </row>
    <row r="22" spans="2:42" s="54" customFormat="1" ht="18.600000000000001" customHeight="1">
      <c r="B22" s="386" t="s">
        <v>2176</v>
      </c>
      <c r="C22" s="1063" t="s">
        <v>2344</v>
      </c>
      <c r="D22" s="48">
        <v>180</v>
      </c>
      <c r="E22" s="1064" t="s">
        <v>2343</v>
      </c>
      <c r="F22" s="371"/>
      <c r="AJ22" s="376" t="s">
        <v>1342</v>
      </c>
      <c r="AK22" s="71">
        <f t="shared" si="0"/>
        <v>46299</v>
      </c>
      <c r="AL22" s="72" t="str">
        <f t="shared" si="1"/>
        <v>9NEW SWAG oil MFD</v>
      </c>
      <c r="AM22" s="72" t="str">
        <f t="shared" si="2"/>
        <v>Active</v>
      </c>
      <c r="AN22" s="72">
        <f t="shared" si="3"/>
        <v>180</v>
      </c>
      <c r="AO22" s="72" t="str">
        <f t="shared" si="4"/>
        <v>SWAG-[6,7,9,10,N01x, N02]</v>
      </c>
      <c r="AP22" s="72">
        <f t="shared" si="5"/>
        <v>0</v>
      </c>
    </row>
    <row r="23" spans="2:42" s="54" customFormat="1" ht="18.600000000000001" customHeight="1">
      <c r="B23" s="386" t="s">
        <v>2175</v>
      </c>
      <c r="C23" s="1063" t="s">
        <v>2344</v>
      </c>
      <c r="D23" s="48">
        <v>180</v>
      </c>
      <c r="E23" s="1064" t="s">
        <v>2621</v>
      </c>
      <c r="F23" s="371"/>
      <c r="AJ23" s="376" t="s">
        <v>1342</v>
      </c>
      <c r="AK23" s="71">
        <f t="shared" si="0"/>
        <v>46299</v>
      </c>
      <c r="AL23" s="72" t="str">
        <f t="shared" si="1"/>
        <v>9OLD SWAG oil MFD</v>
      </c>
      <c r="AM23" s="72" t="str">
        <f t="shared" si="2"/>
        <v>Active</v>
      </c>
      <c r="AN23" s="72">
        <f t="shared" si="3"/>
        <v>180</v>
      </c>
      <c r="AO23" s="72" t="str">
        <f t="shared" si="4"/>
        <v>SWAG-[2,3,5], OLYMPIC-01x, Montezuma-01</v>
      </c>
      <c r="AP23" s="72">
        <f t="shared" si="5"/>
        <v>0</v>
      </c>
    </row>
    <row r="24" spans="2:42" s="54" customFormat="1" ht="18.600000000000001" customHeight="1">
      <c r="B24" s="386" t="s">
        <v>2128</v>
      </c>
      <c r="C24" s="1063" t="s">
        <v>2344</v>
      </c>
      <c r="D24" s="48">
        <v>210</v>
      </c>
      <c r="E24" s="1064" t="s">
        <v>2709</v>
      </c>
      <c r="F24" s="371"/>
      <c r="AJ24" s="376" t="s">
        <v>1342</v>
      </c>
      <c r="AK24" s="71">
        <f t="shared" si="0"/>
        <v>46299</v>
      </c>
      <c r="AL24" s="72" t="str">
        <f t="shared" si="1"/>
        <v>9SAG AR MANIFOLD (6") C</v>
      </c>
      <c r="AM24" s="72" t="str">
        <f t="shared" si="2"/>
        <v>Active</v>
      </c>
      <c r="AN24" s="72">
        <f t="shared" si="3"/>
        <v>210</v>
      </c>
      <c r="AO24" s="72" t="str">
        <f t="shared" si="4"/>
        <v>AG-[2,57,67,81,86,87,88,90,91,96,97,100,101,102,103,106,108,107,110,115,116,117,118,120,125,136,143, 152, 154, 157], MEGHAR-[2,5,7,8,9,10,14,16,E1X] Mahroussa-D01 &amp; PACIFIC-3</v>
      </c>
      <c r="AP24" s="72">
        <f t="shared" si="5"/>
        <v>0</v>
      </c>
    </row>
    <row r="25" spans="2:42" s="54" customFormat="1" ht="18.600000000000001" customHeight="1">
      <c r="B25" s="386" t="s">
        <v>2129</v>
      </c>
      <c r="C25" s="1063" t="s">
        <v>2344</v>
      </c>
      <c r="D25" s="48">
        <v>210</v>
      </c>
      <c r="E25" s="1064" t="s">
        <v>2710</v>
      </c>
      <c r="F25" s="371"/>
      <c r="AJ25" s="376" t="s">
        <v>1342</v>
      </c>
      <c r="AK25" s="71">
        <f t="shared" si="0"/>
        <v>46299</v>
      </c>
      <c r="AL25" s="72" t="str">
        <f t="shared" si="1"/>
        <v>9SAG AR MANIFOLD (6") D</v>
      </c>
      <c r="AM25" s="72" t="str">
        <f t="shared" si="2"/>
        <v>Active</v>
      </c>
      <c r="AN25" s="72">
        <f t="shared" si="3"/>
        <v>210</v>
      </c>
      <c r="AO25" s="72" t="str">
        <f t="shared" si="4"/>
        <v>AG-[2,57,67,81,86,87,88,90,91,96,97,100,101,102,103,106,108,107,110,115,116,117,118,120,125,136,143, 152, 154, 157], MEGHAR-[2,5,7,8,9,10,14,16,E1X] Mahroussa-D01 &amp; PACIFIC-4</v>
      </c>
      <c r="AP25" s="72">
        <f t="shared" si="5"/>
        <v>0</v>
      </c>
    </row>
    <row r="26" spans="2:42" s="54" customFormat="1" ht="18.600000000000001" customHeight="1">
      <c r="B26" s="386" t="s">
        <v>2126</v>
      </c>
      <c r="C26" s="1063" t="s">
        <v>2344</v>
      </c>
      <c r="D26" s="48">
        <v>210</v>
      </c>
      <c r="E26" s="1064" t="s">
        <v>2711</v>
      </c>
      <c r="F26" s="371"/>
      <c r="AJ26" s="376" t="s">
        <v>1342</v>
      </c>
      <c r="AK26" s="71">
        <f t="shared" si="0"/>
        <v>46299</v>
      </c>
      <c r="AL26" s="72" t="str">
        <f t="shared" si="1"/>
        <v>9SAG MANIFOLD (6") A</v>
      </c>
      <c r="AM26" s="72" t="str">
        <f t="shared" si="2"/>
        <v>Active</v>
      </c>
      <c r="AN26" s="72">
        <f t="shared" si="3"/>
        <v>210</v>
      </c>
      <c r="AO26" s="72" t="str">
        <f t="shared" si="4"/>
        <v>AG-[2,57,67,81,86,87,88,90,91,96,97,100,101,102,103,106,108,107,110,115,116,117,118,120,125,136,143, 152, 154, 157], MEGHAR-[2,5,7,8,9,10,14,16,E1X] Mahroussa-D01 &amp; PACIFIC-1</v>
      </c>
      <c r="AP26" s="72">
        <f t="shared" si="5"/>
        <v>0</v>
      </c>
    </row>
    <row r="27" spans="2:42" s="54" customFormat="1" ht="18.600000000000001" customHeight="1">
      <c r="B27" s="384" t="s">
        <v>2127</v>
      </c>
      <c r="C27" s="1063" t="s">
        <v>2344</v>
      </c>
      <c r="D27" s="48">
        <v>210</v>
      </c>
      <c r="E27" s="1064" t="s">
        <v>2712</v>
      </c>
      <c r="F27" s="371"/>
      <c r="AJ27" s="376" t="s">
        <v>1342</v>
      </c>
      <c r="AK27" s="71">
        <f t="shared" si="0"/>
        <v>46299</v>
      </c>
      <c r="AL27" s="72" t="str">
        <f t="shared" si="1"/>
        <v>9SAG MANIFOLD (6") B</v>
      </c>
      <c r="AM27" s="72" t="str">
        <f t="shared" si="2"/>
        <v>Active</v>
      </c>
      <c r="AN27" s="72">
        <f t="shared" si="3"/>
        <v>210</v>
      </c>
      <c r="AO27" s="72" t="str">
        <f t="shared" si="4"/>
        <v>AG-[2,57,67,81,86,87,88,90,91,96,97,100,101,102,103,106,108,107,110,115,116,117,118,120,125,136,143, 152, 154, 157], MEGHAR-[2,5,7,8,9,10,14,16,E1X] Mahroussa-D01 &amp; PACIFIC-2</v>
      </c>
      <c r="AP27" s="72">
        <f t="shared" si="5"/>
        <v>0</v>
      </c>
    </row>
    <row r="28" spans="2:42" s="54" customFormat="1" ht="18.600000000000001" customHeight="1">
      <c r="B28" s="384" t="s">
        <v>2142</v>
      </c>
      <c r="C28" s="1063" t="s">
        <v>2344</v>
      </c>
      <c r="D28" s="48">
        <v>170</v>
      </c>
      <c r="E28" s="1064" t="s">
        <v>2667</v>
      </c>
      <c r="F28" s="371"/>
      <c r="AJ28" s="376" t="s">
        <v>1342</v>
      </c>
      <c r="AK28" s="71">
        <f t="shared" si="0"/>
        <v>46299</v>
      </c>
      <c r="AL28" s="72" t="str">
        <f t="shared" si="1"/>
        <v>9SPY GLASS  (6") B from SPY till ARD</v>
      </c>
      <c r="AM28" s="72" t="str">
        <f t="shared" si="2"/>
        <v>Active</v>
      </c>
      <c r="AN28" s="72">
        <f t="shared" si="3"/>
        <v>170</v>
      </c>
      <c r="AO28" s="72" t="str">
        <f t="shared" si="4"/>
        <v>RIDGEWOOD-1X, RIDGEWOOD-03,  FIRESTONE-1X &amp; PACIFIC-2 SPYGLASS wst 1 - SPYGLASS1, reviera.SW2 &amp;RIVIERA-2</v>
      </c>
      <c r="AP28" s="72">
        <f t="shared" si="5"/>
        <v>0</v>
      </c>
    </row>
    <row r="29" spans="2:42" s="54" customFormat="1" ht="18.600000000000001" customHeight="1">
      <c r="B29" s="384" t="s">
        <v>2141</v>
      </c>
      <c r="C29" s="1063" t="s">
        <v>2344</v>
      </c>
      <c r="D29" s="48">
        <v>180</v>
      </c>
      <c r="E29" s="1064" t="s">
        <v>2667</v>
      </c>
      <c r="F29" s="371"/>
      <c r="AJ29" s="376"/>
      <c r="AK29" s="71"/>
      <c r="AL29" s="72"/>
      <c r="AM29" s="72"/>
      <c r="AN29" s="72"/>
      <c r="AO29" s="72"/>
      <c r="AP29" s="72"/>
    </row>
    <row r="30" spans="2:42" s="54" customFormat="1" ht="18.600000000000001" customHeight="1">
      <c r="B30" s="384" t="s">
        <v>1699</v>
      </c>
      <c r="C30" s="1063" t="s">
        <v>2344</v>
      </c>
      <c r="D30" s="48">
        <v>50</v>
      </c>
      <c r="E30" s="1064" t="s">
        <v>2664</v>
      </c>
      <c r="F30" s="371"/>
      <c r="AJ30" s="376"/>
      <c r="AK30" s="71"/>
      <c r="AL30" s="72"/>
      <c r="AM30" s="72"/>
      <c r="AN30" s="72"/>
      <c r="AO30" s="72"/>
      <c r="AP30" s="72"/>
    </row>
    <row r="31" spans="2:42" s="54" customFormat="1" ht="18.600000000000001" customHeight="1">
      <c r="B31" s="384" t="s">
        <v>1700</v>
      </c>
      <c r="C31" s="1063" t="s">
        <v>2344</v>
      </c>
      <c r="D31" s="48">
        <v>60</v>
      </c>
      <c r="E31" s="1064" t="s">
        <v>2620</v>
      </c>
      <c r="F31" s="371"/>
      <c r="AJ31" s="376"/>
      <c r="AK31" s="71"/>
      <c r="AL31" s="72"/>
      <c r="AM31" s="72"/>
      <c r="AN31" s="72"/>
      <c r="AO31" s="72"/>
      <c r="AP31" s="72"/>
    </row>
    <row r="32" spans="2:42" s="54" customFormat="1" ht="18.600000000000001" customHeight="1">
      <c r="B32" s="759"/>
      <c r="C32" s="759"/>
      <c r="D32" s="759"/>
      <c r="E32" s="759"/>
      <c r="F32" s="759"/>
    </row>
    <row r="33" spans="2:6" s="54" customFormat="1" ht="18.600000000000001" customHeight="1">
      <c r="B33" s="679"/>
      <c r="C33" s="680"/>
      <c r="D33" s="681"/>
      <c r="E33" s="680"/>
      <c r="F33" s="682"/>
    </row>
    <row r="34" spans="2:6">
      <c r="B34" s="372"/>
    </row>
    <row r="38" spans="2:6">
      <c r="E38" s="374"/>
    </row>
    <row r="39" spans="2:6">
      <c r="E39" s="374"/>
    </row>
    <row r="41" spans="2:6">
      <c r="E41" s="374"/>
    </row>
    <row r="42" spans="2:6">
      <c r="E42" s="373"/>
    </row>
    <row r="43" spans="2:6">
      <c r="E43" s="373"/>
    </row>
    <row r="44" spans="2:6">
      <c r="E44" s="374"/>
    </row>
    <row r="45" spans="2:6">
      <c r="E45" s="374"/>
    </row>
  </sheetData>
  <sheetProtection password="ECEC" sheet="1" objects="1" scenarios="1" insertRows="0"/>
  <customSheetViews>
    <customSheetView guid="{9FD33A57-86F0-4BF5-A6C0-5833A5B59516}" scale="85" showGridLines="0" fitToPage="1" hiddenRows="1">
      <pane xSplit="2" ySplit="2" topLeftCell="C4" activePane="bottomRight" state="frozen"/>
      <selection pane="bottomRight" activeCell="AJ3" sqref="AJ3:AP3"/>
      <pageMargins left="0.25" right="0.25" top="0.75" bottom="0.75" header="0.3" footer="0.3"/>
      <pageSetup paperSize="9" scale="59" orientation="landscape" r:id="rId1"/>
    </customSheetView>
  </customSheetViews>
  <phoneticPr fontId="153" type="noConversion"/>
  <pageMargins left="0.25" right="0.25" top="0.75" bottom="0.75" header="0.3" footer="0.3"/>
  <pageSetup paperSize="9" scale="59"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autoPageBreaks="0"/>
  </sheetPr>
  <dimension ref="B1:AT27"/>
  <sheetViews>
    <sheetView workbookViewId="0">
      <selection activeCell="D4" sqref="D4"/>
    </sheetView>
  </sheetViews>
  <sheetFormatPr defaultRowHeight="12.75"/>
  <cols>
    <col min="1" max="1" width="2.28515625" style="54" customWidth="1"/>
    <col min="2" max="2" width="14.7109375" style="54" customWidth="1"/>
    <col min="3" max="3" width="37.85546875" style="54" customWidth="1"/>
    <col min="4" max="4" width="10" style="54" customWidth="1"/>
    <col min="5" max="5" width="10.7109375" style="54" customWidth="1"/>
    <col min="6" max="6" width="15.28515625" style="54" customWidth="1"/>
    <col min="7" max="7" width="35.7109375" style="54" customWidth="1"/>
    <col min="8" max="8" width="17.85546875" style="54" customWidth="1"/>
    <col min="9" max="9" width="45.28515625" style="54" customWidth="1"/>
    <col min="10" max="35" width="8.85546875" style="54" customWidth="1"/>
    <col min="36" max="36" width="15.85546875" style="54" customWidth="1"/>
    <col min="37" max="37" width="12.7109375" style="54" customWidth="1"/>
    <col min="38" max="38" width="15.85546875" style="54" customWidth="1"/>
    <col min="39" max="39" width="35.140625" style="54" customWidth="1"/>
    <col min="40" max="42" width="15.85546875" style="54" customWidth="1"/>
    <col min="43" max="43" width="24.140625" style="54" customWidth="1"/>
    <col min="44" max="45" width="15.85546875" style="54" customWidth="1"/>
    <col min="46" max="46" width="32.28515625" style="54" customWidth="1"/>
    <col min="47" max="16384" width="9.140625" style="54"/>
  </cols>
  <sheetData>
    <row r="1" spans="2:46" s="269" customFormat="1" ht="30" customHeight="1">
      <c r="B1" s="270" t="s">
        <v>259</v>
      </c>
      <c r="F1" s="1348" t="s">
        <v>1266</v>
      </c>
      <c r="G1" s="1349"/>
      <c r="H1" s="271"/>
      <c r="AR1" s="375"/>
    </row>
    <row r="2" spans="2:46" s="272" customFormat="1" ht="38.25">
      <c r="B2" s="273" t="s">
        <v>260</v>
      </c>
      <c r="C2" s="274" t="s">
        <v>261</v>
      </c>
      <c r="D2" s="274" t="s">
        <v>262</v>
      </c>
      <c r="E2" s="275" t="s">
        <v>263</v>
      </c>
      <c r="F2" s="276" t="s">
        <v>264</v>
      </c>
      <c r="G2" s="277" t="s">
        <v>112</v>
      </c>
      <c r="H2" s="278" t="s">
        <v>1389</v>
      </c>
      <c r="I2" s="279" t="s">
        <v>29</v>
      </c>
      <c r="AI2" s="272">
        <v>9</v>
      </c>
      <c r="AJ2" s="274" t="s">
        <v>59</v>
      </c>
      <c r="AK2" s="274" t="s">
        <v>16</v>
      </c>
      <c r="AL2" s="274" t="s">
        <v>260</v>
      </c>
      <c r="AM2" s="274" t="s">
        <v>261</v>
      </c>
      <c r="AN2" s="274" t="s">
        <v>262</v>
      </c>
      <c r="AO2" s="275" t="s">
        <v>263</v>
      </c>
      <c r="AP2" s="276" t="s">
        <v>264</v>
      </c>
      <c r="AQ2" s="277" t="s">
        <v>112</v>
      </c>
      <c r="AR2" s="278" t="s">
        <v>1336</v>
      </c>
      <c r="AS2" s="278" t="s">
        <v>1337</v>
      </c>
      <c r="AT2" s="279" t="s">
        <v>29</v>
      </c>
    </row>
    <row r="3" spans="2:46" ht="18.600000000000001" hidden="1" customHeight="1">
      <c r="B3" s="284"/>
      <c r="C3" s="280"/>
      <c r="D3" s="281"/>
      <c r="E3" s="281"/>
      <c r="F3" s="281"/>
      <c r="G3" s="282"/>
      <c r="H3" s="281"/>
      <c r="I3" s="283"/>
      <c r="AJ3" s="376" t="s">
        <v>1338</v>
      </c>
      <c r="AK3" s="71">
        <f t="shared" ref="AK3:AK26" si="0">REPDATE</f>
        <v>46299</v>
      </c>
      <c r="AL3" s="72" t="str">
        <f>$AI$2&amp;B3</f>
        <v>9</v>
      </c>
      <c r="AM3" s="72">
        <f t="shared" ref="AM3:AT3" si="1">C3</f>
        <v>0</v>
      </c>
      <c r="AN3" s="72">
        <f t="shared" si="1"/>
        <v>0</v>
      </c>
      <c r="AO3" s="72">
        <f t="shared" si="1"/>
        <v>0</v>
      </c>
      <c r="AP3" s="72">
        <f t="shared" si="1"/>
        <v>0</v>
      </c>
      <c r="AQ3" s="72">
        <f t="shared" si="1"/>
        <v>0</v>
      </c>
      <c r="AR3" s="72">
        <f t="shared" si="1"/>
        <v>0</v>
      </c>
      <c r="AS3" s="72">
        <f t="shared" si="1"/>
        <v>0</v>
      </c>
      <c r="AT3" s="72">
        <f t="shared" si="1"/>
        <v>0</v>
      </c>
    </row>
    <row r="4" spans="2:46" ht="18.600000000000001" customHeight="1">
      <c r="B4" s="386" t="s">
        <v>1339</v>
      </c>
      <c r="C4" s="385" t="s">
        <v>2318</v>
      </c>
      <c r="D4" s="281"/>
      <c r="E4" s="281"/>
      <c r="F4" s="281"/>
      <c r="G4" s="102"/>
      <c r="H4" s="281"/>
      <c r="I4" s="467"/>
      <c r="AJ4" s="376" t="s">
        <v>1338</v>
      </c>
      <c r="AK4" s="71">
        <f t="shared" si="0"/>
        <v>46299</v>
      </c>
      <c r="AL4" s="72" t="str">
        <f t="shared" ref="AL4:AL26" si="2">$AI$2&amp;B4</f>
        <v>9UNIT 1</v>
      </c>
      <c r="AM4" s="72" t="str">
        <f t="shared" ref="AM4:AM26" si="3">C4</f>
        <v xml:space="preserve">BOOSTER PUMP 1 </v>
      </c>
      <c r="AN4" s="72">
        <f t="shared" ref="AN4:AN26" si="4">D4</f>
        <v>0</v>
      </c>
      <c r="AO4" s="72">
        <f t="shared" ref="AO4:AO26" si="5">E4</f>
        <v>0</v>
      </c>
      <c r="AP4" s="72">
        <f t="shared" ref="AP4:AP26" si="6">F4</f>
        <v>0</v>
      </c>
      <c r="AQ4" s="72">
        <f t="shared" ref="AQ4:AQ26" si="7">G4</f>
        <v>0</v>
      </c>
      <c r="AR4" s="72">
        <f t="shared" ref="AR4:AR26" si="8">H4</f>
        <v>0</v>
      </c>
      <c r="AS4" s="72">
        <f t="shared" ref="AS4:AS26" si="9">I4</f>
        <v>0</v>
      </c>
      <c r="AT4" s="72">
        <f t="shared" ref="AT4:AT26" si="10">J4</f>
        <v>0</v>
      </c>
    </row>
    <row r="5" spans="2:46" ht="18.600000000000001" customHeight="1">
      <c r="B5" s="386" t="s">
        <v>1379</v>
      </c>
      <c r="C5" s="385" t="s">
        <v>1384</v>
      </c>
      <c r="D5" s="281"/>
      <c r="E5" s="281"/>
      <c r="F5" s="281"/>
      <c r="G5" s="102"/>
      <c r="H5" s="281"/>
      <c r="I5" s="467"/>
      <c r="AJ5" s="376" t="s">
        <v>1338</v>
      </c>
      <c r="AK5" s="71">
        <f t="shared" si="0"/>
        <v>46299</v>
      </c>
      <c r="AL5" s="72" t="str">
        <f t="shared" si="2"/>
        <v>9UNIT 2</v>
      </c>
      <c r="AM5" s="72" t="str">
        <f t="shared" si="3"/>
        <v>BOOSTER PUMP 2</v>
      </c>
      <c r="AN5" s="72">
        <f t="shared" si="4"/>
        <v>0</v>
      </c>
      <c r="AO5" s="72">
        <f t="shared" si="5"/>
        <v>0</v>
      </c>
      <c r="AP5" s="72">
        <f t="shared" si="6"/>
        <v>0</v>
      </c>
      <c r="AQ5" s="72">
        <f t="shared" si="7"/>
        <v>0</v>
      </c>
      <c r="AR5" s="72">
        <f t="shared" si="8"/>
        <v>0</v>
      </c>
      <c r="AS5" s="72">
        <f t="shared" si="9"/>
        <v>0</v>
      </c>
      <c r="AT5" s="72">
        <f t="shared" si="10"/>
        <v>0</v>
      </c>
    </row>
    <row r="6" spans="2:46" ht="18.600000000000001" customHeight="1">
      <c r="B6" s="386" t="s">
        <v>1380</v>
      </c>
      <c r="C6" s="385" t="s">
        <v>1385</v>
      </c>
      <c r="D6" s="281"/>
      <c r="E6" s="281"/>
      <c r="F6" s="281"/>
      <c r="G6" s="102"/>
      <c r="H6" s="281"/>
      <c r="I6" s="467"/>
      <c r="AJ6" s="376" t="s">
        <v>1338</v>
      </c>
      <c r="AK6" s="71">
        <f t="shared" si="0"/>
        <v>46299</v>
      </c>
      <c r="AL6" s="72" t="str">
        <f t="shared" si="2"/>
        <v>9UNIT 3</v>
      </c>
      <c r="AM6" s="72" t="str">
        <f t="shared" si="3"/>
        <v>BOOSTER PUMP 3</v>
      </c>
      <c r="AN6" s="72">
        <f t="shared" si="4"/>
        <v>0</v>
      </c>
      <c r="AO6" s="72">
        <f t="shared" si="5"/>
        <v>0</v>
      </c>
      <c r="AP6" s="72">
        <f t="shared" si="6"/>
        <v>0</v>
      </c>
      <c r="AQ6" s="72">
        <f t="shared" si="7"/>
        <v>0</v>
      </c>
      <c r="AR6" s="72">
        <f t="shared" si="8"/>
        <v>0</v>
      </c>
      <c r="AS6" s="72">
        <f t="shared" si="9"/>
        <v>0</v>
      </c>
      <c r="AT6" s="72">
        <f t="shared" si="10"/>
        <v>0</v>
      </c>
    </row>
    <row r="7" spans="2:46" ht="18.600000000000001" customHeight="1">
      <c r="B7" s="386" t="s">
        <v>1381</v>
      </c>
      <c r="C7" s="385" t="s">
        <v>1386</v>
      </c>
      <c r="D7" s="281"/>
      <c r="E7" s="281"/>
      <c r="F7" s="281"/>
      <c r="G7" s="102"/>
      <c r="H7" s="281"/>
      <c r="I7" s="467"/>
      <c r="AJ7" s="376" t="s">
        <v>1338</v>
      </c>
      <c r="AK7" s="71">
        <f t="shared" si="0"/>
        <v>46299</v>
      </c>
      <c r="AL7" s="72" t="str">
        <f t="shared" si="2"/>
        <v>9UNIT 4</v>
      </c>
      <c r="AM7" s="72" t="str">
        <f t="shared" si="3"/>
        <v>B.J PUMP 1</v>
      </c>
      <c r="AN7" s="72">
        <f t="shared" si="4"/>
        <v>0</v>
      </c>
      <c r="AO7" s="72">
        <f t="shared" si="5"/>
        <v>0</v>
      </c>
      <c r="AP7" s="72">
        <f t="shared" si="6"/>
        <v>0</v>
      </c>
      <c r="AQ7" s="72">
        <f t="shared" si="7"/>
        <v>0</v>
      </c>
      <c r="AR7" s="72">
        <f t="shared" si="8"/>
        <v>0</v>
      </c>
      <c r="AS7" s="72">
        <f t="shared" si="9"/>
        <v>0</v>
      </c>
      <c r="AT7" s="72">
        <f t="shared" si="10"/>
        <v>0</v>
      </c>
    </row>
    <row r="8" spans="2:46" ht="18.600000000000001" customHeight="1">
      <c r="B8" s="386" t="s">
        <v>1382</v>
      </c>
      <c r="C8" s="385" t="s">
        <v>1387</v>
      </c>
      <c r="D8" s="281"/>
      <c r="E8" s="281"/>
      <c r="F8" s="281"/>
      <c r="G8" s="102"/>
      <c r="H8" s="281"/>
      <c r="I8" s="467"/>
      <c r="AJ8" s="376" t="s">
        <v>1338</v>
      </c>
      <c r="AK8" s="71">
        <f t="shared" si="0"/>
        <v>46299</v>
      </c>
      <c r="AL8" s="72" t="str">
        <f t="shared" si="2"/>
        <v>9UNIT 5</v>
      </c>
      <c r="AM8" s="72" t="str">
        <f t="shared" si="3"/>
        <v>B.J PUMP 2</v>
      </c>
      <c r="AN8" s="72">
        <f t="shared" si="4"/>
        <v>0</v>
      </c>
      <c r="AO8" s="72">
        <f t="shared" si="5"/>
        <v>0</v>
      </c>
      <c r="AP8" s="72">
        <f t="shared" si="6"/>
        <v>0</v>
      </c>
      <c r="AQ8" s="72">
        <f t="shared" si="7"/>
        <v>0</v>
      </c>
      <c r="AR8" s="72">
        <f t="shared" si="8"/>
        <v>0</v>
      </c>
      <c r="AS8" s="72">
        <f t="shared" si="9"/>
        <v>0</v>
      </c>
      <c r="AT8" s="72">
        <f t="shared" si="10"/>
        <v>0</v>
      </c>
    </row>
    <row r="9" spans="2:46" ht="18.600000000000001" customHeight="1">
      <c r="B9" s="386" t="s">
        <v>1383</v>
      </c>
      <c r="C9" s="385" t="s">
        <v>2319</v>
      </c>
      <c r="D9" s="281"/>
      <c r="E9" s="281"/>
      <c r="F9" s="281"/>
      <c r="G9" s="102"/>
      <c r="H9" s="281"/>
      <c r="I9" s="876"/>
      <c r="AJ9" s="376" t="s">
        <v>1338</v>
      </c>
      <c r="AK9" s="71">
        <f t="shared" si="0"/>
        <v>46299</v>
      </c>
      <c r="AL9" s="72" t="str">
        <f t="shared" si="2"/>
        <v>9UNIT 6</v>
      </c>
      <c r="AM9" s="72" t="str">
        <f t="shared" si="3"/>
        <v>skimmer pump  -1</v>
      </c>
      <c r="AN9" s="72">
        <f t="shared" si="4"/>
        <v>0</v>
      </c>
      <c r="AO9" s="72">
        <f t="shared" si="5"/>
        <v>0</v>
      </c>
      <c r="AP9" s="72">
        <f t="shared" si="6"/>
        <v>0</v>
      </c>
      <c r="AQ9" s="72">
        <f t="shared" si="7"/>
        <v>0</v>
      </c>
      <c r="AR9" s="72">
        <f t="shared" si="8"/>
        <v>0</v>
      </c>
      <c r="AS9" s="72">
        <f t="shared" si="9"/>
        <v>0</v>
      </c>
      <c r="AT9" s="72">
        <f t="shared" si="10"/>
        <v>0</v>
      </c>
    </row>
    <row r="10" spans="2:46" ht="18.600000000000001" customHeight="1">
      <c r="B10" s="386" t="s">
        <v>2090</v>
      </c>
      <c r="C10" s="385" t="s">
        <v>2320</v>
      </c>
      <c r="D10" s="281"/>
      <c r="E10" s="281"/>
      <c r="F10" s="281"/>
      <c r="G10" s="102"/>
      <c r="H10" s="281"/>
      <c r="I10" s="876"/>
      <c r="AJ10" s="376" t="s">
        <v>1338</v>
      </c>
      <c r="AK10" s="71">
        <f t="shared" si="0"/>
        <v>46299</v>
      </c>
      <c r="AL10" s="72" t="str">
        <f t="shared" si="2"/>
        <v>9UNIT 7</v>
      </c>
      <c r="AM10" s="72" t="str">
        <f t="shared" si="3"/>
        <v>skimmer pump  -2</v>
      </c>
      <c r="AN10" s="72">
        <f t="shared" si="4"/>
        <v>0</v>
      </c>
      <c r="AO10" s="72">
        <f t="shared" si="5"/>
        <v>0</v>
      </c>
      <c r="AP10" s="72">
        <f t="shared" si="6"/>
        <v>0</v>
      </c>
      <c r="AQ10" s="72">
        <f t="shared" si="7"/>
        <v>0</v>
      </c>
      <c r="AR10" s="72">
        <f t="shared" si="8"/>
        <v>0</v>
      </c>
      <c r="AS10" s="72">
        <f t="shared" si="9"/>
        <v>0</v>
      </c>
      <c r="AT10" s="72">
        <f t="shared" si="10"/>
        <v>0</v>
      </c>
    </row>
    <row r="11" spans="2:46" ht="18.600000000000001" customHeight="1">
      <c r="B11" s="386" t="s">
        <v>2091</v>
      </c>
      <c r="C11" s="385" t="s">
        <v>2321</v>
      </c>
      <c r="D11" s="281"/>
      <c r="E11" s="281"/>
      <c r="F11" s="281"/>
      <c r="G11" s="102"/>
      <c r="H11" s="281"/>
      <c r="I11" s="467"/>
      <c r="AJ11" s="376" t="s">
        <v>1338</v>
      </c>
      <c r="AK11" s="71">
        <f t="shared" si="0"/>
        <v>46299</v>
      </c>
      <c r="AL11" s="72" t="str">
        <f t="shared" si="2"/>
        <v>9UNIT 8</v>
      </c>
      <c r="AM11" s="72" t="str">
        <f t="shared" si="3"/>
        <v xml:space="preserve">charge  pump 1 </v>
      </c>
      <c r="AN11" s="72">
        <f t="shared" si="4"/>
        <v>0</v>
      </c>
      <c r="AO11" s="72">
        <f t="shared" si="5"/>
        <v>0</v>
      </c>
      <c r="AP11" s="72">
        <f t="shared" si="6"/>
        <v>0</v>
      </c>
      <c r="AQ11" s="72">
        <f t="shared" si="7"/>
        <v>0</v>
      </c>
      <c r="AR11" s="72">
        <f t="shared" si="8"/>
        <v>0</v>
      </c>
      <c r="AS11" s="72">
        <f t="shared" si="9"/>
        <v>0</v>
      </c>
      <c r="AT11" s="72">
        <f t="shared" si="10"/>
        <v>0</v>
      </c>
    </row>
    <row r="12" spans="2:46" ht="18.600000000000001" customHeight="1">
      <c r="B12" s="386" t="s">
        <v>2092</v>
      </c>
      <c r="C12" s="385" t="s">
        <v>2322</v>
      </c>
      <c r="D12" s="281"/>
      <c r="E12" s="281"/>
      <c r="F12" s="281"/>
      <c r="G12" s="102"/>
      <c r="H12" s="281"/>
      <c r="I12" s="467"/>
      <c r="AJ12" s="376" t="s">
        <v>1338</v>
      </c>
      <c r="AK12" s="71">
        <f t="shared" si="0"/>
        <v>46299</v>
      </c>
      <c r="AL12" s="72" t="str">
        <f t="shared" si="2"/>
        <v>9UNIT 9</v>
      </c>
      <c r="AM12" s="72" t="str">
        <f t="shared" si="3"/>
        <v xml:space="preserve">charge  pump 2 </v>
      </c>
      <c r="AN12" s="72">
        <f t="shared" si="4"/>
        <v>0</v>
      </c>
      <c r="AO12" s="72">
        <f t="shared" si="5"/>
        <v>0</v>
      </c>
      <c r="AP12" s="72">
        <f t="shared" si="6"/>
        <v>0</v>
      </c>
      <c r="AQ12" s="72">
        <f t="shared" si="7"/>
        <v>0</v>
      </c>
      <c r="AR12" s="72">
        <f t="shared" si="8"/>
        <v>0</v>
      </c>
      <c r="AS12" s="72">
        <f t="shared" si="9"/>
        <v>0</v>
      </c>
      <c r="AT12" s="72">
        <f t="shared" si="10"/>
        <v>0</v>
      </c>
    </row>
    <row r="13" spans="2:46" ht="18.600000000000001" customHeight="1">
      <c r="B13" s="386" t="s">
        <v>2093</v>
      </c>
      <c r="C13" s="385" t="s">
        <v>1388</v>
      </c>
      <c r="D13" s="281"/>
      <c r="E13" s="281"/>
      <c r="F13" s="281"/>
      <c r="G13" s="102"/>
      <c r="H13" s="281"/>
      <c r="I13" s="467"/>
      <c r="AJ13" s="376" t="s">
        <v>1338</v>
      </c>
      <c r="AK13" s="71">
        <f t="shared" si="0"/>
        <v>46299</v>
      </c>
      <c r="AL13" s="72" t="str">
        <f t="shared" si="2"/>
        <v>9UNIT 10</v>
      </c>
      <c r="AM13" s="72" t="str">
        <f t="shared" si="3"/>
        <v>B.J PUMP 1 ALAMEIN</v>
      </c>
      <c r="AN13" s="72">
        <f t="shared" si="4"/>
        <v>0</v>
      </c>
      <c r="AO13" s="72">
        <f t="shared" si="5"/>
        <v>0</v>
      </c>
      <c r="AP13" s="72">
        <f t="shared" si="6"/>
        <v>0</v>
      </c>
      <c r="AQ13" s="72">
        <f t="shared" si="7"/>
        <v>0</v>
      </c>
      <c r="AR13" s="72">
        <f t="shared" si="8"/>
        <v>0</v>
      </c>
      <c r="AS13" s="72">
        <f t="shared" si="9"/>
        <v>0</v>
      </c>
      <c r="AT13" s="72">
        <f t="shared" si="10"/>
        <v>0</v>
      </c>
    </row>
    <row r="14" spans="2:46" ht="18.600000000000001" customHeight="1">
      <c r="B14" s="386" t="s">
        <v>2323</v>
      </c>
      <c r="C14" s="385" t="s">
        <v>2317</v>
      </c>
      <c r="D14" s="281"/>
      <c r="E14" s="281"/>
      <c r="F14" s="281"/>
      <c r="G14" s="102"/>
      <c r="H14" s="281"/>
      <c r="I14" s="467"/>
      <c r="AJ14" s="376" t="s">
        <v>1338</v>
      </c>
      <c r="AK14" s="71">
        <f t="shared" si="0"/>
        <v>46299</v>
      </c>
      <c r="AL14" s="72" t="str">
        <f t="shared" si="2"/>
        <v>9UNIT 11</v>
      </c>
      <c r="AM14" s="72" t="str">
        <f t="shared" si="3"/>
        <v xml:space="preserve">sulzer pump at Alamein  </v>
      </c>
      <c r="AN14" s="72">
        <f t="shared" si="4"/>
        <v>0</v>
      </c>
      <c r="AO14" s="72">
        <f t="shared" si="5"/>
        <v>0</v>
      </c>
      <c r="AP14" s="72">
        <f t="shared" si="6"/>
        <v>0</v>
      </c>
      <c r="AQ14" s="72">
        <f t="shared" si="7"/>
        <v>0</v>
      </c>
      <c r="AR14" s="72">
        <f t="shared" si="8"/>
        <v>0</v>
      </c>
      <c r="AS14" s="72">
        <f t="shared" si="9"/>
        <v>0</v>
      </c>
      <c r="AT14" s="72">
        <f t="shared" si="10"/>
        <v>0</v>
      </c>
    </row>
    <row r="15" spans="2:46" ht="18.600000000000001" customHeight="1">
      <c r="B15" s="384"/>
      <c r="C15" s="385"/>
      <c r="D15" s="281"/>
      <c r="E15" s="281"/>
      <c r="F15" s="281"/>
      <c r="G15" s="102"/>
      <c r="H15" s="281"/>
      <c r="I15" s="467"/>
      <c r="AJ15" s="376" t="s">
        <v>1338</v>
      </c>
      <c r="AK15" s="71">
        <f t="shared" si="0"/>
        <v>46299</v>
      </c>
      <c r="AL15" s="72" t="str">
        <f t="shared" si="2"/>
        <v>9</v>
      </c>
      <c r="AM15" s="72">
        <f t="shared" si="3"/>
        <v>0</v>
      </c>
      <c r="AN15" s="72">
        <f t="shared" si="4"/>
        <v>0</v>
      </c>
      <c r="AO15" s="72">
        <f t="shared" si="5"/>
        <v>0</v>
      </c>
      <c r="AP15" s="72">
        <f t="shared" si="6"/>
        <v>0</v>
      </c>
      <c r="AQ15" s="72">
        <f t="shared" si="7"/>
        <v>0</v>
      </c>
      <c r="AR15" s="72">
        <f t="shared" si="8"/>
        <v>0</v>
      </c>
      <c r="AS15" s="72">
        <f t="shared" si="9"/>
        <v>0</v>
      </c>
      <c r="AT15" s="72">
        <f t="shared" si="10"/>
        <v>0</v>
      </c>
    </row>
    <row r="16" spans="2:46" ht="18.600000000000001" customHeight="1">
      <c r="B16" s="384"/>
      <c r="C16" s="385"/>
      <c r="D16" s="281"/>
      <c r="E16" s="281"/>
      <c r="F16" s="281"/>
      <c r="G16" s="102"/>
      <c r="H16" s="281"/>
      <c r="I16" s="467"/>
      <c r="AJ16" s="376" t="s">
        <v>1338</v>
      </c>
      <c r="AK16" s="71">
        <f t="shared" si="0"/>
        <v>46299</v>
      </c>
      <c r="AL16" s="72" t="str">
        <f t="shared" si="2"/>
        <v>9</v>
      </c>
      <c r="AM16" s="72">
        <f t="shared" si="3"/>
        <v>0</v>
      </c>
      <c r="AN16" s="72">
        <f t="shared" si="4"/>
        <v>0</v>
      </c>
      <c r="AO16" s="72">
        <f t="shared" si="5"/>
        <v>0</v>
      </c>
      <c r="AP16" s="72">
        <f t="shared" si="6"/>
        <v>0</v>
      </c>
      <c r="AQ16" s="72">
        <f t="shared" si="7"/>
        <v>0</v>
      </c>
      <c r="AR16" s="72">
        <f t="shared" si="8"/>
        <v>0</v>
      </c>
      <c r="AS16" s="72">
        <f t="shared" si="9"/>
        <v>0</v>
      </c>
      <c r="AT16" s="72">
        <f t="shared" si="10"/>
        <v>0</v>
      </c>
    </row>
    <row r="17" spans="2:46" ht="18.600000000000001" customHeight="1">
      <c r="B17" s="384"/>
      <c r="C17" s="385"/>
      <c r="D17" s="281"/>
      <c r="E17" s="281"/>
      <c r="F17" s="281"/>
      <c r="G17" s="102"/>
      <c r="H17" s="281"/>
      <c r="I17" s="467"/>
      <c r="AJ17" s="376" t="s">
        <v>1338</v>
      </c>
      <c r="AK17" s="71">
        <f t="shared" si="0"/>
        <v>46299</v>
      </c>
      <c r="AL17" s="72" t="str">
        <f t="shared" si="2"/>
        <v>9</v>
      </c>
      <c r="AM17" s="72">
        <f t="shared" si="3"/>
        <v>0</v>
      </c>
      <c r="AN17" s="72">
        <f t="shared" si="4"/>
        <v>0</v>
      </c>
      <c r="AO17" s="72">
        <f t="shared" si="5"/>
        <v>0</v>
      </c>
      <c r="AP17" s="72">
        <f t="shared" si="6"/>
        <v>0</v>
      </c>
      <c r="AQ17" s="72">
        <f t="shared" si="7"/>
        <v>0</v>
      </c>
      <c r="AR17" s="72">
        <f t="shared" si="8"/>
        <v>0</v>
      </c>
      <c r="AS17" s="72">
        <f t="shared" si="9"/>
        <v>0</v>
      </c>
      <c r="AT17" s="72">
        <f t="shared" si="10"/>
        <v>0</v>
      </c>
    </row>
    <row r="18" spans="2:46" ht="18.600000000000001" customHeight="1">
      <c r="B18" s="384"/>
      <c r="C18" s="385"/>
      <c r="D18" s="281"/>
      <c r="E18" s="281"/>
      <c r="F18" s="281"/>
      <c r="G18" s="102"/>
      <c r="H18" s="281"/>
      <c r="I18" s="467"/>
      <c r="AJ18" s="376" t="s">
        <v>1338</v>
      </c>
      <c r="AK18" s="71">
        <f t="shared" si="0"/>
        <v>46299</v>
      </c>
      <c r="AL18" s="72" t="str">
        <f t="shared" si="2"/>
        <v>9</v>
      </c>
      <c r="AM18" s="72">
        <f t="shared" si="3"/>
        <v>0</v>
      </c>
      <c r="AN18" s="72">
        <f t="shared" si="4"/>
        <v>0</v>
      </c>
      <c r="AO18" s="72">
        <f t="shared" si="5"/>
        <v>0</v>
      </c>
      <c r="AP18" s="72">
        <f t="shared" si="6"/>
        <v>0</v>
      </c>
      <c r="AQ18" s="72">
        <f t="shared" si="7"/>
        <v>0</v>
      </c>
      <c r="AR18" s="72">
        <f t="shared" si="8"/>
        <v>0</v>
      </c>
      <c r="AS18" s="72">
        <f t="shared" si="9"/>
        <v>0</v>
      </c>
      <c r="AT18" s="72">
        <f t="shared" si="10"/>
        <v>0</v>
      </c>
    </row>
    <row r="19" spans="2:46" ht="18.600000000000001" customHeight="1">
      <c r="B19" s="384"/>
      <c r="C19" s="387"/>
      <c r="D19" s="281"/>
      <c r="E19" s="281"/>
      <c r="F19" s="281"/>
      <c r="G19" s="102"/>
      <c r="H19" s="281"/>
      <c r="I19" s="467"/>
      <c r="AJ19" s="376" t="s">
        <v>1338</v>
      </c>
      <c r="AK19" s="71">
        <f t="shared" si="0"/>
        <v>46299</v>
      </c>
      <c r="AL19" s="72" t="str">
        <f t="shared" si="2"/>
        <v>9</v>
      </c>
      <c r="AM19" s="72">
        <f t="shared" si="3"/>
        <v>0</v>
      </c>
      <c r="AN19" s="72">
        <f t="shared" si="4"/>
        <v>0</v>
      </c>
      <c r="AO19" s="72">
        <f t="shared" si="5"/>
        <v>0</v>
      </c>
      <c r="AP19" s="72">
        <f t="shared" si="6"/>
        <v>0</v>
      </c>
      <c r="AQ19" s="72">
        <f t="shared" si="7"/>
        <v>0</v>
      </c>
      <c r="AR19" s="72">
        <f t="shared" si="8"/>
        <v>0</v>
      </c>
      <c r="AS19" s="72">
        <f t="shared" si="9"/>
        <v>0</v>
      </c>
      <c r="AT19" s="72">
        <f t="shared" si="10"/>
        <v>0</v>
      </c>
    </row>
    <row r="20" spans="2:46" ht="18.600000000000001" customHeight="1">
      <c r="B20" s="384"/>
      <c r="C20" s="387"/>
      <c r="D20" s="281"/>
      <c r="E20" s="281"/>
      <c r="F20" s="281"/>
      <c r="G20" s="102"/>
      <c r="H20" s="281"/>
      <c r="I20" s="467"/>
      <c r="AJ20" s="376" t="s">
        <v>1338</v>
      </c>
      <c r="AK20" s="71">
        <f t="shared" si="0"/>
        <v>46299</v>
      </c>
      <c r="AL20" s="72" t="str">
        <f t="shared" si="2"/>
        <v>9</v>
      </c>
      <c r="AM20" s="72">
        <f t="shared" si="3"/>
        <v>0</v>
      </c>
      <c r="AN20" s="72">
        <f t="shared" si="4"/>
        <v>0</v>
      </c>
      <c r="AO20" s="72">
        <f t="shared" si="5"/>
        <v>0</v>
      </c>
      <c r="AP20" s="72">
        <f t="shared" si="6"/>
        <v>0</v>
      </c>
      <c r="AQ20" s="72">
        <f t="shared" si="7"/>
        <v>0</v>
      </c>
      <c r="AR20" s="72">
        <f t="shared" si="8"/>
        <v>0</v>
      </c>
      <c r="AS20" s="72">
        <f t="shared" si="9"/>
        <v>0</v>
      </c>
      <c r="AT20" s="72">
        <f t="shared" si="10"/>
        <v>0</v>
      </c>
    </row>
    <row r="21" spans="2:46" ht="18.600000000000001" customHeight="1">
      <c r="B21" s="384"/>
      <c r="C21" s="387"/>
      <c r="D21" s="281"/>
      <c r="E21" s="281"/>
      <c r="F21" s="281"/>
      <c r="G21" s="102"/>
      <c r="H21" s="281"/>
      <c r="I21" s="467"/>
      <c r="AJ21" s="376" t="s">
        <v>1338</v>
      </c>
      <c r="AK21" s="71">
        <f t="shared" si="0"/>
        <v>46299</v>
      </c>
      <c r="AL21" s="72" t="str">
        <f t="shared" si="2"/>
        <v>9</v>
      </c>
      <c r="AM21" s="72">
        <f t="shared" si="3"/>
        <v>0</v>
      </c>
      <c r="AN21" s="72">
        <f t="shared" si="4"/>
        <v>0</v>
      </c>
      <c r="AO21" s="72">
        <f t="shared" si="5"/>
        <v>0</v>
      </c>
      <c r="AP21" s="72">
        <f t="shared" si="6"/>
        <v>0</v>
      </c>
      <c r="AQ21" s="72">
        <f t="shared" si="7"/>
        <v>0</v>
      </c>
      <c r="AR21" s="72">
        <f t="shared" si="8"/>
        <v>0</v>
      </c>
      <c r="AS21" s="72">
        <f t="shared" si="9"/>
        <v>0</v>
      </c>
      <c r="AT21" s="72">
        <f t="shared" si="10"/>
        <v>0</v>
      </c>
    </row>
    <row r="22" spans="2:46" ht="18.600000000000001" customHeight="1">
      <c r="B22" s="384"/>
      <c r="C22" s="387"/>
      <c r="D22" s="281"/>
      <c r="E22" s="281"/>
      <c r="F22" s="281"/>
      <c r="G22" s="102"/>
      <c r="H22" s="281"/>
      <c r="I22" s="467"/>
      <c r="AJ22" s="376" t="s">
        <v>1338</v>
      </c>
      <c r="AK22" s="71">
        <f t="shared" si="0"/>
        <v>46299</v>
      </c>
      <c r="AL22" s="72" t="str">
        <f t="shared" si="2"/>
        <v>9</v>
      </c>
      <c r="AM22" s="72">
        <f t="shared" si="3"/>
        <v>0</v>
      </c>
      <c r="AN22" s="72">
        <f t="shared" si="4"/>
        <v>0</v>
      </c>
      <c r="AO22" s="72">
        <f t="shared" si="5"/>
        <v>0</v>
      </c>
      <c r="AP22" s="72">
        <f t="shared" si="6"/>
        <v>0</v>
      </c>
      <c r="AQ22" s="72">
        <f t="shared" si="7"/>
        <v>0</v>
      </c>
      <c r="AR22" s="72">
        <f t="shared" si="8"/>
        <v>0</v>
      </c>
      <c r="AS22" s="72">
        <f t="shared" si="9"/>
        <v>0</v>
      </c>
      <c r="AT22" s="72">
        <f t="shared" si="10"/>
        <v>0</v>
      </c>
    </row>
    <row r="23" spans="2:46" ht="18.600000000000001" customHeight="1">
      <c r="B23" s="384"/>
      <c r="C23" s="387"/>
      <c r="D23" s="281"/>
      <c r="E23" s="281"/>
      <c r="F23" s="281"/>
      <c r="G23" s="102"/>
      <c r="H23" s="281"/>
      <c r="I23" s="467"/>
      <c r="AJ23" s="376" t="s">
        <v>1338</v>
      </c>
      <c r="AK23" s="71">
        <f t="shared" si="0"/>
        <v>46299</v>
      </c>
      <c r="AL23" s="72" t="str">
        <f t="shared" si="2"/>
        <v>9</v>
      </c>
      <c r="AM23" s="72">
        <f t="shared" si="3"/>
        <v>0</v>
      </c>
      <c r="AN23" s="72">
        <f t="shared" si="4"/>
        <v>0</v>
      </c>
      <c r="AO23" s="72">
        <f t="shared" si="5"/>
        <v>0</v>
      </c>
      <c r="AP23" s="72">
        <f t="shared" si="6"/>
        <v>0</v>
      </c>
      <c r="AQ23" s="72">
        <f t="shared" si="7"/>
        <v>0</v>
      </c>
      <c r="AR23" s="72">
        <f t="shared" si="8"/>
        <v>0</v>
      </c>
      <c r="AS23" s="72">
        <f t="shared" si="9"/>
        <v>0</v>
      </c>
      <c r="AT23" s="72">
        <f t="shared" si="10"/>
        <v>0</v>
      </c>
    </row>
    <row r="24" spans="2:46" ht="18.600000000000001" customHeight="1">
      <c r="B24" s="384"/>
      <c r="C24" s="387"/>
      <c r="D24" s="281"/>
      <c r="E24" s="281"/>
      <c r="F24" s="281"/>
      <c r="G24" s="102"/>
      <c r="H24" s="281"/>
      <c r="I24" s="467"/>
      <c r="AJ24" s="376" t="s">
        <v>1338</v>
      </c>
      <c r="AK24" s="71">
        <f t="shared" si="0"/>
        <v>46299</v>
      </c>
      <c r="AL24" s="72" t="str">
        <f t="shared" si="2"/>
        <v>9</v>
      </c>
      <c r="AM24" s="72">
        <f t="shared" si="3"/>
        <v>0</v>
      </c>
      <c r="AN24" s="72">
        <f t="shared" si="4"/>
        <v>0</v>
      </c>
      <c r="AO24" s="72">
        <f t="shared" si="5"/>
        <v>0</v>
      </c>
      <c r="AP24" s="72">
        <f t="shared" si="6"/>
        <v>0</v>
      </c>
      <c r="AQ24" s="72">
        <f t="shared" si="7"/>
        <v>0</v>
      </c>
      <c r="AR24" s="72">
        <f t="shared" si="8"/>
        <v>0</v>
      </c>
      <c r="AS24" s="72">
        <f t="shared" si="9"/>
        <v>0</v>
      </c>
      <c r="AT24" s="72">
        <f t="shared" si="10"/>
        <v>0</v>
      </c>
    </row>
    <row r="25" spans="2:46" ht="18.600000000000001" customHeight="1">
      <c r="B25" s="384"/>
      <c r="C25" s="385"/>
      <c r="D25" s="281"/>
      <c r="E25" s="281"/>
      <c r="F25" s="281"/>
      <c r="G25" s="102"/>
      <c r="H25" s="281"/>
      <c r="I25" s="467"/>
      <c r="AJ25" s="376" t="s">
        <v>1338</v>
      </c>
      <c r="AK25" s="71">
        <f t="shared" si="0"/>
        <v>46299</v>
      </c>
      <c r="AL25" s="72" t="str">
        <f t="shared" si="2"/>
        <v>9</v>
      </c>
      <c r="AM25" s="72">
        <f t="shared" si="3"/>
        <v>0</v>
      </c>
      <c r="AN25" s="72">
        <f t="shared" si="4"/>
        <v>0</v>
      </c>
      <c r="AO25" s="72">
        <f t="shared" si="5"/>
        <v>0</v>
      </c>
      <c r="AP25" s="72">
        <f t="shared" si="6"/>
        <v>0</v>
      </c>
      <c r="AQ25" s="72">
        <f t="shared" si="7"/>
        <v>0</v>
      </c>
      <c r="AR25" s="72">
        <f t="shared" si="8"/>
        <v>0</v>
      </c>
      <c r="AS25" s="72">
        <f t="shared" si="9"/>
        <v>0</v>
      </c>
      <c r="AT25" s="72">
        <f t="shared" si="10"/>
        <v>0</v>
      </c>
    </row>
    <row r="26" spans="2:46" ht="18.600000000000001" customHeight="1">
      <c r="B26" s="384"/>
      <c r="C26" s="388"/>
      <c r="D26" s="285"/>
      <c r="E26" s="285"/>
      <c r="F26" s="285"/>
      <c r="G26" s="102"/>
      <c r="H26" s="281"/>
      <c r="I26" s="467"/>
      <c r="AJ26" s="376" t="s">
        <v>1338</v>
      </c>
      <c r="AK26" s="71">
        <f t="shared" si="0"/>
        <v>46299</v>
      </c>
      <c r="AL26" s="72" t="str">
        <f t="shared" si="2"/>
        <v>9</v>
      </c>
      <c r="AM26" s="72">
        <f t="shared" si="3"/>
        <v>0</v>
      </c>
      <c r="AN26" s="72">
        <f t="shared" si="4"/>
        <v>0</v>
      </c>
      <c r="AO26" s="72">
        <f t="shared" si="5"/>
        <v>0</v>
      </c>
      <c r="AP26" s="72">
        <f t="shared" si="6"/>
        <v>0</v>
      </c>
      <c r="AQ26" s="72">
        <f t="shared" si="7"/>
        <v>0</v>
      </c>
      <c r="AR26" s="72">
        <f t="shared" si="8"/>
        <v>0</v>
      </c>
      <c r="AS26" s="72">
        <f t="shared" si="9"/>
        <v>0</v>
      </c>
      <c r="AT26" s="72">
        <f t="shared" si="10"/>
        <v>0</v>
      </c>
    </row>
    <row r="27" spans="2:46">
      <c r="B27" s="286"/>
      <c r="C27" s="286"/>
      <c r="D27" s="286"/>
      <c r="E27" s="286"/>
      <c r="F27" s="286"/>
      <c r="G27" s="286"/>
      <c r="H27" s="286"/>
      <c r="I27" s="286"/>
    </row>
  </sheetData>
  <sheetProtection password="ECEC" sheet="1" objects="1" scenarios="1" insertRows="0"/>
  <customSheetViews>
    <customSheetView guid="{9FD33A57-86F0-4BF5-A6C0-5833A5B59516}" scale="85" showGridLines="0" hiddenRows="1">
      <pane xSplit="3" ySplit="2" topLeftCell="D3" activePane="bottomRight" state="frozen"/>
      <selection pane="bottomRight" activeCell="D4" sqref="D4"/>
      <colBreaks count="1" manualBreakCount="1">
        <brk id="13" max="25" man="1"/>
      </colBreaks>
      <pageMargins left="0.7" right="0.7" top="1.135" bottom="0.75" header="0.3" footer="0.3"/>
      <pageSetup scale="64" orientation="landscape" r:id="rId1"/>
    </customSheetView>
  </customSheetViews>
  <mergeCells count="1">
    <mergeCell ref="F1:G1"/>
  </mergeCells>
  <phoneticPr fontId="153" type="noConversion"/>
  <conditionalFormatting sqref="I14:I26">
    <cfRule type="expression" dxfId="230" priority="94" stopIfTrue="1">
      <formula>AND(D14&lt;24,J14="",B14&lt;&gt;"")</formula>
    </cfRule>
  </conditionalFormatting>
  <conditionalFormatting sqref="G14:G26">
    <cfRule type="expression" dxfId="229" priority="92" stopIfTrue="1">
      <formula>AND(B15&lt;&gt;"",$D15&lt;24)</formula>
    </cfRule>
  </conditionalFormatting>
  <conditionalFormatting sqref="G14:G26">
    <cfRule type="expression" dxfId="228" priority="91" stopIfTrue="1">
      <formula>AND(D14&lt;24,G14="")</formula>
    </cfRule>
  </conditionalFormatting>
  <conditionalFormatting sqref="I11:I13">
    <cfRule type="expression" dxfId="227" priority="6" stopIfTrue="1">
      <formula>AND(D11&lt;24,J11="",B11&lt;&gt;"")</formula>
    </cfRule>
  </conditionalFormatting>
  <conditionalFormatting sqref="G11:G13 G4:G8">
    <cfRule type="expression" dxfId="226" priority="5" stopIfTrue="1">
      <formula>AND(B5&lt;&gt;"",$D5&lt;24)</formula>
    </cfRule>
  </conditionalFormatting>
  <conditionalFormatting sqref="G11:G13">
    <cfRule type="expression" dxfId="225" priority="4" stopIfTrue="1">
      <formula>AND(D11&lt;24,G11="")</formula>
    </cfRule>
  </conditionalFormatting>
  <conditionalFormatting sqref="I4:I10">
    <cfRule type="expression" dxfId="224" priority="3" stopIfTrue="1">
      <formula>AND(D4&lt;24,J4="",B4&lt;&gt;"")</formula>
    </cfRule>
  </conditionalFormatting>
  <conditionalFormatting sqref="G4:G10">
    <cfRule type="expression" dxfId="223" priority="2" stopIfTrue="1">
      <formula>AND(D4&lt;24,G4="")</formula>
    </cfRule>
  </conditionalFormatting>
  <conditionalFormatting sqref="G9:G10">
    <cfRule type="expression" dxfId="222" priority="7" stopIfTrue="1">
      <formula>AND(B11&lt;&gt;"",$D11&lt;24)</formula>
    </cfRule>
  </conditionalFormatting>
  <conditionalFormatting sqref="G9:G10">
    <cfRule type="expression" dxfId="221" priority="1" stopIfTrue="1">
      <formula>AND(B10&lt;&gt;"",$D10&lt;24)</formula>
    </cfRule>
  </conditionalFormatting>
  <dataValidations count="1">
    <dataValidation type="list" allowBlank="1" showInputMessage="1" showErrorMessage="1" sqref="G3:G26">
      <formula1>EQUIP_DTCAUSE</formula1>
    </dataValidation>
  </dataValidations>
  <pageMargins left="0.7" right="0.7" top="1.135" bottom="0.75" header="0.3" footer="0.3"/>
  <pageSetup scale="64" orientation="landscape" r:id="rId2"/>
  <colBreaks count="1" manualBreakCount="1">
    <brk id="13" max="2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AQ52"/>
  <sheetViews>
    <sheetView workbookViewId="0"/>
  </sheetViews>
  <sheetFormatPr defaultRowHeight="12.75"/>
  <cols>
    <col min="1" max="2" width="12" customWidth="1"/>
    <col min="3" max="3" width="13.42578125" customWidth="1"/>
    <col min="5" max="5" width="8.85546875" customWidth="1"/>
    <col min="6" max="6" width="16.5703125" customWidth="1"/>
    <col min="33" max="33" width="24" bestFit="1" customWidth="1"/>
    <col min="34" max="34" width="17.85546875" customWidth="1"/>
    <col min="35" max="35" width="22" bestFit="1" customWidth="1"/>
    <col min="36" max="36" width="31.7109375" customWidth="1"/>
    <col min="37" max="37" width="23.85546875" customWidth="1"/>
    <col min="38" max="38" width="16.28515625" customWidth="1"/>
    <col min="39" max="39" width="14.42578125" customWidth="1"/>
    <col min="40" max="40" width="20.140625" customWidth="1"/>
    <col min="41" max="41" width="15" customWidth="1"/>
    <col min="42" max="42" width="20.42578125" customWidth="1"/>
  </cols>
  <sheetData>
    <row r="1" spans="1:43" ht="15.75" thickBot="1">
      <c r="A1" s="834" t="s">
        <v>1906</v>
      </c>
      <c r="B1" s="834"/>
      <c r="C1" s="834"/>
      <c r="D1" s="834"/>
      <c r="E1" s="834"/>
      <c r="F1" s="849">
        <f>REPORTDATE-1</f>
        <v>46298</v>
      </c>
    </row>
    <row r="2" spans="1:43" ht="15.75" customHeight="1" thickTop="1">
      <c r="A2" s="833" t="s">
        <v>1907</v>
      </c>
      <c r="B2" s="833"/>
      <c r="C2" s="833"/>
      <c r="F2" s="832">
        <f>REPORT!G46</f>
        <v>56615.980889675084</v>
      </c>
    </row>
    <row r="3" spans="1:43" ht="15.75" customHeight="1">
      <c r="A3" s="833" t="s">
        <v>1908</v>
      </c>
      <c r="B3" s="833"/>
      <c r="C3" s="833"/>
      <c r="F3" s="832">
        <f>REPORT!AW18</f>
        <v>24177.712066372995</v>
      </c>
      <c r="I3" t="b">
        <f>F3=F12+F19+F28+F34</f>
        <v>0</v>
      </c>
    </row>
    <row r="4" spans="1:43" ht="15.75" customHeight="1">
      <c r="A4" s="833" t="s">
        <v>1909</v>
      </c>
      <c r="B4" s="833"/>
      <c r="C4" s="833"/>
      <c r="D4" s="833"/>
      <c r="F4" s="832">
        <f>REPORT!AX18</f>
        <v>23447.499</v>
      </c>
    </row>
    <row r="5" spans="1:43" ht="15.75" customHeight="1">
      <c r="A5" s="833" t="s">
        <v>1910</v>
      </c>
      <c r="B5" s="833"/>
      <c r="C5" s="833"/>
      <c r="D5" s="833"/>
      <c r="F5" s="832">
        <f>REPORT!G49</f>
        <v>57346.193956048075</v>
      </c>
      <c r="I5" t="b">
        <f>F5+F4=F3+F2</f>
        <v>1</v>
      </c>
    </row>
    <row r="6" spans="1:43" ht="15.75" thickBot="1">
      <c r="A6" s="834" t="s">
        <v>1911</v>
      </c>
      <c r="B6" s="834"/>
      <c r="C6" s="834"/>
      <c r="D6" s="834"/>
      <c r="E6" s="834"/>
      <c r="F6" s="835"/>
      <c r="AG6" s="392" t="s">
        <v>64</v>
      </c>
      <c r="AH6" s="393" t="s">
        <v>16</v>
      </c>
      <c r="AI6" s="393" t="s">
        <v>1940</v>
      </c>
      <c r="AJ6" s="393" t="s">
        <v>1941</v>
      </c>
      <c r="AK6" s="393" t="s">
        <v>1942</v>
      </c>
    </row>
    <row r="7" spans="1:43" ht="18" customHeight="1" thickTop="1">
      <c r="A7" s="833" t="s">
        <v>1912</v>
      </c>
      <c r="B7" s="833"/>
      <c r="C7" s="833"/>
      <c r="D7" s="833"/>
      <c r="F7" s="832">
        <f>TANKS!E3+TANKS!E5+TANKS!E7</f>
        <v>20791.186311475918</v>
      </c>
      <c r="AG7" s="850" t="s">
        <v>1939</v>
      </c>
      <c r="AH7" s="851">
        <f t="shared" ref="AH7:AH12" si="0">REPDATE-1</f>
        <v>46298</v>
      </c>
      <c r="AI7" s="850" t="s">
        <v>1943</v>
      </c>
      <c r="AJ7" s="850" t="s">
        <v>1944</v>
      </c>
      <c r="AK7" s="850">
        <f>$F$12</f>
        <v>17781.142596313872</v>
      </c>
    </row>
    <row r="8" spans="1:43" ht="18" customHeight="1">
      <c r="A8" s="833" t="s">
        <v>1913</v>
      </c>
      <c r="B8" s="833"/>
      <c r="C8" s="833"/>
      <c r="D8" s="833"/>
      <c r="F8" s="832">
        <f>F13+F12-F7-F10-F11</f>
        <v>11110.991922255211</v>
      </c>
      <c r="AG8" s="850" t="s">
        <v>1939</v>
      </c>
      <c r="AH8" s="851">
        <f t="shared" si="0"/>
        <v>46298</v>
      </c>
      <c r="AI8" s="850" t="s">
        <v>1945</v>
      </c>
      <c r="AJ8" s="850" t="s">
        <v>1944</v>
      </c>
      <c r="AK8" s="850">
        <f>$F$19</f>
        <v>5161.0731773592479</v>
      </c>
    </row>
    <row r="9" spans="1:43" ht="18" customHeight="1">
      <c r="A9" s="833" t="s">
        <v>2299</v>
      </c>
      <c r="B9" s="833"/>
      <c r="C9" s="833"/>
      <c r="D9" s="833"/>
      <c r="F9" s="832">
        <f>REPORT!N35</f>
        <v>0</v>
      </c>
      <c r="AG9" s="850" t="s">
        <v>1939</v>
      </c>
      <c r="AH9" s="851">
        <f t="shared" si="0"/>
        <v>46298</v>
      </c>
      <c r="AI9" s="850" t="s">
        <v>1355</v>
      </c>
      <c r="AJ9" s="850" t="s">
        <v>1944</v>
      </c>
      <c r="AK9" s="850">
        <f>$F$28</f>
        <v>0</v>
      </c>
    </row>
    <row r="10" spans="1:43" ht="18" customHeight="1">
      <c r="A10" s="833" t="s">
        <v>1914</v>
      </c>
      <c r="B10" s="833"/>
      <c r="C10" s="833"/>
      <c r="D10" s="833"/>
      <c r="F10" s="832">
        <f>REPORT!N29</f>
        <v>5986.4047089198948</v>
      </c>
      <c r="AG10" s="850" t="s">
        <v>1939</v>
      </c>
      <c r="AH10" s="851">
        <f t="shared" si="0"/>
        <v>46298</v>
      </c>
      <c r="AI10" s="850" t="s">
        <v>1757</v>
      </c>
      <c r="AJ10" s="850" t="s">
        <v>1944</v>
      </c>
      <c r="AK10" s="850">
        <f>$F$34</f>
        <v>690.27728094163228</v>
      </c>
    </row>
    <row r="11" spans="1:43" ht="18" customHeight="1">
      <c r="A11" s="833" t="s">
        <v>1915</v>
      </c>
      <c r="B11" s="833"/>
      <c r="C11" s="833"/>
      <c r="D11" s="833"/>
      <c r="F11" s="847">
        <f>REPORT!N9</f>
        <v>665.39671223229539</v>
      </c>
      <c r="H11" s="218"/>
      <c r="AG11" s="850" t="s">
        <v>1939</v>
      </c>
      <c r="AH11" s="851">
        <f t="shared" si="0"/>
        <v>46298</v>
      </c>
      <c r="AI11" s="850" t="s">
        <v>1946</v>
      </c>
      <c r="AJ11" s="850" t="s">
        <v>1943</v>
      </c>
      <c r="AK11" s="850">
        <f>$F$10</f>
        <v>5986.4047089198948</v>
      </c>
    </row>
    <row r="12" spans="1:43" ht="18" customHeight="1">
      <c r="A12" s="833" t="s">
        <v>1916</v>
      </c>
      <c r="B12" s="833"/>
      <c r="C12" s="833"/>
      <c r="D12" s="833"/>
      <c r="F12" s="832">
        <f>REPORT!AZ21</f>
        <v>17781.142596313872</v>
      </c>
      <c r="I12" s="218"/>
      <c r="J12" s="218"/>
      <c r="AG12" s="850" t="s">
        <v>1939</v>
      </c>
      <c r="AH12" s="851">
        <f t="shared" si="0"/>
        <v>46298</v>
      </c>
      <c r="AI12" s="850" t="s">
        <v>1260</v>
      </c>
      <c r="AJ12" s="850" t="s">
        <v>1943</v>
      </c>
      <c r="AK12" s="850">
        <f>$F$9</f>
        <v>0</v>
      </c>
    </row>
    <row r="13" spans="1:43" ht="18" customHeight="1">
      <c r="A13" s="833" t="s">
        <v>1917</v>
      </c>
      <c r="B13" s="833"/>
      <c r="C13" s="833"/>
      <c r="D13" s="833"/>
      <c r="E13" s="833"/>
      <c r="F13" s="832">
        <f>TANKS!E4+TANKS!E6+TANKS!E8</f>
        <v>20772.837058569447</v>
      </c>
      <c r="I13" t="b">
        <f>F13+F12=F11+F10+F9+F8+F7</f>
        <v>1</v>
      </c>
      <c r="AG13" s="850" t="s">
        <v>1939</v>
      </c>
      <c r="AH13" s="851">
        <v>45665</v>
      </c>
      <c r="AI13" s="850" t="s">
        <v>2420</v>
      </c>
      <c r="AJ13" s="850" t="s">
        <v>1943</v>
      </c>
      <c r="AK13" s="850">
        <f>F49</f>
        <v>255</v>
      </c>
    </row>
    <row r="14" spans="1:43" ht="15.75" thickBot="1">
      <c r="A14" s="834" t="s">
        <v>1918</v>
      </c>
      <c r="B14" s="834"/>
      <c r="C14" s="834"/>
      <c r="D14" s="834"/>
      <c r="E14" s="834"/>
      <c r="F14" s="836"/>
    </row>
    <row r="15" spans="1:43" ht="17.25" customHeight="1" thickTop="1">
      <c r="A15" s="833" t="s">
        <v>1919</v>
      </c>
      <c r="B15" s="833"/>
      <c r="C15" s="833"/>
      <c r="D15" s="833"/>
      <c r="F15" s="832">
        <f>REPORT!AV22</f>
        <v>31660</v>
      </c>
      <c r="AG15" s="392" t="s">
        <v>64</v>
      </c>
      <c r="AH15" s="393" t="s">
        <v>16</v>
      </c>
      <c r="AI15" s="393" t="s">
        <v>1947</v>
      </c>
      <c r="AJ15" s="393" t="s">
        <v>56</v>
      </c>
      <c r="AK15" s="393" t="s">
        <v>1948</v>
      </c>
      <c r="AL15" s="393" t="s">
        <v>1949</v>
      </c>
      <c r="AM15" s="393" t="s">
        <v>1950</v>
      </c>
      <c r="AN15" s="393" t="s">
        <v>244</v>
      </c>
      <c r="AO15" s="393" t="s">
        <v>1951</v>
      </c>
      <c r="AP15" s="393" t="s">
        <v>1952</v>
      </c>
      <c r="AQ15" s="393" t="s">
        <v>242</v>
      </c>
    </row>
    <row r="16" spans="1:43" ht="17.25" customHeight="1">
      <c r="A16" s="833" t="s">
        <v>1920</v>
      </c>
      <c r="F16" s="832">
        <f>F20+F19-F15</f>
        <v>5541.0731773592488</v>
      </c>
      <c r="AG16" s="853" t="s">
        <v>1953</v>
      </c>
      <c r="AH16" s="854">
        <f>REPDATE-1</f>
        <v>46298</v>
      </c>
      <c r="AI16" s="853" t="s">
        <v>1943</v>
      </c>
      <c r="AJ16" s="853" t="s">
        <v>1504</v>
      </c>
      <c r="AK16" s="853">
        <f>F7</f>
        <v>20791.186311475918</v>
      </c>
      <c r="AL16" s="853">
        <f>F13</f>
        <v>20772.837058569447</v>
      </c>
      <c r="AM16" s="853"/>
      <c r="AN16" s="853"/>
      <c r="AO16" s="853"/>
      <c r="AP16" s="853"/>
      <c r="AQ16" s="853"/>
    </row>
    <row r="17" spans="1:43" ht="17.25" customHeight="1">
      <c r="A17" s="833" t="s">
        <v>1921</v>
      </c>
      <c r="B17" s="833"/>
      <c r="C17" s="833"/>
      <c r="D17" s="833"/>
      <c r="F17" s="832"/>
      <c r="AG17" s="853" t="s">
        <v>1953</v>
      </c>
      <c r="AH17" s="854">
        <f>REPDATE-1</f>
        <v>46298</v>
      </c>
      <c r="AI17" s="853" t="s">
        <v>1945</v>
      </c>
      <c r="AJ17" s="853" t="s">
        <v>1504</v>
      </c>
      <c r="AK17" s="853">
        <f>F15</f>
        <v>31660</v>
      </c>
      <c r="AL17" s="853">
        <f>F20</f>
        <v>32040</v>
      </c>
      <c r="AM17" s="853"/>
      <c r="AN17" s="853"/>
      <c r="AO17" s="853"/>
      <c r="AP17" s="853"/>
      <c r="AQ17" s="853"/>
    </row>
    <row r="18" spans="1:43" ht="17.25" customHeight="1">
      <c r="A18" s="833" t="s">
        <v>1922</v>
      </c>
      <c r="B18" s="833"/>
      <c r="C18" s="833"/>
      <c r="D18" s="833"/>
      <c r="F18" s="847"/>
      <c r="AG18" s="853" t="s">
        <v>1953</v>
      </c>
      <c r="AH18" s="854">
        <f>REPDATE-1</f>
        <v>46298</v>
      </c>
      <c r="AI18" s="853" t="s">
        <v>1946</v>
      </c>
      <c r="AJ18" s="853" t="s">
        <v>1504</v>
      </c>
      <c r="AK18" s="853">
        <f>F22</f>
        <v>1342</v>
      </c>
      <c r="AL18" s="853">
        <f>F25</f>
        <v>1271</v>
      </c>
      <c r="AM18" s="853"/>
      <c r="AN18" s="853"/>
      <c r="AO18" s="853"/>
      <c r="AP18" s="853"/>
      <c r="AQ18" s="853"/>
    </row>
    <row r="19" spans="1:43" ht="17.25" customHeight="1">
      <c r="A19" s="833" t="s">
        <v>1923</v>
      </c>
      <c r="B19" s="833"/>
      <c r="C19" s="833"/>
      <c r="D19" s="833"/>
      <c r="E19" s="833"/>
      <c r="F19" s="832">
        <f>REPORT!AZ22</f>
        <v>5161.0731773592479</v>
      </c>
      <c r="AG19" s="853" t="s">
        <v>1953</v>
      </c>
      <c r="AH19" s="854">
        <f>REPDATE-1</f>
        <v>46298</v>
      </c>
      <c r="AI19" s="853" t="s">
        <v>1944</v>
      </c>
      <c r="AJ19" s="853" t="s">
        <v>1504</v>
      </c>
      <c r="AK19" s="853">
        <f>F2</f>
        <v>56615.980889675084</v>
      </c>
      <c r="AL19" s="853">
        <f>F5</f>
        <v>57346.193956048075</v>
      </c>
      <c r="AM19" s="853"/>
      <c r="AN19" s="853"/>
      <c r="AO19" s="853"/>
      <c r="AP19" s="853"/>
      <c r="AQ19" s="853"/>
    </row>
    <row r="20" spans="1:43" ht="17.25" customHeight="1">
      <c r="A20" s="833" t="s">
        <v>1924</v>
      </c>
      <c r="B20" s="833"/>
      <c r="C20" s="833"/>
      <c r="D20" s="833"/>
      <c r="E20" s="833"/>
      <c r="F20" s="832">
        <f>REPORT!AY22</f>
        <v>32040</v>
      </c>
      <c r="I20" t="b">
        <f>F15+F16+F17=F18+F19+F20</f>
        <v>1</v>
      </c>
      <c r="AG20" s="853" t="s">
        <v>1953</v>
      </c>
      <c r="AH20" s="854">
        <f>REPDATE-1</f>
        <v>46298</v>
      </c>
      <c r="AI20" s="853" t="s">
        <v>2420</v>
      </c>
      <c r="AJ20" s="853" t="s">
        <v>1504</v>
      </c>
      <c r="AK20" s="853">
        <f>F47</f>
        <v>159</v>
      </c>
      <c r="AL20" s="853">
        <f>F50</f>
        <v>159</v>
      </c>
    </row>
    <row r="21" spans="1:43" s="54" customFormat="1" ht="15.75" thickBot="1">
      <c r="A21" s="838" t="s">
        <v>1925</v>
      </c>
      <c r="B21" s="838"/>
      <c r="C21" s="838"/>
      <c r="D21" s="838"/>
      <c r="E21" s="838"/>
      <c r="F21" s="839"/>
    </row>
    <row r="22" spans="1:43" s="54" customFormat="1" ht="23.25" customHeight="1" thickTop="1">
      <c r="A22" s="837" t="s">
        <v>1926</v>
      </c>
      <c r="B22" s="837"/>
      <c r="C22" s="837"/>
      <c r="D22" s="837"/>
      <c r="E22" s="837" t="s">
        <v>1537</v>
      </c>
      <c r="F22" s="832">
        <f>REPORT!AV25</f>
        <v>1342</v>
      </c>
    </row>
    <row r="23" spans="1:43" s="54" customFormat="1" ht="23.25" customHeight="1">
      <c r="A23" s="833" t="s">
        <v>1927</v>
      </c>
      <c r="B23" s="837"/>
      <c r="C23" s="837"/>
      <c r="D23" s="837"/>
      <c r="E23" s="837"/>
      <c r="F23" s="832">
        <f>REPORT!BB24</f>
        <v>5915.4047089198948</v>
      </c>
      <c r="AG23" s="392" t="s">
        <v>64</v>
      </c>
      <c r="AH23" s="393" t="s">
        <v>16</v>
      </c>
      <c r="AI23" s="393" t="s">
        <v>1947</v>
      </c>
      <c r="AJ23" s="393" t="s">
        <v>1948</v>
      </c>
      <c r="AK23" s="393" t="s">
        <v>1949</v>
      </c>
      <c r="AL23" s="393" t="s">
        <v>1954</v>
      </c>
      <c r="AM23" s="393" t="s">
        <v>1955</v>
      </c>
      <c r="AN23" s="393" t="s">
        <v>1956</v>
      </c>
    </row>
    <row r="24" spans="1:43" s="54" customFormat="1" ht="23.25" customHeight="1">
      <c r="A24" s="833" t="s">
        <v>1928</v>
      </c>
      <c r="B24" s="833"/>
      <c r="C24" s="837"/>
      <c r="D24" s="837"/>
      <c r="E24" s="837"/>
      <c r="F24" s="832">
        <f>REPORT!AZ25</f>
        <v>5986.4047089198948</v>
      </c>
      <c r="AG24" s="850" t="s">
        <v>1957</v>
      </c>
      <c r="AH24" s="851">
        <f t="shared" ref="AH24:AH35" si="1">REPDATE-1</f>
        <v>46298</v>
      </c>
      <c r="AI24" s="850" t="s">
        <v>1943</v>
      </c>
      <c r="AJ24" s="850">
        <f>F7</f>
        <v>20791.186311475918</v>
      </c>
      <c r="AK24" s="850">
        <f>F13</f>
        <v>20772.837058569447</v>
      </c>
      <c r="AL24" s="850">
        <f>$F$12</f>
        <v>17781.142596313872</v>
      </c>
      <c r="AM24" s="850" t="s">
        <v>1958</v>
      </c>
      <c r="AN24" s="850" t="s">
        <v>1944</v>
      </c>
    </row>
    <row r="25" spans="1:43" s="54" customFormat="1" ht="23.25" customHeight="1">
      <c r="A25" s="833" t="s">
        <v>1929</v>
      </c>
      <c r="B25" s="833"/>
      <c r="C25" s="837"/>
      <c r="D25" s="837"/>
      <c r="E25" s="837"/>
      <c r="F25" s="832">
        <f>REPORT!AY25</f>
        <v>1271</v>
      </c>
      <c r="AG25" s="850" t="s">
        <v>1957</v>
      </c>
      <c r="AH25" s="851">
        <f t="shared" si="1"/>
        <v>46298</v>
      </c>
      <c r="AI25" s="850" t="s">
        <v>1945</v>
      </c>
      <c r="AJ25" s="850">
        <f>F15</f>
        <v>31660</v>
      </c>
      <c r="AK25" s="850">
        <f>F20</f>
        <v>32040</v>
      </c>
      <c r="AL25" s="850">
        <f>$F$19</f>
        <v>5161.0731773592479</v>
      </c>
      <c r="AM25" s="850" t="s">
        <v>1958</v>
      </c>
      <c r="AN25" s="850" t="s">
        <v>1944</v>
      </c>
    </row>
    <row r="26" spans="1:43" ht="15.75" thickBot="1">
      <c r="A26" s="834" t="s">
        <v>1930</v>
      </c>
      <c r="B26" s="834"/>
      <c r="C26" s="834"/>
      <c r="D26" s="834"/>
      <c r="E26" s="834"/>
      <c r="F26" s="836"/>
      <c r="AG26" s="850" t="s">
        <v>1957</v>
      </c>
      <c r="AH26" s="851">
        <f t="shared" si="1"/>
        <v>46298</v>
      </c>
      <c r="AI26" s="850" t="s">
        <v>1355</v>
      </c>
      <c r="AJ26" s="850">
        <v>0</v>
      </c>
      <c r="AK26" s="850">
        <v>0</v>
      </c>
      <c r="AL26" s="850">
        <f>$F$28</f>
        <v>0</v>
      </c>
      <c r="AM26" s="850" t="s">
        <v>1958</v>
      </c>
      <c r="AN26" s="850" t="s">
        <v>1944</v>
      </c>
    </row>
    <row r="27" spans="1:43" ht="21" customHeight="1" thickTop="1">
      <c r="A27" s="833" t="s">
        <v>1931</v>
      </c>
      <c r="B27" s="833"/>
      <c r="C27" s="833"/>
      <c r="F27" s="832">
        <f>'DATA INPUT'!E67</f>
        <v>0</v>
      </c>
      <c r="AG27" s="850" t="s">
        <v>1957</v>
      </c>
      <c r="AH27" s="851">
        <f t="shared" si="1"/>
        <v>46298</v>
      </c>
      <c r="AI27" s="850" t="s">
        <v>1757</v>
      </c>
      <c r="AJ27" s="850">
        <v>0</v>
      </c>
      <c r="AK27" s="850">
        <v>0</v>
      </c>
      <c r="AL27" s="850">
        <f>$F$34</f>
        <v>690.27728094163228</v>
      </c>
      <c r="AM27" s="850" t="s">
        <v>1958</v>
      </c>
      <c r="AN27" s="850" t="s">
        <v>1944</v>
      </c>
    </row>
    <row r="28" spans="1:43" ht="21" customHeight="1">
      <c r="A28" s="833" t="s">
        <v>1932</v>
      </c>
      <c r="B28" s="833"/>
      <c r="C28" s="833"/>
      <c r="F28" s="832">
        <f>REPORT!AZ26</f>
        <v>0</v>
      </c>
      <c r="AG28" s="850" t="s">
        <v>1957</v>
      </c>
      <c r="AH28" s="851">
        <f t="shared" si="1"/>
        <v>46298</v>
      </c>
      <c r="AI28" s="850" t="s">
        <v>1946</v>
      </c>
      <c r="AJ28" s="850">
        <f>F22</f>
        <v>1342</v>
      </c>
      <c r="AK28" s="850">
        <f>F25</f>
        <v>1271</v>
      </c>
      <c r="AL28" s="850">
        <f>$F$10</f>
        <v>5986.4047089198948</v>
      </c>
      <c r="AM28" s="850" t="s">
        <v>1959</v>
      </c>
      <c r="AN28" s="850" t="s">
        <v>1943</v>
      </c>
    </row>
    <row r="29" spans="1:43" ht="21" customHeight="1">
      <c r="A29" s="833" t="s">
        <v>1933</v>
      </c>
      <c r="B29" s="833"/>
      <c r="C29" s="833"/>
      <c r="D29" s="833"/>
      <c r="F29" s="832"/>
      <c r="AG29" s="850" t="s">
        <v>1957</v>
      </c>
      <c r="AH29" s="851">
        <f t="shared" si="1"/>
        <v>46298</v>
      </c>
      <c r="AI29" s="850" t="s">
        <v>1260</v>
      </c>
      <c r="AJ29" s="850">
        <v>0</v>
      </c>
      <c r="AK29" s="850">
        <v>0</v>
      </c>
      <c r="AL29" s="850">
        <f>$F$9</f>
        <v>0</v>
      </c>
      <c r="AM29" s="850" t="s">
        <v>1959</v>
      </c>
      <c r="AN29" s="850" t="s">
        <v>1943</v>
      </c>
    </row>
    <row r="30" spans="1:43" ht="15.75" thickBot="1">
      <c r="A30" s="840" t="s">
        <v>1934</v>
      </c>
      <c r="B30" s="841"/>
      <c r="C30" s="841"/>
      <c r="D30" s="841"/>
      <c r="E30" s="834"/>
      <c r="F30" s="836"/>
      <c r="AG30" s="850" t="s">
        <v>1957</v>
      </c>
      <c r="AH30" s="851">
        <f t="shared" si="1"/>
        <v>46298</v>
      </c>
      <c r="AI30" s="850" t="s">
        <v>1944</v>
      </c>
      <c r="AJ30" s="850">
        <f>F2</f>
        <v>56615.980889675084</v>
      </c>
      <c r="AK30" s="850">
        <f>F5</f>
        <v>57346.193956048075</v>
      </c>
      <c r="AL30" s="850">
        <f>F4</f>
        <v>23447.499</v>
      </c>
      <c r="AM30" s="850" t="s">
        <v>1960</v>
      </c>
      <c r="AN30" s="850" t="s">
        <v>1961</v>
      </c>
    </row>
    <row r="31" spans="1:43" ht="24.75" customHeight="1" thickTop="1">
      <c r="A31" s="842" t="s">
        <v>1935</v>
      </c>
      <c r="B31" s="843"/>
      <c r="C31" s="843"/>
      <c r="D31" s="843"/>
      <c r="F31" s="832" t="e">
        <f>REPORT!#REF!</f>
        <v>#REF!</v>
      </c>
      <c r="AG31" s="850" t="s">
        <v>1957</v>
      </c>
      <c r="AH31" s="851">
        <f t="shared" si="1"/>
        <v>46298</v>
      </c>
      <c r="AI31" s="850" t="s">
        <v>2227</v>
      </c>
      <c r="AJ31" s="850">
        <v>0</v>
      </c>
      <c r="AK31" s="850">
        <v>0</v>
      </c>
      <c r="AL31" s="850">
        <f>F37</f>
        <v>105.04219492590056</v>
      </c>
      <c r="AM31" s="850" t="s">
        <v>1958</v>
      </c>
      <c r="AN31" s="850" t="s">
        <v>1944</v>
      </c>
    </row>
    <row r="32" spans="1:43" ht="20.25" customHeight="1" thickBot="1">
      <c r="A32" s="844" t="s">
        <v>1936</v>
      </c>
      <c r="B32" s="845"/>
      <c r="C32" s="845"/>
      <c r="D32" s="845"/>
      <c r="E32" s="846"/>
      <c r="F32" s="847"/>
      <c r="AG32" s="850" t="s">
        <v>1957</v>
      </c>
      <c r="AH32" s="851">
        <f t="shared" si="1"/>
        <v>46298</v>
      </c>
      <c r="AI32" s="850" t="s">
        <v>2235</v>
      </c>
      <c r="AJ32" s="850">
        <v>0</v>
      </c>
      <c r="AK32" s="850">
        <v>0</v>
      </c>
      <c r="AL32" s="850">
        <f>F40</f>
        <v>194.07796014880674</v>
      </c>
      <c r="AM32" s="850" t="s">
        <v>1958</v>
      </c>
      <c r="AN32" s="850" t="s">
        <v>1944</v>
      </c>
    </row>
    <row r="33" spans="1:40" ht="18" customHeight="1" thickTop="1">
      <c r="A33" s="842" t="s">
        <v>1937</v>
      </c>
      <c r="B33" s="843"/>
      <c r="C33" s="843"/>
      <c r="F33" s="832">
        <f>REPORT!N16</f>
        <v>490.27728094163228</v>
      </c>
      <c r="AG33" s="850" t="s">
        <v>1957</v>
      </c>
      <c r="AH33" s="851">
        <f t="shared" si="1"/>
        <v>46298</v>
      </c>
      <c r="AI33" s="850" t="s">
        <v>2245</v>
      </c>
      <c r="AJ33" s="850">
        <f>F42</f>
        <v>0</v>
      </c>
      <c r="AK33" s="850">
        <f>F45</f>
        <v>0</v>
      </c>
      <c r="AL33" s="850">
        <f>F44</f>
        <v>123</v>
      </c>
      <c r="AM33" s="850" t="s">
        <v>1958</v>
      </c>
      <c r="AN33" s="850" t="s">
        <v>1944</v>
      </c>
    </row>
    <row r="34" spans="1:40" ht="18" customHeight="1">
      <c r="A34" s="842" t="s">
        <v>1938</v>
      </c>
      <c r="B34" s="843"/>
      <c r="C34" s="843"/>
      <c r="D34" s="843"/>
      <c r="F34" s="832">
        <f>REPORT!N31</f>
        <v>690.27728094163228</v>
      </c>
      <c r="AG34" s="850" t="s">
        <v>1957</v>
      </c>
      <c r="AH34" s="851">
        <f t="shared" si="1"/>
        <v>46298</v>
      </c>
      <c r="AI34" s="850" t="s">
        <v>2287</v>
      </c>
      <c r="AJ34" s="850">
        <v>0</v>
      </c>
      <c r="AK34" s="850">
        <v>0</v>
      </c>
      <c r="AL34" s="850">
        <f>F9</f>
        <v>0</v>
      </c>
      <c r="AM34" s="850" t="s">
        <v>1959</v>
      </c>
      <c r="AN34" s="850" t="s">
        <v>1943</v>
      </c>
    </row>
    <row r="35" spans="1:40" ht="14.25" customHeight="1" thickBot="1">
      <c r="A35" s="844" t="s">
        <v>2228</v>
      </c>
      <c r="B35" s="845"/>
      <c r="C35" s="845"/>
      <c r="D35" s="845"/>
      <c r="E35" s="846"/>
      <c r="F35" s="847"/>
      <c r="AG35" s="850" t="s">
        <v>1957</v>
      </c>
      <c r="AH35" s="851">
        <f t="shared" si="1"/>
        <v>46298</v>
      </c>
      <c r="AI35" s="850" t="s">
        <v>2420</v>
      </c>
      <c r="AJ35" s="850">
        <f>F47</f>
        <v>159</v>
      </c>
      <c r="AK35" s="850">
        <f>F50</f>
        <v>159</v>
      </c>
      <c r="AL35" s="850">
        <f>F49</f>
        <v>255</v>
      </c>
      <c r="AM35" s="850" t="s">
        <v>1959</v>
      </c>
      <c r="AN35" s="850" t="s">
        <v>1943</v>
      </c>
    </row>
    <row r="36" spans="1:40" ht="24.75" customHeight="1" thickTop="1">
      <c r="A36" s="842" t="s">
        <v>1937</v>
      </c>
      <c r="B36" s="843"/>
      <c r="C36" s="843"/>
      <c r="F36" s="832">
        <f>REPORT!N15</f>
        <v>105.04219492590056</v>
      </c>
    </row>
    <row r="37" spans="1:40" ht="24.75" customHeight="1">
      <c r="A37" s="842" t="s">
        <v>1938</v>
      </c>
      <c r="B37" s="843"/>
      <c r="C37" s="843"/>
      <c r="D37" s="843"/>
      <c r="F37" s="832">
        <f>REPORT!N32</f>
        <v>105.04219492590056</v>
      </c>
    </row>
    <row r="38" spans="1:40" ht="15" customHeight="1" thickBot="1">
      <c r="A38" s="844" t="s">
        <v>2239</v>
      </c>
      <c r="B38" s="845"/>
      <c r="C38" s="845"/>
      <c r="D38" s="845"/>
      <c r="E38" s="846"/>
      <c r="F38" s="847"/>
    </row>
    <row r="39" spans="1:40" ht="22.5" customHeight="1" thickTop="1">
      <c r="A39" s="842" t="s">
        <v>1937</v>
      </c>
      <c r="B39" s="843"/>
      <c r="C39" s="843"/>
      <c r="F39" s="832">
        <f>REPORT!N18</f>
        <v>195.07796014880674</v>
      </c>
    </row>
    <row r="40" spans="1:40" ht="27" customHeight="1">
      <c r="A40" s="842" t="s">
        <v>1938</v>
      </c>
      <c r="B40" s="843"/>
      <c r="C40" s="843"/>
      <c r="D40" s="843"/>
      <c r="F40" s="832">
        <f>REPORT!N33</f>
        <v>194.07796014880674</v>
      </c>
    </row>
    <row r="41" spans="1:40" ht="15.75" thickBot="1">
      <c r="A41" s="838" t="s">
        <v>2244</v>
      </c>
      <c r="B41" s="838"/>
      <c r="C41" s="838"/>
      <c r="D41" s="838"/>
      <c r="E41" s="838"/>
      <c r="F41" s="839"/>
    </row>
    <row r="42" spans="1:40" ht="15.75" thickTop="1">
      <c r="A42" s="837" t="s">
        <v>1926</v>
      </c>
      <c r="B42" s="837"/>
      <c r="C42" s="837"/>
      <c r="D42" s="837"/>
      <c r="E42" s="837" t="s">
        <v>1537</v>
      </c>
      <c r="F42" s="832">
        <v>0</v>
      </c>
      <c r="G42" t="b">
        <f>(F42+F43)=(F44+F45)</f>
        <v>1</v>
      </c>
    </row>
    <row r="43" spans="1:40" ht="15">
      <c r="A43" s="833" t="s">
        <v>1927</v>
      </c>
      <c r="B43" s="837"/>
      <c r="C43" s="837"/>
      <c r="D43" s="837"/>
      <c r="E43" s="837"/>
      <c r="F43" s="832">
        <f>'DATA INPUT'!E19</f>
        <v>123</v>
      </c>
    </row>
    <row r="44" spans="1:40" ht="15">
      <c r="A44" s="833" t="s">
        <v>1928</v>
      </c>
      <c r="B44" s="833"/>
      <c r="C44" s="837"/>
      <c r="D44" s="837"/>
      <c r="E44" s="837"/>
      <c r="F44" s="832">
        <f>'DATA INPUT'!E20</f>
        <v>123</v>
      </c>
    </row>
    <row r="45" spans="1:40" ht="15">
      <c r="A45" s="833" t="s">
        <v>1929</v>
      </c>
      <c r="B45" s="833"/>
      <c r="C45" s="837"/>
      <c r="D45" s="837"/>
      <c r="E45" s="837"/>
      <c r="F45" s="832">
        <f>F42+F43-F44</f>
        <v>0</v>
      </c>
    </row>
    <row r="46" spans="1:40" ht="15.75" thickBot="1">
      <c r="A46" s="838" t="s">
        <v>2423</v>
      </c>
      <c r="B46" s="838"/>
      <c r="C46" s="838"/>
      <c r="D46" s="838"/>
      <c r="E46" s="838"/>
      <c r="F46" s="839"/>
    </row>
    <row r="47" spans="1:40" ht="15.75" thickTop="1">
      <c r="A47" s="837" t="s">
        <v>1926</v>
      </c>
      <c r="B47" s="837"/>
      <c r="C47" s="837"/>
      <c r="D47" s="837"/>
      <c r="E47" s="837" t="s">
        <v>1537</v>
      </c>
      <c r="F47" s="832">
        <f>'DATA INPUT'!F25</f>
        <v>159</v>
      </c>
    </row>
    <row r="48" spans="1:40" ht="15">
      <c r="A48" s="833" t="s">
        <v>1927</v>
      </c>
      <c r="B48" s="837"/>
      <c r="C48" s="837"/>
      <c r="D48" s="837"/>
      <c r="E48" s="837"/>
      <c r="F48" s="832">
        <f>'DATA INPUT'!E26</f>
        <v>255</v>
      </c>
    </row>
    <row r="49" spans="1:6" ht="15">
      <c r="A49" s="833" t="s">
        <v>1928</v>
      </c>
      <c r="B49" s="833"/>
      <c r="C49" s="837"/>
      <c r="D49" s="837"/>
      <c r="E49" s="837"/>
      <c r="F49" s="832">
        <f>'DATA INPUT'!E24</f>
        <v>255</v>
      </c>
    </row>
    <row r="50" spans="1:6" ht="15">
      <c r="A50" s="833" t="s">
        <v>1929</v>
      </c>
      <c r="B50" s="833"/>
      <c r="C50" s="837"/>
      <c r="D50" s="837"/>
      <c r="E50" s="837"/>
      <c r="F50" s="832">
        <f>'DATA INPUT'!E25</f>
        <v>159</v>
      </c>
    </row>
    <row r="52" spans="1:6">
      <c r="A52" s="848"/>
      <c r="B52" s="848"/>
      <c r="C52" s="848"/>
      <c r="D52" s="848"/>
      <c r="E52" s="848"/>
    </row>
  </sheetData>
  <sheetProtection password="ECEC" sheet="1"/>
  <customSheetViews>
    <customSheetView guid="{9FD33A57-86F0-4BF5-A6C0-5833A5B59516}" scale="85">
      <selection activeCell="AI46" sqref="AI46"/>
      <pageMargins left="0.7" right="0.7" top="0.75" bottom="0.75" header="0.3" footer="0.3"/>
      <pageSetup paperSize="9" orientation="portrait" r:id="rId1"/>
    </customSheetView>
  </customSheetView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autoPageBreaks="0" fitToPage="1"/>
  </sheetPr>
  <dimension ref="A1:AZ39"/>
  <sheetViews>
    <sheetView workbookViewId="0"/>
  </sheetViews>
  <sheetFormatPr defaultRowHeight="12.75" customHeight="1"/>
  <cols>
    <col min="1" max="1" width="2.7109375" customWidth="1"/>
    <col min="2" max="2" width="9.85546875" customWidth="1"/>
    <col min="3" max="3" width="10.7109375" customWidth="1"/>
    <col min="4" max="4" width="11" customWidth="1"/>
    <col min="5" max="5" width="15.140625" customWidth="1"/>
    <col min="6" max="8" width="11" customWidth="1"/>
    <col min="9" max="9" width="14" customWidth="1"/>
    <col min="10" max="10" width="7.85546875" customWidth="1"/>
    <col min="11" max="11" width="12.85546875" customWidth="1"/>
    <col min="12" max="12" width="13.42578125" customWidth="1"/>
    <col min="13" max="13" width="13" customWidth="1"/>
    <col min="14" max="14" width="13.140625" customWidth="1"/>
    <col min="15" max="21" width="9.28515625" customWidth="1"/>
  </cols>
  <sheetData>
    <row r="1" spans="1:52" s="7" customFormat="1" ht="24" customHeight="1">
      <c r="A1" s="64"/>
      <c r="B1" s="4" t="s">
        <v>1302</v>
      </c>
      <c r="C1" s="47"/>
      <c r="D1" s="55"/>
      <c r="E1" s="55"/>
      <c r="F1" s="55"/>
      <c r="G1" s="470"/>
      <c r="H1" s="4"/>
      <c r="I1" s="55"/>
      <c r="K1" s="55"/>
      <c r="AI1" s="55"/>
      <c r="AJ1" s="55"/>
      <c r="AX1" s="97"/>
      <c r="AY1" s="243"/>
      <c r="AZ1" s="97"/>
    </row>
    <row r="2" spans="1:52" ht="26.25" customHeight="1">
      <c r="B2" s="263" t="s">
        <v>249</v>
      </c>
      <c r="C2" s="264" t="s">
        <v>11</v>
      </c>
      <c r="D2" s="57" t="s">
        <v>955</v>
      </c>
      <c r="E2" s="57" t="s">
        <v>250</v>
      </c>
      <c r="F2" s="57" t="s">
        <v>251</v>
      </c>
      <c r="G2" s="56" t="s">
        <v>953</v>
      </c>
      <c r="H2" s="56" t="s">
        <v>954</v>
      </c>
      <c r="I2" s="56" t="s">
        <v>252</v>
      </c>
      <c r="J2" s="57" t="s">
        <v>253</v>
      </c>
      <c r="K2" s="57" t="s">
        <v>254</v>
      </c>
      <c r="L2" s="57" t="s">
        <v>1431</v>
      </c>
      <c r="M2" s="56" t="s">
        <v>268</v>
      </c>
      <c r="N2" s="288" t="s">
        <v>1393</v>
      </c>
    </row>
    <row r="3" spans="1:52" ht="16.5" customHeight="1">
      <c r="B3" s="1353" t="s">
        <v>257</v>
      </c>
      <c r="C3" s="265" t="s">
        <v>255</v>
      </c>
      <c r="D3" s="499" t="str">
        <f>'DATA INPUT'!F34</f>
        <v>25,7</v>
      </c>
      <c r="E3" s="536">
        <f>VLOOKUP(D3,TANK201,2,FALSE)*I3*K3</f>
        <v>19313.400192569999</v>
      </c>
      <c r="F3" s="266">
        <f>'DATA INPUT'!F38</f>
        <v>68</v>
      </c>
      <c r="G3" s="266">
        <f>'DATA INPUT'!F37</f>
        <v>99</v>
      </c>
      <c r="H3" s="266">
        <f>IF(G3=0,0,ROUND(((G3*7)+F3)/8,0))</f>
        <v>95</v>
      </c>
      <c r="I3" s="357">
        <f t="shared" ref="I3:I8" si="0">IF(D3=0,0,VLOOKUP(H3,SHELL_FACTOR,2,FALSE))</f>
        <v>1.0004299999999999</v>
      </c>
      <c r="J3" s="266">
        <f>'DATA INPUT'!F39</f>
        <v>37.200000000000003</v>
      </c>
      <c r="K3" s="553">
        <f>IF(G3=0,0,INDEX(FACTOR_TABLE,MATCH(MROUND(G3,0.5),TEMP_RANGE,1),MATCH(MROUND(J3,0.5),API_RANGE,1)))</f>
        <v>0.98099999999999998</v>
      </c>
      <c r="L3" s="555"/>
      <c r="M3" s="552">
        <f>'DATA INPUT'!E35</f>
        <v>17774</v>
      </c>
      <c r="N3" s="556">
        <f>'DATA INPUT'!E36</f>
        <v>24</v>
      </c>
    </row>
    <row r="4" spans="1:52" ht="16.5" customHeight="1">
      <c r="B4" s="1354"/>
      <c r="C4" s="265" t="s">
        <v>256</v>
      </c>
      <c r="D4" s="94" t="str">
        <f>'DATA INPUT'!E34</f>
        <v>1,6</v>
      </c>
      <c r="E4" s="536">
        <f>'DATA INPUT'!V37</f>
        <v>1515.3427767720002</v>
      </c>
      <c r="F4" s="266">
        <f>'DATA INPUT'!E38</f>
        <v>75</v>
      </c>
      <c r="G4" s="266">
        <f>'DATA INPUT'!E37</f>
        <v>97</v>
      </c>
      <c r="H4" s="266">
        <f>'DATA INPUT'!U37</f>
        <v>94</v>
      </c>
      <c r="I4" s="357">
        <f t="shared" si="0"/>
        <v>1.0004200000000001</v>
      </c>
      <c r="J4" s="266">
        <f>'DATA INPUT'!E39</f>
        <v>35.299999999999997</v>
      </c>
      <c r="K4" s="553">
        <f>'DATA INPUT'!W37</f>
        <v>0.98229999999999995</v>
      </c>
      <c r="L4" s="552">
        <f>IFERROR(IF((E4+M3-E3)&lt;0,0,(E4+M3-E3+N3)),0)</f>
        <v>0</v>
      </c>
      <c r="M4" s="555"/>
      <c r="N4" s="559"/>
      <c r="T4" s="268"/>
    </row>
    <row r="5" spans="1:52" ht="16.5" customHeight="1">
      <c r="B5" s="1353" t="s">
        <v>258</v>
      </c>
      <c r="C5" s="265" t="s">
        <v>255</v>
      </c>
      <c r="D5" s="94" t="str">
        <f>'DATA INPUT'!F42</f>
        <v>1,6</v>
      </c>
      <c r="E5" s="536">
        <f>VLOOKUP(D5,TANK202,2,FALSE)*I5*K5</f>
        <v>1477.7861189059199</v>
      </c>
      <c r="F5" s="266">
        <f>'DATA INPUT'!F46</f>
        <v>74</v>
      </c>
      <c r="G5" s="266">
        <f>'DATA INPUT'!F45</f>
        <v>98</v>
      </c>
      <c r="H5" s="266">
        <f>IF(G5=0,0,ROUND(((G5*7)+F5)/8,0))</f>
        <v>95</v>
      </c>
      <c r="I5" s="357">
        <f t="shared" si="0"/>
        <v>1.0004299999999999</v>
      </c>
      <c r="J5" s="266">
        <f>'DATA INPUT'!F47</f>
        <v>36.6</v>
      </c>
      <c r="K5" s="553">
        <f>IF(G5=0,0,INDEX(FACTOR_TABLE,MATCH(MROUND(G5,0.5),TEMP_RANGE,1),MATCH(MROUND(J5,0.5),API_RANGE,1)))</f>
        <v>0.98160000000000003</v>
      </c>
      <c r="L5" s="555"/>
      <c r="M5" s="552">
        <f>'DATA INPUT'!E43</f>
        <v>0</v>
      </c>
      <c r="N5" s="556">
        <f>'DATA INPUT'!E44</f>
        <v>0</v>
      </c>
      <c r="P5" s="218"/>
      <c r="T5" s="268"/>
    </row>
    <row r="6" spans="1:52" ht="16.5" customHeight="1">
      <c r="B6" s="1354"/>
      <c r="C6" s="300" t="s">
        <v>256</v>
      </c>
      <c r="D6" s="141" t="str">
        <f>'DATA INPUT'!E42</f>
        <v>25,7</v>
      </c>
      <c r="E6" s="536">
        <f>'DATA INPUT'!V45</f>
        <v>19257.494281797448</v>
      </c>
      <c r="F6" s="301">
        <f>'DATA INPUT'!E46</f>
        <v>68</v>
      </c>
      <c r="G6" s="301">
        <f>'DATA INPUT'!E45</f>
        <v>97</v>
      </c>
      <c r="H6" s="301">
        <f>'DATA INPUT'!U45</f>
        <v>93</v>
      </c>
      <c r="I6" s="357">
        <f t="shared" si="0"/>
        <v>1.00041</v>
      </c>
      <c r="J6" s="301">
        <f>'DATA INPUT'!E47</f>
        <v>36.6</v>
      </c>
      <c r="K6" s="553">
        <f>'DATA INPUT'!W45</f>
        <v>0.98209999999999997</v>
      </c>
      <c r="L6" s="552">
        <f>IFERROR(IF((E6+M5-E5)&lt;0,0,(E6+M5-E5+N5)),0)</f>
        <v>17779.708162891529</v>
      </c>
      <c r="M6" s="560"/>
      <c r="N6" s="561"/>
      <c r="O6" s="218"/>
    </row>
    <row r="7" spans="1:52" ht="16.5" customHeight="1">
      <c r="B7" s="1353" t="s">
        <v>1258</v>
      </c>
      <c r="C7" s="265" t="s">
        <v>255</v>
      </c>
      <c r="D7" s="94">
        <f>'DATA INPUT'!F50</f>
        <v>0</v>
      </c>
      <c r="E7" s="536">
        <f>VLOOKUP(D7,TANKPOWEROIL,2,FALSE)*I7*K7</f>
        <v>0</v>
      </c>
      <c r="F7" s="266">
        <f>'DATA INPUT'!F54</f>
        <v>0</v>
      </c>
      <c r="G7" s="266">
        <f>'DATA INPUT'!F53</f>
        <v>0</v>
      </c>
      <c r="H7" s="266">
        <f>IF(G7=0,0,ROUND(((G7*7)+F7)/8,0))</f>
        <v>0</v>
      </c>
      <c r="I7" s="357">
        <f t="shared" si="0"/>
        <v>0</v>
      </c>
      <c r="J7" s="266">
        <f>'DATA INPUT'!F55</f>
        <v>0</v>
      </c>
      <c r="K7" s="553">
        <f>IF(G7=0,0,INDEX(FACTOR_TABLE,MATCH(MROUND(G7,0.5),TEMP_RANGE,1),MATCH(MROUND(J7,0.5),API_RANGE,1)))</f>
        <v>0</v>
      </c>
      <c r="L7" s="555"/>
      <c r="M7" s="552">
        <f>'DATA INPUT'!E51</f>
        <v>0</v>
      </c>
      <c r="N7" s="556">
        <f>'DATA INPUT'!E52</f>
        <v>0</v>
      </c>
      <c r="P7" s="218"/>
      <c r="T7" s="268"/>
    </row>
    <row r="8" spans="1:52" ht="16.5" customHeight="1">
      <c r="B8" s="1355"/>
      <c r="C8" s="342" t="s">
        <v>256</v>
      </c>
      <c r="D8" s="343">
        <f>'DATA INPUT'!E50</f>
        <v>0</v>
      </c>
      <c r="E8" s="537">
        <f>'DATA INPUT'!V53</f>
        <v>0</v>
      </c>
      <c r="F8" s="344">
        <f>'DATA INPUT'!E54</f>
        <v>0</v>
      </c>
      <c r="G8" s="344">
        <f>'DATA INPUT'!E53</f>
        <v>0</v>
      </c>
      <c r="H8" s="344" t="str">
        <f>'DATA INPUT'!U53</f>
        <v/>
      </c>
      <c r="I8" s="498">
        <f t="shared" si="0"/>
        <v>0</v>
      </c>
      <c r="J8" s="344">
        <f>'DATA INPUT'!E55</f>
        <v>0</v>
      </c>
      <c r="K8" s="554">
        <f>'DATA INPUT'!W53</f>
        <v>0</v>
      </c>
      <c r="L8" s="565">
        <f>IFERROR(IF((E8+M7-E7)&lt;0,0,(E8+M7-E7+N7)),0)</f>
        <v>0</v>
      </c>
      <c r="M8" s="557"/>
      <c r="N8" s="558"/>
      <c r="O8" s="218"/>
    </row>
    <row r="9" spans="1:52" s="7" customFormat="1" ht="24" customHeight="1">
      <c r="A9" s="64"/>
      <c r="B9" s="133" t="s">
        <v>1263</v>
      </c>
      <c r="C9" s="133"/>
      <c r="D9" s="496"/>
      <c r="E9" s="496"/>
      <c r="F9" s="496"/>
      <c r="G9" s="496"/>
      <c r="H9" s="496"/>
      <c r="I9" s="496"/>
      <c r="J9" s="497"/>
      <c r="K9" s="496"/>
      <c r="L9" s="495"/>
      <c r="M9" s="497"/>
      <c r="N9" s="497"/>
      <c r="AI9" s="55"/>
      <c r="AJ9" s="55"/>
      <c r="AX9" s="97"/>
      <c r="AY9" s="243"/>
      <c r="AZ9" s="97"/>
    </row>
    <row r="10" spans="1:52" ht="26.25" customHeight="1">
      <c r="B10" s="263" t="s">
        <v>249</v>
      </c>
      <c r="C10" s="264" t="s">
        <v>11</v>
      </c>
      <c r="D10" s="57" t="s">
        <v>1249</v>
      </c>
      <c r="E10" s="57" t="s">
        <v>250</v>
      </c>
      <c r="F10" s="57" t="s">
        <v>251</v>
      </c>
      <c r="G10" s="56" t="s">
        <v>953</v>
      </c>
      <c r="H10" s="56" t="s">
        <v>954</v>
      </c>
      <c r="I10" s="56" t="s">
        <v>252</v>
      </c>
      <c r="J10" s="57" t="s">
        <v>253</v>
      </c>
      <c r="K10" s="57" t="s">
        <v>254</v>
      </c>
      <c r="L10" s="57" t="s">
        <v>1431</v>
      </c>
      <c r="M10" s="56" t="s">
        <v>268</v>
      </c>
      <c r="N10" s="288" t="s">
        <v>1393</v>
      </c>
    </row>
    <row r="11" spans="1:52" ht="16.5" customHeight="1">
      <c r="B11" s="1356" t="s">
        <v>1260</v>
      </c>
      <c r="C11" s="265" t="s">
        <v>255</v>
      </c>
      <c r="D11" s="94">
        <f>'DATA INPUT'!F58</f>
        <v>0</v>
      </c>
      <c r="E11" s="536">
        <f>VLOOKUP(D11,OAPCOTANK,2,FALSE)*I11*K11</f>
        <v>0</v>
      </c>
      <c r="F11" s="266">
        <f>'DATA INPUT'!F62</f>
        <v>0</v>
      </c>
      <c r="G11" s="266">
        <f>'DATA INPUT'!F61</f>
        <v>0</v>
      </c>
      <c r="H11" s="266">
        <f>IF(G11=0,0,ROUND(((G11*7)+F11)/8,0))</f>
        <v>0</v>
      </c>
      <c r="I11" s="357">
        <f>IF(D11=0,0,VLOOKUP(H11,SHELL_FACTOR,2,FALSE))</f>
        <v>0</v>
      </c>
      <c r="J11" s="266">
        <f>'DATA INPUT'!F63</f>
        <v>0</v>
      </c>
      <c r="K11" s="553">
        <f>IF(G11=0,0,INDEX(FACTOR_TABLE,MATCH(MROUND(G11,0.5),TEMP_RANGE,1),MATCH(MROUND(J11,0.5),API_RANGE,1)))</f>
        <v>0</v>
      </c>
      <c r="L11" s="555"/>
      <c r="M11" s="552">
        <f>'DATA INPUT'!E59</f>
        <v>0</v>
      </c>
      <c r="N11" s="556">
        <f>'DATA INPUT'!E60</f>
        <v>0</v>
      </c>
      <c r="P11" s="218"/>
      <c r="T11" s="268"/>
    </row>
    <row r="12" spans="1:52" ht="16.5" customHeight="1">
      <c r="B12" s="1355"/>
      <c r="C12" s="342" t="s">
        <v>256</v>
      </c>
      <c r="D12" s="343">
        <f>'DATA INPUT'!E58</f>
        <v>0</v>
      </c>
      <c r="E12" s="536">
        <f>'DATA INPUT'!V61</f>
        <v>0</v>
      </c>
      <c r="F12" s="344">
        <f>'DATA INPUT'!E62</f>
        <v>0</v>
      </c>
      <c r="G12" s="344">
        <f>'DATA INPUT'!E61</f>
        <v>0</v>
      </c>
      <c r="H12" s="266" t="str">
        <f>'DATA INPUT'!U61</f>
        <v/>
      </c>
      <c r="I12" s="357">
        <f>IF(D12=0,0,VLOOKUP(H12,SHELL_FACTOR,2,FALSE))</f>
        <v>0</v>
      </c>
      <c r="J12" s="344">
        <f>'DATA INPUT'!E63</f>
        <v>0</v>
      </c>
      <c r="K12" s="553">
        <f>'DATA INPUT'!W61</f>
        <v>0</v>
      </c>
      <c r="L12" s="552">
        <f>IFERROR(IF((E12+M11-E11)&lt;0,0,(E12+M11-E11+N11)),0)</f>
        <v>0</v>
      </c>
      <c r="M12" s="557"/>
      <c r="N12" s="558"/>
      <c r="O12" s="218"/>
    </row>
    <row r="13" spans="1:52" s="7" customFormat="1" ht="24" customHeight="1">
      <c r="A13" s="64"/>
      <c r="B13" s="361" t="s">
        <v>1265</v>
      </c>
      <c r="C13" s="358"/>
      <c r="D13" s="359"/>
      <c r="E13" s="359"/>
      <c r="F13" s="359"/>
      <c r="G13" s="359"/>
      <c r="H13" s="359"/>
      <c r="I13" s="359"/>
      <c r="J13" s="360"/>
      <c r="K13" s="359"/>
      <c r="L13" s="360"/>
      <c r="M13" s="360"/>
      <c r="N13" s="360"/>
      <c r="AI13" s="55"/>
      <c r="AJ13" s="55"/>
      <c r="AX13" s="97"/>
      <c r="AY13" s="243"/>
      <c r="AZ13" s="97"/>
    </row>
    <row r="14" spans="1:52" ht="26.25" customHeight="1">
      <c r="B14" s="263" t="s">
        <v>249</v>
      </c>
      <c r="C14" s="264" t="s">
        <v>11</v>
      </c>
      <c r="D14" s="57" t="s">
        <v>1249</v>
      </c>
      <c r="E14" s="57" t="s">
        <v>250</v>
      </c>
      <c r="F14" s="57" t="s">
        <v>251</v>
      </c>
      <c r="G14" s="56" t="s">
        <v>953</v>
      </c>
      <c r="H14" s="56" t="s">
        <v>954</v>
      </c>
      <c r="I14" s="56" t="s">
        <v>252</v>
      </c>
      <c r="J14" s="57" t="s">
        <v>253</v>
      </c>
      <c r="K14" s="57" t="s">
        <v>254</v>
      </c>
      <c r="L14" s="57" t="s">
        <v>1431</v>
      </c>
      <c r="M14" s="56" t="s">
        <v>268</v>
      </c>
      <c r="N14" s="288" t="s">
        <v>1393</v>
      </c>
    </row>
    <row r="15" spans="1:52" ht="16.5" customHeight="1">
      <c r="B15" s="1353" t="s">
        <v>1251</v>
      </c>
      <c r="C15" s="265" t="s">
        <v>255</v>
      </c>
      <c r="D15" s="94">
        <f>'DATA INPUT'!F66</f>
        <v>0</v>
      </c>
      <c r="E15" s="536">
        <f>VLOOKUP(D15,GPCTANK1,2,FALSE)*I15*K15</f>
        <v>0</v>
      </c>
      <c r="F15" s="266">
        <f>'DATA INPUT'!F70</f>
        <v>0</v>
      </c>
      <c r="G15" s="266">
        <f>'DATA INPUT'!F69</f>
        <v>0</v>
      </c>
      <c r="H15" s="266">
        <f>IF(G15=0,0,ROUND(((G15*7)+F15)/8,0))</f>
        <v>0</v>
      </c>
      <c r="I15" s="357">
        <f t="shared" ref="I15:I24" si="1">IF(D15=0,0,VLOOKUP(H15,SHELL_FACTOR,2,FALSE))</f>
        <v>0</v>
      </c>
      <c r="J15" s="266">
        <f>'DATA INPUT'!F71</f>
        <v>0</v>
      </c>
      <c r="K15" s="553">
        <f>IF(G15=0,0,INDEX(FACTOR_TABLE,MATCH(MROUND(G15,0.5),TEMP_RANGE,1),MATCH(MROUND(J15,0.5),API_RANGE,1)))</f>
        <v>0</v>
      </c>
      <c r="L15" s="555"/>
      <c r="M15" s="552">
        <f>'DATA INPUT'!E67</f>
        <v>0</v>
      </c>
      <c r="N15" s="556">
        <f>'DATA INPUT'!E68</f>
        <v>0</v>
      </c>
    </row>
    <row r="16" spans="1:52" ht="16.5" customHeight="1">
      <c r="B16" s="1354"/>
      <c r="C16" s="265" t="s">
        <v>256</v>
      </c>
      <c r="D16" s="94">
        <f>'DATA INPUT'!E66</f>
        <v>0</v>
      </c>
      <c r="E16" s="536">
        <f>'DATA INPUT'!V69</f>
        <v>0</v>
      </c>
      <c r="F16" s="266">
        <f>'DATA INPUT'!E70</f>
        <v>0</v>
      </c>
      <c r="G16" s="266">
        <f>'DATA INPUT'!E69</f>
        <v>0</v>
      </c>
      <c r="H16" s="266" t="str">
        <f>'DATA INPUT'!U69</f>
        <v/>
      </c>
      <c r="I16" s="357">
        <f t="shared" si="1"/>
        <v>0</v>
      </c>
      <c r="J16" s="266">
        <f>'DATA INPUT'!E71</f>
        <v>0</v>
      </c>
      <c r="K16" s="553">
        <f>'DATA INPUT'!W69</f>
        <v>0</v>
      </c>
      <c r="L16" s="552">
        <f>IFERROR(IF((E16+M15-E15)&lt;0,0,(E16+M15-E15+N15)),0)</f>
        <v>0</v>
      </c>
      <c r="M16" s="555"/>
      <c r="N16" s="559"/>
      <c r="T16" s="268"/>
    </row>
    <row r="17" spans="1:52" ht="16.5" customHeight="1">
      <c r="B17" s="1353" t="s">
        <v>1264</v>
      </c>
      <c r="C17" s="265" t="s">
        <v>255</v>
      </c>
      <c r="D17" s="94">
        <f>'DATA INPUT'!F74</f>
        <v>0</v>
      </c>
      <c r="E17" s="536">
        <f>VLOOKUP(D17,GPCTANK2,2,FALSE)*I17*K17</f>
        <v>0</v>
      </c>
      <c r="F17" s="266">
        <f>'DATA INPUT'!F78</f>
        <v>0</v>
      </c>
      <c r="G17" s="266">
        <f>'DATA INPUT'!F77</f>
        <v>0</v>
      </c>
      <c r="H17" s="266">
        <f>IF(G17=0,0,ROUND(((G17*7)+F17)/8,0))</f>
        <v>0</v>
      </c>
      <c r="I17" s="267">
        <f t="shared" si="1"/>
        <v>0</v>
      </c>
      <c r="J17" s="266">
        <f>'DATA INPUT'!F79</f>
        <v>0</v>
      </c>
      <c r="K17" s="553">
        <f>IF(G17=0,0,INDEX(FACTOR_TABLE,MATCH(MROUND(G17,0.5),TEMP_RANGE,1),MATCH(MROUND(J17,0.5),API_RANGE,1)))</f>
        <v>0</v>
      </c>
      <c r="L17" s="555"/>
      <c r="M17" s="552">
        <f>'DATA INPUT'!E75</f>
        <v>0</v>
      </c>
      <c r="N17" s="556">
        <f>'DATA INPUT'!E76</f>
        <v>0</v>
      </c>
    </row>
    <row r="18" spans="1:52" ht="16.5" customHeight="1">
      <c r="B18" s="1354"/>
      <c r="C18" s="265" t="s">
        <v>256</v>
      </c>
      <c r="D18" s="94">
        <f>'DATA INPUT'!E74</f>
        <v>0</v>
      </c>
      <c r="E18" s="536">
        <f>'DATA INPUT'!V77</f>
        <v>0</v>
      </c>
      <c r="F18" s="266">
        <f>'DATA INPUT'!E78</f>
        <v>0</v>
      </c>
      <c r="G18" s="266">
        <f>'DATA INPUT'!E77</f>
        <v>0</v>
      </c>
      <c r="H18" s="266" t="str">
        <f>'DATA INPUT'!U77</f>
        <v/>
      </c>
      <c r="I18" s="267">
        <f t="shared" si="1"/>
        <v>0</v>
      </c>
      <c r="J18" s="266">
        <f>'DATA INPUT'!E79</f>
        <v>0</v>
      </c>
      <c r="K18" s="553">
        <f>'DATA INPUT'!W77</f>
        <v>0</v>
      </c>
      <c r="L18" s="552">
        <f>IFERROR(IF((E18+M17-E17)&lt;0,0,(E18+M17-E17+N17)),0)</f>
        <v>0</v>
      </c>
      <c r="M18" s="555"/>
      <c r="N18" s="559"/>
      <c r="T18" s="268"/>
    </row>
    <row r="19" spans="1:52" ht="16.5" customHeight="1">
      <c r="B19" s="1353" t="s">
        <v>1252</v>
      </c>
      <c r="C19" s="265" t="s">
        <v>255</v>
      </c>
      <c r="D19" s="94">
        <f>'DATA INPUT'!F82</f>
        <v>0</v>
      </c>
      <c r="E19" s="536">
        <f>VLOOKUP(D19,GPCTANK3,2,FALSE)*I19*K19</f>
        <v>0</v>
      </c>
      <c r="F19" s="266">
        <f>'DATA INPUT'!F86</f>
        <v>0</v>
      </c>
      <c r="G19" s="266">
        <f>'DATA INPUT'!F85</f>
        <v>0</v>
      </c>
      <c r="H19" s="266">
        <f>IF(G19=0,0,ROUND(((G19*7)+F19)/8,0))</f>
        <v>0</v>
      </c>
      <c r="I19" s="267">
        <f t="shared" si="1"/>
        <v>0</v>
      </c>
      <c r="J19" s="266">
        <f>'DATA INPUT'!F87</f>
        <v>0</v>
      </c>
      <c r="K19" s="553">
        <f>IF(G19=0,0,INDEX(FACTOR_TABLE,MATCH(MROUND(G19,0.5),TEMP_RANGE,1),MATCH(MROUND(J19,0.5),API_RANGE,1)))</f>
        <v>0</v>
      </c>
      <c r="L19" s="555"/>
      <c r="M19" s="552">
        <f>'DATA INPUT'!E83</f>
        <v>0</v>
      </c>
      <c r="N19" s="556">
        <f>'DATA INPUT'!E84</f>
        <v>0</v>
      </c>
    </row>
    <row r="20" spans="1:52" ht="16.5" customHeight="1">
      <c r="B20" s="1354"/>
      <c r="C20" s="265" t="s">
        <v>256</v>
      </c>
      <c r="D20" s="94">
        <f>'DATA INPUT'!E82</f>
        <v>0</v>
      </c>
      <c r="E20" s="536">
        <f>'DATA INPUT'!V85</f>
        <v>0</v>
      </c>
      <c r="F20" s="266">
        <f>'DATA INPUT'!E86</f>
        <v>0</v>
      </c>
      <c r="G20" s="266">
        <f>'DATA INPUT'!E85</f>
        <v>0</v>
      </c>
      <c r="H20" s="266" t="str">
        <f>'DATA INPUT'!U85</f>
        <v/>
      </c>
      <c r="I20" s="267">
        <f t="shared" si="1"/>
        <v>0</v>
      </c>
      <c r="J20" s="266">
        <f>'DATA INPUT'!E87</f>
        <v>0</v>
      </c>
      <c r="K20" s="553">
        <f>'DATA INPUT'!W85</f>
        <v>0</v>
      </c>
      <c r="L20" s="552">
        <f>IFERROR(IF((E20+M19-E19)&lt;0,0,(E20+M19-E19+N19)),0)</f>
        <v>0</v>
      </c>
      <c r="M20" s="555"/>
      <c r="N20" s="559"/>
      <c r="T20" s="268"/>
    </row>
    <row r="21" spans="1:52" ht="16.5" customHeight="1">
      <c r="B21" s="1353" t="s">
        <v>1250</v>
      </c>
      <c r="C21" s="265" t="s">
        <v>255</v>
      </c>
      <c r="D21" s="94">
        <f>'DATA INPUT'!F90</f>
        <v>0</v>
      </c>
      <c r="E21" s="536">
        <f>VLOOKUP(D21,GPCTANK4,2,FALSE)*I21*K21</f>
        <v>0</v>
      </c>
      <c r="F21" s="266">
        <f>'DATA INPUT'!F94</f>
        <v>0</v>
      </c>
      <c r="G21" s="266">
        <f>'DATA INPUT'!F93</f>
        <v>0</v>
      </c>
      <c r="H21" s="266">
        <f>IF(G21=0,0,ROUND(((G21*7)+F21)/8,0))</f>
        <v>0</v>
      </c>
      <c r="I21" s="267">
        <f t="shared" si="1"/>
        <v>0</v>
      </c>
      <c r="J21" s="266">
        <f>'DATA INPUT'!F95</f>
        <v>0</v>
      </c>
      <c r="K21" s="553">
        <f>IF(G21=0,0,INDEX(FACTOR_TABLE,MATCH(MROUND(G21,0.5),TEMP_RANGE,1),MATCH(MROUND(J21,0.5),API_RANGE,1)))</f>
        <v>0</v>
      </c>
      <c r="L21" s="555"/>
      <c r="M21" s="552">
        <f>'DATA INPUT'!E91</f>
        <v>0</v>
      </c>
      <c r="N21" s="556">
        <f>'DATA INPUT'!E92</f>
        <v>0</v>
      </c>
    </row>
    <row r="22" spans="1:52" ht="16.5" customHeight="1">
      <c r="B22" s="1354"/>
      <c r="C22" s="265" t="s">
        <v>256</v>
      </c>
      <c r="D22" s="94">
        <f>'DATA INPUT'!E90</f>
        <v>0</v>
      </c>
      <c r="E22" s="536">
        <f>'DATA INPUT'!V93</f>
        <v>0</v>
      </c>
      <c r="F22" s="266">
        <f>'DATA INPUT'!E94</f>
        <v>0</v>
      </c>
      <c r="G22" s="266">
        <f>'DATA INPUT'!E93</f>
        <v>0</v>
      </c>
      <c r="H22" s="266">
        <f>'DATA INPUT'!U93</f>
        <v>0</v>
      </c>
      <c r="I22" s="267">
        <f t="shared" si="1"/>
        <v>0</v>
      </c>
      <c r="J22" s="266">
        <f>'DATA INPUT'!E95</f>
        <v>0</v>
      </c>
      <c r="K22" s="553">
        <f>'DATA INPUT'!W93</f>
        <v>0</v>
      </c>
      <c r="L22" s="552">
        <f>IFERROR(IF((E22+M21-E21)&lt;0,0,(E22+M21-E21+N21)),0)</f>
        <v>0</v>
      </c>
      <c r="M22" s="555"/>
      <c r="N22" s="559"/>
      <c r="T22" s="268"/>
    </row>
    <row r="23" spans="1:52" ht="16.5" customHeight="1">
      <c r="B23" s="1353" t="s">
        <v>1357</v>
      </c>
      <c r="C23" s="265" t="s">
        <v>255</v>
      </c>
      <c r="D23" s="94">
        <f>'DATA INPUT'!F98</f>
        <v>0</v>
      </c>
      <c r="E23" s="536">
        <f>VLOOKUP(D23,GPCTANK5,2,FALSE)*I23*K23</f>
        <v>0</v>
      </c>
      <c r="F23" s="266">
        <f>'DATA INPUT'!F102</f>
        <v>0</v>
      </c>
      <c r="G23" s="266">
        <f>'DATA INPUT'!F101</f>
        <v>0</v>
      </c>
      <c r="H23" s="266">
        <f>IF(G23=0,0,ROUND(((G23*7)+F23)/8,0))</f>
        <v>0</v>
      </c>
      <c r="I23" s="267">
        <f t="shared" si="1"/>
        <v>0</v>
      </c>
      <c r="J23" s="266">
        <f>'DATA INPUT'!F103</f>
        <v>0</v>
      </c>
      <c r="K23" s="553">
        <f>IF(G23=0,0,INDEX(FACTOR_TABLE,MATCH(MROUND(G23,0.5),TEMP_RANGE,1),MATCH(MROUND(J23,0.5),API_RANGE,1)))</f>
        <v>0</v>
      </c>
      <c r="L23" s="555"/>
      <c r="M23" s="552">
        <f>'DATA INPUT'!E99</f>
        <v>0</v>
      </c>
      <c r="N23" s="556">
        <f>'DATA INPUT'!E100</f>
        <v>0</v>
      </c>
    </row>
    <row r="24" spans="1:52" ht="16.5" customHeight="1">
      <c r="B24" s="1354"/>
      <c r="C24" s="265" t="s">
        <v>256</v>
      </c>
      <c r="D24" s="94">
        <f>'DATA INPUT'!E98</f>
        <v>0</v>
      </c>
      <c r="E24" s="536">
        <f>'DATA INPUT'!V101</f>
        <v>0</v>
      </c>
      <c r="F24" s="266">
        <f>'DATA INPUT'!E102</f>
        <v>0</v>
      </c>
      <c r="G24" s="266">
        <f>'DATA INPUT'!E101</f>
        <v>0</v>
      </c>
      <c r="H24" s="266">
        <f>'DATA INPUT'!U101</f>
        <v>0</v>
      </c>
      <c r="I24" s="267">
        <f t="shared" si="1"/>
        <v>0</v>
      </c>
      <c r="J24" s="266">
        <f>'DATA INPUT'!E103</f>
        <v>0</v>
      </c>
      <c r="K24" s="554">
        <f>'DATA INPUT'!W101</f>
        <v>0</v>
      </c>
      <c r="L24" s="552">
        <f>IFERROR(IF((E24+M23-E23)&lt;0,0,(E24+M23-E23+N23)),0)</f>
        <v>0</v>
      </c>
      <c r="M24" s="555"/>
      <c r="N24" s="559"/>
      <c r="T24" s="268"/>
    </row>
    <row r="25" spans="1:52" s="7" customFormat="1" ht="24" customHeight="1">
      <c r="A25" s="64"/>
      <c r="B25" s="361" t="s">
        <v>1366</v>
      </c>
      <c r="C25" s="358"/>
      <c r="D25" s="359"/>
      <c r="E25" s="359"/>
      <c r="F25" s="359"/>
      <c r="G25" s="359"/>
      <c r="H25" s="359"/>
      <c r="I25" s="494"/>
      <c r="J25" s="360"/>
      <c r="K25" s="359"/>
      <c r="L25" s="360"/>
      <c r="M25" s="360"/>
      <c r="N25" s="360"/>
      <c r="AI25" s="55"/>
      <c r="AJ25" s="55"/>
      <c r="AX25" s="97"/>
      <c r="AY25" s="243"/>
      <c r="AZ25" s="97"/>
    </row>
    <row r="26" spans="1:52" ht="25.15" customHeight="1">
      <c r="B26" s="263" t="s">
        <v>249</v>
      </c>
      <c r="C26" s="264" t="s">
        <v>11</v>
      </c>
      <c r="D26" s="57" t="s">
        <v>1249</v>
      </c>
      <c r="E26" s="57" t="s">
        <v>250</v>
      </c>
      <c r="F26" s="57" t="s">
        <v>251</v>
      </c>
      <c r="G26" s="56" t="s">
        <v>953</v>
      </c>
      <c r="H26" s="56" t="s">
        <v>954</v>
      </c>
      <c r="I26" s="56" t="s">
        <v>252</v>
      </c>
      <c r="J26" s="57" t="s">
        <v>253</v>
      </c>
      <c r="K26" s="57" t="s">
        <v>254</v>
      </c>
      <c r="L26" s="57" t="s">
        <v>1431</v>
      </c>
      <c r="M26" s="56" t="s">
        <v>268</v>
      </c>
      <c r="N26" s="288" t="s">
        <v>1393</v>
      </c>
    </row>
    <row r="27" spans="1:52" ht="16.5" customHeight="1">
      <c r="B27" s="1353" t="s">
        <v>1362</v>
      </c>
      <c r="C27" s="265" t="s">
        <v>255</v>
      </c>
      <c r="D27" s="94">
        <f>'DATA INPUT'!F106</f>
        <v>316</v>
      </c>
      <c r="E27" s="536">
        <f>VLOOKUP(D27,NIPCOTANK1,2,FALSE)*I27*K27</f>
        <v>7900.924687609584</v>
      </c>
      <c r="F27" s="266">
        <f>'DATA INPUT'!F110</f>
        <v>82</v>
      </c>
      <c r="G27" s="266">
        <f>'DATA INPUT'!F109</f>
        <v>85</v>
      </c>
      <c r="H27" s="266">
        <f>IF(G27=0,0,ROUND(((G27*7)+F27)/8,0))</f>
        <v>85</v>
      </c>
      <c r="I27" s="267">
        <f t="shared" ref="I27:I38" si="2">IF(D27=0,0,VLOOKUP(H27,SHELL_FACTOR,2,FALSE))</f>
        <v>1.00031</v>
      </c>
      <c r="J27" s="266">
        <f>'DATA INPUT'!F111</f>
        <v>35</v>
      </c>
      <c r="K27" s="553">
        <f>IF(G27=0,0,INDEX(FACTOR_TABLE,MATCH(MROUND(G27,0.5),TEMP_RANGE,1),MATCH(MROUND(J27,0.5),API_RANGE,1)))</f>
        <v>0.98809999999999998</v>
      </c>
      <c r="L27" s="555"/>
      <c r="M27" s="552">
        <f>'DATA INPUT'!E107</f>
        <v>0</v>
      </c>
      <c r="N27" s="556">
        <f>'DATA INPUT'!E108</f>
        <v>0</v>
      </c>
    </row>
    <row r="28" spans="1:52" ht="16.5" customHeight="1">
      <c r="B28" s="1354"/>
      <c r="C28" s="265" t="s">
        <v>256</v>
      </c>
      <c r="D28" s="94">
        <f>'DATA INPUT'!E106</f>
        <v>1122</v>
      </c>
      <c r="E28" s="536">
        <f>'DATA INPUT'!V109</f>
        <v>28323.552417925352</v>
      </c>
      <c r="F28" s="266">
        <f>'DATA INPUT'!E110</f>
        <v>85</v>
      </c>
      <c r="G28" s="266">
        <f>'DATA INPUT'!E109</f>
        <v>88</v>
      </c>
      <c r="H28" s="266">
        <f>'DATA INPUT'!U109</f>
        <v>88</v>
      </c>
      <c r="I28" s="357">
        <f t="shared" si="2"/>
        <v>1.0003500000000001</v>
      </c>
      <c r="J28" s="266">
        <f>'DATA INPUT'!E111</f>
        <v>35</v>
      </c>
      <c r="K28" s="553">
        <f>'DATA INPUT'!W109</f>
        <v>0.98670000000000002</v>
      </c>
      <c r="L28" s="552">
        <f>IFERROR(IF((E28+M27-E27)&lt;0,0,(E28+M27-E27+N27)),0)</f>
        <v>20422.627730315769</v>
      </c>
      <c r="M28" s="555"/>
      <c r="N28" s="559"/>
      <c r="T28" s="268"/>
    </row>
    <row r="29" spans="1:52" ht="16.5" customHeight="1">
      <c r="B29" s="1356" t="s">
        <v>1363</v>
      </c>
      <c r="C29" s="265" t="s">
        <v>255</v>
      </c>
      <c r="D29" s="94">
        <f>'DATA INPUT'!F114</f>
        <v>698</v>
      </c>
      <c r="E29" s="536">
        <f>VLOOKUP(D29,NIPCOTANK2,2,FALSE)*I29*K29</f>
        <v>47047.276115365501</v>
      </c>
      <c r="F29" s="266">
        <f>'DATA INPUT'!F118</f>
        <v>84</v>
      </c>
      <c r="G29" s="266">
        <f>'DATA INPUT'!F117</f>
        <v>88</v>
      </c>
      <c r="H29" s="266">
        <f>IF(G29=0,0,ROUND(((G29*7)+F29)/8,0))</f>
        <v>88</v>
      </c>
      <c r="I29" s="267">
        <f t="shared" si="2"/>
        <v>1.0003500000000001</v>
      </c>
      <c r="J29" s="266">
        <f>'DATA INPUT'!F119</f>
        <v>36</v>
      </c>
      <c r="K29" s="553">
        <f>IF(G29=0,0,INDEX(FACTOR_TABLE,MATCH(MROUND(G29,0.5),TEMP_RANGE,1),MATCH(MROUND(J29,0.5),API_RANGE,1)))</f>
        <v>0.98650000000000004</v>
      </c>
      <c r="L29" s="555"/>
      <c r="M29" s="552">
        <f>'DATA INPUT'!E115</f>
        <v>23447.499</v>
      </c>
      <c r="N29" s="556">
        <f>'DATA INPUT'!E116</f>
        <v>86</v>
      </c>
    </row>
    <row r="30" spans="1:52" ht="16.5" customHeight="1">
      <c r="B30" s="1354"/>
      <c r="C30" s="300" t="s">
        <v>256</v>
      </c>
      <c r="D30" s="141">
        <f>'DATA INPUT'!E114</f>
        <v>406</v>
      </c>
      <c r="E30" s="568">
        <f>'DATA INPUT'!V117</f>
        <v>27354.861451422723</v>
      </c>
      <c r="F30" s="301">
        <f>'DATA INPUT'!E118</f>
        <v>84</v>
      </c>
      <c r="G30" s="301">
        <f>'DATA INPUT'!E117</f>
        <v>86</v>
      </c>
      <c r="H30" s="301">
        <f>'DATA INPUT'!U117</f>
        <v>86</v>
      </c>
      <c r="I30" s="357">
        <f t="shared" si="2"/>
        <v>1.0003200000000001</v>
      </c>
      <c r="J30" s="301">
        <f>'DATA INPUT'!E119</f>
        <v>35.6</v>
      </c>
      <c r="K30" s="553">
        <f>'DATA INPUT'!W117</f>
        <v>0.98760000000000003</v>
      </c>
      <c r="L30" s="552">
        <f>IFERROR(IF((E30+M29-E29)&lt;0,0,(E30+M29-E29+N29)),0)</f>
        <v>3841.084336057218</v>
      </c>
      <c r="M30" s="560"/>
      <c r="N30" s="561"/>
      <c r="T30" s="268"/>
    </row>
    <row r="31" spans="1:52" ht="16.5" customHeight="1">
      <c r="B31" s="1357" t="s">
        <v>1364</v>
      </c>
      <c r="C31" s="413" t="s">
        <v>255</v>
      </c>
      <c r="D31" s="414">
        <f>'DATA INPUT'!F122</f>
        <v>50</v>
      </c>
      <c r="E31" s="536">
        <f>VLOOKUP(D31,WEPCOF3,2,FALSE)*I31*K31</f>
        <v>1667.7800866999999</v>
      </c>
      <c r="F31" s="415">
        <f>'DATA INPUT'!F126</f>
        <v>62</v>
      </c>
      <c r="G31" s="415">
        <f>'DATA INPUT'!F125</f>
        <v>69</v>
      </c>
      <c r="H31" s="266">
        <f>IF(G31=0,0,ROUND(((G31*7)+F31)/8,0))</f>
        <v>68</v>
      </c>
      <c r="I31" s="416">
        <f t="shared" si="2"/>
        <v>1.0000899999999999</v>
      </c>
      <c r="J31" s="415">
        <f>'DATA INPUT'!F127</f>
        <v>37</v>
      </c>
      <c r="K31" s="553">
        <f>IF(G31=0,0,INDEX(FACTOR_TABLE,MATCH(MROUND(G31,0.5),TEMP_RANGE,1),MATCH(MROUND(J31,0.5),API_RANGE,1)))</f>
        <v>0.99560000000000004</v>
      </c>
      <c r="L31" s="562"/>
      <c r="M31" s="563">
        <f>'DATA INPUT'!E123</f>
        <v>0</v>
      </c>
      <c r="N31" s="564">
        <f>'DATA INPUT'!E124</f>
        <v>0</v>
      </c>
    </row>
    <row r="32" spans="1:52" ht="16.5" customHeight="1">
      <c r="B32" s="1358"/>
      <c r="C32" s="472" t="s">
        <v>256</v>
      </c>
      <c r="D32" s="473">
        <f>'DATA INPUT'!E122</f>
        <v>50</v>
      </c>
      <c r="E32" s="569">
        <f>'DATA INPUT'!V125</f>
        <v>1667.7800867000001</v>
      </c>
      <c r="F32" s="474">
        <f>'DATA INPUT'!E126</f>
        <v>62</v>
      </c>
      <c r="G32" s="474">
        <f>'DATA INPUT'!E125</f>
        <v>69</v>
      </c>
      <c r="H32" s="474">
        <f>'DATA INPUT'!U125</f>
        <v>68</v>
      </c>
      <c r="I32" s="475">
        <f t="shared" si="2"/>
        <v>1.0000899999999999</v>
      </c>
      <c r="J32" s="474">
        <f>'DATA INPUT'!E127</f>
        <v>37</v>
      </c>
      <c r="K32" s="554">
        <f>'DATA INPUT'!W125</f>
        <v>0.99560000000000004</v>
      </c>
      <c r="L32" s="565">
        <f>IFERROR(IF((E32+M31-E31)&lt;0,0,(E32+M31-E31+N31)),0)</f>
        <v>2.2737367544323206E-13</v>
      </c>
      <c r="M32" s="566"/>
      <c r="N32" s="567"/>
      <c r="T32" s="268"/>
    </row>
    <row r="34" spans="2:20" ht="16.899999999999999" customHeight="1">
      <c r="F34" s="1350" t="s">
        <v>1394</v>
      </c>
      <c r="G34" s="1351"/>
      <c r="H34" s="1351"/>
      <c r="I34" s="1352"/>
      <c r="J34" s="332">
        <f>SUM(E28,E30,E32)-SUM(E27,E29,E31)</f>
        <v>730.21306637299131</v>
      </c>
      <c r="L34" s="493"/>
    </row>
    <row r="37" spans="2:20" ht="16.5" hidden="1" customHeight="1">
      <c r="B37" s="1359" t="s">
        <v>1365</v>
      </c>
      <c r="C37" s="483" t="s">
        <v>255</v>
      </c>
      <c r="D37" s="484">
        <f>'DATA INPUT'!F130</f>
        <v>0</v>
      </c>
      <c r="E37" s="485">
        <f>VLOOKUP(D37,GPCTANK4,2)*I37*K37</f>
        <v>0</v>
      </c>
      <c r="F37" s="486">
        <f>'DATA INPUT'!F134</f>
        <v>0</v>
      </c>
      <c r="G37" s="486">
        <f>'DATA INPUT'!F133</f>
        <v>0</v>
      </c>
      <c r="H37" s="487">
        <f>IF(G37=0,0,ROUND(((G37*7)+F37)/8,0))</f>
        <v>0</v>
      </c>
      <c r="I37" s="488">
        <f t="shared" si="2"/>
        <v>0</v>
      </c>
      <c r="J37" s="489">
        <f>'DATA INPUT'!F135</f>
        <v>0</v>
      </c>
      <c r="K37" s="490">
        <f>IF(G37=0,0,INDEX(FACTOR_TABLE,MATCH(MROUND(G37,0.5),TEMP_RANGE,1),MATCH(MROUND(J37,0.5),API_RANGE,1)))</f>
        <v>0</v>
      </c>
      <c r="L37" s="491"/>
      <c r="M37" s="484">
        <f>'DATA INPUT'!E131</f>
        <v>0</v>
      </c>
      <c r="N37" s="492">
        <f>'DATA INPUT'!E132</f>
        <v>0</v>
      </c>
    </row>
    <row r="38" spans="2:20" ht="16.5" hidden="1" customHeight="1">
      <c r="B38" s="1358"/>
      <c r="C38" s="472" t="s">
        <v>256</v>
      </c>
      <c r="D38" s="473">
        <f>'DATA INPUT'!E130</f>
        <v>0</v>
      </c>
      <c r="E38" s="473">
        <f>'DATA INPUT'!S133</f>
        <v>138.9</v>
      </c>
      <c r="F38" s="474">
        <f>'DATA INPUT'!E134</f>
        <v>0</v>
      </c>
      <c r="G38" s="474">
        <f>'DATA INPUT'!E133</f>
        <v>0</v>
      </c>
      <c r="H38" s="474" t="str">
        <f>'DATA INPUT'!U133</f>
        <v/>
      </c>
      <c r="I38" s="475">
        <f t="shared" si="2"/>
        <v>0</v>
      </c>
      <c r="J38" s="476">
        <f>'DATA INPUT'!E135</f>
        <v>0</v>
      </c>
      <c r="K38" s="477">
        <f>'DATA INPUT'!W133</f>
        <v>0</v>
      </c>
      <c r="L38" s="478" t="e">
        <f>#REF!+M37-#REF!</f>
        <v>#REF!</v>
      </c>
      <c r="M38" s="479"/>
      <c r="N38" s="480"/>
      <c r="T38" s="268"/>
    </row>
    <row r="39" spans="2:20" ht="12.75" customHeight="1">
      <c r="B39" s="481"/>
      <c r="C39" s="481"/>
      <c r="D39" s="481"/>
      <c r="E39" s="481"/>
      <c r="F39" s="481"/>
      <c r="G39" s="481"/>
      <c r="H39" s="481"/>
      <c r="I39" s="481"/>
      <c r="J39" s="481"/>
      <c r="K39" s="481"/>
      <c r="L39" s="482"/>
      <c r="M39" s="481"/>
      <c r="N39" s="481"/>
    </row>
  </sheetData>
  <sheetProtection password="ECEC" sheet="1" objects="1" scenarios="1" insertRows="0"/>
  <customSheetViews>
    <customSheetView guid="{9FD33A57-86F0-4BF5-A6C0-5833A5B59516}" scale="85" showGridLines="0" fitToPage="1" hiddenRows="1">
      <pane xSplit="2" ySplit="2" topLeftCell="E3" activePane="bottomRight" state="frozen"/>
      <selection pane="bottomRight" activeCell="M11" sqref="M11"/>
      <pageMargins left="0.7" right="0.7" top="0.75" bottom="0.75" header="0.3" footer="0.3"/>
      <pageSetup paperSize="9" scale="80" orientation="landscape" r:id="rId1"/>
    </customSheetView>
  </customSheetViews>
  <mergeCells count="14">
    <mergeCell ref="B37:B38"/>
    <mergeCell ref="B19:B20"/>
    <mergeCell ref="B21:B22"/>
    <mergeCell ref="B23:B24"/>
    <mergeCell ref="F34:I34"/>
    <mergeCell ref="B3:B4"/>
    <mergeCell ref="B5:B6"/>
    <mergeCell ref="B7:B8"/>
    <mergeCell ref="B11:B12"/>
    <mergeCell ref="B15:B16"/>
    <mergeCell ref="B17:B18"/>
    <mergeCell ref="B27:B28"/>
    <mergeCell ref="B29:B30"/>
    <mergeCell ref="B31:B32"/>
  </mergeCells>
  <phoneticPr fontId="153" type="noConversion"/>
  <pageMargins left="0.7" right="0.7" top="0.75" bottom="0.75" header="0.3" footer="0.3"/>
  <pageSetup paperSize="9" scale="80" orientation="landscape" r:id="rId2"/>
  <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pageSetUpPr fitToPage="1"/>
  </sheetPr>
  <dimension ref="A1:GA1735"/>
  <sheetViews>
    <sheetView zoomScaleNormal="100" workbookViewId="0">
      <selection activeCell="D119" sqref="D119"/>
    </sheetView>
  </sheetViews>
  <sheetFormatPr defaultRowHeight="12.75" customHeight="1"/>
  <cols>
    <col min="1" max="1" width="2.7109375" customWidth="1"/>
    <col min="2" max="2" width="17.7109375" customWidth="1"/>
    <col min="3" max="3" width="15.5703125" customWidth="1"/>
    <col min="4" max="4" width="9.42578125" customWidth="1"/>
    <col min="5" max="7" width="11.42578125" customWidth="1"/>
    <col min="9" max="9" width="10.42578125" customWidth="1"/>
    <col min="10" max="12" width="11.42578125" customWidth="1"/>
    <col min="13" max="13" width="37" customWidth="1"/>
    <col min="26" max="26" width="12" bestFit="1" customWidth="1"/>
    <col min="27" max="27" width="11" customWidth="1"/>
    <col min="28" max="28" width="15" customWidth="1"/>
    <col min="29" max="29" width="14.42578125" customWidth="1"/>
    <col min="30" max="30" width="12.5703125" customWidth="1"/>
    <col min="31" max="31" width="17" customWidth="1"/>
    <col min="32" max="32" width="9.42578125" bestFit="1" customWidth="1"/>
    <col min="33" max="33" width="14.5703125" customWidth="1"/>
    <col min="34" max="34" width="9" customWidth="1"/>
    <col min="35" max="35" width="16.5703125" customWidth="1"/>
    <col min="36" max="36" width="13.140625" customWidth="1"/>
  </cols>
  <sheetData>
    <row r="1" spans="1:50" s="7" customFormat="1" ht="30" customHeight="1">
      <c r="A1" s="32"/>
      <c r="B1" s="47" t="s">
        <v>33</v>
      </c>
      <c r="C1" s="47"/>
      <c r="D1" s="5"/>
      <c r="E1" s="6"/>
      <c r="F1" s="5"/>
      <c r="G1" s="5"/>
      <c r="H1" s="5"/>
      <c r="I1" s="49"/>
      <c r="M1" s="134">
        <f>REPDATE</f>
        <v>46299</v>
      </c>
      <c r="N1" s="9"/>
      <c r="O1" s="9"/>
      <c r="P1" s="9"/>
      <c r="Q1" s="9"/>
      <c r="R1" s="9"/>
      <c r="S1" s="9"/>
      <c r="T1" s="9"/>
      <c r="U1" s="9"/>
      <c r="V1" s="9"/>
      <c r="W1" s="9"/>
      <c r="X1" s="9"/>
      <c r="Y1" s="9"/>
      <c r="Z1" s="9"/>
      <c r="AA1" s="9"/>
      <c r="AB1" s="9"/>
      <c r="AC1" s="9"/>
      <c r="AD1" s="9"/>
      <c r="AE1" s="9"/>
      <c r="AF1" s="9"/>
      <c r="AG1" s="9"/>
      <c r="AH1" s="105">
        <f>COUNTIF(DFLRANGE,"KHALDA_DFL")</f>
        <v>3</v>
      </c>
      <c r="AI1" s="91"/>
      <c r="AJ1" s="105" t="str">
        <f>"Z4"&amp;":"&amp;"AJ"&amp;COUNTIF(DFLRANGE,"&lt;&gt;0")+3</f>
        <v>Z4:AJ48</v>
      </c>
      <c r="AK1" s="9"/>
      <c r="AL1" s="9"/>
      <c r="AM1" s="9"/>
      <c r="AN1" s="9"/>
      <c r="AO1" s="9"/>
      <c r="AP1" s="9"/>
      <c r="AQ1" s="9"/>
      <c r="AR1" s="9"/>
      <c r="AS1" s="9"/>
      <c r="AT1" s="9"/>
      <c r="AU1" s="9"/>
      <c r="AV1" s="9"/>
      <c r="AW1" s="9"/>
      <c r="AX1" s="9"/>
    </row>
    <row r="2" spans="1:50" s="18" customFormat="1" ht="57" customHeight="1">
      <c r="A2" s="19"/>
      <c r="B2" s="187" t="s">
        <v>5</v>
      </c>
      <c r="C2" s="179" t="s">
        <v>4</v>
      </c>
      <c r="D2" s="179" t="s">
        <v>11</v>
      </c>
      <c r="E2" s="179" t="s">
        <v>34</v>
      </c>
      <c r="F2" s="179" t="s">
        <v>35</v>
      </c>
      <c r="G2" s="179" t="s">
        <v>36</v>
      </c>
      <c r="H2" s="188" t="s">
        <v>31</v>
      </c>
      <c r="I2" s="188" t="s">
        <v>37</v>
      </c>
      <c r="J2" s="179" t="s">
        <v>1</v>
      </c>
      <c r="K2" s="179" t="s">
        <v>38</v>
      </c>
      <c r="L2" s="188" t="s">
        <v>39</v>
      </c>
      <c r="M2" s="189" t="s">
        <v>40</v>
      </c>
      <c r="N2" s="19"/>
      <c r="O2" s="19"/>
      <c r="P2" s="19"/>
      <c r="Q2" s="19"/>
      <c r="R2" s="19"/>
      <c r="S2" s="19"/>
      <c r="T2" s="19"/>
      <c r="U2" s="19"/>
      <c r="V2" s="19"/>
      <c r="W2" s="19"/>
      <c r="X2" s="19"/>
      <c r="Y2" s="19"/>
      <c r="Z2" s="190" t="s">
        <v>64</v>
      </c>
      <c r="AA2" s="191" t="s">
        <v>16</v>
      </c>
      <c r="AB2" s="191" t="s">
        <v>7</v>
      </c>
      <c r="AC2" s="180" t="s">
        <v>34</v>
      </c>
      <c r="AD2" s="179" t="s">
        <v>35</v>
      </c>
      <c r="AE2" s="188" t="s">
        <v>157</v>
      </c>
      <c r="AF2" s="188" t="s">
        <v>31</v>
      </c>
      <c r="AG2" s="188" t="s">
        <v>37</v>
      </c>
      <c r="AH2" s="179" t="s">
        <v>1</v>
      </c>
      <c r="AI2" s="179" t="s">
        <v>38</v>
      </c>
      <c r="AJ2" s="192" t="s">
        <v>39</v>
      </c>
      <c r="AK2" s="19"/>
      <c r="AL2" s="19"/>
      <c r="AM2" s="19"/>
      <c r="AN2" s="19"/>
      <c r="AO2" s="19"/>
      <c r="AP2" s="19"/>
      <c r="AQ2" s="19"/>
      <c r="AR2" s="19"/>
      <c r="AS2" s="19"/>
      <c r="AT2" s="19"/>
      <c r="AU2" s="19"/>
      <c r="AV2" s="19"/>
      <c r="AW2" s="19"/>
      <c r="AX2" s="19"/>
    </row>
    <row r="3" spans="1:50" s="36" customFormat="1" ht="51.75" customHeight="1">
      <c r="A3" s="35"/>
      <c r="B3" s="903" t="s">
        <v>1511</v>
      </c>
      <c r="C3" s="904" t="s">
        <v>21</v>
      </c>
      <c r="D3" s="904" t="s">
        <v>2</v>
      </c>
      <c r="E3" s="904">
        <v>9612</v>
      </c>
      <c r="F3" s="904">
        <v>9179</v>
      </c>
      <c r="G3" s="209">
        <v>7867</v>
      </c>
      <c r="H3" s="14">
        <v>0</v>
      </c>
      <c r="I3" s="14">
        <v>64</v>
      </c>
      <c r="J3" s="902">
        <v>845</v>
      </c>
      <c r="K3" s="210">
        <v>291</v>
      </c>
      <c r="L3" s="210">
        <v>432</v>
      </c>
      <c r="M3" s="887" t="s">
        <v>2744</v>
      </c>
      <c r="N3" s="35"/>
      <c r="O3" s="35"/>
      <c r="P3" s="35"/>
      <c r="Q3" s="35"/>
      <c r="R3" s="35"/>
      <c r="S3" s="35"/>
      <c r="T3" s="35"/>
      <c r="U3" s="35"/>
      <c r="V3" s="35"/>
      <c r="W3" s="35"/>
      <c r="X3" s="35"/>
      <c r="Z3" s="126" t="str">
        <f>IF(B3="",0,"KHALDA_DFL")</f>
        <v>KHALDA_DFL</v>
      </c>
      <c r="AA3" s="82">
        <f t="shared" ref="AA3:AA20" si="0">IF(Z3="","",REPORTDATE-1)</f>
        <v>46298</v>
      </c>
      <c r="AB3" s="81" t="str">
        <f>IF(Z3="","",B3)</f>
        <v>AG-102</v>
      </c>
      <c r="AC3" s="81">
        <f>IF(Z3="","",E3)</f>
        <v>9612</v>
      </c>
      <c r="AD3" s="81">
        <f>IF(Z3="","",F3)</f>
        <v>9179</v>
      </c>
      <c r="AE3" s="81">
        <f>IF(Z3="","",G3)</f>
        <v>7867</v>
      </c>
      <c r="AF3" s="81">
        <f>IF(Z3="","",H3)</f>
        <v>0</v>
      </c>
      <c r="AG3" s="81">
        <f>IF(Z3="","",I3)</f>
        <v>64</v>
      </c>
      <c r="AH3" s="81">
        <f>IF(Z3="","",J3)</f>
        <v>845</v>
      </c>
      <c r="AI3" s="81">
        <f>IF(Z3="","",K3)</f>
        <v>291</v>
      </c>
      <c r="AJ3" s="127">
        <f>IF(Z3="","",L3)</f>
        <v>432</v>
      </c>
      <c r="AK3" s="35"/>
      <c r="AL3" s="35"/>
      <c r="AM3" s="35"/>
      <c r="AN3" s="35"/>
      <c r="AO3" s="35"/>
      <c r="AP3" s="35"/>
      <c r="AQ3" s="35"/>
      <c r="AR3" s="35"/>
      <c r="AS3" s="35"/>
      <c r="AT3" s="35"/>
      <c r="AU3" s="35"/>
      <c r="AV3" s="35"/>
      <c r="AW3" s="35"/>
      <c r="AX3" s="35"/>
    </row>
    <row r="4" spans="1:50" s="36" customFormat="1" ht="51.75" customHeight="1">
      <c r="A4" s="35"/>
      <c r="B4" s="903" t="s">
        <v>1682</v>
      </c>
      <c r="C4" s="904" t="s">
        <v>21</v>
      </c>
      <c r="D4" s="904" t="s">
        <v>2</v>
      </c>
      <c r="E4" s="904">
        <v>9744.5</v>
      </c>
      <c r="F4" s="904">
        <v>9121</v>
      </c>
      <c r="G4" s="209">
        <v>6729</v>
      </c>
      <c r="H4" s="14">
        <v>0</v>
      </c>
      <c r="I4" s="14">
        <v>84</v>
      </c>
      <c r="J4" s="209">
        <v>2019</v>
      </c>
      <c r="K4" s="210">
        <v>675</v>
      </c>
      <c r="L4" s="210">
        <v>923</v>
      </c>
      <c r="M4" s="887" t="s">
        <v>2745</v>
      </c>
      <c r="N4" s="35"/>
      <c r="O4" s="35"/>
      <c r="P4" s="35"/>
      <c r="Q4" s="35"/>
      <c r="R4" s="35"/>
      <c r="S4" s="35"/>
      <c r="T4" s="35"/>
      <c r="U4" s="35"/>
      <c r="V4" s="35"/>
      <c r="W4" s="35"/>
      <c r="X4" s="35"/>
      <c r="Y4" s="35"/>
      <c r="Z4" s="126" t="str">
        <f>IF(B4="",0,"KHALDA_DFL")</f>
        <v>KHALDA_DFL</v>
      </c>
      <c r="AA4" s="82">
        <f t="shared" si="0"/>
        <v>46298</v>
      </c>
      <c r="AB4" s="81" t="str">
        <f>IF(Z4="","",B4)</f>
        <v>AG-103</v>
      </c>
      <c r="AC4" s="81">
        <f t="shared" ref="AC4:AC20" si="1">IF(Z4="","",E4)</f>
        <v>9744.5</v>
      </c>
      <c r="AD4" s="81">
        <f t="shared" ref="AD4:AD20" si="2">IF(Z4="","",F4)</f>
        <v>9121</v>
      </c>
      <c r="AE4" s="81">
        <f t="shared" ref="AE4:AE20" si="3">IF(Z4="","",G4)</f>
        <v>6729</v>
      </c>
      <c r="AF4" s="81">
        <f t="shared" ref="AF4:AF20" si="4">IF(Z4="","",H4)</f>
        <v>0</v>
      </c>
      <c r="AG4" s="81">
        <f t="shared" ref="AG4:AG20" si="5">IF(Z4="","",I4)</f>
        <v>84</v>
      </c>
      <c r="AH4" s="81">
        <f t="shared" ref="AH4:AH20" si="6">IF(Z4="","",J4)</f>
        <v>2019</v>
      </c>
      <c r="AI4" s="81">
        <f t="shared" ref="AI4:AI20" si="7">IF(Z4="","",K4)</f>
        <v>675</v>
      </c>
      <c r="AJ4" s="127">
        <f t="shared" ref="AJ4:AJ20" si="8">IF(Z4="","",L4)</f>
        <v>923</v>
      </c>
      <c r="AK4" s="35"/>
      <c r="AL4" s="35"/>
      <c r="AM4" s="35"/>
      <c r="AN4" s="35"/>
      <c r="AO4" s="35"/>
      <c r="AP4" s="35"/>
      <c r="AQ4" s="35"/>
      <c r="AR4" s="35"/>
      <c r="AS4" s="35"/>
      <c r="AT4" s="35"/>
      <c r="AU4" s="35"/>
      <c r="AV4" s="35"/>
      <c r="AW4" s="35"/>
      <c r="AX4" s="35"/>
    </row>
    <row r="5" spans="1:50" s="36" customFormat="1" ht="51.75" customHeight="1">
      <c r="A5" s="35"/>
      <c r="B5" s="903" t="s">
        <v>2017</v>
      </c>
      <c r="C5" s="904" t="s">
        <v>21</v>
      </c>
      <c r="D5" s="904" t="s">
        <v>2</v>
      </c>
      <c r="E5" s="904">
        <v>10492</v>
      </c>
      <c r="F5" s="904">
        <v>10345</v>
      </c>
      <c r="G5" s="209">
        <v>8857</v>
      </c>
      <c r="H5" s="14">
        <v>0</v>
      </c>
      <c r="I5" s="14">
        <v>100</v>
      </c>
      <c r="J5" s="209">
        <v>1488</v>
      </c>
      <c r="K5" s="210">
        <v>504</v>
      </c>
      <c r="L5" s="210">
        <v>571</v>
      </c>
      <c r="M5" s="887" t="s">
        <v>2746</v>
      </c>
      <c r="N5" s="35"/>
      <c r="O5" s="35"/>
      <c r="P5" s="35"/>
      <c r="Q5" s="35"/>
      <c r="R5" s="35"/>
      <c r="S5" s="35"/>
      <c r="T5" s="35"/>
      <c r="U5" s="35"/>
      <c r="V5" s="35"/>
      <c r="W5" s="35"/>
      <c r="X5" s="35"/>
      <c r="Y5" s="35"/>
      <c r="Z5" s="126" t="str">
        <f>IF(B5="",0,"KHALDA_DFL")</f>
        <v>KHALDA_DFL</v>
      </c>
      <c r="AA5" s="82">
        <f t="shared" si="0"/>
        <v>46298</v>
      </c>
      <c r="AB5" s="81" t="str">
        <f>IF(Z5="","",B5)</f>
        <v>AG-123A</v>
      </c>
      <c r="AC5" s="81">
        <f>IF(Z5="","",E5)</f>
        <v>10492</v>
      </c>
      <c r="AD5" s="81">
        <f>IF(Z5="","",F5)</f>
        <v>10345</v>
      </c>
      <c r="AE5" s="81">
        <f>IF(Z5="","",G5)</f>
        <v>8857</v>
      </c>
      <c r="AF5" s="81">
        <f>IF(Z5="","",H5)</f>
        <v>0</v>
      </c>
      <c r="AG5" s="81">
        <f>IF(Z5="","",I5)</f>
        <v>100</v>
      </c>
      <c r="AH5" s="81">
        <f>IF(Z5="","",J5)</f>
        <v>1488</v>
      </c>
      <c r="AI5" s="81">
        <f>IF(Z5="","",K5)</f>
        <v>504</v>
      </c>
      <c r="AJ5" s="127">
        <f>IF(Z5="","",L5)</f>
        <v>571</v>
      </c>
      <c r="AK5" s="35"/>
      <c r="AL5" s="35"/>
      <c r="AM5" s="35"/>
      <c r="AN5" s="35"/>
      <c r="AO5" s="35"/>
      <c r="AP5" s="35"/>
      <c r="AQ5" s="35"/>
      <c r="AR5" s="35"/>
      <c r="AS5" s="35"/>
      <c r="AT5" s="35"/>
      <c r="AU5" s="35"/>
      <c r="AV5" s="35"/>
      <c r="AW5" s="35"/>
      <c r="AX5" s="35"/>
    </row>
    <row r="6" spans="1:50" s="36" customFormat="1" ht="51.75" customHeight="1">
      <c r="A6" s="35"/>
      <c r="B6" s="903"/>
      <c r="C6" s="904"/>
      <c r="D6" s="904"/>
      <c r="E6" s="904"/>
      <c r="F6" s="904"/>
      <c r="G6" s="209"/>
      <c r="H6" s="901"/>
      <c r="I6" s="901"/>
      <c r="J6" s="900"/>
      <c r="K6" s="210"/>
      <c r="L6" s="210"/>
      <c r="M6" s="887"/>
      <c r="N6" s="35"/>
      <c r="O6" s="35"/>
      <c r="P6" s="35"/>
      <c r="Q6" s="35"/>
      <c r="R6" s="35"/>
      <c r="S6" s="35"/>
      <c r="T6" s="35"/>
      <c r="U6" s="35"/>
      <c r="V6" s="35"/>
      <c r="W6" s="35"/>
      <c r="X6" s="35"/>
      <c r="Y6" s="35"/>
      <c r="Z6" s="126">
        <f>IF(B6="",0,"KHALDA_DFL")</f>
        <v>0</v>
      </c>
      <c r="AA6" s="82">
        <f t="shared" si="0"/>
        <v>46298</v>
      </c>
      <c r="AB6" s="81">
        <f>IF(Z6="","",B6)</f>
        <v>0</v>
      </c>
      <c r="AC6" s="81">
        <f>IF(Z6="","",E6)</f>
        <v>0</v>
      </c>
      <c r="AD6" s="81">
        <f>IF(Z6="","",F6)</f>
        <v>0</v>
      </c>
      <c r="AE6" s="81">
        <f>IF(Z6="","",G6)</f>
        <v>0</v>
      </c>
      <c r="AF6" s="81">
        <f>IF(Z6="","",H6)</f>
        <v>0</v>
      </c>
      <c r="AG6" s="81">
        <f>IF(Z6="","",I6)</f>
        <v>0</v>
      </c>
      <c r="AH6" s="81">
        <f>IF(Z6="","",J6)</f>
        <v>0</v>
      </c>
      <c r="AI6" s="81">
        <f>IF(Z6="","",K6)</f>
        <v>0</v>
      </c>
      <c r="AJ6" s="127">
        <f>IF(Z6="","",L6)</f>
        <v>0</v>
      </c>
      <c r="AK6" s="35"/>
      <c r="AL6" s="35"/>
      <c r="AM6" s="35"/>
      <c r="AN6" s="35"/>
      <c r="AO6" s="35"/>
      <c r="AP6" s="35"/>
      <c r="AQ6" s="35"/>
      <c r="AR6" s="35"/>
      <c r="AS6" s="35"/>
      <c r="AT6" s="35"/>
      <c r="AU6" s="35"/>
      <c r="AV6" s="35"/>
      <c r="AW6" s="35"/>
      <c r="AX6" s="35"/>
    </row>
    <row r="7" spans="1:50" s="36" customFormat="1" ht="51.75" customHeight="1">
      <c r="A7" s="35"/>
      <c r="B7" s="20"/>
      <c r="C7" s="13"/>
      <c r="D7" s="13"/>
      <c r="E7" s="13"/>
      <c r="F7" s="13"/>
      <c r="G7" s="209"/>
      <c r="H7" s="14"/>
      <c r="I7" s="14"/>
      <c r="J7" s="209"/>
      <c r="K7" s="210"/>
      <c r="L7" s="210"/>
      <c r="M7" s="887"/>
      <c r="N7" s="35"/>
      <c r="O7" s="35"/>
      <c r="P7" s="35"/>
      <c r="Q7" s="35"/>
      <c r="R7" s="35"/>
      <c r="S7" s="35"/>
      <c r="T7" s="35"/>
      <c r="U7" s="35"/>
      <c r="V7" s="35"/>
      <c r="W7" s="35"/>
      <c r="X7" s="35"/>
      <c r="Y7" s="35"/>
      <c r="Z7" s="126">
        <f>IF(B7="",0,"KHALDA_DFL")</f>
        <v>0</v>
      </c>
      <c r="AA7" s="82">
        <f t="shared" si="0"/>
        <v>46298</v>
      </c>
      <c r="AB7" s="81">
        <f>IF(Z7="","",B7)</f>
        <v>0</v>
      </c>
      <c r="AC7" s="81">
        <f>IF(Z7="","",E7)</f>
        <v>0</v>
      </c>
      <c r="AD7" s="81">
        <f>IF(Z7="","",F7)</f>
        <v>0</v>
      </c>
      <c r="AE7" s="81">
        <f>IF(Z7="","",G7)</f>
        <v>0</v>
      </c>
      <c r="AF7" s="81">
        <f>IF(Z7="","",H7)</f>
        <v>0</v>
      </c>
      <c r="AG7" s="81">
        <f>IF(Z7="","",I7)</f>
        <v>0</v>
      </c>
      <c r="AH7" s="81">
        <f>IF(Z7="","",J7)</f>
        <v>0</v>
      </c>
      <c r="AI7" s="81">
        <f>IF(Z7="","",K7)</f>
        <v>0</v>
      </c>
      <c r="AJ7" s="127">
        <f>IF(Z7="","",L7)</f>
        <v>0</v>
      </c>
      <c r="AK7" s="35"/>
      <c r="AL7" s="35"/>
      <c r="AM7" s="35"/>
      <c r="AN7" s="35"/>
      <c r="AO7" s="35"/>
      <c r="AP7" s="35"/>
      <c r="AQ7" s="35"/>
      <c r="AR7" s="35"/>
      <c r="AS7" s="35"/>
      <c r="AT7" s="35"/>
      <c r="AU7" s="35"/>
      <c r="AV7" s="35"/>
      <c r="AW7" s="35"/>
      <c r="AX7" s="35"/>
    </row>
    <row r="8" spans="1:50" s="36" customFormat="1" ht="51.75" customHeight="1">
      <c r="A8" s="35"/>
      <c r="B8" s="20"/>
      <c r="C8" s="13"/>
      <c r="D8" s="13"/>
      <c r="E8" s="13"/>
      <c r="F8" s="13"/>
      <c r="G8" s="209"/>
      <c r="H8" s="14"/>
      <c r="I8" s="14"/>
      <c r="J8" s="209"/>
      <c r="K8" s="210"/>
      <c r="L8" s="210"/>
      <c r="M8" s="887"/>
      <c r="N8" s="35"/>
      <c r="O8" s="35"/>
      <c r="P8" s="35"/>
      <c r="Q8" s="35"/>
      <c r="R8" s="35"/>
      <c r="S8" s="35"/>
      <c r="T8" s="35"/>
      <c r="U8" s="35"/>
      <c r="V8" s="35"/>
      <c r="W8" s="35"/>
      <c r="X8" s="35"/>
      <c r="Y8" s="35"/>
      <c r="Z8" s="126">
        <f t="shared" ref="Z8:Z20" si="9">IF(B8="",0,"KHALDA_DFL")</f>
        <v>0</v>
      </c>
      <c r="AA8" s="82">
        <f t="shared" si="0"/>
        <v>46298</v>
      </c>
      <c r="AB8" s="81">
        <f t="shared" ref="AB8:AB20" si="10">IF(Z8="","",B8)</f>
        <v>0</v>
      </c>
      <c r="AC8" s="81">
        <f t="shared" si="1"/>
        <v>0</v>
      </c>
      <c r="AD8" s="81">
        <f t="shared" si="2"/>
        <v>0</v>
      </c>
      <c r="AE8" s="81">
        <f t="shared" si="3"/>
        <v>0</v>
      </c>
      <c r="AF8" s="81">
        <f t="shared" si="4"/>
        <v>0</v>
      </c>
      <c r="AG8" s="81">
        <f t="shared" si="5"/>
        <v>0</v>
      </c>
      <c r="AH8" s="81">
        <f t="shared" si="6"/>
        <v>0</v>
      </c>
      <c r="AI8" s="81">
        <f t="shared" si="7"/>
        <v>0</v>
      </c>
      <c r="AJ8" s="127">
        <f t="shared" si="8"/>
        <v>0</v>
      </c>
      <c r="AK8" s="35"/>
      <c r="AL8" s="35"/>
      <c r="AM8" s="35"/>
      <c r="AN8" s="35"/>
      <c r="AO8" s="35"/>
      <c r="AP8" s="35"/>
      <c r="AQ8" s="35"/>
      <c r="AR8" s="35"/>
      <c r="AS8" s="35"/>
      <c r="AT8" s="35"/>
      <c r="AU8" s="35"/>
      <c r="AV8" s="35"/>
      <c r="AW8" s="35"/>
      <c r="AX8" s="35"/>
    </row>
    <row r="9" spans="1:50" s="36" customFormat="1" ht="16.5" customHeight="1">
      <c r="A9" s="35"/>
      <c r="B9" s="20"/>
      <c r="C9" s="13"/>
      <c r="D9" s="13"/>
      <c r="E9" s="13"/>
      <c r="F9" s="13"/>
      <c r="G9" s="209"/>
      <c r="H9" s="14"/>
      <c r="I9" s="14"/>
      <c r="J9" s="209"/>
      <c r="K9" s="210"/>
      <c r="L9" s="210"/>
      <c r="M9" s="887"/>
      <c r="N9" s="35"/>
      <c r="O9" s="35"/>
      <c r="P9" s="35"/>
      <c r="Q9" s="35"/>
      <c r="R9" s="35"/>
      <c r="S9" s="35"/>
      <c r="T9" s="35"/>
      <c r="U9" s="35"/>
      <c r="V9" s="35"/>
      <c r="W9" s="35"/>
      <c r="X9" s="35"/>
      <c r="Y9" s="35"/>
      <c r="Z9" s="126">
        <f t="shared" si="9"/>
        <v>0</v>
      </c>
      <c r="AA9" s="82">
        <f t="shared" si="0"/>
        <v>46298</v>
      </c>
      <c r="AB9" s="81">
        <f t="shared" si="10"/>
        <v>0</v>
      </c>
      <c r="AC9" s="81">
        <f t="shared" si="1"/>
        <v>0</v>
      </c>
      <c r="AD9" s="81">
        <f t="shared" si="2"/>
        <v>0</v>
      </c>
      <c r="AE9" s="81">
        <f t="shared" si="3"/>
        <v>0</v>
      </c>
      <c r="AF9" s="81">
        <f t="shared" si="4"/>
        <v>0</v>
      </c>
      <c r="AG9" s="81">
        <f t="shared" si="5"/>
        <v>0</v>
      </c>
      <c r="AH9" s="81">
        <f t="shared" si="6"/>
        <v>0</v>
      </c>
      <c r="AI9" s="81">
        <f t="shared" si="7"/>
        <v>0</v>
      </c>
      <c r="AJ9" s="127">
        <f t="shared" si="8"/>
        <v>0</v>
      </c>
      <c r="AK9" s="35"/>
      <c r="AL9" s="35"/>
      <c r="AM9" s="35"/>
      <c r="AN9" s="35"/>
      <c r="AO9" s="35"/>
      <c r="AP9" s="35"/>
      <c r="AQ9" s="35"/>
      <c r="AR9" s="35"/>
      <c r="AS9" s="35"/>
      <c r="AT9" s="35"/>
      <c r="AU9" s="35"/>
      <c r="AV9" s="35"/>
      <c r="AW9" s="35"/>
      <c r="AX9" s="35"/>
    </row>
    <row r="10" spans="1:50" s="36" customFormat="1" ht="16.5" customHeight="1">
      <c r="A10" s="35"/>
      <c r="B10" s="20"/>
      <c r="C10" s="13"/>
      <c r="D10" s="13"/>
      <c r="E10" s="13"/>
      <c r="F10" s="13"/>
      <c r="G10" s="209"/>
      <c r="H10" s="14"/>
      <c r="I10" s="14"/>
      <c r="J10" s="902"/>
      <c r="K10" s="210"/>
      <c r="L10" s="210"/>
      <c r="M10" s="887"/>
      <c r="N10" s="35"/>
      <c r="O10" s="35"/>
      <c r="P10" s="35"/>
      <c r="Q10" s="35"/>
      <c r="R10" s="35"/>
      <c r="S10" s="35"/>
      <c r="T10" s="35"/>
      <c r="U10" s="35"/>
      <c r="V10" s="35"/>
      <c r="W10" s="35"/>
      <c r="X10" s="35"/>
      <c r="Y10" s="35"/>
      <c r="Z10" s="126">
        <f t="shared" si="9"/>
        <v>0</v>
      </c>
      <c r="AA10" s="82">
        <f t="shared" si="0"/>
        <v>46298</v>
      </c>
      <c r="AB10" s="81">
        <f t="shared" si="10"/>
        <v>0</v>
      </c>
      <c r="AC10" s="81">
        <f t="shared" si="1"/>
        <v>0</v>
      </c>
      <c r="AD10" s="81">
        <f t="shared" si="2"/>
        <v>0</v>
      </c>
      <c r="AE10" s="81">
        <f t="shared" si="3"/>
        <v>0</v>
      </c>
      <c r="AF10" s="81">
        <f t="shared" si="4"/>
        <v>0</v>
      </c>
      <c r="AG10" s="81">
        <f t="shared" si="5"/>
        <v>0</v>
      </c>
      <c r="AH10" s="81">
        <f t="shared" si="6"/>
        <v>0</v>
      </c>
      <c r="AI10" s="81">
        <f t="shared" si="7"/>
        <v>0</v>
      </c>
      <c r="AJ10" s="127">
        <f t="shared" si="8"/>
        <v>0</v>
      </c>
      <c r="AK10" s="35"/>
      <c r="AL10" s="35"/>
      <c r="AM10" s="35"/>
      <c r="AN10" s="35"/>
      <c r="AO10" s="35"/>
      <c r="AP10" s="35"/>
      <c r="AQ10" s="35"/>
      <c r="AR10" s="35"/>
      <c r="AS10" s="35"/>
      <c r="AT10" s="35"/>
      <c r="AU10" s="35"/>
      <c r="AV10" s="35"/>
      <c r="AW10" s="35"/>
      <c r="AX10" s="35"/>
    </row>
    <row r="11" spans="1:50" s="36" customFormat="1" ht="16.5" customHeight="1">
      <c r="A11" s="35"/>
      <c r="B11" s="907"/>
      <c r="C11" s="906"/>
      <c r="D11" s="906"/>
      <c r="E11" s="906"/>
      <c r="F11" s="906"/>
      <c r="G11" s="209"/>
      <c r="H11" s="14"/>
      <c r="I11" s="14"/>
      <c r="J11" s="902"/>
      <c r="K11" s="210"/>
      <c r="L11" s="210"/>
      <c r="M11" s="887"/>
      <c r="N11" s="35"/>
      <c r="O11" s="35"/>
      <c r="P11" s="35"/>
      <c r="Q11" s="35"/>
      <c r="R11" s="35"/>
      <c r="S11" s="35"/>
      <c r="T11" s="35"/>
      <c r="U11" s="35"/>
      <c r="V11" s="35"/>
      <c r="W11" s="35"/>
      <c r="X11" s="35"/>
      <c r="Y11" s="35"/>
      <c r="Z11" s="126">
        <f t="shared" si="9"/>
        <v>0</v>
      </c>
      <c r="AA11" s="82">
        <f t="shared" si="0"/>
        <v>46298</v>
      </c>
      <c r="AB11" s="81">
        <f t="shared" si="10"/>
        <v>0</v>
      </c>
      <c r="AC11" s="81">
        <f t="shared" si="1"/>
        <v>0</v>
      </c>
      <c r="AD11" s="81">
        <f t="shared" si="2"/>
        <v>0</v>
      </c>
      <c r="AE11" s="81">
        <f t="shared" si="3"/>
        <v>0</v>
      </c>
      <c r="AF11" s="81">
        <f t="shared" si="4"/>
        <v>0</v>
      </c>
      <c r="AG11" s="81">
        <f t="shared" si="5"/>
        <v>0</v>
      </c>
      <c r="AH11" s="81">
        <f t="shared" si="6"/>
        <v>0</v>
      </c>
      <c r="AI11" s="81">
        <f t="shared" si="7"/>
        <v>0</v>
      </c>
      <c r="AJ11" s="127">
        <f t="shared" si="8"/>
        <v>0</v>
      </c>
      <c r="AK11" s="35"/>
      <c r="AL11" s="35"/>
      <c r="AM11" s="35"/>
      <c r="AN11" s="35"/>
      <c r="AO11" s="35"/>
      <c r="AP11" s="35"/>
      <c r="AQ11" s="35"/>
      <c r="AR11" s="35"/>
      <c r="AS11" s="35"/>
      <c r="AT11" s="35"/>
      <c r="AU11" s="35"/>
      <c r="AV11" s="35"/>
      <c r="AW11" s="35"/>
      <c r="AX11" s="35"/>
    </row>
    <row r="12" spans="1:50" s="36" customFormat="1" ht="16.5" customHeight="1">
      <c r="A12" s="35"/>
      <c r="B12" s="20"/>
      <c r="C12" s="13"/>
      <c r="D12" s="13"/>
      <c r="E12" s="13"/>
      <c r="F12" s="13"/>
      <c r="G12" s="209"/>
      <c r="H12" s="14"/>
      <c r="I12" s="14"/>
      <c r="J12" s="209"/>
      <c r="K12" s="210"/>
      <c r="L12" s="210"/>
      <c r="M12" s="129"/>
      <c r="N12" s="35"/>
      <c r="O12" s="35"/>
      <c r="P12" s="35"/>
      <c r="Q12" s="35"/>
      <c r="R12" s="35"/>
      <c r="S12" s="35"/>
      <c r="T12" s="35"/>
      <c r="U12" s="35"/>
      <c r="V12" s="35"/>
      <c r="W12" s="35"/>
      <c r="X12" s="35"/>
      <c r="Y12" s="35"/>
      <c r="Z12" s="126">
        <f t="shared" si="9"/>
        <v>0</v>
      </c>
      <c r="AA12" s="82">
        <f t="shared" si="0"/>
        <v>46298</v>
      </c>
      <c r="AB12" s="81">
        <f t="shared" si="10"/>
        <v>0</v>
      </c>
      <c r="AC12" s="81">
        <f t="shared" si="1"/>
        <v>0</v>
      </c>
      <c r="AD12" s="81">
        <f t="shared" si="2"/>
        <v>0</v>
      </c>
      <c r="AE12" s="81">
        <f t="shared" si="3"/>
        <v>0</v>
      </c>
      <c r="AF12" s="81">
        <f t="shared" si="4"/>
        <v>0</v>
      </c>
      <c r="AG12" s="81">
        <f t="shared" si="5"/>
        <v>0</v>
      </c>
      <c r="AH12" s="81">
        <f t="shared" si="6"/>
        <v>0</v>
      </c>
      <c r="AI12" s="81">
        <f t="shared" si="7"/>
        <v>0</v>
      </c>
      <c r="AJ12" s="127">
        <f t="shared" si="8"/>
        <v>0</v>
      </c>
      <c r="AK12" s="35"/>
      <c r="AL12" s="35"/>
      <c r="AM12" s="35"/>
      <c r="AN12" s="35"/>
      <c r="AO12" s="35"/>
      <c r="AP12" s="35"/>
      <c r="AQ12" s="35"/>
      <c r="AR12" s="35"/>
      <c r="AS12" s="35"/>
      <c r="AT12" s="35"/>
      <c r="AU12" s="35"/>
      <c r="AV12" s="35"/>
      <c r="AW12" s="35"/>
      <c r="AX12" s="35"/>
    </row>
    <row r="13" spans="1:50" s="36" customFormat="1" ht="16.5" customHeight="1">
      <c r="A13" s="35"/>
      <c r="B13" s="20"/>
      <c r="C13" s="13"/>
      <c r="D13" s="13"/>
      <c r="E13" s="13"/>
      <c r="F13" s="13"/>
      <c r="G13" s="209"/>
      <c r="H13" s="14"/>
      <c r="I13" s="14"/>
      <c r="J13" s="902"/>
      <c r="K13" s="210"/>
      <c r="L13" s="210"/>
      <c r="M13" s="887"/>
      <c r="N13" s="35"/>
      <c r="O13" s="35"/>
      <c r="P13" s="35"/>
      <c r="Q13" s="35"/>
      <c r="R13" s="35"/>
      <c r="S13" s="35"/>
      <c r="T13" s="35"/>
      <c r="U13" s="35"/>
      <c r="V13" s="35"/>
      <c r="W13" s="35"/>
      <c r="X13" s="35"/>
      <c r="Y13" s="35"/>
      <c r="Z13" s="126">
        <f t="shared" si="9"/>
        <v>0</v>
      </c>
      <c r="AA13" s="82">
        <f t="shared" si="0"/>
        <v>46298</v>
      </c>
      <c r="AB13" s="81">
        <f t="shared" si="10"/>
        <v>0</v>
      </c>
      <c r="AC13" s="81">
        <f t="shared" si="1"/>
        <v>0</v>
      </c>
      <c r="AD13" s="81">
        <f t="shared" si="2"/>
        <v>0</v>
      </c>
      <c r="AE13" s="81">
        <f t="shared" si="3"/>
        <v>0</v>
      </c>
      <c r="AF13" s="81">
        <f t="shared" si="4"/>
        <v>0</v>
      </c>
      <c r="AG13" s="81">
        <f t="shared" si="5"/>
        <v>0</v>
      </c>
      <c r="AH13" s="81">
        <f t="shared" si="6"/>
        <v>0</v>
      </c>
      <c r="AI13" s="81">
        <f t="shared" si="7"/>
        <v>0</v>
      </c>
      <c r="AJ13" s="127">
        <f t="shared" si="8"/>
        <v>0</v>
      </c>
      <c r="AK13" s="35"/>
      <c r="AL13" s="35"/>
      <c r="AM13" s="35"/>
      <c r="AN13" s="35"/>
      <c r="AO13" s="35"/>
      <c r="AP13" s="35"/>
      <c r="AQ13" s="35"/>
      <c r="AR13" s="35"/>
      <c r="AS13" s="35"/>
      <c r="AT13" s="35"/>
      <c r="AU13" s="35"/>
      <c r="AV13" s="35"/>
      <c r="AW13" s="35"/>
      <c r="AX13" s="35"/>
    </row>
    <row r="14" spans="1:50" s="36" customFormat="1" ht="16.5" customHeight="1">
      <c r="A14" s="35"/>
      <c r="B14" s="20"/>
      <c r="C14" s="13"/>
      <c r="D14" s="13"/>
      <c r="E14" s="13"/>
      <c r="F14" s="13"/>
      <c r="G14" s="209"/>
      <c r="H14" s="14"/>
      <c r="I14" s="14"/>
      <c r="J14" s="902"/>
      <c r="K14" s="210"/>
      <c r="L14" s="210"/>
      <c r="M14" s="887"/>
      <c r="N14" s="35"/>
      <c r="O14" s="35"/>
      <c r="P14" s="35"/>
      <c r="Q14" s="35"/>
      <c r="R14" s="35"/>
      <c r="S14" s="35"/>
      <c r="T14" s="35"/>
      <c r="U14" s="35"/>
      <c r="V14" s="35"/>
      <c r="W14" s="35"/>
      <c r="X14" s="35"/>
      <c r="Y14" s="35"/>
      <c r="Z14" s="126">
        <f t="shared" si="9"/>
        <v>0</v>
      </c>
      <c r="AA14" s="82">
        <f t="shared" si="0"/>
        <v>46298</v>
      </c>
      <c r="AB14" s="81">
        <f t="shared" si="10"/>
        <v>0</v>
      </c>
      <c r="AC14" s="81">
        <f t="shared" si="1"/>
        <v>0</v>
      </c>
      <c r="AD14" s="81">
        <f t="shared" si="2"/>
        <v>0</v>
      </c>
      <c r="AE14" s="81">
        <f t="shared" si="3"/>
        <v>0</v>
      </c>
      <c r="AF14" s="81">
        <f t="shared" si="4"/>
        <v>0</v>
      </c>
      <c r="AG14" s="81">
        <f t="shared" si="5"/>
        <v>0</v>
      </c>
      <c r="AH14" s="81">
        <f t="shared" si="6"/>
        <v>0</v>
      </c>
      <c r="AI14" s="81">
        <f t="shared" si="7"/>
        <v>0</v>
      </c>
      <c r="AJ14" s="127">
        <f t="shared" si="8"/>
        <v>0</v>
      </c>
      <c r="AK14" s="35"/>
      <c r="AL14" s="35"/>
      <c r="AM14" s="35"/>
      <c r="AN14" s="35"/>
      <c r="AO14" s="35"/>
      <c r="AP14" s="35"/>
      <c r="AQ14" s="35"/>
      <c r="AR14" s="35"/>
      <c r="AS14" s="35"/>
      <c r="AT14" s="35"/>
      <c r="AU14" s="35"/>
      <c r="AV14" s="35"/>
      <c r="AW14" s="35"/>
      <c r="AX14" s="35"/>
    </row>
    <row r="15" spans="1:50" s="36" customFormat="1" ht="16.5" customHeight="1">
      <c r="A15" s="35"/>
      <c r="B15" s="20"/>
      <c r="C15" s="13"/>
      <c r="D15" s="13"/>
      <c r="E15" s="13"/>
      <c r="F15" s="13"/>
      <c r="G15" s="13"/>
      <c r="H15" s="14"/>
      <c r="I15" s="14"/>
      <c r="J15" s="209"/>
      <c r="K15" s="210"/>
      <c r="L15" s="210"/>
      <c r="M15" s="129"/>
      <c r="N15" s="35"/>
      <c r="O15" s="35"/>
      <c r="P15" s="35"/>
      <c r="Q15" s="35"/>
      <c r="R15" s="35"/>
      <c r="S15" s="35"/>
      <c r="T15" s="35"/>
      <c r="U15" s="35"/>
      <c r="V15" s="35"/>
      <c r="W15" s="35"/>
      <c r="X15" s="35"/>
      <c r="Y15" s="35"/>
      <c r="Z15" s="126">
        <f t="shared" si="9"/>
        <v>0</v>
      </c>
      <c r="AA15" s="82">
        <f t="shared" si="0"/>
        <v>46298</v>
      </c>
      <c r="AB15" s="81">
        <f t="shared" si="10"/>
        <v>0</v>
      </c>
      <c r="AC15" s="81">
        <f t="shared" si="1"/>
        <v>0</v>
      </c>
      <c r="AD15" s="81">
        <f t="shared" si="2"/>
        <v>0</v>
      </c>
      <c r="AE15" s="81">
        <f t="shared" si="3"/>
        <v>0</v>
      </c>
      <c r="AF15" s="81">
        <f t="shared" si="4"/>
        <v>0</v>
      </c>
      <c r="AG15" s="81">
        <f t="shared" si="5"/>
        <v>0</v>
      </c>
      <c r="AH15" s="81">
        <f t="shared" si="6"/>
        <v>0</v>
      </c>
      <c r="AI15" s="81">
        <f t="shared" si="7"/>
        <v>0</v>
      </c>
      <c r="AJ15" s="127">
        <f t="shared" si="8"/>
        <v>0</v>
      </c>
      <c r="AK15" s="35"/>
      <c r="AL15" s="35"/>
      <c r="AM15" s="35"/>
      <c r="AN15" s="35"/>
      <c r="AO15" s="35"/>
      <c r="AP15" s="35"/>
      <c r="AQ15" s="35"/>
      <c r="AR15" s="35"/>
      <c r="AS15" s="35"/>
      <c r="AT15" s="35"/>
      <c r="AU15" s="35"/>
      <c r="AV15" s="35"/>
      <c r="AW15" s="35"/>
      <c r="AX15" s="35"/>
    </row>
    <row r="16" spans="1:50" s="36" customFormat="1" ht="16.5" customHeight="1">
      <c r="A16" s="35"/>
      <c r="B16" s="20"/>
      <c r="C16" s="13"/>
      <c r="D16" s="13"/>
      <c r="E16" s="13"/>
      <c r="F16" s="13"/>
      <c r="G16" s="13"/>
      <c r="H16" s="14"/>
      <c r="I16" s="14"/>
      <c r="J16" s="209"/>
      <c r="K16" s="210"/>
      <c r="L16" s="210"/>
      <c r="M16" s="129"/>
      <c r="N16" s="35"/>
      <c r="O16" s="35"/>
      <c r="P16" s="35"/>
      <c r="Q16" s="35"/>
      <c r="R16" s="35"/>
      <c r="S16" s="35"/>
      <c r="T16" s="35"/>
      <c r="U16" s="35"/>
      <c r="V16" s="35"/>
      <c r="W16" s="35"/>
      <c r="X16" s="35"/>
      <c r="Y16" s="35"/>
      <c r="Z16" s="126">
        <f t="shared" si="9"/>
        <v>0</v>
      </c>
      <c r="AA16" s="82">
        <f t="shared" si="0"/>
        <v>46298</v>
      </c>
      <c r="AB16" s="81">
        <f t="shared" si="10"/>
        <v>0</v>
      </c>
      <c r="AC16" s="81">
        <f t="shared" si="1"/>
        <v>0</v>
      </c>
      <c r="AD16" s="81">
        <f t="shared" si="2"/>
        <v>0</v>
      </c>
      <c r="AE16" s="81">
        <f t="shared" si="3"/>
        <v>0</v>
      </c>
      <c r="AF16" s="81">
        <f t="shared" si="4"/>
        <v>0</v>
      </c>
      <c r="AG16" s="81">
        <f t="shared" si="5"/>
        <v>0</v>
      </c>
      <c r="AH16" s="81">
        <f t="shared" si="6"/>
        <v>0</v>
      </c>
      <c r="AI16" s="81">
        <f t="shared" si="7"/>
        <v>0</v>
      </c>
      <c r="AJ16" s="127">
        <f t="shared" si="8"/>
        <v>0</v>
      </c>
      <c r="AK16" s="35"/>
      <c r="AL16" s="35"/>
      <c r="AM16" s="35"/>
      <c r="AN16" s="35"/>
      <c r="AO16" s="35"/>
      <c r="AP16" s="35"/>
      <c r="AQ16" s="35"/>
      <c r="AR16" s="35"/>
      <c r="AS16" s="35"/>
      <c r="AT16" s="35"/>
      <c r="AU16" s="35"/>
      <c r="AV16" s="35"/>
      <c r="AW16" s="35"/>
      <c r="AX16" s="35"/>
    </row>
    <row r="17" spans="1:183" s="36" customFormat="1" ht="16.5" customHeight="1">
      <c r="A17" s="35"/>
      <c r="B17" s="20"/>
      <c r="C17" s="12"/>
      <c r="D17" s="12"/>
      <c r="E17" s="13"/>
      <c r="F17" s="14"/>
      <c r="G17" s="13"/>
      <c r="H17" s="14"/>
      <c r="I17" s="14"/>
      <c r="J17" s="209"/>
      <c r="K17" s="210"/>
      <c r="L17" s="210"/>
      <c r="M17" s="129"/>
      <c r="N17" s="35"/>
      <c r="O17" s="35"/>
      <c r="P17" s="35"/>
      <c r="Q17" s="35"/>
      <c r="R17" s="35"/>
      <c r="S17" s="35"/>
      <c r="T17" s="35"/>
      <c r="U17" s="35"/>
      <c r="V17" s="35"/>
      <c r="W17" s="35"/>
      <c r="X17" s="35"/>
      <c r="Y17" s="35"/>
      <c r="Z17" s="126">
        <f t="shared" si="9"/>
        <v>0</v>
      </c>
      <c r="AA17" s="82">
        <f t="shared" si="0"/>
        <v>46298</v>
      </c>
      <c r="AB17" s="81">
        <f t="shared" si="10"/>
        <v>0</v>
      </c>
      <c r="AC17" s="81">
        <f t="shared" si="1"/>
        <v>0</v>
      </c>
      <c r="AD17" s="81">
        <f t="shared" si="2"/>
        <v>0</v>
      </c>
      <c r="AE17" s="81">
        <f t="shared" si="3"/>
        <v>0</v>
      </c>
      <c r="AF17" s="81">
        <f t="shared" si="4"/>
        <v>0</v>
      </c>
      <c r="AG17" s="81">
        <f t="shared" si="5"/>
        <v>0</v>
      </c>
      <c r="AH17" s="81">
        <f t="shared" si="6"/>
        <v>0</v>
      </c>
      <c r="AI17" s="81">
        <f t="shared" si="7"/>
        <v>0</v>
      </c>
      <c r="AJ17" s="127">
        <f t="shared" si="8"/>
        <v>0</v>
      </c>
      <c r="AK17" s="35"/>
      <c r="AL17" s="35"/>
      <c r="AM17" s="35"/>
      <c r="AN17" s="35"/>
      <c r="AO17" s="35"/>
      <c r="AP17" s="35"/>
      <c r="AQ17" s="35"/>
      <c r="AR17" s="35"/>
      <c r="AS17" s="35"/>
      <c r="AT17" s="35"/>
      <c r="AU17" s="35"/>
      <c r="AV17" s="35"/>
      <c r="AW17" s="35"/>
      <c r="AX17" s="35"/>
    </row>
    <row r="18" spans="1:183" s="36" customFormat="1" ht="16.5" customHeight="1">
      <c r="A18" s="35"/>
      <c r="B18" s="20"/>
      <c r="C18" s="12"/>
      <c r="D18" s="12"/>
      <c r="E18" s="13"/>
      <c r="F18" s="14"/>
      <c r="G18" s="13"/>
      <c r="H18" s="14"/>
      <c r="I18" s="14"/>
      <c r="J18" s="209"/>
      <c r="K18" s="210"/>
      <c r="L18" s="210"/>
      <c r="M18" s="129"/>
      <c r="N18" s="35"/>
      <c r="O18" s="35"/>
      <c r="P18" s="35"/>
      <c r="Q18" s="35"/>
      <c r="R18" s="35"/>
      <c r="S18" s="35"/>
      <c r="T18" s="35"/>
      <c r="U18" s="35"/>
      <c r="V18" s="35"/>
      <c r="W18" s="35"/>
      <c r="X18" s="35"/>
      <c r="Y18" s="35"/>
      <c r="Z18" s="126">
        <f t="shared" si="9"/>
        <v>0</v>
      </c>
      <c r="AA18" s="82">
        <f t="shared" si="0"/>
        <v>46298</v>
      </c>
      <c r="AB18" s="81">
        <f t="shared" si="10"/>
        <v>0</v>
      </c>
      <c r="AC18" s="81">
        <f t="shared" si="1"/>
        <v>0</v>
      </c>
      <c r="AD18" s="81">
        <f t="shared" si="2"/>
        <v>0</v>
      </c>
      <c r="AE18" s="81">
        <f t="shared" si="3"/>
        <v>0</v>
      </c>
      <c r="AF18" s="81">
        <f t="shared" si="4"/>
        <v>0</v>
      </c>
      <c r="AG18" s="81">
        <f t="shared" si="5"/>
        <v>0</v>
      </c>
      <c r="AH18" s="81">
        <f t="shared" si="6"/>
        <v>0</v>
      </c>
      <c r="AI18" s="81">
        <f t="shared" si="7"/>
        <v>0</v>
      </c>
      <c r="AJ18" s="127">
        <f t="shared" si="8"/>
        <v>0</v>
      </c>
      <c r="AK18" s="35"/>
      <c r="AL18" s="35"/>
      <c r="AM18" s="35"/>
      <c r="AN18" s="35"/>
      <c r="AO18" s="35"/>
      <c r="AP18" s="35"/>
      <c r="AQ18" s="35"/>
      <c r="AR18" s="35"/>
      <c r="AS18" s="35"/>
      <c r="AT18" s="35"/>
      <c r="AU18" s="35"/>
      <c r="AV18" s="35"/>
      <c r="AW18" s="35"/>
      <c r="AX18" s="35"/>
    </row>
    <row r="19" spans="1:183" s="36" customFormat="1" ht="16.5" customHeight="1">
      <c r="A19" s="35"/>
      <c r="B19" s="20"/>
      <c r="C19" s="12"/>
      <c r="D19" s="12"/>
      <c r="E19" s="13"/>
      <c r="F19" s="14"/>
      <c r="G19" s="13"/>
      <c r="H19" s="14"/>
      <c r="I19" s="14"/>
      <c r="J19" s="209"/>
      <c r="K19" s="210"/>
      <c r="L19" s="210"/>
      <c r="M19" s="129"/>
      <c r="N19" s="35"/>
      <c r="O19" s="35"/>
      <c r="P19" s="35"/>
      <c r="Q19" s="35"/>
      <c r="R19" s="35"/>
      <c r="S19" s="35"/>
      <c r="T19" s="35"/>
      <c r="U19" s="35"/>
      <c r="V19" s="35"/>
      <c r="W19" s="35"/>
      <c r="X19" s="35"/>
      <c r="Y19" s="35"/>
      <c r="Z19" s="126">
        <f t="shared" si="9"/>
        <v>0</v>
      </c>
      <c r="AA19" s="82">
        <f t="shared" si="0"/>
        <v>46298</v>
      </c>
      <c r="AB19" s="81">
        <f t="shared" si="10"/>
        <v>0</v>
      </c>
      <c r="AC19" s="81">
        <f t="shared" si="1"/>
        <v>0</v>
      </c>
      <c r="AD19" s="81">
        <f t="shared" si="2"/>
        <v>0</v>
      </c>
      <c r="AE19" s="81">
        <f t="shared" si="3"/>
        <v>0</v>
      </c>
      <c r="AF19" s="81">
        <f t="shared" si="4"/>
        <v>0</v>
      </c>
      <c r="AG19" s="81">
        <f t="shared" si="5"/>
        <v>0</v>
      </c>
      <c r="AH19" s="81">
        <f t="shared" si="6"/>
        <v>0</v>
      </c>
      <c r="AI19" s="81">
        <f t="shared" si="7"/>
        <v>0</v>
      </c>
      <c r="AJ19" s="127">
        <f t="shared" si="8"/>
        <v>0</v>
      </c>
      <c r="AK19" s="35"/>
      <c r="AL19" s="35"/>
      <c r="AM19" s="35"/>
      <c r="AN19" s="35"/>
      <c r="AO19" s="35"/>
      <c r="AP19" s="35"/>
      <c r="AQ19" s="35"/>
      <c r="AR19" s="35"/>
      <c r="AS19" s="35"/>
      <c r="AT19" s="35"/>
      <c r="AU19" s="35"/>
      <c r="AV19" s="35"/>
      <c r="AW19" s="35"/>
      <c r="AX19" s="35"/>
    </row>
    <row r="20" spans="1:183" s="36" customFormat="1" ht="16.5" customHeight="1">
      <c r="A20" s="35"/>
      <c r="B20" s="903"/>
      <c r="C20" s="904"/>
      <c r="D20" s="904"/>
      <c r="E20" s="13"/>
      <c r="F20" s="14"/>
      <c r="G20" s="13"/>
      <c r="H20" s="14"/>
      <c r="I20" s="14"/>
      <c r="J20" s="209"/>
      <c r="K20" s="210"/>
      <c r="L20" s="210"/>
      <c r="M20" s="129"/>
      <c r="N20" s="35"/>
      <c r="O20" s="35"/>
      <c r="P20" s="35"/>
      <c r="Q20" s="35"/>
      <c r="R20" s="35"/>
      <c r="S20" s="35"/>
      <c r="T20" s="35"/>
      <c r="U20" s="35"/>
      <c r="V20" s="35"/>
      <c r="W20" s="35"/>
      <c r="X20" s="35"/>
      <c r="Y20" s="35"/>
      <c r="Z20" s="126">
        <f t="shared" si="9"/>
        <v>0</v>
      </c>
      <c r="AA20" s="82">
        <f t="shared" si="0"/>
        <v>46298</v>
      </c>
      <c r="AB20" s="81">
        <f t="shared" si="10"/>
        <v>0</v>
      </c>
      <c r="AC20" s="81">
        <f t="shared" si="1"/>
        <v>0</v>
      </c>
      <c r="AD20" s="81">
        <f t="shared" si="2"/>
        <v>0</v>
      </c>
      <c r="AE20" s="81">
        <f t="shared" si="3"/>
        <v>0</v>
      </c>
      <c r="AF20" s="81">
        <f t="shared" si="4"/>
        <v>0</v>
      </c>
      <c r="AG20" s="81">
        <f t="shared" si="5"/>
        <v>0</v>
      </c>
      <c r="AH20" s="81">
        <f t="shared" si="6"/>
        <v>0</v>
      </c>
      <c r="AI20" s="81">
        <f t="shared" si="7"/>
        <v>0</v>
      </c>
      <c r="AJ20" s="127">
        <f t="shared" si="8"/>
        <v>0</v>
      </c>
      <c r="AK20" s="35"/>
      <c r="AL20" s="35"/>
      <c r="AM20" s="35"/>
      <c r="AN20" s="35"/>
      <c r="AO20" s="35"/>
      <c r="AP20" s="35"/>
      <c r="AQ20" s="35"/>
      <c r="AR20" s="35"/>
      <c r="AS20" s="35"/>
      <c r="AT20" s="35"/>
      <c r="AU20" s="35"/>
      <c r="AV20" s="35"/>
      <c r="AW20" s="35"/>
      <c r="AX20" s="35"/>
    </row>
    <row r="21" spans="1:183" s="18" customFormat="1" ht="27.75" customHeight="1">
      <c r="A21" s="51"/>
      <c r="B21" s="193"/>
      <c r="C21" s="193"/>
      <c r="D21" s="193"/>
      <c r="E21" s="194"/>
      <c r="F21" s="193"/>
      <c r="G21" s="193"/>
      <c r="H21" s="193"/>
      <c r="I21" s="194"/>
      <c r="J21" s="193"/>
      <c r="K21" s="193"/>
      <c r="L21" s="193"/>
      <c r="M21" s="193"/>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GA21" s="54"/>
    </row>
    <row r="22" spans="1:183" s="18" customFormat="1" ht="23.25" customHeight="1">
      <c r="A22" s="51"/>
      <c r="B22" s="52"/>
      <c r="C22" s="52"/>
      <c r="D22" s="52"/>
      <c r="E22" s="53"/>
      <c r="F22" s="52"/>
      <c r="G22" s="52"/>
      <c r="H22" s="52"/>
      <c r="I22" s="53"/>
      <c r="J22" s="52"/>
      <c r="K22" s="52"/>
      <c r="L22" s="52"/>
      <c r="M22" s="52"/>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GA22" s="54"/>
    </row>
    <row r="23" spans="1:183" s="18" customFormat="1">
      <c r="A23" s="51"/>
      <c r="B23" s="52"/>
      <c r="C23" s="52"/>
      <c r="D23" s="52"/>
      <c r="E23" s="53"/>
      <c r="F23" s="52"/>
      <c r="G23" s="52"/>
      <c r="H23" s="52"/>
      <c r="I23" s="53"/>
      <c r="J23" s="52"/>
      <c r="K23" s="52"/>
      <c r="L23" s="52"/>
      <c r="M23" s="52"/>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GA23" s="54"/>
    </row>
    <row r="24" spans="1:183" s="18" customFormat="1">
      <c r="A24" s="51"/>
      <c r="B24" s="52"/>
      <c r="C24" s="52"/>
      <c r="D24" s="52"/>
      <c r="E24" s="53"/>
      <c r="F24" s="52"/>
      <c r="G24" s="52"/>
      <c r="H24" s="52"/>
      <c r="I24" s="53"/>
      <c r="J24" s="52"/>
      <c r="K24" s="52"/>
      <c r="L24" s="52"/>
      <c r="M24" s="52"/>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GA24" s="54"/>
    </row>
    <row r="25" spans="1:183" s="18" customFormat="1">
      <c r="A25" s="51"/>
      <c r="B25" s="52"/>
      <c r="C25" s="52"/>
      <c r="D25" s="52"/>
      <c r="E25" s="53"/>
      <c r="F25" s="52"/>
      <c r="G25" s="52"/>
      <c r="H25" s="52"/>
      <c r="I25" s="53"/>
      <c r="J25" s="52"/>
      <c r="K25" s="52"/>
      <c r="L25" s="52"/>
      <c r="M25" s="52"/>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GA25" s="54"/>
    </row>
    <row r="26" spans="1:183" s="18" customFormat="1">
      <c r="A26" s="51"/>
      <c r="B26" s="52"/>
      <c r="C26" s="52"/>
      <c r="D26" s="52"/>
      <c r="E26" s="53"/>
      <c r="F26" s="52"/>
      <c r="G26" s="52"/>
      <c r="H26" s="52"/>
      <c r="I26" s="53"/>
      <c r="J26" s="52"/>
      <c r="K26" s="52"/>
      <c r="L26" s="52"/>
      <c r="M26" s="52"/>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GA26" s="54"/>
    </row>
    <row r="27" spans="1:183" s="18" customFormat="1">
      <c r="A27" s="51"/>
      <c r="B27" s="52"/>
      <c r="C27" s="52"/>
      <c r="D27" s="52"/>
      <c r="E27" s="53"/>
      <c r="F27" s="52"/>
      <c r="G27" s="52"/>
      <c r="H27" s="52"/>
      <c r="I27" s="53"/>
      <c r="J27" s="52"/>
      <c r="K27" s="52"/>
      <c r="L27" s="52"/>
      <c r="M27" s="52"/>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GA27" s="54"/>
    </row>
    <row r="28" spans="1:183" s="18" customFormat="1">
      <c r="A28" s="51"/>
      <c r="B28" s="52"/>
      <c r="C28" s="52"/>
      <c r="D28" s="52"/>
      <c r="E28" s="53"/>
      <c r="F28" s="52"/>
      <c r="G28" s="52"/>
      <c r="H28" s="52"/>
      <c r="I28" s="53"/>
      <c r="J28" s="52"/>
      <c r="K28" s="52"/>
      <c r="L28" s="52"/>
      <c r="M28" s="52"/>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GA28" s="54"/>
    </row>
    <row r="29" spans="1:183" s="18" customFormat="1">
      <c r="A29" s="51"/>
      <c r="B29" s="52"/>
      <c r="C29" s="52"/>
      <c r="D29" s="52"/>
      <c r="E29" s="53"/>
      <c r="F29" s="52"/>
      <c r="G29" s="52"/>
      <c r="H29" s="52"/>
      <c r="I29" s="53"/>
      <c r="J29" s="52"/>
      <c r="K29" s="52"/>
      <c r="L29" s="52"/>
      <c r="M29" s="52"/>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GA29" s="54"/>
    </row>
    <row r="30" spans="1:183" s="18" customFormat="1">
      <c r="A30" s="51"/>
      <c r="B30" s="52"/>
      <c r="C30" s="52"/>
      <c r="D30" s="52"/>
      <c r="E30" s="53"/>
      <c r="F30" s="52"/>
      <c r="G30" s="52"/>
      <c r="H30" s="52"/>
      <c r="I30" s="53"/>
      <c r="J30" s="52"/>
      <c r="K30" s="52"/>
      <c r="L30" s="52"/>
      <c r="M30" s="52"/>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GA30" s="54"/>
    </row>
    <row r="31" spans="1:183" s="18" customFormat="1">
      <c r="A31" s="51"/>
      <c r="B31" s="52"/>
      <c r="C31" s="52"/>
      <c r="D31" s="52"/>
      <c r="E31" s="53"/>
      <c r="F31" s="52"/>
      <c r="G31" s="52"/>
      <c r="H31" s="52"/>
      <c r="I31" s="53"/>
      <c r="J31" s="52"/>
      <c r="K31" s="52"/>
      <c r="L31" s="52"/>
      <c r="M31" s="52"/>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GA31" s="54"/>
    </row>
    <row r="32" spans="1:183" s="18" customFormat="1">
      <c r="A32" s="51"/>
      <c r="B32" s="52"/>
      <c r="C32" s="52"/>
      <c r="D32" s="52"/>
      <c r="E32" s="53"/>
      <c r="F32" s="52"/>
      <c r="G32" s="52"/>
      <c r="H32" s="52"/>
      <c r="I32" s="53"/>
      <c r="J32" s="52"/>
      <c r="K32" s="52"/>
      <c r="L32" s="52"/>
      <c r="M32" s="52"/>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GA32" s="54"/>
    </row>
    <row r="33" spans="1:183" s="18" customFormat="1">
      <c r="A33" s="51"/>
      <c r="B33" s="52"/>
      <c r="C33" s="52"/>
      <c r="D33" s="52"/>
      <c r="E33" s="53"/>
      <c r="F33" s="52"/>
      <c r="G33" s="52"/>
      <c r="H33" s="52"/>
      <c r="I33" s="53"/>
      <c r="J33" s="52"/>
      <c r="K33" s="52"/>
      <c r="L33" s="52"/>
      <c r="M33" s="52"/>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GA33" s="54"/>
    </row>
    <row r="34" spans="1:183" s="18" customFormat="1">
      <c r="A34" s="51"/>
      <c r="B34" s="52"/>
      <c r="C34" s="52"/>
      <c r="D34" s="52"/>
      <c r="E34" s="53"/>
      <c r="F34" s="52"/>
      <c r="G34" s="52"/>
      <c r="H34" s="52"/>
      <c r="I34" s="53"/>
      <c r="J34" s="52"/>
      <c r="K34" s="52"/>
      <c r="L34" s="52"/>
      <c r="M34" s="52"/>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GA34" s="54"/>
    </row>
    <row r="35" spans="1:183" s="18" customFormat="1">
      <c r="A35" s="51"/>
      <c r="B35" s="52"/>
      <c r="C35" s="52"/>
      <c r="D35" s="52"/>
      <c r="E35" s="53"/>
      <c r="F35" s="52"/>
      <c r="G35" s="52"/>
      <c r="H35" s="52"/>
      <c r="I35" s="53"/>
      <c r="J35" s="52"/>
      <c r="K35" s="52"/>
      <c r="L35" s="52"/>
      <c r="M35" s="52"/>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GA35" s="54"/>
    </row>
    <row r="36" spans="1:183" s="18" customFormat="1">
      <c r="A36" s="51"/>
      <c r="B36" s="52"/>
      <c r="C36" s="52"/>
      <c r="D36" s="52"/>
      <c r="E36" s="53"/>
      <c r="F36" s="52"/>
      <c r="G36" s="52"/>
      <c r="H36" s="52"/>
      <c r="I36" s="53"/>
      <c r="J36" s="52"/>
      <c r="K36" s="52"/>
      <c r="L36" s="52"/>
      <c r="M36" s="52"/>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GA36" s="54"/>
    </row>
    <row r="37" spans="1:183" s="18" customFormat="1">
      <c r="A37" s="51"/>
      <c r="B37" s="52"/>
      <c r="C37" s="52"/>
      <c r="D37" s="52"/>
      <c r="E37" s="53"/>
      <c r="F37" s="52"/>
      <c r="G37" s="52"/>
      <c r="H37" s="52"/>
      <c r="I37" s="53"/>
      <c r="J37" s="52"/>
      <c r="K37" s="52"/>
      <c r="L37" s="52"/>
      <c r="M37" s="52"/>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GA37" s="54"/>
    </row>
    <row r="38" spans="1:183" s="18" customFormat="1">
      <c r="A38" s="51"/>
      <c r="B38" s="52"/>
      <c r="C38" s="52"/>
      <c r="D38" s="52"/>
      <c r="E38" s="53"/>
      <c r="F38" s="52"/>
      <c r="G38" s="52"/>
      <c r="H38" s="52"/>
      <c r="I38" s="53"/>
      <c r="J38" s="52"/>
      <c r="K38" s="52"/>
      <c r="L38" s="52"/>
      <c r="M38" s="52"/>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GA38" s="54"/>
    </row>
    <row r="39" spans="1:183" s="18" customFormat="1">
      <c r="A39" s="51"/>
      <c r="B39" s="52"/>
      <c r="C39" s="52"/>
      <c r="D39" s="52"/>
      <c r="E39" s="53"/>
      <c r="F39" s="52"/>
      <c r="G39" s="52"/>
      <c r="H39" s="52"/>
      <c r="I39" s="53"/>
      <c r="J39" s="52"/>
      <c r="K39" s="52"/>
      <c r="L39" s="52"/>
      <c r="M39" s="52"/>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GA39" s="54"/>
    </row>
    <row r="40" spans="1:183" s="18" customFormat="1">
      <c r="A40" s="51"/>
      <c r="B40" s="52"/>
      <c r="C40" s="52"/>
      <c r="D40" s="52"/>
      <c r="E40" s="53"/>
      <c r="F40" s="52"/>
      <c r="G40" s="52"/>
      <c r="H40" s="52"/>
      <c r="I40" s="53"/>
      <c r="J40" s="52"/>
      <c r="K40" s="52"/>
      <c r="L40" s="52"/>
      <c r="M40" s="52"/>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GA40" s="54"/>
    </row>
    <row r="41" spans="1:183" s="18" customFormat="1">
      <c r="A41" s="51"/>
      <c r="B41" s="52"/>
      <c r="C41" s="52"/>
      <c r="D41" s="52"/>
      <c r="E41" s="53"/>
      <c r="F41" s="52"/>
      <c r="G41" s="52"/>
      <c r="H41" s="52"/>
      <c r="I41" s="53"/>
      <c r="J41" s="52"/>
      <c r="K41" s="52"/>
      <c r="L41" s="52"/>
      <c r="M41" s="52"/>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GA41" s="54"/>
    </row>
    <row r="42" spans="1:183" s="18" customFormat="1">
      <c r="A42" s="51"/>
      <c r="B42" s="52"/>
      <c r="C42" s="52"/>
      <c r="D42" s="52"/>
      <c r="E42" s="53"/>
      <c r="F42" s="52"/>
      <c r="G42" s="52"/>
      <c r="H42" s="52"/>
      <c r="I42" s="53"/>
      <c r="J42" s="52"/>
      <c r="K42" s="52"/>
      <c r="L42" s="52"/>
      <c r="M42" s="52"/>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GA42" s="54"/>
    </row>
    <row r="43" spans="1:183" s="18" customFormat="1">
      <c r="A43" s="51"/>
      <c r="B43" s="52"/>
      <c r="C43" s="52"/>
      <c r="D43" s="52"/>
      <c r="E43" s="53"/>
      <c r="F43" s="52"/>
      <c r="G43" s="52"/>
      <c r="H43" s="52"/>
      <c r="I43" s="53"/>
      <c r="J43" s="52"/>
      <c r="K43" s="52"/>
      <c r="L43" s="52"/>
      <c r="M43" s="52"/>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GA43" s="54"/>
    </row>
    <row r="44" spans="1:183" s="18" customFormat="1">
      <c r="A44" s="51"/>
      <c r="B44" s="52"/>
      <c r="C44" s="52"/>
      <c r="D44" s="52"/>
      <c r="E44" s="53"/>
      <c r="F44" s="52"/>
      <c r="G44" s="52"/>
      <c r="H44" s="52"/>
      <c r="I44" s="53"/>
      <c r="J44" s="52"/>
      <c r="K44" s="52"/>
      <c r="L44" s="52"/>
      <c r="M44" s="52"/>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GA44" s="54"/>
    </row>
    <row r="45" spans="1:183" s="18" customFormat="1">
      <c r="A45" s="51"/>
      <c r="B45" s="52"/>
      <c r="C45" s="52"/>
      <c r="D45" s="52"/>
      <c r="E45" s="53"/>
      <c r="F45" s="52"/>
      <c r="G45" s="52"/>
      <c r="H45" s="52"/>
      <c r="I45" s="53"/>
      <c r="J45" s="52"/>
      <c r="K45" s="52"/>
      <c r="L45" s="52"/>
      <c r="M45" s="52"/>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GA45" s="54"/>
    </row>
    <row r="46" spans="1:183" s="18" customFormat="1">
      <c r="A46" s="51"/>
      <c r="B46" s="52"/>
      <c r="C46" s="52"/>
      <c r="D46" s="52"/>
      <c r="E46" s="53"/>
      <c r="F46" s="52"/>
      <c r="G46" s="52"/>
      <c r="H46" s="52"/>
      <c r="I46" s="53"/>
      <c r="J46" s="52"/>
      <c r="K46" s="52"/>
      <c r="L46" s="52"/>
      <c r="M46" s="52"/>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GA46" s="54"/>
    </row>
    <row r="47" spans="1:183" s="18" customFormat="1">
      <c r="A47" s="51"/>
      <c r="B47" s="52"/>
      <c r="C47" s="52"/>
      <c r="D47" s="52"/>
      <c r="E47" s="53"/>
      <c r="F47" s="52"/>
      <c r="G47" s="52"/>
      <c r="H47" s="52"/>
      <c r="I47" s="53"/>
      <c r="J47" s="52"/>
      <c r="K47" s="52"/>
      <c r="L47" s="52"/>
      <c r="M47" s="52"/>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GA47" s="54"/>
    </row>
    <row r="48" spans="1:183" s="18" customFormat="1">
      <c r="A48" s="51"/>
      <c r="B48" s="52"/>
      <c r="C48" s="52"/>
      <c r="D48" s="52"/>
      <c r="E48" s="53"/>
      <c r="F48" s="52"/>
      <c r="G48" s="52"/>
      <c r="H48" s="52"/>
      <c r="I48" s="53"/>
      <c r="J48" s="52"/>
      <c r="K48" s="52"/>
      <c r="L48" s="52"/>
      <c r="M48" s="52"/>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GA48" s="54"/>
    </row>
    <row r="49" spans="1:183" s="18" customFormat="1">
      <c r="A49" s="51"/>
      <c r="B49" s="52"/>
      <c r="C49" s="52"/>
      <c r="D49" s="52"/>
      <c r="E49" s="53"/>
      <c r="F49" s="52"/>
      <c r="G49" s="52"/>
      <c r="H49" s="52"/>
      <c r="I49" s="53"/>
      <c r="J49" s="52"/>
      <c r="K49" s="52"/>
      <c r="L49" s="52"/>
      <c r="M49" s="52"/>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GA49" s="54"/>
    </row>
    <row r="50" spans="1:183" s="18" customFormat="1">
      <c r="A50" s="51"/>
      <c r="B50" s="52"/>
      <c r="C50" s="52"/>
      <c r="D50" s="52"/>
      <c r="E50" s="53"/>
      <c r="F50" s="52"/>
      <c r="G50" s="52"/>
      <c r="H50" s="52"/>
      <c r="I50" s="53"/>
      <c r="J50" s="52"/>
      <c r="K50" s="52"/>
      <c r="L50" s="52"/>
      <c r="M50" s="52"/>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GA50" s="54"/>
    </row>
    <row r="51" spans="1:183" s="18" customFormat="1">
      <c r="A51" s="51"/>
      <c r="B51" s="52"/>
      <c r="C51" s="52"/>
      <c r="D51" s="52"/>
      <c r="E51" s="53"/>
      <c r="F51" s="52"/>
      <c r="G51" s="52"/>
      <c r="H51" s="52"/>
      <c r="I51" s="53"/>
      <c r="J51" s="52"/>
      <c r="K51" s="52"/>
      <c r="L51" s="52"/>
      <c r="M51" s="52"/>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GA51" s="54"/>
    </row>
    <row r="52" spans="1:183" s="18" customFormat="1">
      <c r="A52" s="51"/>
      <c r="B52" s="52"/>
      <c r="C52" s="52"/>
      <c r="D52" s="52"/>
      <c r="E52" s="53"/>
      <c r="F52" s="52"/>
      <c r="G52" s="52"/>
      <c r="H52" s="52"/>
      <c r="I52" s="53"/>
      <c r="J52" s="52"/>
      <c r="K52" s="52"/>
      <c r="L52" s="52"/>
      <c r="M52" s="52"/>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GA52" s="54"/>
    </row>
    <row r="53" spans="1:183" s="18" customFormat="1">
      <c r="A53" s="51"/>
      <c r="B53" s="52"/>
      <c r="C53" s="52"/>
      <c r="D53" s="52"/>
      <c r="E53" s="53"/>
      <c r="F53" s="52"/>
      <c r="G53" s="52"/>
      <c r="H53" s="52"/>
      <c r="I53" s="53"/>
      <c r="J53" s="52"/>
      <c r="K53" s="52"/>
      <c r="L53" s="52"/>
      <c r="M53" s="52"/>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GA53" s="54"/>
    </row>
    <row r="54" spans="1:183" s="18" customFormat="1">
      <c r="A54" s="51"/>
      <c r="B54" s="52"/>
      <c r="C54" s="52"/>
      <c r="D54" s="52"/>
      <c r="E54" s="53"/>
      <c r="F54" s="52"/>
      <c r="G54" s="52"/>
      <c r="H54" s="52"/>
      <c r="I54" s="53"/>
      <c r="J54" s="52"/>
      <c r="K54" s="52"/>
      <c r="L54" s="52"/>
      <c r="M54" s="52"/>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GA54" s="54"/>
    </row>
    <row r="55" spans="1:183" s="18" customFormat="1">
      <c r="A55" s="51"/>
      <c r="B55" s="52"/>
      <c r="C55" s="52"/>
      <c r="D55" s="52"/>
      <c r="E55" s="53"/>
      <c r="F55" s="52"/>
      <c r="G55" s="52"/>
      <c r="H55" s="52"/>
      <c r="I55" s="53"/>
      <c r="J55" s="52"/>
      <c r="K55" s="52"/>
      <c r="L55" s="52"/>
      <c r="M55" s="52"/>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GA55" s="54"/>
    </row>
    <row r="56" spans="1:183" s="18" customFormat="1">
      <c r="A56" s="51"/>
      <c r="B56" s="52"/>
      <c r="C56" s="52"/>
      <c r="D56" s="52"/>
      <c r="E56" s="53"/>
      <c r="F56" s="52"/>
      <c r="G56" s="52"/>
      <c r="H56" s="52"/>
      <c r="I56" s="53"/>
      <c r="J56" s="52"/>
      <c r="K56" s="52"/>
      <c r="L56" s="52"/>
      <c r="M56" s="52"/>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GA56" s="54"/>
    </row>
    <row r="57" spans="1:183" s="18" customFormat="1">
      <c r="A57" s="51"/>
      <c r="B57" s="52"/>
      <c r="C57" s="52"/>
      <c r="D57" s="52"/>
      <c r="E57" s="53"/>
      <c r="F57" s="52"/>
      <c r="G57" s="52"/>
      <c r="H57" s="52"/>
      <c r="I57" s="53"/>
      <c r="J57" s="52"/>
      <c r="K57" s="52"/>
      <c r="L57" s="52"/>
      <c r="M57" s="52"/>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GA57" s="54"/>
    </row>
    <row r="58" spans="1:183" s="18" customFormat="1">
      <c r="A58" s="51"/>
      <c r="B58" s="52"/>
      <c r="C58" s="52"/>
      <c r="D58" s="52"/>
      <c r="E58" s="53"/>
      <c r="F58" s="52"/>
      <c r="G58" s="52"/>
      <c r="H58" s="52"/>
      <c r="I58" s="53"/>
      <c r="J58" s="52"/>
      <c r="K58" s="52"/>
      <c r="L58" s="52"/>
      <c r="M58" s="52"/>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GA58" s="54"/>
    </row>
    <row r="59" spans="1:183" s="18" customFormat="1">
      <c r="A59" s="51"/>
      <c r="B59" s="52"/>
      <c r="C59" s="52"/>
      <c r="D59" s="52"/>
      <c r="E59" s="53"/>
      <c r="F59" s="52"/>
      <c r="G59" s="52"/>
      <c r="H59" s="52"/>
      <c r="I59" s="53"/>
      <c r="J59" s="52"/>
      <c r="K59" s="52"/>
      <c r="L59" s="52"/>
      <c r="M59" s="52"/>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GA59" s="54"/>
    </row>
    <row r="60" spans="1:183" s="18" customFormat="1">
      <c r="A60" s="51"/>
      <c r="B60" s="52"/>
      <c r="C60" s="52"/>
      <c r="D60" s="52"/>
      <c r="E60" s="53"/>
      <c r="F60" s="52"/>
      <c r="G60" s="52"/>
      <c r="H60" s="52"/>
      <c r="I60" s="53"/>
      <c r="J60" s="52"/>
      <c r="K60" s="52"/>
      <c r="L60" s="52"/>
      <c r="M60" s="52"/>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GA60" s="54"/>
    </row>
    <row r="61" spans="1:183" s="18" customFormat="1">
      <c r="A61" s="51"/>
      <c r="B61" s="52"/>
      <c r="C61" s="52"/>
      <c r="D61" s="52"/>
      <c r="E61" s="53"/>
      <c r="F61" s="52"/>
      <c r="G61" s="52"/>
      <c r="H61" s="52"/>
      <c r="I61" s="53"/>
      <c r="J61" s="52"/>
      <c r="K61" s="52"/>
      <c r="L61" s="52"/>
      <c r="M61" s="52"/>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GA61" s="54"/>
    </row>
    <row r="62" spans="1:183" s="18" customFormat="1">
      <c r="A62" s="51"/>
      <c r="B62" s="52"/>
      <c r="C62" s="52"/>
      <c r="D62" s="52"/>
      <c r="E62" s="53"/>
      <c r="F62" s="52"/>
      <c r="G62" s="52"/>
      <c r="H62" s="52"/>
      <c r="I62" s="53"/>
      <c r="J62" s="52"/>
      <c r="K62" s="52"/>
      <c r="L62" s="52"/>
      <c r="M62" s="52"/>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GA62" s="54"/>
    </row>
    <row r="63" spans="1:183" s="18" customFormat="1">
      <c r="A63" s="51"/>
      <c r="B63" s="52"/>
      <c r="C63" s="52"/>
      <c r="D63" s="52"/>
      <c r="E63" s="53"/>
      <c r="F63" s="52"/>
      <c r="G63" s="52"/>
      <c r="H63" s="52"/>
      <c r="I63" s="53"/>
      <c r="J63" s="52"/>
      <c r="K63" s="52"/>
      <c r="L63" s="52"/>
      <c r="M63" s="52"/>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GA63" s="54"/>
    </row>
    <row r="64" spans="1:183" s="18" customFormat="1">
      <c r="A64" s="51"/>
      <c r="B64" s="52"/>
      <c r="C64" s="52"/>
      <c r="D64" s="52"/>
      <c r="E64" s="53"/>
      <c r="F64" s="52"/>
      <c r="G64" s="52"/>
      <c r="H64" s="52"/>
      <c r="I64" s="53"/>
      <c r="J64" s="52"/>
      <c r="K64" s="52"/>
      <c r="L64" s="52"/>
      <c r="M64" s="52"/>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GA64" s="54"/>
    </row>
    <row r="65" spans="1:183" s="18" customFormat="1">
      <c r="A65" s="51"/>
      <c r="B65" s="52"/>
      <c r="C65" s="52"/>
      <c r="D65" s="52"/>
      <c r="E65" s="53"/>
      <c r="F65" s="52"/>
      <c r="G65" s="52"/>
      <c r="H65" s="52"/>
      <c r="I65" s="53"/>
      <c r="J65" s="52"/>
      <c r="K65" s="52"/>
      <c r="L65" s="52"/>
      <c r="M65" s="52"/>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GA65" s="54"/>
    </row>
    <row r="66" spans="1:183" s="18" customFormat="1">
      <c r="A66" s="51"/>
      <c r="B66" s="52"/>
      <c r="C66" s="52"/>
      <c r="D66" s="52"/>
      <c r="E66" s="53"/>
      <c r="F66" s="52"/>
      <c r="G66" s="52"/>
      <c r="H66" s="52"/>
      <c r="I66" s="53"/>
      <c r="J66" s="52"/>
      <c r="K66" s="52"/>
      <c r="L66" s="52"/>
      <c r="M66" s="52"/>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GA66" s="54"/>
    </row>
    <row r="67" spans="1:183" s="18" customFormat="1">
      <c r="A67" s="51"/>
      <c r="B67" s="52"/>
      <c r="C67" s="52"/>
      <c r="D67" s="52"/>
      <c r="E67" s="53"/>
      <c r="F67" s="52"/>
      <c r="G67" s="52"/>
      <c r="H67" s="52"/>
      <c r="I67" s="53"/>
      <c r="J67" s="52"/>
      <c r="K67" s="52"/>
      <c r="L67" s="52"/>
      <c r="M67" s="52"/>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GA67" s="54"/>
    </row>
    <row r="68" spans="1:183" s="18" customFormat="1">
      <c r="A68" s="51"/>
      <c r="B68" s="52"/>
      <c r="C68" s="52"/>
      <c r="D68" s="52"/>
      <c r="E68" s="53"/>
      <c r="F68" s="52"/>
      <c r="G68" s="52"/>
      <c r="H68" s="52"/>
      <c r="I68" s="53"/>
      <c r="J68" s="52"/>
      <c r="K68" s="52"/>
      <c r="L68" s="52"/>
      <c r="M68" s="52"/>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GA68" s="54"/>
    </row>
    <row r="69" spans="1:183" s="18" customFormat="1">
      <c r="A69" s="51"/>
      <c r="B69" s="52"/>
      <c r="C69" s="52"/>
      <c r="D69" s="52"/>
      <c r="E69" s="53"/>
      <c r="F69" s="52"/>
      <c r="G69" s="52"/>
      <c r="H69" s="52"/>
      <c r="I69" s="53"/>
      <c r="J69" s="52"/>
      <c r="K69" s="52"/>
      <c r="L69" s="52"/>
      <c r="M69" s="52"/>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GA69" s="54"/>
    </row>
    <row r="70" spans="1:183" s="18" customFormat="1">
      <c r="A70" s="51"/>
      <c r="B70" s="52"/>
      <c r="C70" s="52"/>
      <c r="D70" s="52"/>
      <c r="E70" s="53"/>
      <c r="F70" s="52"/>
      <c r="G70" s="52"/>
      <c r="H70" s="52"/>
      <c r="I70" s="53"/>
      <c r="J70" s="52"/>
      <c r="K70" s="52"/>
      <c r="L70" s="52"/>
      <c r="M70" s="52"/>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GA70" s="54"/>
    </row>
    <row r="71" spans="1:183" s="18" customFormat="1">
      <c r="A71" s="51"/>
      <c r="B71" s="52"/>
      <c r="C71" s="52"/>
      <c r="D71" s="52"/>
      <c r="E71" s="53"/>
      <c r="F71" s="52"/>
      <c r="G71" s="52"/>
      <c r="H71" s="52"/>
      <c r="I71" s="53"/>
      <c r="J71" s="52"/>
      <c r="K71" s="52"/>
      <c r="L71" s="52"/>
      <c r="M71" s="52"/>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GA71" s="54"/>
    </row>
    <row r="72" spans="1:183" s="18" customFormat="1">
      <c r="A72" s="51"/>
      <c r="B72" s="52"/>
      <c r="C72" s="52"/>
      <c r="D72" s="52"/>
      <c r="E72" s="53"/>
      <c r="F72" s="52"/>
      <c r="G72" s="52"/>
      <c r="H72" s="52"/>
      <c r="I72" s="53"/>
      <c r="J72" s="52"/>
      <c r="K72" s="52"/>
      <c r="L72" s="52"/>
      <c r="M72" s="52"/>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GA72" s="54"/>
    </row>
    <row r="73" spans="1:183" s="18" customFormat="1">
      <c r="A73" s="51"/>
      <c r="B73" s="52"/>
      <c r="C73" s="52"/>
      <c r="D73" s="52"/>
      <c r="E73" s="53"/>
      <c r="F73" s="52"/>
      <c r="G73" s="52"/>
      <c r="H73" s="52"/>
      <c r="I73" s="53"/>
      <c r="J73" s="52"/>
      <c r="K73" s="52"/>
      <c r="L73" s="52"/>
      <c r="M73" s="52"/>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GA73" s="54"/>
    </row>
    <row r="74" spans="1:183" s="18" customFormat="1">
      <c r="A74" s="51"/>
      <c r="B74" s="52"/>
      <c r="C74" s="52"/>
      <c r="D74" s="52"/>
      <c r="E74" s="53"/>
      <c r="F74" s="52"/>
      <c r="G74" s="52"/>
      <c r="H74" s="52"/>
      <c r="I74" s="53"/>
      <c r="J74" s="52"/>
      <c r="K74" s="52"/>
      <c r="L74" s="52"/>
      <c r="M74" s="52"/>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GA74" s="54"/>
    </row>
    <row r="75" spans="1:183" s="18" customFormat="1">
      <c r="A75" s="51"/>
      <c r="B75" s="52"/>
      <c r="C75" s="52"/>
      <c r="D75" s="52"/>
      <c r="E75" s="53"/>
      <c r="F75" s="52"/>
      <c r="G75" s="52"/>
      <c r="H75" s="52"/>
      <c r="I75" s="53"/>
      <c r="J75" s="52"/>
      <c r="K75" s="52"/>
      <c r="L75" s="52"/>
      <c r="M75" s="52"/>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GA75" s="54"/>
    </row>
    <row r="76" spans="1:183" s="18" customFormat="1">
      <c r="A76" s="51"/>
      <c r="B76" s="52"/>
      <c r="C76" s="52"/>
      <c r="D76" s="52"/>
      <c r="E76" s="53"/>
      <c r="F76" s="52"/>
      <c r="G76" s="52"/>
      <c r="H76" s="52"/>
      <c r="I76" s="53"/>
      <c r="J76" s="52"/>
      <c r="K76" s="52"/>
      <c r="L76" s="52"/>
      <c r="M76" s="52"/>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GA76" s="54"/>
    </row>
    <row r="77" spans="1:183" s="18" customFormat="1">
      <c r="A77" s="51"/>
      <c r="B77" s="52"/>
      <c r="C77" s="52"/>
      <c r="D77" s="52"/>
      <c r="E77" s="53"/>
      <c r="F77" s="52"/>
      <c r="G77" s="52"/>
      <c r="H77" s="52"/>
      <c r="I77" s="53"/>
      <c r="J77" s="52"/>
      <c r="K77" s="52"/>
      <c r="L77" s="52"/>
      <c r="M77" s="52"/>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GA77" s="54"/>
    </row>
    <row r="78" spans="1:183" s="18" customFormat="1">
      <c r="A78" s="51"/>
      <c r="B78" s="52"/>
      <c r="C78" s="52"/>
      <c r="D78" s="52"/>
      <c r="E78" s="53"/>
      <c r="F78" s="52"/>
      <c r="G78" s="52"/>
      <c r="H78" s="52"/>
      <c r="I78" s="53"/>
      <c r="J78" s="52"/>
      <c r="K78" s="52"/>
      <c r="L78" s="52"/>
      <c r="M78" s="52"/>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GA78" s="54"/>
    </row>
    <row r="79" spans="1:183" s="18" customFormat="1">
      <c r="A79" s="51"/>
      <c r="B79" s="52"/>
      <c r="C79" s="52"/>
      <c r="D79" s="52"/>
      <c r="E79" s="53"/>
      <c r="F79" s="52"/>
      <c r="G79" s="52"/>
      <c r="H79" s="52"/>
      <c r="I79" s="53"/>
      <c r="J79" s="52"/>
      <c r="K79" s="52"/>
      <c r="L79" s="52"/>
      <c r="M79" s="52"/>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GA79" s="54"/>
    </row>
    <row r="80" spans="1:183" s="18" customFormat="1">
      <c r="A80" s="51"/>
      <c r="B80" s="52"/>
      <c r="C80" s="52"/>
      <c r="D80" s="52"/>
      <c r="E80" s="53"/>
      <c r="F80" s="52"/>
      <c r="G80" s="52"/>
      <c r="H80" s="52"/>
      <c r="I80" s="53"/>
      <c r="J80" s="52"/>
      <c r="K80" s="52"/>
      <c r="L80" s="52"/>
      <c r="M80" s="52"/>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GA80" s="54"/>
    </row>
    <row r="81" spans="1:183" s="18" customFormat="1">
      <c r="A81" s="51"/>
      <c r="B81" s="52"/>
      <c r="C81" s="52"/>
      <c r="D81" s="52"/>
      <c r="E81" s="53"/>
      <c r="F81" s="52"/>
      <c r="G81" s="52"/>
      <c r="H81" s="52"/>
      <c r="I81" s="53"/>
      <c r="J81" s="52"/>
      <c r="K81" s="52"/>
      <c r="L81" s="52"/>
      <c r="M81" s="52"/>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GA81" s="54"/>
    </row>
    <row r="82" spans="1:183" s="18" customFormat="1">
      <c r="A82" s="51"/>
      <c r="B82" s="52"/>
      <c r="C82" s="52"/>
      <c r="D82" s="52"/>
      <c r="E82" s="53"/>
      <c r="F82" s="52"/>
      <c r="G82" s="52"/>
      <c r="H82" s="52"/>
      <c r="I82" s="53"/>
      <c r="J82" s="52"/>
      <c r="K82" s="52"/>
      <c r="L82" s="52"/>
      <c r="M82" s="52"/>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GA82" s="54"/>
    </row>
    <row r="83" spans="1:183" s="18" customFormat="1">
      <c r="A83" s="51"/>
      <c r="B83" s="52"/>
      <c r="C83" s="52"/>
      <c r="D83" s="52"/>
      <c r="E83" s="53"/>
      <c r="F83" s="52"/>
      <c r="G83" s="52"/>
      <c r="H83" s="52"/>
      <c r="I83" s="53"/>
      <c r="J83" s="52"/>
      <c r="K83" s="52"/>
      <c r="L83" s="52"/>
      <c r="M83" s="52"/>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GA83" s="54"/>
    </row>
    <row r="84" spans="1:183" s="18" customFormat="1">
      <c r="A84" s="51"/>
      <c r="B84" s="52"/>
      <c r="C84" s="52"/>
      <c r="D84" s="52"/>
      <c r="E84" s="53"/>
      <c r="F84" s="52"/>
      <c r="G84" s="52"/>
      <c r="H84" s="52"/>
      <c r="I84" s="53"/>
      <c r="J84" s="52"/>
      <c r="K84" s="52"/>
      <c r="L84" s="52"/>
      <c r="M84" s="52"/>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GA84" s="54"/>
    </row>
    <row r="85" spans="1:183" s="18" customFormat="1">
      <c r="A85" s="51"/>
      <c r="B85" s="52"/>
      <c r="C85" s="52"/>
      <c r="D85" s="52"/>
      <c r="E85" s="53"/>
      <c r="F85" s="52"/>
      <c r="G85" s="52"/>
      <c r="H85" s="52"/>
      <c r="I85" s="53"/>
      <c r="J85" s="52"/>
      <c r="K85" s="52"/>
      <c r="L85" s="52"/>
      <c r="M85" s="52"/>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GA85" s="54"/>
    </row>
    <row r="86" spans="1:183" s="18" customFormat="1">
      <c r="A86" s="51"/>
      <c r="B86" s="52"/>
      <c r="C86" s="52"/>
      <c r="D86" s="52"/>
      <c r="E86" s="53"/>
      <c r="F86" s="52"/>
      <c r="G86" s="52"/>
      <c r="H86" s="52"/>
      <c r="I86" s="53"/>
      <c r="J86" s="52"/>
      <c r="K86" s="52"/>
      <c r="L86" s="52"/>
      <c r="M86" s="52"/>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GA86" s="54"/>
    </row>
    <row r="87" spans="1:183" s="18" customFormat="1">
      <c r="A87" s="51"/>
      <c r="B87" s="52"/>
      <c r="C87" s="52"/>
      <c r="D87" s="52"/>
      <c r="E87" s="53"/>
      <c r="F87" s="52"/>
      <c r="G87" s="52"/>
      <c r="H87" s="52"/>
      <c r="I87" s="53"/>
      <c r="J87" s="52"/>
      <c r="K87" s="52"/>
      <c r="L87" s="52"/>
      <c r="M87" s="52"/>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GA87" s="54"/>
    </row>
    <row r="88" spans="1:183" s="18" customFormat="1">
      <c r="A88" s="51"/>
      <c r="B88" s="52"/>
      <c r="C88" s="52"/>
      <c r="D88" s="52"/>
      <c r="E88" s="53"/>
      <c r="F88" s="52"/>
      <c r="G88" s="52"/>
      <c r="H88" s="52"/>
      <c r="I88" s="53"/>
      <c r="J88" s="52"/>
      <c r="K88" s="52"/>
      <c r="L88" s="52"/>
      <c r="M88" s="52"/>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GA88" s="54"/>
    </row>
    <row r="89" spans="1:183" s="18" customFormat="1">
      <c r="A89" s="51"/>
      <c r="B89" s="52"/>
      <c r="C89" s="52"/>
      <c r="D89" s="52"/>
      <c r="E89" s="53"/>
      <c r="F89" s="52"/>
      <c r="G89" s="52"/>
      <c r="H89" s="52"/>
      <c r="I89" s="53"/>
      <c r="J89" s="52"/>
      <c r="K89" s="52"/>
      <c r="L89" s="52"/>
      <c r="M89" s="52"/>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GA89" s="54"/>
    </row>
    <row r="90" spans="1:183" s="18" customFormat="1">
      <c r="A90" s="51"/>
      <c r="B90" s="52"/>
      <c r="C90" s="52"/>
      <c r="D90" s="52"/>
      <c r="E90" s="53"/>
      <c r="F90" s="52"/>
      <c r="G90" s="52"/>
      <c r="H90" s="52"/>
      <c r="I90" s="53"/>
      <c r="J90" s="52"/>
      <c r="K90" s="52"/>
      <c r="L90" s="52"/>
      <c r="M90" s="52"/>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GA90" s="54"/>
    </row>
    <row r="91" spans="1:183" s="18" customFormat="1">
      <c r="A91" s="51"/>
      <c r="B91" s="52"/>
      <c r="C91" s="52"/>
      <c r="D91" s="52"/>
      <c r="E91" s="53"/>
      <c r="F91" s="52"/>
      <c r="G91" s="52"/>
      <c r="H91" s="52"/>
      <c r="I91" s="53"/>
      <c r="J91" s="52"/>
      <c r="K91" s="52"/>
      <c r="L91" s="52"/>
      <c r="M91" s="52"/>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GA91" s="54"/>
    </row>
    <row r="92" spans="1:183" s="18" customFormat="1">
      <c r="A92" s="51"/>
      <c r="B92" s="52"/>
      <c r="C92" s="52"/>
      <c r="D92" s="52"/>
      <c r="E92" s="53"/>
      <c r="F92" s="52"/>
      <c r="G92" s="52"/>
      <c r="H92" s="52"/>
      <c r="I92" s="53"/>
      <c r="J92" s="52"/>
      <c r="K92" s="52"/>
      <c r="L92" s="52"/>
      <c r="M92" s="52"/>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GA92" s="54"/>
    </row>
    <row r="93" spans="1:183" s="18" customFormat="1">
      <c r="A93" s="51"/>
      <c r="B93" s="52"/>
      <c r="C93" s="52"/>
      <c r="D93" s="52"/>
      <c r="E93" s="53"/>
      <c r="F93" s="52"/>
      <c r="G93" s="52"/>
      <c r="H93" s="52"/>
      <c r="I93" s="53"/>
      <c r="J93" s="52"/>
      <c r="K93" s="52"/>
      <c r="L93" s="52"/>
      <c r="M93" s="52"/>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GA93" s="54"/>
    </row>
    <row r="94" spans="1:183" s="18" customFormat="1">
      <c r="A94" s="51"/>
      <c r="B94" s="52"/>
      <c r="C94" s="52"/>
      <c r="D94" s="52"/>
      <c r="E94" s="53"/>
      <c r="F94" s="52"/>
      <c r="G94" s="52"/>
      <c r="H94" s="52"/>
      <c r="I94" s="53"/>
      <c r="J94" s="52"/>
      <c r="K94" s="52"/>
      <c r="L94" s="52"/>
      <c r="M94" s="52"/>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GA94" s="54"/>
    </row>
    <row r="95" spans="1:183" s="18" customFormat="1">
      <c r="A95" s="51"/>
      <c r="B95" s="52"/>
      <c r="C95" s="52"/>
      <c r="D95" s="52"/>
      <c r="E95" s="53"/>
      <c r="F95" s="52"/>
      <c r="G95" s="52"/>
      <c r="H95" s="52"/>
      <c r="I95" s="53"/>
      <c r="J95" s="52"/>
      <c r="K95" s="52"/>
      <c r="L95" s="52"/>
      <c r="M95" s="52"/>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GA95" s="54"/>
    </row>
    <row r="96" spans="1:183" s="18" customFormat="1">
      <c r="A96" s="51"/>
      <c r="B96" s="52"/>
      <c r="C96" s="52"/>
      <c r="D96" s="52"/>
      <c r="E96" s="53"/>
      <c r="F96" s="52"/>
      <c r="G96" s="52"/>
      <c r="H96" s="52"/>
      <c r="I96" s="53"/>
      <c r="J96" s="52"/>
      <c r="K96" s="52"/>
      <c r="L96" s="52"/>
      <c r="M96" s="52"/>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GA96" s="54"/>
    </row>
    <row r="97" spans="1:183" s="18" customFormat="1">
      <c r="A97" s="51"/>
      <c r="B97" s="52"/>
      <c r="C97" s="52"/>
      <c r="D97" s="52"/>
      <c r="E97" s="53"/>
      <c r="F97" s="52"/>
      <c r="G97" s="52"/>
      <c r="H97" s="52"/>
      <c r="I97" s="53"/>
      <c r="J97" s="52"/>
      <c r="K97" s="52"/>
      <c r="L97" s="52"/>
      <c r="M97" s="52"/>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GA97" s="54"/>
    </row>
    <row r="98" spans="1:183" s="18" customFormat="1">
      <c r="A98" s="51"/>
      <c r="B98" s="52"/>
      <c r="C98" s="52"/>
      <c r="D98" s="52"/>
      <c r="E98" s="53"/>
      <c r="F98" s="52"/>
      <c r="G98" s="52"/>
      <c r="H98" s="52"/>
      <c r="I98" s="53"/>
      <c r="J98" s="52"/>
      <c r="K98" s="52"/>
      <c r="L98" s="52"/>
      <c r="M98" s="52"/>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GA98" s="54"/>
    </row>
    <row r="99" spans="1:183" s="18" customFormat="1">
      <c r="A99" s="51"/>
      <c r="B99" s="52"/>
      <c r="C99" s="52"/>
      <c r="D99" s="52"/>
      <c r="E99" s="53"/>
      <c r="F99" s="52"/>
      <c r="G99" s="52"/>
      <c r="H99" s="52"/>
      <c r="I99" s="53"/>
      <c r="J99" s="52"/>
      <c r="K99" s="52"/>
      <c r="L99" s="52"/>
      <c r="M99" s="52"/>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GA99" s="54"/>
    </row>
    <row r="100" spans="1:183" s="18" customFormat="1">
      <c r="A100" s="51"/>
      <c r="B100" s="52"/>
      <c r="C100" s="52"/>
      <c r="D100" s="52"/>
      <c r="E100" s="53"/>
      <c r="F100" s="52"/>
      <c r="G100" s="52"/>
      <c r="H100" s="52"/>
      <c r="I100" s="53"/>
      <c r="J100" s="52"/>
      <c r="K100" s="52"/>
      <c r="L100" s="52"/>
      <c r="M100" s="52"/>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GA100" s="54"/>
    </row>
    <row r="101" spans="1:183" s="18" customFormat="1">
      <c r="A101" s="51"/>
      <c r="B101" s="52"/>
      <c r="C101" s="52"/>
      <c r="D101" s="52"/>
      <c r="E101" s="53"/>
      <c r="F101" s="52"/>
      <c r="G101" s="52"/>
      <c r="H101" s="52"/>
      <c r="I101" s="53"/>
      <c r="J101" s="52"/>
      <c r="K101" s="52"/>
      <c r="L101" s="52"/>
      <c r="M101" s="52"/>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GA101" s="54"/>
    </row>
    <row r="102" spans="1:183" s="18" customFormat="1">
      <c r="A102" s="51"/>
      <c r="B102" s="52"/>
      <c r="C102" s="52"/>
      <c r="D102" s="52"/>
      <c r="E102" s="53"/>
      <c r="F102" s="52"/>
      <c r="G102" s="52"/>
      <c r="H102" s="52"/>
      <c r="I102" s="53"/>
      <c r="J102" s="52"/>
      <c r="K102" s="52"/>
      <c r="L102" s="52"/>
      <c r="M102" s="52"/>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GA102" s="54"/>
    </row>
    <row r="103" spans="1:183" s="18" customFormat="1">
      <c r="A103" s="51"/>
      <c r="B103" s="52"/>
      <c r="C103" s="52"/>
      <c r="D103" s="52"/>
      <c r="E103" s="53"/>
      <c r="F103" s="52"/>
      <c r="G103" s="52"/>
      <c r="H103" s="52"/>
      <c r="I103" s="53"/>
      <c r="J103" s="52"/>
      <c r="K103" s="52"/>
      <c r="L103" s="52"/>
      <c r="M103" s="52"/>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GA103" s="54"/>
    </row>
    <row r="104" spans="1:183" s="18" customFormat="1">
      <c r="A104" s="51"/>
      <c r="B104" s="52"/>
      <c r="C104" s="52"/>
      <c r="D104" s="52"/>
      <c r="E104" s="53"/>
      <c r="F104" s="52"/>
      <c r="G104" s="52"/>
      <c r="H104" s="52"/>
      <c r="I104" s="53"/>
      <c r="J104" s="52"/>
      <c r="K104" s="52"/>
      <c r="L104" s="52"/>
      <c r="M104" s="52"/>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GA104" s="54"/>
    </row>
    <row r="105" spans="1:183" s="18" customFormat="1">
      <c r="A105" s="51"/>
      <c r="B105" s="52"/>
      <c r="C105" s="52"/>
      <c r="D105" s="52"/>
      <c r="E105" s="53"/>
      <c r="F105" s="52"/>
      <c r="G105" s="52"/>
      <c r="H105" s="52"/>
      <c r="I105" s="53"/>
      <c r="J105" s="52"/>
      <c r="K105" s="52"/>
      <c r="L105" s="52"/>
      <c r="M105" s="52"/>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GA105" s="54"/>
    </row>
    <row r="106" spans="1:183" s="18" customFormat="1">
      <c r="A106" s="51"/>
      <c r="B106" s="52"/>
      <c r="C106" s="52"/>
      <c r="D106" s="52"/>
      <c r="E106" s="53"/>
      <c r="F106" s="52"/>
      <c r="G106" s="52"/>
      <c r="H106" s="52"/>
      <c r="I106" s="53"/>
      <c r="J106" s="52"/>
      <c r="K106" s="52"/>
      <c r="L106" s="52"/>
      <c r="M106" s="52"/>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GA106" s="54"/>
    </row>
    <row r="107" spans="1:183" s="18" customFormat="1">
      <c r="A107" s="51"/>
      <c r="B107" s="52"/>
      <c r="C107" s="52"/>
      <c r="D107" s="52"/>
      <c r="E107" s="53"/>
      <c r="F107" s="52"/>
      <c r="G107" s="52"/>
      <c r="H107" s="52"/>
      <c r="I107" s="53"/>
      <c r="J107" s="52"/>
      <c r="K107" s="52"/>
      <c r="L107" s="52"/>
      <c r="M107" s="52"/>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GA107" s="54"/>
    </row>
    <row r="108" spans="1:183" s="18" customFormat="1">
      <c r="A108" s="51"/>
      <c r="B108" s="52"/>
      <c r="C108" s="52"/>
      <c r="D108" s="52"/>
      <c r="E108" s="53"/>
      <c r="F108" s="52"/>
      <c r="G108" s="52"/>
      <c r="H108" s="52"/>
      <c r="I108" s="53"/>
      <c r="J108" s="52"/>
      <c r="K108" s="52"/>
      <c r="L108" s="52"/>
      <c r="M108" s="52"/>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GA108" s="54"/>
    </row>
    <row r="109" spans="1:183" s="18" customFormat="1">
      <c r="A109" s="51"/>
      <c r="B109" s="52"/>
      <c r="C109" s="52"/>
      <c r="D109" s="52"/>
      <c r="E109" s="53"/>
      <c r="F109" s="52"/>
      <c r="G109" s="52"/>
      <c r="H109" s="52"/>
      <c r="I109" s="53"/>
      <c r="J109" s="52"/>
      <c r="K109" s="52"/>
      <c r="L109" s="52"/>
      <c r="M109" s="52"/>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GA109" s="54"/>
    </row>
    <row r="110" spans="1:183" s="18" customFormat="1">
      <c r="A110" s="51"/>
      <c r="B110" s="52"/>
      <c r="C110" s="52"/>
      <c r="D110" s="52"/>
      <c r="E110" s="53"/>
      <c r="F110" s="52"/>
      <c r="G110" s="52"/>
      <c r="H110" s="52"/>
      <c r="I110" s="53"/>
      <c r="J110" s="52"/>
      <c r="K110" s="52"/>
      <c r="L110" s="52"/>
      <c r="M110" s="52"/>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GA110" s="54"/>
    </row>
    <row r="111" spans="1:183" s="18" customFormat="1">
      <c r="A111" s="51"/>
      <c r="B111" s="52"/>
      <c r="C111" s="52"/>
      <c r="D111" s="52"/>
      <c r="E111" s="53"/>
      <c r="F111" s="52"/>
      <c r="G111" s="52"/>
      <c r="H111" s="52"/>
      <c r="I111" s="53"/>
      <c r="J111" s="52"/>
      <c r="K111" s="52"/>
      <c r="L111" s="52"/>
      <c r="M111" s="52"/>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GA111" s="54"/>
    </row>
    <row r="112" spans="1:183" s="18" customFormat="1">
      <c r="A112" s="51"/>
      <c r="B112" s="52"/>
      <c r="C112" s="52"/>
      <c r="D112" s="52"/>
      <c r="E112" s="53"/>
      <c r="F112" s="52"/>
      <c r="G112" s="52"/>
      <c r="H112" s="52"/>
      <c r="I112" s="53"/>
      <c r="J112" s="52"/>
      <c r="K112" s="52"/>
      <c r="L112" s="52"/>
      <c r="M112" s="52"/>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GA112" s="54"/>
    </row>
    <row r="113" spans="1:183" s="18" customFormat="1">
      <c r="A113" s="51"/>
      <c r="B113" s="52"/>
      <c r="C113" s="52"/>
      <c r="D113" s="52"/>
      <c r="E113" s="53"/>
      <c r="F113" s="52"/>
      <c r="G113" s="52"/>
      <c r="H113" s="52"/>
      <c r="I113" s="53"/>
      <c r="J113" s="52"/>
      <c r="K113" s="52"/>
      <c r="L113" s="52"/>
      <c r="M113" s="52"/>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GA113" s="54"/>
    </row>
    <row r="114" spans="1:183" s="18" customFormat="1">
      <c r="A114" s="51"/>
      <c r="B114" s="52"/>
      <c r="C114" s="52"/>
      <c r="D114" s="52"/>
      <c r="E114" s="53"/>
      <c r="F114" s="52"/>
      <c r="G114" s="52"/>
      <c r="H114" s="52"/>
      <c r="I114" s="53"/>
      <c r="J114" s="52"/>
      <c r="K114" s="52"/>
      <c r="L114" s="52"/>
      <c r="M114" s="52"/>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GA114" s="54"/>
    </row>
    <row r="115" spans="1:183" s="18" customFormat="1">
      <c r="A115" s="51"/>
      <c r="B115" s="52"/>
      <c r="C115" s="52"/>
      <c r="D115" s="52"/>
      <c r="E115" s="53"/>
      <c r="F115" s="52"/>
      <c r="G115" s="52"/>
      <c r="H115" s="52"/>
      <c r="I115" s="53"/>
      <c r="J115" s="52"/>
      <c r="K115" s="52"/>
      <c r="L115" s="52"/>
      <c r="M115" s="52"/>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GA115" s="54"/>
    </row>
    <row r="116" spans="1:183" s="18" customFormat="1">
      <c r="A116" s="51"/>
      <c r="B116" s="52"/>
      <c r="C116" s="52"/>
      <c r="D116" s="52"/>
      <c r="E116" s="53"/>
      <c r="F116" s="52"/>
      <c r="G116" s="52"/>
      <c r="H116" s="52"/>
      <c r="I116" s="53"/>
      <c r="J116" s="52"/>
      <c r="K116" s="52"/>
      <c r="L116" s="52"/>
      <c r="M116" s="52"/>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GA116" s="54"/>
    </row>
    <row r="117" spans="1:183" s="18" customFormat="1">
      <c r="A117" s="51"/>
      <c r="B117" s="52"/>
      <c r="C117" s="52"/>
      <c r="D117" s="52"/>
      <c r="E117" s="53"/>
      <c r="F117" s="52"/>
      <c r="G117" s="52"/>
      <c r="H117" s="52"/>
      <c r="I117" s="53"/>
      <c r="J117" s="52"/>
      <c r="K117" s="52"/>
      <c r="L117" s="52"/>
      <c r="M117" s="52"/>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GA117" s="54"/>
    </row>
    <row r="118" spans="1:183" s="18" customFormat="1">
      <c r="A118" s="51"/>
      <c r="B118" s="52"/>
      <c r="C118" s="52"/>
      <c r="D118" s="52"/>
      <c r="E118" s="53"/>
      <c r="F118" s="52"/>
      <c r="G118" s="52"/>
      <c r="H118" s="52"/>
      <c r="I118" s="53"/>
      <c r="J118" s="52"/>
      <c r="K118" s="52"/>
      <c r="L118" s="52"/>
      <c r="M118" s="52"/>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GA118" s="54"/>
    </row>
    <row r="119" spans="1:183" s="18" customFormat="1">
      <c r="A119" s="51"/>
      <c r="B119" s="52"/>
      <c r="C119" s="52"/>
      <c r="D119" s="52"/>
      <c r="E119" s="53"/>
      <c r="F119" s="52"/>
      <c r="G119" s="52"/>
      <c r="H119" s="52"/>
      <c r="I119" s="53"/>
      <c r="J119" s="52"/>
      <c r="K119" s="52"/>
      <c r="L119" s="52"/>
      <c r="M119" s="52"/>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GA119" s="54"/>
    </row>
    <row r="120" spans="1:183" s="18" customFormat="1">
      <c r="A120" s="51"/>
      <c r="B120" s="52"/>
      <c r="C120" s="52"/>
      <c r="D120" s="52"/>
      <c r="E120" s="53"/>
      <c r="F120" s="52"/>
      <c r="G120" s="52"/>
      <c r="H120" s="52"/>
      <c r="I120" s="53"/>
      <c r="J120" s="52"/>
      <c r="K120" s="52"/>
      <c r="L120" s="52"/>
      <c r="M120" s="52"/>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GA120" s="54"/>
    </row>
    <row r="121" spans="1:183" s="18" customFormat="1">
      <c r="A121" s="51"/>
      <c r="B121" s="52"/>
      <c r="C121" s="52"/>
      <c r="D121" s="52"/>
      <c r="E121" s="53"/>
      <c r="F121" s="52"/>
      <c r="G121" s="52"/>
      <c r="H121" s="52"/>
      <c r="I121" s="53"/>
      <c r="J121" s="52"/>
      <c r="K121" s="52"/>
      <c r="L121" s="52"/>
      <c r="M121" s="52"/>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GA121" s="54"/>
    </row>
    <row r="122" spans="1:183" s="18" customFormat="1">
      <c r="A122" s="51"/>
      <c r="B122" s="52"/>
      <c r="C122" s="52"/>
      <c r="D122" s="52"/>
      <c r="E122" s="53"/>
      <c r="F122" s="52"/>
      <c r="G122" s="52"/>
      <c r="H122" s="52"/>
      <c r="I122" s="53"/>
      <c r="J122" s="52"/>
      <c r="K122" s="52"/>
      <c r="L122" s="52"/>
      <c r="M122" s="52"/>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GA122" s="54"/>
    </row>
    <row r="123" spans="1:183" s="18" customFormat="1">
      <c r="A123" s="51"/>
      <c r="B123" s="52"/>
      <c r="C123" s="52"/>
      <c r="D123" s="52"/>
      <c r="E123" s="53"/>
      <c r="F123" s="52"/>
      <c r="G123" s="52"/>
      <c r="H123" s="52"/>
      <c r="I123" s="53"/>
      <c r="J123" s="52"/>
      <c r="K123" s="52"/>
      <c r="L123" s="52"/>
      <c r="M123" s="52"/>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GA123" s="54"/>
    </row>
    <row r="124" spans="1:183" s="18" customFormat="1">
      <c r="A124" s="51"/>
      <c r="B124" s="52"/>
      <c r="C124" s="52"/>
      <c r="D124" s="52"/>
      <c r="E124" s="53"/>
      <c r="F124" s="52"/>
      <c r="G124" s="52"/>
      <c r="H124" s="52"/>
      <c r="I124" s="53"/>
      <c r="J124" s="52"/>
      <c r="K124" s="52"/>
      <c r="L124" s="52"/>
      <c r="M124" s="52"/>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GA124" s="54"/>
    </row>
    <row r="125" spans="1:183" s="18" customFormat="1">
      <c r="A125" s="51"/>
      <c r="B125" s="52"/>
      <c r="C125" s="52"/>
      <c r="D125" s="52"/>
      <c r="E125" s="53"/>
      <c r="F125" s="52"/>
      <c r="G125" s="52"/>
      <c r="H125" s="52"/>
      <c r="I125" s="53"/>
      <c r="J125" s="52"/>
      <c r="K125" s="52"/>
      <c r="L125" s="52"/>
      <c r="M125" s="52"/>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GA125" s="54"/>
    </row>
    <row r="126" spans="1:183" s="18" customFormat="1">
      <c r="A126" s="51"/>
      <c r="B126" s="52"/>
      <c r="C126" s="52"/>
      <c r="D126" s="52"/>
      <c r="E126" s="53"/>
      <c r="F126" s="52"/>
      <c r="G126" s="52"/>
      <c r="H126" s="52"/>
      <c r="I126" s="53"/>
      <c r="J126" s="52"/>
      <c r="K126" s="52"/>
      <c r="L126" s="52"/>
      <c r="M126" s="52"/>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GA126" s="54"/>
    </row>
    <row r="127" spans="1:183" s="18" customFormat="1">
      <c r="A127" s="51"/>
      <c r="B127" s="52"/>
      <c r="C127" s="52"/>
      <c r="D127" s="52"/>
      <c r="E127" s="53"/>
      <c r="F127" s="52"/>
      <c r="G127" s="52"/>
      <c r="H127" s="52"/>
      <c r="I127" s="53"/>
      <c r="J127" s="52"/>
      <c r="K127" s="52"/>
      <c r="L127" s="52"/>
      <c r="M127" s="52"/>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GA127" s="54"/>
    </row>
    <row r="128" spans="1:183" s="18" customFormat="1">
      <c r="A128" s="51"/>
      <c r="B128" s="52"/>
      <c r="C128" s="52"/>
      <c r="D128" s="52"/>
      <c r="E128" s="53"/>
      <c r="F128" s="52"/>
      <c r="G128" s="52"/>
      <c r="H128" s="52"/>
      <c r="I128" s="53"/>
      <c r="J128" s="52"/>
      <c r="K128" s="52"/>
      <c r="L128" s="52"/>
      <c r="M128" s="52"/>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GA128" s="54"/>
    </row>
    <row r="129" spans="1:183" s="18" customFormat="1">
      <c r="A129" s="51"/>
      <c r="B129" s="52"/>
      <c r="C129" s="52"/>
      <c r="D129" s="52"/>
      <c r="E129" s="53"/>
      <c r="F129" s="52"/>
      <c r="G129" s="52"/>
      <c r="H129" s="52"/>
      <c r="I129" s="53"/>
      <c r="J129" s="52"/>
      <c r="K129" s="52"/>
      <c r="L129" s="52"/>
      <c r="M129" s="52"/>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GA129" s="54"/>
    </row>
    <row r="130" spans="1:183" s="18" customFormat="1">
      <c r="A130" s="51"/>
      <c r="B130" s="52"/>
      <c r="C130" s="52"/>
      <c r="D130" s="52"/>
      <c r="E130" s="53"/>
      <c r="F130" s="52"/>
      <c r="G130" s="52"/>
      <c r="H130" s="52"/>
      <c r="I130" s="53"/>
      <c r="J130" s="52"/>
      <c r="K130" s="52"/>
      <c r="L130" s="52"/>
      <c r="M130" s="52"/>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GA130" s="54"/>
    </row>
    <row r="131" spans="1:183" s="18" customFormat="1">
      <c r="A131" s="51"/>
      <c r="B131" s="52"/>
      <c r="C131" s="52"/>
      <c r="D131" s="52"/>
      <c r="E131" s="53"/>
      <c r="F131" s="52"/>
      <c r="G131" s="52"/>
      <c r="H131" s="52"/>
      <c r="I131" s="53"/>
      <c r="J131" s="52"/>
      <c r="K131" s="52"/>
      <c r="L131" s="52"/>
      <c r="M131" s="52"/>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GA131" s="54"/>
    </row>
    <row r="132" spans="1:183" s="18" customFormat="1">
      <c r="A132" s="51"/>
      <c r="B132" s="52"/>
      <c r="C132" s="52"/>
      <c r="D132" s="52"/>
      <c r="E132" s="53"/>
      <c r="F132" s="52"/>
      <c r="G132" s="52"/>
      <c r="H132" s="52"/>
      <c r="I132" s="53"/>
      <c r="J132" s="52"/>
      <c r="K132" s="52"/>
      <c r="L132" s="52"/>
      <c r="M132" s="52"/>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GA132" s="54"/>
    </row>
    <row r="133" spans="1:183" s="18" customFormat="1">
      <c r="A133" s="51"/>
      <c r="B133" s="52"/>
      <c r="C133" s="52"/>
      <c r="D133" s="52"/>
      <c r="E133" s="53"/>
      <c r="F133" s="52"/>
      <c r="G133" s="52"/>
      <c r="H133" s="52"/>
      <c r="I133" s="53"/>
      <c r="J133" s="52"/>
      <c r="K133" s="52"/>
      <c r="L133" s="52"/>
      <c r="M133" s="52"/>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GA133" s="54"/>
    </row>
    <row r="134" spans="1:183" s="18" customFormat="1">
      <c r="A134" s="51"/>
      <c r="B134" s="52"/>
      <c r="C134" s="52"/>
      <c r="D134" s="52"/>
      <c r="E134" s="53"/>
      <c r="F134" s="52"/>
      <c r="G134" s="52"/>
      <c r="H134" s="52"/>
      <c r="I134" s="53"/>
      <c r="J134" s="52"/>
      <c r="K134" s="52"/>
      <c r="L134" s="52"/>
      <c r="M134" s="52"/>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GA134" s="54"/>
    </row>
    <row r="135" spans="1:183" s="18" customFormat="1">
      <c r="A135" s="51"/>
      <c r="B135" s="52"/>
      <c r="C135" s="52"/>
      <c r="D135" s="52"/>
      <c r="E135" s="53"/>
      <c r="F135" s="52"/>
      <c r="G135" s="52"/>
      <c r="H135" s="52"/>
      <c r="I135" s="53"/>
      <c r="J135" s="52"/>
      <c r="K135" s="52"/>
      <c r="L135" s="52"/>
      <c r="M135" s="52"/>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GA135" s="54"/>
    </row>
    <row r="136" spans="1:183" s="18" customFormat="1">
      <c r="A136" s="51"/>
      <c r="B136" s="52"/>
      <c r="C136" s="52"/>
      <c r="D136" s="52"/>
      <c r="E136" s="53"/>
      <c r="F136" s="52"/>
      <c r="G136" s="52"/>
      <c r="H136" s="52"/>
      <c r="I136" s="53"/>
      <c r="J136" s="52"/>
      <c r="K136" s="52"/>
      <c r="L136" s="52"/>
      <c r="M136" s="52"/>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GA136" s="54"/>
    </row>
    <row r="137" spans="1:183" s="18" customFormat="1">
      <c r="A137" s="51"/>
      <c r="B137" s="52"/>
      <c r="C137" s="52"/>
      <c r="D137" s="52"/>
      <c r="E137" s="53"/>
      <c r="F137" s="52"/>
      <c r="G137" s="52"/>
      <c r="H137" s="52"/>
      <c r="I137" s="53"/>
      <c r="J137" s="52"/>
      <c r="K137" s="52"/>
      <c r="L137" s="52"/>
      <c r="M137" s="52"/>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GA137" s="54"/>
    </row>
    <row r="138" spans="1:183" s="18" customFormat="1">
      <c r="A138" s="51"/>
      <c r="B138" s="52"/>
      <c r="C138" s="52"/>
      <c r="D138" s="52"/>
      <c r="E138" s="53"/>
      <c r="F138" s="52"/>
      <c r="G138" s="52"/>
      <c r="H138" s="52"/>
      <c r="I138" s="53"/>
      <c r="J138" s="52"/>
      <c r="K138" s="52"/>
      <c r="L138" s="52"/>
      <c r="M138" s="52"/>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GA138" s="54"/>
    </row>
    <row r="139" spans="1:183" s="18" customFormat="1">
      <c r="A139" s="51"/>
      <c r="B139" s="52"/>
      <c r="C139" s="52"/>
      <c r="D139" s="52"/>
      <c r="E139" s="53"/>
      <c r="F139" s="52"/>
      <c r="G139" s="52"/>
      <c r="H139" s="52"/>
      <c r="I139" s="53"/>
      <c r="J139" s="52"/>
      <c r="K139" s="52"/>
      <c r="L139" s="52"/>
      <c r="M139" s="52"/>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GA139" s="54"/>
    </row>
    <row r="140" spans="1:183" s="18" customFormat="1">
      <c r="A140" s="51"/>
      <c r="B140" s="52"/>
      <c r="C140" s="52"/>
      <c r="D140" s="52"/>
      <c r="E140" s="53"/>
      <c r="F140" s="52"/>
      <c r="G140" s="52"/>
      <c r="H140" s="52"/>
      <c r="I140" s="53"/>
      <c r="J140" s="52"/>
      <c r="K140" s="52"/>
      <c r="L140" s="52"/>
      <c r="M140" s="52"/>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GA140" s="54"/>
    </row>
    <row r="141" spans="1:183" s="18" customFormat="1">
      <c r="A141" s="51"/>
      <c r="B141" s="52"/>
      <c r="C141" s="52"/>
      <c r="D141" s="52"/>
      <c r="E141" s="53"/>
      <c r="F141" s="52"/>
      <c r="G141" s="52"/>
      <c r="H141" s="52"/>
      <c r="I141" s="53"/>
      <c r="J141" s="52"/>
      <c r="K141" s="52"/>
      <c r="L141" s="52"/>
      <c r="M141" s="52"/>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GA141" s="54"/>
    </row>
    <row r="142" spans="1:183" s="18" customFormat="1">
      <c r="A142" s="51"/>
      <c r="B142" s="52"/>
      <c r="C142" s="52"/>
      <c r="D142" s="52"/>
      <c r="E142" s="53"/>
      <c r="F142" s="52"/>
      <c r="G142" s="52"/>
      <c r="H142" s="52"/>
      <c r="I142" s="53"/>
      <c r="J142" s="52"/>
      <c r="K142" s="52"/>
      <c r="L142" s="52"/>
      <c r="M142" s="52"/>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GA142" s="54"/>
    </row>
    <row r="143" spans="1:183" s="18" customFormat="1">
      <c r="A143" s="51"/>
      <c r="B143" s="52"/>
      <c r="C143" s="52"/>
      <c r="D143" s="52"/>
      <c r="E143" s="53"/>
      <c r="F143" s="52"/>
      <c r="G143" s="52"/>
      <c r="H143" s="52"/>
      <c r="I143" s="53"/>
      <c r="J143" s="52"/>
      <c r="K143" s="52"/>
      <c r="L143" s="52"/>
      <c r="M143" s="52"/>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GA143" s="54"/>
    </row>
    <row r="144" spans="1:183" s="18" customFormat="1">
      <c r="A144" s="51"/>
      <c r="B144" s="52"/>
      <c r="C144" s="52"/>
      <c r="D144" s="52"/>
      <c r="E144" s="53"/>
      <c r="F144" s="52"/>
      <c r="G144" s="52"/>
      <c r="H144" s="52"/>
      <c r="I144" s="53"/>
      <c r="J144" s="52"/>
      <c r="K144" s="52"/>
      <c r="L144" s="52"/>
      <c r="M144" s="52"/>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GA144" s="54"/>
    </row>
    <row r="145" spans="1:183" s="18" customFormat="1">
      <c r="A145" s="51"/>
      <c r="B145" s="52"/>
      <c r="C145" s="52"/>
      <c r="D145" s="52"/>
      <c r="E145" s="53"/>
      <c r="F145" s="52"/>
      <c r="G145" s="52"/>
      <c r="H145" s="52"/>
      <c r="I145" s="53"/>
      <c r="J145" s="52"/>
      <c r="K145" s="52"/>
      <c r="L145" s="52"/>
      <c r="M145" s="52"/>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GA145" s="54"/>
    </row>
    <row r="146" spans="1:183" s="18" customFormat="1">
      <c r="A146" s="51"/>
      <c r="B146" s="52"/>
      <c r="C146" s="52"/>
      <c r="D146" s="52"/>
      <c r="E146" s="53"/>
      <c r="F146" s="52"/>
      <c r="G146" s="52"/>
      <c r="H146" s="52"/>
      <c r="I146" s="53"/>
      <c r="J146" s="52"/>
      <c r="K146" s="52"/>
      <c r="L146" s="52"/>
      <c r="M146" s="52"/>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GA146" s="54"/>
    </row>
    <row r="147" spans="1:183" s="18" customFormat="1">
      <c r="A147" s="51"/>
      <c r="B147" s="52"/>
      <c r="C147" s="52"/>
      <c r="D147" s="52"/>
      <c r="E147" s="53"/>
      <c r="F147" s="52"/>
      <c r="G147" s="52"/>
      <c r="H147" s="52"/>
      <c r="I147" s="53"/>
      <c r="J147" s="52"/>
      <c r="K147" s="52"/>
      <c r="L147" s="52"/>
      <c r="M147" s="52"/>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GA147" s="54"/>
    </row>
    <row r="148" spans="1:183" s="18" customFormat="1">
      <c r="A148" s="51"/>
      <c r="B148" s="52"/>
      <c r="C148" s="52"/>
      <c r="D148" s="52"/>
      <c r="E148" s="53"/>
      <c r="F148" s="52"/>
      <c r="G148" s="52"/>
      <c r="H148" s="52"/>
      <c r="I148" s="53"/>
      <c r="J148" s="52"/>
      <c r="K148" s="52"/>
      <c r="L148" s="52"/>
      <c r="M148" s="52"/>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GA148" s="54"/>
    </row>
    <row r="149" spans="1:183" s="18" customFormat="1">
      <c r="A149" s="51"/>
      <c r="B149" s="52"/>
      <c r="C149" s="52"/>
      <c r="D149" s="52"/>
      <c r="E149" s="53"/>
      <c r="F149" s="52"/>
      <c r="G149" s="52"/>
      <c r="H149" s="52"/>
      <c r="I149" s="53"/>
      <c r="J149" s="52"/>
      <c r="K149" s="52"/>
      <c r="L149" s="52"/>
      <c r="M149" s="52"/>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GA149" s="54"/>
    </row>
    <row r="150" spans="1:183" s="18" customFormat="1">
      <c r="A150" s="51"/>
      <c r="B150" s="52"/>
      <c r="C150" s="52"/>
      <c r="D150" s="52"/>
      <c r="E150" s="53"/>
      <c r="F150" s="52"/>
      <c r="G150" s="52"/>
      <c r="H150" s="52"/>
      <c r="I150" s="53"/>
      <c r="J150" s="52"/>
      <c r="K150" s="52"/>
      <c r="L150" s="52"/>
      <c r="M150" s="52"/>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GA150" s="54"/>
    </row>
    <row r="151" spans="1:183" s="18" customFormat="1">
      <c r="A151" s="51"/>
      <c r="B151" s="52"/>
      <c r="C151" s="52"/>
      <c r="D151" s="52"/>
      <c r="E151" s="53"/>
      <c r="F151" s="52"/>
      <c r="G151" s="52"/>
      <c r="H151" s="52"/>
      <c r="I151" s="53"/>
      <c r="J151" s="52"/>
      <c r="K151" s="52"/>
      <c r="L151" s="52"/>
      <c r="M151" s="52"/>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GA151" s="54"/>
    </row>
    <row r="152" spans="1:183" s="18" customFormat="1">
      <c r="A152" s="51"/>
      <c r="B152" s="52"/>
      <c r="C152" s="52"/>
      <c r="D152" s="52"/>
      <c r="E152" s="53"/>
      <c r="F152" s="52"/>
      <c r="G152" s="52"/>
      <c r="H152" s="52"/>
      <c r="I152" s="53"/>
      <c r="J152" s="52"/>
      <c r="K152" s="52"/>
      <c r="L152" s="52"/>
      <c r="M152" s="52"/>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GA152" s="54"/>
    </row>
    <row r="153" spans="1:183" s="18" customFormat="1">
      <c r="A153" s="51"/>
      <c r="B153" s="52"/>
      <c r="C153" s="52"/>
      <c r="D153" s="52"/>
      <c r="E153" s="53"/>
      <c r="F153" s="52"/>
      <c r="G153" s="52"/>
      <c r="H153" s="52"/>
      <c r="I153" s="53"/>
      <c r="J153" s="52"/>
      <c r="K153" s="52"/>
      <c r="L153" s="52"/>
      <c r="M153" s="52"/>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GA153" s="54"/>
    </row>
    <row r="154" spans="1:183" s="18" customFormat="1">
      <c r="A154" s="51"/>
      <c r="B154" s="52"/>
      <c r="C154" s="52"/>
      <c r="D154" s="52"/>
      <c r="E154" s="53"/>
      <c r="F154" s="52"/>
      <c r="G154" s="52"/>
      <c r="H154" s="52"/>
      <c r="I154" s="53"/>
      <c r="J154" s="52"/>
      <c r="K154" s="52"/>
      <c r="L154" s="52"/>
      <c r="M154" s="52"/>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GA154" s="54"/>
    </row>
    <row r="155" spans="1:183" s="18" customFormat="1">
      <c r="A155" s="51"/>
      <c r="B155" s="52"/>
      <c r="C155" s="52"/>
      <c r="D155" s="52"/>
      <c r="E155" s="53"/>
      <c r="F155" s="52"/>
      <c r="G155" s="52"/>
      <c r="H155" s="52"/>
      <c r="I155" s="53"/>
      <c r="J155" s="52"/>
      <c r="K155" s="52"/>
      <c r="L155" s="52"/>
      <c r="M155" s="52"/>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GA155" s="54"/>
    </row>
    <row r="156" spans="1:183" s="18" customFormat="1">
      <c r="A156" s="51"/>
      <c r="B156" s="52"/>
      <c r="C156" s="52"/>
      <c r="D156" s="52"/>
      <c r="E156" s="53"/>
      <c r="F156" s="52"/>
      <c r="G156" s="52"/>
      <c r="H156" s="52"/>
      <c r="I156" s="53"/>
      <c r="J156" s="52"/>
      <c r="K156" s="52"/>
      <c r="L156" s="52"/>
      <c r="M156" s="52"/>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GA156" s="54"/>
    </row>
    <row r="157" spans="1:183" s="18" customFormat="1">
      <c r="A157" s="51"/>
      <c r="B157" s="52"/>
      <c r="C157" s="52"/>
      <c r="D157" s="52"/>
      <c r="E157" s="53"/>
      <c r="F157" s="52"/>
      <c r="G157" s="52"/>
      <c r="H157" s="52"/>
      <c r="I157" s="53"/>
      <c r="J157" s="52"/>
      <c r="K157" s="52"/>
      <c r="L157" s="52"/>
      <c r="M157" s="52"/>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GA157" s="54"/>
    </row>
    <row r="158" spans="1:183" s="18" customFormat="1">
      <c r="A158" s="51"/>
      <c r="B158" s="52"/>
      <c r="C158" s="52"/>
      <c r="D158" s="52"/>
      <c r="E158" s="53"/>
      <c r="F158" s="52"/>
      <c r="G158" s="52"/>
      <c r="H158" s="52"/>
      <c r="I158" s="53"/>
      <c r="J158" s="52"/>
      <c r="K158" s="52"/>
      <c r="L158" s="52"/>
      <c r="M158" s="52"/>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GA158" s="54"/>
    </row>
    <row r="159" spans="1:183" s="18" customFormat="1">
      <c r="A159" s="51"/>
      <c r="B159" s="52"/>
      <c r="C159" s="52"/>
      <c r="D159" s="52"/>
      <c r="E159" s="53"/>
      <c r="F159" s="52"/>
      <c r="G159" s="52"/>
      <c r="H159" s="52"/>
      <c r="I159" s="53"/>
      <c r="J159" s="52"/>
      <c r="K159" s="52"/>
      <c r="L159" s="52"/>
      <c r="M159" s="52"/>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GA159" s="54"/>
    </row>
    <row r="160" spans="1:183" s="18" customFormat="1">
      <c r="A160" s="51"/>
      <c r="B160" s="52"/>
      <c r="C160" s="52"/>
      <c r="D160" s="52"/>
      <c r="E160" s="53"/>
      <c r="F160" s="52"/>
      <c r="G160" s="52"/>
      <c r="H160" s="52"/>
      <c r="I160" s="53"/>
      <c r="J160" s="52"/>
      <c r="K160" s="52"/>
      <c r="L160" s="52"/>
      <c r="M160" s="52"/>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GA160" s="54"/>
    </row>
    <row r="161" spans="1:183" s="18" customFormat="1">
      <c r="A161" s="51"/>
      <c r="B161" s="52"/>
      <c r="C161" s="52"/>
      <c r="D161" s="52"/>
      <c r="E161" s="53"/>
      <c r="F161" s="52"/>
      <c r="G161" s="52"/>
      <c r="H161" s="52"/>
      <c r="I161" s="53"/>
      <c r="J161" s="52"/>
      <c r="K161" s="52"/>
      <c r="L161" s="52"/>
      <c r="M161" s="52"/>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GA161" s="54"/>
    </row>
    <row r="162" spans="1:183" s="18" customFormat="1">
      <c r="A162" s="51"/>
      <c r="B162" s="52"/>
      <c r="C162" s="52"/>
      <c r="D162" s="52"/>
      <c r="E162" s="53"/>
      <c r="F162" s="52"/>
      <c r="G162" s="52"/>
      <c r="H162" s="52"/>
      <c r="I162" s="53"/>
      <c r="J162" s="52"/>
      <c r="K162" s="52"/>
      <c r="L162" s="52"/>
      <c r="M162" s="52"/>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GA162" s="54"/>
    </row>
    <row r="163" spans="1:183" s="18" customFormat="1">
      <c r="A163" s="51"/>
      <c r="B163" s="52"/>
      <c r="C163" s="52"/>
      <c r="D163" s="52"/>
      <c r="E163" s="53"/>
      <c r="F163" s="52"/>
      <c r="G163" s="52"/>
      <c r="H163" s="52"/>
      <c r="I163" s="53"/>
      <c r="J163" s="52"/>
      <c r="K163" s="52"/>
      <c r="L163" s="52"/>
      <c r="M163" s="52"/>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GA163" s="54"/>
    </row>
    <row r="164" spans="1:183" s="18" customFormat="1">
      <c r="A164" s="51"/>
      <c r="B164" s="52"/>
      <c r="C164" s="52"/>
      <c r="D164" s="52"/>
      <c r="E164" s="53"/>
      <c r="F164" s="52"/>
      <c r="G164" s="52"/>
      <c r="H164" s="52"/>
      <c r="I164" s="53"/>
      <c r="J164" s="52"/>
      <c r="K164" s="52"/>
      <c r="L164" s="52"/>
      <c r="M164" s="52"/>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GA164" s="54"/>
    </row>
    <row r="165" spans="1:183" s="18" customFormat="1">
      <c r="A165" s="51"/>
      <c r="B165" s="52"/>
      <c r="C165" s="52"/>
      <c r="D165" s="52"/>
      <c r="E165" s="53"/>
      <c r="F165" s="52"/>
      <c r="G165" s="52"/>
      <c r="H165" s="52"/>
      <c r="I165" s="53"/>
      <c r="J165" s="52"/>
      <c r="K165" s="52"/>
      <c r="L165" s="52"/>
      <c r="M165" s="52"/>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GA165" s="54"/>
    </row>
    <row r="166" spans="1:183" s="18" customFormat="1">
      <c r="A166" s="51"/>
      <c r="B166" s="52"/>
      <c r="C166" s="52"/>
      <c r="D166" s="52"/>
      <c r="E166" s="53"/>
      <c r="F166" s="52"/>
      <c r="G166" s="52"/>
      <c r="H166" s="52"/>
      <c r="I166" s="53"/>
      <c r="J166" s="52"/>
      <c r="K166" s="52"/>
      <c r="L166" s="52"/>
      <c r="M166" s="52"/>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GA166" s="54"/>
    </row>
    <row r="167" spans="1:183" s="18" customFormat="1">
      <c r="A167" s="51"/>
      <c r="B167" s="52"/>
      <c r="C167" s="52"/>
      <c r="D167" s="52"/>
      <c r="E167" s="53"/>
      <c r="F167" s="52"/>
      <c r="G167" s="52"/>
      <c r="H167" s="52"/>
      <c r="I167" s="53"/>
      <c r="J167" s="52"/>
      <c r="K167" s="52"/>
      <c r="L167" s="52"/>
      <c r="M167" s="52"/>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GA167" s="54"/>
    </row>
    <row r="168" spans="1:183" s="18" customFormat="1">
      <c r="A168" s="51"/>
      <c r="B168" s="52"/>
      <c r="C168" s="52"/>
      <c r="D168" s="52"/>
      <c r="E168" s="53"/>
      <c r="F168" s="52"/>
      <c r="G168" s="52"/>
      <c r="H168" s="52"/>
      <c r="I168" s="53"/>
      <c r="J168" s="52"/>
      <c r="K168" s="52"/>
      <c r="L168" s="52"/>
      <c r="M168" s="52"/>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GA168" s="54"/>
    </row>
    <row r="169" spans="1:183" s="18" customFormat="1">
      <c r="A169" s="51"/>
      <c r="B169" s="52"/>
      <c r="C169" s="52"/>
      <c r="D169" s="52"/>
      <c r="E169" s="53"/>
      <c r="F169" s="52"/>
      <c r="G169" s="52"/>
      <c r="H169" s="52"/>
      <c r="I169" s="53"/>
      <c r="J169" s="52"/>
      <c r="K169" s="52"/>
      <c r="L169" s="52"/>
      <c r="M169" s="52"/>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GA169" s="54"/>
    </row>
    <row r="170" spans="1:183" s="18" customFormat="1">
      <c r="A170" s="51"/>
      <c r="B170" s="52"/>
      <c r="C170" s="52"/>
      <c r="D170" s="52"/>
      <c r="E170" s="53"/>
      <c r="F170" s="52"/>
      <c r="G170" s="52"/>
      <c r="H170" s="52"/>
      <c r="I170" s="53"/>
      <c r="J170" s="52"/>
      <c r="K170" s="52"/>
      <c r="L170" s="52"/>
      <c r="M170" s="52"/>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GA170" s="54"/>
    </row>
    <row r="171" spans="1:183" s="18" customFormat="1">
      <c r="A171" s="51"/>
      <c r="B171" s="52"/>
      <c r="C171" s="52"/>
      <c r="D171" s="52"/>
      <c r="E171" s="53"/>
      <c r="F171" s="52"/>
      <c r="G171" s="52"/>
      <c r="H171" s="52"/>
      <c r="I171" s="53"/>
      <c r="J171" s="52"/>
      <c r="K171" s="52"/>
      <c r="L171" s="52"/>
      <c r="M171" s="52"/>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GA171" s="54"/>
    </row>
    <row r="172" spans="1:183" s="18" customFormat="1">
      <c r="A172" s="51"/>
      <c r="B172" s="52"/>
      <c r="C172" s="52"/>
      <c r="D172" s="52"/>
      <c r="E172" s="53"/>
      <c r="F172" s="52"/>
      <c r="G172" s="52"/>
      <c r="H172" s="52"/>
      <c r="I172" s="53"/>
      <c r="J172" s="52"/>
      <c r="K172" s="52"/>
      <c r="L172" s="52"/>
      <c r="M172" s="52"/>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GA172" s="54"/>
    </row>
    <row r="173" spans="1:183" s="18" customFormat="1">
      <c r="A173" s="51"/>
      <c r="B173" s="52"/>
      <c r="C173" s="52"/>
      <c r="D173" s="52"/>
      <c r="E173" s="53"/>
      <c r="F173" s="52"/>
      <c r="G173" s="52"/>
      <c r="H173" s="52"/>
      <c r="I173" s="53"/>
      <c r="J173" s="52"/>
      <c r="K173" s="52"/>
      <c r="L173" s="52"/>
      <c r="M173" s="52"/>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GA173" s="54"/>
    </row>
    <row r="174" spans="1:183" s="18" customFormat="1">
      <c r="A174" s="51"/>
      <c r="B174" s="52"/>
      <c r="C174" s="52"/>
      <c r="D174" s="52"/>
      <c r="E174" s="53"/>
      <c r="F174" s="52"/>
      <c r="G174" s="52"/>
      <c r="H174" s="52"/>
      <c r="I174" s="53"/>
      <c r="J174" s="52"/>
      <c r="K174" s="52"/>
      <c r="L174" s="52"/>
      <c r="M174" s="52"/>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GA174" s="54"/>
    </row>
    <row r="175" spans="1:183" s="18" customFormat="1">
      <c r="A175" s="51"/>
      <c r="B175" s="52"/>
      <c r="C175" s="52"/>
      <c r="D175" s="52"/>
      <c r="E175" s="53"/>
      <c r="F175" s="52"/>
      <c r="G175" s="52"/>
      <c r="H175" s="52"/>
      <c r="I175" s="53"/>
      <c r="J175" s="52"/>
      <c r="K175" s="52"/>
      <c r="L175" s="52"/>
      <c r="M175" s="52"/>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GA175" s="54"/>
    </row>
    <row r="176" spans="1:183" s="18" customFormat="1">
      <c r="A176" s="51"/>
      <c r="B176" s="52"/>
      <c r="C176" s="52"/>
      <c r="D176" s="52"/>
      <c r="E176" s="53"/>
      <c r="F176" s="52"/>
      <c r="G176" s="52"/>
      <c r="H176" s="52"/>
      <c r="I176" s="53"/>
      <c r="J176" s="52"/>
      <c r="K176" s="52"/>
      <c r="L176" s="52"/>
      <c r="M176" s="52"/>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GA176" s="54"/>
    </row>
    <row r="177" spans="1:183" s="18" customFormat="1">
      <c r="A177" s="51"/>
      <c r="B177" s="52"/>
      <c r="C177" s="52"/>
      <c r="D177" s="52"/>
      <c r="E177" s="53"/>
      <c r="F177" s="52"/>
      <c r="G177" s="52"/>
      <c r="H177" s="52"/>
      <c r="I177" s="53"/>
      <c r="J177" s="52"/>
      <c r="K177" s="52"/>
      <c r="L177" s="52"/>
      <c r="M177" s="52"/>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c r="AX177" s="19"/>
      <c r="GA177" s="54"/>
    </row>
    <row r="178" spans="1:183" s="18" customFormat="1">
      <c r="A178" s="51"/>
      <c r="B178" s="52"/>
      <c r="C178" s="52"/>
      <c r="D178" s="52"/>
      <c r="E178" s="53"/>
      <c r="F178" s="52"/>
      <c r="G178" s="52"/>
      <c r="H178" s="52"/>
      <c r="I178" s="53"/>
      <c r="J178" s="52"/>
      <c r="K178" s="52"/>
      <c r="L178" s="52"/>
      <c r="M178" s="52"/>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GA178" s="54"/>
    </row>
    <row r="179" spans="1:183" s="18" customFormat="1">
      <c r="A179" s="51"/>
      <c r="B179" s="52"/>
      <c r="C179" s="52"/>
      <c r="D179" s="52"/>
      <c r="E179" s="53"/>
      <c r="F179" s="52"/>
      <c r="G179" s="52"/>
      <c r="H179" s="52"/>
      <c r="I179" s="53"/>
      <c r="J179" s="52"/>
      <c r="K179" s="52"/>
      <c r="L179" s="52"/>
      <c r="M179" s="52"/>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c r="GA179" s="54"/>
    </row>
    <row r="180" spans="1:183" s="18" customFormat="1">
      <c r="A180" s="51"/>
      <c r="B180" s="52"/>
      <c r="C180" s="52"/>
      <c r="D180" s="52"/>
      <c r="E180" s="53"/>
      <c r="F180" s="52"/>
      <c r="G180" s="52"/>
      <c r="H180" s="52"/>
      <c r="I180" s="53"/>
      <c r="J180" s="52"/>
      <c r="K180" s="52"/>
      <c r="L180" s="52"/>
      <c r="M180" s="52"/>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c r="AX180" s="19"/>
      <c r="GA180" s="54"/>
    </row>
    <row r="181" spans="1:183" s="18" customFormat="1">
      <c r="A181" s="51"/>
      <c r="B181" s="52"/>
      <c r="C181" s="52"/>
      <c r="D181" s="52"/>
      <c r="E181" s="53"/>
      <c r="F181" s="52"/>
      <c r="G181" s="52"/>
      <c r="H181" s="52"/>
      <c r="I181" s="53"/>
      <c r="J181" s="52"/>
      <c r="K181" s="52"/>
      <c r="L181" s="52"/>
      <c r="M181" s="52"/>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GA181" s="54"/>
    </row>
    <row r="182" spans="1:183" s="18" customFormat="1">
      <c r="A182" s="51"/>
      <c r="B182" s="52"/>
      <c r="C182" s="52"/>
      <c r="D182" s="52"/>
      <c r="E182" s="53"/>
      <c r="F182" s="52"/>
      <c r="G182" s="52"/>
      <c r="H182" s="52"/>
      <c r="I182" s="53"/>
      <c r="J182" s="52"/>
      <c r="K182" s="52"/>
      <c r="L182" s="52"/>
      <c r="M182" s="52"/>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GA182" s="54"/>
    </row>
    <row r="183" spans="1:183" s="18" customFormat="1">
      <c r="A183" s="51"/>
      <c r="B183" s="52"/>
      <c r="C183" s="52"/>
      <c r="D183" s="52"/>
      <c r="E183" s="53"/>
      <c r="F183" s="52"/>
      <c r="G183" s="52"/>
      <c r="H183" s="52"/>
      <c r="I183" s="53"/>
      <c r="J183" s="52"/>
      <c r="K183" s="52"/>
      <c r="L183" s="52"/>
      <c r="M183" s="52"/>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GA183" s="54"/>
    </row>
    <row r="184" spans="1:183" s="18" customFormat="1">
      <c r="A184" s="51"/>
      <c r="B184" s="52"/>
      <c r="C184" s="52"/>
      <c r="D184" s="52"/>
      <c r="E184" s="53"/>
      <c r="F184" s="52"/>
      <c r="G184" s="52"/>
      <c r="H184" s="52"/>
      <c r="I184" s="53"/>
      <c r="J184" s="52"/>
      <c r="K184" s="52"/>
      <c r="L184" s="52"/>
      <c r="M184" s="52"/>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GA184" s="54"/>
    </row>
    <row r="185" spans="1:183" s="18" customFormat="1">
      <c r="A185" s="51"/>
      <c r="B185" s="52"/>
      <c r="C185" s="52"/>
      <c r="D185" s="52"/>
      <c r="E185" s="53"/>
      <c r="F185" s="52"/>
      <c r="G185" s="52"/>
      <c r="H185" s="52"/>
      <c r="I185" s="53"/>
      <c r="J185" s="52"/>
      <c r="K185" s="52"/>
      <c r="L185" s="52"/>
      <c r="M185" s="52"/>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GA185" s="54"/>
    </row>
    <row r="186" spans="1:183" s="18" customFormat="1">
      <c r="A186" s="51"/>
      <c r="B186" s="52"/>
      <c r="C186" s="52"/>
      <c r="D186" s="52"/>
      <c r="E186" s="53"/>
      <c r="F186" s="52"/>
      <c r="G186" s="52"/>
      <c r="H186" s="52"/>
      <c r="I186" s="53"/>
      <c r="J186" s="52"/>
      <c r="K186" s="52"/>
      <c r="L186" s="52"/>
      <c r="M186" s="52"/>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GA186" s="54"/>
    </row>
    <row r="187" spans="1:183" s="18" customFormat="1">
      <c r="A187" s="51"/>
      <c r="B187" s="52"/>
      <c r="C187" s="52"/>
      <c r="D187" s="52"/>
      <c r="E187" s="53"/>
      <c r="F187" s="52"/>
      <c r="G187" s="52"/>
      <c r="H187" s="52"/>
      <c r="I187" s="53"/>
      <c r="J187" s="52"/>
      <c r="K187" s="52"/>
      <c r="L187" s="52"/>
      <c r="M187" s="52"/>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GA187" s="54"/>
    </row>
    <row r="188" spans="1:183" s="18" customFormat="1">
      <c r="A188" s="51"/>
      <c r="B188" s="52"/>
      <c r="C188" s="52"/>
      <c r="D188" s="52"/>
      <c r="E188" s="53"/>
      <c r="F188" s="52"/>
      <c r="G188" s="52"/>
      <c r="H188" s="52"/>
      <c r="I188" s="53"/>
      <c r="J188" s="52"/>
      <c r="K188" s="52"/>
      <c r="L188" s="52"/>
      <c r="M188" s="52"/>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GA188" s="54"/>
    </row>
    <row r="189" spans="1:183" s="18" customFormat="1">
      <c r="A189" s="51"/>
      <c r="B189" s="52"/>
      <c r="C189" s="52"/>
      <c r="D189" s="52"/>
      <c r="E189" s="53"/>
      <c r="F189" s="52"/>
      <c r="G189" s="52"/>
      <c r="H189" s="52"/>
      <c r="I189" s="53"/>
      <c r="J189" s="52"/>
      <c r="K189" s="52"/>
      <c r="L189" s="52"/>
      <c r="M189" s="52"/>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GA189" s="54"/>
    </row>
    <row r="190" spans="1:183" s="18" customFormat="1">
      <c r="A190" s="51"/>
      <c r="B190" s="52"/>
      <c r="C190" s="52"/>
      <c r="D190" s="52"/>
      <c r="E190" s="53"/>
      <c r="F190" s="52"/>
      <c r="G190" s="52"/>
      <c r="H190" s="52"/>
      <c r="I190" s="53"/>
      <c r="J190" s="52"/>
      <c r="K190" s="52"/>
      <c r="L190" s="52"/>
      <c r="M190" s="52"/>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GA190" s="54"/>
    </row>
    <row r="191" spans="1:183" s="18" customFormat="1">
      <c r="A191" s="51"/>
      <c r="B191" s="52"/>
      <c r="C191" s="52"/>
      <c r="D191" s="52"/>
      <c r="E191" s="53"/>
      <c r="F191" s="52"/>
      <c r="G191" s="52"/>
      <c r="H191" s="52"/>
      <c r="I191" s="53"/>
      <c r="J191" s="52"/>
      <c r="K191" s="52"/>
      <c r="L191" s="52"/>
      <c r="M191" s="52"/>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GA191" s="54"/>
    </row>
    <row r="192" spans="1:183" s="18" customFormat="1">
      <c r="A192" s="51"/>
      <c r="B192" s="52"/>
      <c r="C192" s="52"/>
      <c r="D192" s="52"/>
      <c r="E192" s="53"/>
      <c r="F192" s="52"/>
      <c r="G192" s="52"/>
      <c r="H192" s="52"/>
      <c r="I192" s="53"/>
      <c r="J192" s="52"/>
      <c r="K192" s="52"/>
      <c r="L192" s="52"/>
      <c r="M192" s="52"/>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GA192" s="54"/>
    </row>
    <row r="193" spans="1:183" s="18" customFormat="1">
      <c r="A193" s="51"/>
      <c r="B193" s="52"/>
      <c r="C193" s="52"/>
      <c r="D193" s="52"/>
      <c r="E193" s="53"/>
      <c r="F193" s="52"/>
      <c r="G193" s="52"/>
      <c r="H193" s="52"/>
      <c r="I193" s="53"/>
      <c r="J193" s="52"/>
      <c r="K193" s="52"/>
      <c r="L193" s="52"/>
      <c r="M193" s="52"/>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GA193" s="54"/>
    </row>
    <row r="194" spans="1:183" s="18" customFormat="1">
      <c r="A194" s="51"/>
      <c r="B194" s="52"/>
      <c r="C194" s="52"/>
      <c r="D194" s="52"/>
      <c r="E194" s="53"/>
      <c r="F194" s="52"/>
      <c r="G194" s="52"/>
      <c r="H194" s="52"/>
      <c r="I194" s="53"/>
      <c r="J194" s="52"/>
      <c r="K194" s="52"/>
      <c r="L194" s="52"/>
      <c r="M194" s="52"/>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GA194" s="54"/>
    </row>
    <row r="195" spans="1:183" s="18" customFormat="1">
      <c r="A195" s="51"/>
      <c r="B195" s="52"/>
      <c r="C195" s="52"/>
      <c r="D195" s="52"/>
      <c r="E195" s="53"/>
      <c r="F195" s="52"/>
      <c r="G195" s="52"/>
      <c r="H195" s="52"/>
      <c r="I195" s="53"/>
      <c r="J195" s="52"/>
      <c r="K195" s="52"/>
      <c r="L195" s="52"/>
      <c r="M195" s="52"/>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c r="GA195" s="54"/>
    </row>
    <row r="196" spans="1:183" s="18" customFormat="1">
      <c r="A196" s="51"/>
      <c r="B196" s="52"/>
      <c r="C196" s="52"/>
      <c r="D196" s="52"/>
      <c r="E196" s="53"/>
      <c r="F196" s="52"/>
      <c r="G196" s="52"/>
      <c r="H196" s="52"/>
      <c r="I196" s="53"/>
      <c r="J196" s="52"/>
      <c r="K196" s="52"/>
      <c r="L196" s="52"/>
      <c r="M196" s="52"/>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GA196" s="54"/>
    </row>
    <row r="197" spans="1:183" s="18" customFormat="1">
      <c r="A197" s="51"/>
      <c r="B197" s="52"/>
      <c r="C197" s="52"/>
      <c r="D197" s="52"/>
      <c r="E197" s="53"/>
      <c r="F197" s="52"/>
      <c r="G197" s="52"/>
      <c r="H197" s="52"/>
      <c r="I197" s="53"/>
      <c r="J197" s="52"/>
      <c r="K197" s="52"/>
      <c r="L197" s="52"/>
      <c r="M197" s="52"/>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GA197" s="54"/>
    </row>
    <row r="198" spans="1:183" s="18" customFormat="1">
      <c r="A198" s="51"/>
      <c r="B198" s="52"/>
      <c r="C198" s="52"/>
      <c r="D198" s="52"/>
      <c r="E198" s="53"/>
      <c r="F198" s="52"/>
      <c r="G198" s="52"/>
      <c r="H198" s="52"/>
      <c r="I198" s="53"/>
      <c r="J198" s="52"/>
      <c r="K198" s="52"/>
      <c r="L198" s="52"/>
      <c r="M198" s="52"/>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GA198" s="54"/>
    </row>
    <row r="199" spans="1:183" s="18" customFormat="1">
      <c r="A199" s="51"/>
      <c r="B199" s="52"/>
      <c r="C199" s="52"/>
      <c r="D199" s="52"/>
      <c r="E199" s="53"/>
      <c r="F199" s="52"/>
      <c r="G199" s="52"/>
      <c r="H199" s="52"/>
      <c r="I199" s="53"/>
      <c r="J199" s="52"/>
      <c r="K199" s="52"/>
      <c r="L199" s="52"/>
      <c r="M199" s="52"/>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GA199" s="54"/>
    </row>
    <row r="200" spans="1:183" s="18" customFormat="1">
      <c r="A200" s="51"/>
      <c r="B200" s="52"/>
      <c r="C200" s="52"/>
      <c r="D200" s="52"/>
      <c r="E200" s="53"/>
      <c r="F200" s="52"/>
      <c r="G200" s="52"/>
      <c r="H200" s="52"/>
      <c r="I200" s="53"/>
      <c r="J200" s="52"/>
      <c r="K200" s="52"/>
      <c r="L200" s="52"/>
      <c r="M200" s="52"/>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GA200" s="54"/>
    </row>
    <row r="201" spans="1:183" s="18" customFormat="1">
      <c r="A201" s="51"/>
      <c r="B201" s="52"/>
      <c r="C201" s="52"/>
      <c r="D201" s="52"/>
      <c r="E201" s="53"/>
      <c r="F201" s="52"/>
      <c r="G201" s="52"/>
      <c r="H201" s="52"/>
      <c r="I201" s="53"/>
      <c r="J201" s="52"/>
      <c r="K201" s="52"/>
      <c r="L201" s="52"/>
      <c r="M201" s="52"/>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GA201" s="54"/>
    </row>
    <row r="202" spans="1:183" s="18" customFormat="1">
      <c r="A202" s="51"/>
      <c r="B202" s="52"/>
      <c r="C202" s="52"/>
      <c r="D202" s="52"/>
      <c r="E202" s="53"/>
      <c r="F202" s="52"/>
      <c r="G202" s="52"/>
      <c r="H202" s="52"/>
      <c r="I202" s="53"/>
      <c r="J202" s="52"/>
      <c r="K202" s="52"/>
      <c r="L202" s="52"/>
      <c r="M202" s="52"/>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GA202" s="54"/>
    </row>
    <row r="203" spans="1:183" s="18" customFormat="1">
      <c r="A203" s="51"/>
      <c r="B203" s="52"/>
      <c r="C203" s="52"/>
      <c r="D203" s="52"/>
      <c r="E203" s="53"/>
      <c r="F203" s="52"/>
      <c r="G203" s="52"/>
      <c r="H203" s="52"/>
      <c r="I203" s="53"/>
      <c r="J203" s="52"/>
      <c r="K203" s="52"/>
      <c r="L203" s="52"/>
      <c r="M203" s="52"/>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GA203" s="54"/>
    </row>
    <row r="204" spans="1:183" s="18" customFormat="1">
      <c r="A204" s="51"/>
      <c r="B204" s="52"/>
      <c r="C204" s="52"/>
      <c r="D204" s="52"/>
      <c r="E204" s="53"/>
      <c r="F204" s="52"/>
      <c r="G204" s="52"/>
      <c r="H204" s="52"/>
      <c r="I204" s="53"/>
      <c r="J204" s="52"/>
      <c r="K204" s="52"/>
      <c r="L204" s="52"/>
      <c r="M204" s="52"/>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GA204" s="54"/>
    </row>
    <row r="205" spans="1:183" s="18" customFormat="1">
      <c r="A205" s="51"/>
      <c r="B205" s="52"/>
      <c r="C205" s="52"/>
      <c r="D205" s="52"/>
      <c r="E205" s="53"/>
      <c r="F205" s="52"/>
      <c r="G205" s="52"/>
      <c r="H205" s="52"/>
      <c r="I205" s="53"/>
      <c r="J205" s="52"/>
      <c r="K205" s="52"/>
      <c r="L205" s="52"/>
      <c r="M205" s="52"/>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c r="GA205" s="54"/>
    </row>
    <row r="206" spans="1:183" s="18" customFormat="1">
      <c r="A206" s="51"/>
      <c r="B206" s="52"/>
      <c r="C206" s="52"/>
      <c r="D206" s="52"/>
      <c r="E206" s="53"/>
      <c r="F206" s="52"/>
      <c r="G206" s="52"/>
      <c r="H206" s="52"/>
      <c r="I206" s="53"/>
      <c r="J206" s="52"/>
      <c r="K206" s="52"/>
      <c r="L206" s="52"/>
      <c r="M206" s="52"/>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GA206" s="54"/>
    </row>
    <row r="207" spans="1:183" s="18" customFormat="1">
      <c r="A207" s="51"/>
      <c r="B207" s="52"/>
      <c r="C207" s="52"/>
      <c r="D207" s="52"/>
      <c r="E207" s="53"/>
      <c r="F207" s="52"/>
      <c r="G207" s="52"/>
      <c r="H207" s="52"/>
      <c r="I207" s="53"/>
      <c r="J207" s="52"/>
      <c r="K207" s="52"/>
      <c r="L207" s="52"/>
      <c r="M207" s="52"/>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GA207" s="54"/>
    </row>
    <row r="208" spans="1:183" s="18" customFormat="1">
      <c r="A208" s="51"/>
      <c r="B208" s="52"/>
      <c r="C208" s="52"/>
      <c r="D208" s="52"/>
      <c r="E208" s="53"/>
      <c r="F208" s="52"/>
      <c r="G208" s="52"/>
      <c r="H208" s="52"/>
      <c r="I208" s="53"/>
      <c r="J208" s="52"/>
      <c r="K208" s="52"/>
      <c r="L208" s="52"/>
      <c r="M208" s="52"/>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GA208" s="54"/>
    </row>
    <row r="209" spans="1:183" s="18" customFormat="1">
      <c r="A209" s="51"/>
      <c r="B209" s="52"/>
      <c r="C209" s="52"/>
      <c r="D209" s="52"/>
      <c r="E209" s="53"/>
      <c r="F209" s="52"/>
      <c r="G209" s="52"/>
      <c r="H209" s="52"/>
      <c r="I209" s="53"/>
      <c r="J209" s="52"/>
      <c r="K209" s="52"/>
      <c r="L209" s="52"/>
      <c r="M209" s="52"/>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GA209" s="54"/>
    </row>
    <row r="210" spans="1:183" s="18" customFormat="1">
      <c r="A210" s="51"/>
      <c r="B210" s="52"/>
      <c r="C210" s="52"/>
      <c r="D210" s="52"/>
      <c r="E210" s="53"/>
      <c r="F210" s="52"/>
      <c r="G210" s="52"/>
      <c r="H210" s="52"/>
      <c r="I210" s="53"/>
      <c r="J210" s="52"/>
      <c r="K210" s="52"/>
      <c r="L210" s="52"/>
      <c r="M210" s="52"/>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GA210" s="54"/>
    </row>
    <row r="211" spans="1:183" s="18" customFormat="1">
      <c r="A211" s="51"/>
      <c r="B211" s="52"/>
      <c r="C211" s="52"/>
      <c r="D211" s="52"/>
      <c r="E211" s="53"/>
      <c r="F211" s="52"/>
      <c r="G211" s="52"/>
      <c r="H211" s="52"/>
      <c r="I211" s="53"/>
      <c r="J211" s="52"/>
      <c r="K211" s="52"/>
      <c r="L211" s="52"/>
      <c r="M211" s="52"/>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GA211" s="54"/>
    </row>
    <row r="212" spans="1:183" s="18" customFormat="1">
      <c r="A212" s="51"/>
      <c r="B212" s="52"/>
      <c r="C212" s="52"/>
      <c r="D212" s="52"/>
      <c r="E212" s="53"/>
      <c r="F212" s="52"/>
      <c r="G212" s="52"/>
      <c r="H212" s="52"/>
      <c r="I212" s="53"/>
      <c r="J212" s="52"/>
      <c r="K212" s="52"/>
      <c r="L212" s="52"/>
      <c r="M212" s="52"/>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GA212" s="54"/>
    </row>
    <row r="213" spans="1:183" s="18" customFormat="1">
      <c r="A213" s="51"/>
      <c r="B213" s="52"/>
      <c r="C213" s="52"/>
      <c r="D213" s="52"/>
      <c r="E213" s="53"/>
      <c r="F213" s="52"/>
      <c r="G213" s="52"/>
      <c r="H213" s="52"/>
      <c r="I213" s="53"/>
      <c r="J213" s="52"/>
      <c r="K213" s="52"/>
      <c r="L213" s="52"/>
      <c r="M213" s="52"/>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GA213" s="54"/>
    </row>
    <row r="214" spans="1:183" s="18" customFormat="1">
      <c r="A214" s="51"/>
      <c r="B214" s="52"/>
      <c r="C214" s="52"/>
      <c r="D214" s="52"/>
      <c r="E214" s="53"/>
      <c r="F214" s="52"/>
      <c r="G214" s="52"/>
      <c r="H214" s="52"/>
      <c r="I214" s="53"/>
      <c r="J214" s="52"/>
      <c r="K214" s="52"/>
      <c r="L214" s="52"/>
      <c r="M214" s="52"/>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GA214" s="54"/>
    </row>
    <row r="215" spans="1:183" s="18" customFormat="1">
      <c r="A215" s="51"/>
      <c r="B215" s="52"/>
      <c r="C215" s="52"/>
      <c r="D215" s="52"/>
      <c r="E215" s="53"/>
      <c r="F215" s="52"/>
      <c r="G215" s="52"/>
      <c r="H215" s="52"/>
      <c r="I215" s="53"/>
      <c r="J215" s="52"/>
      <c r="K215" s="52"/>
      <c r="L215" s="52"/>
      <c r="M215" s="52"/>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GA215" s="54"/>
    </row>
    <row r="216" spans="1:183" s="18" customFormat="1">
      <c r="A216" s="51"/>
      <c r="B216" s="52"/>
      <c r="C216" s="52"/>
      <c r="D216" s="52"/>
      <c r="E216" s="53"/>
      <c r="F216" s="52"/>
      <c r="G216" s="52"/>
      <c r="H216" s="52"/>
      <c r="I216" s="53"/>
      <c r="J216" s="52"/>
      <c r="K216" s="52"/>
      <c r="L216" s="52"/>
      <c r="M216" s="52"/>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GA216" s="54"/>
    </row>
    <row r="217" spans="1:183" s="18" customFormat="1">
      <c r="A217" s="51"/>
      <c r="B217" s="52"/>
      <c r="C217" s="52"/>
      <c r="D217" s="52"/>
      <c r="E217" s="53"/>
      <c r="F217" s="52"/>
      <c r="G217" s="52"/>
      <c r="H217" s="52"/>
      <c r="I217" s="53"/>
      <c r="J217" s="52"/>
      <c r="K217" s="52"/>
      <c r="L217" s="52"/>
      <c r="M217" s="52"/>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GA217" s="54"/>
    </row>
    <row r="218" spans="1:183" s="18" customFormat="1">
      <c r="A218" s="51"/>
      <c r="B218" s="52"/>
      <c r="C218" s="52"/>
      <c r="D218" s="52"/>
      <c r="E218" s="53"/>
      <c r="F218" s="52"/>
      <c r="G218" s="52"/>
      <c r="H218" s="52"/>
      <c r="I218" s="53"/>
      <c r="J218" s="52"/>
      <c r="K218" s="52"/>
      <c r="L218" s="52"/>
      <c r="M218" s="52"/>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GA218" s="54"/>
    </row>
    <row r="219" spans="1:183" s="18" customFormat="1">
      <c r="A219" s="51"/>
      <c r="B219" s="52"/>
      <c r="C219" s="52"/>
      <c r="D219" s="52"/>
      <c r="E219" s="53"/>
      <c r="F219" s="52"/>
      <c r="G219" s="52"/>
      <c r="H219" s="52"/>
      <c r="I219" s="53"/>
      <c r="J219" s="52"/>
      <c r="K219" s="52"/>
      <c r="L219" s="52"/>
      <c r="M219" s="52"/>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GA219" s="54"/>
    </row>
    <row r="220" spans="1:183" s="18" customFormat="1">
      <c r="A220" s="51"/>
      <c r="B220" s="52"/>
      <c r="C220" s="52"/>
      <c r="D220" s="52"/>
      <c r="E220" s="53"/>
      <c r="F220" s="52"/>
      <c r="G220" s="52"/>
      <c r="H220" s="52"/>
      <c r="I220" s="53"/>
      <c r="J220" s="52"/>
      <c r="K220" s="52"/>
      <c r="L220" s="52"/>
      <c r="M220" s="52"/>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GA220" s="54"/>
    </row>
    <row r="221" spans="1:183" s="18" customFormat="1">
      <c r="A221" s="51"/>
      <c r="B221" s="52"/>
      <c r="C221" s="52"/>
      <c r="D221" s="52"/>
      <c r="E221" s="53"/>
      <c r="F221" s="52"/>
      <c r="G221" s="52"/>
      <c r="H221" s="52"/>
      <c r="I221" s="53"/>
      <c r="J221" s="52"/>
      <c r="K221" s="52"/>
      <c r="L221" s="52"/>
      <c r="M221" s="52"/>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c r="AX221" s="19"/>
      <c r="GA221" s="54"/>
    </row>
    <row r="222" spans="1:183" s="18" customFormat="1">
      <c r="A222" s="51"/>
      <c r="B222" s="52"/>
      <c r="C222" s="52"/>
      <c r="D222" s="52"/>
      <c r="E222" s="53"/>
      <c r="F222" s="52"/>
      <c r="G222" s="52"/>
      <c r="H222" s="52"/>
      <c r="I222" s="53"/>
      <c r="J222" s="52"/>
      <c r="K222" s="52"/>
      <c r="L222" s="52"/>
      <c r="M222" s="52"/>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AP222" s="19"/>
      <c r="AQ222" s="19"/>
      <c r="AR222" s="19"/>
      <c r="AS222" s="19"/>
      <c r="AT222" s="19"/>
      <c r="AU222" s="19"/>
      <c r="AV222" s="19"/>
      <c r="AW222" s="19"/>
      <c r="AX222" s="19"/>
      <c r="GA222" s="54"/>
    </row>
    <row r="223" spans="1:183" s="18" customFormat="1">
      <c r="A223" s="51"/>
      <c r="B223" s="52"/>
      <c r="C223" s="52"/>
      <c r="D223" s="52"/>
      <c r="E223" s="53"/>
      <c r="F223" s="52"/>
      <c r="G223" s="52"/>
      <c r="H223" s="52"/>
      <c r="I223" s="53"/>
      <c r="J223" s="52"/>
      <c r="K223" s="52"/>
      <c r="L223" s="52"/>
      <c r="M223" s="52"/>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19"/>
      <c r="AR223" s="19"/>
      <c r="AS223" s="19"/>
      <c r="AT223" s="19"/>
      <c r="AU223" s="19"/>
      <c r="AV223" s="19"/>
      <c r="AW223" s="19"/>
      <c r="AX223" s="19"/>
      <c r="GA223" s="54"/>
    </row>
    <row r="224" spans="1:183" s="18" customFormat="1">
      <c r="A224" s="51"/>
      <c r="B224" s="52"/>
      <c r="C224" s="52"/>
      <c r="D224" s="52"/>
      <c r="E224" s="53"/>
      <c r="F224" s="52"/>
      <c r="G224" s="52"/>
      <c r="H224" s="52"/>
      <c r="I224" s="53"/>
      <c r="J224" s="52"/>
      <c r="K224" s="52"/>
      <c r="L224" s="52"/>
      <c r="M224" s="52"/>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19"/>
      <c r="AR224" s="19"/>
      <c r="AS224" s="19"/>
      <c r="AT224" s="19"/>
      <c r="AU224" s="19"/>
      <c r="AV224" s="19"/>
      <c r="AW224" s="19"/>
      <c r="AX224" s="19"/>
      <c r="GA224" s="54"/>
    </row>
    <row r="225" spans="1:183" s="18" customFormat="1">
      <c r="A225" s="51"/>
      <c r="B225" s="52"/>
      <c r="C225" s="52"/>
      <c r="D225" s="52"/>
      <c r="E225" s="53"/>
      <c r="F225" s="52"/>
      <c r="G225" s="52"/>
      <c r="H225" s="52"/>
      <c r="I225" s="53"/>
      <c r="J225" s="52"/>
      <c r="K225" s="52"/>
      <c r="L225" s="52"/>
      <c r="M225" s="52"/>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AP225" s="19"/>
      <c r="AQ225" s="19"/>
      <c r="AR225" s="19"/>
      <c r="AS225" s="19"/>
      <c r="AT225" s="19"/>
      <c r="AU225" s="19"/>
      <c r="AV225" s="19"/>
      <c r="AW225" s="19"/>
      <c r="AX225" s="19"/>
      <c r="GA225" s="54"/>
    </row>
    <row r="226" spans="1:183" s="18" customFormat="1">
      <c r="A226" s="51"/>
      <c r="B226" s="52"/>
      <c r="C226" s="52"/>
      <c r="D226" s="52"/>
      <c r="E226" s="53"/>
      <c r="F226" s="52"/>
      <c r="G226" s="52"/>
      <c r="H226" s="52"/>
      <c r="I226" s="53"/>
      <c r="J226" s="52"/>
      <c r="K226" s="52"/>
      <c r="L226" s="52"/>
      <c r="M226" s="52"/>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AP226" s="19"/>
      <c r="AQ226" s="19"/>
      <c r="AR226" s="19"/>
      <c r="AS226" s="19"/>
      <c r="AT226" s="19"/>
      <c r="AU226" s="19"/>
      <c r="AV226" s="19"/>
      <c r="AW226" s="19"/>
      <c r="AX226" s="19"/>
      <c r="GA226" s="54"/>
    </row>
    <row r="227" spans="1:183" s="18" customFormat="1">
      <c r="A227" s="51"/>
      <c r="B227" s="52"/>
      <c r="C227" s="52"/>
      <c r="D227" s="52"/>
      <c r="E227" s="53"/>
      <c r="F227" s="52"/>
      <c r="G227" s="52"/>
      <c r="H227" s="52"/>
      <c r="I227" s="53"/>
      <c r="J227" s="52"/>
      <c r="K227" s="52"/>
      <c r="L227" s="52"/>
      <c r="M227" s="52"/>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19"/>
      <c r="AR227" s="19"/>
      <c r="AS227" s="19"/>
      <c r="AT227" s="19"/>
      <c r="AU227" s="19"/>
      <c r="AV227" s="19"/>
      <c r="AW227" s="19"/>
      <c r="AX227" s="19"/>
      <c r="GA227" s="54"/>
    </row>
    <row r="228" spans="1:183" s="18" customFormat="1">
      <c r="A228" s="51"/>
      <c r="B228" s="52"/>
      <c r="C228" s="52"/>
      <c r="D228" s="52"/>
      <c r="E228" s="53"/>
      <c r="F228" s="52"/>
      <c r="G228" s="52"/>
      <c r="H228" s="52"/>
      <c r="I228" s="53"/>
      <c r="J228" s="52"/>
      <c r="K228" s="52"/>
      <c r="L228" s="52"/>
      <c r="M228" s="52"/>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19"/>
      <c r="AR228" s="19"/>
      <c r="AS228" s="19"/>
      <c r="AT228" s="19"/>
      <c r="AU228" s="19"/>
      <c r="AV228" s="19"/>
      <c r="AW228" s="19"/>
      <c r="AX228" s="19"/>
      <c r="GA228" s="54"/>
    </row>
    <row r="229" spans="1:183" s="18" customFormat="1">
      <c r="A229" s="51"/>
      <c r="B229" s="52"/>
      <c r="C229" s="52"/>
      <c r="D229" s="52"/>
      <c r="E229" s="53"/>
      <c r="F229" s="52"/>
      <c r="G229" s="52"/>
      <c r="H229" s="52"/>
      <c r="I229" s="53"/>
      <c r="J229" s="52"/>
      <c r="K229" s="52"/>
      <c r="L229" s="52"/>
      <c r="M229" s="52"/>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c r="AX229" s="19"/>
      <c r="GA229" s="54"/>
    </row>
    <row r="230" spans="1:183" s="18" customFormat="1">
      <c r="A230" s="51"/>
      <c r="B230" s="52"/>
      <c r="C230" s="52"/>
      <c r="D230" s="52"/>
      <c r="E230" s="53"/>
      <c r="F230" s="52"/>
      <c r="G230" s="52"/>
      <c r="H230" s="52"/>
      <c r="I230" s="53"/>
      <c r="J230" s="52"/>
      <c r="K230" s="52"/>
      <c r="L230" s="52"/>
      <c r="M230" s="52"/>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AP230" s="19"/>
      <c r="AQ230" s="19"/>
      <c r="AR230" s="19"/>
      <c r="AS230" s="19"/>
      <c r="AT230" s="19"/>
      <c r="AU230" s="19"/>
      <c r="AV230" s="19"/>
      <c r="AW230" s="19"/>
      <c r="AX230" s="19"/>
      <c r="GA230" s="54"/>
    </row>
    <row r="231" spans="1:183" s="18" customFormat="1">
      <c r="A231" s="51"/>
      <c r="B231" s="52"/>
      <c r="C231" s="52"/>
      <c r="D231" s="52"/>
      <c r="E231" s="53"/>
      <c r="F231" s="52"/>
      <c r="G231" s="52"/>
      <c r="H231" s="52"/>
      <c r="I231" s="53"/>
      <c r="J231" s="52"/>
      <c r="K231" s="52"/>
      <c r="L231" s="52"/>
      <c r="M231" s="52"/>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AP231" s="19"/>
      <c r="AQ231" s="19"/>
      <c r="AR231" s="19"/>
      <c r="AS231" s="19"/>
      <c r="AT231" s="19"/>
      <c r="AU231" s="19"/>
      <c r="AV231" s="19"/>
      <c r="AW231" s="19"/>
      <c r="AX231" s="19"/>
      <c r="GA231" s="54"/>
    </row>
    <row r="232" spans="1:183" s="18" customFormat="1">
      <c r="A232" s="51"/>
      <c r="B232" s="52"/>
      <c r="C232" s="52"/>
      <c r="D232" s="52"/>
      <c r="E232" s="53"/>
      <c r="F232" s="52"/>
      <c r="G232" s="52"/>
      <c r="H232" s="52"/>
      <c r="I232" s="53"/>
      <c r="J232" s="52"/>
      <c r="K232" s="52"/>
      <c r="L232" s="52"/>
      <c r="M232" s="52"/>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c r="AX232" s="19"/>
      <c r="GA232" s="54"/>
    </row>
    <row r="233" spans="1:183" s="18" customFormat="1">
      <c r="A233" s="51"/>
      <c r="B233" s="52"/>
      <c r="C233" s="52"/>
      <c r="D233" s="52"/>
      <c r="E233" s="53"/>
      <c r="F233" s="52"/>
      <c r="G233" s="52"/>
      <c r="H233" s="52"/>
      <c r="I233" s="53"/>
      <c r="J233" s="52"/>
      <c r="K233" s="52"/>
      <c r="L233" s="52"/>
      <c r="M233" s="52"/>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19"/>
      <c r="AR233" s="19"/>
      <c r="AS233" s="19"/>
      <c r="AT233" s="19"/>
      <c r="AU233" s="19"/>
      <c r="AV233" s="19"/>
      <c r="AW233" s="19"/>
      <c r="AX233" s="19"/>
      <c r="GA233" s="54"/>
    </row>
    <row r="234" spans="1:183" s="18" customFormat="1">
      <c r="A234" s="51"/>
      <c r="B234" s="52"/>
      <c r="C234" s="52"/>
      <c r="D234" s="52"/>
      <c r="E234" s="53"/>
      <c r="F234" s="52"/>
      <c r="G234" s="52"/>
      <c r="H234" s="52"/>
      <c r="I234" s="53"/>
      <c r="J234" s="52"/>
      <c r="K234" s="52"/>
      <c r="L234" s="52"/>
      <c r="M234" s="52"/>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c r="GA234" s="54"/>
    </row>
    <row r="235" spans="1:183" s="18" customFormat="1">
      <c r="A235" s="51"/>
      <c r="B235" s="52"/>
      <c r="C235" s="52"/>
      <c r="D235" s="52"/>
      <c r="E235" s="53"/>
      <c r="F235" s="52"/>
      <c r="G235" s="52"/>
      <c r="H235" s="52"/>
      <c r="I235" s="53"/>
      <c r="J235" s="52"/>
      <c r="K235" s="52"/>
      <c r="L235" s="52"/>
      <c r="M235" s="52"/>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c r="AO235" s="19"/>
      <c r="AP235" s="19"/>
      <c r="AQ235" s="19"/>
      <c r="AR235" s="19"/>
      <c r="AS235" s="19"/>
      <c r="AT235" s="19"/>
      <c r="AU235" s="19"/>
      <c r="AV235" s="19"/>
      <c r="AW235" s="19"/>
      <c r="AX235" s="19"/>
      <c r="GA235" s="54"/>
    </row>
    <row r="236" spans="1:183" s="18" customFormat="1">
      <c r="A236" s="51"/>
      <c r="B236" s="52"/>
      <c r="C236" s="52"/>
      <c r="D236" s="52"/>
      <c r="E236" s="53"/>
      <c r="F236" s="52"/>
      <c r="G236" s="52"/>
      <c r="H236" s="52"/>
      <c r="I236" s="53"/>
      <c r="J236" s="52"/>
      <c r="K236" s="52"/>
      <c r="L236" s="52"/>
      <c r="M236" s="52"/>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c r="AX236" s="19"/>
      <c r="GA236" s="54"/>
    </row>
    <row r="237" spans="1:183" s="18" customFormat="1">
      <c r="A237" s="51"/>
      <c r="B237" s="52"/>
      <c r="C237" s="52"/>
      <c r="D237" s="52"/>
      <c r="E237" s="53"/>
      <c r="F237" s="52"/>
      <c r="G237" s="52"/>
      <c r="H237" s="52"/>
      <c r="I237" s="53"/>
      <c r="J237" s="52"/>
      <c r="K237" s="52"/>
      <c r="L237" s="52"/>
      <c r="M237" s="52"/>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c r="AO237" s="19"/>
      <c r="AP237" s="19"/>
      <c r="AQ237" s="19"/>
      <c r="AR237" s="19"/>
      <c r="AS237" s="19"/>
      <c r="AT237" s="19"/>
      <c r="AU237" s="19"/>
      <c r="AV237" s="19"/>
      <c r="AW237" s="19"/>
      <c r="AX237" s="19"/>
      <c r="GA237" s="54"/>
    </row>
    <row r="238" spans="1:183" s="18" customFormat="1">
      <c r="A238" s="51"/>
      <c r="B238" s="52"/>
      <c r="C238" s="52"/>
      <c r="D238" s="52"/>
      <c r="E238" s="53"/>
      <c r="F238" s="52"/>
      <c r="G238" s="52"/>
      <c r="H238" s="52"/>
      <c r="I238" s="53"/>
      <c r="J238" s="52"/>
      <c r="K238" s="52"/>
      <c r="L238" s="52"/>
      <c r="M238" s="52"/>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19"/>
      <c r="AR238" s="19"/>
      <c r="AS238" s="19"/>
      <c r="AT238" s="19"/>
      <c r="AU238" s="19"/>
      <c r="AV238" s="19"/>
      <c r="AW238" s="19"/>
      <c r="AX238" s="19"/>
      <c r="GA238" s="54"/>
    </row>
    <row r="239" spans="1:183" s="18" customFormat="1">
      <c r="A239" s="51"/>
      <c r="B239" s="52"/>
      <c r="C239" s="52"/>
      <c r="D239" s="52"/>
      <c r="E239" s="53"/>
      <c r="F239" s="52"/>
      <c r="G239" s="52"/>
      <c r="H239" s="52"/>
      <c r="I239" s="53"/>
      <c r="J239" s="52"/>
      <c r="K239" s="52"/>
      <c r="L239" s="52"/>
      <c r="M239" s="52"/>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c r="GA239" s="54"/>
    </row>
    <row r="240" spans="1:183" s="18" customFormat="1">
      <c r="A240" s="51"/>
      <c r="B240" s="52"/>
      <c r="C240" s="52"/>
      <c r="D240" s="52"/>
      <c r="E240" s="53"/>
      <c r="F240" s="52"/>
      <c r="G240" s="52"/>
      <c r="H240" s="52"/>
      <c r="I240" s="53"/>
      <c r="J240" s="52"/>
      <c r="K240" s="52"/>
      <c r="L240" s="52"/>
      <c r="M240" s="52"/>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GA240" s="54"/>
    </row>
    <row r="241" spans="1:183" s="18" customFormat="1">
      <c r="A241" s="51"/>
      <c r="B241" s="52"/>
      <c r="C241" s="52"/>
      <c r="D241" s="52"/>
      <c r="E241" s="53"/>
      <c r="F241" s="52"/>
      <c r="G241" s="52"/>
      <c r="H241" s="52"/>
      <c r="I241" s="53"/>
      <c r="J241" s="52"/>
      <c r="K241" s="52"/>
      <c r="L241" s="52"/>
      <c r="M241" s="52"/>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GA241" s="54"/>
    </row>
    <row r="242" spans="1:183" s="18" customFormat="1">
      <c r="A242" s="51"/>
      <c r="B242" s="52"/>
      <c r="C242" s="52"/>
      <c r="D242" s="52"/>
      <c r="E242" s="53"/>
      <c r="F242" s="52"/>
      <c r="G242" s="52"/>
      <c r="H242" s="52"/>
      <c r="I242" s="53"/>
      <c r="J242" s="52"/>
      <c r="K242" s="52"/>
      <c r="L242" s="52"/>
      <c r="M242" s="52"/>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GA242" s="54"/>
    </row>
    <row r="243" spans="1:183" s="18" customFormat="1">
      <c r="A243" s="51"/>
      <c r="B243" s="52"/>
      <c r="C243" s="52"/>
      <c r="D243" s="52"/>
      <c r="E243" s="53"/>
      <c r="F243" s="52"/>
      <c r="G243" s="52"/>
      <c r="H243" s="52"/>
      <c r="I243" s="53"/>
      <c r="J243" s="52"/>
      <c r="K243" s="52"/>
      <c r="L243" s="52"/>
      <c r="M243" s="52"/>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GA243" s="54"/>
    </row>
    <row r="244" spans="1:183" s="18" customFormat="1">
      <c r="A244" s="51"/>
      <c r="B244" s="52"/>
      <c r="C244" s="52"/>
      <c r="D244" s="52"/>
      <c r="E244" s="53"/>
      <c r="F244" s="52"/>
      <c r="G244" s="52"/>
      <c r="H244" s="52"/>
      <c r="I244" s="53"/>
      <c r="J244" s="52"/>
      <c r="K244" s="52"/>
      <c r="L244" s="52"/>
      <c r="M244" s="52"/>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c r="AX244" s="19"/>
      <c r="GA244" s="54"/>
    </row>
    <row r="245" spans="1:183" s="18" customFormat="1">
      <c r="A245" s="51"/>
      <c r="B245" s="52"/>
      <c r="C245" s="52"/>
      <c r="D245" s="52"/>
      <c r="E245" s="53"/>
      <c r="F245" s="52"/>
      <c r="G245" s="52"/>
      <c r="H245" s="52"/>
      <c r="I245" s="53"/>
      <c r="J245" s="52"/>
      <c r="K245" s="52"/>
      <c r="L245" s="52"/>
      <c r="M245" s="52"/>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c r="AX245" s="19"/>
      <c r="GA245" s="54"/>
    </row>
    <row r="246" spans="1:183" s="18" customFormat="1">
      <c r="A246" s="51"/>
      <c r="B246" s="52"/>
      <c r="C246" s="52"/>
      <c r="D246" s="52"/>
      <c r="E246" s="53"/>
      <c r="F246" s="52"/>
      <c r="G246" s="52"/>
      <c r="H246" s="52"/>
      <c r="I246" s="53"/>
      <c r="J246" s="52"/>
      <c r="K246" s="52"/>
      <c r="L246" s="52"/>
      <c r="M246" s="52"/>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c r="AX246" s="19"/>
      <c r="GA246" s="54"/>
    </row>
    <row r="247" spans="1:183" s="18" customFormat="1">
      <c r="A247" s="51"/>
      <c r="B247" s="52"/>
      <c r="C247" s="52"/>
      <c r="D247" s="52"/>
      <c r="E247" s="53"/>
      <c r="F247" s="52"/>
      <c r="G247" s="52"/>
      <c r="H247" s="52"/>
      <c r="I247" s="53"/>
      <c r="J247" s="52"/>
      <c r="K247" s="52"/>
      <c r="L247" s="52"/>
      <c r="M247" s="52"/>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c r="AX247" s="19"/>
      <c r="GA247" s="54"/>
    </row>
    <row r="248" spans="1:183" s="18" customFormat="1">
      <c r="A248" s="51"/>
      <c r="B248" s="52"/>
      <c r="C248" s="52"/>
      <c r="D248" s="52"/>
      <c r="E248" s="53"/>
      <c r="F248" s="52"/>
      <c r="G248" s="52"/>
      <c r="H248" s="52"/>
      <c r="I248" s="53"/>
      <c r="J248" s="52"/>
      <c r="K248" s="52"/>
      <c r="L248" s="52"/>
      <c r="M248" s="52"/>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c r="GA248" s="54"/>
    </row>
    <row r="249" spans="1:183" s="18" customFormat="1">
      <c r="A249" s="51"/>
      <c r="B249" s="52"/>
      <c r="C249" s="52"/>
      <c r="D249" s="52"/>
      <c r="E249" s="53"/>
      <c r="F249" s="52"/>
      <c r="G249" s="52"/>
      <c r="H249" s="52"/>
      <c r="I249" s="53"/>
      <c r="J249" s="52"/>
      <c r="K249" s="52"/>
      <c r="L249" s="52"/>
      <c r="M249" s="52"/>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c r="AX249" s="19"/>
      <c r="GA249" s="54"/>
    </row>
    <row r="250" spans="1:183" s="18" customFormat="1">
      <c r="A250" s="51"/>
      <c r="B250" s="52"/>
      <c r="C250" s="52"/>
      <c r="D250" s="52"/>
      <c r="E250" s="53"/>
      <c r="F250" s="52"/>
      <c r="G250" s="52"/>
      <c r="H250" s="52"/>
      <c r="I250" s="53"/>
      <c r="J250" s="52"/>
      <c r="K250" s="52"/>
      <c r="L250" s="52"/>
      <c r="M250" s="52"/>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c r="AN250" s="19"/>
      <c r="AO250" s="19"/>
      <c r="AP250" s="19"/>
      <c r="AQ250" s="19"/>
      <c r="AR250" s="19"/>
      <c r="AS250" s="19"/>
      <c r="AT250" s="19"/>
      <c r="AU250" s="19"/>
      <c r="AV250" s="19"/>
      <c r="AW250" s="19"/>
      <c r="AX250" s="19"/>
      <c r="GA250" s="54"/>
    </row>
    <row r="251" spans="1:183" s="18" customFormat="1">
      <c r="A251" s="51"/>
      <c r="B251" s="52"/>
      <c r="C251" s="52"/>
      <c r="D251" s="52"/>
      <c r="E251" s="53"/>
      <c r="F251" s="52"/>
      <c r="G251" s="52"/>
      <c r="H251" s="52"/>
      <c r="I251" s="53"/>
      <c r="J251" s="52"/>
      <c r="K251" s="52"/>
      <c r="L251" s="52"/>
      <c r="M251" s="52"/>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c r="AO251" s="19"/>
      <c r="AP251" s="19"/>
      <c r="AQ251" s="19"/>
      <c r="AR251" s="19"/>
      <c r="AS251" s="19"/>
      <c r="AT251" s="19"/>
      <c r="AU251" s="19"/>
      <c r="AV251" s="19"/>
      <c r="AW251" s="19"/>
      <c r="AX251" s="19"/>
      <c r="GA251" s="54"/>
    </row>
    <row r="252" spans="1:183" s="18" customFormat="1">
      <c r="A252" s="51"/>
      <c r="B252" s="52"/>
      <c r="C252" s="52"/>
      <c r="D252" s="52"/>
      <c r="E252" s="53"/>
      <c r="F252" s="52"/>
      <c r="G252" s="52"/>
      <c r="H252" s="52"/>
      <c r="I252" s="53"/>
      <c r="J252" s="52"/>
      <c r="K252" s="52"/>
      <c r="L252" s="52"/>
      <c r="M252" s="52"/>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c r="AO252" s="19"/>
      <c r="AP252" s="19"/>
      <c r="AQ252" s="19"/>
      <c r="AR252" s="19"/>
      <c r="AS252" s="19"/>
      <c r="AT252" s="19"/>
      <c r="AU252" s="19"/>
      <c r="AV252" s="19"/>
      <c r="AW252" s="19"/>
      <c r="AX252" s="19"/>
      <c r="GA252" s="54"/>
    </row>
    <row r="253" spans="1:183" s="18" customFormat="1">
      <c r="A253" s="51"/>
      <c r="B253" s="52"/>
      <c r="C253" s="52"/>
      <c r="D253" s="52"/>
      <c r="E253" s="53"/>
      <c r="F253" s="52"/>
      <c r="G253" s="52"/>
      <c r="H253" s="52"/>
      <c r="I253" s="53"/>
      <c r="J253" s="52"/>
      <c r="K253" s="52"/>
      <c r="L253" s="52"/>
      <c r="M253" s="52"/>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19"/>
      <c r="AR253" s="19"/>
      <c r="AS253" s="19"/>
      <c r="AT253" s="19"/>
      <c r="AU253" s="19"/>
      <c r="AV253" s="19"/>
      <c r="AW253" s="19"/>
      <c r="AX253" s="19"/>
      <c r="GA253" s="54"/>
    </row>
    <row r="254" spans="1:183" s="18" customFormat="1">
      <c r="A254" s="51"/>
      <c r="B254" s="52"/>
      <c r="C254" s="52"/>
      <c r="D254" s="52"/>
      <c r="E254" s="53"/>
      <c r="F254" s="52"/>
      <c r="G254" s="52"/>
      <c r="H254" s="52"/>
      <c r="I254" s="53"/>
      <c r="J254" s="52"/>
      <c r="K254" s="52"/>
      <c r="L254" s="52"/>
      <c r="M254" s="52"/>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c r="AN254" s="19"/>
      <c r="AO254" s="19"/>
      <c r="AP254" s="19"/>
      <c r="AQ254" s="19"/>
      <c r="AR254" s="19"/>
      <c r="AS254" s="19"/>
      <c r="AT254" s="19"/>
      <c r="AU254" s="19"/>
      <c r="AV254" s="19"/>
      <c r="AW254" s="19"/>
      <c r="AX254" s="19"/>
      <c r="GA254" s="54"/>
    </row>
    <row r="255" spans="1:183" s="18" customFormat="1">
      <c r="A255" s="51"/>
      <c r="B255" s="52"/>
      <c r="C255" s="52"/>
      <c r="D255" s="52"/>
      <c r="E255" s="53"/>
      <c r="F255" s="52"/>
      <c r="G255" s="52"/>
      <c r="H255" s="52"/>
      <c r="I255" s="53"/>
      <c r="J255" s="52"/>
      <c r="K255" s="52"/>
      <c r="L255" s="52"/>
      <c r="M255" s="52"/>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c r="AN255" s="19"/>
      <c r="AO255" s="19"/>
      <c r="AP255" s="19"/>
      <c r="AQ255" s="19"/>
      <c r="AR255" s="19"/>
      <c r="AS255" s="19"/>
      <c r="AT255" s="19"/>
      <c r="AU255" s="19"/>
      <c r="AV255" s="19"/>
      <c r="AW255" s="19"/>
      <c r="AX255" s="19"/>
      <c r="GA255" s="54"/>
    </row>
    <row r="256" spans="1:183" s="18" customFormat="1" ht="11.25"/>
    <row r="257" spans="1:183" s="18" customFormat="1">
      <c r="A257" s="51"/>
      <c r="B257" s="52"/>
      <c r="C257" s="52"/>
      <c r="D257" s="52"/>
      <c r="E257" s="53"/>
      <c r="F257" s="52"/>
      <c r="G257" s="52"/>
      <c r="H257" s="52"/>
      <c r="I257" s="53"/>
      <c r="J257" s="52"/>
      <c r="K257" s="52"/>
      <c r="L257" s="52"/>
      <c r="M257" s="52"/>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c r="AN257" s="19"/>
      <c r="AO257" s="19"/>
      <c r="AP257" s="19"/>
      <c r="AQ257" s="19"/>
      <c r="AR257" s="19"/>
      <c r="AS257" s="19"/>
      <c r="AT257" s="19"/>
      <c r="AU257" s="19"/>
      <c r="AV257" s="19"/>
      <c r="AW257" s="19"/>
      <c r="AX257" s="19"/>
      <c r="GA257" s="54"/>
    </row>
    <row r="258" spans="1:183" s="18" customFormat="1">
      <c r="A258" s="51"/>
      <c r="B258" s="52"/>
      <c r="C258" s="52"/>
      <c r="D258" s="52"/>
      <c r="E258" s="53"/>
      <c r="F258" s="52"/>
      <c r="G258" s="52"/>
      <c r="H258" s="52"/>
      <c r="I258" s="53"/>
      <c r="J258" s="52"/>
      <c r="K258" s="52"/>
      <c r="L258" s="52"/>
      <c r="M258" s="52"/>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c r="AN258" s="19"/>
      <c r="AO258" s="19"/>
      <c r="AP258" s="19"/>
      <c r="AQ258" s="19"/>
      <c r="AR258" s="19"/>
      <c r="AS258" s="19"/>
      <c r="AT258" s="19"/>
      <c r="AU258" s="19"/>
      <c r="AV258" s="19"/>
      <c r="AW258" s="19"/>
      <c r="AX258" s="19"/>
      <c r="GA258" s="54"/>
    </row>
    <row r="259" spans="1:183" s="18" customFormat="1">
      <c r="A259" s="51"/>
      <c r="B259" s="52"/>
      <c r="C259" s="52"/>
      <c r="D259" s="52"/>
      <c r="E259" s="53"/>
      <c r="F259" s="52"/>
      <c r="G259" s="52"/>
      <c r="H259" s="52"/>
      <c r="I259" s="53"/>
      <c r="J259" s="52"/>
      <c r="K259" s="52"/>
      <c r="L259" s="52"/>
      <c r="M259" s="52"/>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c r="AN259" s="19"/>
      <c r="AO259" s="19"/>
      <c r="AP259" s="19"/>
      <c r="AQ259" s="19"/>
      <c r="AR259" s="19"/>
      <c r="AS259" s="19"/>
      <c r="AT259" s="19"/>
      <c r="AU259" s="19"/>
      <c r="AV259" s="19"/>
      <c r="AW259" s="19"/>
      <c r="AX259" s="19"/>
      <c r="GA259" s="54"/>
    </row>
    <row r="260" spans="1:183" s="18" customFormat="1">
      <c r="A260" s="51"/>
      <c r="B260" s="52"/>
      <c r="C260" s="52"/>
      <c r="D260" s="52"/>
      <c r="E260" s="53"/>
      <c r="F260" s="52"/>
      <c r="G260" s="52"/>
      <c r="H260" s="52"/>
      <c r="I260" s="53"/>
      <c r="J260" s="52"/>
      <c r="K260" s="52"/>
      <c r="L260" s="52"/>
      <c r="M260" s="52"/>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c r="AN260" s="19"/>
      <c r="AO260" s="19"/>
      <c r="AP260" s="19"/>
      <c r="AQ260" s="19"/>
      <c r="AR260" s="19"/>
      <c r="AS260" s="19"/>
      <c r="AT260" s="19"/>
      <c r="AU260" s="19"/>
      <c r="AV260" s="19"/>
      <c r="AW260" s="19"/>
      <c r="AX260" s="19"/>
      <c r="GA260" s="54"/>
    </row>
    <row r="261" spans="1:183" s="18" customFormat="1">
      <c r="A261" s="51"/>
      <c r="B261" s="52"/>
      <c r="C261" s="52"/>
      <c r="D261" s="52"/>
      <c r="E261" s="53"/>
      <c r="F261" s="52"/>
      <c r="G261" s="52"/>
      <c r="H261" s="52"/>
      <c r="I261" s="53"/>
      <c r="J261" s="52"/>
      <c r="K261" s="52"/>
      <c r="L261" s="52"/>
      <c r="M261" s="52"/>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c r="AN261" s="19"/>
      <c r="AO261" s="19"/>
      <c r="AP261" s="19"/>
      <c r="AQ261" s="19"/>
      <c r="AR261" s="19"/>
      <c r="AS261" s="19"/>
      <c r="AT261" s="19"/>
      <c r="AU261" s="19"/>
      <c r="AV261" s="19"/>
      <c r="AW261" s="19"/>
      <c r="AX261" s="19"/>
      <c r="GA261" s="54"/>
    </row>
    <row r="262" spans="1:183" s="18" customFormat="1">
      <c r="A262" s="51"/>
      <c r="B262" s="52"/>
      <c r="C262" s="52"/>
      <c r="D262" s="52"/>
      <c r="E262" s="53"/>
      <c r="F262" s="52"/>
      <c r="G262" s="52"/>
      <c r="H262" s="52"/>
      <c r="I262" s="53"/>
      <c r="J262" s="52"/>
      <c r="K262" s="52"/>
      <c r="L262" s="52"/>
      <c r="M262" s="52"/>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c r="AL262" s="19"/>
      <c r="AM262" s="19"/>
      <c r="AN262" s="19"/>
      <c r="AO262" s="19"/>
      <c r="AP262" s="19"/>
      <c r="AQ262" s="19"/>
      <c r="AR262" s="19"/>
      <c r="AS262" s="19"/>
      <c r="AT262" s="19"/>
      <c r="AU262" s="19"/>
      <c r="AV262" s="19"/>
      <c r="AW262" s="19"/>
      <c r="AX262" s="19"/>
      <c r="GA262" s="54"/>
    </row>
    <row r="263" spans="1:183" s="18" customFormat="1">
      <c r="A263" s="51"/>
      <c r="B263" s="52"/>
      <c r="C263" s="52"/>
      <c r="D263" s="52"/>
      <c r="E263" s="53"/>
      <c r="F263" s="52"/>
      <c r="G263" s="52"/>
      <c r="H263" s="52"/>
      <c r="I263" s="53"/>
      <c r="J263" s="52"/>
      <c r="K263" s="52"/>
      <c r="L263" s="52"/>
      <c r="M263" s="52"/>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c r="AM263" s="19"/>
      <c r="AN263" s="19"/>
      <c r="AO263" s="19"/>
      <c r="AP263" s="19"/>
      <c r="AQ263" s="19"/>
      <c r="AR263" s="19"/>
      <c r="AS263" s="19"/>
      <c r="AT263" s="19"/>
      <c r="AU263" s="19"/>
      <c r="AV263" s="19"/>
      <c r="AW263" s="19"/>
      <c r="AX263" s="19"/>
      <c r="GA263" s="54"/>
    </row>
    <row r="264" spans="1:183" s="18" customFormat="1">
      <c r="A264" s="51"/>
      <c r="B264" s="52"/>
      <c r="C264" s="52"/>
      <c r="D264" s="52"/>
      <c r="E264" s="53"/>
      <c r="F264" s="52"/>
      <c r="G264" s="52"/>
      <c r="H264" s="52"/>
      <c r="I264" s="53"/>
      <c r="J264" s="52"/>
      <c r="K264" s="52"/>
      <c r="L264" s="52"/>
      <c r="M264" s="52"/>
      <c r="N264" s="19"/>
      <c r="O264" s="19"/>
      <c r="P264" s="19"/>
      <c r="Q264" s="19"/>
      <c r="R264" s="19"/>
      <c r="S264" s="19"/>
      <c r="T264" s="19"/>
      <c r="U264" s="19"/>
      <c r="V264" s="19"/>
      <c r="W264" s="19"/>
      <c r="X264" s="19"/>
      <c r="Y264" s="19"/>
      <c r="Z264" s="19"/>
      <c r="AA264" s="19"/>
      <c r="AB264" s="19"/>
      <c r="AC264" s="19"/>
      <c r="AD264" s="19"/>
      <c r="AE264" s="19"/>
      <c r="AF264" s="19"/>
      <c r="AG264" s="19"/>
      <c r="AH264" s="19"/>
      <c r="AI264" s="19"/>
      <c r="AJ264" s="19"/>
      <c r="AK264" s="19"/>
      <c r="AL264" s="19"/>
      <c r="AM264" s="19"/>
      <c r="AN264" s="19"/>
      <c r="AO264" s="19"/>
      <c r="AP264" s="19"/>
      <c r="AQ264" s="19"/>
      <c r="AR264" s="19"/>
      <c r="AS264" s="19"/>
      <c r="AT264" s="19"/>
      <c r="AU264" s="19"/>
      <c r="AV264" s="19"/>
      <c r="AW264" s="19"/>
      <c r="AX264" s="19"/>
      <c r="GA264" s="54"/>
    </row>
    <row r="265" spans="1:183" s="18" customFormat="1">
      <c r="A265" s="51"/>
      <c r="B265" s="52"/>
      <c r="C265" s="52"/>
      <c r="D265" s="52"/>
      <c r="E265" s="53"/>
      <c r="F265" s="52"/>
      <c r="G265" s="52"/>
      <c r="H265" s="52"/>
      <c r="I265" s="53"/>
      <c r="J265" s="52"/>
      <c r="K265" s="52"/>
      <c r="L265" s="52"/>
      <c r="M265" s="52"/>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c r="AK265" s="19"/>
      <c r="AL265" s="19"/>
      <c r="AM265" s="19"/>
      <c r="AN265" s="19"/>
      <c r="AO265" s="19"/>
      <c r="AP265" s="19"/>
      <c r="AQ265" s="19"/>
      <c r="AR265" s="19"/>
      <c r="AS265" s="19"/>
      <c r="AT265" s="19"/>
      <c r="AU265" s="19"/>
      <c r="AV265" s="19"/>
      <c r="AW265" s="19"/>
      <c r="AX265" s="19"/>
      <c r="GA265" s="54"/>
    </row>
    <row r="266" spans="1:183" s="18" customFormat="1">
      <c r="A266" s="51"/>
      <c r="B266" s="52"/>
      <c r="C266" s="52"/>
      <c r="D266" s="52"/>
      <c r="E266" s="53"/>
      <c r="F266" s="52"/>
      <c r="G266" s="52"/>
      <c r="H266" s="52"/>
      <c r="I266" s="53"/>
      <c r="J266" s="52"/>
      <c r="K266" s="52"/>
      <c r="L266" s="52"/>
      <c r="M266" s="52"/>
      <c r="N266" s="19"/>
      <c r="O266" s="19"/>
      <c r="P266" s="19"/>
      <c r="Q266" s="19"/>
      <c r="R266" s="19"/>
      <c r="S266" s="19"/>
      <c r="T266" s="19"/>
      <c r="U266" s="19"/>
      <c r="V266" s="19"/>
      <c r="W266" s="19"/>
      <c r="X266" s="19"/>
      <c r="Y266" s="19"/>
      <c r="Z266" s="19"/>
      <c r="AA266" s="19"/>
      <c r="AB266" s="19"/>
      <c r="AC266" s="19"/>
      <c r="AD266" s="19"/>
      <c r="AE266" s="19"/>
      <c r="AF266" s="19"/>
      <c r="AG266" s="19"/>
      <c r="AH266" s="19"/>
      <c r="AI266" s="19"/>
      <c r="AJ266" s="19"/>
      <c r="AK266" s="19"/>
      <c r="AL266" s="19"/>
      <c r="AM266" s="19"/>
      <c r="AN266" s="19"/>
      <c r="AO266" s="19"/>
      <c r="AP266" s="19"/>
      <c r="AQ266" s="19"/>
      <c r="AR266" s="19"/>
      <c r="AS266" s="19"/>
      <c r="AT266" s="19"/>
      <c r="AU266" s="19"/>
      <c r="AV266" s="19"/>
      <c r="AW266" s="19"/>
      <c r="AX266" s="19"/>
      <c r="GA266" s="54"/>
    </row>
    <row r="267" spans="1:183" s="18" customFormat="1">
      <c r="A267" s="51"/>
      <c r="B267" s="52"/>
      <c r="C267" s="52"/>
      <c r="D267" s="52"/>
      <c r="E267" s="53"/>
      <c r="F267" s="52"/>
      <c r="G267" s="52"/>
      <c r="H267" s="52"/>
      <c r="I267" s="53"/>
      <c r="J267" s="52"/>
      <c r="K267" s="52"/>
      <c r="L267" s="52"/>
      <c r="M267" s="52"/>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c r="AN267" s="19"/>
      <c r="AO267" s="19"/>
      <c r="AP267" s="19"/>
      <c r="AQ267" s="19"/>
      <c r="AR267" s="19"/>
      <c r="AS267" s="19"/>
      <c r="AT267" s="19"/>
      <c r="AU267" s="19"/>
      <c r="AV267" s="19"/>
      <c r="AW267" s="19"/>
      <c r="AX267" s="19"/>
      <c r="GA267" s="54"/>
    </row>
    <row r="268" spans="1:183" s="18" customFormat="1">
      <c r="A268" s="51"/>
      <c r="B268" s="52"/>
      <c r="C268" s="52"/>
      <c r="D268" s="52"/>
      <c r="E268" s="53"/>
      <c r="F268" s="52"/>
      <c r="G268" s="52"/>
      <c r="H268" s="52"/>
      <c r="I268" s="53"/>
      <c r="J268" s="52"/>
      <c r="K268" s="52"/>
      <c r="L268" s="52"/>
      <c r="M268" s="52"/>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c r="AN268" s="19"/>
      <c r="AO268" s="19"/>
      <c r="AP268" s="19"/>
      <c r="AQ268" s="19"/>
      <c r="AR268" s="19"/>
      <c r="AS268" s="19"/>
      <c r="AT268" s="19"/>
      <c r="AU268" s="19"/>
      <c r="AV268" s="19"/>
      <c r="AW268" s="19"/>
      <c r="AX268" s="19"/>
      <c r="GA268" s="54"/>
    </row>
    <row r="269" spans="1:183" s="18" customFormat="1">
      <c r="A269" s="51"/>
      <c r="B269" s="52"/>
      <c r="C269" s="52"/>
      <c r="D269" s="52"/>
      <c r="E269" s="53"/>
      <c r="F269" s="52"/>
      <c r="G269" s="52"/>
      <c r="H269" s="52"/>
      <c r="I269" s="53"/>
      <c r="J269" s="52"/>
      <c r="K269" s="52"/>
      <c r="L269" s="52"/>
      <c r="M269" s="52"/>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AK269" s="19"/>
      <c r="AL269" s="19"/>
      <c r="AM269" s="19"/>
      <c r="AN269" s="19"/>
      <c r="AO269" s="19"/>
      <c r="AP269" s="19"/>
      <c r="AQ269" s="19"/>
      <c r="AR269" s="19"/>
      <c r="AS269" s="19"/>
      <c r="AT269" s="19"/>
      <c r="AU269" s="19"/>
      <c r="AV269" s="19"/>
      <c r="AW269" s="19"/>
      <c r="AX269" s="19"/>
      <c r="GA269" s="54"/>
    </row>
    <row r="270" spans="1:183" s="18" customFormat="1">
      <c r="A270" s="51"/>
      <c r="B270" s="52"/>
      <c r="C270" s="52"/>
      <c r="D270" s="52"/>
      <c r="E270" s="53"/>
      <c r="F270" s="52"/>
      <c r="G270" s="52"/>
      <c r="H270" s="52"/>
      <c r="I270" s="53"/>
      <c r="J270" s="52"/>
      <c r="K270" s="52"/>
      <c r="L270" s="52"/>
      <c r="M270" s="52"/>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AK270" s="19"/>
      <c r="AL270" s="19"/>
      <c r="AM270" s="19"/>
      <c r="AN270" s="19"/>
      <c r="AO270" s="19"/>
      <c r="AP270" s="19"/>
      <c r="AQ270" s="19"/>
      <c r="AR270" s="19"/>
      <c r="AS270" s="19"/>
      <c r="AT270" s="19"/>
      <c r="AU270" s="19"/>
      <c r="AV270" s="19"/>
      <c r="AW270" s="19"/>
      <c r="AX270" s="19"/>
      <c r="GA270" s="54"/>
    </row>
    <row r="271" spans="1:183" s="18" customFormat="1">
      <c r="A271" s="51"/>
      <c r="B271" s="52"/>
      <c r="C271" s="52"/>
      <c r="D271" s="52"/>
      <c r="E271" s="53"/>
      <c r="F271" s="52"/>
      <c r="G271" s="52"/>
      <c r="H271" s="52"/>
      <c r="I271" s="53"/>
      <c r="J271" s="52"/>
      <c r="K271" s="52"/>
      <c r="L271" s="52"/>
      <c r="M271" s="52"/>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c r="AK271" s="19"/>
      <c r="AL271" s="19"/>
      <c r="AM271" s="19"/>
      <c r="AN271" s="19"/>
      <c r="AO271" s="19"/>
      <c r="AP271" s="19"/>
      <c r="AQ271" s="19"/>
      <c r="AR271" s="19"/>
      <c r="AS271" s="19"/>
      <c r="AT271" s="19"/>
      <c r="AU271" s="19"/>
      <c r="AV271" s="19"/>
      <c r="AW271" s="19"/>
      <c r="AX271" s="19"/>
      <c r="GA271" s="54"/>
    </row>
    <row r="272" spans="1:183" s="18" customFormat="1">
      <c r="A272" s="51"/>
      <c r="B272" s="52"/>
      <c r="C272" s="52"/>
      <c r="D272" s="52"/>
      <c r="E272" s="53"/>
      <c r="F272" s="52"/>
      <c r="G272" s="52"/>
      <c r="H272" s="52"/>
      <c r="I272" s="53"/>
      <c r="J272" s="52"/>
      <c r="K272" s="52"/>
      <c r="L272" s="52"/>
      <c r="M272" s="52"/>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AK272" s="19"/>
      <c r="AL272" s="19"/>
      <c r="AM272" s="19"/>
      <c r="AN272" s="19"/>
      <c r="AO272" s="19"/>
      <c r="AP272" s="19"/>
      <c r="AQ272" s="19"/>
      <c r="AR272" s="19"/>
      <c r="AS272" s="19"/>
      <c r="AT272" s="19"/>
      <c r="AU272" s="19"/>
      <c r="AV272" s="19"/>
      <c r="AW272" s="19"/>
      <c r="AX272" s="19"/>
      <c r="GA272" s="54"/>
    </row>
    <row r="273" spans="1:183" s="18" customFormat="1">
      <c r="A273" s="51"/>
      <c r="B273" s="52"/>
      <c r="C273" s="52"/>
      <c r="D273" s="52"/>
      <c r="E273" s="53"/>
      <c r="F273" s="52"/>
      <c r="G273" s="52"/>
      <c r="H273" s="52"/>
      <c r="I273" s="53"/>
      <c r="J273" s="52"/>
      <c r="K273" s="52"/>
      <c r="L273" s="52"/>
      <c r="M273" s="52"/>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AK273" s="19"/>
      <c r="AL273" s="19"/>
      <c r="AM273" s="19"/>
      <c r="AN273" s="19"/>
      <c r="AO273" s="19"/>
      <c r="AP273" s="19"/>
      <c r="AQ273" s="19"/>
      <c r="AR273" s="19"/>
      <c r="AS273" s="19"/>
      <c r="AT273" s="19"/>
      <c r="AU273" s="19"/>
      <c r="AV273" s="19"/>
      <c r="AW273" s="19"/>
      <c r="AX273" s="19"/>
      <c r="GA273" s="54"/>
    </row>
    <row r="274" spans="1:183" s="18" customFormat="1">
      <c r="A274" s="51"/>
      <c r="B274" s="52"/>
      <c r="C274" s="52"/>
      <c r="D274" s="52"/>
      <c r="E274" s="53"/>
      <c r="F274" s="52"/>
      <c r="G274" s="52"/>
      <c r="H274" s="52"/>
      <c r="I274" s="53"/>
      <c r="J274" s="52"/>
      <c r="K274" s="52"/>
      <c r="L274" s="52"/>
      <c r="M274" s="52"/>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c r="AN274" s="19"/>
      <c r="AO274" s="19"/>
      <c r="AP274" s="19"/>
      <c r="AQ274" s="19"/>
      <c r="AR274" s="19"/>
      <c r="AS274" s="19"/>
      <c r="AT274" s="19"/>
      <c r="AU274" s="19"/>
      <c r="AV274" s="19"/>
      <c r="AW274" s="19"/>
      <c r="AX274" s="19"/>
      <c r="GA274" s="54"/>
    </row>
    <row r="275" spans="1:183" s="18" customFormat="1">
      <c r="A275" s="51"/>
      <c r="B275" s="52"/>
      <c r="C275" s="52"/>
      <c r="D275" s="52"/>
      <c r="E275" s="53"/>
      <c r="F275" s="52"/>
      <c r="G275" s="52"/>
      <c r="H275" s="52"/>
      <c r="I275" s="53"/>
      <c r="J275" s="52"/>
      <c r="K275" s="52"/>
      <c r="L275" s="52"/>
      <c r="M275" s="52"/>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c r="AN275" s="19"/>
      <c r="AO275" s="19"/>
      <c r="AP275" s="19"/>
      <c r="AQ275" s="19"/>
      <c r="AR275" s="19"/>
      <c r="AS275" s="19"/>
      <c r="AT275" s="19"/>
      <c r="AU275" s="19"/>
      <c r="AV275" s="19"/>
      <c r="AW275" s="19"/>
      <c r="AX275" s="19"/>
      <c r="GA275" s="54"/>
    </row>
    <row r="276" spans="1:183" s="18" customFormat="1">
      <c r="A276" s="51"/>
      <c r="B276" s="52"/>
      <c r="C276" s="52"/>
      <c r="D276" s="52"/>
      <c r="E276" s="53"/>
      <c r="F276" s="52"/>
      <c r="G276" s="52"/>
      <c r="H276" s="52"/>
      <c r="I276" s="53"/>
      <c r="J276" s="52"/>
      <c r="K276" s="52"/>
      <c r="L276" s="52"/>
      <c r="M276" s="52"/>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c r="AN276" s="19"/>
      <c r="AO276" s="19"/>
      <c r="AP276" s="19"/>
      <c r="AQ276" s="19"/>
      <c r="AR276" s="19"/>
      <c r="AS276" s="19"/>
      <c r="AT276" s="19"/>
      <c r="AU276" s="19"/>
      <c r="AV276" s="19"/>
      <c r="AW276" s="19"/>
      <c r="AX276" s="19"/>
      <c r="GA276" s="54"/>
    </row>
    <row r="277" spans="1:183" s="18" customFormat="1">
      <c r="A277" s="51"/>
      <c r="B277" s="52"/>
      <c r="C277" s="52"/>
      <c r="D277" s="52"/>
      <c r="E277" s="53"/>
      <c r="F277" s="52"/>
      <c r="G277" s="52"/>
      <c r="H277" s="52"/>
      <c r="I277" s="53"/>
      <c r="J277" s="52"/>
      <c r="K277" s="52"/>
      <c r="L277" s="52"/>
      <c r="M277" s="52"/>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AK277" s="19"/>
      <c r="AL277" s="19"/>
      <c r="AM277" s="19"/>
      <c r="AN277" s="19"/>
      <c r="AO277" s="19"/>
      <c r="AP277" s="19"/>
      <c r="AQ277" s="19"/>
      <c r="AR277" s="19"/>
      <c r="AS277" s="19"/>
      <c r="AT277" s="19"/>
      <c r="AU277" s="19"/>
      <c r="AV277" s="19"/>
      <c r="AW277" s="19"/>
      <c r="AX277" s="19"/>
      <c r="GA277" s="54"/>
    </row>
    <row r="278" spans="1:183" s="18" customFormat="1">
      <c r="A278" s="51"/>
      <c r="B278" s="52"/>
      <c r="C278" s="52"/>
      <c r="D278" s="52"/>
      <c r="E278" s="53"/>
      <c r="F278" s="52"/>
      <c r="G278" s="52"/>
      <c r="H278" s="52"/>
      <c r="I278" s="53"/>
      <c r="J278" s="52"/>
      <c r="K278" s="52"/>
      <c r="L278" s="52"/>
      <c r="M278" s="52"/>
      <c r="N278" s="19"/>
      <c r="O278" s="19"/>
      <c r="P278" s="19"/>
      <c r="Q278" s="19"/>
      <c r="R278" s="19"/>
      <c r="S278" s="19"/>
      <c r="T278" s="19"/>
      <c r="U278" s="19"/>
      <c r="V278" s="19"/>
      <c r="W278" s="19"/>
      <c r="X278" s="19"/>
      <c r="Y278" s="19"/>
      <c r="Z278" s="19"/>
      <c r="AA278" s="19"/>
      <c r="AB278" s="19"/>
      <c r="AC278" s="19"/>
      <c r="AD278" s="19"/>
      <c r="AE278" s="19"/>
      <c r="AF278" s="19"/>
      <c r="AG278" s="19"/>
      <c r="AH278" s="19"/>
      <c r="AI278" s="19"/>
      <c r="AJ278" s="19"/>
      <c r="AK278" s="19"/>
      <c r="AL278" s="19"/>
      <c r="AM278" s="19"/>
      <c r="AN278" s="19"/>
      <c r="AO278" s="19"/>
      <c r="AP278" s="19"/>
      <c r="AQ278" s="19"/>
      <c r="AR278" s="19"/>
      <c r="AS278" s="19"/>
      <c r="AT278" s="19"/>
      <c r="AU278" s="19"/>
      <c r="AV278" s="19"/>
      <c r="AW278" s="19"/>
      <c r="AX278" s="19"/>
      <c r="GA278" s="54"/>
    </row>
    <row r="279" spans="1:183" s="18" customFormat="1">
      <c r="A279" s="51"/>
      <c r="B279" s="52"/>
      <c r="C279" s="52"/>
      <c r="D279" s="52"/>
      <c r="E279" s="53"/>
      <c r="F279" s="52"/>
      <c r="G279" s="52"/>
      <c r="H279" s="52"/>
      <c r="I279" s="53"/>
      <c r="J279" s="52"/>
      <c r="K279" s="52"/>
      <c r="L279" s="52"/>
      <c r="M279" s="52"/>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c r="AL279" s="19"/>
      <c r="AM279" s="19"/>
      <c r="AN279" s="19"/>
      <c r="AO279" s="19"/>
      <c r="AP279" s="19"/>
      <c r="AQ279" s="19"/>
      <c r="AR279" s="19"/>
      <c r="AS279" s="19"/>
      <c r="AT279" s="19"/>
      <c r="AU279" s="19"/>
      <c r="AV279" s="19"/>
      <c r="AW279" s="19"/>
      <c r="AX279" s="19"/>
      <c r="GA279" s="54"/>
    </row>
    <row r="280" spans="1:183" s="18" customFormat="1">
      <c r="A280" s="51"/>
      <c r="B280" s="52"/>
      <c r="C280" s="52"/>
      <c r="D280" s="52"/>
      <c r="E280" s="53"/>
      <c r="F280" s="52"/>
      <c r="G280" s="52"/>
      <c r="H280" s="52"/>
      <c r="I280" s="53"/>
      <c r="J280" s="52"/>
      <c r="K280" s="52"/>
      <c r="L280" s="52"/>
      <c r="M280" s="52"/>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AK280" s="19"/>
      <c r="AL280" s="19"/>
      <c r="AM280" s="19"/>
      <c r="AN280" s="19"/>
      <c r="AO280" s="19"/>
      <c r="AP280" s="19"/>
      <c r="AQ280" s="19"/>
      <c r="AR280" s="19"/>
      <c r="AS280" s="19"/>
      <c r="AT280" s="19"/>
      <c r="AU280" s="19"/>
      <c r="AV280" s="19"/>
      <c r="AW280" s="19"/>
      <c r="AX280" s="19"/>
      <c r="GA280" s="54"/>
    </row>
    <row r="281" spans="1:183" s="18" customFormat="1">
      <c r="A281" s="51"/>
      <c r="B281" s="52"/>
      <c r="C281" s="52"/>
      <c r="D281" s="52"/>
      <c r="E281" s="53"/>
      <c r="F281" s="52"/>
      <c r="G281" s="52"/>
      <c r="H281" s="52"/>
      <c r="I281" s="53"/>
      <c r="J281" s="52"/>
      <c r="K281" s="52"/>
      <c r="L281" s="52"/>
      <c r="M281" s="52"/>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c r="AN281" s="19"/>
      <c r="AO281" s="19"/>
      <c r="AP281" s="19"/>
      <c r="AQ281" s="19"/>
      <c r="AR281" s="19"/>
      <c r="AS281" s="19"/>
      <c r="AT281" s="19"/>
      <c r="AU281" s="19"/>
      <c r="AV281" s="19"/>
      <c r="AW281" s="19"/>
      <c r="AX281" s="19"/>
      <c r="GA281" s="54"/>
    </row>
    <row r="282" spans="1:183" s="18" customFormat="1">
      <c r="A282" s="51"/>
      <c r="B282" s="52"/>
      <c r="C282" s="52"/>
      <c r="D282" s="52"/>
      <c r="E282" s="53"/>
      <c r="F282" s="52"/>
      <c r="G282" s="52"/>
      <c r="H282" s="52"/>
      <c r="I282" s="53"/>
      <c r="J282" s="52"/>
      <c r="K282" s="52"/>
      <c r="L282" s="52"/>
      <c r="M282" s="52"/>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c r="AN282" s="19"/>
      <c r="AO282" s="19"/>
      <c r="AP282" s="19"/>
      <c r="AQ282" s="19"/>
      <c r="AR282" s="19"/>
      <c r="AS282" s="19"/>
      <c r="AT282" s="19"/>
      <c r="AU282" s="19"/>
      <c r="AV282" s="19"/>
      <c r="AW282" s="19"/>
      <c r="AX282" s="19"/>
      <c r="GA282" s="54"/>
    </row>
    <row r="283" spans="1:183" s="18" customFormat="1">
      <c r="A283" s="51"/>
      <c r="B283" s="52"/>
      <c r="C283" s="52"/>
      <c r="D283" s="52"/>
      <c r="E283" s="53"/>
      <c r="F283" s="52"/>
      <c r="G283" s="52"/>
      <c r="H283" s="52"/>
      <c r="I283" s="53"/>
      <c r="J283" s="52"/>
      <c r="K283" s="52"/>
      <c r="L283" s="52"/>
      <c r="M283" s="52"/>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c r="AN283" s="19"/>
      <c r="AO283" s="19"/>
      <c r="AP283" s="19"/>
      <c r="AQ283" s="19"/>
      <c r="AR283" s="19"/>
      <c r="AS283" s="19"/>
      <c r="AT283" s="19"/>
      <c r="AU283" s="19"/>
      <c r="AV283" s="19"/>
      <c r="AW283" s="19"/>
      <c r="AX283" s="19"/>
      <c r="GA283" s="54"/>
    </row>
    <row r="284" spans="1:183" s="18" customFormat="1">
      <c r="A284" s="51"/>
      <c r="B284" s="52"/>
      <c r="C284" s="52"/>
      <c r="D284" s="52"/>
      <c r="E284" s="53"/>
      <c r="F284" s="52"/>
      <c r="G284" s="52"/>
      <c r="H284" s="52"/>
      <c r="I284" s="53"/>
      <c r="J284" s="52"/>
      <c r="K284" s="52"/>
      <c r="L284" s="52"/>
      <c r="M284" s="52"/>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c r="AL284" s="19"/>
      <c r="AM284" s="19"/>
      <c r="AN284" s="19"/>
      <c r="AO284" s="19"/>
      <c r="AP284" s="19"/>
      <c r="AQ284" s="19"/>
      <c r="AR284" s="19"/>
      <c r="AS284" s="19"/>
      <c r="AT284" s="19"/>
      <c r="AU284" s="19"/>
      <c r="AV284" s="19"/>
      <c r="AW284" s="19"/>
      <c r="AX284" s="19"/>
      <c r="GA284" s="54"/>
    </row>
    <row r="285" spans="1:183" s="18" customFormat="1">
      <c r="A285" s="51"/>
      <c r="B285" s="52"/>
      <c r="C285" s="52"/>
      <c r="D285" s="52"/>
      <c r="E285" s="53"/>
      <c r="F285" s="52"/>
      <c r="G285" s="52"/>
      <c r="H285" s="52"/>
      <c r="I285" s="53"/>
      <c r="J285" s="52"/>
      <c r="K285" s="52"/>
      <c r="L285" s="52"/>
      <c r="M285" s="52"/>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c r="AN285" s="19"/>
      <c r="AO285" s="19"/>
      <c r="AP285" s="19"/>
      <c r="AQ285" s="19"/>
      <c r="AR285" s="19"/>
      <c r="AS285" s="19"/>
      <c r="AT285" s="19"/>
      <c r="AU285" s="19"/>
      <c r="AV285" s="19"/>
      <c r="AW285" s="19"/>
      <c r="AX285" s="19"/>
      <c r="GA285" s="54"/>
    </row>
    <row r="286" spans="1:183" s="18" customFormat="1">
      <c r="A286" s="51"/>
      <c r="B286" s="52"/>
      <c r="C286" s="52"/>
      <c r="D286" s="52"/>
      <c r="E286" s="53"/>
      <c r="F286" s="52"/>
      <c r="G286" s="52"/>
      <c r="H286" s="52"/>
      <c r="I286" s="53"/>
      <c r="J286" s="52"/>
      <c r="K286" s="52"/>
      <c r="L286" s="52"/>
      <c r="M286" s="52"/>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c r="AN286" s="19"/>
      <c r="AO286" s="19"/>
      <c r="AP286" s="19"/>
      <c r="AQ286" s="19"/>
      <c r="AR286" s="19"/>
      <c r="AS286" s="19"/>
      <c r="AT286" s="19"/>
      <c r="AU286" s="19"/>
      <c r="AV286" s="19"/>
      <c r="AW286" s="19"/>
      <c r="AX286" s="19"/>
      <c r="GA286" s="54"/>
    </row>
    <row r="287" spans="1:183" s="18" customFormat="1">
      <c r="A287" s="51"/>
      <c r="B287" s="52"/>
      <c r="C287" s="52"/>
      <c r="D287" s="52"/>
      <c r="E287" s="53"/>
      <c r="F287" s="52"/>
      <c r="G287" s="52"/>
      <c r="H287" s="52"/>
      <c r="I287" s="53"/>
      <c r="J287" s="52"/>
      <c r="K287" s="52"/>
      <c r="L287" s="52"/>
      <c r="M287" s="52"/>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c r="AN287" s="19"/>
      <c r="AO287" s="19"/>
      <c r="AP287" s="19"/>
      <c r="AQ287" s="19"/>
      <c r="AR287" s="19"/>
      <c r="AS287" s="19"/>
      <c r="AT287" s="19"/>
      <c r="AU287" s="19"/>
      <c r="AV287" s="19"/>
      <c r="AW287" s="19"/>
      <c r="AX287" s="19"/>
      <c r="GA287" s="54"/>
    </row>
    <row r="288" spans="1:183" s="18" customFormat="1">
      <c r="A288" s="51"/>
      <c r="B288" s="52"/>
      <c r="C288" s="52"/>
      <c r="D288" s="52"/>
      <c r="E288" s="53"/>
      <c r="F288" s="52"/>
      <c r="G288" s="52"/>
      <c r="H288" s="52"/>
      <c r="I288" s="53"/>
      <c r="J288" s="52"/>
      <c r="K288" s="52"/>
      <c r="L288" s="52"/>
      <c r="M288" s="52"/>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c r="AL288" s="19"/>
      <c r="AM288" s="19"/>
      <c r="AN288" s="19"/>
      <c r="AO288" s="19"/>
      <c r="AP288" s="19"/>
      <c r="AQ288" s="19"/>
      <c r="AR288" s="19"/>
      <c r="AS288" s="19"/>
      <c r="AT288" s="19"/>
      <c r="AU288" s="19"/>
      <c r="AV288" s="19"/>
      <c r="AW288" s="19"/>
      <c r="AX288" s="19"/>
      <c r="GA288" s="54"/>
    </row>
    <row r="289" spans="1:183" s="18" customFormat="1">
      <c r="A289" s="51"/>
      <c r="B289" s="52"/>
      <c r="C289" s="52"/>
      <c r="D289" s="52"/>
      <c r="E289" s="53"/>
      <c r="F289" s="52"/>
      <c r="G289" s="52"/>
      <c r="H289" s="52"/>
      <c r="I289" s="53"/>
      <c r="J289" s="52"/>
      <c r="K289" s="52"/>
      <c r="L289" s="52"/>
      <c r="M289" s="52"/>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AK289" s="19"/>
      <c r="AL289" s="19"/>
      <c r="AM289" s="19"/>
      <c r="AN289" s="19"/>
      <c r="AO289" s="19"/>
      <c r="AP289" s="19"/>
      <c r="AQ289" s="19"/>
      <c r="AR289" s="19"/>
      <c r="AS289" s="19"/>
      <c r="AT289" s="19"/>
      <c r="AU289" s="19"/>
      <c r="AV289" s="19"/>
      <c r="AW289" s="19"/>
      <c r="AX289" s="19"/>
      <c r="GA289" s="54"/>
    </row>
    <row r="290" spans="1:183" s="18" customFormat="1">
      <c r="A290" s="51"/>
      <c r="B290" s="52"/>
      <c r="C290" s="52"/>
      <c r="D290" s="52"/>
      <c r="E290" s="53"/>
      <c r="F290" s="52"/>
      <c r="G290" s="52"/>
      <c r="H290" s="52"/>
      <c r="I290" s="53"/>
      <c r="J290" s="52"/>
      <c r="K290" s="52"/>
      <c r="L290" s="52"/>
      <c r="M290" s="52"/>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AK290" s="19"/>
      <c r="AL290" s="19"/>
      <c r="AM290" s="19"/>
      <c r="AN290" s="19"/>
      <c r="AO290" s="19"/>
      <c r="AP290" s="19"/>
      <c r="AQ290" s="19"/>
      <c r="AR290" s="19"/>
      <c r="AS290" s="19"/>
      <c r="AT290" s="19"/>
      <c r="AU290" s="19"/>
      <c r="AV290" s="19"/>
      <c r="AW290" s="19"/>
      <c r="AX290" s="19"/>
      <c r="GA290" s="54"/>
    </row>
    <row r="291" spans="1:183" s="18" customFormat="1">
      <c r="A291" s="51"/>
      <c r="B291" s="52"/>
      <c r="C291" s="52"/>
      <c r="D291" s="52"/>
      <c r="E291" s="53"/>
      <c r="F291" s="52"/>
      <c r="G291" s="52"/>
      <c r="H291" s="52"/>
      <c r="I291" s="53"/>
      <c r="J291" s="52"/>
      <c r="K291" s="52"/>
      <c r="L291" s="52"/>
      <c r="M291" s="52"/>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AK291" s="19"/>
      <c r="AL291" s="19"/>
      <c r="AM291" s="19"/>
      <c r="AN291" s="19"/>
      <c r="AO291" s="19"/>
      <c r="AP291" s="19"/>
      <c r="AQ291" s="19"/>
      <c r="AR291" s="19"/>
      <c r="AS291" s="19"/>
      <c r="AT291" s="19"/>
      <c r="AU291" s="19"/>
      <c r="AV291" s="19"/>
      <c r="AW291" s="19"/>
      <c r="AX291" s="19"/>
      <c r="GA291" s="54"/>
    </row>
    <row r="292" spans="1:183" s="18" customFormat="1">
      <c r="A292" s="51"/>
      <c r="B292" s="52"/>
      <c r="C292" s="52"/>
      <c r="D292" s="52"/>
      <c r="E292" s="53"/>
      <c r="F292" s="52"/>
      <c r="G292" s="52"/>
      <c r="H292" s="52"/>
      <c r="I292" s="53"/>
      <c r="J292" s="52"/>
      <c r="K292" s="52"/>
      <c r="L292" s="52"/>
      <c r="M292" s="52"/>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c r="AK292" s="19"/>
      <c r="AL292" s="19"/>
      <c r="AM292" s="19"/>
      <c r="AN292" s="19"/>
      <c r="AO292" s="19"/>
      <c r="AP292" s="19"/>
      <c r="AQ292" s="19"/>
      <c r="AR292" s="19"/>
      <c r="AS292" s="19"/>
      <c r="AT292" s="19"/>
      <c r="AU292" s="19"/>
      <c r="AV292" s="19"/>
      <c r="AW292" s="19"/>
      <c r="AX292" s="19"/>
      <c r="GA292" s="54"/>
    </row>
    <row r="293" spans="1:183" s="18" customFormat="1">
      <c r="A293" s="51"/>
      <c r="B293" s="52"/>
      <c r="C293" s="52"/>
      <c r="D293" s="52"/>
      <c r="E293" s="53"/>
      <c r="F293" s="52"/>
      <c r="G293" s="52"/>
      <c r="H293" s="52"/>
      <c r="I293" s="53"/>
      <c r="J293" s="52"/>
      <c r="K293" s="52"/>
      <c r="L293" s="52"/>
      <c r="M293" s="52"/>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AK293" s="19"/>
      <c r="AL293" s="19"/>
      <c r="AM293" s="19"/>
      <c r="AN293" s="19"/>
      <c r="AO293" s="19"/>
      <c r="AP293" s="19"/>
      <c r="AQ293" s="19"/>
      <c r="AR293" s="19"/>
      <c r="AS293" s="19"/>
      <c r="AT293" s="19"/>
      <c r="AU293" s="19"/>
      <c r="AV293" s="19"/>
      <c r="AW293" s="19"/>
      <c r="AX293" s="19"/>
      <c r="GA293" s="54"/>
    </row>
    <row r="294" spans="1:183" s="18" customFormat="1">
      <c r="A294" s="51"/>
      <c r="B294" s="52"/>
      <c r="C294" s="52"/>
      <c r="D294" s="52"/>
      <c r="E294" s="53"/>
      <c r="F294" s="52"/>
      <c r="G294" s="52"/>
      <c r="H294" s="52"/>
      <c r="I294" s="53"/>
      <c r="J294" s="52"/>
      <c r="K294" s="52"/>
      <c r="L294" s="52"/>
      <c r="M294" s="52"/>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AK294" s="19"/>
      <c r="AL294" s="19"/>
      <c r="AM294" s="19"/>
      <c r="AN294" s="19"/>
      <c r="AO294" s="19"/>
      <c r="AP294" s="19"/>
      <c r="AQ294" s="19"/>
      <c r="AR294" s="19"/>
      <c r="AS294" s="19"/>
      <c r="AT294" s="19"/>
      <c r="AU294" s="19"/>
      <c r="AV294" s="19"/>
      <c r="AW294" s="19"/>
      <c r="AX294" s="19"/>
      <c r="GA294" s="54"/>
    </row>
    <row r="295" spans="1:183" s="18" customFormat="1">
      <c r="A295" s="51"/>
      <c r="B295" s="52"/>
      <c r="C295" s="52"/>
      <c r="D295" s="52"/>
      <c r="E295" s="53"/>
      <c r="F295" s="52"/>
      <c r="G295" s="52"/>
      <c r="H295" s="52"/>
      <c r="I295" s="53"/>
      <c r="J295" s="52"/>
      <c r="K295" s="52"/>
      <c r="L295" s="52"/>
      <c r="M295" s="52"/>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c r="AK295" s="19"/>
      <c r="AL295" s="19"/>
      <c r="AM295" s="19"/>
      <c r="AN295" s="19"/>
      <c r="AO295" s="19"/>
      <c r="AP295" s="19"/>
      <c r="AQ295" s="19"/>
      <c r="AR295" s="19"/>
      <c r="AS295" s="19"/>
      <c r="AT295" s="19"/>
      <c r="AU295" s="19"/>
      <c r="AV295" s="19"/>
      <c r="AW295" s="19"/>
      <c r="AX295" s="19"/>
      <c r="GA295" s="54"/>
    </row>
    <row r="296" spans="1:183" s="18" customFormat="1">
      <c r="A296" s="51"/>
      <c r="B296" s="52"/>
      <c r="C296" s="52"/>
      <c r="D296" s="52"/>
      <c r="E296" s="53"/>
      <c r="F296" s="52"/>
      <c r="G296" s="52"/>
      <c r="H296" s="52"/>
      <c r="I296" s="53"/>
      <c r="J296" s="52"/>
      <c r="K296" s="52"/>
      <c r="L296" s="52"/>
      <c r="M296" s="52"/>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AK296" s="19"/>
      <c r="AL296" s="19"/>
      <c r="AM296" s="19"/>
      <c r="AN296" s="19"/>
      <c r="AO296" s="19"/>
      <c r="AP296" s="19"/>
      <c r="AQ296" s="19"/>
      <c r="AR296" s="19"/>
      <c r="AS296" s="19"/>
      <c r="AT296" s="19"/>
      <c r="AU296" s="19"/>
      <c r="AV296" s="19"/>
      <c r="AW296" s="19"/>
      <c r="AX296" s="19"/>
      <c r="GA296" s="54"/>
    </row>
    <row r="297" spans="1:183" s="18" customFormat="1">
      <c r="A297" s="51"/>
      <c r="B297" s="52"/>
      <c r="C297" s="52"/>
      <c r="D297" s="52"/>
      <c r="E297" s="53"/>
      <c r="F297" s="52"/>
      <c r="G297" s="52"/>
      <c r="H297" s="52"/>
      <c r="I297" s="53"/>
      <c r="J297" s="52"/>
      <c r="K297" s="52"/>
      <c r="L297" s="52"/>
      <c r="M297" s="52"/>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c r="AK297" s="19"/>
      <c r="AL297" s="19"/>
      <c r="AM297" s="19"/>
      <c r="AN297" s="19"/>
      <c r="AO297" s="19"/>
      <c r="AP297" s="19"/>
      <c r="AQ297" s="19"/>
      <c r="AR297" s="19"/>
      <c r="AS297" s="19"/>
      <c r="AT297" s="19"/>
      <c r="AU297" s="19"/>
      <c r="AV297" s="19"/>
      <c r="AW297" s="19"/>
      <c r="AX297" s="19"/>
      <c r="GA297" s="54"/>
    </row>
    <row r="298" spans="1:183" s="18" customFormat="1">
      <c r="A298" s="51"/>
      <c r="B298" s="52"/>
      <c r="C298" s="52"/>
      <c r="D298" s="52"/>
      <c r="E298" s="53"/>
      <c r="F298" s="52"/>
      <c r="G298" s="52"/>
      <c r="H298" s="52"/>
      <c r="I298" s="53"/>
      <c r="J298" s="52"/>
      <c r="K298" s="52"/>
      <c r="L298" s="52"/>
      <c r="M298" s="52"/>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AK298" s="19"/>
      <c r="AL298" s="19"/>
      <c r="AM298" s="19"/>
      <c r="AN298" s="19"/>
      <c r="AO298" s="19"/>
      <c r="AP298" s="19"/>
      <c r="AQ298" s="19"/>
      <c r="AR298" s="19"/>
      <c r="AS298" s="19"/>
      <c r="AT298" s="19"/>
      <c r="AU298" s="19"/>
      <c r="AV298" s="19"/>
      <c r="AW298" s="19"/>
      <c r="AX298" s="19"/>
      <c r="GA298" s="54"/>
    </row>
    <row r="299" spans="1:183" s="18" customFormat="1">
      <c r="A299" s="51"/>
      <c r="B299" s="52"/>
      <c r="C299" s="52"/>
      <c r="D299" s="52"/>
      <c r="E299" s="53"/>
      <c r="F299" s="52"/>
      <c r="G299" s="52"/>
      <c r="H299" s="52"/>
      <c r="I299" s="53"/>
      <c r="J299" s="52"/>
      <c r="K299" s="52"/>
      <c r="L299" s="52"/>
      <c r="M299" s="52"/>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c r="AN299" s="19"/>
      <c r="AO299" s="19"/>
      <c r="AP299" s="19"/>
      <c r="AQ299" s="19"/>
      <c r="AR299" s="19"/>
      <c r="AS299" s="19"/>
      <c r="AT299" s="19"/>
      <c r="AU299" s="19"/>
      <c r="AV299" s="19"/>
      <c r="AW299" s="19"/>
      <c r="AX299" s="19"/>
      <c r="GA299" s="54"/>
    </row>
    <row r="300" spans="1:183" s="18" customFormat="1">
      <c r="A300" s="51"/>
      <c r="B300" s="52"/>
      <c r="C300" s="52"/>
      <c r="D300" s="52"/>
      <c r="E300" s="53"/>
      <c r="F300" s="52"/>
      <c r="G300" s="52"/>
      <c r="H300" s="52"/>
      <c r="I300" s="53"/>
      <c r="J300" s="52"/>
      <c r="K300" s="52"/>
      <c r="L300" s="52"/>
      <c r="M300" s="52"/>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c r="AK300" s="19"/>
      <c r="AL300" s="19"/>
      <c r="AM300" s="19"/>
      <c r="AN300" s="19"/>
      <c r="AO300" s="19"/>
      <c r="AP300" s="19"/>
      <c r="AQ300" s="19"/>
      <c r="AR300" s="19"/>
      <c r="AS300" s="19"/>
      <c r="AT300" s="19"/>
      <c r="AU300" s="19"/>
      <c r="AV300" s="19"/>
      <c r="AW300" s="19"/>
      <c r="AX300" s="19"/>
      <c r="GA300" s="54"/>
    </row>
    <row r="301" spans="1:183" s="18" customFormat="1">
      <c r="A301" s="51"/>
      <c r="B301" s="52"/>
      <c r="C301" s="52"/>
      <c r="D301" s="52"/>
      <c r="E301" s="53"/>
      <c r="F301" s="52"/>
      <c r="G301" s="52"/>
      <c r="H301" s="52"/>
      <c r="I301" s="53"/>
      <c r="J301" s="52"/>
      <c r="K301" s="52"/>
      <c r="L301" s="52"/>
      <c r="M301" s="52"/>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c r="AK301" s="19"/>
      <c r="AL301" s="19"/>
      <c r="AM301" s="19"/>
      <c r="AN301" s="19"/>
      <c r="AO301" s="19"/>
      <c r="AP301" s="19"/>
      <c r="AQ301" s="19"/>
      <c r="AR301" s="19"/>
      <c r="AS301" s="19"/>
      <c r="AT301" s="19"/>
      <c r="AU301" s="19"/>
      <c r="AV301" s="19"/>
      <c r="AW301" s="19"/>
      <c r="AX301" s="19"/>
      <c r="GA301" s="54"/>
    </row>
    <row r="302" spans="1:183" s="18" customFormat="1">
      <c r="A302" s="51"/>
      <c r="B302" s="52"/>
      <c r="C302" s="52"/>
      <c r="D302" s="52"/>
      <c r="E302" s="53"/>
      <c r="F302" s="52"/>
      <c r="G302" s="52"/>
      <c r="H302" s="52"/>
      <c r="I302" s="53"/>
      <c r="J302" s="52"/>
      <c r="K302" s="52"/>
      <c r="L302" s="52"/>
      <c r="M302" s="52"/>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c r="AK302" s="19"/>
      <c r="AL302" s="19"/>
      <c r="AM302" s="19"/>
      <c r="AN302" s="19"/>
      <c r="AO302" s="19"/>
      <c r="AP302" s="19"/>
      <c r="AQ302" s="19"/>
      <c r="AR302" s="19"/>
      <c r="AS302" s="19"/>
      <c r="AT302" s="19"/>
      <c r="AU302" s="19"/>
      <c r="AV302" s="19"/>
      <c r="AW302" s="19"/>
      <c r="AX302" s="19"/>
      <c r="GA302" s="54"/>
    </row>
    <row r="303" spans="1:183" s="18" customFormat="1">
      <c r="A303" s="51"/>
      <c r="B303" s="52"/>
      <c r="C303" s="52"/>
      <c r="D303" s="52"/>
      <c r="E303" s="53"/>
      <c r="F303" s="52"/>
      <c r="G303" s="52"/>
      <c r="H303" s="52"/>
      <c r="I303" s="53"/>
      <c r="J303" s="52"/>
      <c r="K303" s="52"/>
      <c r="L303" s="52"/>
      <c r="M303" s="52"/>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c r="AK303" s="19"/>
      <c r="AL303" s="19"/>
      <c r="AM303" s="19"/>
      <c r="AN303" s="19"/>
      <c r="AO303" s="19"/>
      <c r="AP303" s="19"/>
      <c r="AQ303" s="19"/>
      <c r="AR303" s="19"/>
      <c r="AS303" s="19"/>
      <c r="AT303" s="19"/>
      <c r="AU303" s="19"/>
      <c r="AV303" s="19"/>
      <c r="AW303" s="19"/>
      <c r="AX303" s="19"/>
      <c r="GA303" s="54"/>
    </row>
    <row r="304" spans="1:183" s="18" customFormat="1">
      <c r="A304" s="51"/>
      <c r="B304" s="52"/>
      <c r="C304" s="52"/>
      <c r="D304" s="52"/>
      <c r="E304" s="53"/>
      <c r="F304" s="52"/>
      <c r="G304" s="52"/>
      <c r="H304" s="52"/>
      <c r="I304" s="53"/>
      <c r="J304" s="52"/>
      <c r="K304" s="52"/>
      <c r="L304" s="52"/>
      <c r="M304" s="52"/>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c r="AK304" s="19"/>
      <c r="AL304" s="19"/>
      <c r="AM304" s="19"/>
      <c r="AN304" s="19"/>
      <c r="AO304" s="19"/>
      <c r="AP304" s="19"/>
      <c r="AQ304" s="19"/>
      <c r="AR304" s="19"/>
      <c r="AS304" s="19"/>
      <c r="AT304" s="19"/>
      <c r="AU304" s="19"/>
      <c r="AV304" s="19"/>
      <c r="AW304" s="19"/>
      <c r="AX304" s="19"/>
      <c r="GA304" s="54"/>
    </row>
    <row r="305" spans="1:183" s="18" customFormat="1">
      <c r="A305" s="51"/>
      <c r="B305" s="52"/>
      <c r="C305" s="52"/>
      <c r="D305" s="52"/>
      <c r="E305" s="53"/>
      <c r="F305" s="52"/>
      <c r="G305" s="52"/>
      <c r="H305" s="52"/>
      <c r="I305" s="53"/>
      <c r="J305" s="52"/>
      <c r="K305" s="52"/>
      <c r="L305" s="52"/>
      <c r="M305" s="52"/>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c r="AK305" s="19"/>
      <c r="AL305" s="19"/>
      <c r="AM305" s="19"/>
      <c r="AN305" s="19"/>
      <c r="AO305" s="19"/>
      <c r="AP305" s="19"/>
      <c r="AQ305" s="19"/>
      <c r="AR305" s="19"/>
      <c r="AS305" s="19"/>
      <c r="AT305" s="19"/>
      <c r="AU305" s="19"/>
      <c r="AV305" s="19"/>
      <c r="AW305" s="19"/>
      <c r="AX305" s="19"/>
      <c r="GA305" s="54"/>
    </row>
    <row r="306" spans="1:183" s="18" customFormat="1">
      <c r="A306" s="51"/>
      <c r="B306" s="52"/>
      <c r="C306" s="52"/>
      <c r="D306" s="52"/>
      <c r="E306" s="53"/>
      <c r="F306" s="52"/>
      <c r="G306" s="52"/>
      <c r="H306" s="52"/>
      <c r="I306" s="53"/>
      <c r="J306" s="52"/>
      <c r="K306" s="52"/>
      <c r="L306" s="52"/>
      <c r="M306" s="52"/>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c r="AN306" s="19"/>
      <c r="AO306" s="19"/>
      <c r="AP306" s="19"/>
      <c r="AQ306" s="19"/>
      <c r="AR306" s="19"/>
      <c r="AS306" s="19"/>
      <c r="AT306" s="19"/>
      <c r="AU306" s="19"/>
      <c r="AV306" s="19"/>
      <c r="AW306" s="19"/>
      <c r="AX306" s="19"/>
      <c r="GA306" s="54"/>
    </row>
    <row r="307" spans="1:183" s="18" customFormat="1">
      <c r="A307" s="51"/>
      <c r="B307" s="52"/>
      <c r="C307" s="52"/>
      <c r="D307" s="52"/>
      <c r="E307" s="53"/>
      <c r="F307" s="52"/>
      <c r="G307" s="52"/>
      <c r="H307" s="52"/>
      <c r="I307" s="53"/>
      <c r="J307" s="52"/>
      <c r="K307" s="52"/>
      <c r="L307" s="52"/>
      <c r="M307" s="52"/>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c r="AK307" s="19"/>
      <c r="AL307" s="19"/>
      <c r="AM307" s="19"/>
      <c r="AN307" s="19"/>
      <c r="AO307" s="19"/>
      <c r="AP307" s="19"/>
      <c r="AQ307" s="19"/>
      <c r="AR307" s="19"/>
      <c r="AS307" s="19"/>
      <c r="AT307" s="19"/>
      <c r="AU307" s="19"/>
      <c r="AV307" s="19"/>
      <c r="AW307" s="19"/>
      <c r="AX307" s="19"/>
      <c r="GA307" s="54"/>
    </row>
    <row r="308" spans="1:183" s="18" customFormat="1">
      <c r="A308" s="51"/>
      <c r="B308" s="52"/>
      <c r="C308" s="52"/>
      <c r="D308" s="52"/>
      <c r="E308" s="53"/>
      <c r="F308" s="52"/>
      <c r="G308" s="52"/>
      <c r="H308" s="52"/>
      <c r="I308" s="53"/>
      <c r="J308" s="52"/>
      <c r="K308" s="52"/>
      <c r="L308" s="52"/>
      <c r="M308" s="52"/>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c r="AK308" s="19"/>
      <c r="AL308" s="19"/>
      <c r="AM308" s="19"/>
      <c r="AN308" s="19"/>
      <c r="AO308" s="19"/>
      <c r="AP308" s="19"/>
      <c r="AQ308" s="19"/>
      <c r="AR308" s="19"/>
      <c r="AS308" s="19"/>
      <c r="AT308" s="19"/>
      <c r="AU308" s="19"/>
      <c r="AV308" s="19"/>
      <c r="AW308" s="19"/>
      <c r="AX308" s="19"/>
      <c r="GA308" s="54"/>
    </row>
    <row r="309" spans="1:183" s="18" customFormat="1">
      <c r="A309" s="51"/>
      <c r="B309" s="52"/>
      <c r="C309" s="52"/>
      <c r="D309" s="52"/>
      <c r="E309" s="53"/>
      <c r="F309" s="52"/>
      <c r="G309" s="52"/>
      <c r="H309" s="52"/>
      <c r="I309" s="53"/>
      <c r="J309" s="52"/>
      <c r="K309" s="52"/>
      <c r="L309" s="52"/>
      <c r="M309" s="52"/>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c r="AK309" s="19"/>
      <c r="AL309" s="19"/>
      <c r="AM309" s="19"/>
      <c r="AN309" s="19"/>
      <c r="AO309" s="19"/>
      <c r="AP309" s="19"/>
      <c r="AQ309" s="19"/>
      <c r="AR309" s="19"/>
      <c r="AS309" s="19"/>
      <c r="AT309" s="19"/>
      <c r="AU309" s="19"/>
      <c r="AV309" s="19"/>
      <c r="AW309" s="19"/>
      <c r="AX309" s="19"/>
      <c r="GA309" s="54"/>
    </row>
    <row r="310" spans="1:183" s="18" customFormat="1">
      <c r="A310" s="51"/>
      <c r="B310" s="52"/>
      <c r="C310" s="52"/>
      <c r="D310" s="52"/>
      <c r="E310" s="53"/>
      <c r="F310" s="52"/>
      <c r="G310" s="52"/>
      <c r="H310" s="52"/>
      <c r="I310" s="53"/>
      <c r="J310" s="52"/>
      <c r="K310" s="52"/>
      <c r="L310" s="52"/>
      <c r="M310" s="52"/>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c r="AK310" s="19"/>
      <c r="AL310" s="19"/>
      <c r="AM310" s="19"/>
      <c r="AN310" s="19"/>
      <c r="AO310" s="19"/>
      <c r="AP310" s="19"/>
      <c r="AQ310" s="19"/>
      <c r="AR310" s="19"/>
      <c r="AS310" s="19"/>
      <c r="AT310" s="19"/>
      <c r="AU310" s="19"/>
      <c r="AV310" s="19"/>
      <c r="AW310" s="19"/>
      <c r="AX310" s="19"/>
      <c r="GA310" s="54"/>
    </row>
    <row r="311" spans="1:183" s="18" customFormat="1">
      <c r="A311" s="51"/>
      <c r="B311" s="52"/>
      <c r="C311" s="52"/>
      <c r="D311" s="52"/>
      <c r="E311" s="53"/>
      <c r="F311" s="52"/>
      <c r="G311" s="52"/>
      <c r="H311" s="52"/>
      <c r="I311" s="53"/>
      <c r="J311" s="52"/>
      <c r="K311" s="52"/>
      <c r="L311" s="52"/>
      <c r="M311" s="52"/>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c r="AK311" s="19"/>
      <c r="AL311" s="19"/>
      <c r="AM311" s="19"/>
      <c r="AN311" s="19"/>
      <c r="AO311" s="19"/>
      <c r="AP311" s="19"/>
      <c r="AQ311" s="19"/>
      <c r="AR311" s="19"/>
      <c r="AS311" s="19"/>
      <c r="AT311" s="19"/>
      <c r="AU311" s="19"/>
      <c r="AV311" s="19"/>
      <c r="AW311" s="19"/>
      <c r="AX311" s="19"/>
      <c r="GA311" s="54"/>
    </row>
    <row r="312" spans="1:183" s="18" customFormat="1">
      <c r="A312" s="51"/>
      <c r="B312" s="52"/>
      <c r="C312" s="52"/>
      <c r="D312" s="52"/>
      <c r="E312" s="53"/>
      <c r="F312" s="52"/>
      <c r="G312" s="52"/>
      <c r="H312" s="52"/>
      <c r="I312" s="53"/>
      <c r="J312" s="52"/>
      <c r="K312" s="52"/>
      <c r="L312" s="52"/>
      <c r="M312" s="52"/>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c r="AK312" s="19"/>
      <c r="AL312" s="19"/>
      <c r="AM312" s="19"/>
      <c r="AN312" s="19"/>
      <c r="AO312" s="19"/>
      <c r="AP312" s="19"/>
      <c r="AQ312" s="19"/>
      <c r="AR312" s="19"/>
      <c r="AS312" s="19"/>
      <c r="AT312" s="19"/>
      <c r="AU312" s="19"/>
      <c r="AV312" s="19"/>
      <c r="AW312" s="19"/>
      <c r="AX312" s="19"/>
      <c r="GA312" s="54"/>
    </row>
    <row r="313" spans="1:183" s="18" customFormat="1">
      <c r="A313" s="51"/>
      <c r="B313" s="52"/>
      <c r="C313" s="52"/>
      <c r="D313" s="52"/>
      <c r="E313" s="53"/>
      <c r="F313" s="52"/>
      <c r="G313" s="52"/>
      <c r="H313" s="52"/>
      <c r="I313" s="53"/>
      <c r="J313" s="52"/>
      <c r="K313" s="52"/>
      <c r="L313" s="52"/>
      <c r="M313" s="52"/>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c r="AK313" s="19"/>
      <c r="AL313" s="19"/>
      <c r="AM313" s="19"/>
      <c r="AN313" s="19"/>
      <c r="AO313" s="19"/>
      <c r="AP313" s="19"/>
      <c r="AQ313" s="19"/>
      <c r="AR313" s="19"/>
      <c r="AS313" s="19"/>
      <c r="AT313" s="19"/>
      <c r="AU313" s="19"/>
      <c r="AV313" s="19"/>
      <c r="AW313" s="19"/>
      <c r="AX313" s="19"/>
      <c r="GA313" s="54"/>
    </row>
    <row r="314" spans="1:183" s="18" customFormat="1">
      <c r="A314" s="51"/>
      <c r="B314" s="52"/>
      <c r="C314" s="52"/>
      <c r="D314" s="52"/>
      <c r="E314" s="53"/>
      <c r="F314" s="52"/>
      <c r="G314" s="52"/>
      <c r="H314" s="52"/>
      <c r="I314" s="53"/>
      <c r="J314" s="52"/>
      <c r="K314" s="52"/>
      <c r="L314" s="52"/>
      <c r="M314" s="52"/>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c r="AN314" s="19"/>
      <c r="AO314" s="19"/>
      <c r="AP314" s="19"/>
      <c r="AQ314" s="19"/>
      <c r="AR314" s="19"/>
      <c r="AS314" s="19"/>
      <c r="AT314" s="19"/>
      <c r="AU314" s="19"/>
      <c r="AV314" s="19"/>
      <c r="AW314" s="19"/>
      <c r="AX314" s="19"/>
      <c r="GA314" s="54"/>
    </row>
    <row r="315" spans="1:183" s="18" customFormat="1">
      <c r="A315" s="51"/>
      <c r="B315" s="52"/>
      <c r="C315" s="52"/>
      <c r="D315" s="52"/>
      <c r="E315" s="53"/>
      <c r="F315" s="52"/>
      <c r="G315" s="52"/>
      <c r="H315" s="52"/>
      <c r="I315" s="53"/>
      <c r="J315" s="52"/>
      <c r="K315" s="52"/>
      <c r="L315" s="52"/>
      <c r="M315" s="52"/>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c r="AK315" s="19"/>
      <c r="AL315" s="19"/>
      <c r="AM315" s="19"/>
      <c r="AN315" s="19"/>
      <c r="AO315" s="19"/>
      <c r="AP315" s="19"/>
      <c r="AQ315" s="19"/>
      <c r="AR315" s="19"/>
      <c r="AS315" s="19"/>
      <c r="AT315" s="19"/>
      <c r="AU315" s="19"/>
      <c r="AV315" s="19"/>
      <c r="AW315" s="19"/>
      <c r="AX315" s="19"/>
      <c r="GA315" s="54"/>
    </row>
    <row r="316" spans="1:183" s="18" customFormat="1">
      <c r="A316" s="51"/>
      <c r="B316" s="52"/>
      <c r="C316" s="52"/>
      <c r="D316" s="52"/>
      <c r="E316" s="53"/>
      <c r="F316" s="52"/>
      <c r="G316" s="52"/>
      <c r="H316" s="52"/>
      <c r="I316" s="53"/>
      <c r="J316" s="52"/>
      <c r="K316" s="52"/>
      <c r="L316" s="52"/>
      <c r="M316" s="52"/>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AK316" s="19"/>
      <c r="AL316" s="19"/>
      <c r="AM316" s="19"/>
      <c r="AN316" s="19"/>
      <c r="AO316" s="19"/>
      <c r="AP316" s="19"/>
      <c r="AQ316" s="19"/>
      <c r="AR316" s="19"/>
      <c r="AS316" s="19"/>
      <c r="AT316" s="19"/>
      <c r="AU316" s="19"/>
      <c r="AV316" s="19"/>
      <c r="AW316" s="19"/>
      <c r="AX316" s="19"/>
      <c r="GA316" s="54"/>
    </row>
    <row r="317" spans="1:183" s="18" customFormat="1">
      <c r="A317" s="51"/>
      <c r="B317" s="52"/>
      <c r="C317" s="52"/>
      <c r="D317" s="52"/>
      <c r="E317" s="53"/>
      <c r="F317" s="52"/>
      <c r="G317" s="52"/>
      <c r="H317" s="52"/>
      <c r="I317" s="53"/>
      <c r="J317" s="52"/>
      <c r="K317" s="52"/>
      <c r="L317" s="52"/>
      <c r="M317" s="52"/>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c r="AK317" s="19"/>
      <c r="AL317" s="19"/>
      <c r="AM317" s="19"/>
      <c r="AN317" s="19"/>
      <c r="AO317" s="19"/>
      <c r="AP317" s="19"/>
      <c r="AQ317" s="19"/>
      <c r="AR317" s="19"/>
      <c r="AS317" s="19"/>
      <c r="AT317" s="19"/>
      <c r="AU317" s="19"/>
      <c r="AV317" s="19"/>
      <c r="AW317" s="19"/>
      <c r="AX317" s="19"/>
      <c r="GA317" s="54"/>
    </row>
    <row r="318" spans="1:183" s="18" customFormat="1">
      <c r="A318" s="51"/>
      <c r="B318" s="52"/>
      <c r="C318" s="52"/>
      <c r="D318" s="52"/>
      <c r="E318" s="53"/>
      <c r="F318" s="52"/>
      <c r="G318" s="52"/>
      <c r="H318" s="52"/>
      <c r="I318" s="53"/>
      <c r="J318" s="52"/>
      <c r="K318" s="52"/>
      <c r="L318" s="52"/>
      <c r="M318" s="52"/>
      <c r="N318" s="19"/>
      <c r="O318" s="19"/>
      <c r="P318" s="19"/>
      <c r="Q318" s="19"/>
      <c r="R318" s="19"/>
      <c r="S318" s="19"/>
      <c r="T318" s="19"/>
      <c r="U318" s="19"/>
      <c r="V318" s="19"/>
      <c r="W318" s="19"/>
      <c r="X318" s="19"/>
      <c r="Y318" s="19"/>
      <c r="Z318" s="19"/>
      <c r="AA318" s="19"/>
      <c r="AB318" s="19"/>
      <c r="AC318" s="19"/>
      <c r="AD318" s="19"/>
      <c r="AE318" s="19"/>
      <c r="AF318" s="19"/>
      <c r="AG318" s="19"/>
      <c r="AH318" s="19"/>
      <c r="AI318" s="19"/>
      <c r="AJ318" s="19"/>
      <c r="AK318" s="19"/>
      <c r="AL318" s="19"/>
      <c r="AM318" s="19"/>
      <c r="AN318" s="19"/>
      <c r="AO318" s="19"/>
      <c r="AP318" s="19"/>
      <c r="AQ318" s="19"/>
      <c r="AR318" s="19"/>
      <c r="AS318" s="19"/>
      <c r="AT318" s="19"/>
      <c r="AU318" s="19"/>
      <c r="AV318" s="19"/>
      <c r="AW318" s="19"/>
      <c r="AX318" s="19"/>
      <c r="GA318" s="54"/>
    </row>
    <row r="319" spans="1:183" s="18" customFormat="1">
      <c r="A319" s="51"/>
      <c r="B319" s="52"/>
      <c r="C319" s="52"/>
      <c r="D319" s="52"/>
      <c r="E319" s="53"/>
      <c r="F319" s="52"/>
      <c r="G319" s="52"/>
      <c r="H319" s="52"/>
      <c r="I319" s="53"/>
      <c r="J319" s="52"/>
      <c r="K319" s="52"/>
      <c r="L319" s="52"/>
      <c r="M319" s="52"/>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c r="AK319" s="19"/>
      <c r="AL319" s="19"/>
      <c r="AM319" s="19"/>
      <c r="AN319" s="19"/>
      <c r="AO319" s="19"/>
      <c r="AP319" s="19"/>
      <c r="AQ319" s="19"/>
      <c r="AR319" s="19"/>
      <c r="AS319" s="19"/>
      <c r="AT319" s="19"/>
      <c r="AU319" s="19"/>
      <c r="AV319" s="19"/>
      <c r="AW319" s="19"/>
      <c r="AX319" s="19"/>
      <c r="GA319" s="54"/>
    </row>
    <row r="320" spans="1:183" s="18" customFormat="1">
      <c r="A320" s="51"/>
      <c r="B320" s="52"/>
      <c r="C320" s="52"/>
      <c r="D320" s="52"/>
      <c r="E320" s="53"/>
      <c r="F320" s="52"/>
      <c r="G320" s="52"/>
      <c r="H320" s="52"/>
      <c r="I320" s="53"/>
      <c r="J320" s="52"/>
      <c r="K320" s="52"/>
      <c r="L320" s="52"/>
      <c r="M320" s="52"/>
      <c r="N320" s="19"/>
      <c r="O320" s="19"/>
      <c r="P320" s="19"/>
      <c r="Q320" s="19"/>
      <c r="R320" s="19"/>
      <c r="S320" s="19"/>
      <c r="T320" s="19"/>
      <c r="U320" s="19"/>
      <c r="V320" s="19"/>
      <c r="W320" s="19"/>
      <c r="X320" s="19"/>
      <c r="Y320" s="19"/>
      <c r="Z320" s="19"/>
      <c r="AA320" s="19"/>
      <c r="AB320" s="19"/>
      <c r="AC320" s="19"/>
      <c r="AD320" s="19"/>
      <c r="AE320" s="19"/>
      <c r="AF320" s="19"/>
      <c r="AG320" s="19"/>
      <c r="AH320" s="19"/>
      <c r="AI320" s="19"/>
      <c r="AJ320" s="19"/>
      <c r="AK320" s="19"/>
      <c r="AL320" s="19"/>
      <c r="AM320" s="19"/>
      <c r="AN320" s="19"/>
      <c r="AO320" s="19"/>
      <c r="AP320" s="19"/>
      <c r="AQ320" s="19"/>
      <c r="AR320" s="19"/>
      <c r="AS320" s="19"/>
      <c r="AT320" s="19"/>
      <c r="AU320" s="19"/>
      <c r="AV320" s="19"/>
      <c r="AW320" s="19"/>
      <c r="AX320" s="19"/>
      <c r="GA320" s="54"/>
    </row>
    <row r="321" spans="1:183" s="18" customFormat="1">
      <c r="A321" s="51"/>
      <c r="B321" s="52"/>
      <c r="C321" s="52"/>
      <c r="D321" s="52"/>
      <c r="E321" s="53"/>
      <c r="F321" s="52"/>
      <c r="G321" s="52"/>
      <c r="H321" s="52"/>
      <c r="I321" s="53"/>
      <c r="J321" s="52"/>
      <c r="K321" s="52"/>
      <c r="L321" s="52"/>
      <c r="M321" s="52"/>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c r="AN321" s="19"/>
      <c r="AO321" s="19"/>
      <c r="AP321" s="19"/>
      <c r="AQ321" s="19"/>
      <c r="AR321" s="19"/>
      <c r="AS321" s="19"/>
      <c r="AT321" s="19"/>
      <c r="AU321" s="19"/>
      <c r="AV321" s="19"/>
      <c r="AW321" s="19"/>
      <c r="AX321" s="19"/>
      <c r="GA321" s="54"/>
    </row>
    <row r="322" spans="1:183" s="18" customFormat="1">
      <c r="A322" s="51"/>
      <c r="B322" s="52"/>
      <c r="C322" s="52"/>
      <c r="D322" s="52"/>
      <c r="E322" s="53"/>
      <c r="F322" s="52"/>
      <c r="G322" s="52"/>
      <c r="H322" s="52"/>
      <c r="I322" s="53"/>
      <c r="J322" s="52"/>
      <c r="K322" s="52"/>
      <c r="L322" s="52"/>
      <c r="M322" s="52"/>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c r="AK322" s="19"/>
      <c r="AL322" s="19"/>
      <c r="AM322" s="19"/>
      <c r="AN322" s="19"/>
      <c r="AO322" s="19"/>
      <c r="AP322" s="19"/>
      <c r="AQ322" s="19"/>
      <c r="AR322" s="19"/>
      <c r="AS322" s="19"/>
      <c r="AT322" s="19"/>
      <c r="AU322" s="19"/>
      <c r="AV322" s="19"/>
      <c r="AW322" s="19"/>
      <c r="AX322" s="19"/>
      <c r="GA322" s="54"/>
    </row>
    <row r="323" spans="1:183" s="18" customFormat="1">
      <c r="A323" s="51"/>
      <c r="B323" s="52"/>
      <c r="C323" s="52"/>
      <c r="D323" s="52"/>
      <c r="E323" s="53"/>
      <c r="F323" s="52"/>
      <c r="G323" s="52"/>
      <c r="H323" s="52"/>
      <c r="I323" s="53"/>
      <c r="J323" s="52"/>
      <c r="K323" s="52"/>
      <c r="L323" s="52"/>
      <c r="M323" s="52"/>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c r="AK323" s="19"/>
      <c r="AL323" s="19"/>
      <c r="AM323" s="19"/>
      <c r="AN323" s="19"/>
      <c r="AO323" s="19"/>
      <c r="AP323" s="19"/>
      <c r="AQ323" s="19"/>
      <c r="AR323" s="19"/>
      <c r="AS323" s="19"/>
      <c r="AT323" s="19"/>
      <c r="AU323" s="19"/>
      <c r="AV323" s="19"/>
      <c r="AW323" s="19"/>
      <c r="AX323" s="19"/>
      <c r="GA323" s="54"/>
    </row>
    <row r="324" spans="1:183" s="18" customFormat="1">
      <c r="A324" s="51"/>
      <c r="B324" s="52"/>
      <c r="C324" s="52"/>
      <c r="D324" s="52"/>
      <c r="E324" s="53"/>
      <c r="F324" s="52"/>
      <c r="G324" s="52"/>
      <c r="H324" s="52"/>
      <c r="I324" s="53"/>
      <c r="J324" s="52"/>
      <c r="K324" s="52"/>
      <c r="L324" s="52"/>
      <c r="M324" s="52"/>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c r="AK324" s="19"/>
      <c r="AL324" s="19"/>
      <c r="AM324" s="19"/>
      <c r="AN324" s="19"/>
      <c r="AO324" s="19"/>
      <c r="AP324" s="19"/>
      <c r="AQ324" s="19"/>
      <c r="AR324" s="19"/>
      <c r="AS324" s="19"/>
      <c r="AT324" s="19"/>
      <c r="AU324" s="19"/>
      <c r="AV324" s="19"/>
      <c r="AW324" s="19"/>
      <c r="AX324" s="19"/>
      <c r="GA324" s="54"/>
    </row>
    <row r="325" spans="1:183" s="18" customFormat="1">
      <c r="A325" s="51"/>
      <c r="B325" s="52"/>
      <c r="C325" s="52"/>
      <c r="D325" s="52"/>
      <c r="E325" s="53"/>
      <c r="F325" s="52"/>
      <c r="G325" s="52"/>
      <c r="H325" s="52"/>
      <c r="I325" s="53"/>
      <c r="J325" s="52"/>
      <c r="K325" s="52"/>
      <c r="L325" s="52"/>
      <c r="M325" s="52"/>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AK325" s="19"/>
      <c r="AL325" s="19"/>
      <c r="AM325" s="19"/>
      <c r="AN325" s="19"/>
      <c r="AO325" s="19"/>
      <c r="AP325" s="19"/>
      <c r="AQ325" s="19"/>
      <c r="AR325" s="19"/>
      <c r="AS325" s="19"/>
      <c r="AT325" s="19"/>
      <c r="AU325" s="19"/>
      <c r="AV325" s="19"/>
      <c r="AW325" s="19"/>
      <c r="AX325" s="19"/>
      <c r="GA325" s="54"/>
    </row>
    <row r="326" spans="1:183" s="18" customFormat="1">
      <c r="A326" s="51"/>
      <c r="B326" s="52"/>
      <c r="C326" s="52"/>
      <c r="D326" s="52"/>
      <c r="E326" s="53"/>
      <c r="F326" s="52"/>
      <c r="G326" s="52"/>
      <c r="H326" s="52"/>
      <c r="I326" s="53"/>
      <c r="J326" s="52"/>
      <c r="K326" s="52"/>
      <c r="L326" s="52"/>
      <c r="M326" s="52"/>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AK326" s="19"/>
      <c r="AL326" s="19"/>
      <c r="AM326" s="19"/>
      <c r="AN326" s="19"/>
      <c r="AO326" s="19"/>
      <c r="AP326" s="19"/>
      <c r="AQ326" s="19"/>
      <c r="AR326" s="19"/>
      <c r="AS326" s="19"/>
      <c r="AT326" s="19"/>
      <c r="AU326" s="19"/>
      <c r="AV326" s="19"/>
      <c r="AW326" s="19"/>
      <c r="AX326" s="19"/>
      <c r="GA326" s="54"/>
    </row>
    <row r="327" spans="1:183" s="18" customFormat="1">
      <c r="A327" s="51"/>
      <c r="B327" s="52"/>
      <c r="C327" s="52"/>
      <c r="D327" s="52"/>
      <c r="E327" s="53"/>
      <c r="F327" s="52"/>
      <c r="G327" s="52"/>
      <c r="H327" s="52"/>
      <c r="I327" s="53"/>
      <c r="J327" s="52"/>
      <c r="K327" s="52"/>
      <c r="L327" s="52"/>
      <c r="M327" s="52"/>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AK327" s="19"/>
      <c r="AL327" s="19"/>
      <c r="AM327" s="19"/>
      <c r="AN327" s="19"/>
      <c r="AO327" s="19"/>
      <c r="AP327" s="19"/>
      <c r="AQ327" s="19"/>
      <c r="AR327" s="19"/>
      <c r="AS327" s="19"/>
      <c r="AT327" s="19"/>
      <c r="AU327" s="19"/>
      <c r="AV327" s="19"/>
      <c r="AW327" s="19"/>
      <c r="AX327" s="19"/>
      <c r="GA327" s="54"/>
    </row>
    <row r="328" spans="1:183" s="18" customFormat="1">
      <c r="A328" s="51"/>
      <c r="B328" s="52"/>
      <c r="C328" s="52"/>
      <c r="D328" s="52"/>
      <c r="E328" s="53"/>
      <c r="F328" s="52"/>
      <c r="G328" s="52"/>
      <c r="H328" s="52"/>
      <c r="I328" s="53"/>
      <c r="J328" s="52"/>
      <c r="K328" s="52"/>
      <c r="L328" s="52"/>
      <c r="M328" s="52"/>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c r="AN328" s="19"/>
      <c r="AO328" s="19"/>
      <c r="AP328" s="19"/>
      <c r="AQ328" s="19"/>
      <c r="AR328" s="19"/>
      <c r="AS328" s="19"/>
      <c r="AT328" s="19"/>
      <c r="AU328" s="19"/>
      <c r="AV328" s="19"/>
      <c r="AW328" s="19"/>
      <c r="AX328" s="19"/>
      <c r="GA328" s="54"/>
    </row>
    <row r="329" spans="1:183" s="18" customFormat="1">
      <c r="A329" s="51"/>
      <c r="B329" s="52"/>
      <c r="C329" s="52"/>
      <c r="D329" s="52"/>
      <c r="E329" s="53"/>
      <c r="F329" s="52"/>
      <c r="G329" s="52"/>
      <c r="H329" s="52"/>
      <c r="I329" s="53"/>
      <c r="J329" s="52"/>
      <c r="K329" s="52"/>
      <c r="L329" s="52"/>
      <c r="M329" s="52"/>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AK329" s="19"/>
      <c r="AL329" s="19"/>
      <c r="AM329" s="19"/>
      <c r="AN329" s="19"/>
      <c r="AO329" s="19"/>
      <c r="AP329" s="19"/>
      <c r="AQ329" s="19"/>
      <c r="AR329" s="19"/>
      <c r="AS329" s="19"/>
      <c r="AT329" s="19"/>
      <c r="AU329" s="19"/>
      <c r="AV329" s="19"/>
      <c r="AW329" s="19"/>
      <c r="AX329" s="19"/>
      <c r="GA329" s="54"/>
    </row>
    <row r="330" spans="1:183" s="18" customFormat="1">
      <c r="A330" s="51"/>
      <c r="B330" s="52"/>
      <c r="C330" s="52"/>
      <c r="D330" s="52"/>
      <c r="E330" s="53"/>
      <c r="F330" s="52"/>
      <c r="G330" s="52"/>
      <c r="H330" s="52"/>
      <c r="I330" s="53"/>
      <c r="J330" s="52"/>
      <c r="K330" s="52"/>
      <c r="L330" s="52"/>
      <c r="M330" s="52"/>
      <c r="N330" s="19"/>
      <c r="O330" s="19"/>
      <c r="P330" s="19"/>
      <c r="Q330" s="19"/>
      <c r="R330" s="19"/>
      <c r="S330" s="19"/>
      <c r="T330" s="19"/>
      <c r="U330" s="19"/>
      <c r="V330" s="19"/>
      <c r="W330" s="19"/>
      <c r="X330" s="19"/>
      <c r="Y330" s="19"/>
      <c r="Z330" s="19"/>
      <c r="AA330" s="19"/>
      <c r="AB330" s="19"/>
      <c r="AC330" s="19"/>
      <c r="AD330" s="19"/>
      <c r="AE330" s="19"/>
      <c r="AF330" s="19"/>
      <c r="AG330" s="19"/>
      <c r="AH330" s="19"/>
      <c r="AI330" s="19"/>
      <c r="AJ330" s="19"/>
      <c r="AK330" s="19"/>
      <c r="AL330" s="19"/>
      <c r="AM330" s="19"/>
      <c r="AN330" s="19"/>
      <c r="AO330" s="19"/>
      <c r="AP330" s="19"/>
      <c r="AQ330" s="19"/>
      <c r="AR330" s="19"/>
      <c r="AS330" s="19"/>
      <c r="AT330" s="19"/>
      <c r="AU330" s="19"/>
      <c r="AV330" s="19"/>
      <c r="AW330" s="19"/>
      <c r="AX330" s="19"/>
      <c r="GA330" s="54"/>
    </row>
    <row r="331" spans="1:183" s="18" customFormat="1">
      <c r="A331" s="51"/>
      <c r="B331" s="52"/>
      <c r="C331" s="52"/>
      <c r="D331" s="52"/>
      <c r="E331" s="53"/>
      <c r="F331" s="52"/>
      <c r="G331" s="52"/>
      <c r="H331" s="52"/>
      <c r="I331" s="53"/>
      <c r="J331" s="52"/>
      <c r="K331" s="52"/>
      <c r="L331" s="52"/>
      <c r="M331" s="52"/>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c r="AK331" s="19"/>
      <c r="AL331" s="19"/>
      <c r="AM331" s="19"/>
      <c r="AN331" s="19"/>
      <c r="AO331" s="19"/>
      <c r="AP331" s="19"/>
      <c r="AQ331" s="19"/>
      <c r="AR331" s="19"/>
      <c r="AS331" s="19"/>
      <c r="AT331" s="19"/>
      <c r="AU331" s="19"/>
      <c r="AV331" s="19"/>
      <c r="AW331" s="19"/>
      <c r="AX331" s="19"/>
      <c r="GA331" s="54"/>
    </row>
    <row r="332" spans="1:183" s="18" customFormat="1">
      <c r="A332" s="51"/>
      <c r="B332" s="52"/>
      <c r="C332" s="52"/>
      <c r="D332" s="52"/>
      <c r="E332" s="53"/>
      <c r="F332" s="52"/>
      <c r="G332" s="52"/>
      <c r="H332" s="52"/>
      <c r="I332" s="53"/>
      <c r="J332" s="52"/>
      <c r="K332" s="52"/>
      <c r="L332" s="52"/>
      <c r="M332" s="52"/>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AK332" s="19"/>
      <c r="AL332" s="19"/>
      <c r="AM332" s="19"/>
      <c r="AN332" s="19"/>
      <c r="AO332" s="19"/>
      <c r="AP332" s="19"/>
      <c r="AQ332" s="19"/>
      <c r="AR332" s="19"/>
      <c r="AS332" s="19"/>
      <c r="AT332" s="19"/>
      <c r="AU332" s="19"/>
      <c r="AV332" s="19"/>
      <c r="AW332" s="19"/>
      <c r="AX332" s="19"/>
      <c r="GA332" s="54"/>
    </row>
    <row r="333" spans="1:183" s="18" customFormat="1">
      <c r="A333" s="51"/>
      <c r="B333" s="52"/>
      <c r="C333" s="52"/>
      <c r="D333" s="52"/>
      <c r="E333" s="53"/>
      <c r="F333" s="52"/>
      <c r="G333" s="52"/>
      <c r="H333" s="52"/>
      <c r="I333" s="53"/>
      <c r="J333" s="52"/>
      <c r="K333" s="52"/>
      <c r="L333" s="52"/>
      <c r="M333" s="52"/>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AK333" s="19"/>
      <c r="AL333" s="19"/>
      <c r="AM333" s="19"/>
      <c r="AN333" s="19"/>
      <c r="AO333" s="19"/>
      <c r="AP333" s="19"/>
      <c r="AQ333" s="19"/>
      <c r="AR333" s="19"/>
      <c r="AS333" s="19"/>
      <c r="AT333" s="19"/>
      <c r="AU333" s="19"/>
      <c r="AV333" s="19"/>
      <c r="AW333" s="19"/>
      <c r="AX333" s="19"/>
      <c r="GA333" s="54"/>
    </row>
    <row r="334" spans="1:183" s="18" customFormat="1">
      <c r="A334" s="51"/>
      <c r="B334" s="52"/>
      <c r="C334" s="52"/>
      <c r="D334" s="52"/>
      <c r="E334" s="53"/>
      <c r="F334" s="52"/>
      <c r="G334" s="52"/>
      <c r="H334" s="52"/>
      <c r="I334" s="53"/>
      <c r="J334" s="52"/>
      <c r="K334" s="52"/>
      <c r="L334" s="52"/>
      <c r="M334" s="52"/>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c r="AK334" s="19"/>
      <c r="AL334" s="19"/>
      <c r="AM334" s="19"/>
      <c r="AN334" s="19"/>
      <c r="AO334" s="19"/>
      <c r="AP334" s="19"/>
      <c r="AQ334" s="19"/>
      <c r="AR334" s="19"/>
      <c r="AS334" s="19"/>
      <c r="AT334" s="19"/>
      <c r="AU334" s="19"/>
      <c r="AV334" s="19"/>
      <c r="AW334" s="19"/>
      <c r="AX334" s="19"/>
      <c r="GA334" s="54"/>
    </row>
    <row r="335" spans="1:183" s="18" customFormat="1">
      <c r="A335" s="51"/>
      <c r="B335" s="52"/>
      <c r="C335" s="52"/>
      <c r="D335" s="52"/>
      <c r="E335" s="53"/>
      <c r="F335" s="52"/>
      <c r="G335" s="52"/>
      <c r="H335" s="52"/>
      <c r="I335" s="53"/>
      <c r="J335" s="52"/>
      <c r="K335" s="52"/>
      <c r="L335" s="52"/>
      <c r="M335" s="52"/>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c r="AN335" s="19"/>
      <c r="AO335" s="19"/>
      <c r="AP335" s="19"/>
      <c r="AQ335" s="19"/>
      <c r="AR335" s="19"/>
      <c r="AS335" s="19"/>
      <c r="AT335" s="19"/>
      <c r="AU335" s="19"/>
      <c r="AV335" s="19"/>
      <c r="AW335" s="19"/>
      <c r="AX335" s="19"/>
      <c r="GA335" s="54"/>
    </row>
    <row r="336" spans="1:183" s="18" customFormat="1">
      <c r="A336" s="51"/>
      <c r="B336" s="52"/>
      <c r="C336" s="52"/>
      <c r="D336" s="52"/>
      <c r="E336" s="53"/>
      <c r="F336" s="52"/>
      <c r="G336" s="52"/>
      <c r="H336" s="52"/>
      <c r="I336" s="53"/>
      <c r="J336" s="52"/>
      <c r="K336" s="52"/>
      <c r="L336" s="52"/>
      <c r="M336" s="52"/>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c r="AK336" s="19"/>
      <c r="AL336" s="19"/>
      <c r="AM336" s="19"/>
      <c r="AN336" s="19"/>
      <c r="AO336" s="19"/>
      <c r="AP336" s="19"/>
      <c r="AQ336" s="19"/>
      <c r="AR336" s="19"/>
      <c r="AS336" s="19"/>
      <c r="AT336" s="19"/>
      <c r="AU336" s="19"/>
      <c r="AV336" s="19"/>
      <c r="AW336" s="19"/>
      <c r="AX336" s="19"/>
      <c r="GA336" s="54"/>
    </row>
    <row r="337" spans="1:183" s="18" customFormat="1">
      <c r="A337" s="51"/>
      <c r="B337" s="52"/>
      <c r="C337" s="52"/>
      <c r="D337" s="52"/>
      <c r="E337" s="53"/>
      <c r="F337" s="52"/>
      <c r="G337" s="52"/>
      <c r="H337" s="52"/>
      <c r="I337" s="53"/>
      <c r="J337" s="52"/>
      <c r="K337" s="52"/>
      <c r="L337" s="52"/>
      <c r="M337" s="52"/>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c r="AK337" s="19"/>
      <c r="AL337" s="19"/>
      <c r="AM337" s="19"/>
      <c r="AN337" s="19"/>
      <c r="AO337" s="19"/>
      <c r="AP337" s="19"/>
      <c r="AQ337" s="19"/>
      <c r="AR337" s="19"/>
      <c r="AS337" s="19"/>
      <c r="AT337" s="19"/>
      <c r="AU337" s="19"/>
      <c r="AV337" s="19"/>
      <c r="AW337" s="19"/>
      <c r="AX337" s="19"/>
      <c r="GA337" s="54"/>
    </row>
    <row r="338" spans="1:183" s="18" customFormat="1">
      <c r="A338" s="51"/>
      <c r="B338" s="52"/>
      <c r="C338" s="52"/>
      <c r="D338" s="52"/>
      <c r="E338" s="53"/>
      <c r="F338" s="52"/>
      <c r="G338" s="52"/>
      <c r="H338" s="52"/>
      <c r="I338" s="53"/>
      <c r="J338" s="52"/>
      <c r="K338" s="52"/>
      <c r="L338" s="52"/>
      <c r="M338" s="52"/>
      <c r="N338" s="19"/>
      <c r="O338" s="19"/>
      <c r="P338" s="19"/>
      <c r="Q338" s="19"/>
      <c r="R338" s="19"/>
      <c r="S338" s="19"/>
      <c r="T338" s="19"/>
      <c r="U338" s="19"/>
      <c r="V338" s="19"/>
      <c r="W338" s="19"/>
      <c r="X338" s="19"/>
      <c r="Y338" s="19"/>
      <c r="Z338" s="19"/>
      <c r="AA338" s="19"/>
      <c r="AB338" s="19"/>
      <c r="AC338" s="19"/>
      <c r="AD338" s="19"/>
      <c r="AE338" s="19"/>
      <c r="AF338" s="19"/>
      <c r="AG338" s="19"/>
      <c r="AH338" s="19"/>
      <c r="AI338" s="19"/>
      <c r="AJ338" s="19"/>
      <c r="AK338" s="19"/>
      <c r="AL338" s="19"/>
      <c r="AM338" s="19"/>
      <c r="AN338" s="19"/>
      <c r="AO338" s="19"/>
      <c r="AP338" s="19"/>
      <c r="AQ338" s="19"/>
      <c r="AR338" s="19"/>
      <c r="AS338" s="19"/>
      <c r="AT338" s="19"/>
      <c r="AU338" s="19"/>
      <c r="AV338" s="19"/>
      <c r="AW338" s="19"/>
      <c r="AX338" s="19"/>
      <c r="GA338" s="54"/>
    </row>
    <row r="339" spans="1:183" s="18" customFormat="1">
      <c r="A339" s="51"/>
      <c r="B339" s="52"/>
      <c r="C339" s="52"/>
      <c r="D339" s="52"/>
      <c r="E339" s="53"/>
      <c r="F339" s="52"/>
      <c r="G339" s="52"/>
      <c r="H339" s="52"/>
      <c r="I339" s="53"/>
      <c r="J339" s="52"/>
      <c r="K339" s="52"/>
      <c r="L339" s="52"/>
      <c r="M339" s="52"/>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AK339" s="19"/>
      <c r="AL339" s="19"/>
      <c r="AM339" s="19"/>
      <c r="AN339" s="19"/>
      <c r="AO339" s="19"/>
      <c r="AP339" s="19"/>
      <c r="AQ339" s="19"/>
      <c r="AR339" s="19"/>
      <c r="AS339" s="19"/>
      <c r="AT339" s="19"/>
      <c r="AU339" s="19"/>
      <c r="AV339" s="19"/>
      <c r="AW339" s="19"/>
      <c r="AX339" s="19"/>
      <c r="GA339" s="54"/>
    </row>
    <row r="340" spans="1:183" s="18" customFormat="1">
      <c r="A340" s="51"/>
      <c r="B340" s="52"/>
      <c r="C340" s="52"/>
      <c r="D340" s="52"/>
      <c r="E340" s="53"/>
      <c r="F340" s="52"/>
      <c r="G340" s="52"/>
      <c r="H340" s="52"/>
      <c r="I340" s="53"/>
      <c r="J340" s="52"/>
      <c r="K340" s="52"/>
      <c r="L340" s="52"/>
      <c r="M340" s="52"/>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c r="AK340" s="19"/>
      <c r="AL340" s="19"/>
      <c r="AM340" s="19"/>
      <c r="AN340" s="19"/>
      <c r="AO340" s="19"/>
      <c r="AP340" s="19"/>
      <c r="AQ340" s="19"/>
      <c r="AR340" s="19"/>
      <c r="AS340" s="19"/>
      <c r="AT340" s="19"/>
      <c r="AU340" s="19"/>
      <c r="AV340" s="19"/>
      <c r="AW340" s="19"/>
      <c r="AX340" s="19"/>
      <c r="GA340" s="54"/>
    </row>
    <row r="341" spans="1:183" s="18" customFormat="1">
      <c r="A341" s="51"/>
      <c r="B341" s="52"/>
      <c r="C341" s="52"/>
      <c r="D341" s="52"/>
      <c r="E341" s="53"/>
      <c r="F341" s="52"/>
      <c r="G341" s="52"/>
      <c r="H341" s="52"/>
      <c r="I341" s="53"/>
      <c r="J341" s="52"/>
      <c r="K341" s="52"/>
      <c r="L341" s="52"/>
      <c r="M341" s="52"/>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c r="AK341" s="19"/>
      <c r="AL341" s="19"/>
      <c r="AM341" s="19"/>
      <c r="AN341" s="19"/>
      <c r="AO341" s="19"/>
      <c r="AP341" s="19"/>
      <c r="AQ341" s="19"/>
      <c r="AR341" s="19"/>
      <c r="AS341" s="19"/>
      <c r="AT341" s="19"/>
      <c r="AU341" s="19"/>
      <c r="AV341" s="19"/>
      <c r="AW341" s="19"/>
      <c r="AX341" s="19"/>
      <c r="GA341" s="54"/>
    </row>
    <row r="342" spans="1:183" s="18" customFormat="1">
      <c r="A342" s="51"/>
      <c r="B342" s="52"/>
      <c r="C342" s="52"/>
      <c r="D342" s="52"/>
      <c r="E342" s="53"/>
      <c r="F342" s="52"/>
      <c r="G342" s="52"/>
      <c r="H342" s="52"/>
      <c r="I342" s="53"/>
      <c r="J342" s="52"/>
      <c r="K342" s="52"/>
      <c r="L342" s="52"/>
      <c r="M342" s="52"/>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AK342" s="19"/>
      <c r="AL342" s="19"/>
      <c r="AM342" s="19"/>
      <c r="AN342" s="19"/>
      <c r="AO342" s="19"/>
      <c r="AP342" s="19"/>
      <c r="AQ342" s="19"/>
      <c r="AR342" s="19"/>
      <c r="AS342" s="19"/>
      <c r="AT342" s="19"/>
      <c r="AU342" s="19"/>
      <c r="AV342" s="19"/>
      <c r="AW342" s="19"/>
      <c r="AX342" s="19"/>
      <c r="GA342" s="54"/>
    </row>
    <row r="343" spans="1:183" s="18" customFormat="1">
      <c r="A343" s="51"/>
      <c r="B343" s="52"/>
      <c r="C343" s="52"/>
      <c r="D343" s="52"/>
      <c r="E343" s="53"/>
      <c r="F343" s="52"/>
      <c r="G343" s="52"/>
      <c r="H343" s="52"/>
      <c r="I343" s="53"/>
      <c r="J343" s="52"/>
      <c r="K343" s="52"/>
      <c r="L343" s="52"/>
      <c r="M343" s="52"/>
      <c r="N343" s="19"/>
      <c r="O343" s="19"/>
      <c r="P343" s="19"/>
      <c r="Q343" s="19"/>
      <c r="R343" s="19"/>
      <c r="S343" s="19"/>
      <c r="T343" s="19"/>
      <c r="U343" s="19"/>
      <c r="V343" s="19"/>
      <c r="W343" s="19"/>
      <c r="X343" s="19"/>
      <c r="Y343" s="19"/>
      <c r="Z343" s="19"/>
      <c r="AA343" s="19"/>
      <c r="AB343" s="19"/>
      <c r="AC343" s="19"/>
      <c r="AD343" s="19"/>
      <c r="AE343" s="19"/>
      <c r="AF343" s="19"/>
      <c r="AG343" s="19"/>
      <c r="AH343" s="19"/>
      <c r="AI343" s="19"/>
      <c r="AJ343" s="19"/>
      <c r="AK343" s="19"/>
      <c r="AL343" s="19"/>
      <c r="AM343" s="19"/>
      <c r="AN343" s="19"/>
      <c r="AO343" s="19"/>
      <c r="AP343" s="19"/>
      <c r="AQ343" s="19"/>
      <c r="AR343" s="19"/>
      <c r="AS343" s="19"/>
      <c r="AT343" s="19"/>
      <c r="AU343" s="19"/>
      <c r="AV343" s="19"/>
      <c r="AW343" s="19"/>
      <c r="AX343" s="19"/>
      <c r="GA343" s="54"/>
    </row>
    <row r="344" spans="1:183" s="18" customFormat="1">
      <c r="A344" s="51"/>
      <c r="B344" s="52"/>
      <c r="C344" s="52"/>
      <c r="D344" s="52"/>
      <c r="E344" s="53"/>
      <c r="F344" s="52"/>
      <c r="G344" s="52"/>
      <c r="H344" s="52"/>
      <c r="I344" s="53"/>
      <c r="J344" s="52"/>
      <c r="K344" s="52"/>
      <c r="L344" s="52"/>
      <c r="M344" s="52"/>
      <c r="N344" s="19"/>
      <c r="O344" s="19"/>
      <c r="P344" s="19"/>
      <c r="Q344" s="19"/>
      <c r="R344" s="19"/>
      <c r="S344" s="19"/>
      <c r="T344" s="19"/>
      <c r="U344" s="19"/>
      <c r="V344" s="19"/>
      <c r="W344" s="19"/>
      <c r="X344" s="19"/>
      <c r="Y344" s="19"/>
      <c r="Z344" s="19"/>
      <c r="AA344" s="19"/>
      <c r="AB344" s="19"/>
      <c r="AC344" s="19"/>
      <c r="AD344" s="19"/>
      <c r="AE344" s="19"/>
      <c r="AF344" s="19"/>
      <c r="AG344" s="19"/>
      <c r="AH344" s="19"/>
      <c r="AI344" s="19"/>
      <c r="AJ344" s="19"/>
      <c r="AK344" s="19"/>
      <c r="AL344" s="19"/>
      <c r="AM344" s="19"/>
      <c r="AN344" s="19"/>
      <c r="AO344" s="19"/>
      <c r="AP344" s="19"/>
      <c r="AQ344" s="19"/>
      <c r="AR344" s="19"/>
      <c r="AS344" s="19"/>
      <c r="AT344" s="19"/>
      <c r="AU344" s="19"/>
      <c r="AV344" s="19"/>
      <c r="AW344" s="19"/>
      <c r="AX344" s="19"/>
      <c r="GA344" s="54"/>
    </row>
    <row r="345" spans="1:183" s="18" customFormat="1">
      <c r="A345" s="51"/>
      <c r="B345" s="52"/>
      <c r="C345" s="52"/>
      <c r="D345" s="52"/>
      <c r="E345" s="53"/>
      <c r="F345" s="52"/>
      <c r="G345" s="52"/>
      <c r="H345" s="52"/>
      <c r="I345" s="53"/>
      <c r="J345" s="52"/>
      <c r="K345" s="52"/>
      <c r="L345" s="52"/>
      <c r="M345" s="52"/>
      <c r="N345" s="19"/>
      <c r="O345" s="19"/>
      <c r="P345" s="19"/>
      <c r="Q345" s="19"/>
      <c r="R345" s="19"/>
      <c r="S345" s="19"/>
      <c r="T345" s="19"/>
      <c r="U345" s="19"/>
      <c r="V345" s="19"/>
      <c r="W345" s="19"/>
      <c r="X345" s="19"/>
      <c r="Y345" s="19"/>
      <c r="Z345" s="19"/>
      <c r="AA345" s="19"/>
      <c r="AB345" s="19"/>
      <c r="AC345" s="19"/>
      <c r="AD345" s="19"/>
      <c r="AE345" s="19"/>
      <c r="AF345" s="19"/>
      <c r="AG345" s="19"/>
      <c r="AH345" s="19"/>
      <c r="AI345" s="19"/>
      <c r="AJ345" s="19"/>
      <c r="AK345" s="19"/>
      <c r="AL345" s="19"/>
      <c r="AM345" s="19"/>
      <c r="AN345" s="19"/>
      <c r="AO345" s="19"/>
      <c r="AP345" s="19"/>
      <c r="AQ345" s="19"/>
      <c r="AR345" s="19"/>
      <c r="AS345" s="19"/>
      <c r="AT345" s="19"/>
      <c r="AU345" s="19"/>
      <c r="AV345" s="19"/>
      <c r="AW345" s="19"/>
      <c r="AX345" s="19"/>
      <c r="GA345" s="54"/>
    </row>
    <row r="346" spans="1:183" s="18" customFormat="1">
      <c r="A346" s="51"/>
      <c r="B346" s="52"/>
      <c r="C346" s="52"/>
      <c r="D346" s="52"/>
      <c r="E346" s="53"/>
      <c r="F346" s="52"/>
      <c r="G346" s="52"/>
      <c r="H346" s="52"/>
      <c r="I346" s="53"/>
      <c r="J346" s="52"/>
      <c r="K346" s="52"/>
      <c r="L346" s="52"/>
      <c r="M346" s="52"/>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c r="AK346" s="19"/>
      <c r="AL346" s="19"/>
      <c r="AM346" s="19"/>
      <c r="AN346" s="19"/>
      <c r="AO346" s="19"/>
      <c r="AP346" s="19"/>
      <c r="AQ346" s="19"/>
      <c r="AR346" s="19"/>
      <c r="AS346" s="19"/>
      <c r="AT346" s="19"/>
      <c r="AU346" s="19"/>
      <c r="AV346" s="19"/>
      <c r="AW346" s="19"/>
      <c r="AX346" s="19"/>
      <c r="GA346" s="54"/>
    </row>
    <row r="347" spans="1:183" s="18" customFormat="1">
      <c r="A347" s="51"/>
      <c r="B347" s="52"/>
      <c r="C347" s="52"/>
      <c r="D347" s="52"/>
      <c r="E347" s="53"/>
      <c r="F347" s="52"/>
      <c r="G347" s="52"/>
      <c r="H347" s="52"/>
      <c r="I347" s="53"/>
      <c r="J347" s="52"/>
      <c r="K347" s="52"/>
      <c r="L347" s="52"/>
      <c r="M347" s="52"/>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c r="AK347" s="19"/>
      <c r="AL347" s="19"/>
      <c r="AM347" s="19"/>
      <c r="AN347" s="19"/>
      <c r="AO347" s="19"/>
      <c r="AP347" s="19"/>
      <c r="AQ347" s="19"/>
      <c r="AR347" s="19"/>
      <c r="AS347" s="19"/>
      <c r="AT347" s="19"/>
      <c r="AU347" s="19"/>
      <c r="AV347" s="19"/>
      <c r="AW347" s="19"/>
      <c r="AX347" s="19"/>
      <c r="GA347" s="54"/>
    </row>
    <row r="348" spans="1:183" s="18" customFormat="1">
      <c r="A348" s="51"/>
      <c r="B348" s="52"/>
      <c r="C348" s="52"/>
      <c r="D348" s="52"/>
      <c r="E348" s="53"/>
      <c r="F348" s="52"/>
      <c r="G348" s="52"/>
      <c r="H348" s="52"/>
      <c r="I348" s="53"/>
      <c r="J348" s="52"/>
      <c r="K348" s="52"/>
      <c r="L348" s="52"/>
      <c r="M348" s="52"/>
      <c r="N348" s="19"/>
      <c r="O348" s="19"/>
      <c r="P348" s="19"/>
      <c r="Q348" s="19"/>
      <c r="R348" s="19"/>
      <c r="S348" s="19"/>
      <c r="T348" s="19"/>
      <c r="U348" s="19"/>
      <c r="V348" s="19"/>
      <c r="W348" s="19"/>
      <c r="X348" s="19"/>
      <c r="Y348" s="19"/>
      <c r="Z348" s="19"/>
      <c r="AA348" s="19"/>
      <c r="AB348" s="19"/>
      <c r="AC348" s="19"/>
      <c r="AD348" s="19"/>
      <c r="AE348" s="19"/>
      <c r="AF348" s="19"/>
      <c r="AG348" s="19"/>
      <c r="AH348" s="19"/>
      <c r="AI348" s="19"/>
      <c r="AJ348" s="19"/>
      <c r="AK348" s="19"/>
      <c r="AL348" s="19"/>
      <c r="AM348" s="19"/>
      <c r="AN348" s="19"/>
      <c r="AO348" s="19"/>
      <c r="AP348" s="19"/>
      <c r="AQ348" s="19"/>
      <c r="AR348" s="19"/>
      <c r="AS348" s="19"/>
      <c r="AT348" s="19"/>
      <c r="AU348" s="19"/>
      <c r="AV348" s="19"/>
      <c r="AW348" s="19"/>
      <c r="AX348" s="19"/>
      <c r="GA348" s="54"/>
    </row>
    <row r="349" spans="1:183" s="18" customFormat="1">
      <c r="A349" s="51"/>
      <c r="B349" s="52"/>
      <c r="C349" s="52"/>
      <c r="D349" s="52"/>
      <c r="E349" s="53"/>
      <c r="F349" s="52"/>
      <c r="G349" s="52"/>
      <c r="H349" s="52"/>
      <c r="I349" s="53"/>
      <c r="J349" s="52"/>
      <c r="K349" s="52"/>
      <c r="L349" s="52"/>
      <c r="M349" s="52"/>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AK349" s="19"/>
      <c r="AL349" s="19"/>
      <c r="AM349" s="19"/>
      <c r="AN349" s="19"/>
      <c r="AO349" s="19"/>
      <c r="AP349" s="19"/>
      <c r="AQ349" s="19"/>
      <c r="AR349" s="19"/>
      <c r="AS349" s="19"/>
      <c r="AT349" s="19"/>
      <c r="AU349" s="19"/>
      <c r="AV349" s="19"/>
      <c r="AW349" s="19"/>
      <c r="AX349" s="19"/>
      <c r="GA349" s="54"/>
    </row>
    <row r="350" spans="1:183" s="18" customFormat="1">
      <c r="A350" s="51"/>
      <c r="B350" s="52"/>
      <c r="C350" s="52"/>
      <c r="D350" s="52"/>
      <c r="E350" s="53"/>
      <c r="F350" s="52"/>
      <c r="G350" s="52"/>
      <c r="H350" s="52"/>
      <c r="I350" s="53"/>
      <c r="J350" s="52"/>
      <c r="K350" s="52"/>
      <c r="L350" s="52"/>
      <c r="M350" s="52"/>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c r="AK350" s="19"/>
      <c r="AL350" s="19"/>
      <c r="AM350" s="19"/>
      <c r="AN350" s="19"/>
      <c r="AO350" s="19"/>
      <c r="AP350" s="19"/>
      <c r="AQ350" s="19"/>
      <c r="AR350" s="19"/>
      <c r="AS350" s="19"/>
      <c r="AT350" s="19"/>
      <c r="AU350" s="19"/>
      <c r="AV350" s="19"/>
      <c r="AW350" s="19"/>
      <c r="AX350" s="19"/>
      <c r="GA350" s="54"/>
    </row>
    <row r="351" spans="1:183" s="18" customFormat="1">
      <c r="A351" s="51"/>
      <c r="B351" s="52"/>
      <c r="C351" s="52"/>
      <c r="D351" s="52"/>
      <c r="E351" s="53"/>
      <c r="F351" s="52"/>
      <c r="G351" s="52"/>
      <c r="H351" s="52"/>
      <c r="I351" s="53"/>
      <c r="J351" s="52"/>
      <c r="K351" s="52"/>
      <c r="L351" s="52"/>
      <c r="M351" s="52"/>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c r="AK351" s="19"/>
      <c r="AL351" s="19"/>
      <c r="AM351" s="19"/>
      <c r="AN351" s="19"/>
      <c r="AO351" s="19"/>
      <c r="AP351" s="19"/>
      <c r="AQ351" s="19"/>
      <c r="AR351" s="19"/>
      <c r="AS351" s="19"/>
      <c r="AT351" s="19"/>
      <c r="AU351" s="19"/>
      <c r="AV351" s="19"/>
      <c r="AW351" s="19"/>
      <c r="AX351" s="19"/>
      <c r="GA351" s="54"/>
    </row>
    <row r="352" spans="1:183" s="18" customFormat="1">
      <c r="A352" s="51"/>
      <c r="B352" s="52"/>
      <c r="C352" s="52"/>
      <c r="D352" s="52"/>
      <c r="E352" s="53"/>
      <c r="F352" s="52"/>
      <c r="G352" s="52"/>
      <c r="H352" s="52"/>
      <c r="I352" s="53"/>
      <c r="J352" s="52"/>
      <c r="K352" s="52"/>
      <c r="L352" s="52"/>
      <c r="M352" s="52"/>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c r="AK352" s="19"/>
      <c r="AL352" s="19"/>
      <c r="AM352" s="19"/>
      <c r="AN352" s="19"/>
      <c r="AO352" s="19"/>
      <c r="AP352" s="19"/>
      <c r="AQ352" s="19"/>
      <c r="AR352" s="19"/>
      <c r="AS352" s="19"/>
      <c r="AT352" s="19"/>
      <c r="AU352" s="19"/>
      <c r="AV352" s="19"/>
      <c r="AW352" s="19"/>
      <c r="AX352" s="19"/>
      <c r="GA352" s="54"/>
    </row>
    <row r="353" spans="1:183" s="18" customFormat="1">
      <c r="A353" s="51"/>
      <c r="B353" s="52"/>
      <c r="C353" s="52"/>
      <c r="D353" s="52"/>
      <c r="E353" s="53"/>
      <c r="F353" s="52"/>
      <c r="G353" s="52"/>
      <c r="H353" s="52"/>
      <c r="I353" s="53"/>
      <c r="J353" s="52"/>
      <c r="K353" s="52"/>
      <c r="L353" s="52"/>
      <c r="M353" s="52"/>
      <c r="N353" s="19"/>
      <c r="O353" s="19"/>
      <c r="P353" s="19"/>
      <c r="Q353" s="19"/>
      <c r="R353" s="19"/>
      <c r="S353" s="19"/>
      <c r="T353" s="19"/>
      <c r="U353" s="19"/>
      <c r="V353" s="19"/>
      <c r="W353" s="19"/>
      <c r="X353" s="19"/>
      <c r="Y353" s="19"/>
      <c r="Z353" s="19"/>
      <c r="AA353" s="19"/>
      <c r="AB353" s="19"/>
      <c r="AC353" s="19"/>
      <c r="AD353" s="19"/>
      <c r="AE353" s="19"/>
      <c r="AF353" s="19"/>
      <c r="AG353" s="19"/>
      <c r="AH353" s="19"/>
      <c r="AI353" s="19"/>
      <c r="AJ353" s="19"/>
      <c r="AK353" s="19"/>
      <c r="AL353" s="19"/>
      <c r="AM353" s="19"/>
      <c r="AN353" s="19"/>
      <c r="AO353" s="19"/>
      <c r="AP353" s="19"/>
      <c r="AQ353" s="19"/>
      <c r="AR353" s="19"/>
      <c r="AS353" s="19"/>
      <c r="AT353" s="19"/>
      <c r="AU353" s="19"/>
      <c r="AV353" s="19"/>
      <c r="AW353" s="19"/>
      <c r="AX353" s="19"/>
      <c r="GA353" s="54"/>
    </row>
    <row r="354" spans="1:183" s="18" customFormat="1">
      <c r="A354" s="51"/>
      <c r="B354" s="52"/>
      <c r="C354" s="52"/>
      <c r="D354" s="52"/>
      <c r="E354" s="53"/>
      <c r="F354" s="52"/>
      <c r="G354" s="52"/>
      <c r="H354" s="52"/>
      <c r="I354" s="53"/>
      <c r="J354" s="52"/>
      <c r="K354" s="52"/>
      <c r="L354" s="52"/>
      <c r="M354" s="52"/>
      <c r="N354" s="19"/>
      <c r="O354" s="19"/>
      <c r="P354" s="19"/>
      <c r="Q354" s="19"/>
      <c r="R354" s="19"/>
      <c r="S354" s="19"/>
      <c r="T354" s="19"/>
      <c r="U354" s="19"/>
      <c r="V354" s="19"/>
      <c r="W354" s="19"/>
      <c r="X354" s="19"/>
      <c r="Y354" s="19"/>
      <c r="Z354" s="19"/>
      <c r="AA354" s="19"/>
      <c r="AB354" s="19"/>
      <c r="AC354" s="19"/>
      <c r="AD354" s="19"/>
      <c r="AE354" s="19"/>
      <c r="AF354" s="19"/>
      <c r="AG354" s="19"/>
      <c r="AH354" s="19"/>
      <c r="AI354" s="19"/>
      <c r="AJ354" s="19"/>
      <c r="AK354" s="19"/>
      <c r="AL354" s="19"/>
      <c r="AM354" s="19"/>
      <c r="AN354" s="19"/>
      <c r="AO354" s="19"/>
      <c r="AP354" s="19"/>
      <c r="AQ354" s="19"/>
      <c r="AR354" s="19"/>
      <c r="AS354" s="19"/>
      <c r="AT354" s="19"/>
      <c r="AU354" s="19"/>
      <c r="AV354" s="19"/>
      <c r="AW354" s="19"/>
      <c r="AX354" s="19"/>
      <c r="GA354" s="54"/>
    </row>
    <row r="355" spans="1:183" s="18" customFormat="1">
      <c r="A355" s="51"/>
      <c r="B355" s="52"/>
      <c r="C355" s="52"/>
      <c r="D355" s="52"/>
      <c r="E355" s="53"/>
      <c r="F355" s="52"/>
      <c r="G355" s="52"/>
      <c r="H355" s="52"/>
      <c r="I355" s="53"/>
      <c r="J355" s="52"/>
      <c r="K355" s="52"/>
      <c r="L355" s="52"/>
      <c r="M355" s="52"/>
      <c r="N355" s="19"/>
      <c r="O355" s="19"/>
      <c r="P355" s="19"/>
      <c r="Q355" s="19"/>
      <c r="R355" s="19"/>
      <c r="S355" s="19"/>
      <c r="T355" s="19"/>
      <c r="U355" s="19"/>
      <c r="V355" s="19"/>
      <c r="W355" s="19"/>
      <c r="X355" s="19"/>
      <c r="Y355" s="19"/>
      <c r="Z355" s="19"/>
      <c r="AA355" s="19"/>
      <c r="AB355" s="19"/>
      <c r="AC355" s="19"/>
      <c r="AD355" s="19"/>
      <c r="AE355" s="19"/>
      <c r="AF355" s="19"/>
      <c r="AG355" s="19"/>
      <c r="AH355" s="19"/>
      <c r="AI355" s="19"/>
      <c r="AJ355" s="19"/>
      <c r="AK355" s="19"/>
      <c r="AL355" s="19"/>
      <c r="AM355" s="19"/>
      <c r="AN355" s="19"/>
      <c r="AO355" s="19"/>
      <c r="AP355" s="19"/>
      <c r="AQ355" s="19"/>
      <c r="AR355" s="19"/>
      <c r="AS355" s="19"/>
      <c r="AT355" s="19"/>
      <c r="AU355" s="19"/>
      <c r="AV355" s="19"/>
      <c r="AW355" s="19"/>
      <c r="AX355" s="19"/>
      <c r="GA355" s="54"/>
    </row>
    <row r="356" spans="1:183" s="18" customFormat="1">
      <c r="A356" s="51"/>
      <c r="B356" s="52"/>
      <c r="C356" s="52"/>
      <c r="D356" s="52"/>
      <c r="E356" s="53"/>
      <c r="F356" s="52"/>
      <c r="G356" s="52"/>
      <c r="H356" s="52"/>
      <c r="I356" s="53"/>
      <c r="J356" s="52"/>
      <c r="K356" s="52"/>
      <c r="L356" s="52"/>
      <c r="M356" s="52"/>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c r="AN356" s="19"/>
      <c r="AO356" s="19"/>
      <c r="AP356" s="19"/>
      <c r="AQ356" s="19"/>
      <c r="AR356" s="19"/>
      <c r="AS356" s="19"/>
      <c r="AT356" s="19"/>
      <c r="AU356" s="19"/>
      <c r="AV356" s="19"/>
      <c r="AW356" s="19"/>
      <c r="AX356" s="19"/>
      <c r="GA356" s="54"/>
    </row>
    <row r="357" spans="1:183" s="18" customFormat="1">
      <c r="A357" s="51"/>
      <c r="B357" s="52"/>
      <c r="C357" s="52"/>
      <c r="D357" s="52"/>
      <c r="E357" s="53"/>
      <c r="F357" s="52"/>
      <c r="G357" s="52"/>
      <c r="H357" s="52"/>
      <c r="I357" s="53"/>
      <c r="J357" s="52"/>
      <c r="K357" s="52"/>
      <c r="L357" s="52"/>
      <c r="M357" s="52"/>
      <c r="N357" s="19"/>
      <c r="O357" s="19"/>
      <c r="P357" s="19"/>
      <c r="Q357" s="19"/>
      <c r="R357" s="19"/>
      <c r="S357" s="19"/>
      <c r="T357" s="19"/>
      <c r="U357" s="19"/>
      <c r="V357" s="19"/>
      <c r="W357" s="19"/>
      <c r="X357" s="19"/>
      <c r="Y357" s="19"/>
      <c r="Z357" s="19"/>
      <c r="AA357" s="19"/>
      <c r="AB357" s="19"/>
      <c r="AC357" s="19"/>
      <c r="AD357" s="19"/>
      <c r="AE357" s="19"/>
      <c r="AF357" s="19"/>
      <c r="AG357" s="19"/>
      <c r="AH357" s="19"/>
      <c r="AI357" s="19"/>
      <c r="AJ357" s="19"/>
      <c r="AK357" s="19"/>
      <c r="AL357" s="19"/>
      <c r="AM357" s="19"/>
      <c r="AN357" s="19"/>
      <c r="AO357" s="19"/>
      <c r="AP357" s="19"/>
      <c r="AQ357" s="19"/>
      <c r="AR357" s="19"/>
      <c r="AS357" s="19"/>
      <c r="AT357" s="19"/>
      <c r="AU357" s="19"/>
      <c r="AV357" s="19"/>
      <c r="AW357" s="19"/>
      <c r="AX357" s="19"/>
      <c r="GA357" s="54"/>
    </row>
    <row r="358" spans="1:183" s="18" customFormat="1">
      <c r="A358" s="51"/>
      <c r="B358" s="52"/>
      <c r="C358" s="52"/>
      <c r="D358" s="52"/>
      <c r="E358" s="53"/>
      <c r="F358" s="52"/>
      <c r="G358" s="52"/>
      <c r="H358" s="52"/>
      <c r="I358" s="53"/>
      <c r="J358" s="52"/>
      <c r="K358" s="52"/>
      <c r="L358" s="52"/>
      <c r="M358" s="52"/>
      <c r="N358" s="19"/>
      <c r="O358" s="19"/>
      <c r="P358" s="19"/>
      <c r="Q358" s="19"/>
      <c r="R358" s="19"/>
      <c r="S358" s="19"/>
      <c r="T358" s="19"/>
      <c r="U358" s="19"/>
      <c r="V358" s="19"/>
      <c r="W358" s="19"/>
      <c r="X358" s="19"/>
      <c r="Y358" s="19"/>
      <c r="Z358" s="19"/>
      <c r="AA358" s="19"/>
      <c r="AB358" s="19"/>
      <c r="AC358" s="19"/>
      <c r="AD358" s="19"/>
      <c r="AE358" s="19"/>
      <c r="AF358" s="19"/>
      <c r="AG358" s="19"/>
      <c r="AH358" s="19"/>
      <c r="AI358" s="19"/>
      <c r="AJ358" s="19"/>
      <c r="AK358" s="19"/>
      <c r="AL358" s="19"/>
      <c r="AM358" s="19"/>
      <c r="AN358" s="19"/>
      <c r="AO358" s="19"/>
      <c r="AP358" s="19"/>
      <c r="AQ358" s="19"/>
      <c r="AR358" s="19"/>
      <c r="AS358" s="19"/>
      <c r="AT358" s="19"/>
      <c r="AU358" s="19"/>
      <c r="AV358" s="19"/>
      <c r="AW358" s="19"/>
      <c r="AX358" s="19"/>
      <c r="GA358" s="54"/>
    </row>
    <row r="359" spans="1:183" s="18" customFormat="1">
      <c r="A359" s="51"/>
      <c r="B359" s="52"/>
      <c r="C359" s="52"/>
      <c r="D359" s="52"/>
      <c r="E359" s="53"/>
      <c r="F359" s="52"/>
      <c r="G359" s="52"/>
      <c r="H359" s="52"/>
      <c r="I359" s="53"/>
      <c r="J359" s="52"/>
      <c r="K359" s="52"/>
      <c r="L359" s="52"/>
      <c r="M359" s="52"/>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c r="AK359" s="19"/>
      <c r="AL359" s="19"/>
      <c r="AM359" s="19"/>
      <c r="AN359" s="19"/>
      <c r="AO359" s="19"/>
      <c r="AP359" s="19"/>
      <c r="AQ359" s="19"/>
      <c r="AR359" s="19"/>
      <c r="AS359" s="19"/>
      <c r="AT359" s="19"/>
      <c r="AU359" s="19"/>
      <c r="AV359" s="19"/>
      <c r="AW359" s="19"/>
      <c r="AX359" s="19"/>
      <c r="GA359" s="54"/>
    </row>
    <row r="360" spans="1:183" s="18" customFormat="1">
      <c r="A360" s="51"/>
      <c r="B360" s="52"/>
      <c r="C360" s="52"/>
      <c r="D360" s="52"/>
      <c r="E360" s="53"/>
      <c r="F360" s="52"/>
      <c r="G360" s="52"/>
      <c r="H360" s="52"/>
      <c r="I360" s="53"/>
      <c r="J360" s="52"/>
      <c r="K360" s="52"/>
      <c r="L360" s="52"/>
      <c r="M360" s="52"/>
      <c r="N360" s="19"/>
      <c r="O360" s="19"/>
      <c r="P360" s="19"/>
      <c r="Q360" s="19"/>
      <c r="R360" s="19"/>
      <c r="S360" s="19"/>
      <c r="T360" s="19"/>
      <c r="U360" s="19"/>
      <c r="V360" s="19"/>
      <c r="W360" s="19"/>
      <c r="X360" s="19"/>
      <c r="Y360" s="19"/>
      <c r="Z360" s="19"/>
      <c r="AA360" s="19"/>
      <c r="AB360" s="19"/>
      <c r="AC360" s="19"/>
      <c r="AD360" s="19"/>
      <c r="AE360" s="19"/>
      <c r="AF360" s="19"/>
      <c r="AG360" s="19"/>
      <c r="AH360" s="19"/>
      <c r="AI360" s="19"/>
      <c r="AJ360" s="19"/>
      <c r="AK360" s="19"/>
      <c r="AL360" s="19"/>
      <c r="AM360" s="19"/>
      <c r="AN360" s="19"/>
      <c r="AO360" s="19"/>
      <c r="AP360" s="19"/>
      <c r="AQ360" s="19"/>
      <c r="AR360" s="19"/>
      <c r="AS360" s="19"/>
      <c r="AT360" s="19"/>
      <c r="AU360" s="19"/>
      <c r="AV360" s="19"/>
      <c r="AW360" s="19"/>
      <c r="AX360" s="19"/>
      <c r="GA360" s="54"/>
    </row>
    <row r="361" spans="1:183" s="18" customFormat="1">
      <c r="A361" s="51"/>
      <c r="B361" s="52"/>
      <c r="C361" s="52"/>
      <c r="D361" s="52"/>
      <c r="E361" s="53"/>
      <c r="F361" s="52"/>
      <c r="G361" s="52"/>
      <c r="H361" s="52"/>
      <c r="I361" s="53"/>
      <c r="J361" s="52"/>
      <c r="K361" s="52"/>
      <c r="L361" s="52"/>
      <c r="M361" s="52"/>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c r="AK361" s="19"/>
      <c r="AL361" s="19"/>
      <c r="AM361" s="19"/>
      <c r="AN361" s="19"/>
      <c r="AO361" s="19"/>
      <c r="AP361" s="19"/>
      <c r="AQ361" s="19"/>
      <c r="AR361" s="19"/>
      <c r="AS361" s="19"/>
      <c r="AT361" s="19"/>
      <c r="AU361" s="19"/>
      <c r="AV361" s="19"/>
      <c r="AW361" s="19"/>
      <c r="AX361" s="19"/>
      <c r="GA361" s="54"/>
    </row>
    <row r="362" spans="1:183" s="18" customFormat="1">
      <c r="A362" s="51"/>
      <c r="B362" s="52"/>
      <c r="C362" s="52"/>
      <c r="D362" s="52"/>
      <c r="E362" s="53"/>
      <c r="F362" s="52"/>
      <c r="G362" s="52"/>
      <c r="H362" s="52"/>
      <c r="I362" s="53"/>
      <c r="J362" s="52"/>
      <c r="K362" s="52"/>
      <c r="L362" s="52"/>
      <c r="M362" s="52"/>
      <c r="N362" s="19"/>
      <c r="O362" s="19"/>
      <c r="P362" s="19"/>
      <c r="Q362" s="19"/>
      <c r="R362" s="19"/>
      <c r="S362" s="19"/>
      <c r="T362" s="19"/>
      <c r="U362" s="19"/>
      <c r="V362" s="19"/>
      <c r="W362" s="19"/>
      <c r="X362" s="19"/>
      <c r="Y362" s="19"/>
      <c r="Z362" s="19"/>
      <c r="AA362" s="19"/>
      <c r="AB362" s="19"/>
      <c r="AC362" s="19"/>
      <c r="AD362" s="19"/>
      <c r="AE362" s="19"/>
      <c r="AF362" s="19"/>
      <c r="AG362" s="19"/>
      <c r="AH362" s="19"/>
      <c r="AI362" s="19"/>
      <c r="AJ362" s="19"/>
      <c r="AK362" s="19"/>
      <c r="AL362" s="19"/>
      <c r="AM362" s="19"/>
      <c r="AN362" s="19"/>
      <c r="AO362" s="19"/>
      <c r="AP362" s="19"/>
      <c r="AQ362" s="19"/>
      <c r="AR362" s="19"/>
      <c r="AS362" s="19"/>
      <c r="AT362" s="19"/>
      <c r="AU362" s="19"/>
      <c r="AV362" s="19"/>
      <c r="AW362" s="19"/>
      <c r="AX362" s="19"/>
      <c r="GA362" s="54"/>
    </row>
    <row r="363" spans="1:183" s="18" customFormat="1">
      <c r="A363" s="51"/>
      <c r="B363" s="52"/>
      <c r="C363" s="52"/>
      <c r="D363" s="52"/>
      <c r="E363" s="53"/>
      <c r="F363" s="52"/>
      <c r="G363" s="52"/>
      <c r="H363" s="52"/>
      <c r="I363" s="53"/>
      <c r="J363" s="52"/>
      <c r="K363" s="52"/>
      <c r="L363" s="52"/>
      <c r="M363" s="52"/>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AK363" s="19"/>
      <c r="AL363" s="19"/>
      <c r="AM363" s="19"/>
      <c r="AN363" s="19"/>
      <c r="AO363" s="19"/>
      <c r="AP363" s="19"/>
      <c r="AQ363" s="19"/>
      <c r="AR363" s="19"/>
      <c r="AS363" s="19"/>
      <c r="AT363" s="19"/>
      <c r="AU363" s="19"/>
      <c r="AV363" s="19"/>
      <c r="AW363" s="19"/>
      <c r="AX363" s="19"/>
      <c r="GA363" s="54"/>
    </row>
    <row r="364" spans="1:183" s="18" customFormat="1">
      <c r="A364" s="51"/>
      <c r="B364" s="52"/>
      <c r="C364" s="52"/>
      <c r="D364" s="52"/>
      <c r="E364" s="53"/>
      <c r="F364" s="52"/>
      <c r="G364" s="52"/>
      <c r="H364" s="52"/>
      <c r="I364" s="53"/>
      <c r="J364" s="52"/>
      <c r="K364" s="52"/>
      <c r="L364" s="52"/>
      <c r="M364" s="52"/>
      <c r="N364" s="19"/>
      <c r="O364" s="19"/>
      <c r="P364" s="19"/>
      <c r="Q364" s="19"/>
      <c r="R364" s="19"/>
      <c r="S364" s="19"/>
      <c r="T364" s="19"/>
      <c r="U364" s="19"/>
      <c r="V364" s="19"/>
      <c r="W364" s="19"/>
      <c r="X364" s="19"/>
      <c r="Y364" s="19"/>
      <c r="Z364" s="19"/>
      <c r="AA364" s="19"/>
      <c r="AB364" s="19"/>
      <c r="AC364" s="19"/>
      <c r="AD364" s="19"/>
      <c r="AE364" s="19"/>
      <c r="AF364" s="19"/>
      <c r="AG364" s="19"/>
      <c r="AH364" s="19"/>
      <c r="AI364" s="19"/>
      <c r="AJ364" s="19"/>
      <c r="AK364" s="19"/>
      <c r="AL364" s="19"/>
      <c r="AM364" s="19"/>
      <c r="AN364" s="19"/>
      <c r="AO364" s="19"/>
      <c r="AP364" s="19"/>
      <c r="AQ364" s="19"/>
      <c r="AR364" s="19"/>
      <c r="AS364" s="19"/>
      <c r="AT364" s="19"/>
      <c r="AU364" s="19"/>
      <c r="AV364" s="19"/>
      <c r="AW364" s="19"/>
      <c r="AX364" s="19"/>
      <c r="GA364" s="54"/>
    </row>
    <row r="365" spans="1:183" s="18" customFormat="1">
      <c r="A365" s="51"/>
      <c r="B365" s="52"/>
      <c r="C365" s="52"/>
      <c r="D365" s="52"/>
      <c r="E365" s="53"/>
      <c r="F365" s="52"/>
      <c r="G365" s="52"/>
      <c r="H365" s="52"/>
      <c r="I365" s="53"/>
      <c r="J365" s="52"/>
      <c r="K365" s="52"/>
      <c r="L365" s="52"/>
      <c r="M365" s="52"/>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c r="AK365" s="19"/>
      <c r="AL365" s="19"/>
      <c r="AM365" s="19"/>
      <c r="AN365" s="19"/>
      <c r="AO365" s="19"/>
      <c r="AP365" s="19"/>
      <c r="AQ365" s="19"/>
      <c r="AR365" s="19"/>
      <c r="AS365" s="19"/>
      <c r="AT365" s="19"/>
      <c r="AU365" s="19"/>
      <c r="AV365" s="19"/>
      <c r="AW365" s="19"/>
      <c r="AX365" s="19"/>
      <c r="GA365" s="54"/>
    </row>
    <row r="366" spans="1:183" s="18" customFormat="1">
      <c r="A366" s="51"/>
      <c r="B366" s="52"/>
      <c r="C366" s="52"/>
      <c r="D366" s="52"/>
      <c r="E366" s="53"/>
      <c r="F366" s="52"/>
      <c r="G366" s="52"/>
      <c r="H366" s="52"/>
      <c r="I366" s="53"/>
      <c r="J366" s="52"/>
      <c r="K366" s="52"/>
      <c r="L366" s="52"/>
      <c r="M366" s="52"/>
      <c r="N366" s="19"/>
      <c r="O366" s="19"/>
      <c r="P366" s="19"/>
      <c r="Q366" s="19"/>
      <c r="R366" s="19"/>
      <c r="S366" s="19"/>
      <c r="T366" s="19"/>
      <c r="U366" s="19"/>
      <c r="V366" s="19"/>
      <c r="W366" s="19"/>
      <c r="X366" s="19"/>
      <c r="Y366" s="19"/>
      <c r="Z366" s="19"/>
      <c r="AA366" s="19"/>
      <c r="AB366" s="19"/>
      <c r="AC366" s="19"/>
      <c r="AD366" s="19"/>
      <c r="AE366" s="19"/>
      <c r="AF366" s="19"/>
      <c r="AG366" s="19"/>
      <c r="AH366" s="19"/>
      <c r="AI366" s="19"/>
      <c r="AJ366" s="19"/>
      <c r="AK366" s="19"/>
      <c r="AL366" s="19"/>
      <c r="AM366" s="19"/>
      <c r="AN366" s="19"/>
      <c r="AO366" s="19"/>
      <c r="AP366" s="19"/>
      <c r="AQ366" s="19"/>
      <c r="AR366" s="19"/>
      <c r="AS366" s="19"/>
      <c r="AT366" s="19"/>
      <c r="AU366" s="19"/>
      <c r="AV366" s="19"/>
      <c r="AW366" s="19"/>
      <c r="AX366" s="19"/>
      <c r="GA366" s="54"/>
    </row>
    <row r="367" spans="1:183" s="18" customFormat="1">
      <c r="A367" s="51"/>
      <c r="B367" s="52"/>
      <c r="C367" s="52"/>
      <c r="D367" s="52"/>
      <c r="E367" s="53"/>
      <c r="F367" s="52"/>
      <c r="G367" s="52"/>
      <c r="H367" s="52"/>
      <c r="I367" s="53"/>
      <c r="J367" s="52"/>
      <c r="K367" s="52"/>
      <c r="L367" s="52"/>
      <c r="M367" s="52"/>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c r="AN367" s="19"/>
      <c r="AO367" s="19"/>
      <c r="AP367" s="19"/>
      <c r="AQ367" s="19"/>
      <c r="AR367" s="19"/>
      <c r="AS367" s="19"/>
      <c r="AT367" s="19"/>
      <c r="AU367" s="19"/>
      <c r="AV367" s="19"/>
      <c r="AW367" s="19"/>
      <c r="AX367" s="19"/>
      <c r="GA367" s="54"/>
    </row>
    <row r="368" spans="1:183" s="18" customFormat="1">
      <c r="A368" s="51"/>
      <c r="B368" s="52"/>
      <c r="C368" s="52"/>
      <c r="D368" s="52"/>
      <c r="E368" s="53"/>
      <c r="F368" s="52"/>
      <c r="G368" s="52"/>
      <c r="H368" s="52"/>
      <c r="I368" s="53"/>
      <c r="J368" s="52"/>
      <c r="K368" s="52"/>
      <c r="L368" s="52"/>
      <c r="M368" s="52"/>
      <c r="N368" s="19"/>
      <c r="O368" s="19"/>
      <c r="P368" s="19"/>
      <c r="Q368" s="19"/>
      <c r="R368" s="19"/>
      <c r="S368" s="19"/>
      <c r="T368" s="19"/>
      <c r="U368" s="19"/>
      <c r="V368" s="19"/>
      <c r="W368" s="19"/>
      <c r="X368" s="19"/>
      <c r="Y368" s="19"/>
      <c r="Z368" s="19"/>
      <c r="AA368" s="19"/>
      <c r="AB368" s="19"/>
      <c r="AC368" s="19"/>
      <c r="AD368" s="19"/>
      <c r="AE368" s="19"/>
      <c r="AF368" s="19"/>
      <c r="AG368" s="19"/>
      <c r="AH368" s="19"/>
      <c r="AI368" s="19"/>
      <c r="AJ368" s="19"/>
      <c r="AK368" s="19"/>
      <c r="AL368" s="19"/>
      <c r="AM368" s="19"/>
      <c r="AN368" s="19"/>
      <c r="AO368" s="19"/>
      <c r="AP368" s="19"/>
      <c r="AQ368" s="19"/>
      <c r="AR368" s="19"/>
      <c r="AS368" s="19"/>
      <c r="AT368" s="19"/>
      <c r="AU368" s="19"/>
      <c r="AV368" s="19"/>
      <c r="AW368" s="19"/>
      <c r="AX368" s="19"/>
      <c r="GA368" s="54"/>
    </row>
    <row r="369" spans="1:183" s="18" customFormat="1">
      <c r="A369" s="51"/>
      <c r="B369" s="52"/>
      <c r="C369" s="52"/>
      <c r="D369" s="52"/>
      <c r="E369" s="53"/>
      <c r="F369" s="52"/>
      <c r="G369" s="52"/>
      <c r="H369" s="52"/>
      <c r="I369" s="53"/>
      <c r="J369" s="52"/>
      <c r="K369" s="52"/>
      <c r="L369" s="52"/>
      <c r="M369" s="52"/>
      <c r="N369" s="19"/>
      <c r="O369" s="19"/>
      <c r="P369" s="19"/>
      <c r="Q369" s="19"/>
      <c r="R369" s="19"/>
      <c r="S369" s="19"/>
      <c r="T369" s="19"/>
      <c r="U369" s="19"/>
      <c r="V369" s="19"/>
      <c r="W369" s="19"/>
      <c r="X369" s="19"/>
      <c r="Y369" s="19"/>
      <c r="Z369" s="19"/>
      <c r="AA369" s="19"/>
      <c r="AB369" s="19"/>
      <c r="AC369" s="19"/>
      <c r="AD369" s="19"/>
      <c r="AE369" s="19"/>
      <c r="AF369" s="19"/>
      <c r="AG369" s="19"/>
      <c r="AH369" s="19"/>
      <c r="AI369" s="19"/>
      <c r="AJ369" s="19"/>
      <c r="AK369" s="19"/>
      <c r="AL369" s="19"/>
      <c r="AM369" s="19"/>
      <c r="AN369" s="19"/>
      <c r="AO369" s="19"/>
      <c r="AP369" s="19"/>
      <c r="AQ369" s="19"/>
      <c r="AR369" s="19"/>
      <c r="AS369" s="19"/>
      <c r="AT369" s="19"/>
      <c r="AU369" s="19"/>
      <c r="AV369" s="19"/>
      <c r="AW369" s="19"/>
      <c r="AX369" s="19"/>
      <c r="GA369" s="54"/>
    </row>
    <row r="370" spans="1:183" s="18" customFormat="1">
      <c r="A370" s="51"/>
      <c r="B370" s="52"/>
      <c r="C370" s="52"/>
      <c r="D370" s="52"/>
      <c r="E370" s="53"/>
      <c r="F370" s="52"/>
      <c r="G370" s="52"/>
      <c r="H370" s="52"/>
      <c r="I370" s="53"/>
      <c r="J370" s="52"/>
      <c r="K370" s="52"/>
      <c r="L370" s="52"/>
      <c r="M370" s="52"/>
      <c r="N370" s="19"/>
      <c r="O370" s="19"/>
      <c r="P370" s="19"/>
      <c r="Q370" s="19"/>
      <c r="R370" s="19"/>
      <c r="S370" s="19"/>
      <c r="T370" s="19"/>
      <c r="U370" s="19"/>
      <c r="V370" s="19"/>
      <c r="W370" s="19"/>
      <c r="X370" s="19"/>
      <c r="Y370" s="19"/>
      <c r="Z370" s="19"/>
      <c r="AA370" s="19"/>
      <c r="AB370" s="19"/>
      <c r="AC370" s="19"/>
      <c r="AD370" s="19"/>
      <c r="AE370" s="19"/>
      <c r="AF370" s="19"/>
      <c r="AG370" s="19"/>
      <c r="AH370" s="19"/>
      <c r="AI370" s="19"/>
      <c r="AJ370" s="19"/>
      <c r="AK370" s="19"/>
      <c r="AL370" s="19"/>
      <c r="AM370" s="19"/>
      <c r="AN370" s="19"/>
      <c r="AO370" s="19"/>
      <c r="AP370" s="19"/>
      <c r="AQ370" s="19"/>
      <c r="AR370" s="19"/>
      <c r="AS370" s="19"/>
      <c r="AT370" s="19"/>
      <c r="AU370" s="19"/>
      <c r="AV370" s="19"/>
      <c r="AW370" s="19"/>
      <c r="AX370" s="19"/>
      <c r="GA370" s="54"/>
    </row>
    <row r="371" spans="1:183" s="18" customFormat="1">
      <c r="A371" s="51"/>
      <c r="B371" s="52"/>
      <c r="C371" s="52"/>
      <c r="D371" s="52"/>
      <c r="E371" s="53"/>
      <c r="F371" s="52"/>
      <c r="G371" s="52"/>
      <c r="H371" s="52"/>
      <c r="I371" s="53"/>
      <c r="J371" s="52"/>
      <c r="K371" s="52"/>
      <c r="L371" s="52"/>
      <c r="M371" s="52"/>
      <c r="N371" s="19"/>
      <c r="O371" s="19"/>
      <c r="P371" s="19"/>
      <c r="Q371" s="19"/>
      <c r="R371" s="19"/>
      <c r="S371" s="19"/>
      <c r="T371" s="19"/>
      <c r="U371" s="19"/>
      <c r="V371" s="19"/>
      <c r="W371" s="19"/>
      <c r="X371" s="19"/>
      <c r="Y371" s="19"/>
      <c r="Z371" s="19"/>
      <c r="AA371" s="19"/>
      <c r="AB371" s="19"/>
      <c r="AC371" s="19"/>
      <c r="AD371" s="19"/>
      <c r="AE371" s="19"/>
      <c r="AF371" s="19"/>
      <c r="AG371" s="19"/>
      <c r="AH371" s="19"/>
      <c r="AI371" s="19"/>
      <c r="AJ371" s="19"/>
      <c r="AK371" s="19"/>
      <c r="AL371" s="19"/>
      <c r="AM371" s="19"/>
      <c r="AN371" s="19"/>
      <c r="AO371" s="19"/>
      <c r="AP371" s="19"/>
      <c r="AQ371" s="19"/>
      <c r="AR371" s="19"/>
      <c r="AS371" s="19"/>
      <c r="AT371" s="19"/>
      <c r="AU371" s="19"/>
      <c r="AV371" s="19"/>
      <c r="AW371" s="19"/>
      <c r="AX371" s="19"/>
      <c r="GA371" s="54"/>
    </row>
    <row r="372" spans="1:183" s="18" customFormat="1">
      <c r="A372" s="51"/>
      <c r="B372" s="52"/>
      <c r="C372" s="52"/>
      <c r="D372" s="52"/>
      <c r="E372" s="53"/>
      <c r="F372" s="52"/>
      <c r="G372" s="52"/>
      <c r="H372" s="52"/>
      <c r="I372" s="53"/>
      <c r="J372" s="52"/>
      <c r="K372" s="52"/>
      <c r="L372" s="52"/>
      <c r="M372" s="52"/>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c r="AN372" s="19"/>
      <c r="AO372" s="19"/>
      <c r="AP372" s="19"/>
      <c r="AQ372" s="19"/>
      <c r="AR372" s="19"/>
      <c r="AS372" s="19"/>
      <c r="AT372" s="19"/>
      <c r="AU372" s="19"/>
      <c r="AV372" s="19"/>
      <c r="AW372" s="19"/>
      <c r="AX372" s="19"/>
      <c r="GA372" s="54"/>
    </row>
    <row r="373" spans="1:183" s="18" customFormat="1">
      <c r="A373" s="51"/>
      <c r="B373" s="52"/>
      <c r="C373" s="52"/>
      <c r="D373" s="52"/>
      <c r="E373" s="53"/>
      <c r="F373" s="52"/>
      <c r="G373" s="52"/>
      <c r="H373" s="52"/>
      <c r="I373" s="53"/>
      <c r="J373" s="52"/>
      <c r="K373" s="52"/>
      <c r="L373" s="52"/>
      <c r="M373" s="52"/>
      <c r="N373" s="19"/>
      <c r="O373" s="19"/>
      <c r="P373" s="19"/>
      <c r="Q373" s="19"/>
      <c r="R373" s="19"/>
      <c r="S373" s="19"/>
      <c r="T373" s="19"/>
      <c r="U373" s="19"/>
      <c r="V373" s="19"/>
      <c r="W373" s="19"/>
      <c r="X373" s="19"/>
      <c r="Y373" s="19"/>
      <c r="Z373" s="19"/>
      <c r="AA373" s="19"/>
      <c r="AB373" s="19"/>
      <c r="AC373" s="19"/>
      <c r="AD373" s="19"/>
      <c r="AE373" s="19"/>
      <c r="AF373" s="19"/>
      <c r="AG373" s="19"/>
      <c r="AH373" s="19"/>
      <c r="AI373" s="19"/>
      <c r="AJ373" s="19"/>
      <c r="AK373" s="19"/>
      <c r="AL373" s="19"/>
      <c r="AM373" s="19"/>
      <c r="AN373" s="19"/>
      <c r="AO373" s="19"/>
      <c r="AP373" s="19"/>
      <c r="AQ373" s="19"/>
      <c r="AR373" s="19"/>
      <c r="AS373" s="19"/>
      <c r="AT373" s="19"/>
      <c r="AU373" s="19"/>
      <c r="AV373" s="19"/>
      <c r="AW373" s="19"/>
      <c r="AX373" s="19"/>
      <c r="GA373" s="54"/>
    </row>
    <row r="374" spans="1:183" s="18" customFormat="1">
      <c r="A374" s="51"/>
      <c r="B374" s="52"/>
      <c r="C374" s="52"/>
      <c r="D374" s="52"/>
      <c r="E374" s="53"/>
      <c r="F374" s="52"/>
      <c r="G374" s="52"/>
      <c r="H374" s="52"/>
      <c r="I374" s="53"/>
      <c r="J374" s="52"/>
      <c r="K374" s="52"/>
      <c r="L374" s="52"/>
      <c r="M374" s="52"/>
      <c r="N374" s="19"/>
      <c r="O374" s="19"/>
      <c r="P374" s="19"/>
      <c r="Q374" s="19"/>
      <c r="R374" s="19"/>
      <c r="S374" s="19"/>
      <c r="T374" s="19"/>
      <c r="U374" s="19"/>
      <c r="V374" s="19"/>
      <c r="W374" s="19"/>
      <c r="X374" s="19"/>
      <c r="Y374" s="19"/>
      <c r="Z374" s="19"/>
      <c r="AA374" s="19"/>
      <c r="AB374" s="19"/>
      <c r="AC374" s="19"/>
      <c r="AD374" s="19"/>
      <c r="AE374" s="19"/>
      <c r="AF374" s="19"/>
      <c r="AG374" s="19"/>
      <c r="AH374" s="19"/>
      <c r="AI374" s="19"/>
      <c r="AJ374" s="19"/>
      <c r="AK374" s="19"/>
      <c r="AL374" s="19"/>
      <c r="AM374" s="19"/>
      <c r="AN374" s="19"/>
      <c r="AO374" s="19"/>
      <c r="AP374" s="19"/>
      <c r="AQ374" s="19"/>
      <c r="AR374" s="19"/>
      <c r="AS374" s="19"/>
      <c r="AT374" s="19"/>
      <c r="AU374" s="19"/>
      <c r="AV374" s="19"/>
      <c r="AW374" s="19"/>
      <c r="AX374" s="19"/>
      <c r="GA374" s="54"/>
    </row>
    <row r="375" spans="1:183" s="18" customFormat="1">
      <c r="A375" s="51"/>
      <c r="B375" s="52"/>
      <c r="C375" s="52"/>
      <c r="D375" s="52"/>
      <c r="E375" s="53"/>
      <c r="F375" s="52"/>
      <c r="G375" s="52"/>
      <c r="H375" s="52"/>
      <c r="I375" s="53"/>
      <c r="J375" s="52"/>
      <c r="K375" s="52"/>
      <c r="L375" s="52"/>
      <c r="M375" s="52"/>
      <c r="N375" s="19"/>
      <c r="O375" s="19"/>
      <c r="P375" s="19"/>
      <c r="Q375" s="19"/>
      <c r="R375" s="19"/>
      <c r="S375" s="19"/>
      <c r="T375" s="19"/>
      <c r="U375" s="19"/>
      <c r="V375" s="19"/>
      <c r="W375" s="19"/>
      <c r="X375" s="19"/>
      <c r="Y375" s="19"/>
      <c r="Z375" s="19"/>
      <c r="AA375" s="19"/>
      <c r="AB375" s="19"/>
      <c r="AC375" s="19"/>
      <c r="AD375" s="19"/>
      <c r="AE375" s="19"/>
      <c r="AF375" s="19"/>
      <c r="AG375" s="19"/>
      <c r="AH375" s="19"/>
      <c r="AI375" s="19"/>
      <c r="AJ375" s="19"/>
      <c r="AK375" s="19"/>
      <c r="AL375" s="19"/>
      <c r="AM375" s="19"/>
      <c r="AN375" s="19"/>
      <c r="AO375" s="19"/>
      <c r="AP375" s="19"/>
      <c r="AQ375" s="19"/>
      <c r="AR375" s="19"/>
      <c r="AS375" s="19"/>
      <c r="AT375" s="19"/>
      <c r="AU375" s="19"/>
      <c r="AV375" s="19"/>
      <c r="AW375" s="19"/>
      <c r="AX375" s="19"/>
      <c r="GA375" s="54"/>
    </row>
    <row r="376" spans="1:183" s="18" customFormat="1">
      <c r="A376" s="51"/>
      <c r="B376" s="52"/>
      <c r="C376" s="52"/>
      <c r="D376" s="52"/>
      <c r="E376" s="53"/>
      <c r="F376" s="52"/>
      <c r="G376" s="52"/>
      <c r="H376" s="52"/>
      <c r="I376" s="53"/>
      <c r="J376" s="52"/>
      <c r="K376" s="52"/>
      <c r="L376" s="52"/>
      <c r="M376" s="52"/>
      <c r="N376" s="19"/>
      <c r="O376" s="19"/>
      <c r="P376" s="19"/>
      <c r="Q376" s="19"/>
      <c r="R376" s="19"/>
      <c r="S376" s="19"/>
      <c r="T376" s="19"/>
      <c r="U376" s="19"/>
      <c r="V376" s="19"/>
      <c r="W376" s="19"/>
      <c r="X376" s="19"/>
      <c r="Y376" s="19"/>
      <c r="Z376" s="19"/>
      <c r="AA376" s="19"/>
      <c r="AB376" s="19"/>
      <c r="AC376" s="19"/>
      <c r="AD376" s="19"/>
      <c r="AE376" s="19"/>
      <c r="AF376" s="19"/>
      <c r="AG376" s="19"/>
      <c r="AH376" s="19"/>
      <c r="AI376" s="19"/>
      <c r="AJ376" s="19"/>
      <c r="AK376" s="19"/>
      <c r="AL376" s="19"/>
      <c r="AM376" s="19"/>
      <c r="AN376" s="19"/>
      <c r="AO376" s="19"/>
      <c r="AP376" s="19"/>
      <c r="AQ376" s="19"/>
      <c r="AR376" s="19"/>
      <c r="AS376" s="19"/>
      <c r="AT376" s="19"/>
      <c r="AU376" s="19"/>
      <c r="AV376" s="19"/>
      <c r="AW376" s="19"/>
      <c r="AX376" s="19"/>
      <c r="GA376" s="54"/>
    </row>
    <row r="377" spans="1:183" s="18" customFormat="1">
      <c r="A377" s="51"/>
      <c r="B377" s="52"/>
      <c r="C377" s="52"/>
      <c r="D377" s="52"/>
      <c r="E377" s="53"/>
      <c r="F377" s="52"/>
      <c r="G377" s="52"/>
      <c r="H377" s="52"/>
      <c r="I377" s="53"/>
      <c r="J377" s="52"/>
      <c r="K377" s="52"/>
      <c r="L377" s="52"/>
      <c r="M377" s="52"/>
      <c r="N377" s="19"/>
      <c r="O377" s="19"/>
      <c r="P377" s="19"/>
      <c r="Q377" s="19"/>
      <c r="R377" s="19"/>
      <c r="S377" s="19"/>
      <c r="T377" s="19"/>
      <c r="U377" s="19"/>
      <c r="V377" s="19"/>
      <c r="W377" s="19"/>
      <c r="X377" s="19"/>
      <c r="Y377" s="19"/>
      <c r="Z377" s="19"/>
      <c r="AA377" s="19"/>
      <c r="AB377" s="19"/>
      <c r="AC377" s="19"/>
      <c r="AD377" s="19"/>
      <c r="AE377" s="19"/>
      <c r="AF377" s="19"/>
      <c r="AG377" s="19"/>
      <c r="AH377" s="19"/>
      <c r="AI377" s="19"/>
      <c r="AJ377" s="19"/>
      <c r="AK377" s="19"/>
      <c r="AL377" s="19"/>
      <c r="AM377" s="19"/>
      <c r="AN377" s="19"/>
      <c r="AO377" s="19"/>
      <c r="AP377" s="19"/>
      <c r="AQ377" s="19"/>
      <c r="AR377" s="19"/>
      <c r="AS377" s="19"/>
      <c r="AT377" s="19"/>
      <c r="AU377" s="19"/>
      <c r="AV377" s="19"/>
      <c r="AW377" s="19"/>
      <c r="AX377" s="19"/>
      <c r="GA377" s="54"/>
    </row>
    <row r="378" spans="1:183" s="18" customFormat="1">
      <c r="A378" s="51"/>
      <c r="B378" s="52"/>
      <c r="C378" s="52"/>
      <c r="D378" s="52"/>
      <c r="E378" s="53"/>
      <c r="F378" s="52"/>
      <c r="G378" s="52"/>
      <c r="H378" s="52"/>
      <c r="I378" s="53"/>
      <c r="J378" s="52"/>
      <c r="K378" s="52"/>
      <c r="L378" s="52"/>
      <c r="M378" s="52"/>
      <c r="N378" s="19"/>
      <c r="O378" s="19"/>
      <c r="P378" s="19"/>
      <c r="Q378" s="19"/>
      <c r="R378" s="19"/>
      <c r="S378" s="19"/>
      <c r="T378" s="19"/>
      <c r="U378" s="19"/>
      <c r="V378" s="19"/>
      <c r="W378" s="19"/>
      <c r="X378" s="19"/>
      <c r="Y378" s="19"/>
      <c r="Z378" s="19"/>
      <c r="AA378" s="19"/>
      <c r="AB378" s="19"/>
      <c r="AC378" s="19"/>
      <c r="AD378" s="19"/>
      <c r="AE378" s="19"/>
      <c r="AF378" s="19"/>
      <c r="AG378" s="19"/>
      <c r="AH378" s="19"/>
      <c r="AI378" s="19"/>
      <c r="AJ378" s="19"/>
      <c r="AK378" s="19"/>
      <c r="AL378" s="19"/>
      <c r="AM378" s="19"/>
      <c r="AN378" s="19"/>
      <c r="AO378" s="19"/>
      <c r="AP378" s="19"/>
      <c r="AQ378" s="19"/>
      <c r="AR378" s="19"/>
      <c r="AS378" s="19"/>
      <c r="AT378" s="19"/>
      <c r="AU378" s="19"/>
      <c r="AV378" s="19"/>
      <c r="AW378" s="19"/>
      <c r="AX378" s="19"/>
      <c r="GA378" s="54"/>
    </row>
    <row r="379" spans="1:183" s="18" customFormat="1">
      <c r="A379" s="51"/>
      <c r="B379" s="52"/>
      <c r="C379" s="52"/>
      <c r="D379" s="52"/>
      <c r="E379" s="53"/>
      <c r="F379" s="52"/>
      <c r="G379" s="52"/>
      <c r="H379" s="52"/>
      <c r="I379" s="53"/>
      <c r="J379" s="52"/>
      <c r="K379" s="52"/>
      <c r="L379" s="52"/>
      <c r="M379" s="52"/>
      <c r="N379" s="19"/>
      <c r="O379" s="19"/>
      <c r="P379" s="19"/>
      <c r="Q379" s="19"/>
      <c r="R379" s="19"/>
      <c r="S379" s="19"/>
      <c r="T379" s="19"/>
      <c r="U379" s="19"/>
      <c r="V379" s="19"/>
      <c r="W379" s="19"/>
      <c r="X379" s="19"/>
      <c r="Y379" s="19"/>
      <c r="Z379" s="19"/>
      <c r="AA379" s="19"/>
      <c r="AB379" s="19"/>
      <c r="AC379" s="19"/>
      <c r="AD379" s="19"/>
      <c r="AE379" s="19"/>
      <c r="AF379" s="19"/>
      <c r="AG379" s="19"/>
      <c r="AH379" s="19"/>
      <c r="AI379" s="19"/>
      <c r="AJ379" s="19"/>
      <c r="AK379" s="19"/>
      <c r="AL379" s="19"/>
      <c r="AM379" s="19"/>
      <c r="AN379" s="19"/>
      <c r="AO379" s="19"/>
      <c r="AP379" s="19"/>
      <c r="AQ379" s="19"/>
      <c r="AR379" s="19"/>
      <c r="AS379" s="19"/>
      <c r="AT379" s="19"/>
      <c r="AU379" s="19"/>
      <c r="AV379" s="19"/>
      <c r="AW379" s="19"/>
      <c r="AX379" s="19"/>
      <c r="GA379" s="54"/>
    </row>
    <row r="380" spans="1:183" s="18" customFormat="1">
      <c r="A380" s="51"/>
      <c r="B380" s="52"/>
      <c r="C380" s="52"/>
      <c r="D380" s="52"/>
      <c r="E380" s="53"/>
      <c r="F380" s="52"/>
      <c r="G380" s="52"/>
      <c r="H380" s="52"/>
      <c r="I380" s="53"/>
      <c r="J380" s="52"/>
      <c r="K380" s="52"/>
      <c r="L380" s="52"/>
      <c r="M380" s="52"/>
      <c r="N380" s="19"/>
      <c r="O380" s="19"/>
      <c r="P380" s="19"/>
      <c r="Q380" s="19"/>
      <c r="R380" s="19"/>
      <c r="S380" s="19"/>
      <c r="T380" s="19"/>
      <c r="U380" s="19"/>
      <c r="V380" s="19"/>
      <c r="W380" s="19"/>
      <c r="X380" s="19"/>
      <c r="Y380" s="19"/>
      <c r="Z380" s="19"/>
      <c r="AA380" s="19"/>
      <c r="AB380" s="19"/>
      <c r="AC380" s="19"/>
      <c r="AD380" s="19"/>
      <c r="AE380" s="19"/>
      <c r="AF380" s="19"/>
      <c r="AG380" s="19"/>
      <c r="AH380" s="19"/>
      <c r="AI380" s="19"/>
      <c r="AJ380" s="19"/>
      <c r="AK380" s="19"/>
      <c r="AL380" s="19"/>
      <c r="AM380" s="19"/>
      <c r="AN380" s="19"/>
      <c r="AO380" s="19"/>
      <c r="AP380" s="19"/>
      <c r="AQ380" s="19"/>
      <c r="AR380" s="19"/>
      <c r="AS380" s="19"/>
      <c r="AT380" s="19"/>
      <c r="AU380" s="19"/>
      <c r="AV380" s="19"/>
      <c r="AW380" s="19"/>
      <c r="AX380" s="19"/>
      <c r="GA380" s="54"/>
    </row>
    <row r="381" spans="1:183" s="18" customFormat="1">
      <c r="A381" s="51"/>
      <c r="B381" s="52"/>
      <c r="C381" s="52"/>
      <c r="D381" s="52"/>
      <c r="E381" s="53"/>
      <c r="F381" s="52"/>
      <c r="G381" s="52"/>
      <c r="H381" s="52"/>
      <c r="I381" s="53"/>
      <c r="J381" s="52"/>
      <c r="K381" s="52"/>
      <c r="L381" s="52"/>
      <c r="M381" s="52"/>
      <c r="N381" s="19"/>
      <c r="O381" s="19"/>
      <c r="P381" s="19"/>
      <c r="Q381" s="19"/>
      <c r="R381" s="19"/>
      <c r="S381" s="19"/>
      <c r="T381" s="19"/>
      <c r="U381" s="19"/>
      <c r="V381" s="19"/>
      <c r="W381" s="19"/>
      <c r="X381" s="19"/>
      <c r="Y381" s="19"/>
      <c r="Z381" s="19"/>
      <c r="AA381" s="19"/>
      <c r="AB381" s="19"/>
      <c r="AC381" s="19"/>
      <c r="AD381" s="19"/>
      <c r="AE381" s="19"/>
      <c r="AF381" s="19"/>
      <c r="AG381" s="19"/>
      <c r="AH381" s="19"/>
      <c r="AI381" s="19"/>
      <c r="AJ381" s="19"/>
      <c r="AK381" s="19"/>
      <c r="AL381" s="19"/>
      <c r="AM381" s="19"/>
      <c r="AN381" s="19"/>
      <c r="AO381" s="19"/>
      <c r="AP381" s="19"/>
      <c r="AQ381" s="19"/>
      <c r="AR381" s="19"/>
      <c r="AS381" s="19"/>
      <c r="AT381" s="19"/>
      <c r="AU381" s="19"/>
      <c r="AV381" s="19"/>
      <c r="AW381" s="19"/>
      <c r="AX381" s="19"/>
      <c r="GA381" s="54"/>
    </row>
    <row r="382" spans="1:183" s="18" customFormat="1">
      <c r="A382" s="51"/>
      <c r="B382" s="52"/>
      <c r="C382" s="52"/>
      <c r="D382" s="52"/>
      <c r="E382" s="53"/>
      <c r="F382" s="52"/>
      <c r="G382" s="52"/>
      <c r="H382" s="52"/>
      <c r="I382" s="53"/>
      <c r="J382" s="52"/>
      <c r="K382" s="52"/>
      <c r="L382" s="52"/>
      <c r="M382" s="52"/>
      <c r="N382" s="19"/>
      <c r="O382" s="19"/>
      <c r="P382" s="19"/>
      <c r="Q382" s="19"/>
      <c r="R382" s="19"/>
      <c r="S382" s="19"/>
      <c r="T382" s="19"/>
      <c r="U382" s="19"/>
      <c r="V382" s="19"/>
      <c r="W382" s="19"/>
      <c r="X382" s="19"/>
      <c r="Y382" s="19"/>
      <c r="Z382" s="19"/>
      <c r="AA382" s="19"/>
      <c r="AB382" s="19"/>
      <c r="AC382" s="19"/>
      <c r="AD382" s="19"/>
      <c r="AE382" s="19"/>
      <c r="AF382" s="19"/>
      <c r="AG382" s="19"/>
      <c r="AH382" s="19"/>
      <c r="AI382" s="19"/>
      <c r="AJ382" s="19"/>
      <c r="AK382" s="19"/>
      <c r="AL382" s="19"/>
      <c r="AM382" s="19"/>
      <c r="AN382" s="19"/>
      <c r="AO382" s="19"/>
      <c r="AP382" s="19"/>
      <c r="AQ382" s="19"/>
      <c r="AR382" s="19"/>
      <c r="AS382" s="19"/>
      <c r="AT382" s="19"/>
      <c r="AU382" s="19"/>
      <c r="AV382" s="19"/>
      <c r="AW382" s="19"/>
      <c r="AX382" s="19"/>
      <c r="GA382" s="54"/>
    </row>
    <row r="383" spans="1:183" s="18" customFormat="1">
      <c r="A383" s="51"/>
      <c r="B383" s="52"/>
      <c r="C383" s="52"/>
      <c r="D383" s="52"/>
      <c r="E383" s="53"/>
      <c r="F383" s="52"/>
      <c r="G383" s="52"/>
      <c r="H383" s="52"/>
      <c r="I383" s="53"/>
      <c r="J383" s="52"/>
      <c r="K383" s="52"/>
      <c r="L383" s="52"/>
      <c r="M383" s="52"/>
      <c r="N383" s="19"/>
      <c r="O383" s="19"/>
      <c r="P383" s="19"/>
      <c r="Q383" s="19"/>
      <c r="R383" s="19"/>
      <c r="S383" s="19"/>
      <c r="T383" s="19"/>
      <c r="U383" s="19"/>
      <c r="V383" s="19"/>
      <c r="W383" s="19"/>
      <c r="X383" s="19"/>
      <c r="Y383" s="19"/>
      <c r="Z383" s="19"/>
      <c r="AA383" s="19"/>
      <c r="AB383" s="19"/>
      <c r="AC383" s="19"/>
      <c r="AD383" s="19"/>
      <c r="AE383" s="19"/>
      <c r="AF383" s="19"/>
      <c r="AG383" s="19"/>
      <c r="AH383" s="19"/>
      <c r="AI383" s="19"/>
      <c r="AJ383" s="19"/>
      <c r="AK383" s="19"/>
      <c r="AL383" s="19"/>
      <c r="AM383" s="19"/>
      <c r="AN383" s="19"/>
      <c r="AO383" s="19"/>
      <c r="AP383" s="19"/>
      <c r="AQ383" s="19"/>
      <c r="AR383" s="19"/>
      <c r="AS383" s="19"/>
      <c r="AT383" s="19"/>
      <c r="AU383" s="19"/>
      <c r="AV383" s="19"/>
      <c r="AW383" s="19"/>
      <c r="AX383" s="19"/>
      <c r="GA383" s="54"/>
    </row>
    <row r="384" spans="1:183" s="18" customFormat="1">
      <c r="A384" s="51"/>
      <c r="B384" s="52"/>
      <c r="C384" s="52"/>
      <c r="D384" s="52"/>
      <c r="E384" s="53"/>
      <c r="F384" s="52"/>
      <c r="G384" s="52"/>
      <c r="H384" s="52"/>
      <c r="I384" s="53"/>
      <c r="J384" s="52"/>
      <c r="K384" s="52"/>
      <c r="L384" s="52"/>
      <c r="M384" s="52"/>
      <c r="N384" s="19"/>
      <c r="O384" s="19"/>
      <c r="P384" s="19"/>
      <c r="Q384" s="19"/>
      <c r="R384" s="19"/>
      <c r="S384" s="19"/>
      <c r="T384" s="19"/>
      <c r="U384" s="19"/>
      <c r="V384" s="19"/>
      <c r="W384" s="19"/>
      <c r="X384" s="19"/>
      <c r="Y384" s="19"/>
      <c r="Z384" s="19"/>
      <c r="AA384" s="19"/>
      <c r="AB384" s="19"/>
      <c r="AC384" s="19"/>
      <c r="AD384" s="19"/>
      <c r="AE384" s="19"/>
      <c r="AF384" s="19"/>
      <c r="AG384" s="19"/>
      <c r="AH384" s="19"/>
      <c r="AI384" s="19"/>
      <c r="AJ384" s="19"/>
      <c r="AK384" s="19"/>
      <c r="AL384" s="19"/>
      <c r="AM384" s="19"/>
      <c r="AN384" s="19"/>
      <c r="AO384" s="19"/>
      <c r="AP384" s="19"/>
      <c r="AQ384" s="19"/>
      <c r="AR384" s="19"/>
      <c r="AS384" s="19"/>
      <c r="AT384" s="19"/>
      <c r="AU384" s="19"/>
      <c r="AV384" s="19"/>
      <c r="AW384" s="19"/>
      <c r="AX384" s="19"/>
      <c r="GA384" s="54"/>
    </row>
    <row r="385" spans="1:183" s="18" customFormat="1">
      <c r="A385" s="51"/>
      <c r="B385" s="52"/>
      <c r="C385" s="52"/>
      <c r="D385" s="52"/>
      <c r="E385" s="53"/>
      <c r="F385" s="52"/>
      <c r="G385" s="52"/>
      <c r="H385" s="52"/>
      <c r="I385" s="53"/>
      <c r="J385" s="52"/>
      <c r="K385" s="52"/>
      <c r="L385" s="52"/>
      <c r="M385" s="52"/>
      <c r="N385" s="19"/>
      <c r="O385" s="19"/>
      <c r="P385" s="19"/>
      <c r="Q385" s="19"/>
      <c r="R385" s="19"/>
      <c r="S385" s="19"/>
      <c r="T385" s="19"/>
      <c r="U385" s="19"/>
      <c r="V385" s="19"/>
      <c r="W385" s="19"/>
      <c r="X385" s="19"/>
      <c r="Y385" s="19"/>
      <c r="Z385" s="19"/>
      <c r="AA385" s="19"/>
      <c r="AB385" s="19"/>
      <c r="AC385" s="19"/>
      <c r="AD385" s="19"/>
      <c r="AE385" s="19"/>
      <c r="AF385" s="19"/>
      <c r="AG385" s="19"/>
      <c r="AH385" s="19"/>
      <c r="AI385" s="19"/>
      <c r="AJ385" s="19"/>
      <c r="AK385" s="19"/>
      <c r="AL385" s="19"/>
      <c r="AM385" s="19"/>
      <c r="AN385" s="19"/>
      <c r="AO385" s="19"/>
      <c r="AP385" s="19"/>
      <c r="AQ385" s="19"/>
      <c r="AR385" s="19"/>
      <c r="AS385" s="19"/>
      <c r="AT385" s="19"/>
      <c r="AU385" s="19"/>
      <c r="AV385" s="19"/>
      <c r="AW385" s="19"/>
      <c r="AX385" s="19"/>
      <c r="GA385" s="54"/>
    </row>
    <row r="386" spans="1:183" s="18" customFormat="1">
      <c r="A386" s="51"/>
      <c r="B386" s="52"/>
      <c r="C386" s="52"/>
      <c r="D386" s="52"/>
      <c r="E386" s="53"/>
      <c r="F386" s="52"/>
      <c r="G386" s="52"/>
      <c r="H386" s="52"/>
      <c r="I386" s="53"/>
      <c r="J386" s="52"/>
      <c r="K386" s="52"/>
      <c r="L386" s="52"/>
      <c r="M386" s="52"/>
      <c r="N386" s="19"/>
      <c r="O386" s="19"/>
      <c r="P386" s="19"/>
      <c r="Q386" s="19"/>
      <c r="R386" s="19"/>
      <c r="S386" s="19"/>
      <c r="T386" s="19"/>
      <c r="U386" s="19"/>
      <c r="V386" s="19"/>
      <c r="W386" s="19"/>
      <c r="X386" s="19"/>
      <c r="Y386" s="19"/>
      <c r="Z386" s="19"/>
      <c r="AA386" s="19"/>
      <c r="AB386" s="19"/>
      <c r="AC386" s="19"/>
      <c r="AD386" s="19"/>
      <c r="AE386" s="19"/>
      <c r="AF386" s="19"/>
      <c r="AG386" s="19"/>
      <c r="AH386" s="19"/>
      <c r="AI386" s="19"/>
      <c r="AJ386" s="19"/>
      <c r="AK386" s="19"/>
      <c r="AL386" s="19"/>
      <c r="AM386" s="19"/>
      <c r="AN386" s="19"/>
      <c r="AO386" s="19"/>
      <c r="AP386" s="19"/>
      <c r="AQ386" s="19"/>
      <c r="AR386" s="19"/>
      <c r="AS386" s="19"/>
      <c r="AT386" s="19"/>
      <c r="AU386" s="19"/>
      <c r="AV386" s="19"/>
      <c r="AW386" s="19"/>
      <c r="AX386" s="19"/>
      <c r="GA386" s="54"/>
    </row>
    <row r="387" spans="1:183" s="18" customFormat="1">
      <c r="A387" s="51"/>
      <c r="B387" s="52"/>
      <c r="C387" s="52"/>
      <c r="D387" s="52"/>
      <c r="E387" s="53"/>
      <c r="F387" s="52"/>
      <c r="G387" s="52"/>
      <c r="H387" s="52"/>
      <c r="I387" s="53"/>
      <c r="J387" s="52"/>
      <c r="K387" s="52"/>
      <c r="L387" s="52"/>
      <c r="M387" s="52"/>
      <c r="N387" s="19"/>
      <c r="O387" s="19"/>
      <c r="P387" s="19"/>
      <c r="Q387" s="19"/>
      <c r="R387" s="19"/>
      <c r="S387" s="19"/>
      <c r="T387" s="19"/>
      <c r="U387" s="19"/>
      <c r="V387" s="19"/>
      <c r="W387" s="19"/>
      <c r="X387" s="19"/>
      <c r="Y387" s="19"/>
      <c r="Z387" s="19"/>
      <c r="AA387" s="19"/>
      <c r="AB387" s="19"/>
      <c r="AC387" s="19"/>
      <c r="AD387" s="19"/>
      <c r="AE387" s="19"/>
      <c r="AF387" s="19"/>
      <c r="AG387" s="19"/>
      <c r="AH387" s="19"/>
      <c r="AI387" s="19"/>
      <c r="AJ387" s="19"/>
      <c r="AK387" s="19"/>
      <c r="AL387" s="19"/>
      <c r="AM387" s="19"/>
      <c r="AN387" s="19"/>
      <c r="AO387" s="19"/>
      <c r="AP387" s="19"/>
      <c r="AQ387" s="19"/>
      <c r="AR387" s="19"/>
      <c r="AS387" s="19"/>
      <c r="AT387" s="19"/>
      <c r="AU387" s="19"/>
      <c r="AV387" s="19"/>
      <c r="AW387" s="19"/>
      <c r="AX387" s="19"/>
      <c r="GA387" s="54"/>
    </row>
    <row r="388" spans="1:183" s="18" customFormat="1">
      <c r="A388" s="51"/>
      <c r="B388" s="52"/>
      <c r="C388" s="52"/>
      <c r="D388" s="52"/>
      <c r="E388" s="53"/>
      <c r="F388" s="52"/>
      <c r="G388" s="52"/>
      <c r="H388" s="52"/>
      <c r="I388" s="53"/>
      <c r="J388" s="52"/>
      <c r="K388" s="52"/>
      <c r="L388" s="52"/>
      <c r="M388" s="52"/>
      <c r="N388" s="19"/>
      <c r="O388" s="19"/>
      <c r="P388" s="19"/>
      <c r="Q388" s="19"/>
      <c r="R388" s="19"/>
      <c r="S388" s="19"/>
      <c r="T388" s="19"/>
      <c r="U388" s="19"/>
      <c r="V388" s="19"/>
      <c r="W388" s="19"/>
      <c r="X388" s="19"/>
      <c r="Y388" s="19"/>
      <c r="Z388" s="19"/>
      <c r="AA388" s="19"/>
      <c r="AB388" s="19"/>
      <c r="AC388" s="19"/>
      <c r="AD388" s="19"/>
      <c r="AE388" s="19"/>
      <c r="AF388" s="19"/>
      <c r="AG388" s="19"/>
      <c r="AH388" s="19"/>
      <c r="AI388" s="19"/>
      <c r="AJ388" s="19"/>
      <c r="AK388" s="19"/>
      <c r="AL388" s="19"/>
      <c r="AM388" s="19"/>
      <c r="AN388" s="19"/>
      <c r="AO388" s="19"/>
      <c r="AP388" s="19"/>
      <c r="AQ388" s="19"/>
      <c r="AR388" s="19"/>
      <c r="AS388" s="19"/>
      <c r="AT388" s="19"/>
      <c r="AU388" s="19"/>
      <c r="AV388" s="19"/>
      <c r="AW388" s="19"/>
      <c r="AX388" s="19"/>
      <c r="GA388" s="54"/>
    </row>
    <row r="389" spans="1:183" s="18" customFormat="1">
      <c r="A389" s="51"/>
      <c r="B389" s="52"/>
      <c r="C389" s="52"/>
      <c r="D389" s="52"/>
      <c r="E389" s="53"/>
      <c r="F389" s="52"/>
      <c r="G389" s="52"/>
      <c r="H389" s="52"/>
      <c r="I389" s="53"/>
      <c r="J389" s="52"/>
      <c r="K389" s="52"/>
      <c r="L389" s="52"/>
      <c r="M389" s="52"/>
      <c r="N389" s="19"/>
      <c r="O389" s="19"/>
      <c r="P389" s="19"/>
      <c r="Q389" s="19"/>
      <c r="R389" s="19"/>
      <c r="S389" s="19"/>
      <c r="T389" s="19"/>
      <c r="U389" s="19"/>
      <c r="V389" s="19"/>
      <c r="W389" s="19"/>
      <c r="X389" s="19"/>
      <c r="Y389" s="19"/>
      <c r="Z389" s="19"/>
      <c r="AA389" s="19"/>
      <c r="AB389" s="19"/>
      <c r="AC389" s="19"/>
      <c r="AD389" s="19"/>
      <c r="AE389" s="19"/>
      <c r="AF389" s="19"/>
      <c r="AG389" s="19"/>
      <c r="AH389" s="19"/>
      <c r="AI389" s="19"/>
      <c r="AJ389" s="19"/>
      <c r="AK389" s="19"/>
      <c r="AL389" s="19"/>
      <c r="AM389" s="19"/>
      <c r="AN389" s="19"/>
      <c r="AO389" s="19"/>
      <c r="AP389" s="19"/>
      <c r="AQ389" s="19"/>
      <c r="AR389" s="19"/>
      <c r="AS389" s="19"/>
      <c r="AT389" s="19"/>
      <c r="AU389" s="19"/>
      <c r="AV389" s="19"/>
      <c r="AW389" s="19"/>
      <c r="AX389" s="19"/>
      <c r="GA389" s="54"/>
    </row>
    <row r="390" spans="1:183" s="18" customFormat="1">
      <c r="A390" s="51"/>
      <c r="B390" s="52"/>
      <c r="C390" s="52"/>
      <c r="D390" s="52"/>
      <c r="E390" s="53"/>
      <c r="F390" s="52"/>
      <c r="G390" s="52"/>
      <c r="H390" s="52"/>
      <c r="I390" s="53"/>
      <c r="J390" s="52"/>
      <c r="K390" s="52"/>
      <c r="L390" s="52"/>
      <c r="M390" s="52"/>
      <c r="N390" s="19"/>
      <c r="O390" s="19"/>
      <c r="P390" s="19"/>
      <c r="Q390" s="19"/>
      <c r="R390" s="19"/>
      <c r="S390" s="19"/>
      <c r="T390" s="19"/>
      <c r="U390" s="19"/>
      <c r="V390" s="19"/>
      <c r="W390" s="19"/>
      <c r="X390" s="19"/>
      <c r="Y390" s="19"/>
      <c r="Z390" s="19"/>
      <c r="AA390" s="19"/>
      <c r="AB390" s="19"/>
      <c r="AC390" s="19"/>
      <c r="AD390" s="19"/>
      <c r="AE390" s="19"/>
      <c r="AF390" s="19"/>
      <c r="AG390" s="19"/>
      <c r="AH390" s="19"/>
      <c r="AI390" s="19"/>
      <c r="AJ390" s="19"/>
      <c r="AK390" s="19"/>
      <c r="AL390" s="19"/>
      <c r="AM390" s="19"/>
      <c r="AN390" s="19"/>
      <c r="AO390" s="19"/>
      <c r="AP390" s="19"/>
      <c r="AQ390" s="19"/>
      <c r="AR390" s="19"/>
      <c r="AS390" s="19"/>
      <c r="AT390" s="19"/>
      <c r="AU390" s="19"/>
      <c r="AV390" s="19"/>
      <c r="AW390" s="19"/>
      <c r="AX390" s="19"/>
      <c r="GA390" s="54"/>
    </row>
    <row r="391" spans="1:183" s="18" customFormat="1">
      <c r="A391" s="51"/>
      <c r="B391" s="52"/>
      <c r="C391" s="52"/>
      <c r="D391" s="52"/>
      <c r="E391" s="53"/>
      <c r="F391" s="52"/>
      <c r="G391" s="52"/>
      <c r="H391" s="52"/>
      <c r="I391" s="53"/>
      <c r="J391" s="52"/>
      <c r="K391" s="52"/>
      <c r="L391" s="52"/>
      <c r="M391" s="52"/>
      <c r="N391" s="19"/>
      <c r="O391" s="19"/>
      <c r="P391" s="19"/>
      <c r="Q391" s="19"/>
      <c r="R391" s="19"/>
      <c r="S391" s="19"/>
      <c r="T391" s="19"/>
      <c r="U391" s="19"/>
      <c r="V391" s="19"/>
      <c r="W391" s="19"/>
      <c r="X391" s="19"/>
      <c r="Y391" s="19"/>
      <c r="Z391" s="19"/>
      <c r="AA391" s="19"/>
      <c r="AB391" s="19"/>
      <c r="AC391" s="19"/>
      <c r="AD391" s="19"/>
      <c r="AE391" s="19"/>
      <c r="AF391" s="19"/>
      <c r="AG391" s="19"/>
      <c r="AH391" s="19"/>
      <c r="AI391" s="19"/>
      <c r="AJ391" s="19"/>
      <c r="AK391" s="19"/>
      <c r="AL391" s="19"/>
      <c r="AM391" s="19"/>
      <c r="AN391" s="19"/>
      <c r="AO391" s="19"/>
      <c r="AP391" s="19"/>
      <c r="AQ391" s="19"/>
      <c r="AR391" s="19"/>
      <c r="AS391" s="19"/>
      <c r="AT391" s="19"/>
      <c r="AU391" s="19"/>
      <c r="AV391" s="19"/>
      <c r="AW391" s="19"/>
      <c r="AX391" s="19"/>
      <c r="GA391" s="54"/>
    </row>
    <row r="392" spans="1:183" s="18" customFormat="1">
      <c r="A392" s="51"/>
      <c r="B392" s="52"/>
      <c r="C392" s="52"/>
      <c r="D392" s="52"/>
      <c r="E392" s="53"/>
      <c r="F392" s="52"/>
      <c r="G392" s="52"/>
      <c r="H392" s="52"/>
      <c r="I392" s="53"/>
      <c r="J392" s="52"/>
      <c r="K392" s="52"/>
      <c r="L392" s="52"/>
      <c r="M392" s="52"/>
      <c r="N392" s="19"/>
      <c r="O392" s="19"/>
      <c r="P392" s="19"/>
      <c r="Q392" s="19"/>
      <c r="R392" s="19"/>
      <c r="S392" s="19"/>
      <c r="T392" s="19"/>
      <c r="U392" s="19"/>
      <c r="V392" s="19"/>
      <c r="W392" s="19"/>
      <c r="X392" s="19"/>
      <c r="Y392" s="19"/>
      <c r="Z392" s="19"/>
      <c r="AA392" s="19"/>
      <c r="AB392" s="19"/>
      <c r="AC392" s="19"/>
      <c r="AD392" s="19"/>
      <c r="AE392" s="19"/>
      <c r="AF392" s="19"/>
      <c r="AG392" s="19"/>
      <c r="AH392" s="19"/>
      <c r="AI392" s="19"/>
      <c r="AJ392" s="19"/>
      <c r="AK392" s="19"/>
      <c r="AL392" s="19"/>
      <c r="AM392" s="19"/>
      <c r="AN392" s="19"/>
      <c r="AO392" s="19"/>
      <c r="AP392" s="19"/>
      <c r="AQ392" s="19"/>
      <c r="AR392" s="19"/>
      <c r="AS392" s="19"/>
      <c r="AT392" s="19"/>
      <c r="AU392" s="19"/>
      <c r="AV392" s="19"/>
      <c r="AW392" s="19"/>
      <c r="AX392" s="19"/>
      <c r="GA392" s="54"/>
    </row>
    <row r="393" spans="1:183" s="18" customFormat="1">
      <c r="A393" s="51"/>
      <c r="B393" s="52"/>
      <c r="C393" s="52"/>
      <c r="D393" s="52"/>
      <c r="E393" s="53"/>
      <c r="F393" s="52"/>
      <c r="G393" s="52"/>
      <c r="H393" s="52"/>
      <c r="I393" s="53"/>
      <c r="J393" s="52"/>
      <c r="K393" s="52"/>
      <c r="L393" s="52"/>
      <c r="M393" s="52"/>
      <c r="N393" s="19"/>
      <c r="O393" s="19"/>
      <c r="P393" s="19"/>
      <c r="Q393" s="19"/>
      <c r="R393" s="19"/>
      <c r="S393" s="19"/>
      <c r="T393" s="19"/>
      <c r="U393" s="19"/>
      <c r="V393" s="19"/>
      <c r="W393" s="19"/>
      <c r="X393" s="19"/>
      <c r="Y393" s="19"/>
      <c r="Z393" s="19"/>
      <c r="AA393" s="19"/>
      <c r="AB393" s="19"/>
      <c r="AC393" s="19"/>
      <c r="AD393" s="19"/>
      <c r="AE393" s="19"/>
      <c r="AF393" s="19"/>
      <c r="AG393" s="19"/>
      <c r="AH393" s="19"/>
      <c r="AI393" s="19"/>
      <c r="AJ393" s="19"/>
      <c r="AK393" s="19"/>
      <c r="AL393" s="19"/>
      <c r="AM393" s="19"/>
      <c r="AN393" s="19"/>
      <c r="AO393" s="19"/>
      <c r="AP393" s="19"/>
      <c r="AQ393" s="19"/>
      <c r="AR393" s="19"/>
      <c r="AS393" s="19"/>
      <c r="AT393" s="19"/>
      <c r="AU393" s="19"/>
      <c r="AV393" s="19"/>
      <c r="AW393" s="19"/>
      <c r="AX393" s="19"/>
      <c r="GA393" s="54"/>
    </row>
    <row r="394" spans="1:183" s="18" customFormat="1">
      <c r="A394" s="51"/>
      <c r="B394" s="52"/>
      <c r="C394" s="52"/>
      <c r="D394" s="52"/>
      <c r="E394" s="53"/>
      <c r="F394" s="52"/>
      <c r="G394" s="52"/>
      <c r="H394" s="52"/>
      <c r="I394" s="53"/>
      <c r="J394" s="52"/>
      <c r="K394" s="52"/>
      <c r="L394" s="52"/>
      <c r="M394" s="52"/>
      <c r="N394" s="19"/>
      <c r="O394" s="19"/>
      <c r="P394" s="19"/>
      <c r="Q394" s="19"/>
      <c r="R394" s="19"/>
      <c r="S394" s="19"/>
      <c r="T394" s="19"/>
      <c r="U394" s="19"/>
      <c r="V394" s="19"/>
      <c r="W394" s="19"/>
      <c r="X394" s="19"/>
      <c r="Y394" s="19"/>
      <c r="Z394" s="19"/>
      <c r="AA394" s="19"/>
      <c r="AB394" s="19"/>
      <c r="AC394" s="19"/>
      <c r="AD394" s="19"/>
      <c r="AE394" s="19"/>
      <c r="AF394" s="19"/>
      <c r="AG394" s="19"/>
      <c r="AH394" s="19"/>
      <c r="AI394" s="19"/>
      <c r="AJ394" s="19"/>
      <c r="AK394" s="19"/>
      <c r="AL394" s="19"/>
      <c r="AM394" s="19"/>
      <c r="AN394" s="19"/>
      <c r="AO394" s="19"/>
      <c r="AP394" s="19"/>
      <c r="AQ394" s="19"/>
      <c r="AR394" s="19"/>
      <c r="AS394" s="19"/>
      <c r="AT394" s="19"/>
      <c r="AU394" s="19"/>
      <c r="AV394" s="19"/>
      <c r="AW394" s="19"/>
      <c r="AX394" s="19"/>
      <c r="GA394" s="54"/>
    </row>
    <row r="395" spans="1:183" s="18" customFormat="1">
      <c r="A395" s="51"/>
      <c r="B395" s="52"/>
      <c r="C395" s="52"/>
      <c r="D395" s="52"/>
      <c r="E395" s="53"/>
      <c r="F395" s="52"/>
      <c r="G395" s="52"/>
      <c r="H395" s="52"/>
      <c r="I395" s="53"/>
      <c r="J395" s="52"/>
      <c r="K395" s="52"/>
      <c r="L395" s="52"/>
      <c r="M395" s="52"/>
      <c r="N395" s="19"/>
      <c r="O395" s="19"/>
      <c r="P395" s="19"/>
      <c r="Q395" s="19"/>
      <c r="R395" s="19"/>
      <c r="S395" s="19"/>
      <c r="T395" s="19"/>
      <c r="U395" s="19"/>
      <c r="V395" s="19"/>
      <c r="W395" s="19"/>
      <c r="X395" s="19"/>
      <c r="Y395" s="19"/>
      <c r="Z395" s="19"/>
      <c r="AA395" s="19"/>
      <c r="AB395" s="19"/>
      <c r="AC395" s="19"/>
      <c r="AD395" s="19"/>
      <c r="AE395" s="19"/>
      <c r="AF395" s="19"/>
      <c r="AG395" s="19"/>
      <c r="AH395" s="19"/>
      <c r="AI395" s="19"/>
      <c r="AJ395" s="19"/>
      <c r="AK395" s="19"/>
      <c r="AL395" s="19"/>
      <c r="AM395" s="19"/>
      <c r="AN395" s="19"/>
      <c r="AO395" s="19"/>
      <c r="AP395" s="19"/>
      <c r="AQ395" s="19"/>
      <c r="AR395" s="19"/>
      <c r="AS395" s="19"/>
      <c r="AT395" s="19"/>
      <c r="AU395" s="19"/>
      <c r="AV395" s="19"/>
      <c r="AW395" s="19"/>
      <c r="AX395" s="19"/>
      <c r="GA395" s="54"/>
    </row>
    <row r="396" spans="1:183" s="18" customFormat="1">
      <c r="A396" s="51"/>
      <c r="B396" s="52"/>
      <c r="C396" s="52"/>
      <c r="D396" s="52"/>
      <c r="E396" s="53"/>
      <c r="F396" s="52"/>
      <c r="G396" s="52"/>
      <c r="H396" s="52"/>
      <c r="I396" s="53"/>
      <c r="J396" s="52"/>
      <c r="K396" s="52"/>
      <c r="L396" s="52"/>
      <c r="M396" s="52"/>
      <c r="N396" s="19"/>
      <c r="O396" s="19"/>
      <c r="P396" s="19"/>
      <c r="Q396" s="19"/>
      <c r="R396" s="19"/>
      <c r="S396" s="19"/>
      <c r="T396" s="19"/>
      <c r="U396" s="19"/>
      <c r="V396" s="19"/>
      <c r="W396" s="19"/>
      <c r="X396" s="19"/>
      <c r="Y396" s="19"/>
      <c r="Z396" s="19"/>
      <c r="AA396" s="19"/>
      <c r="AB396" s="19"/>
      <c r="AC396" s="19"/>
      <c r="AD396" s="19"/>
      <c r="AE396" s="19"/>
      <c r="AF396" s="19"/>
      <c r="AG396" s="19"/>
      <c r="AH396" s="19"/>
      <c r="AI396" s="19"/>
      <c r="AJ396" s="19"/>
      <c r="AK396" s="19"/>
      <c r="AL396" s="19"/>
      <c r="AM396" s="19"/>
      <c r="AN396" s="19"/>
      <c r="AO396" s="19"/>
      <c r="AP396" s="19"/>
      <c r="AQ396" s="19"/>
      <c r="AR396" s="19"/>
      <c r="AS396" s="19"/>
      <c r="AT396" s="19"/>
      <c r="AU396" s="19"/>
      <c r="AV396" s="19"/>
      <c r="AW396" s="19"/>
      <c r="AX396" s="19"/>
      <c r="GA396" s="54"/>
    </row>
    <row r="397" spans="1:183" s="18" customFormat="1">
      <c r="A397" s="51"/>
      <c r="B397" s="52"/>
      <c r="C397" s="52"/>
      <c r="D397" s="52"/>
      <c r="E397" s="53"/>
      <c r="F397" s="52"/>
      <c r="G397" s="52"/>
      <c r="H397" s="52"/>
      <c r="I397" s="53"/>
      <c r="J397" s="52"/>
      <c r="K397" s="52"/>
      <c r="L397" s="52"/>
      <c r="M397" s="52"/>
      <c r="N397" s="19"/>
      <c r="O397" s="19"/>
      <c r="P397" s="19"/>
      <c r="Q397" s="19"/>
      <c r="R397" s="19"/>
      <c r="S397" s="19"/>
      <c r="T397" s="19"/>
      <c r="U397" s="19"/>
      <c r="V397" s="19"/>
      <c r="W397" s="19"/>
      <c r="X397" s="19"/>
      <c r="Y397" s="19"/>
      <c r="Z397" s="19"/>
      <c r="AA397" s="19"/>
      <c r="AB397" s="19"/>
      <c r="AC397" s="19"/>
      <c r="AD397" s="19"/>
      <c r="AE397" s="19"/>
      <c r="AF397" s="19"/>
      <c r="AG397" s="19"/>
      <c r="AH397" s="19"/>
      <c r="AI397" s="19"/>
      <c r="AJ397" s="19"/>
      <c r="AK397" s="19"/>
      <c r="AL397" s="19"/>
      <c r="AM397" s="19"/>
      <c r="AN397" s="19"/>
      <c r="AO397" s="19"/>
      <c r="AP397" s="19"/>
      <c r="AQ397" s="19"/>
      <c r="AR397" s="19"/>
      <c r="AS397" s="19"/>
      <c r="AT397" s="19"/>
      <c r="AU397" s="19"/>
      <c r="AV397" s="19"/>
      <c r="AW397" s="19"/>
      <c r="AX397" s="19"/>
      <c r="GA397" s="54"/>
    </row>
    <row r="398" spans="1:183" s="18" customFormat="1">
      <c r="A398" s="51"/>
      <c r="B398" s="52"/>
      <c r="C398" s="52"/>
      <c r="D398" s="52"/>
      <c r="E398" s="53"/>
      <c r="F398" s="52"/>
      <c r="G398" s="52"/>
      <c r="H398" s="52"/>
      <c r="I398" s="53"/>
      <c r="J398" s="52"/>
      <c r="K398" s="52"/>
      <c r="L398" s="52"/>
      <c r="M398" s="52"/>
      <c r="N398" s="19"/>
      <c r="O398" s="19"/>
      <c r="P398" s="19"/>
      <c r="Q398" s="19"/>
      <c r="R398" s="19"/>
      <c r="S398" s="19"/>
      <c r="T398" s="19"/>
      <c r="U398" s="19"/>
      <c r="V398" s="19"/>
      <c r="W398" s="19"/>
      <c r="X398" s="19"/>
      <c r="Y398" s="19"/>
      <c r="Z398" s="19"/>
      <c r="AA398" s="19"/>
      <c r="AB398" s="19"/>
      <c r="AC398" s="19"/>
      <c r="AD398" s="19"/>
      <c r="AE398" s="19"/>
      <c r="AF398" s="19"/>
      <c r="AG398" s="19"/>
      <c r="AH398" s="19"/>
      <c r="AI398" s="19"/>
      <c r="AJ398" s="19"/>
      <c r="AK398" s="19"/>
      <c r="AL398" s="19"/>
      <c r="AM398" s="19"/>
      <c r="AN398" s="19"/>
      <c r="AO398" s="19"/>
      <c r="AP398" s="19"/>
      <c r="AQ398" s="19"/>
      <c r="AR398" s="19"/>
      <c r="AS398" s="19"/>
      <c r="AT398" s="19"/>
      <c r="AU398" s="19"/>
      <c r="AV398" s="19"/>
      <c r="AW398" s="19"/>
      <c r="AX398" s="19"/>
      <c r="GA398" s="54"/>
    </row>
    <row r="399" spans="1:183" s="18" customFormat="1">
      <c r="A399" s="51"/>
      <c r="B399" s="52"/>
      <c r="C399" s="52"/>
      <c r="D399" s="52"/>
      <c r="E399" s="53"/>
      <c r="F399" s="52"/>
      <c r="G399" s="52"/>
      <c r="H399" s="52"/>
      <c r="I399" s="53"/>
      <c r="J399" s="52"/>
      <c r="K399" s="52"/>
      <c r="L399" s="52"/>
      <c r="M399" s="52"/>
      <c r="N399" s="19"/>
      <c r="O399" s="19"/>
      <c r="P399" s="19"/>
      <c r="Q399" s="19"/>
      <c r="R399" s="19"/>
      <c r="S399" s="19"/>
      <c r="T399" s="19"/>
      <c r="U399" s="19"/>
      <c r="V399" s="19"/>
      <c r="W399" s="19"/>
      <c r="X399" s="19"/>
      <c r="Y399" s="19"/>
      <c r="Z399" s="19"/>
      <c r="AA399" s="19"/>
      <c r="AB399" s="19"/>
      <c r="AC399" s="19"/>
      <c r="AD399" s="19"/>
      <c r="AE399" s="19"/>
      <c r="AF399" s="19"/>
      <c r="AG399" s="19"/>
      <c r="AH399" s="19"/>
      <c r="AI399" s="19"/>
      <c r="AJ399" s="19"/>
      <c r="AK399" s="19"/>
      <c r="AL399" s="19"/>
      <c r="AM399" s="19"/>
      <c r="AN399" s="19"/>
      <c r="AO399" s="19"/>
      <c r="AP399" s="19"/>
      <c r="AQ399" s="19"/>
      <c r="AR399" s="19"/>
      <c r="AS399" s="19"/>
      <c r="AT399" s="19"/>
      <c r="AU399" s="19"/>
      <c r="AV399" s="19"/>
      <c r="AW399" s="19"/>
      <c r="AX399" s="19"/>
      <c r="GA399" s="54"/>
    </row>
    <row r="400" spans="1:183" s="18" customFormat="1">
      <c r="A400" s="51"/>
      <c r="B400" s="52"/>
      <c r="C400" s="52"/>
      <c r="D400" s="52"/>
      <c r="E400" s="53"/>
      <c r="F400" s="52"/>
      <c r="G400" s="52"/>
      <c r="H400" s="52"/>
      <c r="I400" s="53"/>
      <c r="J400" s="52"/>
      <c r="K400" s="52"/>
      <c r="L400" s="52"/>
      <c r="M400" s="52"/>
      <c r="N400" s="19"/>
      <c r="O400" s="19"/>
      <c r="P400" s="19"/>
      <c r="Q400" s="19"/>
      <c r="R400" s="19"/>
      <c r="S400" s="19"/>
      <c r="T400" s="19"/>
      <c r="U400" s="19"/>
      <c r="V400" s="19"/>
      <c r="W400" s="19"/>
      <c r="X400" s="19"/>
      <c r="Y400" s="19"/>
      <c r="Z400" s="19"/>
      <c r="AA400" s="19"/>
      <c r="AB400" s="19"/>
      <c r="AC400" s="19"/>
      <c r="AD400" s="19"/>
      <c r="AE400" s="19"/>
      <c r="AF400" s="19"/>
      <c r="AG400" s="19"/>
      <c r="AH400" s="19"/>
      <c r="AI400" s="19"/>
      <c r="AJ400" s="19"/>
      <c r="AK400" s="19"/>
      <c r="AL400" s="19"/>
      <c r="AM400" s="19"/>
      <c r="AN400" s="19"/>
      <c r="AO400" s="19"/>
      <c r="AP400" s="19"/>
      <c r="AQ400" s="19"/>
      <c r="AR400" s="19"/>
      <c r="AS400" s="19"/>
      <c r="AT400" s="19"/>
      <c r="AU400" s="19"/>
      <c r="AV400" s="19"/>
      <c r="AW400" s="19"/>
      <c r="AX400" s="19"/>
      <c r="GA400" s="54"/>
    </row>
    <row r="401" spans="1:183" s="18" customFormat="1">
      <c r="A401" s="51"/>
      <c r="B401" s="52"/>
      <c r="C401" s="52"/>
      <c r="D401" s="52"/>
      <c r="E401" s="53"/>
      <c r="F401" s="52"/>
      <c r="G401" s="52"/>
      <c r="H401" s="52"/>
      <c r="I401" s="53"/>
      <c r="J401" s="52"/>
      <c r="K401" s="52"/>
      <c r="L401" s="52"/>
      <c r="M401" s="52"/>
      <c r="N401" s="19"/>
      <c r="O401" s="19"/>
      <c r="P401" s="19"/>
      <c r="Q401" s="19"/>
      <c r="R401" s="19"/>
      <c r="S401" s="19"/>
      <c r="T401" s="19"/>
      <c r="U401" s="19"/>
      <c r="V401" s="19"/>
      <c r="W401" s="19"/>
      <c r="X401" s="19"/>
      <c r="Y401" s="19"/>
      <c r="Z401" s="19"/>
      <c r="AA401" s="19"/>
      <c r="AB401" s="19"/>
      <c r="AC401" s="19"/>
      <c r="AD401" s="19"/>
      <c r="AE401" s="19"/>
      <c r="AF401" s="19"/>
      <c r="AG401" s="19"/>
      <c r="AH401" s="19"/>
      <c r="AI401" s="19"/>
      <c r="AJ401" s="19"/>
      <c r="AK401" s="19"/>
      <c r="AL401" s="19"/>
      <c r="AM401" s="19"/>
      <c r="AN401" s="19"/>
      <c r="AO401" s="19"/>
      <c r="AP401" s="19"/>
      <c r="AQ401" s="19"/>
      <c r="AR401" s="19"/>
      <c r="AS401" s="19"/>
      <c r="AT401" s="19"/>
      <c r="AU401" s="19"/>
      <c r="AV401" s="19"/>
      <c r="AW401" s="19"/>
      <c r="AX401" s="19"/>
      <c r="GA401" s="54"/>
    </row>
    <row r="402" spans="1:183" s="18" customFormat="1">
      <c r="A402" s="51"/>
      <c r="B402" s="52"/>
      <c r="C402" s="52"/>
      <c r="D402" s="52"/>
      <c r="E402" s="53"/>
      <c r="F402" s="52"/>
      <c r="G402" s="52"/>
      <c r="H402" s="52"/>
      <c r="I402" s="53"/>
      <c r="J402" s="52"/>
      <c r="K402" s="52"/>
      <c r="L402" s="52"/>
      <c r="M402" s="52"/>
      <c r="N402" s="19"/>
      <c r="O402" s="19"/>
      <c r="P402" s="19"/>
      <c r="Q402" s="19"/>
      <c r="R402" s="19"/>
      <c r="S402" s="19"/>
      <c r="T402" s="19"/>
      <c r="U402" s="19"/>
      <c r="V402" s="19"/>
      <c r="W402" s="19"/>
      <c r="X402" s="19"/>
      <c r="Y402" s="19"/>
      <c r="Z402" s="19"/>
      <c r="AA402" s="19"/>
      <c r="AB402" s="19"/>
      <c r="AC402" s="19"/>
      <c r="AD402" s="19"/>
      <c r="AE402" s="19"/>
      <c r="AF402" s="19"/>
      <c r="AG402" s="19"/>
      <c r="AH402" s="19"/>
      <c r="AI402" s="19"/>
      <c r="AJ402" s="19"/>
      <c r="AK402" s="19"/>
      <c r="AL402" s="19"/>
      <c r="AM402" s="19"/>
      <c r="AN402" s="19"/>
      <c r="AO402" s="19"/>
      <c r="AP402" s="19"/>
      <c r="AQ402" s="19"/>
      <c r="AR402" s="19"/>
      <c r="AS402" s="19"/>
      <c r="AT402" s="19"/>
      <c r="AU402" s="19"/>
      <c r="AV402" s="19"/>
      <c r="AW402" s="19"/>
      <c r="AX402" s="19"/>
      <c r="GA402" s="54"/>
    </row>
    <row r="403" spans="1:183" s="18" customFormat="1">
      <c r="A403" s="51"/>
      <c r="B403" s="52"/>
      <c r="C403" s="52"/>
      <c r="D403" s="52"/>
      <c r="E403" s="53"/>
      <c r="F403" s="52"/>
      <c r="G403" s="52"/>
      <c r="H403" s="52"/>
      <c r="I403" s="53"/>
      <c r="J403" s="52"/>
      <c r="K403" s="52"/>
      <c r="L403" s="52"/>
      <c r="M403" s="52"/>
      <c r="N403" s="19"/>
      <c r="O403" s="19"/>
      <c r="P403" s="19"/>
      <c r="Q403" s="19"/>
      <c r="R403" s="19"/>
      <c r="S403" s="19"/>
      <c r="T403" s="19"/>
      <c r="U403" s="19"/>
      <c r="V403" s="19"/>
      <c r="W403" s="19"/>
      <c r="X403" s="19"/>
      <c r="Y403" s="19"/>
      <c r="Z403" s="19"/>
      <c r="AA403" s="19"/>
      <c r="AB403" s="19"/>
      <c r="AC403" s="19"/>
      <c r="AD403" s="19"/>
      <c r="AE403" s="19"/>
      <c r="AF403" s="19"/>
      <c r="AG403" s="19"/>
      <c r="AH403" s="19"/>
      <c r="AI403" s="19"/>
      <c r="AJ403" s="19"/>
      <c r="AK403" s="19"/>
      <c r="AL403" s="19"/>
      <c r="AM403" s="19"/>
      <c r="AN403" s="19"/>
      <c r="AO403" s="19"/>
      <c r="AP403" s="19"/>
      <c r="AQ403" s="19"/>
      <c r="AR403" s="19"/>
      <c r="AS403" s="19"/>
      <c r="AT403" s="19"/>
      <c r="AU403" s="19"/>
      <c r="AV403" s="19"/>
      <c r="AW403" s="19"/>
      <c r="AX403" s="19"/>
      <c r="GA403" s="54"/>
    </row>
    <row r="404" spans="1:183" s="18" customFormat="1">
      <c r="A404" s="51"/>
      <c r="B404" s="52"/>
      <c r="C404" s="52"/>
      <c r="D404" s="52"/>
      <c r="E404" s="53"/>
      <c r="F404" s="52"/>
      <c r="G404" s="52"/>
      <c r="H404" s="52"/>
      <c r="I404" s="53"/>
      <c r="J404" s="52"/>
      <c r="K404" s="52"/>
      <c r="L404" s="52"/>
      <c r="M404" s="52"/>
      <c r="N404" s="19"/>
      <c r="O404" s="19"/>
      <c r="P404" s="19"/>
      <c r="Q404" s="19"/>
      <c r="R404" s="19"/>
      <c r="S404" s="19"/>
      <c r="T404" s="19"/>
      <c r="U404" s="19"/>
      <c r="V404" s="19"/>
      <c r="W404" s="19"/>
      <c r="X404" s="19"/>
      <c r="Y404" s="19"/>
      <c r="Z404" s="19"/>
      <c r="AA404" s="19"/>
      <c r="AB404" s="19"/>
      <c r="AC404" s="19"/>
      <c r="AD404" s="19"/>
      <c r="AE404" s="19"/>
      <c r="AF404" s="19"/>
      <c r="AG404" s="19"/>
      <c r="AH404" s="19"/>
      <c r="AI404" s="19"/>
      <c r="AJ404" s="19"/>
      <c r="AK404" s="19"/>
      <c r="AL404" s="19"/>
      <c r="AM404" s="19"/>
      <c r="AN404" s="19"/>
      <c r="AO404" s="19"/>
      <c r="AP404" s="19"/>
      <c r="AQ404" s="19"/>
      <c r="AR404" s="19"/>
      <c r="AS404" s="19"/>
      <c r="AT404" s="19"/>
      <c r="AU404" s="19"/>
      <c r="AV404" s="19"/>
      <c r="AW404" s="19"/>
      <c r="AX404" s="19"/>
      <c r="GA404" s="54"/>
    </row>
    <row r="405" spans="1:183" s="18" customFormat="1">
      <c r="A405" s="51"/>
      <c r="B405" s="52"/>
      <c r="C405" s="52"/>
      <c r="D405" s="52"/>
      <c r="E405" s="53"/>
      <c r="F405" s="52"/>
      <c r="G405" s="52"/>
      <c r="H405" s="52"/>
      <c r="I405" s="53"/>
      <c r="J405" s="52"/>
      <c r="K405" s="52"/>
      <c r="L405" s="52"/>
      <c r="M405" s="52"/>
      <c r="N405" s="19"/>
      <c r="O405" s="19"/>
      <c r="P405" s="19"/>
      <c r="Q405" s="19"/>
      <c r="R405" s="19"/>
      <c r="S405" s="19"/>
      <c r="T405" s="19"/>
      <c r="U405" s="19"/>
      <c r="V405" s="19"/>
      <c r="W405" s="19"/>
      <c r="X405" s="19"/>
      <c r="Y405" s="19"/>
      <c r="Z405" s="19"/>
      <c r="AA405" s="19"/>
      <c r="AB405" s="19"/>
      <c r="AC405" s="19"/>
      <c r="AD405" s="19"/>
      <c r="AE405" s="19"/>
      <c r="AF405" s="19"/>
      <c r="AG405" s="19"/>
      <c r="AH405" s="19"/>
      <c r="AI405" s="19"/>
      <c r="AJ405" s="19"/>
      <c r="AK405" s="19"/>
      <c r="AL405" s="19"/>
      <c r="AM405" s="19"/>
      <c r="AN405" s="19"/>
      <c r="AO405" s="19"/>
      <c r="AP405" s="19"/>
      <c r="AQ405" s="19"/>
      <c r="AR405" s="19"/>
      <c r="AS405" s="19"/>
      <c r="AT405" s="19"/>
      <c r="AU405" s="19"/>
      <c r="AV405" s="19"/>
      <c r="AW405" s="19"/>
      <c r="AX405" s="19"/>
      <c r="GA405" s="54"/>
    </row>
    <row r="406" spans="1:183" s="18" customFormat="1">
      <c r="A406" s="51"/>
      <c r="B406" s="52"/>
      <c r="C406" s="52"/>
      <c r="D406" s="52"/>
      <c r="E406" s="53"/>
      <c r="F406" s="52"/>
      <c r="G406" s="52"/>
      <c r="H406" s="52"/>
      <c r="I406" s="53"/>
      <c r="J406" s="52"/>
      <c r="K406" s="52"/>
      <c r="L406" s="52"/>
      <c r="M406" s="52"/>
      <c r="N406" s="19"/>
      <c r="O406" s="19"/>
      <c r="P406" s="19"/>
      <c r="Q406" s="19"/>
      <c r="R406" s="19"/>
      <c r="S406" s="19"/>
      <c r="T406" s="19"/>
      <c r="U406" s="19"/>
      <c r="V406" s="19"/>
      <c r="W406" s="19"/>
      <c r="X406" s="19"/>
      <c r="Y406" s="19"/>
      <c r="Z406" s="19"/>
      <c r="AA406" s="19"/>
      <c r="AB406" s="19"/>
      <c r="AC406" s="19"/>
      <c r="AD406" s="19"/>
      <c r="AE406" s="19"/>
      <c r="AF406" s="19"/>
      <c r="AG406" s="19"/>
      <c r="AH406" s="19"/>
      <c r="AI406" s="19"/>
      <c r="AJ406" s="19"/>
      <c r="AK406" s="19"/>
      <c r="AL406" s="19"/>
      <c r="AM406" s="19"/>
      <c r="AN406" s="19"/>
      <c r="AO406" s="19"/>
      <c r="AP406" s="19"/>
      <c r="AQ406" s="19"/>
      <c r="AR406" s="19"/>
      <c r="AS406" s="19"/>
      <c r="AT406" s="19"/>
      <c r="AU406" s="19"/>
      <c r="AV406" s="19"/>
      <c r="AW406" s="19"/>
      <c r="AX406" s="19"/>
      <c r="GA406" s="54"/>
    </row>
    <row r="407" spans="1:183" s="18" customFormat="1">
      <c r="A407" s="51"/>
      <c r="B407" s="52"/>
      <c r="C407" s="52"/>
      <c r="D407" s="52"/>
      <c r="E407" s="53"/>
      <c r="F407" s="52"/>
      <c r="G407" s="52"/>
      <c r="H407" s="52"/>
      <c r="I407" s="53"/>
      <c r="J407" s="52"/>
      <c r="K407" s="52"/>
      <c r="L407" s="52"/>
      <c r="M407" s="52"/>
      <c r="N407" s="19"/>
      <c r="O407" s="19"/>
      <c r="P407" s="19"/>
      <c r="Q407" s="19"/>
      <c r="R407" s="19"/>
      <c r="S407" s="19"/>
      <c r="T407" s="19"/>
      <c r="U407" s="19"/>
      <c r="V407" s="19"/>
      <c r="W407" s="19"/>
      <c r="X407" s="19"/>
      <c r="Y407" s="19"/>
      <c r="Z407" s="19"/>
      <c r="AA407" s="19"/>
      <c r="AB407" s="19"/>
      <c r="AC407" s="19"/>
      <c r="AD407" s="19"/>
      <c r="AE407" s="19"/>
      <c r="AF407" s="19"/>
      <c r="AG407" s="19"/>
      <c r="AH407" s="19"/>
      <c r="AI407" s="19"/>
      <c r="AJ407" s="19"/>
      <c r="AK407" s="19"/>
      <c r="AL407" s="19"/>
      <c r="AM407" s="19"/>
      <c r="AN407" s="19"/>
      <c r="AO407" s="19"/>
      <c r="AP407" s="19"/>
      <c r="AQ407" s="19"/>
      <c r="AR407" s="19"/>
      <c r="AS407" s="19"/>
      <c r="AT407" s="19"/>
      <c r="AU407" s="19"/>
      <c r="AV407" s="19"/>
      <c r="AW407" s="19"/>
      <c r="AX407" s="19"/>
      <c r="GA407" s="54"/>
    </row>
    <row r="408" spans="1:183" s="18" customFormat="1">
      <c r="A408" s="51"/>
      <c r="B408" s="52"/>
      <c r="C408" s="52"/>
      <c r="D408" s="52"/>
      <c r="E408" s="53"/>
      <c r="F408" s="52"/>
      <c r="G408" s="52"/>
      <c r="H408" s="52"/>
      <c r="I408" s="53"/>
      <c r="J408" s="52"/>
      <c r="K408" s="52"/>
      <c r="L408" s="52"/>
      <c r="M408" s="52"/>
      <c r="N408" s="19"/>
      <c r="O408" s="19"/>
      <c r="P408" s="19"/>
      <c r="Q408" s="19"/>
      <c r="R408" s="19"/>
      <c r="S408" s="19"/>
      <c r="T408" s="19"/>
      <c r="U408" s="19"/>
      <c r="V408" s="19"/>
      <c r="W408" s="19"/>
      <c r="X408" s="19"/>
      <c r="Y408" s="19"/>
      <c r="Z408" s="19"/>
      <c r="AA408" s="19"/>
      <c r="AB408" s="19"/>
      <c r="AC408" s="19"/>
      <c r="AD408" s="19"/>
      <c r="AE408" s="19"/>
      <c r="AF408" s="19"/>
      <c r="AG408" s="19"/>
      <c r="AH408" s="19"/>
      <c r="AI408" s="19"/>
      <c r="AJ408" s="19"/>
      <c r="AK408" s="19"/>
      <c r="AL408" s="19"/>
      <c r="AM408" s="19"/>
      <c r="AN408" s="19"/>
      <c r="AO408" s="19"/>
      <c r="AP408" s="19"/>
      <c r="AQ408" s="19"/>
      <c r="AR408" s="19"/>
      <c r="AS408" s="19"/>
      <c r="AT408" s="19"/>
      <c r="AU408" s="19"/>
      <c r="AV408" s="19"/>
      <c r="AW408" s="19"/>
      <c r="AX408" s="19"/>
      <c r="GA408" s="54"/>
    </row>
    <row r="409" spans="1:183" s="18" customFormat="1">
      <c r="A409" s="51"/>
      <c r="B409" s="52"/>
      <c r="C409" s="52"/>
      <c r="D409" s="52"/>
      <c r="E409" s="53"/>
      <c r="F409" s="52"/>
      <c r="G409" s="52"/>
      <c r="H409" s="52"/>
      <c r="I409" s="53"/>
      <c r="J409" s="52"/>
      <c r="K409" s="52"/>
      <c r="L409" s="52"/>
      <c r="M409" s="52"/>
      <c r="N409" s="19"/>
      <c r="O409" s="19"/>
      <c r="P409" s="19"/>
      <c r="Q409" s="19"/>
      <c r="R409" s="19"/>
      <c r="S409" s="19"/>
      <c r="T409" s="19"/>
      <c r="U409" s="19"/>
      <c r="V409" s="19"/>
      <c r="W409" s="19"/>
      <c r="X409" s="19"/>
      <c r="Y409" s="19"/>
      <c r="Z409" s="19"/>
      <c r="AA409" s="19"/>
      <c r="AB409" s="19"/>
      <c r="AC409" s="19"/>
      <c r="AD409" s="19"/>
      <c r="AE409" s="19"/>
      <c r="AF409" s="19"/>
      <c r="AG409" s="19"/>
      <c r="AH409" s="19"/>
      <c r="AI409" s="19"/>
      <c r="AJ409" s="19"/>
      <c r="AK409" s="19"/>
      <c r="AL409" s="19"/>
      <c r="AM409" s="19"/>
      <c r="AN409" s="19"/>
      <c r="AO409" s="19"/>
      <c r="AP409" s="19"/>
      <c r="AQ409" s="19"/>
      <c r="AR409" s="19"/>
      <c r="AS409" s="19"/>
      <c r="AT409" s="19"/>
      <c r="AU409" s="19"/>
      <c r="AV409" s="19"/>
      <c r="AW409" s="19"/>
      <c r="AX409" s="19"/>
      <c r="GA409" s="54"/>
    </row>
    <row r="410" spans="1:183" s="18" customFormat="1">
      <c r="A410" s="51"/>
      <c r="B410" s="52"/>
      <c r="C410" s="52"/>
      <c r="D410" s="52"/>
      <c r="E410" s="53"/>
      <c r="F410" s="52"/>
      <c r="G410" s="52"/>
      <c r="H410" s="52"/>
      <c r="I410" s="53"/>
      <c r="J410" s="52"/>
      <c r="K410" s="52"/>
      <c r="L410" s="52"/>
      <c r="M410" s="52"/>
      <c r="N410" s="19"/>
      <c r="O410" s="19"/>
      <c r="P410" s="19"/>
      <c r="Q410" s="19"/>
      <c r="R410" s="19"/>
      <c r="S410" s="19"/>
      <c r="T410" s="19"/>
      <c r="U410" s="19"/>
      <c r="V410" s="19"/>
      <c r="W410" s="19"/>
      <c r="X410" s="19"/>
      <c r="Y410" s="19"/>
      <c r="Z410" s="19"/>
      <c r="AA410" s="19"/>
      <c r="AB410" s="19"/>
      <c r="AC410" s="19"/>
      <c r="AD410" s="19"/>
      <c r="AE410" s="19"/>
      <c r="AF410" s="19"/>
      <c r="AG410" s="19"/>
      <c r="AH410" s="19"/>
      <c r="AI410" s="19"/>
      <c r="AJ410" s="19"/>
      <c r="AK410" s="19"/>
      <c r="AL410" s="19"/>
      <c r="AM410" s="19"/>
      <c r="AN410" s="19"/>
      <c r="AO410" s="19"/>
      <c r="AP410" s="19"/>
      <c r="AQ410" s="19"/>
      <c r="AR410" s="19"/>
      <c r="AS410" s="19"/>
      <c r="AT410" s="19"/>
      <c r="AU410" s="19"/>
      <c r="AV410" s="19"/>
      <c r="AW410" s="19"/>
      <c r="AX410" s="19"/>
      <c r="GA410" s="54"/>
    </row>
    <row r="411" spans="1:183" s="18" customFormat="1">
      <c r="A411" s="51"/>
      <c r="B411" s="52"/>
      <c r="C411" s="52"/>
      <c r="D411" s="52"/>
      <c r="E411" s="53"/>
      <c r="F411" s="52"/>
      <c r="G411" s="52"/>
      <c r="H411" s="52"/>
      <c r="I411" s="53"/>
      <c r="J411" s="52"/>
      <c r="K411" s="52"/>
      <c r="L411" s="52"/>
      <c r="M411" s="52"/>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c r="AK411" s="19"/>
      <c r="AL411" s="19"/>
      <c r="AM411" s="19"/>
      <c r="AN411" s="19"/>
      <c r="AO411" s="19"/>
      <c r="AP411" s="19"/>
      <c r="AQ411" s="19"/>
      <c r="AR411" s="19"/>
      <c r="AS411" s="19"/>
      <c r="AT411" s="19"/>
      <c r="AU411" s="19"/>
      <c r="AV411" s="19"/>
      <c r="AW411" s="19"/>
      <c r="AX411" s="19"/>
      <c r="GA411" s="54"/>
    </row>
    <row r="412" spans="1:183" s="18" customFormat="1">
      <c r="A412" s="51"/>
      <c r="B412" s="52"/>
      <c r="C412" s="52"/>
      <c r="D412" s="52"/>
      <c r="E412" s="53"/>
      <c r="F412" s="52"/>
      <c r="G412" s="52"/>
      <c r="H412" s="52"/>
      <c r="I412" s="53"/>
      <c r="J412" s="52"/>
      <c r="K412" s="52"/>
      <c r="L412" s="52"/>
      <c r="M412" s="52"/>
      <c r="N412" s="19"/>
      <c r="O412" s="19"/>
      <c r="P412" s="19"/>
      <c r="Q412" s="19"/>
      <c r="R412" s="19"/>
      <c r="S412" s="19"/>
      <c r="T412" s="19"/>
      <c r="U412" s="19"/>
      <c r="V412" s="19"/>
      <c r="W412" s="19"/>
      <c r="X412" s="19"/>
      <c r="Y412" s="19"/>
      <c r="Z412" s="19"/>
      <c r="AA412" s="19"/>
      <c r="AB412" s="19"/>
      <c r="AC412" s="19"/>
      <c r="AD412" s="19"/>
      <c r="AE412" s="19"/>
      <c r="AF412" s="19"/>
      <c r="AG412" s="19"/>
      <c r="AH412" s="19"/>
      <c r="AI412" s="19"/>
      <c r="AJ412" s="19"/>
      <c r="AK412" s="19"/>
      <c r="AL412" s="19"/>
      <c r="AM412" s="19"/>
      <c r="AN412" s="19"/>
      <c r="AO412" s="19"/>
      <c r="AP412" s="19"/>
      <c r="AQ412" s="19"/>
      <c r="AR412" s="19"/>
      <c r="AS412" s="19"/>
      <c r="AT412" s="19"/>
      <c r="AU412" s="19"/>
      <c r="AV412" s="19"/>
      <c r="AW412" s="19"/>
      <c r="AX412" s="19"/>
      <c r="GA412" s="54"/>
    </row>
    <row r="413" spans="1:183" s="18" customFormat="1">
      <c r="A413" s="51"/>
      <c r="B413" s="52"/>
      <c r="C413" s="52"/>
      <c r="D413" s="52"/>
      <c r="E413" s="53"/>
      <c r="F413" s="52"/>
      <c r="G413" s="52"/>
      <c r="H413" s="52"/>
      <c r="I413" s="53"/>
      <c r="J413" s="52"/>
      <c r="K413" s="52"/>
      <c r="L413" s="52"/>
      <c r="M413" s="52"/>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c r="AK413" s="19"/>
      <c r="AL413" s="19"/>
      <c r="AM413" s="19"/>
      <c r="AN413" s="19"/>
      <c r="AO413" s="19"/>
      <c r="AP413" s="19"/>
      <c r="AQ413" s="19"/>
      <c r="AR413" s="19"/>
      <c r="AS413" s="19"/>
      <c r="AT413" s="19"/>
      <c r="AU413" s="19"/>
      <c r="AV413" s="19"/>
      <c r="AW413" s="19"/>
      <c r="AX413" s="19"/>
      <c r="GA413" s="54"/>
    </row>
    <row r="414" spans="1:183" s="18" customFormat="1">
      <c r="A414" s="51"/>
      <c r="B414" s="52"/>
      <c r="C414" s="52"/>
      <c r="D414" s="52"/>
      <c r="E414" s="53"/>
      <c r="F414" s="52"/>
      <c r="G414" s="52"/>
      <c r="H414" s="52"/>
      <c r="I414" s="53"/>
      <c r="J414" s="52"/>
      <c r="K414" s="52"/>
      <c r="L414" s="52"/>
      <c r="M414" s="52"/>
      <c r="N414" s="19"/>
      <c r="O414" s="19"/>
      <c r="P414" s="19"/>
      <c r="Q414" s="19"/>
      <c r="R414" s="19"/>
      <c r="S414" s="19"/>
      <c r="T414" s="19"/>
      <c r="U414" s="19"/>
      <c r="V414" s="19"/>
      <c r="W414" s="19"/>
      <c r="X414" s="19"/>
      <c r="Y414" s="19"/>
      <c r="Z414" s="19"/>
      <c r="AA414" s="19"/>
      <c r="AB414" s="19"/>
      <c r="AC414" s="19"/>
      <c r="AD414" s="19"/>
      <c r="AE414" s="19"/>
      <c r="AF414" s="19"/>
      <c r="AG414" s="19"/>
      <c r="AH414" s="19"/>
      <c r="AI414" s="19"/>
      <c r="AJ414" s="19"/>
      <c r="AK414" s="19"/>
      <c r="AL414" s="19"/>
      <c r="AM414" s="19"/>
      <c r="AN414" s="19"/>
      <c r="AO414" s="19"/>
      <c r="AP414" s="19"/>
      <c r="AQ414" s="19"/>
      <c r="AR414" s="19"/>
      <c r="AS414" s="19"/>
      <c r="AT414" s="19"/>
      <c r="AU414" s="19"/>
      <c r="AV414" s="19"/>
      <c r="AW414" s="19"/>
      <c r="AX414" s="19"/>
      <c r="GA414" s="54"/>
    </row>
    <row r="415" spans="1:183" s="18" customFormat="1">
      <c r="A415" s="51"/>
      <c r="B415" s="52"/>
      <c r="C415" s="52"/>
      <c r="D415" s="52"/>
      <c r="E415" s="53"/>
      <c r="F415" s="52"/>
      <c r="G415" s="52"/>
      <c r="H415" s="52"/>
      <c r="I415" s="53"/>
      <c r="J415" s="52"/>
      <c r="K415" s="52"/>
      <c r="L415" s="52"/>
      <c r="M415" s="52"/>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c r="AK415" s="19"/>
      <c r="AL415" s="19"/>
      <c r="AM415" s="19"/>
      <c r="AN415" s="19"/>
      <c r="AO415" s="19"/>
      <c r="AP415" s="19"/>
      <c r="AQ415" s="19"/>
      <c r="AR415" s="19"/>
      <c r="AS415" s="19"/>
      <c r="AT415" s="19"/>
      <c r="AU415" s="19"/>
      <c r="AV415" s="19"/>
      <c r="AW415" s="19"/>
      <c r="AX415" s="19"/>
      <c r="GA415" s="54"/>
    </row>
    <row r="416" spans="1:183" s="18" customFormat="1">
      <c r="A416" s="51"/>
      <c r="B416" s="52"/>
      <c r="C416" s="52"/>
      <c r="D416" s="52"/>
      <c r="E416" s="53"/>
      <c r="F416" s="52"/>
      <c r="G416" s="52"/>
      <c r="H416" s="52"/>
      <c r="I416" s="53"/>
      <c r="J416" s="52"/>
      <c r="K416" s="52"/>
      <c r="L416" s="52"/>
      <c r="M416" s="52"/>
      <c r="N416" s="19"/>
      <c r="O416" s="19"/>
      <c r="P416" s="19"/>
      <c r="Q416" s="19"/>
      <c r="R416" s="19"/>
      <c r="S416" s="19"/>
      <c r="T416" s="19"/>
      <c r="U416" s="19"/>
      <c r="V416" s="19"/>
      <c r="W416" s="19"/>
      <c r="X416" s="19"/>
      <c r="Y416" s="19"/>
      <c r="Z416" s="19"/>
      <c r="AA416" s="19"/>
      <c r="AB416" s="19"/>
      <c r="AC416" s="19"/>
      <c r="AD416" s="19"/>
      <c r="AE416" s="19"/>
      <c r="AF416" s="19"/>
      <c r="AG416" s="19"/>
      <c r="AH416" s="19"/>
      <c r="AI416" s="19"/>
      <c r="AJ416" s="19"/>
      <c r="AK416" s="19"/>
      <c r="AL416" s="19"/>
      <c r="AM416" s="19"/>
      <c r="AN416" s="19"/>
      <c r="AO416" s="19"/>
      <c r="AP416" s="19"/>
      <c r="AQ416" s="19"/>
      <c r="AR416" s="19"/>
      <c r="AS416" s="19"/>
      <c r="AT416" s="19"/>
      <c r="AU416" s="19"/>
      <c r="AV416" s="19"/>
      <c r="AW416" s="19"/>
      <c r="AX416" s="19"/>
      <c r="GA416" s="54"/>
    </row>
    <row r="417" spans="1:183" s="18" customFormat="1">
      <c r="A417" s="51"/>
      <c r="B417" s="52"/>
      <c r="C417" s="52"/>
      <c r="D417" s="52"/>
      <c r="E417" s="53"/>
      <c r="F417" s="52"/>
      <c r="G417" s="52"/>
      <c r="H417" s="52"/>
      <c r="I417" s="53"/>
      <c r="J417" s="52"/>
      <c r="K417" s="52"/>
      <c r="L417" s="52"/>
      <c r="M417" s="52"/>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c r="AK417" s="19"/>
      <c r="AL417" s="19"/>
      <c r="AM417" s="19"/>
      <c r="AN417" s="19"/>
      <c r="AO417" s="19"/>
      <c r="AP417" s="19"/>
      <c r="AQ417" s="19"/>
      <c r="AR417" s="19"/>
      <c r="AS417" s="19"/>
      <c r="AT417" s="19"/>
      <c r="AU417" s="19"/>
      <c r="AV417" s="19"/>
      <c r="AW417" s="19"/>
      <c r="AX417" s="19"/>
      <c r="GA417" s="54"/>
    </row>
    <row r="418" spans="1:183" s="18" customFormat="1">
      <c r="A418" s="51"/>
      <c r="B418" s="52"/>
      <c r="C418" s="52"/>
      <c r="D418" s="52"/>
      <c r="E418" s="53"/>
      <c r="F418" s="52"/>
      <c r="G418" s="52"/>
      <c r="H418" s="52"/>
      <c r="I418" s="53"/>
      <c r="J418" s="52"/>
      <c r="K418" s="52"/>
      <c r="L418" s="52"/>
      <c r="M418" s="52"/>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AK418" s="19"/>
      <c r="AL418" s="19"/>
      <c r="AM418" s="19"/>
      <c r="AN418" s="19"/>
      <c r="AO418" s="19"/>
      <c r="AP418" s="19"/>
      <c r="AQ418" s="19"/>
      <c r="AR418" s="19"/>
      <c r="AS418" s="19"/>
      <c r="AT418" s="19"/>
      <c r="AU418" s="19"/>
      <c r="AV418" s="19"/>
      <c r="AW418" s="19"/>
      <c r="AX418" s="19"/>
      <c r="GA418" s="54"/>
    </row>
    <row r="419" spans="1:183" s="18" customFormat="1">
      <c r="A419" s="51"/>
      <c r="B419" s="52"/>
      <c r="C419" s="52"/>
      <c r="D419" s="52"/>
      <c r="E419" s="53"/>
      <c r="F419" s="52"/>
      <c r="G419" s="52"/>
      <c r="H419" s="52"/>
      <c r="I419" s="53"/>
      <c r="J419" s="52"/>
      <c r="K419" s="52"/>
      <c r="L419" s="52"/>
      <c r="M419" s="52"/>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c r="AK419" s="19"/>
      <c r="AL419" s="19"/>
      <c r="AM419" s="19"/>
      <c r="AN419" s="19"/>
      <c r="AO419" s="19"/>
      <c r="AP419" s="19"/>
      <c r="AQ419" s="19"/>
      <c r="AR419" s="19"/>
      <c r="AS419" s="19"/>
      <c r="AT419" s="19"/>
      <c r="AU419" s="19"/>
      <c r="AV419" s="19"/>
      <c r="AW419" s="19"/>
      <c r="AX419" s="19"/>
      <c r="GA419" s="54"/>
    </row>
    <row r="420" spans="1:183" s="18" customFormat="1">
      <c r="A420" s="51"/>
      <c r="B420" s="52"/>
      <c r="C420" s="52"/>
      <c r="D420" s="52"/>
      <c r="E420" s="53"/>
      <c r="F420" s="52"/>
      <c r="G420" s="52"/>
      <c r="H420" s="52"/>
      <c r="I420" s="53"/>
      <c r="J420" s="52"/>
      <c r="K420" s="52"/>
      <c r="L420" s="52"/>
      <c r="M420" s="52"/>
      <c r="N420" s="19"/>
      <c r="O420" s="19"/>
      <c r="P420" s="19"/>
      <c r="Q420" s="19"/>
      <c r="R420" s="19"/>
      <c r="S420" s="19"/>
      <c r="T420" s="19"/>
      <c r="U420" s="19"/>
      <c r="V420" s="19"/>
      <c r="W420" s="19"/>
      <c r="X420" s="19"/>
      <c r="Y420" s="19"/>
      <c r="Z420" s="19"/>
      <c r="AA420" s="19"/>
      <c r="AB420" s="19"/>
      <c r="AC420" s="19"/>
      <c r="AD420" s="19"/>
      <c r="AE420" s="19"/>
      <c r="AF420" s="19"/>
      <c r="AG420" s="19"/>
      <c r="AH420" s="19"/>
      <c r="AI420" s="19"/>
      <c r="AJ420" s="19"/>
      <c r="AK420" s="19"/>
      <c r="AL420" s="19"/>
      <c r="AM420" s="19"/>
      <c r="AN420" s="19"/>
      <c r="AO420" s="19"/>
      <c r="AP420" s="19"/>
      <c r="AQ420" s="19"/>
      <c r="AR420" s="19"/>
      <c r="AS420" s="19"/>
      <c r="AT420" s="19"/>
      <c r="AU420" s="19"/>
      <c r="AV420" s="19"/>
      <c r="AW420" s="19"/>
      <c r="AX420" s="19"/>
      <c r="GA420" s="54"/>
    </row>
    <row r="421" spans="1:183" s="18" customFormat="1">
      <c r="A421" s="51"/>
      <c r="B421" s="52"/>
      <c r="C421" s="52"/>
      <c r="D421" s="52"/>
      <c r="E421" s="53"/>
      <c r="F421" s="52"/>
      <c r="G421" s="52"/>
      <c r="H421" s="52"/>
      <c r="I421" s="53"/>
      <c r="J421" s="52"/>
      <c r="K421" s="52"/>
      <c r="L421" s="52"/>
      <c r="M421" s="52"/>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AK421" s="19"/>
      <c r="AL421" s="19"/>
      <c r="AM421" s="19"/>
      <c r="AN421" s="19"/>
      <c r="AO421" s="19"/>
      <c r="AP421" s="19"/>
      <c r="AQ421" s="19"/>
      <c r="AR421" s="19"/>
      <c r="AS421" s="19"/>
      <c r="AT421" s="19"/>
      <c r="AU421" s="19"/>
      <c r="AV421" s="19"/>
      <c r="AW421" s="19"/>
      <c r="AX421" s="19"/>
      <c r="GA421" s="54"/>
    </row>
    <row r="422" spans="1:183" s="18" customFormat="1">
      <c r="A422" s="51"/>
      <c r="B422" s="52"/>
      <c r="C422" s="52"/>
      <c r="D422" s="52"/>
      <c r="E422" s="53"/>
      <c r="F422" s="52"/>
      <c r="G422" s="52"/>
      <c r="H422" s="52"/>
      <c r="I422" s="53"/>
      <c r="J422" s="52"/>
      <c r="K422" s="52"/>
      <c r="L422" s="52"/>
      <c r="M422" s="52"/>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AK422" s="19"/>
      <c r="AL422" s="19"/>
      <c r="AM422" s="19"/>
      <c r="AN422" s="19"/>
      <c r="AO422" s="19"/>
      <c r="AP422" s="19"/>
      <c r="AQ422" s="19"/>
      <c r="AR422" s="19"/>
      <c r="AS422" s="19"/>
      <c r="AT422" s="19"/>
      <c r="AU422" s="19"/>
      <c r="AV422" s="19"/>
      <c r="AW422" s="19"/>
      <c r="AX422" s="19"/>
      <c r="GA422" s="54"/>
    </row>
    <row r="423" spans="1:183" s="18" customFormat="1">
      <c r="A423" s="51"/>
      <c r="B423" s="52"/>
      <c r="C423" s="52"/>
      <c r="D423" s="52"/>
      <c r="E423" s="53"/>
      <c r="F423" s="52"/>
      <c r="G423" s="52"/>
      <c r="H423" s="52"/>
      <c r="I423" s="53"/>
      <c r="J423" s="52"/>
      <c r="K423" s="52"/>
      <c r="L423" s="52"/>
      <c r="M423" s="52"/>
      <c r="N423" s="19"/>
      <c r="O423" s="19"/>
      <c r="P423" s="19"/>
      <c r="Q423" s="19"/>
      <c r="R423" s="19"/>
      <c r="S423" s="19"/>
      <c r="T423" s="19"/>
      <c r="U423" s="19"/>
      <c r="V423" s="19"/>
      <c r="W423" s="19"/>
      <c r="X423" s="19"/>
      <c r="Y423" s="19"/>
      <c r="Z423" s="19"/>
      <c r="AA423" s="19"/>
      <c r="AB423" s="19"/>
      <c r="AC423" s="19"/>
      <c r="AD423" s="19"/>
      <c r="AE423" s="19"/>
      <c r="AF423" s="19"/>
      <c r="AG423" s="19"/>
      <c r="AH423" s="19"/>
      <c r="AI423" s="19"/>
      <c r="AJ423" s="19"/>
      <c r="AK423" s="19"/>
      <c r="AL423" s="19"/>
      <c r="AM423" s="19"/>
      <c r="AN423" s="19"/>
      <c r="AO423" s="19"/>
      <c r="AP423" s="19"/>
      <c r="AQ423" s="19"/>
      <c r="AR423" s="19"/>
      <c r="AS423" s="19"/>
      <c r="AT423" s="19"/>
      <c r="AU423" s="19"/>
      <c r="AV423" s="19"/>
      <c r="AW423" s="19"/>
      <c r="AX423" s="19"/>
      <c r="GA423" s="54"/>
    </row>
    <row r="424" spans="1:183" s="18" customFormat="1">
      <c r="A424" s="51"/>
      <c r="B424" s="52"/>
      <c r="C424" s="52"/>
      <c r="D424" s="52"/>
      <c r="E424" s="53"/>
      <c r="F424" s="52"/>
      <c r="G424" s="52"/>
      <c r="H424" s="52"/>
      <c r="I424" s="53"/>
      <c r="J424" s="52"/>
      <c r="K424" s="52"/>
      <c r="L424" s="52"/>
      <c r="M424" s="52"/>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AK424" s="19"/>
      <c r="AL424" s="19"/>
      <c r="AM424" s="19"/>
      <c r="AN424" s="19"/>
      <c r="AO424" s="19"/>
      <c r="AP424" s="19"/>
      <c r="AQ424" s="19"/>
      <c r="AR424" s="19"/>
      <c r="AS424" s="19"/>
      <c r="AT424" s="19"/>
      <c r="AU424" s="19"/>
      <c r="AV424" s="19"/>
      <c r="AW424" s="19"/>
      <c r="AX424" s="19"/>
      <c r="GA424" s="54"/>
    </row>
    <row r="425" spans="1:183" s="18" customFormat="1">
      <c r="A425" s="51"/>
      <c r="B425" s="52"/>
      <c r="C425" s="52"/>
      <c r="D425" s="52"/>
      <c r="E425" s="53"/>
      <c r="F425" s="52"/>
      <c r="G425" s="52"/>
      <c r="H425" s="52"/>
      <c r="I425" s="53"/>
      <c r="J425" s="52"/>
      <c r="K425" s="52"/>
      <c r="L425" s="52"/>
      <c r="M425" s="52"/>
      <c r="N425" s="19"/>
      <c r="O425" s="19"/>
      <c r="P425" s="19"/>
      <c r="Q425" s="19"/>
      <c r="R425" s="19"/>
      <c r="S425" s="19"/>
      <c r="T425" s="19"/>
      <c r="U425" s="19"/>
      <c r="V425" s="19"/>
      <c r="W425" s="19"/>
      <c r="X425" s="19"/>
      <c r="Y425" s="19"/>
      <c r="Z425" s="19"/>
      <c r="AA425" s="19"/>
      <c r="AB425" s="19"/>
      <c r="AC425" s="19"/>
      <c r="AD425" s="19"/>
      <c r="AE425" s="19"/>
      <c r="AF425" s="19"/>
      <c r="AG425" s="19"/>
      <c r="AH425" s="19"/>
      <c r="AI425" s="19"/>
      <c r="AJ425" s="19"/>
      <c r="AK425" s="19"/>
      <c r="AL425" s="19"/>
      <c r="AM425" s="19"/>
      <c r="AN425" s="19"/>
      <c r="AO425" s="19"/>
      <c r="AP425" s="19"/>
      <c r="AQ425" s="19"/>
      <c r="AR425" s="19"/>
      <c r="AS425" s="19"/>
      <c r="AT425" s="19"/>
      <c r="AU425" s="19"/>
      <c r="AV425" s="19"/>
      <c r="AW425" s="19"/>
      <c r="AX425" s="19"/>
      <c r="GA425" s="54"/>
    </row>
    <row r="426" spans="1:183" s="18" customFormat="1">
      <c r="A426" s="51"/>
      <c r="B426" s="52"/>
      <c r="C426" s="52"/>
      <c r="D426" s="52"/>
      <c r="E426" s="53"/>
      <c r="F426" s="52"/>
      <c r="G426" s="52"/>
      <c r="H426" s="52"/>
      <c r="I426" s="53"/>
      <c r="J426" s="52"/>
      <c r="K426" s="52"/>
      <c r="L426" s="52"/>
      <c r="M426" s="52"/>
      <c r="N426" s="19"/>
      <c r="O426" s="19"/>
      <c r="P426" s="19"/>
      <c r="Q426" s="19"/>
      <c r="R426" s="19"/>
      <c r="S426" s="19"/>
      <c r="T426" s="19"/>
      <c r="U426" s="19"/>
      <c r="V426" s="19"/>
      <c r="W426" s="19"/>
      <c r="X426" s="19"/>
      <c r="Y426" s="19"/>
      <c r="Z426" s="19"/>
      <c r="AA426" s="19"/>
      <c r="AB426" s="19"/>
      <c r="AC426" s="19"/>
      <c r="AD426" s="19"/>
      <c r="AE426" s="19"/>
      <c r="AF426" s="19"/>
      <c r="AG426" s="19"/>
      <c r="AH426" s="19"/>
      <c r="AI426" s="19"/>
      <c r="AJ426" s="19"/>
      <c r="AK426" s="19"/>
      <c r="AL426" s="19"/>
      <c r="AM426" s="19"/>
      <c r="AN426" s="19"/>
      <c r="AO426" s="19"/>
      <c r="AP426" s="19"/>
      <c r="AQ426" s="19"/>
      <c r="AR426" s="19"/>
      <c r="AS426" s="19"/>
      <c r="AT426" s="19"/>
      <c r="AU426" s="19"/>
      <c r="AV426" s="19"/>
      <c r="AW426" s="19"/>
      <c r="AX426" s="19"/>
      <c r="GA426" s="54"/>
    </row>
    <row r="427" spans="1:183" s="18" customFormat="1">
      <c r="A427" s="51"/>
      <c r="B427" s="52"/>
      <c r="C427" s="52"/>
      <c r="D427" s="52"/>
      <c r="E427" s="53"/>
      <c r="F427" s="52"/>
      <c r="G427" s="52"/>
      <c r="H427" s="52"/>
      <c r="I427" s="53"/>
      <c r="J427" s="52"/>
      <c r="K427" s="52"/>
      <c r="L427" s="52"/>
      <c r="M427" s="52"/>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c r="AK427" s="19"/>
      <c r="AL427" s="19"/>
      <c r="AM427" s="19"/>
      <c r="AN427" s="19"/>
      <c r="AO427" s="19"/>
      <c r="AP427" s="19"/>
      <c r="AQ427" s="19"/>
      <c r="AR427" s="19"/>
      <c r="AS427" s="19"/>
      <c r="AT427" s="19"/>
      <c r="AU427" s="19"/>
      <c r="AV427" s="19"/>
      <c r="AW427" s="19"/>
      <c r="AX427" s="19"/>
      <c r="GA427" s="54"/>
    </row>
    <row r="428" spans="1:183" s="18" customFormat="1">
      <c r="A428" s="51"/>
      <c r="B428" s="52"/>
      <c r="C428" s="52"/>
      <c r="D428" s="52"/>
      <c r="E428" s="53"/>
      <c r="F428" s="52"/>
      <c r="G428" s="52"/>
      <c r="H428" s="52"/>
      <c r="I428" s="53"/>
      <c r="J428" s="52"/>
      <c r="K428" s="52"/>
      <c r="L428" s="52"/>
      <c r="M428" s="52"/>
      <c r="N428" s="19"/>
      <c r="O428" s="19"/>
      <c r="P428" s="19"/>
      <c r="Q428" s="19"/>
      <c r="R428" s="19"/>
      <c r="S428" s="19"/>
      <c r="T428" s="19"/>
      <c r="U428" s="19"/>
      <c r="V428" s="19"/>
      <c r="W428" s="19"/>
      <c r="X428" s="19"/>
      <c r="Y428" s="19"/>
      <c r="Z428" s="19"/>
      <c r="AA428" s="19"/>
      <c r="AB428" s="19"/>
      <c r="AC428" s="19"/>
      <c r="AD428" s="19"/>
      <c r="AE428" s="19"/>
      <c r="AF428" s="19"/>
      <c r="AG428" s="19"/>
      <c r="AH428" s="19"/>
      <c r="AI428" s="19"/>
      <c r="AJ428" s="19"/>
      <c r="AK428" s="19"/>
      <c r="AL428" s="19"/>
      <c r="AM428" s="19"/>
      <c r="AN428" s="19"/>
      <c r="AO428" s="19"/>
      <c r="AP428" s="19"/>
      <c r="AQ428" s="19"/>
      <c r="AR428" s="19"/>
      <c r="AS428" s="19"/>
      <c r="AT428" s="19"/>
      <c r="AU428" s="19"/>
      <c r="AV428" s="19"/>
      <c r="AW428" s="19"/>
      <c r="AX428" s="19"/>
      <c r="GA428" s="54"/>
    </row>
    <row r="429" spans="1:183" s="18" customFormat="1">
      <c r="A429" s="51"/>
      <c r="B429" s="52"/>
      <c r="C429" s="52"/>
      <c r="D429" s="52"/>
      <c r="E429" s="53"/>
      <c r="F429" s="52"/>
      <c r="G429" s="52"/>
      <c r="H429" s="52"/>
      <c r="I429" s="53"/>
      <c r="J429" s="52"/>
      <c r="K429" s="52"/>
      <c r="L429" s="52"/>
      <c r="M429" s="52"/>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c r="AK429" s="19"/>
      <c r="AL429" s="19"/>
      <c r="AM429" s="19"/>
      <c r="AN429" s="19"/>
      <c r="AO429" s="19"/>
      <c r="AP429" s="19"/>
      <c r="AQ429" s="19"/>
      <c r="AR429" s="19"/>
      <c r="AS429" s="19"/>
      <c r="AT429" s="19"/>
      <c r="AU429" s="19"/>
      <c r="AV429" s="19"/>
      <c r="AW429" s="19"/>
      <c r="AX429" s="19"/>
      <c r="GA429" s="54"/>
    </row>
    <row r="430" spans="1:183" s="18" customFormat="1">
      <c r="A430" s="51"/>
      <c r="B430" s="52"/>
      <c r="C430" s="52"/>
      <c r="D430" s="52"/>
      <c r="E430" s="53"/>
      <c r="F430" s="52"/>
      <c r="G430" s="52"/>
      <c r="H430" s="52"/>
      <c r="I430" s="53"/>
      <c r="J430" s="52"/>
      <c r="K430" s="52"/>
      <c r="L430" s="52"/>
      <c r="M430" s="52"/>
      <c r="N430" s="19"/>
      <c r="O430" s="19"/>
      <c r="P430" s="19"/>
      <c r="Q430" s="19"/>
      <c r="R430" s="19"/>
      <c r="S430" s="19"/>
      <c r="T430" s="19"/>
      <c r="U430" s="19"/>
      <c r="V430" s="19"/>
      <c r="W430" s="19"/>
      <c r="X430" s="19"/>
      <c r="Y430" s="19"/>
      <c r="Z430" s="19"/>
      <c r="AA430" s="19"/>
      <c r="AB430" s="19"/>
      <c r="AC430" s="19"/>
      <c r="AD430" s="19"/>
      <c r="AE430" s="19"/>
      <c r="AF430" s="19"/>
      <c r="AG430" s="19"/>
      <c r="AH430" s="19"/>
      <c r="AI430" s="19"/>
      <c r="AJ430" s="19"/>
      <c r="AK430" s="19"/>
      <c r="AL430" s="19"/>
      <c r="AM430" s="19"/>
      <c r="AN430" s="19"/>
      <c r="AO430" s="19"/>
      <c r="AP430" s="19"/>
      <c r="AQ430" s="19"/>
      <c r="AR430" s="19"/>
      <c r="AS430" s="19"/>
      <c r="AT430" s="19"/>
      <c r="AU430" s="19"/>
      <c r="AV430" s="19"/>
      <c r="AW430" s="19"/>
      <c r="AX430" s="19"/>
      <c r="GA430" s="54"/>
    </row>
    <row r="431" spans="1:183" s="18" customFormat="1">
      <c r="A431" s="51"/>
      <c r="B431" s="52"/>
      <c r="C431" s="52"/>
      <c r="D431" s="52"/>
      <c r="E431" s="53"/>
      <c r="F431" s="52"/>
      <c r="G431" s="52"/>
      <c r="H431" s="52"/>
      <c r="I431" s="53"/>
      <c r="J431" s="52"/>
      <c r="K431" s="52"/>
      <c r="L431" s="52"/>
      <c r="M431" s="52"/>
      <c r="N431" s="19"/>
      <c r="O431" s="19"/>
      <c r="P431" s="19"/>
      <c r="Q431" s="19"/>
      <c r="R431" s="19"/>
      <c r="S431" s="19"/>
      <c r="T431" s="19"/>
      <c r="U431" s="19"/>
      <c r="V431" s="19"/>
      <c r="W431" s="19"/>
      <c r="X431" s="19"/>
      <c r="Y431" s="19"/>
      <c r="Z431" s="19"/>
      <c r="AA431" s="19"/>
      <c r="AB431" s="19"/>
      <c r="AC431" s="19"/>
      <c r="AD431" s="19"/>
      <c r="AE431" s="19"/>
      <c r="AF431" s="19"/>
      <c r="AG431" s="19"/>
      <c r="AH431" s="19"/>
      <c r="AI431" s="19"/>
      <c r="AJ431" s="19"/>
      <c r="AK431" s="19"/>
      <c r="AL431" s="19"/>
      <c r="AM431" s="19"/>
      <c r="AN431" s="19"/>
      <c r="AO431" s="19"/>
      <c r="AP431" s="19"/>
      <c r="AQ431" s="19"/>
      <c r="AR431" s="19"/>
      <c r="AS431" s="19"/>
      <c r="AT431" s="19"/>
      <c r="AU431" s="19"/>
      <c r="AV431" s="19"/>
      <c r="AW431" s="19"/>
      <c r="AX431" s="19"/>
      <c r="GA431" s="54"/>
    </row>
    <row r="432" spans="1:183" s="18" customFormat="1">
      <c r="A432" s="51"/>
      <c r="B432" s="52"/>
      <c r="C432" s="52"/>
      <c r="D432" s="52"/>
      <c r="E432" s="53"/>
      <c r="F432" s="52"/>
      <c r="G432" s="52"/>
      <c r="H432" s="52"/>
      <c r="I432" s="53"/>
      <c r="J432" s="52"/>
      <c r="K432" s="52"/>
      <c r="L432" s="52"/>
      <c r="M432" s="52"/>
      <c r="N432" s="19"/>
      <c r="O432" s="19"/>
      <c r="P432" s="19"/>
      <c r="Q432" s="19"/>
      <c r="R432" s="19"/>
      <c r="S432" s="19"/>
      <c r="T432" s="19"/>
      <c r="U432" s="19"/>
      <c r="V432" s="19"/>
      <c r="W432" s="19"/>
      <c r="X432" s="19"/>
      <c r="Y432" s="19"/>
      <c r="Z432" s="19"/>
      <c r="AA432" s="19"/>
      <c r="AB432" s="19"/>
      <c r="AC432" s="19"/>
      <c r="AD432" s="19"/>
      <c r="AE432" s="19"/>
      <c r="AF432" s="19"/>
      <c r="AG432" s="19"/>
      <c r="AH432" s="19"/>
      <c r="AI432" s="19"/>
      <c r="AJ432" s="19"/>
      <c r="AK432" s="19"/>
      <c r="AL432" s="19"/>
      <c r="AM432" s="19"/>
      <c r="AN432" s="19"/>
      <c r="AO432" s="19"/>
      <c r="AP432" s="19"/>
      <c r="AQ432" s="19"/>
      <c r="AR432" s="19"/>
      <c r="AS432" s="19"/>
      <c r="AT432" s="19"/>
      <c r="AU432" s="19"/>
      <c r="AV432" s="19"/>
      <c r="AW432" s="19"/>
      <c r="AX432" s="19"/>
      <c r="GA432" s="54"/>
    </row>
    <row r="433" spans="1:183" s="18" customFormat="1">
      <c r="A433" s="51"/>
      <c r="B433" s="52"/>
      <c r="C433" s="52"/>
      <c r="D433" s="52"/>
      <c r="E433" s="53"/>
      <c r="F433" s="52"/>
      <c r="G433" s="52"/>
      <c r="H433" s="52"/>
      <c r="I433" s="53"/>
      <c r="J433" s="52"/>
      <c r="K433" s="52"/>
      <c r="L433" s="52"/>
      <c r="M433" s="52"/>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c r="AK433" s="19"/>
      <c r="AL433" s="19"/>
      <c r="AM433" s="19"/>
      <c r="AN433" s="19"/>
      <c r="AO433" s="19"/>
      <c r="AP433" s="19"/>
      <c r="AQ433" s="19"/>
      <c r="AR433" s="19"/>
      <c r="AS433" s="19"/>
      <c r="AT433" s="19"/>
      <c r="AU433" s="19"/>
      <c r="AV433" s="19"/>
      <c r="AW433" s="19"/>
      <c r="AX433" s="19"/>
      <c r="GA433" s="54"/>
    </row>
    <row r="434" spans="1:183" s="18" customFormat="1">
      <c r="A434" s="51"/>
      <c r="B434" s="52"/>
      <c r="C434" s="52"/>
      <c r="D434" s="52"/>
      <c r="E434" s="53"/>
      <c r="F434" s="52"/>
      <c r="G434" s="52"/>
      <c r="H434" s="52"/>
      <c r="I434" s="53"/>
      <c r="J434" s="52"/>
      <c r="K434" s="52"/>
      <c r="L434" s="52"/>
      <c r="M434" s="52"/>
      <c r="N434" s="19"/>
      <c r="O434" s="19"/>
      <c r="P434" s="19"/>
      <c r="Q434" s="19"/>
      <c r="R434" s="19"/>
      <c r="S434" s="19"/>
      <c r="T434" s="19"/>
      <c r="U434" s="19"/>
      <c r="V434" s="19"/>
      <c r="W434" s="19"/>
      <c r="X434" s="19"/>
      <c r="Y434" s="19"/>
      <c r="Z434" s="19"/>
      <c r="AA434" s="19"/>
      <c r="AB434" s="19"/>
      <c r="AC434" s="19"/>
      <c r="AD434" s="19"/>
      <c r="AE434" s="19"/>
      <c r="AF434" s="19"/>
      <c r="AG434" s="19"/>
      <c r="AH434" s="19"/>
      <c r="AI434" s="19"/>
      <c r="AJ434" s="19"/>
      <c r="AK434" s="19"/>
      <c r="AL434" s="19"/>
      <c r="AM434" s="19"/>
      <c r="AN434" s="19"/>
      <c r="AO434" s="19"/>
      <c r="AP434" s="19"/>
      <c r="AQ434" s="19"/>
      <c r="AR434" s="19"/>
      <c r="AS434" s="19"/>
      <c r="AT434" s="19"/>
      <c r="AU434" s="19"/>
      <c r="AV434" s="19"/>
      <c r="AW434" s="19"/>
      <c r="AX434" s="19"/>
      <c r="GA434" s="54"/>
    </row>
    <row r="435" spans="1:183" s="18" customFormat="1">
      <c r="A435" s="51"/>
      <c r="B435" s="52"/>
      <c r="C435" s="52"/>
      <c r="D435" s="52"/>
      <c r="E435" s="53"/>
      <c r="F435" s="52"/>
      <c r="G435" s="52"/>
      <c r="H435" s="52"/>
      <c r="I435" s="53"/>
      <c r="J435" s="52"/>
      <c r="K435" s="52"/>
      <c r="L435" s="52"/>
      <c r="M435" s="52"/>
      <c r="N435" s="19"/>
      <c r="O435" s="19"/>
      <c r="P435" s="19"/>
      <c r="Q435" s="19"/>
      <c r="R435" s="19"/>
      <c r="S435" s="19"/>
      <c r="T435" s="19"/>
      <c r="U435" s="19"/>
      <c r="V435" s="19"/>
      <c r="W435" s="19"/>
      <c r="X435" s="19"/>
      <c r="Y435" s="19"/>
      <c r="Z435" s="19"/>
      <c r="AA435" s="19"/>
      <c r="AB435" s="19"/>
      <c r="AC435" s="19"/>
      <c r="AD435" s="19"/>
      <c r="AE435" s="19"/>
      <c r="AF435" s="19"/>
      <c r="AG435" s="19"/>
      <c r="AH435" s="19"/>
      <c r="AI435" s="19"/>
      <c r="AJ435" s="19"/>
      <c r="AK435" s="19"/>
      <c r="AL435" s="19"/>
      <c r="AM435" s="19"/>
      <c r="AN435" s="19"/>
      <c r="AO435" s="19"/>
      <c r="AP435" s="19"/>
      <c r="AQ435" s="19"/>
      <c r="AR435" s="19"/>
      <c r="AS435" s="19"/>
      <c r="AT435" s="19"/>
      <c r="AU435" s="19"/>
      <c r="AV435" s="19"/>
      <c r="AW435" s="19"/>
      <c r="AX435" s="19"/>
      <c r="GA435" s="54"/>
    </row>
    <row r="436" spans="1:183" s="18" customFormat="1">
      <c r="A436" s="51"/>
      <c r="B436" s="52"/>
      <c r="C436" s="52"/>
      <c r="D436" s="52"/>
      <c r="E436" s="53"/>
      <c r="F436" s="52"/>
      <c r="G436" s="52"/>
      <c r="H436" s="52"/>
      <c r="I436" s="53"/>
      <c r="J436" s="52"/>
      <c r="K436" s="52"/>
      <c r="L436" s="52"/>
      <c r="M436" s="52"/>
      <c r="N436" s="19"/>
      <c r="O436" s="19"/>
      <c r="P436" s="19"/>
      <c r="Q436" s="19"/>
      <c r="R436" s="19"/>
      <c r="S436" s="19"/>
      <c r="T436" s="19"/>
      <c r="U436" s="19"/>
      <c r="V436" s="19"/>
      <c r="W436" s="19"/>
      <c r="X436" s="19"/>
      <c r="Y436" s="19"/>
      <c r="Z436" s="19"/>
      <c r="AA436" s="19"/>
      <c r="AB436" s="19"/>
      <c r="AC436" s="19"/>
      <c r="AD436" s="19"/>
      <c r="AE436" s="19"/>
      <c r="AF436" s="19"/>
      <c r="AG436" s="19"/>
      <c r="AH436" s="19"/>
      <c r="AI436" s="19"/>
      <c r="AJ436" s="19"/>
      <c r="AK436" s="19"/>
      <c r="AL436" s="19"/>
      <c r="AM436" s="19"/>
      <c r="AN436" s="19"/>
      <c r="AO436" s="19"/>
      <c r="AP436" s="19"/>
      <c r="AQ436" s="19"/>
      <c r="AR436" s="19"/>
      <c r="AS436" s="19"/>
      <c r="AT436" s="19"/>
      <c r="AU436" s="19"/>
      <c r="AV436" s="19"/>
      <c r="AW436" s="19"/>
      <c r="AX436" s="19"/>
      <c r="GA436" s="54"/>
    </row>
    <row r="437" spans="1:183" s="18" customFormat="1">
      <c r="A437" s="51"/>
      <c r="B437" s="52"/>
      <c r="C437" s="52"/>
      <c r="D437" s="52"/>
      <c r="E437" s="53"/>
      <c r="F437" s="52"/>
      <c r="G437" s="52"/>
      <c r="H437" s="52"/>
      <c r="I437" s="53"/>
      <c r="J437" s="52"/>
      <c r="K437" s="52"/>
      <c r="L437" s="52"/>
      <c r="M437" s="52"/>
      <c r="N437" s="19"/>
      <c r="O437" s="19"/>
      <c r="P437" s="19"/>
      <c r="Q437" s="19"/>
      <c r="R437" s="19"/>
      <c r="S437" s="19"/>
      <c r="T437" s="19"/>
      <c r="U437" s="19"/>
      <c r="V437" s="19"/>
      <c r="W437" s="19"/>
      <c r="X437" s="19"/>
      <c r="Y437" s="19"/>
      <c r="Z437" s="19"/>
      <c r="AA437" s="19"/>
      <c r="AB437" s="19"/>
      <c r="AC437" s="19"/>
      <c r="AD437" s="19"/>
      <c r="AE437" s="19"/>
      <c r="AF437" s="19"/>
      <c r="AG437" s="19"/>
      <c r="AH437" s="19"/>
      <c r="AI437" s="19"/>
      <c r="AJ437" s="19"/>
      <c r="AK437" s="19"/>
      <c r="AL437" s="19"/>
      <c r="AM437" s="19"/>
      <c r="AN437" s="19"/>
      <c r="AO437" s="19"/>
      <c r="AP437" s="19"/>
      <c r="AQ437" s="19"/>
      <c r="AR437" s="19"/>
      <c r="AS437" s="19"/>
      <c r="AT437" s="19"/>
      <c r="AU437" s="19"/>
      <c r="AV437" s="19"/>
      <c r="AW437" s="19"/>
      <c r="AX437" s="19"/>
      <c r="GA437" s="54"/>
    </row>
    <row r="438" spans="1:183" s="18" customFormat="1">
      <c r="A438" s="51"/>
      <c r="B438" s="52"/>
      <c r="C438" s="52"/>
      <c r="D438" s="52"/>
      <c r="E438" s="53"/>
      <c r="F438" s="52"/>
      <c r="G438" s="52"/>
      <c r="H438" s="52"/>
      <c r="I438" s="53"/>
      <c r="J438" s="52"/>
      <c r="K438" s="52"/>
      <c r="L438" s="52"/>
      <c r="M438" s="52"/>
      <c r="N438" s="19"/>
      <c r="O438" s="19"/>
      <c r="P438" s="19"/>
      <c r="Q438" s="19"/>
      <c r="R438" s="19"/>
      <c r="S438" s="19"/>
      <c r="T438" s="19"/>
      <c r="U438" s="19"/>
      <c r="V438" s="19"/>
      <c r="W438" s="19"/>
      <c r="X438" s="19"/>
      <c r="Y438" s="19"/>
      <c r="Z438" s="19"/>
      <c r="AA438" s="19"/>
      <c r="AB438" s="19"/>
      <c r="AC438" s="19"/>
      <c r="AD438" s="19"/>
      <c r="AE438" s="19"/>
      <c r="AF438" s="19"/>
      <c r="AG438" s="19"/>
      <c r="AH438" s="19"/>
      <c r="AI438" s="19"/>
      <c r="AJ438" s="19"/>
      <c r="AK438" s="19"/>
      <c r="AL438" s="19"/>
      <c r="AM438" s="19"/>
      <c r="AN438" s="19"/>
      <c r="AO438" s="19"/>
      <c r="AP438" s="19"/>
      <c r="AQ438" s="19"/>
      <c r="AR438" s="19"/>
      <c r="AS438" s="19"/>
      <c r="AT438" s="19"/>
      <c r="AU438" s="19"/>
      <c r="AV438" s="19"/>
      <c r="AW438" s="19"/>
      <c r="AX438" s="19"/>
      <c r="GA438" s="54"/>
    </row>
    <row r="439" spans="1:183" s="18" customFormat="1">
      <c r="A439" s="51"/>
      <c r="B439" s="52"/>
      <c r="C439" s="52"/>
      <c r="D439" s="52"/>
      <c r="E439" s="53"/>
      <c r="F439" s="52"/>
      <c r="G439" s="52"/>
      <c r="H439" s="52"/>
      <c r="I439" s="53"/>
      <c r="J439" s="52"/>
      <c r="K439" s="52"/>
      <c r="L439" s="52"/>
      <c r="M439" s="52"/>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c r="AK439" s="19"/>
      <c r="AL439" s="19"/>
      <c r="AM439" s="19"/>
      <c r="AN439" s="19"/>
      <c r="AO439" s="19"/>
      <c r="AP439" s="19"/>
      <c r="AQ439" s="19"/>
      <c r="AR439" s="19"/>
      <c r="AS439" s="19"/>
      <c r="AT439" s="19"/>
      <c r="AU439" s="19"/>
      <c r="AV439" s="19"/>
      <c r="AW439" s="19"/>
      <c r="AX439" s="19"/>
      <c r="GA439" s="54"/>
    </row>
    <row r="440" spans="1:183" s="18" customFormat="1">
      <c r="A440" s="51"/>
      <c r="B440" s="52"/>
      <c r="C440" s="52"/>
      <c r="D440" s="52"/>
      <c r="E440" s="53"/>
      <c r="F440" s="52"/>
      <c r="G440" s="52"/>
      <c r="H440" s="52"/>
      <c r="I440" s="53"/>
      <c r="J440" s="52"/>
      <c r="K440" s="52"/>
      <c r="L440" s="52"/>
      <c r="M440" s="52"/>
      <c r="N440" s="19"/>
      <c r="O440" s="19"/>
      <c r="P440" s="19"/>
      <c r="Q440" s="19"/>
      <c r="R440" s="19"/>
      <c r="S440" s="19"/>
      <c r="T440" s="19"/>
      <c r="U440" s="19"/>
      <c r="V440" s="19"/>
      <c r="W440" s="19"/>
      <c r="X440" s="19"/>
      <c r="Y440" s="19"/>
      <c r="Z440" s="19"/>
      <c r="AA440" s="19"/>
      <c r="AB440" s="19"/>
      <c r="AC440" s="19"/>
      <c r="AD440" s="19"/>
      <c r="AE440" s="19"/>
      <c r="AF440" s="19"/>
      <c r="AG440" s="19"/>
      <c r="AH440" s="19"/>
      <c r="AI440" s="19"/>
      <c r="AJ440" s="19"/>
      <c r="AK440" s="19"/>
      <c r="AL440" s="19"/>
      <c r="AM440" s="19"/>
      <c r="AN440" s="19"/>
      <c r="AO440" s="19"/>
      <c r="AP440" s="19"/>
      <c r="AQ440" s="19"/>
      <c r="AR440" s="19"/>
      <c r="AS440" s="19"/>
      <c r="AT440" s="19"/>
      <c r="AU440" s="19"/>
      <c r="AV440" s="19"/>
      <c r="AW440" s="19"/>
      <c r="AX440" s="19"/>
      <c r="GA440" s="54"/>
    </row>
    <row r="441" spans="1:183" s="18" customFormat="1">
      <c r="A441" s="51"/>
      <c r="B441" s="52"/>
      <c r="C441" s="52"/>
      <c r="D441" s="52"/>
      <c r="E441" s="53"/>
      <c r="F441" s="52"/>
      <c r="G441" s="52"/>
      <c r="H441" s="52"/>
      <c r="I441" s="53"/>
      <c r="J441" s="52"/>
      <c r="K441" s="52"/>
      <c r="L441" s="52"/>
      <c r="M441" s="52"/>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c r="AK441" s="19"/>
      <c r="AL441" s="19"/>
      <c r="AM441" s="19"/>
      <c r="AN441" s="19"/>
      <c r="AO441" s="19"/>
      <c r="AP441" s="19"/>
      <c r="AQ441" s="19"/>
      <c r="AR441" s="19"/>
      <c r="AS441" s="19"/>
      <c r="AT441" s="19"/>
      <c r="AU441" s="19"/>
      <c r="AV441" s="19"/>
      <c r="AW441" s="19"/>
      <c r="AX441" s="19"/>
      <c r="GA441" s="54"/>
    </row>
    <row r="442" spans="1:183" s="18" customFormat="1">
      <c r="A442" s="51"/>
      <c r="B442" s="52"/>
      <c r="C442" s="52"/>
      <c r="D442" s="52"/>
      <c r="E442" s="53"/>
      <c r="F442" s="52"/>
      <c r="G442" s="52"/>
      <c r="H442" s="52"/>
      <c r="I442" s="53"/>
      <c r="J442" s="52"/>
      <c r="K442" s="52"/>
      <c r="L442" s="52"/>
      <c r="M442" s="52"/>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AK442" s="19"/>
      <c r="AL442" s="19"/>
      <c r="AM442" s="19"/>
      <c r="AN442" s="19"/>
      <c r="AO442" s="19"/>
      <c r="AP442" s="19"/>
      <c r="AQ442" s="19"/>
      <c r="AR442" s="19"/>
      <c r="AS442" s="19"/>
      <c r="AT442" s="19"/>
      <c r="AU442" s="19"/>
      <c r="AV442" s="19"/>
      <c r="AW442" s="19"/>
      <c r="AX442" s="19"/>
      <c r="GA442" s="54"/>
    </row>
    <row r="443" spans="1:183" s="18" customFormat="1">
      <c r="A443" s="51"/>
      <c r="B443" s="52"/>
      <c r="C443" s="52"/>
      <c r="D443" s="52"/>
      <c r="E443" s="53"/>
      <c r="F443" s="52"/>
      <c r="G443" s="52"/>
      <c r="H443" s="52"/>
      <c r="I443" s="53"/>
      <c r="J443" s="52"/>
      <c r="K443" s="52"/>
      <c r="L443" s="52"/>
      <c r="M443" s="52"/>
      <c r="N443" s="19"/>
      <c r="O443" s="19"/>
      <c r="P443" s="19"/>
      <c r="Q443" s="19"/>
      <c r="R443" s="19"/>
      <c r="S443" s="19"/>
      <c r="T443" s="19"/>
      <c r="U443" s="19"/>
      <c r="V443" s="19"/>
      <c r="W443" s="19"/>
      <c r="X443" s="19"/>
      <c r="Y443" s="19"/>
      <c r="Z443" s="19"/>
      <c r="AA443" s="19"/>
      <c r="AB443" s="19"/>
      <c r="AC443" s="19"/>
      <c r="AD443" s="19"/>
      <c r="AE443" s="19"/>
      <c r="AF443" s="19"/>
      <c r="AG443" s="19"/>
      <c r="AH443" s="19"/>
      <c r="AI443" s="19"/>
      <c r="AJ443" s="19"/>
      <c r="AK443" s="19"/>
      <c r="AL443" s="19"/>
      <c r="AM443" s="19"/>
      <c r="AN443" s="19"/>
      <c r="AO443" s="19"/>
      <c r="AP443" s="19"/>
      <c r="AQ443" s="19"/>
      <c r="AR443" s="19"/>
      <c r="AS443" s="19"/>
      <c r="AT443" s="19"/>
      <c r="AU443" s="19"/>
      <c r="AV443" s="19"/>
      <c r="AW443" s="19"/>
      <c r="AX443" s="19"/>
      <c r="GA443" s="54"/>
    </row>
    <row r="444" spans="1:183" s="18" customFormat="1">
      <c r="A444" s="51"/>
      <c r="B444" s="52"/>
      <c r="C444" s="52"/>
      <c r="D444" s="52"/>
      <c r="E444" s="53"/>
      <c r="F444" s="52"/>
      <c r="G444" s="52"/>
      <c r="H444" s="52"/>
      <c r="I444" s="53"/>
      <c r="J444" s="52"/>
      <c r="K444" s="52"/>
      <c r="L444" s="52"/>
      <c r="M444" s="52"/>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c r="AK444" s="19"/>
      <c r="AL444" s="19"/>
      <c r="AM444" s="19"/>
      <c r="AN444" s="19"/>
      <c r="AO444" s="19"/>
      <c r="AP444" s="19"/>
      <c r="AQ444" s="19"/>
      <c r="AR444" s="19"/>
      <c r="AS444" s="19"/>
      <c r="AT444" s="19"/>
      <c r="AU444" s="19"/>
      <c r="AV444" s="19"/>
      <c r="AW444" s="19"/>
      <c r="AX444" s="19"/>
      <c r="GA444" s="54"/>
    </row>
    <row r="445" spans="1:183" s="18" customFormat="1">
      <c r="A445" s="51"/>
      <c r="B445" s="52"/>
      <c r="C445" s="52"/>
      <c r="D445" s="52"/>
      <c r="E445" s="53"/>
      <c r="F445" s="52"/>
      <c r="G445" s="52"/>
      <c r="H445" s="52"/>
      <c r="I445" s="53"/>
      <c r="J445" s="52"/>
      <c r="K445" s="52"/>
      <c r="L445" s="52"/>
      <c r="M445" s="52"/>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AK445" s="19"/>
      <c r="AL445" s="19"/>
      <c r="AM445" s="19"/>
      <c r="AN445" s="19"/>
      <c r="AO445" s="19"/>
      <c r="AP445" s="19"/>
      <c r="AQ445" s="19"/>
      <c r="AR445" s="19"/>
      <c r="AS445" s="19"/>
      <c r="AT445" s="19"/>
      <c r="AU445" s="19"/>
      <c r="AV445" s="19"/>
      <c r="AW445" s="19"/>
      <c r="AX445" s="19"/>
      <c r="GA445" s="54"/>
    </row>
    <row r="446" spans="1:183" s="18" customFormat="1">
      <c r="A446" s="51"/>
      <c r="B446" s="52"/>
      <c r="C446" s="52"/>
      <c r="D446" s="52"/>
      <c r="E446" s="53"/>
      <c r="F446" s="52"/>
      <c r="G446" s="52"/>
      <c r="H446" s="52"/>
      <c r="I446" s="53"/>
      <c r="J446" s="52"/>
      <c r="K446" s="52"/>
      <c r="L446" s="52"/>
      <c r="M446" s="52"/>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AK446" s="19"/>
      <c r="AL446" s="19"/>
      <c r="AM446" s="19"/>
      <c r="AN446" s="19"/>
      <c r="AO446" s="19"/>
      <c r="AP446" s="19"/>
      <c r="AQ446" s="19"/>
      <c r="AR446" s="19"/>
      <c r="AS446" s="19"/>
      <c r="AT446" s="19"/>
      <c r="AU446" s="19"/>
      <c r="AV446" s="19"/>
      <c r="AW446" s="19"/>
      <c r="AX446" s="19"/>
      <c r="GA446" s="54"/>
    </row>
    <row r="447" spans="1:183" s="18" customFormat="1">
      <c r="A447" s="51"/>
      <c r="B447" s="52"/>
      <c r="C447" s="52"/>
      <c r="D447" s="52"/>
      <c r="E447" s="53"/>
      <c r="F447" s="52"/>
      <c r="G447" s="52"/>
      <c r="H447" s="52"/>
      <c r="I447" s="53"/>
      <c r="J447" s="52"/>
      <c r="K447" s="52"/>
      <c r="L447" s="52"/>
      <c r="M447" s="52"/>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c r="AK447" s="19"/>
      <c r="AL447" s="19"/>
      <c r="AM447" s="19"/>
      <c r="AN447" s="19"/>
      <c r="AO447" s="19"/>
      <c r="AP447" s="19"/>
      <c r="AQ447" s="19"/>
      <c r="AR447" s="19"/>
      <c r="AS447" s="19"/>
      <c r="AT447" s="19"/>
      <c r="AU447" s="19"/>
      <c r="AV447" s="19"/>
      <c r="AW447" s="19"/>
      <c r="AX447" s="19"/>
      <c r="GA447" s="54"/>
    </row>
    <row r="448" spans="1:183" s="18" customFormat="1">
      <c r="A448" s="51"/>
      <c r="B448" s="52"/>
      <c r="C448" s="52"/>
      <c r="D448" s="52"/>
      <c r="E448" s="53"/>
      <c r="F448" s="52"/>
      <c r="G448" s="52"/>
      <c r="H448" s="52"/>
      <c r="I448" s="53"/>
      <c r="J448" s="52"/>
      <c r="K448" s="52"/>
      <c r="L448" s="52"/>
      <c r="M448" s="52"/>
      <c r="N448" s="19"/>
      <c r="O448" s="19"/>
      <c r="P448" s="19"/>
      <c r="Q448" s="19"/>
      <c r="R448" s="19"/>
      <c r="S448" s="19"/>
      <c r="T448" s="19"/>
      <c r="U448" s="19"/>
      <c r="V448" s="19"/>
      <c r="W448" s="19"/>
      <c r="X448" s="19"/>
      <c r="Y448" s="19"/>
      <c r="Z448" s="19"/>
      <c r="AA448" s="19"/>
      <c r="AB448" s="19"/>
      <c r="AC448" s="19"/>
      <c r="AD448" s="19"/>
      <c r="AE448" s="19"/>
      <c r="AF448" s="19"/>
      <c r="AG448" s="19"/>
      <c r="AH448" s="19"/>
      <c r="AI448" s="19"/>
      <c r="AJ448" s="19"/>
      <c r="AK448" s="19"/>
      <c r="AL448" s="19"/>
      <c r="AM448" s="19"/>
      <c r="AN448" s="19"/>
      <c r="AO448" s="19"/>
      <c r="AP448" s="19"/>
      <c r="AQ448" s="19"/>
      <c r="AR448" s="19"/>
      <c r="AS448" s="19"/>
      <c r="AT448" s="19"/>
      <c r="AU448" s="19"/>
      <c r="AV448" s="19"/>
      <c r="AW448" s="19"/>
      <c r="AX448" s="19"/>
      <c r="GA448" s="54"/>
    </row>
    <row r="449" spans="1:183" s="18" customFormat="1">
      <c r="A449" s="51"/>
      <c r="B449" s="52"/>
      <c r="C449" s="52"/>
      <c r="D449" s="52"/>
      <c r="E449" s="53"/>
      <c r="F449" s="52"/>
      <c r="G449" s="52"/>
      <c r="H449" s="52"/>
      <c r="I449" s="53"/>
      <c r="J449" s="52"/>
      <c r="K449" s="52"/>
      <c r="L449" s="52"/>
      <c r="M449" s="52"/>
      <c r="N449" s="19"/>
      <c r="O449" s="19"/>
      <c r="P449" s="19"/>
      <c r="Q449" s="19"/>
      <c r="R449" s="19"/>
      <c r="S449" s="19"/>
      <c r="T449" s="19"/>
      <c r="U449" s="19"/>
      <c r="V449" s="19"/>
      <c r="W449" s="19"/>
      <c r="X449" s="19"/>
      <c r="Y449" s="19"/>
      <c r="Z449" s="19"/>
      <c r="AA449" s="19"/>
      <c r="AB449" s="19"/>
      <c r="AC449" s="19"/>
      <c r="AD449" s="19"/>
      <c r="AE449" s="19"/>
      <c r="AF449" s="19"/>
      <c r="AG449" s="19"/>
      <c r="AH449" s="19"/>
      <c r="AI449" s="19"/>
      <c r="AJ449" s="19"/>
      <c r="AK449" s="19"/>
      <c r="AL449" s="19"/>
      <c r="AM449" s="19"/>
      <c r="AN449" s="19"/>
      <c r="AO449" s="19"/>
      <c r="AP449" s="19"/>
      <c r="AQ449" s="19"/>
      <c r="AR449" s="19"/>
      <c r="AS449" s="19"/>
      <c r="AT449" s="19"/>
      <c r="AU449" s="19"/>
      <c r="AV449" s="19"/>
      <c r="AW449" s="19"/>
      <c r="AX449" s="19"/>
      <c r="GA449" s="54"/>
    </row>
    <row r="450" spans="1:183" s="18" customFormat="1">
      <c r="A450" s="51"/>
      <c r="B450" s="52"/>
      <c r="C450" s="52"/>
      <c r="D450" s="52"/>
      <c r="E450" s="53"/>
      <c r="F450" s="52"/>
      <c r="G450" s="52"/>
      <c r="H450" s="52"/>
      <c r="I450" s="53"/>
      <c r="J450" s="52"/>
      <c r="K450" s="52"/>
      <c r="L450" s="52"/>
      <c r="M450" s="52"/>
      <c r="N450" s="19"/>
      <c r="O450" s="19"/>
      <c r="P450" s="19"/>
      <c r="Q450" s="19"/>
      <c r="R450" s="19"/>
      <c r="S450" s="19"/>
      <c r="T450" s="19"/>
      <c r="U450" s="19"/>
      <c r="V450" s="19"/>
      <c r="W450" s="19"/>
      <c r="X450" s="19"/>
      <c r="Y450" s="19"/>
      <c r="Z450" s="19"/>
      <c r="AA450" s="19"/>
      <c r="AB450" s="19"/>
      <c r="AC450" s="19"/>
      <c r="AD450" s="19"/>
      <c r="AE450" s="19"/>
      <c r="AF450" s="19"/>
      <c r="AG450" s="19"/>
      <c r="AH450" s="19"/>
      <c r="AI450" s="19"/>
      <c r="AJ450" s="19"/>
      <c r="AK450" s="19"/>
      <c r="AL450" s="19"/>
      <c r="AM450" s="19"/>
      <c r="AN450" s="19"/>
      <c r="AO450" s="19"/>
      <c r="AP450" s="19"/>
      <c r="AQ450" s="19"/>
      <c r="AR450" s="19"/>
      <c r="AS450" s="19"/>
      <c r="AT450" s="19"/>
      <c r="AU450" s="19"/>
      <c r="AV450" s="19"/>
      <c r="AW450" s="19"/>
      <c r="AX450" s="19"/>
      <c r="GA450" s="54"/>
    </row>
    <row r="451" spans="1:183" s="18" customFormat="1">
      <c r="A451" s="51"/>
      <c r="B451" s="52"/>
      <c r="C451" s="52"/>
      <c r="D451" s="52"/>
      <c r="E451" s="53"/>
      <c r="F451" s="52"/>
      <c r="G451" s="52"/>
      <c r="H451" s="52"/>
      <c r="I451" s="53"/>
      <c r="J451" s="52"/>
      <c r="K451" s="52"/>
      <c r="L451" s="52"/>
      <c r="M451" s="52"/>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c r="AK451" s="19"/>
      <c r="AL451" s="19"/>
      <c r="AM451" s="19"/>
      <c r="AN451" s="19"/>
      <c r="AO451" s="19"/>
      <c r="AP451" s="19"/>
      <c r="AQ451" s="19"/>
      <c r="AR451" s="19"/>
      <c r="AS451" s="19"/>
      <c r="AT451" s="19"/>
      <c r="AU451" s="19"/>
      <c r="AV451" s="19"/>
      <c r="AW451" s="19"/>
      <c r="AX451" s="19"/>
      <c r="GA451" s="54"/>
    </row>
    <row r="452" spans="1:183" s="18" customFormat="1">
      <c r="A452" s="51"/>
      <c r="B452" s="52"/>
      <c r="C452" s="52"/>
      <c r="D452" s="52"/>
      <c r="E452" s="53"/>
      <c r="F452" s="52"/>
      <c r="G452" s="52"/>
      <c r="H452" s="52"/>
      <c r="I452" s="53"/>
      <c r="J452" s="52"/>
      <c r="K452" s="52"/>
      <c r="L452" s="52"/>
      <c r="M452" s="52"/>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c r="AK452" s="19"/>
      <c r="AL452" s="19"/>
      <c r="AM452" s="19"/>
      <c r="AN452" s="19"/>
      <c r="AO452" s="19"/>
      <c r="AP452" s="19"/>
      <c r="AQ452" s="19"/>
      <c r="AR452" s="19"/>
      <c r="AS452" s="19"/>
      <c r="AT452" s="19"/>
      <c r="AU452" s="19"/>
      <c r="AV452" s="19"/>
      <c r="AW452" s="19"/>
      <c r="AX452" s="19"/>
      <c r="GA452" s="54"/>
    </row>
    <row r="453" spans="1:183" s="18" customFormat="1">
      <c r="A453" s="51"/>
      <c r="B453" s="52"/>
      <c r="C453" s="52"/>
      <c r="D453" s="52"/>
      <c r="E453" s="53"/>
      <c r="F453" s="52"/>
      <c r="G453" s="52"/>
      <c r="H453" s="52"/>
      <c r="I453" s="53"/>
      <c r="J453" s="52"/>
      <c r="K453" s="52"/>
      <c r="L453" s="52"/>
      <c r="M453" s="52"/>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c r="AK453" s="19"/>
      <c r="AL453" s="19"/>
      <c r="AM453" s="19"/>
      <c r="AN453" s="19"/>
      <c r="AO453" s="19"/>
      <c r="AP453" s="19"/>
      <c r="AQ453" s="19"/>
      <c r="AR453" s="19"/>
      <c r="AS453" s="19"/>
      <c r="AT453" s="19"/>
      <c r="AU453" s="19"/>
      <c r="AV453" s="19"/>
      <c r="AW453" s="19"/>
      <c r="AX453" s="19"/>
      <c r="GA453" s="54"/>
    </row>
    <row r="454" spans="1:183" s="18" customFormat="1">
      <c r="A454" s="51"/>
      <c r="B454" s="52"/>
      <c r="C454" s="52"/>
      <c r="D454" s="52"/>
      <c r="E454" s="53"/>
      <c r="F454" s="52"/>
      <c r="G454" s="52"/>
      <c r="H454" s="52"/>
      <c r="I454" s="53"/>
      <c r="J454" s="52"/>
      <c r="K454" s="52"/>
      <c r="L454" s="52"/>
      <c r="M454" s="52"/>
      <c r="N454" s="19"/>
      <c r="O454" s="19"/>
      <c r="P454" s="19"/>
      <c r="Q454" s="19"/>
      <c r="R454" s="19"/>
      <c r="S454" s="19"/>
      <c r="T454" s="19"/>
      <c r="U454" s="19"/>
      <c r="V454" s="19"/>
      <c r="W454" s="19"/>
      <c r="X454" s="19"/>
      <c r="Y454" s="19"/>
      <c r="Z454" s="19"/>
      <c r="AA454" s="19"/>
      <c r="AB454" s="19"/>
      <c r="AC454" s="19"/>
      <c r="AD454" s="19"/>
      <c r="AE454" s="19"/>
      <c r="AF454" s="19"/>
      <c r="AG454" s="19"/>
      <c r="AH454" s="19"/>
      <c r="AI454" s="19"/>
      <c r="AJ454" s="19"/>
      <c r="AK454" s="19"/>
      <c r="AL454" s="19"/>
      <c r="AM454" s="19"/>
      <c r="AN454" s="19"/>
      <c r="AO454" s="19"/>
      <c r="AP454" s="19"/>
      <c r="AQ454" s="19"/>
      <c r="AR454" s="19"/>
      <c r="AS454" s="19"/>
      <c r="AT454" s="19"/>
      <c r="AU454" s="19"/>
      <c r="AV454" s="19"/>
      <c r="AW454" s="19"/>
      <c r="AX454" s="19"/>
      <c r="GA454" s="54"/>
    </row>
    <row r="455" spans="1:183" s="18" customFormat="1">
      <c r="A455" s="51"/>
      <c r="B455" s="52"/>
      <c r="C455" s="52"/>
      <c r="D455" s="52"/>
      <c r="E455" s="53"/>
      <c r="F455" s="52"/>
      <c r="G455" s="52"/>
      <c r="H455" s="52"/>
      <c r="I455" s="53"/>
      <c r="J455" s="52"/>
      <c r="K455" s="52"/>
      <c r="L455" s="52"/>
      <c r="M455" s="52"/>
      <c r="N455" s="19"/>
      <c r="O455" s="19"/>
      <c r="P455" s="19"/>
      <c r="Q455" s="19"/>
      <c r="R455" s="19"/>
      <c r="S455" s="19"/>
      <c r="T455" s="19"/>
      <c r="U455" s="19"/>
      <c r="V455" s="19"/>
      <c r="W455" s="19"/>
      <c r="X455" s="19"/>
      <c r="Y455" s="19"/>
      <c r="Z455" s="19"/>
      <c r="AA455" s="19"/>
      <c r="AB455" s="19"/>
      <c r="AC455" s="19"/>
      <c r="AD455" s="19"/>
      <c r="AE455" s="19"/>
      <c r="AF455" s="19"/>
      <c r="AG455" s="19"/>
      <c r="AH455" s="19"/>
      <c r="AI455" s="19"/>
      <c r="AJ455" s="19"/>
      <c r="AK455" s="19"/>
      <c r="AL455" s="19"/>
      <c r="AM455" s="19"/>
      <c r="AN455" s="19"/>
      <c r="AO455" s="19"/>
      <c r="AP455" s="19"/>
      <c r="AQ455" s="19"/>
      <c r="AR455" s="19"/>
      <c r="AS455" s="19"/>
      <c r="AT455" s="19"/>
      <c r="AU455" s="19"/>
      <c r="AV455" s="19"/>
      <c r="AW455" s="19"/>
      <c r="AX455" s="19"/>
      <c r="GA455" s="54"/>
    </row>
    <row r="456" spans="1:183" s="18" customFormat="1">
      <c r="A456" s="51"/>
      <c r="B456" s="52"/>
      <c r="C456" s="52"/>
      <c r="D456" s="52"/>
      <c r="E456" s="53"/>
      <c r="F456" s="52"/>
      <c r="G456" s="52"/>
      <c r="H456" s="52"/>
      <c r="I456" s="53"/>
      <c r="J456" s="52"/>
      <c r="K456" s="52"/>
      <c r="L456" s="52"/>
      <c r="M456" s="52"/>
      <c r="N456" s="19"/>
      <c r="O456" s="19"/>
      <c r="P456" s="19"/>
      <c r="Q456" s="19"/>
      <c r="R456" s="19"/>
      <c r="S456" s="19"/>
      <c r="T456" s="19"/>
      <c r="U456" s="19"/>
      <c r="V456" s="19"/>
      <c r="W456" s="19"/>
      <c r="X456" s="19"/>
      <c r="Y456" s="19"/>
      <c r="Z456" s="19"/>
      <c r="AA456" s="19"/>
      <c r="AB456" s="19"/>
      <c r="AC456" s="19"/>
      <c r="AD456" s="19"/>
      <c r="AE456" s="19"/>
      <c r="AF456" s="19"/>
      <c r="AG456" s="19"/>
      <c r="AH456" s="19"/>
      <c r="AI456" s="19"/>
      <c r="AJ456" s="19"/>
      <c r="AK456" s="19"/>
      <c r="AL456" s="19"/>
      <c r="AM456" s="19"/>
      <c r="AN456" s="19"/>
      <c r="AO456" s="19"/>
      <c r="AP456" s="19"/>
      <c r="AQ456" s="19"/>
      <c r="AR456" s="19"/>
      <c r="AS456" s="19"/>
      <c r="AT456" s="19"/>
      <c r="AU456" s="19"/>
      <c r="AV456" s="19"/>
      <c r="AW456" s="19"/>
      <c r="AX456" s="19"/>
      <c r="GA456" s="54"/>
    </row>
    <row r="457" spans="1:183" s="18" customFormat="1">
      <c r="A457" s="51"/>
      <c r="B457" s="52"/>
      <c r="C457" s="52"/>
      <c r="D457" s="52"/>
      <c r="E457" s="53"/>
      <c r="F457" s="52"/>
      <c r="G457" s="52"/>
      <c r="H457" s="52"/>
      <c r="I457" s="53"/>
      <c r="J457" s="52"/>
      <c r="K457" s="52"/>
      <c r="L457" s="52"/>
      <c r="M457" s="52"/>
      <c r="N457" s="19"/>
      <c r="O457" s="19"/>
      <c r="P457" s="19"/>
      <c r="Q457" s="19"/>
      <c r="R457" s="19"/>
      <c r="S457" s="19"/>
      <c r="T457" s="19"/>
      <c r="U457" s="19"/>
      <c r="V457" s="19"/>
      <c r="W457" s="19"/>
      <c r="X457" s="19"/>
      <c r="Y457" s="19"/>
      <c r="Z457" s="19"/>
      <c r="AA457" s="19"/>
      <c r="AB457" s="19"/>
      <c r="AC457" s="19"/>
      <c r="AD457" s="19"/>
      <c r="AE457" s="19"/>
      <c r="AF457" s="19"/>
      <c r="AG457" s="19"/>
      <c r="AH457" s="19"/>
      <c r="AI457" s="19"/>
      <c r="AJ457" s="19"/>
      <c r="AK457" s="19"/>
      <c r="AL457" s="19"/>
      <c r="AM457" s="19"/>
      <c r="AN457" s="19"/>
      <c r="AO457" s="19"/>
      <c r="AP457" s="19"/>
      <c r="AQ457" s="19"/>
      <c r="AR457" s="19"/>
      <c r="AS457" s="19"/>
      <c r="AT457" s="19"/>
      <c r="AU457" s="19"/>
      <c r="AV457" s="19"/>
      <c r="AW457" s="19"/>
      <c r="AX457" s="19"/>
      <c r="GA457" s="54"/>
    </row>
    <row r="458" spans="1:183" s="18" customFormat="1">
      <c r="A458" s="51"/>
      <c r="B458" s="52"/>
      <c r="C458" s="52"/>
      <c r="D458" s="52"/>
      <c r="E458" s="53"/>
      <c r="F458" s="52"/>
      <c r="G458" s="52"/>
      <c r="H458" s="52"/>
      <c r="I458" s="53"/>
      <c r="J458" s="52"/>
      <c r="K458" s="52"/>
      <c r="L458" s="52"/>
      <c r="M458" s="52"/>
      <c r="N458" s="19"/>
      <c r="O458" s="19"/>
      <c r="P458" s="19"/>
      <c r="Q458" s="19"/>
      <c r="R458" s="19"/>
      <c r="S458" s="19"/>
      <c r="T458" s="19"/>
      <c r="U458" s="19"/>
      <c r="V458" s="19"/>
      <c r="W458" s="19"/>
      <c r="X458" s="19"/>
      <c r="Y458" s="19"/>
      <c r="Z458" s="19"/>
      <c r="AA458" s="19"/>
      <c r="AB458" s="19"/>
      <c r="AC458" s="19"/>
      <c r="AD458" s="19"/>
      <c r="AE458" s="19"/>
      <c r="AF458" s="19"/>
      <c r="AG458" s="19"/>
      <c r="AH458" s="19"/>
      <c r="AI458" s="19"/>
      <c r="AJ458" s="19"/>
      <c r="AK458" s="19"/>
      <c r="AL458" s="19"/>
      <c r="AM458" s="19"/>
      <c r="AN458" s="19"/>
      <c r="AO458" s="19"/>
      <c r="AP458" s="19"/>
      <c r="AQ458" s="19"/>
      <c r="AR458" s="19"/>
      <c r="AS458" s="19"/>
      <c r="AT458" s="19"/>
      <c r="AU458" s="19"/>
      <c r="AV458" s="19"/>
      <c r="AW458" s="19"/>
      <c r="AX458" s="19"/>
      <c r="GA458" s="54"/>
    </row>
    <row r="459" spans="1:183" s="18" customFormat="1">
      <c r="A459" s="51"/>
      <c r="B459" s="52"/>
      <c r="C459" s="52"/>
      <c r="D459" s="52"/>
      <c r="E459" s="53"/>
      <c r="F459" s="52"/>
      <c r="G459" s="52"/>
      <c r="H459" s="52"/>
      <c r="I459" s="53"/>
      <c r="J459" s="52"/>
      <c r="K459" s="52"/>
      <c r="L459" s="52"/>
      <c r="M459" s="52"/>
      <c r="N459" s="19"/>
      <c r="O459" s="19"/>
      <c r="P459" s="19"/>
      <c r="Q459" s="19"/>
      <c r="R459" s="19"/>
      <c r="S459" s="19"/>
      <c r="T459" s="19"/>
      <c r="U459" s="19"/>
      <c r="V459" s="19"/>
      <c r="W459" s="19"/>
      <c r="X459" s="19"/>
      <c r="Y459" s="19"/>
      <c r="Z459" s="19"/>
      <c r="AA459" s="19"/>
      <c r="AB459" s="19"/>
      <c r="AC459" s="19"/>
      <c r="AD459" s="19"/>
      <c r="AE459" s="19"/>
      <c r="AF459" s="19"/>
      <c r="AG459" s="19"/>
      <c r="AH459" s="19"/>
      <c r="AI459" s="19"/>
      <c r="AJ459" s="19"/>
      <c r="AK459" s="19"/>
      <c r="AL459" s="19"/>
      <c r="AM459" s="19"/>
      <c r="AN459" s="19"/>
      <c r="AO459" s="19"/>
      <c r="AP459" s="19"/>
      <c r="AQ459" s="19"/>
      <c r="AR459" s="19"/>
      <c r="AS459" s="19"/>
      <c r="AT459" s="19"/>
      <c r="AU459" s="19"/>
      <c r="AV459" s="19"/>
      <c r="AW459" s="19"/>
      <c r="AX459" s="19"/>
      <c r="GA459" s="54"/>
    </row>
    <row r="460" spans="1:183" s="18" customFormat="1">
      <c r="A460" s="51"/>
      <c r="B460" s="52"/>
      <c r="C460" s="52"/>
      <c r="D460" s="52"/>
      <c r="E460" s="53"/>
      <c r="F460" s="52"/>
      <c r="G460" s="52"/>
      <c r="H460" s="52"/>
      <c r="I460" s="53"/>
      <c r="J460" s="52"/>
      <c r="K460" s="52"/>
      <c r="L460" s="52"/>
      <c r="M460" s="52"/>
      <c r="N460" s="19"/>
      <c r="O460" s="19"/>
      <c r="P460" s="19"/>
      <c r="Q460" s="19"/>
      <c r="R460" s="19"/>
      <c r="S460" s="19"/>
      <c r="T460" s="19"/>
      <c r="U460" s="19"/>
      <c r="V460" s="19"/>
      <c r="W460" s="19"/>
      <c r="X460" s="19"/>
      <c r="Y460" s="19"/>
      <c r="Z460" s="19"/>
      <c r="AA460" s="19"/>
      <c r="AB460" s="19"/>
      <c r="AC460" s="19"/>
      <c r="AD460" s="19"/>
      <c r="AE460" s="19"/>
      <c r="AF460" s="19"/>
      <c r="AG460" s="19"/>
      <c r="AH460" s="19"/>
      <c r="AI460" s="19"/>
      <c r="AJ460" s="19"/>
      <c r="AK460" s="19"/>
      <c r="AL460" s="19"/>
      <c r="AM460" s="19"/>
      <c r="AN460" s="19"/>
      <c r="AO460" s="19"/>
      <c r="AP460" s="19"/>
      <c r="AQ460" s="19"/>
      <c r="AR460" s="19"/>
      <c r="AS460" s="19"/>
      <c r="AT460" s="19"/>
      <c r="AU460" s="19"/>
      <c r="AV460" s="19"/>
      <c r="AW460" s="19"/>
      <c r="AX460" s="19"/>
      <c r="GA460" s="54"/>
    </row>
    <row r="461" spans="1:183" s="18" customFormat="1">
      <c r="A461" s="51"/>
      <c r="B461" s="52"/>
      <c r="C461" s="52"/>
      <c r="D461" s="52"/>
      <c r="E461" s="53"/>
      <c r="F461" s="52"/>
      <c r="G461" s="52"/>
      <c r="H461" s="52"/>
      <c r="I461" s="53"/>
      <c r="J461" s="52"/>
      <c r="K461" s="52"/>
      <c r="L461" s="52"/>
      <c r="M461" s="52"/>
      <c r="N461" s="19"/>
      <c r="O461" s="19"/>
      <c r="P461" s="19"/>
      <c r="Q461" s="19"/>
      <c r="R461" s="19"/>
      <c r="S461" s="19"/>
      <c r="T461" s="19"/>
      <c r="U461" s="19"/>
      <c r="V461" s="19"/>
      <c r="W461" s="19"/>
      <c r="X461" s="19"/>
      <c r="Y461" s="19"/>
      <c r="Z461" s="19"/>
      <c r="AA461" s="19"/>
      <c r="AB461" s="19"/>
      <c r="AC461" s="19"/>
      <c r="AD461" s="19"/>
      <c r="AE461" s="19"/>
      <c r="AF461" s="19"/>
      <c r="AG461" s="19"/>
      <c r="AH461" s="19"/>
      <c r="AI461" s="19"/>
      <c r="AJ461" s="19"/>
      <c r="AK461" s="19"/>
      <c r="AL461" s="19"/>
      <c r="AM461" s="19"/>
      <c r="AN461" s="19"/>
      <c r="AO461" s="19"/>
      <c r="AP461" s="19"/>
      <c r="AQ461" s="19"/>
      <c r="AR461" s="19"/>
      <c r="AS461" s="19"/>
      <c r="AT461" s="19"/>
      <c r="AU461" s="19"/>
      <c r="AV461" s="19"/>
      <c r="AW461" s="19"/>
      <c r="AX461" s="19"/>
      <c r="GA461" s="54"/>
    </row>
    <row r="462" spans="1:183" s="18" customFormat="1">
      <c r="A462" s="51"/>
      <c r="B462" s="52"/>
      <c r="C462" s="52"/>
      <c r="D462" s="52"/>
      <c r="E462" s="53"/>
      <c r="F462" s="52"/>
      <c r="G462" s="52"/>
      <c r="H462" s="52"/>
      <c r="I462" s="53"/>
      <c r="J462" s="52"/>
      <c r="K462" s="52"/>
      <c r="L462" s="52"/>
      <c r="M462" s="52"/>
      <c r="N462" s="19"/>
      <c r="O462" s="19"/>
      <c r="P462" s="19"/>
      <c r="Q462" s="19"/>
      <c r="R462" s="19"/>
      <c r="S462" s="19"/>
      <c r="T462" s="19"/>
      <c r="U462" s="19"/>
      <c r="V462" s="19"/>
      <c r="W462" s="19"/>
      <c r="X462" s="19"/>
      <c r="Y462" s="19"/>
      <c r="Z462" s="19"/>
      <c r="AA462" s="19"/>
      <c r="AB462" s="19"/>
      <c r="AC462" s="19"/>
      <c r="AD462" s="19"/>
      <c r="AE462" s="19"/>
      <c r="AF462" s="19"/>
      <c r="AG462" s="19"/>
      <c r="AH462" s="19"/>
      <c r="AI462" s="19"/>
      <c r="AJ462" s="19"/>
      <c r="AK462" s="19"/>
      <c r="AL462" s="19"/>
      <c r="AM462" s="19"/>
      <c r="AN462" s="19"/>
      <c r="AO462" s="19"/>
      <c r="AP462" s="19"/>
      <c r="AQ462" s="19"/>
      <c r="AR462" s="19"/>
      <c r="AS462" s="19"/>
      <c r="AT462" s="19"/>
      <c r="AU462" s="19"/>
      <c r="AV462" s="19"/>
      <c r="AW462" s="19"/>
      <c r="AX462" s="19"/>
      <c r="GA462" s="54"/>
    </row>
    <row r="463" spans="1:183" s="18" customFormat="1">
      <c r="A463" s="51"/>
      <c r="B463" s="52"/>
      <c r="C463" s="52"/>
      <c r="D463" s="52"/>
      <c r="E463" s="53"/>
      <c r="F463" s="52"/>
      <c r="G463" s="52"/>
      <c r="H463" s="52"/>
      <c r="I463" s="53"/>
      <c r="J463" s="52"/>
      <c r="K463" s="52"/>
      <c r="L463" s="52"/>
      <c r="M463" s="52"/>
      <c r="N463" s="19"/>
      <c r="O463" s="19"/>
      <c r="P463" s="19"/>
      <c r="Q463" s="19"/>
      <c r="R463" s="19"/>
      <c r="S463" s="19"/>
      <c r="T463" s="19"/>
      <c r="U463" s="19"/>
      <c r="V463" s="19"/>
      <c r="W463" s="19"/>
      <c r="X463" s="19"/>
      <c r="Y463" s="19"/>
      <c r="Z463" s="19"/>
      <c r="AA463" s="19"/>
      <c r="AB463" s="19"/>
      <c r="AC463" s="19"/>
      <c r="AD463" s="19"/>
      <c r="AE463" s="19"/>
      <c r="AF463" s="19"/>
      <c r="AG463" s="19"/>
      <c r="AH463" s="19"/>
      <c r="AI463" s="19"/>
      <c r="AJ463" s="19"/>
      <c r="AK463" s="19"/>
      <c r="AL463" s="19"/>
      <c r="AM463" s="19"/>
      <c r="AN463" s="19"/>
      <c r="AO463" s="19"/>
      <c r="AP463" s="19"/>
      <c r="AQ463" s="19"/>
      <c r="AR463" s="19"/>
      <c r="AS463" s="19"/>
      <c r="AT463" s="19"/>
      <c r="AU463" s="19"/>
      <c r="AV463" s="19"/>
      <c r="AW463" s="19"/>
      <c r="AX463" s="19"/>
      <c r="GA463" s="54"/>
    </row>
    <row r="464" spans="1:183" s="18" customFormat="1">
      <c r="A464" s="51"/>
      <c r="B464" s="52"/>
      <c r="C464" s="52"/>
      <c r="D464" s="52"/>
      <c r="E464" s="53"/>
      <c r="F464" s="52"/>
      <c r="G464" s="52"/>
      <c r="H464" s="52"/>
      <c r="I464" s="53"/>
      <c r="J464" s="52"/>
      <c r="K464" s="52"/>
      <c r="L464" s="52"/>
      <c r="M464" s="52"/>
      <c r="N464" s="19"/>
      <c r="O464" s="19"/>
      <c r="P464" s="19"/>
      <c r="Q464" s="19"/>
      <c r="R464" s="19"/>
      <c r="S464" s="19"/>
      <c r="T464" s="19"/>
      <c r="U464" s="19"/>
      <c r="V464" s="19"/>
      <c r="W464" s="19"/>
      <c r="X464" s="19"/>
      <c r="Y464" s="19"/>
      <c r="Z464" s="19"/>
      <c r="AA464" s="19"/>
      <c r="AB464" s="19"/>
      <c r="AC464" s="19"/>
      <c r="AD464" s="19"/>
      <c r="AE464" s="19"/>
      <c r="AF464" s="19"/>
      <c r="AG464" s="19"/>
      <c r="AH464" s="19"/>
      <c r="AI464" s="19"/>
      <c r="AJ464" s="19"/>
      <c r="AK464" s="19"/>
      <c r="AL464" s="19"/>
      <c r="AM464" s="19"/>
      <c r="AN464" s="19"/>
      <c r="AO464" s="19"/>
      <c r="AP464" s="19"/>
      <c r="AQ464" s="19"/>
      <c r="AR464" s="19"/>
      <c r="AS464" s="19"/>
      <c r="AT464" s="19"/>
      <c r="AU464" s="19"/>
      <c r="AV464" s="19"/>
      <c r="AW464" s="19"/>
      <c r="AX464" s="19"/>
      <c r="GA464" s="54"/>
    </row>
    <row r="465" spans="1:183" s="18" customFormat="1">
      <c r="A465" s="51"/>
      <c r="B465" s="52"/>
      <c r="C465" s="52"/>
      <c r="D465" s="52"/>
      <c r="E465" s="53"/>
      <c r="F465" s="52"/>
      <c r="G465" s="52"/>
      <c r="H465" s="52"/>
      <c r="I465" s="53"/>
      <c r="J465" s="52"/>
      <c r="K465" s="52"/>
      <c r="L465" s="52"/>
      <c r="M465" s="52"/>
      <c r="N465" s="19"/>
      <c r="O465" s="19"/>
      <c r="P465" s="19"/>
      <c r="Q465" s="19"/>
      <c r="R465" s="19"/>
      <c r="S465" s="19"/>
      <c r="T465" s="19"/>
      <c r="U465" s="19"/>
      <c r="V465" s="19"/>
      <c r="W465" s="19"/>
      <c r="X465" s="19"/>
      <c r="Y465" s="19"/>
      <c r="Z465" s="19"/>
      <c r="AA465" s="19"/>
      <c r="AB465" s="19"/>
      <c r="AC465" s="19"/>
      <c r="AD465" s="19"/>
      <c r="AE465" s="19"/>
      <c r="AF465" s="19"/>
      <c r="AG465" s="19"/>
      <c r="AH465" s="19"/>
      <c r="AI465" s="19"/>
      <c r="AJ465" s="19"/>
      <c r="AK465" s="19"/>
      <c r="AL465" s="19"/>
      <c r="AM465" s="19"/>
      <c r="AN465" s="19"/>
      <c r="AO465" s="19"/>
      <c r="AP465" s="19"/>
      <c r="AQ465" s="19"/>
      <c r="AR465" s="19"/>
      <c r="AS465" s="19"/>
      <c r="AT465" s="19"/>
      <c r="AU465" s="19"/>
      <c r="AV465" s="19"/>
      <c r="AW465" s="19"/>
      <c r="AX465" s="19"/>
      <c r="GA465" s="54"/>
    </row>
    <row r="466" spans="1:183" s="18" customFormat="1">
      <c r="A466" s="51"/>
      <c r="B466" s="52"/>
      <c r="C466" s="52"/>
      <c r="D466" s="52"/>
      <c r="E466" s="53"/>
      <c r="F466" s="52"/>
      <c r="G466" s="52"/>
      <c r="H466" s="52"/>
      <c r="I466" s="53"/>
      <c r="J466" s="52"/>
      <c r="K466" s="52"/>
      <c r="L466" s="52"/>
      <c r="M466" s="52"/>
      <c r="N466" s="19"/>
      <c r="O466" s="19"/>
      <c r="P466" s="19"/>
      <c r="Q466" s="19"/>
      <c r="R466" s="19"/>
      <c r="S466" s="19"/>
      <c r="T466" s="19"/>
      <c r="U466" s="19"/>
      <c r="V466" s="19"/>
      <c r="W466" s="19"/>
      <c r="X466" s="19"/>
      <c r="Y466" s="19"/>
      <c r="Z466" s="19"/>
      <c r="AA466" s="19"/>
      <c r="AB466" s="19"/>
      <c r="AC466" s="19"/>
      <c r="AD466" s="19"/>
      <c r="AE466" s="19"/>
      <c r="AF466" s="19"/>
      <c r="AG466" s="19"/>
      <c r="AH466" s="19"/>
      <c r="AI466" s="19"/>
      <c r="AJ466" s="19"/>
      <c r="AK466" s="19"/>
      <c r="AL466" s="19"/>
      <c r="AM466" s="19"/>
      <c r="AN466" s="19"/>
      <c r="AO466" s="19"/>
      <c r="AP466" s="19"/>
      <c r="AQ466" s="19"/>
      <c r="AR466" s="19"/>
      <c r="AS466" s="19"/>
      <c r="AT466" s="19"/>
      <c r="AU466" s="19"/>
      <c r="AV466" s="19"/>
      <c r="AW466" s="19"/>
      <c r="AX466" s="19"/>
      <c r="GA466" s="54"/>
    </row>
    <row r="467" spans="1:183" s="18" customFormat="1">
      <c r="A467" s="51"/>
      <c r="B467" s="52"/>
      <c r="C467" s="52"/>
      <c r="D467" s="52"/>
      <c r="E467" s="53"/>
      <c r="F467" s="52"/>
      <c r="G467" s="52"/>
      <c r="H467" s="52"/>
      <c r="I467" s="53"/>
      <c r="J467" s="52"/>
      <c r="K467" s="52"/>
      <c r="L467" s="52"/>
      <c r="M467" s="52"/>
      <c r="N467" s="19"/>
      <c r="O467" s="19"/>
      <c r="P467" s="19"/>
      <c r="Q467" s="19"/>
      <c r="R467" s="19"/>
      <c r="S467" s="19"/>
      <c r="T467" s="19"/>
      <c r="U467" s="19"/>
      <c r="V467" s="19"/>
      <c r="W467" s="19"/>
      <c r="X467" s="19"/>
      <c r="Y467" s="19"/>
      <c r="Z467" s="19"/>
      <c r="AA467" s="19"/>
      <c r="AB467" s="19"/>
      <c r="AC467" s="19"/>
      <c r="AD467" s="19"/>
      <c r="AE467" s="19"/>
      <c r="AF467" s="19"/>
      <c r="AG467" s="19"/>
      <c r="AH467" s="19"/>
      <c r="AI467" s="19"/>
      <c r="AJ467" s="19"/>
      <c r="AK467" s="19"/>
      <c r="AL467" s="19"/>
      <c r="AM467" s="19"/>
      <c r="AN467" s="19"/>
      <c r="AO467" s="19"/>
      <c r="AP467" s="19"/>
      <c r="AQ467" s="19"/>
      <c r="AR467" s="19"/>
      <c r="AS467" s="19"/>
      <c r="AT467" s="19"/>
      <c r="AU467" s="19"/>
      <c r="AV467" s="19"/>
      <c r="AW467" s="19"/>
      <c r="AX467" s="19"/>
      <c r="GA467" s="54"/>
    </row>
    <row r="468" spans="1:183" s="18" customFormat="1">
      <c r="A468" s="51"/>
      <c r="B468" s="52"/>
      <c r="C468" s="52"/>
      <c r="D468" s="52"/>
      <c r="E468" s="53"/>
      <c r="F468" s="52"/>
      <c r="G468" s="52"/>
      <c r="H468" s="52"/>
      <c r="I468" s="53"/>
      <c r="J468" s="52"/>
      <c r="K468" s="52"/>
      <c r="L468" s="52"/>
      <c r="M468" s="52"/>
      <c r="N468" s="19"/>
      <c r="O468" s="19"/>
      <c r="P468" s="19"/>
      <c r="Q468" s="19"/>
      <c r="R468" s="19"/>
      <c r="S468" s="19"/>
      <c r="T468" s="19"/>
      <c r="U468" s="19"/>
      <c r="V468" s="19"/>
      <c r="W468" s="19"/>
      <c r="X468" s="19"/>
      <c r="Y468" s="19"/>
      <c r="Z468" s="19"/>
      <c r="AA468" s="19"/>
      <c r="AB468" s="19"/>
      <c r="AC468" s="19"/>
      <c r="AD468" s="19"/>
      <c r="AE468" s="19"/>
      <c r="AF468" s="19"/>
      <c r="AG468" s="19"/>
      <c r="AH468" s="19"/>
      <c r="AI468" s="19"/>
      <c r="AJ468" s="19"/>
      <c r="AK468" s="19"/>
      <c r="AL468" s="19"/>
      <c r="AM468" s="19"/>
      <c r="AN468" s="19"/>
      <c r="AO468" s="19"/>
      <c r="AP468" s="19"/>
      <c r="AQ468" s="19"/>
      <c r="AR468" s="19"/>
      <c r="AS468" s="19"/>
      <c r="AT468" s="19"/>
      <c r="AU468" s="19"/>
      <c r="AV468" s="19"/>
      <c r="AW468" s="19"/>
      <c r="AX468" s="19"/>
      <c r="GA468" s="54"/>
    </row>
    <row r="469" spans="1:183" s="18" customFormat="1">
      <c r="A469" s="51"/>
      <c r="B469" s="52"/>
      <c r="C469" s="52"/>
      <c r="D469" s="52"/>
      <c r="E469" s="53"/>
      <c r="F469" s="52"/>
      <c r="G469" s="52"/>
      <c r="H469" s="52"/>
      <c r="I469" s="53"/>
      <c r="J469" s="52"/>
      <c r="K469" s="52"/>
      <c r="L469" s="52"/>
      <c r="M469" s="52"/>
      <c r="N469" s="19"/>
      <c r="O469" s="19"/>
      <c r="P469" s="19"/>
      <c r="Q469" s="19"/>
      <c r="R469" s="19"/>
      <c r="S469" s="19"/>
      <c r="T469" s="19"/>
      <c r="U469" s="19"/>
      <c r="V469" s="19"/>
      <c r="W469" s="19"/>
      <c r="X469" s="19"/>
      <c r="Y469" s="19"/>
      <c r="Z469" s="19"/>
      <c r="AA469" s="19"/>
      <c r="AB469" s="19"/>
      <c r="AC469" s="19"/>
      <c r="AD469" s="19"/>
      <c r="AE469" s="19"/>
      <c r="AF469" s="19"/>
      <c r="AG469" s="19"/>
      <c r="AH469" s="19"/>
      <c r="AI469" s="19"/>
      <c r="AJ469" s="19"/>
      <c r="AK469" s="19"/>
      <c r="AL469" s="19"/>
      <c r="AM469" s="19"/>
      <c r="AN469" s="19"/>
      <c r="AO469" s="19"/>
      <c r="AP469" s="19"/>
      <c r="AQ469" s="19"/>
      <c r="AR469" s="19"/>
      <c r="AS469" s="19"/>
      <c r="AT469" s="19"/>
      <c r="AU469" s="19"/>
      <c r="AV469" s="19"/>
      <c r="AW469" s="19"/>
      <c r="AX469" s="19"/>
      <c r="GA469" s="54"/>
    </row>
    <row r="470" spans="1:183" s="18" customFormat="1">
      <c r="A470" s="51"/>
      <c r="B470" s="52"/>
      <c r="C470" s="52"/>
      <c r="D470" s="52"/>
      <c r="E470" s="53"/>
      <c r="F470" s="52"/>
      <c r="G470" s="52"/>
      <c r="H470" s="52"/>
      <c r="I470" s="53"/>
      <c r="J470" s="52"/>
      <c r="K470" s="52"/>
      <c r="L470" s="52"/>
      <c r="M470" s="52"/>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c r="AN470" s="19"/>
      <c r="AO470" s="19"/>
      <c r="AP470" s="19"/>
      <c r="AQ470" s="19"/>
      <c r="AR470" s="19"/>
      <c r="AS470" s="19"/>
      <c r="AT470" s="19"/>
      <c r="AU470" s="19"/>
      <c r="AV470" s="19"/>
      <c r="AW470" s="19"/>
      <c r="AX470" s="19"/>
      <c r="GA470" s="54"/>
    </row>
    <row r="471" spans="1:183" s="18" customFormat="1">
      <c r="A471" s="51"/>
      <c r="B471" s="52"/>
      <c r="C471" s="52"/>
      <c r="D471" s="52"/>
      <c r="E471" s="53"/>
      <c r="F471" s="52"/>
      <c r="G471" s="52"/>
      <c r="H471" s="52"/>
      <c r="I471" s="53"/>
      <c r="J471" s="52"/>
      <c r="K471" s="52"/>
      <c r="L471" s="52"/>
      <c r="M471" s="52"/>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c r="AK471" s="19"/>
      <c r="AL471" s="19"/>
      <c r="AM471" s="19"/>
      <c r="AN471" s="19"/>
      <c r="AO471" s="19"/>
      <c r="AP471" s="19"/>
      <c r="AQ471" s="19"/>
      <c r="AR471" s="19"/>
      <c r="AS471" s="19"/>
      <c r="AT471" s="19"/>
      <c r="AU471" s="19"/>
      <c r="AV471" s="19"/>
      <c r="AW471" s="19"/>
      <c r="AX471" s="19"/>
      <c r="GA471" s="54"/>
    </row>
    <row r="472" spans="1:183" s="18" customFormat="1">
      <c r="A472" s="51"/>
      <c r="B472" s="52"/>
      <c r="C472" s="52"/>
      <c r="D472" s="52"/>
      <c r="E472" s="53"/>
      <c r="F472" s="52"/>
      <c r="G472" s="52"/>
      <c r="H472" s="52"/>
      <c r="I472" s="53"/>
      <c r="J472" s="52"/>
      <c r="K472" s="52"/>
      <c r="L472" s="52"/>
      <c r="M472" s="52"/>
      <c r="N472" s="19"/>
      <c r="O472" s="19"/>
      <c r="P472" s="19"/>
      <c r="Q472" s="19"/>
      <c r="R472" s="19"/>
      <c r="S472" s="19"/>
      <c r="T472" s="19"/>
      <c r="U472" s="19"/>
      <c r="V472" s="19"/>
      <c r="W472" s="19"/>
      <c r="X472" s="19"/>
      <c r="Y472" s="19"/>
      <c r="Z472" s="19"/>
      <c r="AA472" s="19"/>
      <c r="AB472" s="19"/>
      <c r="AC472" s="19"/>
      <c r="AD472" s="19"/>
      <c r="AE472" s="19"/>
      <c r="AF472" s="19"/>
      <c r="AG472" s="19"/>
      <c r="AH472" s="19"/>
      <c r="AI472" s="19"/>
      <c r="AJ472" s="19"/>
      <c r="AK472" s="19"/>
      <c r="AL472" s="19"/>
      <c r="AM472" s="19"/>
      <c r="AN472" s="19"/>
      <c r="AO472" s="19"/>
      <c r="AP472" s="19"/>
      <c r="AQ472" s="19"/>
      <c r="AR472" s="19"/>
      <c r="AS472" s="19"/>
      <c r="AT472" s="19"/>
      <c r="AU472" s="19"/>
      <c r="AV472" s="19"/>
      <c r="AW472" s="19"/>
      <c r="AX472" s="19"/>
      <c r="GA472" s="54"/>
    </row>
    <row r="473" spans="1:183" s="18" customFormat="1">
      <c r="A473" s="51"/>
      <c r="B473" s="52"/>
      <c r="C473" s="52"/>
      <c r="D473" s="52"/>
      <c r="E473" s="53"/>
      <c r="F473" s="52"/>
      <c r="G473" s="52"/>
      <c r="H473" s="52"/>
      <c r="I473" s="53"/>
      <c r="J473" s="52"/>
      <c r="K473" s="52"/>
      <c r="L473" s="52"/>
      <c r="M473" s="52"/>
      <c r="N473" s="19"/>
      <c r="O473" s="19"/>
      <c r="P473" s="19"/>
      <c r="Q473" s="19"/>
      <c r="R473" s="19"/>
      <c r="S473" s="19"/>
      <c r="T473" s="19"/>
      <c r="U473" s="19"/>
      <c r="V473" s="19"/>
      <c r="W473" s="19"/>
      <c r="X473" s="19"/>
      <c r="Y473" s="19"/>
      <c r="Z473" s="19"/>
      <c r="AA473" s="19"/>
      <c r="AB473" s="19"/>
      <c r="AC473" s="19"/>
      <c r="AD473" s="19"/>
      <c r="AE473" s="19"/>
      <c r="AF473" s="19"/>
      <c r="AG473" s="19"/>
      <c r="AH473" s="19"/>
      <c r="AI473" s="19"/>
      <c r="AJ473" s="19"/>
      <c r="AK473" s="19"/>
      <c r="AL473" s="19"/>
      <c r="AM473" s="19"/>
      <c r="AN473" s="19"/>
      <c r="AO473" s="19"/>
      <c r="AP473" s="19"/>
      <c r="AQ473" s="19"/>
      <c r="AR473" s="19"/>
      <c r="AS473" s="19"/>
      <c r="AT473" s="19"/>
      <c r="AU473" s="19"/>
      <c r="AV473" s="19"/>
      <c r="AW473" s="19"/>
      <c r="AX473" s="19"/>
      <c r="GA473" s="54"/>
    </row>
    <row r="474" spans="1:183" s="18" customFormat="1">
      <c r="A474" s="51"/>
      <c r="B474" s="52"/>
      <c r="C474" s="52"/>
      <c r="D474" s="52"/>
      <c r="E474" s="53"/>
      <c r="F474" s="52"/>
      <c r="G474" s="52"/>
      <c r="H474" s="52"/>
      <c r="I474" s="53"/>
      <c r="J474" s="52"/>
      <c r="K474" s="52"/>
      <c r="L474" s="52"/>
      <c r="M474" s="52"/>
      <c r="N474" s="19"/>
      <c r="O474" s="19"/>
      <c r="P474" s="19"/>
      <c r="Q474" s="19"/>
      <c r="R474" s="19"/>
      <c r="S474" s="19"/>
      <c r="T474" s="19"/>
      <c r="U474" s="19"/>
      <c r="V474" s="19"/>
      <c r="W474" s="19"/>
      <c r="X474" s="19"/>
      <c r="Y474" s="19"/>
      <c r="Z474" s="19"/>
      <c r="AA474" s="19"/>
      <c r="AB474" s="19"/>
      <c r="AC474" s="19"/>
      <c r="AD474" s="19"/>
      <c r="AE474" s="19"/>
      <c r="AF474" s="19"/>
      <c r="AG474" s="19"/>
      <c r="AH474" s="19"/>
      <c r="AI474" s="19"/>
      <c r="AJ474" s="19"/>
      <c r="AK474" s="19"/>
      <c r="AL474" s="19"/>
      <c r="AM474" s="19"/>
      <c r="AN474" s="19"/>
      <c r="AO474" s="19"/>
      <c r="AP474" s="19"/>
      <c r="AQ474" s="19"/>
      <c r="AR474" s="19"/>
      <c r="AS474" s="19"/>
      <c r="AT474" s="19"/>
      <c r="AU474" s="19"/>
      <c r="AV474" s="19"/>
      <c r="AW474" s="19"/>
      <c r="AX474" s="19"/>
      <c r="GA474" s="54"/>
    </row>
    <row r="475" spans="1:183" s="18" customFormat="1">
      <c r="A475" s="51"/>
      <c r="B475" s="52"/>
      <c r="C475" s="52"/>
      <c r="D475" s="52"/>
      <c r="E475" s="53"/>
      <c r="F475" s="52"/>
      <c r="G475" s="52"/>
      <c r="H475" s="52"/>
      <c r="I475" s="53"/>
      <c r="J475" s="52"/>
      <c r="K475" s="52"/>
      <c r="L475" s="52"/>
      <c r="M475" s="52"/>
      <c r="N475" s="19"/>
      <c r="O475" s="19"/>
      <c r="P475" s="19"/>
      <c r="Q475" s="19"/>
      <c r="R475" s="19"/>
      <c r="S475" s="19"/>
      <c r="T475" s="19"/>
      <c r="U475" s="19"/>
      <c r="V475" s="19"/>
      <c r="W475" s="19"/>
      <c r="X475" s="19"/>
      <c r="Y475" s="19"/>
      <c r="Z475" s="19"/>
      <c r="AA475" s="19"/>
      <c r="AB475" s="19"/>
      <c r="AC475" s="19"/>
      <c r="AD475" s="19"/>
      <c r="AE475" s="19"/>
      <c r="AF475" s="19"/>
      <c r="AG475" s="19"/>
      <c r="AH475" s="19"/>
      <c r="AI475" s="19"/>
      <c r="AJ475" s="19"/>
      <c r="AK475" s="19"/>
      <c r="AL475" s="19"/>
      <c r="AM475" s="19"/>
      <c r="AN475" s="19"/>
      <c r="AO475" s="19"/>
      <c r="AP475" s="19"/>
      <c r="AQ475" s="19"/>
      <c r="AR475" s="19"/>
      <c r="AS475" s="19"/>
      <c r="AT475" s="19"/>
      <c r="AU475" s="19"/>
      <c r="AV475" s="19"/>
      <c r="AW475" s="19"/>
      <c r="AX475" s="19"/>
      <c r="GA475" s="54"/>
    </row>
    <row r="476" spans="1:183" s="18" customFormat="1">
      <c r="A476" s="51"/>
      <c r="B476" s="52"/>
      <c r="C476" s="52"/>
      <c r="D476" s="52"/>
      <c r="E476" s="53"/>
      <c r="F476" s="52"/>
      <c r="G476" s="52"/>
      <c r="H476" s="52"/>
      <c r="I476" s="53"/>
      <c r="J476" s="52"/>
      <c r="K476" s="52"/>
      <c r="L476" s="52"/>
      <c r="M476" s="52"/>
      <c r="N476" s="19"/>
      <c r="O476" s="19"/>
      <c r="P476" s="19"/>
      <c r="Q476" s="19"/>
      <c r="R476" s="19"/>
      <c r="S476" s="19"/>
      <c r="T476" s="19"/>
      <c r="U476" s="19"/>
      <c r="V476" s="19"/>
      <c r="W476" s="19"/>
      <c r="X476" s="19"/>
      <c r="Y476" s="19"/>
      <c r="Z476" s="19"/>
      <c r="AA476" s="19"/>
      <c r="AB476" s="19"/>
      <c r="AC476" s="19"/>
      <c r="AD476" s="19"/>
      <c r="AE476" s="19"/>
      <c r="AF476" s="19"/>
      <c r="AG476" s="19"/>
      <c r="AH476" s="19"/>
      <c r="AI476" s="19"/>
      <c r="AJ476" s="19"/>
      <c r="AK476" s="19"/>
      <c r="AL476" s="19"/>
      <c r="AM476" s="19"/>
      <c r="AN476" s="19"/>
      <c r="AO476" s="19"/>
      <c r="AP476" s="19"/>
      <c r="AQ476" s="19"/>
      <c r="AR476" s="19"/>
      <c r="AS476" s="19"/>
      <c r="AT476" s="19"/>
      <c r="AU476" s="19"/>
      <c r="AV476" s="19"/>
      <c r="AW476" s="19"/>
      <c r="AX476" s="19"/>
      <c r="GA476" s="54"/>
    </row>
    <row r="477" spans="1:183" s="18" customFormat="1">
      <c r="A477" s="51"/>
      <c r="B477" s="52"/>
      <c r="C477" s="52"/>
      <c r="D477" s="52"/>
      <c r="E477" s="53"/>
      <c r="F477" s="52"/>
      <c r="G477" s="52"/>
      <c r="H477" s="52"/>
      <c r="I477" s="53"/>
      <c r="J477" s="52"/>
      <c r="K477" s="52"/>
      <c r="L477" s="52"/>
      <c r="M477" s="52"/>
      <c r="N477" s="19"/>
      <c r="O477" s="19"/>
      <c r="P477" s="19"/>
      <c r="Q477" s="19"/>
      <c r="R477" s="19"/>
      <c r="S477" s="19"/>
      <c r="T477" s="19"/>
      <c r="U477" s="19"/>
      <c r="V477" s="19"/>
      <c r="W477" s="19"/>
      <c r="X477" s="19"/>
      <c r="Y477" s="19"/>
      <c r="Z477" s="19"/>
      <c r="AA477" s="19"/>
      <c r="AB477" s="19"/>
      <c r="AC477" s="19"/>
      <c r="AD477" s="19"/>
      <c r="AE477" s="19"/>
      <c r="AF477" s="19"/>
      <c r="AG477" s="19"/>
      <c r="AH477" s="19"/>
      <c r="AI477" s="19"/>
      <c r="AJ477" s="19"/>
      <c r="AK477" s="19"/>
      <c r="AL477" s="19"/>
      <c r="AM477" s="19"/>
      <c r="AN477" s="19"/>
      <c r="AO477" s="19"/>
      <c r="AP477" s="19"/>
      <c r="AQ477" s="19"/>
      <c r="AR477" s="19"/>
      <c r="AS477" s="19"/>
      <c r="AT477" s="19"/>
      <c r="AU477" s="19"/>
      <c r="AV477" s="19"/>
      <c r="AW477" s="19"/>
      <c r="AX477" s="19"/>
      <c r="GA477" s="54"/>
    </row>
    <row r="478" spans="1:183" s="18" customFormat="1">
      <c r="A478" s="51"/>
      <c r="B478" s="52"/>
      <c r="C478" s="52"/>
      <c r="D478" s="52"/>
      <c r="E478" s="53"/>
      <c r="F478" s="52"/>
      <c r="G478" s="52"/>
      <c r="H478" s="52"/>
      <c r="I478" s="53"/>
      <c r="J478" s="52"/>
      <c r="K478" s="52"/>
      <c r="L478" s="52"/>
      <c r="M478" s="52"/>
      <c r="N478" s="19"/>
      <c r="O478" s="19"/>
      <c r="P478" s="19"/>
      <c r="Q478" s="19"/>
      <c r="R478" s="19"/>
      <c r="S478" s="19"/>
      <c r="T478" s="19"/>
      <c r="U478" s="19"/>
      <c r="V478" s="19"/>
      <c r="W478" s="19"/>
      <c r="X478" s="19"/>
      <c r="Y478" s="19"/>
      <c r="Z478" s="19"/>
      <c r="AA478" s="19"/>
      <c r="AB478" s="19"/>
      <c r="AC478" s="19"/>
      <c r="AD478" s="19"/>
      <c r="AE478" s="19"/>
      <c r="AF478" s="19"/>
      <c r="AG478" s="19"/>
      <c r="AH478" s="19"/>
      <c r="AI478" s="19"/>
      <c r="AJ478" s="19"/>
      <c r="AK478" s="19"/>
      <c r="AL478" s="19"/>
      <c r="AM478" s="19"/>
      <c r="AN478" s="19"/>
      <c r="AO478" s="19"/>
      <c r="AP478" s="19"/>
      <c r="AQ478" s="19"/>
      <c r="AR478" s="19"/>
      <c r="AS478" s="19"/>
      <c r="AT478" s="19"/>
      <c r="AU478" s="19"/>
      <c r="AV478" s="19"/>
      <c r="AW478" s="19"/>
      <c r="AX478" s="19"/>
      <c r="GA478" s="54"/>
    </row>
    <row r="479" spans="1:183" s="18" customFormat="1">
      <c r="A479" s="51"/>
      <c r="B479" s="52"/>
      <c r="C479" s="52"/>
      <c r="D479" s="52"/>
      <c r="E479" s="53"/>
      <c r="F479" s="52"/>
      <c r="G479" s="52"/>
      <c r="H479" s="52"/>
      <c r="I479" s="53"/>
      <c r="J479" s="52"/>
      <c r="K479" s="52"/>
      <c r="L479" s="52"/>
      <c r="M479" s="52"/>
      <c r="N479" s="19"/>
      <c r="O479" s="19"/>
      <c r="P479" s="19"/>
      <c r="Q479" s="19"/>
      <c r="R479" s="19"/>
      <c r="S479" s="19"/>
      <c r="T479" s="19"/>
      <c r="U479" s="19"/>
      <c r="V479" s="19"/>
      <c r="W479" s="19"/>
      <c r="X479" s="19"/>
      <c r="Y479" s="19"/>
      <c r="Z479" s="19"/>
      <c r="AA479" s="19"/>
      <c r="AB479" s="19"/>
      <c r="AC479" s="19"/>
      <c r="AD479" s="19"/>
      <c r="AE479" s="19"/>
      <c r="AF479" s="19"/>
      <c r="AG479" s="19"/>
      <c r="AH479" s="19"/>
      <c r="AI479" s="19"/>
      <c r="AJ479" s="19"/>
      <c r="AK479" s="19"/>
      <c r="AL479" s="19"/>
      <c r="AM479" s="19"/>
      <c r="AN479" s="19"/>
      <c r="AO479" s="19"/>
      <c r="AP479" s="19"/>
      <c r="AQ479" s="19"/>
      <c r="AR479" s="19"/>
      <c r="AS479" s="19"/>
      <c r="AT479" s="19"/>
      <c r="AU479" s="19"/>
      <c r="AV479" s="19"/>
      <c r="AW479" s="19"/>
      <c r="AX479" s="19"/>
      <c r="GA479" s="54"/>
    </row>
    <row r="480" spans="1:183" s="18" customFormat="1">
      <c r="A480" s="51"/>
      <c r="B480" s="52"/>
      <c r="C480" s="52"/>
      <c r="D480" s="52"/>
      <c r="E480" s="53"/>
      <c r="F480" s="52"/>
      <c r="G480" s="52"/>
      <c r="H480" s="52"/>
      <c r="I480" s="53"/>
      <c r="J480" s="52"/>
      <c r="K480" s="52"/>
      <c r="L480" s="52"/>
      <c r="M480" s="52"/>
      <c r="N480" s="19"/>
      <c r="O480" s="19"/>
      <c r="P480" s="19"/>
      <c r="Q480" s="19"/>
      <c r="R480" s="19"/>
      <c r="S480" s="19"/>
      <c r="T480" s="19"/>
      <c r="U480" s="19"/>
      <c r="V480" s="19"/>
      <c r="W480" s="19"/>
      <c r="X480" s="19"/>
      <c r="Y480" s="19"/>
      <c r="Z480" s="19"/>
      <c r="AA480" s="19"/>
      <c r="AB480" s="19"/>
      <c r="AC480" s="19"/>
      <c r="AD480" s="19"/>
      <c r="AE480" s="19"/>
      <c r="AF480" s="19"/>
      <c r="AG480" s="19"/>
      <c r="AH480" s="19"/>
      <c r="AI480" s="19"/>
      <c r="AJ480" s="19"/>
      <c r="AK480" s="19"/>
      <c r="AL480" s="19"/>
      <c r="AM480" s="19"/>
      <c r="AN480" s="19"/>
      <c r="AO480" s="19"/>
      <c r="AP480" s="19"/>
      <c r="AQ480" s="19"/>
      <c r="AR480" s="19"/>
      <c r="AS480" s="19"/>
      <c r="AT480" s="19"/>
      <c r="AU480" s="19"/>
      <c r="AV480" s="19"/>
      <c r="AW480" s="19"/>
      <c r="AX480" s="19"/>
      <c r="GA480" s="54"/>
    </row>
    <row r="481" spans="1:183" s="18" customFormat="1">
      <c r="A481" s="51"/>
      <c r="B481" s="52"/>
      <c r="C481" s="52"/>
      <c r="D481" s="52"/>
      <c r="E481" s="53"/>
      <c r="F481" s="52"/>
      <c r="G481" s="52"/>
      <c r="H481" s="52"/>
      <c r="I481" s="53"/>
      <c r="J481" s="52"/>
      <c r="K481" s="52"/>
      <c r="L481" s="52"/>
      <c r="M481" s="52"/>
      <c r="N481" s="19"/>
      <c r="O481" s="19"/>
      <c r="P481" s="19"/>
      <c r="Q481" s="19"/>
      <c r="R481" s="19"/>
      <c r="S481" s="19"/>
      <c r="T481" s="19"/>
      <c r="U481" s="19"/>
      <c r="V481" s="19"/>
      <c r="W481" s="19"/>
      <c r="X481" s="19"/>
      <c r="Y481" s="19"/>
      <c r="Z481" s="19"/>
      <c r="AA481" s="19"/>
      <c r="AB481" s="19"/>
      <c r="AC481" s="19"/>
      <c r="AD481" s="19"/>
      <c r="AE481" s="19"/>
      <c r="AF481" s="19"/>
      <c r="AG481" s="19"/>
      <c r="AH481" s="19"/>
      <c r="AI481" s="19"/>
      <c r="AJ481" s="19"/>
      <c r="AK481" s="19"/>
      <c r="AL481" s="19"/>
      <c r="AM481" s="19"/>
      <c r="AN481" s="19"/>
      <c r="AO481" s="19"/>
      <c r="AP481" s="19"/>
      <c r="AQ481" s="19"/>
      <c r="AR481" s="19"/>
      <c r="AS481" s="19"/>
      <c r="AT481" s="19"/>
      <c r="AU481" s="19"/>
      <c r="AV481" s="19"/>
      <c r="AW481" s="19"/>
      <c r="AX481" s="19"/>
      <c r="GA481" s="54"/>
    </row>
    <row r="482" spans="1:183" s="18" customFormat="1">
      <c r="A482" s="51"/>
      <c r="B482" s="52"/>
      <c r="C482" s="52"/>
      <c r="D482" s="52"/>
      <c r="E482" s="53"/>
      <c r="F482" s="52"/>
      <c r="G482" s="52"/>
      <c r="H482" s="52"/>
      <c r="I482" s="53"/>
      <c r="J482" s="52"/>
      <c r="K482" s="52"/>
      <c r="L482" s="52"/>
      <c r="M482" s="52"/>
      <c r="N482" s="19"/>
      <c r="O482" s="19"/>
      <c r="P482" s="19"/>
      <c r="Q482" s="19"/>
      <c r="R482" s="19"/>
      <c r="S482" s="19"/>
      <c r="T482" s="19"/>
      <c r="U482" s="19"/>
      <c r="V482" s="19"/>
      <c r="W482" s="19"/>
      <c r="X482" s="19"/>
      <c r="Y482" s="19"/>
      <c r="Z482" s="19"/>
      <c r="AA482" s="19"/>
      <c r="AB482" s="19"/>
      <c r="AC482" s="19"/>
      <c r="AD482" s="19"/>
      <c r="AE482" s="19"/>
      <c r="AF482" s="19"/>
      <c r="AG482" s="19"/>
      <c r="AH482" s="19"/>
      <c r="AI482" s="19"/>
      <c r="AJ482" s="19"/>
      <c r="AK482" s="19"/>
      <c r="AL482" s="19"/>
      <c r="AM482" s="19"/>
      <c r="AN482" s="19"/>
      <c r="AO482" s="19"/>
      <c r="AP482" s="19"/>
      <c r="AQ482" s="19"/>
      <c r="AR482" s="19"/>
      <c r="AS482" s="19"/>
      <c r="AT482" s="19"/>
      <c r="AU482" s="19"/>
      <c r="AV482" s="19"/>
      <c r="AW482" s="19"/>
      <c r="AX482" s="19"/>
      <c r="GA482" s="54"/>
    </row>
    <row r="483" spans="1:183" s="18" customFormat="1">
      <c r="A483" s="51"/>
      <c r="B483" s="52"/>
      <c r="C483" s="52"/>
      <c r="D483" s="52"/>
      <c r="E483" s="53"/>
      <c r="F483" s="52"/>
      <c r="G483" s="52"/>
      <c r="H483" s="52"/>
      <c r="I483" s="53"/>
      <c r="J483" s="52"/>
      <c r="K483" s="52"/>
      <c r="L483" s="52"/>
      <c r="M483" s="52"/>
      <c r="N483" s="19"/>
      <c r="O483" s="19"/>
      <c r="P483" s="19"/>
      <c r="Q483" s="19"/>
      <c r="R483" s="19"/>
      <c r="S483" s="19"/>
      <c r="T483" s="19"/>
      <c r="U483" s="19"/>
      <c r="V483" s="19"/>
      <c r="W483" s="19"/>
      <c r="X483" s="19"/>
      <c r="Y483" s="19"/>
      <c r="Z483" s="19"/>
      <c r="AA483" s="19"/>
      <c r="AB483" s="19"/>
      <c r="AC483" s="19"/>
      <c r="AD483" s="19"/>
      <c r="AE483" s="19"/>
      <c r="AF483" s="19"/>
      <c r="AG483" s="19"/>
      <c r="AH483" s="19"/>
      <c r="AI483" s="19"/>
      <c r="AJ483" s="19"/>
      <c r="AK483" s="19"/>
      <c r="AL483" s="19"/>
      <c r="AM483" s="19"/>
      <c r="AN483" s="19"/>
      <c r="AO483" s="19"/>
      <c r="AP483" s="19"/>
      <c r="AQ483" s="19"/>
      <c r="AR483" s="19"/>
      <c r="AS483" s="19"/>
      <c r="AT483" s="19"/>
      <c r="AU483" s="19"/>
      <c r="AV483" s="19"/>
      <c r="AW483" s="19"/>
      <c r="AX483" s="19"/>
      <c r="GA483" s="54"/>
    </row>
    <row r="484" spans="1:183" s="18" customFormat="1">
      <c r="A484" s="51"/>
      <c r="B484" s="52"/>
      <c r="C484" s="52"/>
      <c r="D484" s="52"/>
      <c r="E484" s="53"/>
      <c r="F484" s="52"/>
      <c r="G484" s="52"/>
      <c r="H484" s="52"/>
      <c r="I484" s="53"/>
      <c r="J484" s="52"/>
      <c r="K484" s="52"/>
      <c r="L484" s="52"/>
      <c r="M484" s="52"/>
      <c r="N484" s="19"/>
      <c r="O484" s="19"/>
      <c r="P484" s="19"/>
      <c r="Q484" s="19"/>
      <c r="R484" s="19"/>
      <c r="S484" s="19"/>
      <c r="T484" s="19"/>
      <c r="U484" s="19"/>
      <c r="V484" s="19"/>
      <c r="W484" s="19"/>
      <c r="X484" s="19"/>
      <c r="Y484" s="19"/>
      <c r="Z484" s="19"/>
      <c r="AA484" s="19"/>
      <c r="AB484" s="19"/>
      <c r="AC484" s="19"/>
      <c r="AD484" s="19"/>
      <c r="AE484" s="19"/>
      <c r="AF484" s="19"/>
      <c r="AG484" s="19"/>
      <c r="AH484" s="19"/>
      <c r="AI484" s="19"/>
      <c r="AJ484" s="19"/>
      <c r="AK484" s="19"/>
      <c r="AL484" s="19"/>
      <c r="AM484" s="19"/>
      <c r="AN484" s="19"/>
      <c r="AO484" s="19"/>
      <c r="AP484" s="19"/>
      <c r="AQ484" s="19"/>
      <c r="AR484" s="19"/>
      <c r="AS484" s="19"/>
      <c r="AT484" s="19"/>
      <c r="AU484" s="19"/>
      <c r="AV484" s="19"/>
      <c r="AW484" s="19"/>
      <c r="AX484" s="19"/>
      <c r="GA484" s="54"/>
    </row>
    <row r="485" spans="1:183" s="18" customFormat="1">
      <c r="A485" s="51"/>
      <c r="B485" s="52"/>
      <c r="C485" s="52"/>
      <c r="D485" s="52"/>
      <c r="E485" s="53"/>
      <c r="F485" s="52"/>
      <c r="G485" s="52"/>
      <c r="H485" s="52"/>
      <c r="I485" s="53"/>
      <c r="J485" s="52"/>
      <c r="K485" s="52"/>
      <c r="L485" s="52"/>
      <c r="M485" s="52"/>
      <c r="N485" s="19"/>
      <c r="O485" s="19"/>
      <c r="P485" s="19"/>
      <c r="Q485" s="19"/>
      <c r="R485" s="19"/>
      <c r="S485" s="19"/>
      <c r="T485" s="19"/>
      <c r="U485" s="19"/>
      <c r="V485" s="19"/>
      <c r="W485" s="19"/>
      <c r="X485" s="19"/>
      <c r="Y485" s="19"/>
      <c r="Z485" s="19"/>
      <c r="AA485" s="19"/>
      <c r="AB485" s="19"/>
      <c r="AC485" s="19"/>
      <c r="AD485" s="19"/>
      <c r="AE485" s="19"/>
      <c r="AF485" s="19"/>
      <c r="AG485" s="19"/>
      <c r="AH485" s="19"/>
      <c r="AI485" s="19"/>
      <c r="AJ485" s="19"/>
      <c r="AK485" s="19"/>
      <c r="AL485" s="19"/>
      <c r="AM485" s="19"/>
      <c r="AN485" s="19"/>
      <c r="AO485" s="19"/>
      <c r="AP485" s="19"/>
      <c r="AQ485" s="19"/>
      <c r="AR485" s="19"/>
      <c r="AS485" s="19"/>
      <c r="AT485" s="19"/>
      <c r="AU485" s="19"/>
      <c r="AV485" s="19"/>
      <c r="AW485" s="19"/>
      <c r="AX485" s="19"/>
      <c r="GA485" s="54"/>
    </row>
    <row r="486" spans="1:183" s="18" customFormat="1">
      <c r="A486" s="51"/>
      <c r="B486" s="52"/>
      <c r="C486" s="52"/>
      <c r="D486" s="52"/>
      <c r="E486" s="53"/>
      <c r="F486" s="52"/>
      <c r="G486" s="52"/>
      <c r="H486" s="52"/>
      <c r="I486" s="53"/>
      <c r="J486" s="52"/>
      <c r="K486" s="52"/>
      <c r="L486" s="52"/>
      <c r="M486" s="52"/>
      <c r="N486" s="19"/>
      <c r="O486" s="19"/>
      <c r="P486" s="19"/>
      <c r="Q486" s="19"/>
      <c r="R486" s="19"/>
      <c r="S486" s="19"/>
      <c r="T486" s="19"/>
      <c r="U486" s="19"/>
      <c r="V486" s="19"/>
      <c r="W486" s="19"/>
      <c r="X486" s="19"/>
      <c r="Y486" s="19"/>
      <c r="Z486" s="19"/>
      <c r="AA486" s="19"/>
      <c r="AB486" s="19"/>
      <c r="AC486" s="19"/>
      <c r="AD486" s="19"/>
      <c r="AE486" s="19"/>
      <c r="AF486" s="19"/>
      <c r="AG486" s="19"/>
      <c r="AH486" s="19"/>
      <c r="AI486" s="19"/>
      <c r="AJ486" s="19"/>
      <c r="AK486" s="19"/>
      <c r="AL486" s="19"/>
      <c r="AM486" s="19"/>
      <c r="AN486" s="19"/>
      <c r="AO486" s="19"/>
      <c r="AP486" s="19"/>
      <c r="AQ486" s="19"/>
      <c r="AR486" s="19"/>
      <c r="AS486" s="19"/>
      <c r="AT486" s="19"/>
      <c r="AU486" s="19"/>
      <c r="AV486" s="19"/>
      <c r="AW486" s="19"/>
      <c r="AX486" s="19"/>
      <c r="GA486" s="54"/>
    </row>
    <row r="487" spans="1:183" s="18" customFormat="1">
      <c r="A487" s="51"/>
      <c r="B487" s="52"/>
      <c r="C487" s="52"/>
      <c r="D487" s="52"/>
      <c r="E487" s="53"/>
      <c r="F487" s="52"/>
      <c r="G487" s="52"/>
      <c r="H487" s="52"/>
      <c r="I487" s="53"/>
      <c r="J487" s="52"/>
      <c r="K487" s="52"/>
      <c r="L487" s="52"/>
      <c r="M487" s="52"/>
      <c r="N487" s="19"/>
      <c r="O487" s="19"/>
      <c r="P487" s="19"/>
      <c r="Q487" s="19"/>
      <c r="R487" s="19"/>
      <c r="S487" s="19"/>
      <c r="T487" s="19"/>
      <c r="U487" s="19"/>
      <c r="V487" s="19"/>
      <c r="W487" s="19"/>
      <c r="X487" s="19"/>
      <c r="Y487" s="19"/>
      <c r="Z487" s="19"/>
      <c r="AA487" s="19"/>
      <c r="AB487" s="19"/>
      <c r="AC487" s="19"/>
      <c r="AD487" s="19"/>
      <c r="AE487" s="19"/>
      <c r="AF487" s="19"/>
      <c r="AG487" s="19"/>
      <c r="AH487" s="19"/>
      <c r="AI487" s="19"/>
      <c r="AJ487" s="19"/>
      <c r="AK487" s="19"/>
      <c r="AL487" s="19"/>
      <c r="AM487" s="19"/>
      <c r="AN487" s="19"/>
      <c r="AO487" s="19"/>
      <c r="AP487" s="19"/>
      <c r="AQ487" s="19"/>
      <c r="AR487" s="19"/>
      <c r="AS487" s="19"/>
      <c r="AT487" s="19"/>
      <c r="AU487" s="19"/>
      <c r="AV487" s="19"/>
      <c r="AW487" s="19"/>
      <c r="AX487" s="19"/>
      <c r="GA487" s="54"/>
    </row>
    <row r="488" spans="1:183" s="18" customFormat="1">
      <c r="A488" s="51"/>
      <c r="B488" s="52"/>
      <c r="C488" s="52"/>
      <c r="D488" s="52"/>
      <c r="E488" s="53"/>
      <c r="F488" s="52"/>
      <c r="G488" s="52"/>
      <c r="H488" s="52"/>
      <c r="I488" s="53"/>
      <c r="J488" s="52"/>
      <c r="K488" s="52"/>
      <c r="L488" s="52"/>
      <c r="M488" s="52"/>
      <c r="N488" s="19"/>
      <c r="O488" s="19"/>
      <c r="P488" s="19"/>
      <c r="Q488" s="19"/>
      <c r="R488" s="19"/>
      <c r="S488" s="19"/>
      <c r="T488" s="19"/>
      <c r="U488" s="19"/>
      <c r="V488" s="19"/>
      <c r="W488" s="19"/>
      <c r="X488" s="19"/>
      <c r="Y488" s="19"/>
      <c r="Z488" s="19"/>
      <c r="AA488" s="19"/>
      <c r="AB488" s="19"/>
      <c r="AC488" s="19"/>
      <c r="AD488" s="19"/>
      <c r="AE488" s="19"/>
      <c r="AF488" s="19"/>
      <c r="AG488" s="19"/>
      <c r="AH488" s="19"/>
      <c r="AI488" s="19"/>
      <c r="AJ488" s="19"/>
      <c r="AK488" s="19"/>
      <c r="AL488" s="19"/>
      <c r="AM488" s="19"/>
      <c r="AN488" s="19"/>
      <c r="AO488" s="19"/>
      <c r="AP488" s="19"/>
      <c r="AQ488" s="19"/>
      <c r="AR488" s="19"/>
      <c r="AS488" s="19"/>
      <c r="AT488" s="19"/>
      <c r="AU488" s="19"/>
      <c r="AV488" s="19"/>
      <c r="AW488" s="19"/>
      <c r="AX488" s="19"/>
      <c r="GA488" s="54"/>
    </row>
    <row r="489" spans="1:183" s="18" customFormat="1">
      <c r="A489" s="51"/>
      <c r="B489" s="52"/>
      <c r="C489" s="52"/>
      <c r="D489" s="52"/>
      <c r="E489" s="53"/>
      <c r="F489" s="52"/>
      <c r="G489" s="52"/>
      <c r="H489" s="52"/>
      <c r="I489" s="53"/>
      <c r="J489" s="52"/>
      <c r="K489" s="52"/>
      <c r="L489" s="52"/>
      <c r="M489" s="52"/>
      <c r="N489" s="19"/>
      <c r="O489" s="19"/>
      <c r="P489" s="19"/>
      <c r="Q489" s="19"/>
      <c r="R489" s="19"/>
      <c r="S489" s="19"/>
      <c r="T489" s="19"/>
      <c r="U489" s="19"/>
      <c r="V489" s="19"/>
      <c r="W489" s="19"/>
      <c r="X489" s="19"/>
      <c r="Y489" s="19"/>
      <c r="Z489" s="19"/>
      <c r="AA489" s="19"/>
      <c r="AB489" s="19"/>
      <c r="AC489" s="19"/>
      <c r="AD489" s="19"/>
      <c r="AE489" s="19"/>
      <c r="AF489" s="19"/>
      <c r="AG489" s="19"/>
      <c r="AH489" s="19"/>
      <c r="AI489" s="19"/>
      <c r="AJ489" s="19"/>
      <c r="AK489" s="19"/>
      <c r="AL489" s="19"/>
      <c r="AM489" s="19"/>
      <c r="AN489" s="19"/>
      <c r="AO489" s="19"/>
      <c r="AP489" s="19"/>
      <c r="AQ489" s="19"/>
      <c r="AR489" s="19"/>
      <c r="AS489" s="19"/>
      <c r="AT489" s="19"/>
      <c r="AU489" s="19"/>
      <c r="AV489" s="19"/>
      <c r="AW489" s="19"/>
      <c r="AX489" s="19"/>
      <c r="GA489" s="54"/>
    </row>
    <row r="490" spans="1:183" s="18" customFormat="1">
      <c r="A490" s="51"/>
      <c r="B490" s="52"/>
      <c r="C490" s="52"/>
      <c r="D490" s="52"/>
      <c r="E490" s="53"/>
      <c r="F490" s="52"/>
      <c r="G490" s="52"/>
      <c r="H490" s="52"/>
      <c r="I490" s="53"/>
      <c r="J490" s="52"/>
      <c r="K490" s="52"/>
      <c r="L490" s="52"/>
      <c r="M490" s="52"/>
      <c r="N490" s="19"/>
      <c r="O490" s="19"/>
      <c r="P490" s="19"/>
      <c r="Q490" s="19"/>
      <c r="R490" s="19"/>
      <c r="S490" s="19"/>
      <c r="T490" s="19"/>
      <c r="U490" s="19"/>
      <c r="V490" s="19"/>
      <c r="W490" s="19"/>
      <c r="X490" s="19"/>
      <c r="Y490" s="19"/>
      <c r="Z490" s="19"/>
      <c r="AA490" s="19"/>
      <c r="AB490" s="19"/>
      <c r="AC490" s="19"/>
      <c r="AD490" s="19"/>
      <c r="AE490" s="19"/>
      <c r="AF490" s="19"/>
      <c r="AG490" s="19"/>
      <c r="AH490" s="19"/>
      <c r="AI490" s="19"/>
      <c r="AJ490" s="19"/>
      <c r="AK490" s="19"/>
      <c r="AL490" s="19"/>
      <c r="AM490" s="19"/>
      <c r="AN490" s="19"/>
      <c r="AO490" s="19"/>
      <c r="AP490" s="19"/>
      <c r="AQ490" s="19"/>
      <c r="AR490" s="19"/>
      <c r="AS490" s="19"/>
      <c r="AT490" s="19"/>
      <c r="AU490" s="19"/>
      <c r="AV490" s="19"/>
      <c r="AW490" s="19"/>
      <c r="AX490" s="19"/>
      <c r="GA490" s="54"/>
    </row>
    <row r="491" spans="1:183" s="18" customFormat="1">
      <c r="A491" s="51"/>
      <c r="B491" s="52"/>
      <c r="C491" s="52"/>
      <c r="D491" s="52"/>
      <c r="E491" s="53"/>
      <c r="F491" s="52"/>
      <c r="G491" s="52"/>
      <c r="H491" s="52"/>
      <c r="I491" s="53"/>
      <c r="J491" s="52"/>
      <c r="K491" s="52"/>
      <c r="L491" s="52"/>
      <c r="M491" s="52"/>
      <c r="N491" s="19"/>
      <c r="O491" s="19"/>
      <c r="P491" s="19"/>
      <c r="Q491" s="19"/>
      <c r="R491" s="19"/>
      <c r="S491" s="19"/>
      <c r="T491" s="19"/>
      <c r="U491" s="19"/>
      <c r="V491" s="19"/>
      <c r="W491" s="19"/>
      <c r="X491" s="19"/>
      <c r="Y491" s="19"/>
      <c r="Z491" s="19"/>
      <c r="AA491" s="19"/>
      <c r="AB491" s="19"/>
      <c r="AC491" s="19"/>
      <c r="AD491" s="19"/>
      <c r="AE491" s="19"/>
      <c r="AF491" s="19"/>
      <c r="AG491" s="19"/>
      <c r="AH491" s="19"/>
      <c r="AI491" s="19"/>
      <c r="AJ491" s="19"/>
      <c r="AK491" s="19"/>
      <c r="AL491" s="19"/>
      <c r="AM491" s="19"/>
      <c r="AN491" s="19"/>
      <c r="AO491" s="19"/>
      <c r="AP491" s="19"/>
      <c r="AQ491" s="19"/>
      <c r="AR491" s="19"/>
      <c r="AS491" s="19"/>
      <c r="AT491" s="19"/>
      <c r="AU491" s="19"/>
      <c r="AV491" s="19"/>
      <c r="AW491" s="19"/>
      <c r="AX491" s="19"/>
      <c r="GA491" s="54"/>
    </row>
    <row r="492" spans="1:183" s="18" customFormat="1">
      <c r="A492" s="51"/>
      <c r="B492" s="52"/>
      <c r="C492" s="52"/>
      <c r="D492" s="52"/>
      <c r="E492" s="53"/>
      <c r="F492" s="52"/>
      <c r="G492" s="52"/>
      <c r="H492" s="52"/>
      <c r="I492" s="53"/>
      <c r="J492" s="52"/>
      <c r="K492" s="52"/>
      <c r="L492" s="52"/>
      <c r="M492" s="52"/>
      <c r="N492" s="19"/>
      <c r="O492" s="19"/>
      <c r="P492" s="19"/>
      <c r="Q492" s="19"/>
      <c r="R492" s="19"/>
      <c r="S492" s="19"/>
      <c r="T492" s="19"/>
      <c r="U492" s="19"/>
      <c r="V492" s="19"/>
      <c r="W492" s="19"/>
      <c r="X492" s="19"/>
      <c r="Y492" s="19"/>
      <c r="Z492" s="19"/>
      <c r="AA492" s="19"/>
      <c r="AB492" s="19"/>
      <c r="AC492" s="19"/>
      <c r="AD492" s="19"/>
      <c r="AE492" s="19"/>
      <c r="AF492" s="19"/>
      <c r="AG492" s="19"/>
      <c r="AH492" s="19"/>
      <c r="AI492" s="19"/>
      <c r="AJ492" s="19"/>
      <c r="AK492" s="19"/>
      <c r="AL492" s="19"/>
      <c r="AM492" s="19"/>
      <c r="AN492" s="19"/>
      <c r="AO492" s="19"/>
      <c r="AP492" s="19"/>
      <c r="AQ492" s="19"/>
      <c r="AR492" s="19"/>
      <c r="AS492" s="19"/>
      <c r="AT492" s="19"/>
      <c r="AU492" s="19"/>
      <c r="AV492" s="19"/>
      <c r="AW492" s="19"/>
      <c r="AX492" s="19"/>
      <c r="GA492" s="54"/>
    </row>
    <row r="493" spans="1:183" s="18" customFormat="1">
      <c r="A493" s="51"/>
      <c r="B493" s="52"/>
      <c r="C493" s="52"/>
      <c r="D493" s="52"/>
      <c r="E493" s="53"/>
      <c r="F493" s="52"/>
      <c r="G493" s="52"/>
      <c r="H493" s="52"/>
      <c r="I493" s="53"/>
      <c r="J493" s="52"/>
      <c r="K493" s="52"/>
      <c r="L493" s="52"/>
      <c r="M493" s="52"/>
      <c r="N493" s="19"/>
      <c r="O493" s="19"/>
      <c r="P493" s="19"/>
      <c r="Q493" s="19"/>
      <c r="R493" s="19"/>
      <c r="S493" s="19"/>
      <c r="T493" s="19"/>
      <c r="U493" s="19"/>
      <c r="V493" s="19"/>
      <c r="W493" s="19"/>
      <c r="X493" s="19"/>
      <c r="Y493" s="19"/>
      <c r="Z493" s="19"/>
      <c r="AA493" s="19"/>
      <c r="AB493" s="19"/>
      <c r="AC493" s="19"/>
      <c r="AD493" s="19"/>
      <c r="AE493" s="19"/>
      <c r="AF493" s="19"/>
      <c r="AG493" s="19"/>
      <c r="AH493" s="19"/>
      <c r="AI493" s="19"/>
      <c r="AJ493" s="19"/>
      <c r="AK493" s="19"/>
      <c r="AL493" s="19"/>
      <c r="AM493" s="19"/>
      <c r="AN493" s="19"/>
      <c r="AO493" s="19"/>
      <c r="AP493" s="19"/>
      <c r="AQ493" s="19"/>
      <c r="AR493" s="19"/>
      <c r="AS493" s="19"/>
      <c r="AT493" s="19"/>
      <c r="AU493" s="19"/>
      <c r="AV493" s="19"/>
      <c r="AW493" s="19"/>
      <c r="AX493" s="19"/>
      <c r="GA493" s="54"/>
    </row>
    <row r="494" spans="1:183" s="18" customFormat="1">
      <c r="A494" s="51"/>
      <c r="B494" s="52"/>
      <c r="C494" s="52"/>
      <c r="D494" s="52"/>
      <c r="E494" s="53"/>
      <c r="F494" s="52"/>
      <c r="G494" s="52"/>
      <c r="H494" s="52"/>
      <c r="I494" s="53"/>
      <c r="J494" s="52"/>
      <c r="K494" s="52"/>
      <c r="L494" s="52"/>
      <c r="M494" s="52"/>
      <c r="N494" s="19"/>
      <c r="O494" s="19"/>
      <c r="P494" s="19"/>
      <c r="Q494" s="19"/>
      <c r="R494" s="19"/>
      <c r="S494" s="19"/>
      <c r="T494" s="19"/>
      <c r="U494" s="19"/>
      <c r="V494" s="19"/>
      <c r="W494" s="19"/>
      <c r="X494" s="19"/>
      <c r="Y494" s="19"/>
      <c r="Z494" s="19"/>
      <c r="AA494" s="19"/>
      <c r="AB494" s="19"/>
      <c r="AC494" s="19"/>
      <c r="AD494" s="19"/>
      <c r="AE494" s="19"/>
      <c r="AF494" s="19"/>
      <c r="AG494" s="19"/>
      <c r="AH494" s="19"/>
      <c r="AI494" s="19"/>
      <c r="AJ494" s="19"/>
      <c r="AK494" s="19"/>
      <c r="AL494" s="19"/>
      <c r="AM494" s="19"/>
      <c r="AN494" s="19"/>
      <c r="AO494" s="19"/>
      <c r="AP494" s="19"/>
      <c r="AQ494" s="19"/>
      <c r="AR494" s="19"/>
      <c r="AS494" s="19"/>
      <c r="AT494" s="19"/>
      <c r="AU494" s="19"/>
      <c r="AV494" s="19"/>
      <c r="AW494" s="19"/>
      <c r="AX494" s="19"/>
      <c r="GA494" s="54"/>
    </row>
    <row r="495" spans="1:183" s="18" customFormat="1">
      <c r="A495" s="51"/>
      <c r="B495" s="52"/>
      <c r="C495" s="52"/>
      <c r="D495" s="52"/>
      <c r="E495" s="53"/>
      <c r="F495" s="52"/>
      <c r="G495" s="52"/>
      <c r="H495" s="52"/>
      <c r="I495" s="53"/>
      <c r="J495" s="52"/>
      <c r="K495" s="52"/>
      <c r="L495" s="52"/>
      <c r="M495" s="52"/>
      <c r="N495" s="19"/>
      <c r="O495" s="19"/>
      <c r="P495" s="19"/>
      <c r="Q495" s="19"/>
      <c r="R495" s="19"/>
      <c r="S495" s="19"/>
      <c r="T495" s="19"/>
      <c r="U495" s="19"/>
      <c r="V495" s="19"/>
      <c r="W495" s="19"/>
      <c r="X495" s="19"/>
      <c r="Y495" s="19"/>
      <c r="Z495" s="19"/>
      <c r="AA495" s="19"/>
      <c r="AB495" s="19"/>
      <c r="AC495" s="19"/>
      <c r="AD495" s="19"/>
      <c r="AE495" s="19"/>
      <c r="AF495" s="19"/>
      <c r="AG495" s="19"/>
      <c r="AH495" s="19"/>
      <c r="AI495" s="19"/>
      <c r="AJ495" s="19"/>
      <c r="AK495" s="19"/>
      <c r="AL495" s="19"/>
      <c r="AM495" s="19"/>
      <c r="AN495" s="19"/>
      <c r="AO495" s="19"/>
      <c r="AP495" s="19"/>
      <c r="AQ495" s="19"/>
      <c r="AR495" s="19"/>
      <c r="AS495" s="19"/>
      <c r="AT495" s="19"/>
      <c r="AU495" s="19"/>
      <c r="AV495" s="19"/>
      <c r="AW495" s="19"/>
      <c r="AX495" s="19"/>
      <c r="GA495" s="54"/>
    </row>
    <row r="496" spans="1:183" s="18" customFormat="1">
      <c r="A496" s="51"/>
      <c r="B496" s="52"/>
      <c r="C496" s="52"/>
      <c r="D496" s="52"/>
      <c r="E496" s="53"/>
      <c r="F496" s="52"/>
      <c r="G496" s="52"/>
      <c r="H496" s="52"/>
      <c r="I496" s="53"/>
      <c r="J496" s="52"/>
      <c r="K496" s="52"/>
      <c r="L496" s="52"/>
      <c r="M496" s="52"/>
      <c r="N496" s="19"/>
      <c r="O496" s="19"/>
      <c r="P496" s="19"/>
      <c r="Q496" s="19"/>
      <c r="R496" s="19"/>
      <c r="S496" s="19"/>
      <c r="T496" s="19"/>
      <c r="U496" s="19"/>
      <c r="V496" s="19"/>
      <c r="W496" s="19"/>
      <c r="X496" s="19"/>
      <c r="Y496" s="19"/>
      <c r="Z496" s="19"/>
      <c r="AA496" s="19"/>
      <c r="AB496" s="19"/>
      <c r="AC496" s="19"/>
      <c r="AD496" s="19"/>
      <c r="AE496" s="19"/>
      <c r="AF496" s="19"/>
      <c r="AG496" s="19"/>
      <c r="AH496" s="19"/>
      <c r="AI496" s="19"/>
      <c r="AJ496" s="19"/>
      <c r="AK496" s="19"/>
      <c r="AL496" s="19"/>
      <c r="AM496" s="19"/>
      <c r="AN496" s="19"/>
      <c r="AO496" s="19"/>
      <c r="AP496" s="19"/>
      <c r="AQ496" s="19"/>
      <c r="AR496" s="19"/>
      <c r="AS496" s="19"/>
      <c r="AT496" s="19"/>
      <c r="AU496" s="19"/>
      <c r="AV496" s="19"/>
      <c r="AW496" s="19"/>
      <c r="AX496" s="19"/>
      <c r="GA496" s="54"/>
    </row>
    <row r="497" spans="1:183" s="18" customFormat="1">
      <c r="A497" s="51"/>
      <c r="B497" s="52"/>
      <c r="C497" s="52"/>
      <c r="D497" s="52"/>
      <c r="E497" s="53"/>
      <c r="F497" s="52"/>
      <c r="G497" s="52"/>
      <c r="H497" s="52"/>
      <c r="I497" s="53"/>
      <c r="J497" s="52"/>
      <c r="K497" s="52"/>
      <c r="L497" s="52"/>
      <c r="M497" s="52"/>
      <c r="N497" s="19"/>
      <c r="O497" s="19"/>
      <c r="P497" s="19"/>
      <c r="Q497" s="19"/>
      <c r="R497" s="19"/>
      <c r="S497" s="19"/>
      <c r="T497" s="19"/>
      <c r="U497" s="19"/>
      <c r="V497" s="19"/>
      <c r="W497" s="19"/>
      <c r="X497" s="19"/>
      <c r="Y497" s="19"/>
      <c r="Z497" s="19"/>
      <c r="AA497" s="19"/>
      <c r="AB497" s="19"/>
      <c r="AC497" s="19"/>
      <c r="AD497" s="19"/>
      <c r="AE497" s="19"/>
      <c r="AF497" s="19"/>
      <c r="AG497" s="19"/>
      <c r="AH497" s="19"/>
      <c r="AI497" s="19"/>
      <c r="AJ497" s="19"/>
      <c r="AK497" s="19"/>
      <c r="AL497" s="19"/>
      <c r="AM497" s="19"/>
      <c r="AN497" s="19"/>
      <c r="AO497" s="19"/>
      <c r="AP497" s="19"/>
      <c r="AQ497" s="19"/>
      <c r="AR497" s="19"/>
      <c r="AS497" s="19"/>
      <c r="AT497" s="19"/>
      <c r="AU497" s="19"/>
      <c r="AV497" s="19"/>
      <c r="AW497" s="19"/>
      <c r="AX497" s="19"/>
      <c r="GA497" s="54"/>
    </row>
    <row r="498" spans="1:183" s="18" customFormat="1">
      <c r="A498" s="51"/>
      <c r="B498" s="52"/>
      <c r="C498" s="52"/>
      <c r="D498" s="52"/>
      <c r="E498" s="53"/>
      <c r="F498" s="52"/>
      <c r="G498" s="52"/>
      <c r="H498" s="52"/>
      <c r="I498" s="53"/>
      <c r="J498" s="52"/>
      <c r="K498" s="52"/>
      <c r="L498" s="52"/>
      <c r="M498" s="52"/>
      <c r="N498" s="19"/>
      <c r="O498" s="19"/>
      <c r="P498" s="19"/>
      <c r="Q498" s="19"/>
      <c r="R498" s="19"/>
      <c r="S498" s="19"/>
      <c r="T498" s="19"/>
      <c r="U498" s="19"/>
      <c r="V498" s="19"/>
      <c r="W498" s="19"/>
      <c r="X498" s="19"/>
      <c r="Y498" s="19"/>
      <c r="Z498" s="19"/>
      <c r="AA498" s="19"/>
      <c r="AB498" s="19"/>
      <c r="AC498" s="19"/>
      <c r="AD498" s="19"/>
      <c r="AE498" s="19"/>
      <c r="AF498" s="19"/>
      <c r="AG498" s="19"/>
      <c r="AH498" s="19"/>
      <c r="AI498" s="19"/>
      <c r="AJ498" s="19"/>
      <c r="AK498" s="19"/>
      <c r="AL498" s="19"/>
      <c r="AM498" s="19"/>
      <c r="AN498" s="19"/>
      <c r="AO498" s="19"/>
      <c r="AP498" s="19"/>
      <c r="AQ498" s="19"/>
      <c r="AR498" s="19"/>
      <c r="AS498" s="19"/>
      <c r="AT498" s="19"/>
      <c r="AU498" s="19"/>
      <c r="AV498" s="19"/>
      <c r="AW498" s="19"/>
      <c r="AX498" s="19"/>
      <c r="GA498" s="54"/>
    </row>
    <row r="499" spans="1:183" s="18" customFormat="1">
      <c r="A499" s="51"/>
      <c r="B499" s="52"/>
      <c r="C499" s="52"/>
      <c r="D499" s="52"/>
      <c r="E499" s="53"/>
      <c r="F499" s="52"/>
      <c r="G499" s="52"/>
      <c r="H499" s="52"/>
      <c r="I499" s="53"/>
      <c r="J499" s="52"/>
      <c r="K499" s="52"/>
      <c r="L499" s="52"/>
      <c r="M499" s="52"/>
      <c r="N499" s="19"/>
      <c r="O499" s="19"/>
      <c r="P499" s="19"/>
      <c r="Q499" s="19"/>
      <c r="R499" s="19"/>
      <c r="S499" s="19"/>
      <c r="T499" s="19"/>
      <c r="U499" s="19"/>
      <c r="V499" s="19"/>
      <c r="W499" s="19"/>
      <c r="X499" s="19"/>
      <c r="Y499" s="19"/>
      <c r="Z499" s="19"/>
      <c r="AA499" s="19"/>
      <c r="AB499" s="19"/>
      <c r="AC499" s="19"/>
      <c r="AD499" s="19"/>
      <c r="AE499" s="19"/>
      <c r="AF499" s="19"/>
      <c r="AG499" s="19"/>
      <c r="AH499" s="19"/>
      <c r="AI499" s="19"/>
      <c r="AJ499" s="19"/>
      <c r="AK499" s="19"/>
      <c r="AL499" s="19"/>
      <c r="AM499" s="19"/>
      <c r="AN499" s="19"/>
      <c r="AO499" s="19"/>
      <c r="AP499" s="19"/>
      <c r="AQ499" s="19"/>
      <c r="AR499" s="19"/>
      <c r="AS499" s="19"/>
      <c r="AT499" s="19"/>
      <c r="AU499" s="19"/>
      <c r="AV499" s="19"/>
      <c r="AW499" s="19"/>
      <c r="AX499" s="19"/>
      <c r="GA499" s="54"/>
    </row>
    <row r="500" spans="1:183" s="18" customFormat="1">
      <c r="A500" s="51"/>
      <c r="B500" s="52"/>
      <c r="C500" s="52"/>
      <c r="D500" s="52"/>
      <c r="E500" s="53"/>
      <c r="F500" s="52"/>
      <c r="G500" s="52"/>
      <c r="H500" s="52"/>
      <c r="I500" s="53"/>
      <c r="J500" s="52"/>
      <c r="K500" s="52"/>
      <c r="L500" s="52"/>
      <c r="M500" s="52"/>
      <c r="N500" s="19"/>
      <c r="O500" s="19"/>
      <c r="P500" s="19"/>
      <c r="Q500" s="19"/>
      <c r="R500" s="19"/>
      <c r="S500" s="19"/>
      <c r="T500" s="19"/>
      <c r="U500" s="19"/>
      <c r="V500" s="19"/>
      <c r="W500" s="19"/>
      <c r="X500" s="19"/>
      <c r="Y500" s="19"/>
      <c r="Z500" s="19"/>
      <c r="AA500" s="19"/>
      <c r="AB500" s="19"/>
      <c r="AC500" s="19"/>
      <c r="AD500" s="19"/>
      <c r="AE500" s="19"/>
      <c r="AF500" s="19"/>
      <c r="AG500" s="19"/>
      <c r="AH500" s="19"/>
      <c r="AI500" s="19"/>
      <c r="AJ500" s="19"/>
      <c r="AK500" s="19"/>
      <c r="AL500" s="19"/>
      <c r="AM500" s="19"/>
      <c r="AN500" s="19"/>
      <c r="AO500" s="19"/>
      <c r="AP500" s="19"/>
      <c r="AQ500" s="19"/>
      <c r="AR500" s="19"/>
      <c r="AS500" s="19"/>
      <c r="AT500" s="19"/>
      <c r="AU500" s="19"/>
      <c r="AV500" s="19"/>
      <c r="AW500" s="19"/>
      <c r="AX500" s="19"/>
      <c r="GA500" s="54"/>
    </row>
    <row r="501" spans="1:183" s="18" customFormat="1">
      <c r="A501" s="51"/>
      <c r="B501" s="52"/>
      <c r="C501" s="52"/>
      <c r="D501" s="52"/>
      <c r="E501" s="53"/>
      <c r="F501" s="52"/>
      <c r="G501" s="52"/>
      <c r="H501" s="52"/>
      <c r="I501" s="53"/>
      <c r="J501" s="52"/>
      <c r="K501" s="52"/>
      <c r="L501" s="52"/>
      <c r="M501" s="52"/>
      <c r="N501" s="19"/>
      <c r="O501" s="19"/>
      <c r="P501" s="19"/>
      <c r="Q501" s="19"/>
      <c r="R501" s="19"/>
      <c r="S501" s="19"/>
      <c r="T501" s="19"/>
      <c r="U501" s="19"/>
      <c r="V501" s="19"/>
      <c r="W501" s="19"/>
      <c r="X501" s="19"/>
      <c r="Y501" s="19"/>
      <c r="Z501" s="19"/>
      <c r="AA501" s="19"/>
      <c r="AB501" s="19"/>
      <c r="AC501" s="19"/>
      <c r="AD501" s="19"/>
      <c r="AE501" s="19"/>
      <c r="AF501" s="19"/>
      <c r="AG501" s="19"/>
      <c r="AH501" s="19"/>
      <c r="AI501" s="19"/>
      <c r="AJ501" s="19"/>
      <c r="AK501" s="19"/>
      <c r="AL501" s="19"/>
      <c r="AM501" s="19"/>
      <c r="AN501" s="19"/>
      <c r="AO501" s="19"/>
      <c r="AP501" s="19"/>
      <c r="AQ501" s="19"/>
      <c r="AR501" s="19"/>
      <c r="AS501" s="19"/>
      <c r="AT501" s="19"/>
      <c r="AU501" s="19"/>
      <c r="AV501" s="19"/>
      <c r="AW501" s="19"/>
      <c r="AX501" s="19"/>
      <c r="GA501" s="54"/>
    </row>
    <row r="502" spans="1:183" s="18" customFormat="1">
      <c r="A502" s="51"/>
      <c r="B502" s="52"/>
      <c r="C502" s="52"/>
      <c r="D502" s="52"/>
      <c r="E502" s="53"/>
      <c r="F502" s="52"/>
      <c r="G502" s="52"/>
      <c r="H502" s="52"/>
      <c r="I502" s="53"/>
      <c r="J502" s="52"/>
      <c r="K502" s="52"/>
      <c r="L502" s="52"/>
      <c r="M502" s="52"/>
      <c r="N502" s="19"/>
      <c r="O502" s="19"/>
      <c r="P502" s="19"/>
      <c r="Q502" s="19"/>
      <c r="R502" s="19"/>
      <c r="S502" s="19"/>
      <c r="T502" s="19"/>
      <c r="U502" s="19"/>
      <c r="V502" s="19"/>
      <c r="W502" s="19"/>
      <c r="X502" s="19"/>
      <c r="Y502" s="19"/>
      <c r="Z502" s="19"/>
      <c r="AA502" s="19"/>
      <c r="AB502" s="19"/>
      <c r="AC502" s="19"/>
      <c r="AD502" s="19"/>
      <c r="AE502" s="19"/>
      <c r="AF502" s="19"/>
      <c r="AG502" s="19"/>
      <c r="AH502" s="19"/>
      <c r="AI502" s="19"/>
      <c r="AJ502" s="19"/>
      <c r="AK502" s="19"/>
      <c r="AL502" s="19"/>
      <c r="AM502" s="19"/>
      <c r="AN502" s="19"/>
      <c r="AO502" s="19"/>
      <c r="AP502" s="19"/>
      <c r="AQ502" s="19"/>
      <c r="AR502" s="19"/>
      <c r="AS502" s="19"/>
      <c r="AT502" s="19"/>
      <c r="AU502" s="19"/>
      <c r="AV502" s="19"/>
      <c r="AW502" s="19"/>
      <c r="AX502" s="19"/>
      <c r="GA502" s="54"/>
    </row>
    <row r="503" spans="1:183" s="18" customFormat="1">
      <c r="A503" s="51"/>
      <c r="B503" s="52"/>
      <c r="C503" s="52"/>
      <c r="D503" s="52"/>
      <c r="E503" s="53"/>
      <c r="F503" s="52"/>
      <c r="G503" s="52"/>
      <c r="H503" s="52"/>
      <c r="I503" s="53"/>
      <c r="J503" s="52"/>
      <c r="K503" s="52"/>
      <c r="L503" s="52"/>
      <c r="M503" s="52"/>
      <c r="N503" s="19"/>
      <c r="O503" s="19"/>
      <c r="P503" s="19"/>
      <c r="Q503" s="19"/>
      <c r="R503" s="19"/>
      <c r="S503" s="19"/>
      <c r="T503" s="19"/>
      <c r="U503" s="19"/>
      <c r="V503" s="19"/>
      <c r="W503" s="19"/>
      <c r="X503" s="19"/>
      <c r="Y503" s="19"/>
      <c r="Z503" s="19"/>
      <c r="AA503" s="19"/>
      <c r="AB503" s="19"/>
      <c r="AC503" s="19"/>
      <c r="AD503" s="19"/>
      <c r="AE503" s="19"/>
      <c r="AF503" s="19"/>
      <c r="AG503" s="19"/>
      <c r="AH503" s="19"/>
      <c r="AI503" s="19"/>
      <c r="AJ503" s="19"/>
      <c r="AK503" s="19"/>
      <c r="AL503" s="19"/>
      <c r="AM503" s="19"/>
      <c r="AN503" s="19"/>
      <c r="AO503" s="19"/>
      <c r="AP503" s="19"/>
      <c r="AQ503" s="19"/>
      <c r="AR503" s="19"/>
      <c r="AS503" s="19"/>
      <c r="AT503" s="19"/>
      <c r="AU503" s="19"/>
      <c r="AV503" s="19"/>
      <c r="AW503" s="19"/>
      <c r="AX503" s="19"/>
      <c r="GA503" s="54"/>
    </row>
    <row r="504" spans="1:183" s="18" customFormat="1">
      <c r="A504" s="51"/>
      <c r="B504" s="52"/>
      <c r="C504" s="52"/>
      <c r="D504" s="52"/>
      <c r="E504" s="53"/>
      <c r="F504" s="52"/>
      <c r="G504" s="52"/>
      <c r="H504" s="52"/>
      <c r="I504" s="53"/>
      <c r="J504" s="52"/>
      <c r="K504" s="52"/>
      <c r="L504" s="52"/>
      <c r="M504" s="52"/>
      <c r="N504" s="19"/>
      <c r="O504" s="19"/>
      <c r="P504" s="19"/>
      <c r="Q504" s="19"/>
      <c r="R504" s="19"/>
      <c r="S504" s="19"/>
      <c r="T504" s="19"/>
      <c r="U504" s="19"/>
      <c r="V504" s="19"/>
      <c r="W504" s="19"/>
      <c r="X504" s="19"/>
      <c r="Y504" s="19"/>
      <c r="Z504" s="19"/>
      <c r="AA504" s="19"/>
      <c r="AB504" s="19"/>
      <c r="AC504" s="19"/>
      <c r="AD504" s="19"/>
      <c r="AE504" s="19"/>
      <c r="AF504" s="19"/>
      <c r="AG504" s="19"/>
      <c r="AH504" s="19"/>
      <c r="AI504" s="19"/>
      <c r="AJ504" s="19"/>
      <c r="AK504" s="19"/>
      <c r="AL504" s="19"/>
      <c r="AM504" s="19"/>
      <c r="AN504" s="19"/>
      <c r="AO504" s="19"/>
      <c r="AP504" s="19"/>
      <c r="AQ504" s="19"/>
      <c r="AR504" s="19"/>
      <c r="AS504" s="19"/>
      <c r="AT504" s="19"/>
      <c r="AU504" s="19"/>
      <c r="AV504" s="19"/>
      <c r="AW504" s="19"/>
      <c r="AX504" s="19"/>
      <c r="GA504" s="54"/>
    </row>
    <row r="505" spans="1:183" s="18" customFormat="1">
      <c r="A505" s="51"/>
      <c r="B505" s="52"/>
      <c r="C505" s="52"/>
      <c r="D505" s="52"/>
      <c r="E505" s="53"/>
      <c r="F505" s="52"/>
      <c r="G505" s="52"/>
      <c r="H505" s="52"/>
      <c r="I505" s="53"/>
      <c r="J505" s="52"/>
      <c r="K505" s="52"/>
      <c r="L505" s="52"/>
      <c r="M505" s="52"/>
      <c r="N505" s="19"/>
      <c r="O505" s="19"/>
      <c r="P505" s="19"/>
      <c r="Q505" s="19"/>
      <c r="R505" s="19"/>
      <c r="S505" s="19"/>
      <c r="T505" s="19"/>
      <c r="U505" s="19"/>
      <c r="V505" s="19"/>
      <c r="W505" s="19"/>
      <c r="X505" s="19"/>
      <c r="Y505" s="19"/>
      <c r="Z505" s="19"/>
      <c r="AA505" s="19"/>
      <c r="AB505" s="19"/>
      <c r="AC505" s="19"/>
      <c r="AD505" s="19"/>
      <c r="AE505" s="19"/>
      <c r="AF505" s="19"/>
      <c r="AG505" s="19"/>
      <c r="AH505" s="19"/>
      <c r="AI505" s="19"/>
      <c r="AJ505" s="19"/>
      <c r="AK505" s="19"/>
      <c r="AL505" s="19"/>
      <c r="AM505" s="19"/>
      <c r="AN505" s="19"/>
      <c r="AO505" s="19"/>
      <c r="AP505" s="19"/>
      <c r="AQ505" s="19"/>
      <c r="AR505" s="19"/>
      <c r="AS505" s="19"/>
      <c r="AT505" s="19"/>
      <c r="AU505" s="19"/>
      <c r="AV505" s="19"/>
      <c r="AW505" s="19"/>
      <c r="AX505" s="19"/>
      <c r="GA505" s="54"/>
    </row>
    <row r="506" spans="1:183" s="18" customFormat="1">
      <c r="A506" s="51"/>
      <c r="B506" s="52"/>
      <c r="C506" s="52"/>
      <c r="D506" s="52"/>
      <c r="E506" s="53"/>
      <c r="F506" s="52"/>
      <c r="G506" s="52"/>
      <c r="H506" s="52"/>
      <c r="I506" s="53"/>
      <c r="J506" s="52"/>
      <c r="K506" s="52"/>
      <c r="L506" s="52"/>
      <c r="M506" s="52"/>
      <c r="N506" s="19"/>
      <c r="O506" s="19"/>
      <c r="P506" s="19"/>
      <c r="Q506" s="19"/>
      <c r="R506" s="19"/>
      <c r="S506" s="19"/>
      <c r="T506" s="19"/>
      <c r="U506" s="19"/>
      <c r="V506" s="19"/>
      <c r="W506" s="19"/>
      <c r="X506" s="19"/>
      <c r="Y506" s="19"/>
      <c r="Z506" s="19"/>
      <c r="AA506" s="19"/>
      <c r="AB506" s="19"/>
      <c r="AC506" s="19"/>
      <c r="AD506" s="19"/>
      <c r="AE506" s="19"/>
      <c r="AF506" s="19"/>
      <c r="AG506" s="19"/>
      <c r="AH506" s="19"/>
      <c r="AI506" s="19"/>
      <c r="AJ506" s="19"/>
      <c r="AK506" s="19"/>
      <c r="AL506" s="19"/>
      <c r="AM506" s="19"/>
      <c r="AN506" s="19"/>
      <c r="AO506" s="19"/>
      <c r="AP506" s="19"/>
      <c r="AQ506" s="19"/>
      <c r="AR506" s="19"/>
      <c r="AS506" s="19"/>
      <c r="AT506" s="19"/>
      <c r="AU506" s="19"/>
      <c r="AV506" s="19"/>
      <c r="AW506" s="19"/>
      <c r="AX506" s="19"/>
      <c r="GA506" s="54"/>
    </row>
    <row r="507" spans="1:183" s="18" customFormat="1">
      <c r="A507" s="51"/>
      <c r="B507" s="52"/>
      <c r="C507" s="52"/>
      <c r="D507" s="52"/>
      <c r="E507" s="53"/>
      <c r="F507" s="52"/>
      <c r="G507" s="52"/>
      <c r="H507" s="52"/>
      <c r="I507" s="53"/>
      <c r="J507" s="52"/>
      <c r="K507" s="52"/>
      <c r="L507" s="52"/>
      <c r="M507" s="52"/>
      <c r="N507" s="19"/>
      <c r="O507" s="19"/>
      <c r="P507" s="19"/>
      <c r="Q507" s="19"/>
      <c r="R507" s="19"/>
      <c r="S507" s="19"/>
      <c r="T507" s="19"/>
      <c r="U507" s="19"/>
      <c r="V507" s="19"/>
      <c r="W507" s="19"/>
      <c r="X507" s="19"/>
      <c r="Y507" s="19"/>
      <c r="Z507" s="19"/>
      <c r="AA507" s="19"/>
      <c r="AB507" s="19"/>
      <c r="AC507" s="19"/>
      <c r="AD507" s="19"/>
      <c r="AE507" s="19"/>
      <c r="AF507" s="19"/>
      <c r="AG507" s="19"/>
      <c r="AH507" s="19"/>
      <c r="AI507" s="19"/>
      <c r="AJ507" s="19"/>
      <c r="AK507" s="19"/>
      <c r="AL507" s="19"/>
      <c r="AM507" s="19"/>
      <c r="AN507" s="19"/>
      <c r="AO507" s="19"/>
      <c r="AP507" s="19"/>
      <c r="AQ507" s="19"/>
      <c r="AR507" s="19"/>
      <c r="AS507" s="19"/>
      <c r="AT507" s="19"/>
      <c r="AU507" s="19"/>
      <c r="AV507" s="19"/>
      <c r="AW507" s="19"/>
      <c r="AX507" s="19"/>
      <c r="GA507" s="54"/>
    </row>
    <row r="508" spans="1:183" s="18" customFormat="1">
      <c r="A508" s="51"/>
      <c r="B508" s="52"/>
      <c r="C508" s="52"/>
      <c r="D508" s="52"/>
      <c r="E508" s="53"/>
      <c r="F508" s="52"/>
      <c r="G508" s="52"/>
      <c r="H508" s="52"/>
      <c r="I508" s="53"/>
      <c r="J508" s="52"/>
      <c r="K508" s="52"/>
      <c r="L508" s="52"/>
      <c r="M508" s="52"/>
      <c r="N508" s="19"/>
      <c r="O508" s="19"/>
      <c r="P508" s="19"/>
      <c r="Q508" s="19"/>
      <c r="R508" s="19"/>
      <c r="S508" s="19"/>
      <c r="T508" s="19"/>
      <c r="U508" s="19"/>
      <c r="V508" s="19"/>
      <c r="W508" s="19"/>
      <c r="X508" s="19"/>
      <c r="Y508" s="19"/>
      <c r="Z508" s="19"/>
      <c r="AA508" s="19"/>
      <c r="AB508" s="19"/>
      <c r="AC508" s="19"/>
      <c r="AD508" s="19"/>
      <c r="AE508" s="19"/>
      <c r="AF508" s="19"/>
      <c r="AG508" s="19"/>
      <c r="AH508" s="19"/>
      <c r="AI508" s="19"/>
      <c r="AJ508" s="19"/>
      <c r="AK508" s="19"/>
      <c r="AL508" s="19"/>
      <c r="AM508" s="19"/>
      <c r="AN508" s="19"/>
      <c r="AO508" s="19"/>
      <c r="AP508" s="19"/>
      <c r="AQ508" s="19"/>
      <c r="AR508" s="19"/>
      <c r="AS508" s="19"/>
      <c r="AT508" s="19"/>
      <c r="AU508" s="19"/>
      <c r="AV508" s="19"/>
      <c r="AW508" s="19"/>
      <c r="AX508" s="19"/>
      <c r="GA508" s="54"/>
    </row>
    <row r="509" spans="1:183" s="18" customFormat="1">
      <c r="A509" s="51"/>
      <c r="B509" s="52"/>
      <c r="C509" s="52"/>
      <c r="D509" s="52"/>
      <c r="E509" s="53"/>
      <c r="F509" s="52"/>
      <c r="G509" s="52"/>
      <c r="H509" s="52"/>
      <c r="I509" s="53"/>
      <c r="J509" s="52"/>
      <c r="K509" s="52"/>
      <c r="L509" s="52"/>
      <c r="M509" s="52"/>
      <c r="N509" s="19"/>
      <c r="O509" s="19"/>
      <c r="P509" s="19"/>
      <c r="Q509" s="19"/>
      <c r="R509" s="19"/>
      <c r="S509" s="19"/>
      <c r="T509" s="19"/>
      <c r="U509" s="19"/>
      <c r="V509" s="19"/>
      <c r="W509" s="19"/>
      <c r="X509" s="19"/>
      <c r="Y509" s="19"/>
      <c r="Z509" s="19"/>
      <c r="AA509" s="19"/>
      <c r="AB509" s="19"/>
      <c r="AC509" s="19"/>
      <c r="AD509" s="19"/>
      <c r="AE509" s="19"/>
      <c r="AF509" s="19"/>
      <c r="AG509" s="19"/>
      <c r="AH509" s="19"/>
      <c r="AI509" s="19"/>
      <c r="AJ509" s="19"/>
      <c r="AK509" s="19"/>
      <c r="AL509" s="19"/>
      <c r="AM509" s="19"/>
      <c r="AN509" s="19"/>
      <c r="AO509" s="19"/>
      <c r="AP509" s="19"/>
      <c r="AQ509" s="19"/>
      <c r="AR509" s="19"/>
      <c r="AS509" s="19"/>
      <c r="AT509" s="19"/>
      <c r="AU509" s="19"/>
      <c r="AV509" s="19"/>
      <c r="AW509" s="19"/>
      <c r="AX509" s="19"/>
      <c r="GA509" s="54"/>
    </row>
    <row r="510" spans="1:183" s="18" customFormat="1">
      <c r="A510" s="51"/>
      <c r="B510" s="52"/>
      <c r="C510" s="52"/>
      <c r="D510" s="52"/>
      <c r="E510" s="53"/>
      <c r="F510" s="52"/>
      <c r="G510" s="52"/>
      <c r="H510" s="52"/>
      <c r="I510" s="53"/>
      <c r="J510" s="52"/>
      <c r="K510" s="52"/>
      <c r="L510" s="52"/>
      <c r="M510" s="52"/>
      <c r="N510" s="19"/>
      <c r="O510" s="19"/>
      <c r="P510" s="19"/>
      <c r="Q510" s="19"/>
      <c r="R510" s="19"/>
      <c r="S510" s="19"/>
      <c r="T510" s="19"/>
      <c r="U510" s="19"/>
      <c r="V510" s="19"/>
      <c r="W510" s="19"/>
      <c r="X510" s="19"/>
      <c r="Y510" s="19"/>
      <c r="Z510" s="19"/>
      <c r="AA510" s="19"/>
      <c r="AB510" s="19"/>
      <c r="AC510" s="19"/>
      <c r="AD510" s="19"/>
      <c r="AE510" s="19"/>
      <c r="AF510" s="19"/>
      <c r="AG510" s="19"/>
      <c r="AH510" s="19"/>
      <c r="AI510" s="19"/>
      <c r="AJ510" s="19"/>
      <c r="AK510" s="19"/>
      <c r="AL510" s="19"/>
      <c r="AM510" s="19"/>
      <c r="AN510" s="19"/>
      <c r="AO510" s="19"/>
      <c r="AP510" s="19"/>
      <c r="AQ510" s="19"/>
      <c r="AR510" s="19"/>
      <c r="AS510" s="19"/>
      <c r="AT510" s="19"/>
      <c r="AU510" s="19"/>
      <c r="AV510" s="19"/>
      <c r="AW510" s="19"/>
      <c r="AX510" s="19"/>
      <c r="GA510" s="54"/>
    </row>
    <row r="511" spans="1:183" s="18" customFormat="1">
      <c r="A511" s="51"/>
      <c r="B511" s="52"/>
      <c r="C511" s="52"/>
      <c r="D511" s="52"/>
      <c r="E511" s="53"/>
      <c r="F511" s="52"/>
      <c r="G511" s="52"/>
      <c r="H511" s="52"/>
      <c r="I511" s="53"/>
      <c r="J511" s="52"/>
      <c r="K511" s="52"/>
      <c r="L511" s="52"/>
      <c r="M511" s="52"/>
      <c r="N511" s="19"/>
      <c r="O511" s="19"/>
      <c r="P511" s="19"/>
      <c r="Q511" s="19"/>
      <c r="R511" s="19"/>
      <c r="S511" s="19"/>
      <c r="T511" s="19"/>
      <c r="U511" s="19"/>
      <c r="V511" s="19"/>
      <c r="W511" s="19"/>
      <c r="X511" s="19"/>
      <c r="Y511" s="19"/>
      <c r="Z511" s="19"/>
      <c r="AA511" s="19"/>
      <c r="AB511" s="19"/>
      <c r="AC511" s="19"/>
      <c r="AD511" s="19"/>
      <c r="AE511" s="19"/>
      <c r="AF511" s="19"/>
      <c r="AG511" s="19"/>
      <c r="AH511" s="19"/>
      <c r="AI511" s="19"/>
      <c r="AJ511" s="19"/>
      <c r="AK511" s="19"/>
      <c r="AL511" s="19"/>
      <c r="AM511" s="19"/>
      <c r="AN511" s="19"/>
      <c r="AO511" s="19"/>
      <c r="AP511" s="19"/>
      <c r="AQ511" s="19"/>
      <c r="AR511" s="19"/>
      <c r="AS511" s="19"/>
      <c r="AT511" s="19"/>
      <c r="AU511" s="19"/>
      <c r="AV511" s="19"/>
      <c r="AW511" s="19"/>
      <c r="AX511" s="19"/>
      <c r="GA511" s="54"/>
    </row>
    <row r="512" spans="1:183" s="18" customFormat="1">
      <c r="A512" s="51"/>
      <c r="B512" s="52"/>
      <c r="C512" s="52"/>
      <c r="D512" s="52"/>
      <c r="E512" s="53"/>
      <c r="F512" s="52"/>
      <c r="G512" s="52"/>
      <c r="H512" s="52"/>
      <c r="I512" s="53"/>
      <c r="J512" s="52"/>
      <c r="K512" s="52"/>
      <c r="L512" s="52"/>
      <c r="M512" s="52"/>
      <c r="N512" s="19"/>
      <c r="O512" s="19"/>
      <c r="P512" s="19"/>
      <c r="Q512" s="19"/>
      <c r="R512" s="19"/>
      <c r="S512" s="19"/>
      <c r="T512" s="19"/>
      <c r="U512" s="19"/>
      <c r="V512" s="19"/>
      <c r="W512" s="19"/>
      <c r="X512" s="19"/>
      <c r="Y512" s="19"/>
      <c r="Z512" s="19"/>
      <c r="AA512" s="19"/>
      <c r="AB512" s="19"/>
      <c r="AC512" s="19"/>
      <c r="AD512" s="19"/>
      <c r="AE512" s="19"/>
      <c r="AF512" s="19"/>
      <c r="AG512" s="19"/>
      <c r="AH512" s="19"/>
      <c r="AI512" s="19"/>
      <c r="AJ512" s="19"/>
      <c r="AK512" s="19"/>
      <c r="AL512" s="19"/>
      <c r="AM512" s="19"/>
      <c r="AN512" s="19"/>
      <c r="AO512" s="19"/>
      <c r="AP512" s="19"/>
      <c r="AQ512" s="19"/>
      <c r="AR512" s="19"/>
      <c r="AS512" s="19"/>
      <c r="AT512" s="19"/>
      <c r="AU512" s="19"/>
      <c r="AV512" s="19"/>
      <c r="AW512" s="19"/>
      <c r="AX512" s="19"/>
      <c r="GA512" s="54"/>
    </row>
    <row r="513" spans="1:183" s="18" customFormat="1">
      <c r="A513" s="51"/>
      <c r="B513" s="52"/>
      <c r="C513" s="52"/>
      <c r="D513" s="52"/>
      <c r="E513" s="53"/>
      <c r="F513" s="52"/>
      <c r="G513" s="52"/>
      <c r="H513" s="52"/>
      <c r="I513" s="53"/>
      <c r="J513" s="52"/>
      <c r="K513" s="52"/>
      <c r="L513" s="52"/>
      <c r="M513" s="52"/>
      <c r="N513" s="19"/>
      <c r="O513" s="19"/>
      <c r="P513" s="19"/>
      <c r="Q513" s="19"/>
      <c r="R513" s="19"/>
      <c r="S513" s="19"/>
      <c r="T513" s="19"/>
      <c r="U513" s="19"/>
      <c r="V513" s="19"/>
      <c r="W513" s="19"/>
      <c r="X513" s="19"/>
      <c r="Y513" s="19"/>
      <c r="Z513" s="19"/>
      <c r="AA513" s="19"/>
      <c r="AB513" s="19"/>
      <c r="AC513" s="19"/>
      <c r="AD513" s="19"/>
      <c r="AE513" s="19"/>
      <c r="AF513" s="19"/>
      <c r="AG513" s="19"/>
      <c r="AH513" s="19"/>
      <c r="AI513" s="19"/>
      <c r="AJ513" s="19"/>
      <c r="AK513" s="19"/>
      <c r="AL513" s="19"/>
      <c r="AM513" s="19"/>
      <c r="AN513" s="19"/>
      <c r="AO513" s="19"/>
      <c r="AP513" s="19"/>
      <c r="AQ513" s="19"/>
      <c r="AR513" s="19"/>
      <c r="AS513" s="19"/>
      <c r="AT513" s="19"/>
      <c r="AU513" s="19"/>
      <c r="AV513" s="19"/>
      <c r="AW513" s="19"/>
      <c r="AX513" s="19"/>
      <c r="GA513" s="54"/>
    </row>
    <row r="514" spans="1:183" s="18" customFormat="1">
      <c r="A514" s="51"/>
      <c r="B514" s="52"/>
      <c r="C514" s="52"/>
      <c r="D514" s="52"/>
      <c r="E514" s="53"/>
      <c r="F514" s="52"/>
      <c r="G514" s="52"/>
      <c r="H514" s="52"/>
      <c r="I514" s="53"/>
      <c r="J514" s="52"/>
      <c r="K514" s="52"/>
      <c r="L514" s="52"/>
      <c r="M514" s="52"/>
      <c r="N514" s="19"/>
      <c r="O514" s="19"/>
      <c r="P514" s="19"/>
      <c r="Q514" s="19"/>
      <c r="R514" s="19"/>
      <c r="S514" s="19"/>
      <c r="T514" s="19"/>
      <c r="U514" s="19"/>
      <c r="V514" s="19"/>
      <c r="W514" s="19"/>
      <c r="X514" s="19"/>
      <c r="Y514" s="19"/>
      <c r="Z514" s="19"/>
      <c r="AA514" s="19"/>
      <c r="AB514" s="19"/>
      <c r="AC514" s="19"/>
      <c r="AD514" s="19"/>
      <c r="AE514" s="19"/>
      <c r="AF514" s="19"/>
      <c r="AG514" s="19"/>
      <c r="AH514" s="19"/>
      <c r="AI514" s="19"/>
      <c r="AJ514" s="19"/>
      <c r="AK514" s="19"/>
      <c r="AL514" s="19"/>
      <c r="AM514" s="19"/>
      <c r="AN514" s="19"/>
      <c r="AO514" s="19"/>
      <c r="AP514" s="19"/>
      <c r="AQ514" s="19"/>
      <c r="AR514" s="19"/>
      <c r="AS514" s="19"/>
      <c r="AT514" s="19"/>
      <c r="AU514" s="19"/>
      <c r="AV514" s="19"/>
      <c r="AW514" s="19"/>
      <c r="AX514" s="19"/>
      <c r="GA514" s="54"/>
    </row>
    <row r="515" spans="1:183" s="18" customFormat="1">
      <c r="A515" s="51"/>
      <c r="B515" s="52"/>
      <c r="C515" s="52"/>
      <c r="D515" s="52"/>
      <c r="E515" s="53"/>
      <c r="F515" s="52"/>
      <c r="G515" s="52"/>
      <c r="H515" s="52"/>
      <c r="I515" s="53"/>
      <c r="J515" s="52"/>
      <c r="K515" s="52"/>
      <c r="L515" s="52"/>
      <c r="M515" s="52"/>
      <c r="N515" s="19"/>
      <c r="O515" s="19"/>
      <c r="P515" s="19"/>
      <c r="Q515" s="19"/>
      <c r="R515" s="19"/>
      <c r="S515" s="19"/>
      <c r="T515" s="19"/>
      <c r="U515" s="19"/>
      <c r="V515" s="19"/>
      <c r="W515" s="19"/>
      <c r="X515" s="19"/>
      <c r="Y515" s="19"/>
      <c r="Z515" s="19"/>
      <c r="AA515" s="19"/>
      <c r="AB515" s="19"/>
      <c r="AC515" s="19"/>
      <c r="AD515" s="19"/>
      <c r="AE515" s="19"/>
      <c r="AF515" s="19"/>
      <c r="AG515" s="19"/>
      <c r="AH515" s="19"/>
      <c r="AI515" s="19"/>
      <c r="AJ515" s="19"/>
      <c r="AK515" s="19"/>
      <c r="AL515" s="19"/>
      <c r="AM515" s="19"/>
      <c r="AN515" s="19"/>
      <c r="AO515" s="19"/>
      <c r="AP515" s="19"/>
      <c r="AQ515" s="19"/>
      <c r="AR515" s="19"/>
      <c r="AS515" s="19"/>
      <c r="AT515" s="19"/>
      <c r="AU515" s="19"/>
      <c r="AV515" s="19"/>
      <c r="AW515" s="19"/>
      <c r="AX515" s="19"/>
      <c r="GA515" s="54"/>
    </row>
    <row r="516" spans="1:183" s="18" customFormat="1">
      <c r="A516" s="51"/>
      <c r="B516" s="52"/>
      <c r="C516" s="52"/>
      <c r="D516" s="52"/>
      <c r="E516" s="53"/>
      <c r="F516" s="52"/>
      <c r="G516" s="52"/>
      <c r="H516" s="52"/>
      <c r="I516" s="53"/>
      <c r="J516" s="52"/>
      <c r="K516" s="52"/>
      <c r="L516" s="52"/>
      <c r="M516" s="52"/>
      <c r="N516" s="19"/>
      <c r="O516" s="19"/>
      <c r="P516" s="19"/>
      <c r="Q516" s="19"/>
      <c r="R516" s="19"/>
      <c r="S516" s="19"/>
      <c r="T516" s="19"/>
      <c r="U516" s="19"/>
      <c r="V516" s="19"/>
      <c r="W516" s="19"/>
      <c r="X516" s="19"/>
      <c r="Y516" s="19"/>
      <c r="Z516" s="19"/>
      <c r="AA516" s="19"/>
      <c r="AB516" s="19"/>
      <c r="AC516" s="19"/>
      <c r="AD516" s="19"/>
      <c r="AE516" s="19"/>
      <c r="AF516" s="19"/>
      <c r="AG516" s="19"/>
      <c r="AH516" s="19"/>
      <c r="AI516" s="19"/>
      <c r="AJ516" s="19"/>
      <c r="AK516" s="19"/>
      <c r="AL516" s="19"/>
      <c r="AM516" s="19"/>
      <c r="AN516" s="19"/>
      <c r="AO516" s="19"/>
      <c r="AP516" s="19"/>
      <c r="AQ516" s="19"/>
      <c r="AR516" s="19"/>
      <c r="AS516" s="19"/>
      <c r="AT516" s="19"/>
      <c r="AU516" s="19"/>
      <c r="AV516" s="19"/>
      <c r="AW516" s="19"/>
      <c r="AX516" s="19"/>
      <c r="GA516" s="54"/>
    </row>
    <row r="517" spans="1:183" s="18" customFormat="1">
      <c r="A517" s="51"/>
      <c r="B517" s="52"/>
      <c r="C517" s="52"/>
      <c r="D517" s="52"/>
      <c r="E517" s="53"/>
      <c r="F517" s="52"/>
      <c r="G517" s="52"/>
      <c r="H517" s="52"/>
      <c r="I517" s="53"/>
      <c r="J517" s="52"/>
      <c r="K517" s="52"/>
      <c r="L517" s="52"/>
      <c r="M517" s="52"/>
      <c r="N517" s="19"/>
      <c r="O517" s="19"/>
      <c r="P517" s="19"/>
      <c r="Q517" s="19"/>
      <c r="R517" s="19"/>
      <c r="S517" s="19"/>
      <c r="T517" s="19"/>
      <c r="U517" s="19"/>
      <c r="V517" s="19"/>
      <c r="W517" s="19"/>
      <c r="X517" s="19"/>
      <c r="Y517" s="19"/>
      <c r="Z517" s="19"/>
      <c r="AA517" s="19"/>
      <c r="AB517" s="19"/>
      <c r="AC517" s="19"/>
      <c r="AD517" s="19"/>
      <c r="AE517" s="19"/>
      <c r="AF517" s="19"/>
      <c r="AG517" s="19"/>
      <c r="AH517" s="19"/>
      <c r="AI517" s="19"/>
      <c r="AJ517" s="19"/>
      <c r="AK517" s="19"/>
      <c r="AL517" s="19"/>
      <c r="AM517" s="19"/>
      <c r="AN517" s="19"/>
      <c r="AO517" s="19"/>
      <c r="AP517" s="19"/>
      <c r="AQ517" s="19"/>
      <c r="AR517" s="19"/>
      <c r="AS517" s="19"/>
      <c r="AT517" s="19"/>
      <c r="AU517" s="19"/>
      <c r="AV517" s="19"/>
      <c r="AW517" s="19"/>
      <c r="AX517" s="19"/>
      <c r="GA517" s="54"/>
    </row>
    <row r="518" spans="1:183" s="18" customFormat="1">
      <c r="A518" s="51"/>
      <c r="B518" s="52"/>
      <c r="C518" s="52"/>
      <c r="D518" s="52"/>
      <c r="E518" s="53"/>
      <c r="F518" s="52"/>
      <c r="G518" s="52"/>
      <c r="H518" s="52"/>
      <c r="I518" s="53"/>
      <c r="J518" s="52"/>
      <c r="K518" s="52"/>
      <c r="L518" s="52"/>
      <c r="M518" s="52"/>
      <c r="N518" s="19"/>
      <c r="O518" s="19"/>
      <c r="P518" s="19"/>
      <c r="Q518" s="19"/>
      <c r="R518" s="19"/>
      <c r="S518" s="19"/>
      <c r="T518" s="19"/>
      <c r="U518" s="19"/>
      <c r="V518" s="19"/>
      <c r="W518" s="19"/>
      <c r="X518" s="19"/>
      <c r="Y518" s="19"/>
      <c r="Z518" s="19"/>
      <c r="AA518" s="19"/>
      <c r="AB518" s="19"/>
      <c r="AC518" s="19"/>
      <c r="AD518" s="19"/>
      <c r="AE518" s="19"/>
      <c r="AF518" s="19"/>
      <c r="AG518" s="19"/>
      <c r="AH518" s="19"/>
      <c r="AI518" s="19"/>
      <c r="AJ518" s="19"/>
      <c r="AK518" s="19"/>
      <c r="AL518" s="19"/>
      <c r="AM518" s="19"/>
      <c r="AN518" s="19"/>
      <c r="AO518" s="19"/>
      <c r="AP518" s="19"/>
      <c r="AQ518" s="19"/>
      <c r="AR518" s="19"/>
      <c r="AS518" s="19"/>
      <c r="AT518" s="19"/>
      <c r="AU518" s="19"/>
      <c r="AV518" s="19"/>
      <c r="AW518" s="19"/>
      <c r="AX518" s="19"/>
      <c r="GA518" s="54"/>
    </row>
    <row r="519" spans="1:183" s="18" customFormat="1">
      <c r="A519" s="51"/>
      <c r="B519" s="52"/>
      <c r="C519" s="52"/>
      <c r="D519" s="52"/>
      <c r="E519" s="53"/>
      <c r="F519" s="52"/>
      <c r="G519" s="52"/>
      <c r="H519" s="52"/>
      <c r="I519" s="53"/>
      <c r="J519" s="52"/>
      <c r="K519" s="52"/>
      <c r="L519" s="52"/>
      <c r="M519" s="52"/>
      <c r="N519" s="19"/>
      <c r="O519" s="19"/>
      <c r="P519" s="19"/>
      <c r="Q519" s="19"/>
      <c r="R519" s="19"/>
      <c r="S519" s="19"/>
      <c r="T519" s="19"/>
      <c r="U519" s="19"/>
      <c r="V519" s="19"/>
      <c r="W519" s="19"/>
      <c r="X519" s="19"/>
      <c r="Y519" s="19"/>
      <c r="Z519" s="19"/>
      <c r="AA519" s="19"/>
      <c r="AB519" s="19"/>
      <c r="AC519" s="19"/>
      <c r="AD519" s="19"/>
      <c r="AE519" s="19"/>
      <c r="AF519" s="19"/>
      <c r="AG519" s="19"/>
      <c r="AH519" s="19"/>
      <c r="AI519" s="19"/>
      <c r="AJ519" s="19"/>
      <c r="AK519" s="19"/>
      <c r="AL519" s="19"/>
      <c r="AM519" s="19"/>
      <c r="AN519" s="19"/>
      <c r="AO519" s="19"/>
      <c r="AP519" s="19"/>
      <c r="AQ519" s="19"/>
      <c r="AR519" s="19"/>
      <c r="AS519" s="19"/>
      <c r="AT519" s="19"/>
      <c r="AU519" s="19"/>
      <c r="AV519" s="19"/>
      <c r="AW519" s="19"/>
      <c r="AX519" s="19"/>
      <c r="GA519" s="54"/>
    </row>
    <row r="520" spans="1:183" s="18" customFormat="1">
      <c r="A520" s="51"/>
      <c r="B520" s="52"/>
      <c r="C520" s="52"/>
      <c r="D520" s="52"/>
      <c r="E520" s="53"/>
      <c r="F520" s="52"/>
      <c r="G520" s="52"/>
      <c r="H520" s="52"/>
      <c r="I520" s="53"/>
      <c r="J520" s="52"/>
      <c r="K520" s="52"/>
      <c r="L520" s="52"/>
      <c r="M520" s="52"/>
      <c r="N520" s="19"/>
      <c r="O520" s="19"/>
      <c r="P520" s="19"/>
      <c r="Q520" s="19"/>
      <c r="R520" s="19"/>
      <c r="S520" s="19"/>
      <c r="T520" s="19"/>
      <c r="U520" s="19"/>
      <c r="V520" s="19"/>
      <c r="W520" s="19"/>
      <c r="X520" s="19"/>
      <c r="Y520" s="19"/>
      <c r="Z520" s="19"/>
      <c r="AA520" s="19"/>
      <c r="AB520" s="19"/>
      <c r="AC520" s="19"/>
      <c r="AD520" s="19"/>
      <c r="AE520" s="19"/>
      <c r="AF520" s="19"/>
      <c r="AG520" s="19"/>
      <c r="AH520" s="19"/>
      <c r="AI520" s="19"/>
      <c r="AJ520" s="19"/>
      <c r="AK520" s="19"/>
      <c r="AL520" s="19"/>
      <c r="AM520" s="19"/>
      <c r="AN520" s="19"/>
      <c r="AO520" s="19"/>
      <c r="AP520" s="19"/>
      <c r="AQ520" s="19"/>
      <c r="AR520" s="19"/>
      <c r="AS520" s="19"/>
      <c r="AT520" s="19"/>
      <c r="AU520" s="19"/>
      <c r="AV520" s="19"/>
      <c r="AW520" s="19"/>
      <c r="AX520" s="19"/>
      <c r="GA520" s="54"/>
    </row>
    <row r="521" spans="1:183" s="18" customFormat="1">
      <c r="A521" s="51"/>
      <c r="B521" s="52"/>
      <c r="C521" s="52"/>
      <c r="D521" s="52"/>
      <c r="E521" s="53"/>
      <c r="F521" s="52"/>
      <c r="G521" s="52"/>
      <c r="H521" s="52"/>
      <c r="I521" s="53"/>
      <c r="J521" s="52"/>
      <c r="K521" s="52"/>
      <c r="L521" s="52"/>
      <c r="M521" s="52"/>
      <c r="N521" s="19"/>
      <c r="O521" s="19"/>
      <c r="P521" s="19"/>
      <c r="Q521" s="19"/>
      <c r="R521" s="19"/>
      <c r="S521" s="19"/>
      <c r="T521" s="19"/>
      <c r="U521" s="19"/>
      <c r="V521" s="19"/>
      <c r="W521" s="19"/>
      <c r="X521" s="19"/>
      <c r="Y521" s="19"/>
      <c r="Z521" s="19"/>
      <c r="AA521" s="19"/>
      <c r="AB521" s="19"/>
      <c r="AC521" s="19"/>
      <c r="AD521" s="19"/>
      <c r="AE521" s="19"/>
      <c r="AF521" s="19"/>
      <c r="AG521" s="19"/>
      <c r="AH521" s="19"/>
      <c r="AI521" s="19"/>
      <c r="AJ521" s="19"/>
      <c r="AK521" s="19"/>
      <c r="AL521" s="19"/>
      <c r="AM521" s="19"/>
      <c r="AN521" s="19"/>
      <c r="AO521" s="19"/>
      <c r="AP521" s="19"/>
      <c r="AQ521" s="19"/>
      <c r="AR521" s="19"/>
      <c r="AS521" s="19"/>
      <c r="AT521" s="19"/>
      <c r="AU521" s="19"/>
      <c r="AV521" s="19"/>
      <c r="AW521" s="19"/>
      <c r="AX521" s="19"/>
      <c r="GA521" s="54"/>
    </row>
    <row r="522" spans="1:183" s="18" customFormat="1">
      <c r="A522" s="51"/>
      <c r="B522" s="52"/>
      <c r="C522" s="52"/>
      <c r="D522" s="52"/>
      <c r="E522" s="53"/>
      <c r="F522" s="52"/>
      <c r="G522" s="52"/>
      <c r="H522" s="52"/>
      <c r="I522" s="53"/>
      <c r="J522" s="52"/>
      <c r="K522" s="52"/>
      <c r="L522" s="52"/>
      <c r="M522" s="52"/>
      <c r="N522" s="19"/>
      <c r="O522" s="19"/>
      <c r="P522" s="19"/>
      <c r="Q522" s="19"/>
      <c r="R522" s="19"/>
      <c r="S522" s="19"/>
      <c r="T522" s="19"/>
      <c r="U522" s="19"/>
      <c r="V522" s="19"/>
      <c r="W522" s="19"/>
      <c r="X522" s="19"/>
      <c r="Y522" s="19"/>
      <c r="Z522" s="19"/>
      <c r="AA522" s="19"/>
      <c r="AB522" s="19"/>
      <c r="AC522" s="19"/>
      <c r="AD522" s="19"/>
      <c r="AE522" s="19"/>
      <c r="AF522" s="19"/>
      <c r="AG522" s="19"/>
      <c r="AH522" s="19"/>
      <c r="AI522" s="19"/>
      <c r="AJ522" s="19"/>
      <c r="AK522" s="19"/>
      <c r="AL522" s="19"/>
      <c r="AM522" s="19"/>
      <c r="AN522" s="19"/>
      <c r="AO522" s="19"/>
      <c r="AP522" s="19"/>
      <c r="AQ522" s="19"/>
      <c r="AR522" s="19"/>
      <c r="AS522" s="19"/>
      <c r="AT522" s="19"/>
      <c r="AU522" s="19"/>
      <c r="AV522" s="19"/>
      <c r="AW522" s="19"/>
      <c r="AX522" s="19"/>
      <c r="GA522" s="54"/>
    </row>
    <row r="523" spans="1:183" s="18" customFormat="1">
      <c r="A523" s="51"/>
      <c r="B523" s="52"/>
      <c r="C523" s="52"/>
      <c r="D523" s="52"/>
      <c r="E523" s="53"/>
      <c r="F523" s="52"/>
      <c r="G523" s="52"/>
      <c r="H523" s="52"/>
      <c r="I523" s="53"/>
      <c r="J523" s="52"/>
      <c r="K523" s="52"/>
      <c r="L523" s="52"/>
      <c r="M523" s="52"/>
      <c r="N523" s="19"/>
      <c r="O523" s="19"/>
      <c r="P523" s="19"/>
      <c r="Q523" s="19"/>
      <c r="R523" s="19"/>
      <c r="S523" s="19"/>
      <c r="T523" s="19"/>
      <c r="U523" s="19"/>
      <c r="V523" s="19"/>
      <c r="W523" s="19"/>
      <c r="X523" s="19"/>
      <c r="Y523" s="19"/>
      <c r="Z523" s="19"/>
      <c r="AA523" s="19"/>
      <c r="AB523" s="19"/>
      <c r="AC523" s="19"/>
      <c r="AD523" s="19"/>
      <c r="AE523" s="19"/>
      <c r="AF523" s="19"/>
      <c r="AG523" s="19"/>
      <c r="AH523" s="19"/>
      <c r="AI523" s="19"/>
      <c r="AJ523" s="19"/>
      <c r="AK523" s="19"/>
      <c r="AL523" s="19"/>
      <c r="AM523" s="19"/>
      <c r="AN523" s="19"/>
      <c r="AO523" s="19"/>
      <c r="AP523" s="19"/>
      <c r="AQ523" s="19"/>
      <c r="AR523" s="19"/>
      <c r="AS523" s="19"/>
      <c r="AT523" s="19"/>
      <c r="AU523" s="19"/>
      <c r="AV523" s="19"/>
      <c r="AW523" s="19"/>
      <c r="AX523" s="19"/>
      <c r="GA523" s="54"/>
    </row>
    <row r="524" spans="1:183" s="18" customFormat="1">
      <c r="A524" s="51"/>
      <c r="B524" s="52"/>
      <c r="C524" s="52"/>
      <c r="D524" s="52"/>
      <c r="E524" s="53"/>
      <c r="F524" s="52"/>
      <c r="G524" s="52"/>
      <c r="H524" s="52"/>
      <c r="I524" s="53"/>
      <c r="J524" s="52"/>
      <c r="K524" s="52"/>
      <c r="L524" s="52"/>
      <c r="M524" s="52"/>
      <c r="N524" s="19"/>
      <c r="O524" s="19"/>
      <c r="P524" s="19"/>
      <c r="Q524" s="19"/>
      <c r="R524" s="19"/>
      <c r="S524" s="19"/>
      <c r="T524" s="19"/>
      <c r="U524" s="19"/>
      <c r="V524" s="19"/>
      <c r="W524" s="19"/>
      <c r="X524" s="19"/>
      <c r="Y524" s="19"/>
      <c r="Z524" s="19"/>
      <c r="AA524" s="19"/>
      <c r="AB524" s="19"/>
      <c r="AC524" s="19"/>
      <c r="AD524" s="19"/>
      <c r="AE524" s="19"/>
      <c r="AF524" s="19"/>
      <c r="AG524" s="19"/>
      <c r="AH524" s="19"/>
      <c r="AI524" s="19"/>
      <c r="AJ524" s="19"/>
      <c r="AK524" s="19"/>
      <c r="AL524" s="19"/>
      <c r="AM524" s="19"/>
      <c r="AN524" s="19"/>
      <c r="AO524" s="19"/>
      <c r="AP524" s="19"/>
      <c r="AQ524" s="19"/>
      <c r="AR524" s="19"/>
      <c r="AS524" s="19"/>
      <c r="AT524" s="19"/>
      <c r="AU524" s="19"/>
      <c r="AV524" s="19"/>
      <c r="AW524" s="19"/>
      <c r="AX524" s="19"/>
      <c r="GA524" s="54"/>
    </row>
    <row r="525" spans="1:183" s="18" customFormat="1">
      <c r="A525" s="51"/>
      <c r="B525" s="52"/>
      <c r="C525" s="52"/>
      <c r="D525" s="52"/>
      <c r="E525" s="53"/>
      <c r="F525" s="52"/>
      <c r="G525" s="52"/>
      <c r="H525" s="52"/>
      <c r="I525" s="53"/>
      <c r="J525" s="52"/>
      <c r="K525" s="52"/>
      <c r="L525" s="52"/>
      <c r="M525" s="52"/>
      <c r="N525" s="19"/>
      <c r="O525" s="19"/>
      <c r="P525" s="19"/>
      <c r="Q525" s="19"/>
      <c r="R525" s="19"/>
      <c r="S525" s="19"/>
      <c r="T525" s="19"/>
      <c r="U525" s="19"/>
      <c r="V525" s="19"/>
      <c r="W525" s="19"/>
      <c r="X525" s="19"/>
      <c r="Y525" s="19"/>
      <c r="Z525" s="19"/>
      <c r="AA525" s="19"/>
      <c r="AB525" s="19"/>
      <c r="AC525" s="19"/>
      <c r="AD525" s="19"/>
      <c r="AE525" s="19"/>
      <c r="AF525" s="19"/>
      <c r="AG525" s="19"/>
      <c r="AH525" s="19"/>
      <c r="AI525" s="19"/>
      <c r="AJ525" s="19"/>
      <c r="AK525" s="19"/>
      <c r="AL525" s="19"/>
      <c r="AM525" s="19"/>
      <c r="AN525" s="19"/>
      <c r="AO525" s="19"/>
      <c r="AP525" s="19"/>
      <c r="AQ525" s="19"/>
      <c r="AR525" s="19"/>
      <c r="AS525" s="19"/>
      <c r="AT525" s="19"/>
      <c r="AU525" s="19"/>
      <c r="AV525" s="19"/>
      <c r="AW525" s="19"/>
      <c r="AX525" s="19"/>
      <c r="GA525" s="54"/>
    </row>
    <row r="526" spans="1:183" s="18" customFormat="1">
      <c r="A526" s="51"/>
      <c r="B526" s="52"/>
      <c r="C526" s="52"/>
      <c r="D526" s="52"/>
      <c r="E526" s="53"/>
      <c r="F526" s="52"/>
      <c r="G526" s="52"/>
      <c r="H526" s="52"/>
      <c r="I526" s="53"/>
      <c r="J526" s="52"/>
      <c r="K526" s="52"/>
      <c r="L526" s="52"/>
      <c r="M526" s="52"/>
      <c r="N526" s="19"/>
      <c r="O526" s="19"/>
      <c r="P526" s="19"/>
      <c r="Q526" s="19"/>
      <c r="R526" s="19"/>
      <c r="S526" s="19"/>
      <c r="T526" s="19"/>
      <c r="U526" s="19"/>
      <c r="V526" s="19"/>
      <c r="W526" s="19"/>
      <c r="X526" s="19"/>
      <c r="Y526" s="19"/>
      <c r="Z526" s="19"/>
      <c r="AA526" s="19"/>
      <c r="AB526" s="19"/>
      <c r="AC526" s="19"/>
      <c r="AD526" s="19"/>
      <c r="AE526" s="19"/>
      <c r="AF526" s="19"/>
      <c r="AG526" s="19"/>
      <c r="AH526" s="19"/>
      <c r="AI526" s="19"/>
      <c r="AJ526" s="19"/>
      <c r="AK526" s="19"/>
      <c r="AL526" s="19"/>
      <c r="AM526" s="19"/>
      <c r="AN526" s="19"/>
      <c r="AO526" s="19"/>
      <c r="AP526" s="19"/>
      <c r="AQ526" s="19"/>
      <c r="AR526" s="19"/>
      <c r="AS526" s="19"/>
      <c r="AT526" s="19"/>
      <c r="AU526" s="19"/>
      <c r="AV526" s="19"/>
      <c r="AW526" s="19"/>
      <c r="AX526" s="19"/>
      <c r="GA526" s="54"/>
    </row>
    <row r="527" spans="1:183" s="18" customFormat="1">
      <c r="A527" s="51"/>
      <c r="B527" s="52"/>
      <c r="C527" s="52"/>
      <c r="D527" s="52"/>
      <c r="E527" s="53"/>
      <c r="F527" s="52"/>
      <c r="G527" s="52"/>
      <c r="H527" s="52"/>
      <c r="I527" s="53"/>
      <c r="J527" s="52"/>
      <c r="K527" s="52"/>
      <c r="L527" s="52"/>
      <c r="M527" s="52"/>
      <c r="N527" s="19"/>
      <c r="O527" s="19"/>
      <c r="P527" s="19"/>
      <c r="Q527" s="19"/>
      <c r="R527" s="19"/>
      <c r="S527" s="19"/>
      <c r="T527" s="19"/>
      <c r="U527" s="19"/>
      <c r="V527" s="19"/>
      <c r="W527" s="19"/>
      <c r="X527" s="19"/>
      <c r="Y527" s="19"/>
      <c r="Z527" s="19"/>
      <c r="AA527" s="19"/>
      <c r="AB527" s="19"/>
      <c r="AC527" s="19"/>
      <c r="AD527" s="19"/>
      <c r="AE527" s="19"/>
      <c r="AF527" s="19"/>
      <c r="AG527" s="19"/>
      <c r="AH527" s="19"/>
      <c r="AI527" s="19"/>
      <c r="AJ527" s="19"/>
      <c r="AK527" s="19"/>
      <c r="AL527" s="19"/>
      <c r="AM527" s="19"/>
      <c r="AN527" s="19"/>
      <c r="AO527" s="19"/>
      <c r="AP527" s="19"/>
      <c r="AQ527" s="19"/>
      <c r="AR527" s="19"/>
      <c r="AS527" s="19"/>
      <c r="AT527" s="19"/>
      <c r="AU527" s="19"/>
      <c r="AV527" s="19"/>
      <c r="AW527" s="19"/>
      <c r="AX527" s="19"/>
      <c r="GA527" s="54"/>
    </row>
    <row r="528" spans="1:183" s="18" customFormat="1">
      <c r="A528" s="51"/>
      <c r="B528" s="52"/>
      <c r="C528" s="52"/>
      <c r="D528" s="52"/>
      <c r="E528" s="53"/>
      <c r="F528" s="52"/>
      <c r="G528" s="52"/>
      <c r="H528" s="52"/>
      <c r="I528" s="53"/>
      <c r="J528" s="52"/>
      <c r="K528" s="52"/>
      <c r="L528" s="52"/>
      <c r="M528" s="52"/>
      <c r="N528" s="19"/>
      <c r="O528" s="19"/>
      <c r="P528" s="19"/>
      <c r="Q528" s="19"/>
      <c r="R528" s="19"/>
      <c r="S528" s="19"/>
      <c r="T528" s="19"/>
      <c r="U528" s="19"/>
      <c r="V528" s="19"/>
      <c r="W528" s="19"/>
      <c r="X528" s="19"/>
      <c r="Y528" s="19"/>
      <c r="Z528" s="19"/>
      <c r="AA528" s="19"/>
      <c r="AB528" s="19"/>
      <c r="AC528" s="19"/>
      <c r="AD528" s="19"/>
      <c r="AE528" s="19"/>
      <c r="AF528" s="19"/>
      <c r="AG528" s="19"/>
      <c r="AH528" s="19"/>
      <c r="AI528" s="19"/>
      <c r="AJ528" s="19"/>
      <c r="AK528" s="19"/>
      <c r="AL528" s="19"/>
      <c r="AM528" s="19"/>
      <c r="AN528" s="19"/>
      <c r="AO528" s="19"/>
      <c r="AP528" s="19"/>
      <c r="AQ528" s="19"/>
      <c r="AR528" s="19"/>
      <c r="AS528" s="19"/>
      <c r="AT528" s="19"/>
      <c r="AU528" s="19"/>
      <c r="AV528" s="19"/>
      <c r="AW528" s="19"/>
      <c r="AX528" s="19"/>
      <c r="GA528" s="54"/>
    </row>
    <row r="529" spans="1:183" s="18" customFormat="1">
      <c r="A529" s="51"/>
      <c r="B529" s="52"/>
      <c r="C529" s="52"/>
      <c r="D529" s="52"/>
      <c r="E529" s="53"/>
      <c r="F529" s="52"/>
      <c r="G529" s="52"/>
      <c r="H529" s="52"/>
      <c r="I529" s="53"/>
      <c r="J529" s="52"/>
      <c r="K529" s="52"/>
      <c r="L529" s="52"/>
      <c r="M529" s="52"/>
      <c r="N529" s="19"/>
      <c r="O529" s="19"/>
      <c r="P529" s="19"/>
      <c r="Q529" s="19"/>
      <c r="R529" s="19"/>
      <c r="S529" s="19"/>
      <c r="T529" s="19"/>
      <c r="U529" s="19"/>
      <c r="V529" s="19"/>
      <c r="W529" s="19"/>
      <c r="X529" s="19"/>
      <c r="Y529" s="19"/>
      <c r="Z529" s="19"/>
      <c r="AA529" s="19"/>
      <c r="AB529" s="19"/>
      <c r="AC529" s="19"/>
      <c r="AD529" s="19"/>
      <c r="AE529" s="19"/>
      <c r="AF529" s="19"/>
      <c r="AG529" s="19"/>
      <c r="AH529" s="19"/>
      <c r="AI529" s="19"/>
      <c r="AJ529" s="19"/>
      <c r="AK529" s="19"/>
      <c r="AL529" s="19"/>
      <c r="AM529" s="19"/>
      <c r="AN529" s="19"/>
      <c r="AO529" s="19"/>
      <c r="AP529" s="19"/>
      <c r="AQ529" s="19"/>
      <c r="AR529" s="19"/>
      <c r="AS529" s="19"/>
      <c r="AT529" s="19"/>
      <c r="AU529" s="19"/>
      <c r="AV529" s="19"/>
      <c r="AW529" s="19"/>
      <c r="AX529" s="19"/>
      <c r="GA529" s="54"/>
    </row>
    <row r="530" spans="1:183" s="18" customFormat="1">
      <c r="A530" s="51"/>
      <c r="B530" s="52"/>
      <c r="C530" s="52"/>
      <c r="D530" s="52"/>
      <c r="E530" s="53"/>
      <c r="F530" s="52"/>
      <c r="G530" s="52"/>
      <c r="H530" s="52"/>
      <c r="I530" s="53"/>
      <c r="J530" s="52"/>
      <c r="K530" s="52"/>
      <c r="L530" s="52"/>
      <c r="M530" s="52"/>
      <c r="N530" s="19"/>
      <c r="O530" s="19"/>
      <c r="P530" s="19"/>
      <c r="Q530" s="19"/>
      <c r="R530" s="19"/>
      <c r="S530" s="19"/>
      <c r="T530" s="19"/>
      <c r="U530" s="19"/>
      <c r="V530" s="19"/>
      <c r="W530" s="19"/>
      <c r="X530" s="19"/>
      <c r="Y530" s="19"/>
      <c r="Z530" s="19"/>
      <c r="AA530" s="19"/>
      <c r="AB530" s="19"/>
      <c r="AC530" s="19"/>
      <c r="AD530" s="19"/>
      <c r="AE530" s="19"/>
      <c r="AF530" s="19"/>
      <c r="AG530" s="19"/>
      <c r="AH530" s="19"/>
      <c r="AI530" s="19"/>
      <c r="AJ530" s="19"/>
      <c r="AK530" s="19"/>
      <c r="AL530" s="19"/>
      <c r="AM530" s="19"/>
      <c r="AN530" s="19"/>
      <c r="AO530" s="19"/>
      <c r="AP530" s="19"/>
      <c r="AQ530" s="19"/>
      <c r="AR530" s="19"/>
      <c r="AS530" s="19"/>
      <c r="AT530" s="19"/>
      <c r="AU530" s="19"/>
      <c r="AV530" s="19"/>
      <c r="AW530" s="19"/>
      <c r="AX530" s="19"/>
      <c r="GA530" s="54"/>
    </row>
    <row r="531" spans="1:183" s="18" customFormat="1">
      <c r="A531" s="51"/>
      <c r="B531" s="52"/>
      <c r="C531" s="52"/>
      <c r="D531" s="52"/>
      <c r="E531" s="53"/>
      <c r="F531" s="52"/>
      <c r="G531" s="52"/>
      <c r="H531" s="52"/>
      <c r="I531" s="53"/>
      <c r="J531" s="52"/>
      <c r="K531" s="52"/>
      <c r="L531" s="52"/>
      <c r="M531" s="52"/>
      <c r="N531" s="19"/>
      <c r="O531" s="19"/>
      <c r="P531" s="19"/>
      <c r="Q531" s="19"/>
      <c r="R531" s="19"/>
      <c r="S531" s="19"/>
      <c r="T531" s="19"/>
      <c r="U531" s="19"/>
      <c r="V531" s="19"/>
      <c r="W531" s="19"/>
      <c r="X531" s="19"/>
      <c r="Y531" s="19"/>
      <c r="Z531" s="19"/>
      <c r="AA531" s="19"/>
      <c r="AB531" s="19"/>
      <c r="AC531" s="19"/>
      <c r="AD531" s="19"/>
      <c r="AE531" s="19"/>
      <c r="AF531" s="19"/>
      <c r="AG531" s="19"/>
      <c r="AH531" s="19"/>
      <c r="AI531" s="19"/>
      <c r="AJ531" s="19"/>
      <c r="AK531" s="19"/>
      <c r="AL531" s="19"/>
      <c r="AM531" s="19"/>
      <c r="AN531" s="19"/>
      <c r="AO531" s="19"/>
      <c r="AP531" s="19"/>
      <c r="AQ531" s="19"/>
      <c r="AR531" s="19"/>
      <c r="AS531" s="19"/>
      <c r="AT531" s="19"/>
      <c r="AU531" s="19"/>
      <c r="AV531" s="19"/>
      <c r="AW531" s="19"/>
      <c r="AX531" s="19"/>
      <c r="GA531" s="54"/>
    </row>
    <row r="532" spans="1:183" s="18" customFormat="1">
      <c r="A532" s="51"/>
      <c r="B532" s="52"/>
      <c r="C532" s="52"/>
      <c r="D532" s="52"/>
      <c r="E532" s="53"/>
      <c r="F532" s="52"/>
      <c r="G532" s="52"/>
      <c r="H532" s="52"/>
      <c r="I532" s="53"/>
      <c r="J532" s="52"/>
      <c r="K532" s="52"/>
      <c r="L532" s="52"/>
      <c r="M532" s="52"/>
      <c r="N532" s="19"/>
      <c r="O532" s="19"/>
      <c r="P532" s="19"/>
      <c r="Q532" s="19"/>
      <c r="R532" s="19"/>
      <c r="S532" s="19"/>
      <c r="T532" s="19"/>
      <c r="U532" s="19"/>
      <c r="V532" s="19"/>
      <c r="W532" s="19"/>
      <c r="X532" s="19"/>
      <c r="Y532" s="19"/>
      <c r="Z532" s="19"/>
      <c r="AA532" s="19"/>
      <c r="AB532" s="19"/>
      <c r="AC532" s="19"/>
      <c r="AD532" s="19"/>
      <c r="AE532" s="19"/>
      <c r="AF532" s="19"/>
      <c r="AG532" s="19"/>
      <c r="AH532" s="19"/>
      <c r="AI532" s="19"/>
      <c r="AJ532" s="19"/>
      <c r="AK532" s="19"/>
      <c r="AL532" s="19"/>
      <c r="AM532" s="19"/>
      <c r="AN532" s="19"/>
      <c r="AO532" s="19"/>
      <c r="AP532" s="19"/>
      <c r="AQ532" s="19"/>
      <c r="AR532" s="19"/>
      <c r="AS532" s="19"/>
      <c r="AT532" s="19"/>
      <c r="AU532" s="19"/>
      <c r="AV532" s="19"/>
      <c r="AW532" s="19"/>
      <c r="AX532" s="19"/>
      <c r="GA532" s="54"/>
    </row>
    <row r="533" spans="1:183" s="18" customFormat="1">
      <c r="A533" s="51"/>
      <c r="B533" s="52"/>
      <c r="C533" s="52"/>
      <c r="D533" s="52"/>
      <c r="E533" s="53"/>
      <c r="F533" s="52"/>
      <c r="G533" s="52"/>
      <c r="H533" s="52"/>
      <c r="I533" s="53"/>
      <c r="J533" s="52"/>
      <c r="K533" s="52"/>
      <c r="L533" s="52"/>
      <c r="M533" s="52"/>
      <c r="N533" s="19"/>
      <c r="O533" s="19"/>
      <c r="P533" s="19"/>
      <c r="Q533" s="19"/>
      <c r="R533" s="19"/>
      <c r="S533" s="19"/>
      <c r="T533" s="19"/>
      <c r="U533" s="19"/>
      <c r="V533" s="19"/>
      <c r="W533" s="19"/>
      <c r="X533" s="19"/>
      <c r="Y533" s="19"/>
      <c r="Z533" s="19"/>
      <c r="AA533" s="19"/>
      <c r="AB533" s="19"/>
      <c r="AC533" s="19"/>
      <c r="AD533" s="19"/>
      <c r="AE533" s="19"/>
      <c r="AF533" s="19"/>
      <c r="AG533" s="19"/>
      <c r="AH533" s="19"/>
      <c r="AI533" s="19"/>
      <c r="AJ533" s="19"/>
      <c r="AK533" s="19"/>
      <c r="AL533" s="19"/>
      <c r="AM533" s="19"/>
      <c r="AN533" s="19"/>
      <c r="AO533" s="19"/>
      <c r="AP533" s="19"/>
      <c r="AQ533" s="19"/>
      <c r="AR533" s="19"/>
      <c r="AS533" s="19"/>
      <c r="AT533" s="19"/>
      <c r="AU533" s="19"/>
      <c r="AV533" s="19"/>
      <c r="AW533" s="19"/>
      <c r="AX533" s="19"/>
      <c r="GA533" s="54"/>
    </row>
    <row r="534" spans="1:183" s="18" customFormat="1">
      <c r="A534" s="51"/>
      <c r="B534" s="52"/>
      <c r="C534" s="52"/>
      <c r="D534" s="52"/>
      <c r="E534" s="53"/>
      <c r="F534" s="52"/>
      <c r="G534" s="52"/>
      <c r="H534" s="52"/>
      <c r="I534" s="53"/>
      <c r="J534" s="52"/>
      <c r="K534" s="52"/>
      <c r="L534" s="52"/>
      <c r="M534" s="52"/>
      <c r="N534" s="19"/>
      <c r="O534" s="19"/>
      <c r="P534" s="19"/>
      <c r="Q534" s="19"/>
      <c r="R534" s="19"/>
      <c r="S534" s="19"/>
      <c r="T534" s="19"/>
      <c r="U534" s="19"/>
      <c r="V534" s="19"/>
      <c r="W534" s="19"/>
      <c r="X534" s="19"/>
      <c r="Y534" s="19"/>
      <c r="Z534" s="19"/>
      <c r="AA534" s="19"/>
      <c r="AB534" s="19"/>
      <c r="AC534" s="19"/>
      <c r="AD534" s="19"/>
      <c r="AE534" s="19"/>
      <c r="AF534" s="19"/>
      <c r="AG534" s="19"/>
      <c r="AH534" s="19"/>
      <c r="AI534" s="19"/>
      <c r="AJ534" s="19"/>
      <c r="AK534" s="19"/>
      <c r="AL534" s="19"/>
      <c r="AM534" s="19"/>
      <c r="AN534" s="19"/>
      <c r="AO534" s="19"/>
      <c r="AP534" s="19"/>
      <c r="AQ534" s="19"/>
      <c r="AR534" s="19"/>
      <c r="AS534" s="19"/>
      <c r="AT534" s="19"/>
      <c r="AU534" s="19"/>
      <c r="AV534" s="19"/>
      <c r="AW534" s="19"/>
      <c r="AX534" s="19"/>
      <c r="GA534" s="54"/>
    </row>
    <row r="535" spans="1:183" s="18" customFormat="1">
      <c r="A535" s="51"/>
      <c r="B535" s="52"/>
      <c r="C535" s="52"/>
      <c r="D535" s="52"/>
      <c r="E535" s="53"/>
      <c r="F535" s="52"/>
      <c r="G535" s="52"/>
      <c r="H535" s="52"/>
      <c r="I535" s="53"/>
      <c r="J535" s="52"/>
      <c r="K535" s="52"/>
      <c r="L535" s="52"/>
      <c r="M535" s="52"/>
      <c r="N535" s="19"/>
      <c r="O535" s="19"/>
      <c r="P535" s="19"/>
      <c r="Q535" s="19"/>
      <c r="R535" s="19"/>
      <c r="S535" s="19"/>
      <c r="T535" s="19"/>
      <c r="U535" s="19"/>
      <c r="V535" s="19"/>
      <c r="W535" s="19"/>
      <c r="X535" s="19"/>
      <c r="Y535" s="19"/>
      <c r="Z535" s="19"/>
      <c r="AA535" s="19"/>
      <c r="AB535" s="19"/>
      <c r="AC535" s="19"/>
      <c r="AD535" s="19"/>
      <c r="AE535" s="19"/>
      <c r="AF535" s="19"/>
      <c r="AG535" s="19"/>
      <c r="AH535" s="19"/>
      <c r="AI535" s="19"/>
      <c r="AJ535" s="19"/>
      <c r="AK535" s="19"/>
      <c r="AL535" s="19"/>
      <c r="AM535" s="19"/>
      <c r="AN535" s="19"/>
      <c r="AO535" s="19"/>
      <c r="AP535" s="19"/>
      <c r="AQ535" s="19"/>
      <c r="AR535" s="19"/>
      <c r="AS535" s="19"/>
      <c r="AT535" s="19"/>
      <c r="AU535" s="19"/>
      <c r="AV535" s="19"/>
      <c r="AW535" s="19"/>
      <c r="AX535" s="19"/>
      <c r="GA535" s="54"/>
    </row>
    <row r="536" spans="1:183" s="18" customFormat="1">
      <c r="A536" s="51"/>
      <c r="B536" s="52"/>
      <c r="C536" s="52"/>
      <c r="D536" s="52"/>
      <c r="E536" s="53"/>
      <c r="F536" s="52"/>
      <c r="G536" s="52"/>
      <c r="H536" s="52"/>
      <c r="I536" s="53"/>
      <c r="J536" s="52"/>
      <c r="K536" s="52"/>
      <c r="L536" s="52"/>
      <c r="M536" s="52"/>
      <c r="N536" s="19"/>
      <c r="O536" s="19"/>
      <c r="P536" s="19"/>
      <c r="Q536" s="19"/>
      <c r="R536" s="19"/>
      <c r="S536" s="19"/>
      <c r="T536" s="19"/>
      <c r="U536" s="19"/>
      <c r="V536" s="19"/>
      <c r="W536" s="19"/>
      <c r="X536" s="19"/>
      <c r="Y536" s="19"/>
      <c r="Z536" s="19"/>
      <c r="AA536" s="19"/>
      <c r="AB536" s="19"/>
      <c r="AC536" s="19"/>
      <c r="AD536" s="19"/>
      <c r="AE536" s="19"/>
      <c r="AF536" s="19"/>
      <c r="AG536" s="19"/>
      <c r="AH536" s="19"/>
      <c r="AI536" s="19"/>
      <c r="AJ536" s="19"/>
      <c r="AK536" s="19"/>
      <c r="AL536" s="19"/>
      <c r="AM536" s="19"/>
      <c r="AN536" s="19"/>
      <c r="AO536" s="19"/>
      <c r="AP536" s="19"/>
      <c r="AQ536" s="19"/>
      <c r="AR536" s="19"/>
      <c r="AS536" s="19"/>
      <c r="AT536" s="19"/>
      <c r="AU536" s="19"/>
      <c r="AV536" s="19"/>
      <c r="AW536" s="19"/>
      <c r="AX536" s="19"/>
      <c r="GA536" s="54"/>
    </row>
    <row r="537" spans="1:183" s="18" customFormat="1">
      <c r="A537" s="51"/>
      <c r="B537" s="52"/>
      <c r="C537" s="52"/>
      <c r="D537" s="52"/>
      <c r="E537" s="53"/>
      <c r="F537" s="52"/>
      <c r="G537" s="52"/>
      <c r="H537" s="52"/>
      <c r="I537" s="53"/>
      <c r="J537" s="52"/>
      <c r="K537" s="52"/>
      <c r="L537" s="52"/>
      <c r="M537" s="52"/>
      <c r="N537" s="19"/>
      <c r="O537" s="19"/>
      <c r="P537" s="19"/>
      <c r="Q537" s="19"/>
      <c r="R537" s="19"/>
      <c r="S537" s="19"/>
      <c r="T537" s="19"/>
      <c r="U537" s="19"/>
      <c r="V537" s="19"/>
      <c r="W537" s="19"/>
      <c r="X537" s="19"/>
      <c r="Y537" s="19"/>
      <c r="Z537" s="19"/>
      <c r="AA537" s="19"/>
      <c r="AB537" s="19"/>
      <c r="AC537" s="19"/>
      <c r="AD537" s="19"/>
      <c r="AE537" s="19"/>
      <c r="AF537" s="19"/>
      <c r="AG537" s="19"/>
      <c r="AH537" s="19"/>
      <c r="AI537" s="19"/>
      <c r="AJ537" s="19"/>
      <c r="AK537" s="19"/>
      <c r="AL537" s="19"/>
      <c r="AM537" s="19"/>
      <c r="AN537" s="19"/>
      <c r="AO537" s="19"/>
      <c r="AP537" s="19"/>
      <c r="AQ537" s="19"/>
      <c r="AR537" s="19"/>
      <c r="AS537" s="19"/>
      <c r="AT537" s="19"/>
      <c r="AU537" s="19"/>
      <c r="AV537" s="19"/>
      <c r="AW537" s="19"/>
      <c r="AX537" s="19"/>
      <c r="GA537" s="54"/>
    </row>
    <row r="538" spans="1:183" s="18" customFormat="1">
      <c r="A538" s="51"/>
      <c r="B538" s="52"/>
      <c r="C538" s="52"/>
      <c r="D538" s="52"/>
      <c r="E538" s="53"/>
      <c r="F538" s="52"/>
      <c r="G538" s="52"/>
      <c r="H538" s="52"/>
      <c r="I538" s="53"/>
      <c r="J538" s="52"/>
      <c r="K538" s="52"/>
      <c r="L538" s="52"/>
      <c r="M538" s="52"/>
      <c r="N538" s="19"/>
      <c r="O538" s="19"/>
      <c r="P538" s="19"/>
      <c r="Q538" s="19"/>
      <c r="R538" s="19"/>
      <c r="S538" s="19"/>
      <c r="T538" s="19"/>
      <c r="U538" s="19"/>
      <c r="V538" s="19"/>
      <c r="W538" s="19"/>
      <c r="X538" s="19"/>
      <c r="Y538" s="19"/>
      <c r="Z538" s="19"/>
      <c r="AA538" s="19"/>
      <c r="AB538" s="19"/>
      <c r="AC538" s="19"/>
      <c r="AD538" s="19"/>
      <c r="AE538" s="19"/>
      <c r="AF538" s="19"/>
      <c r="AG538" s="19"/>
      <c r="AH538" s="19"/>
      <c r="AI538" s="19"/>
      <c r="AJ538" s="19"/>
      <c r="AK538" s="19"/>
      <c r="AL538" s="19"/>
      <c r="AM538" s="19"/>
      <c r="AN538" s="19"/>
      <c r="AO538" s="19"/>
      <c r="AP538" s="19"/>
      <c r="AQ538" s="19"/>
      <c r="AR538" s="19"/>
      <c r="AS538" s="19"/>
      <c r="AT538" s="19"/>
      <c r="AU538" s="19"/>
      <c r="AV538" s="19"/>
      <c r="AW538" s="19"/>
      <c r="AX538" s="19"/>
      <c r="GA538" s="54"/>
    </row>
    <row r="539" spans="1:183" s="18" customFormat="1">
      <c r="A539" s="51"/>
      <c r="B539" s="52"/>
      <c r="C539" s="52"/>
      <c r="D539" s="52"/>
      <c r="E539" s="53"/>
      <c r="F539" s="52"/>
      <c r="G539" s="52"/>
      <c r="H539" s="52"/>
      <c r="I539" s="53"/>
      <c r="J539" s="52"/>
      <c r="K539" s="52"/>
      <c r="L539" s="52"/>
      <c r="M539" s="52"/>
      <c r="N539" s="19"/>
      <c r="O539" s="19"/>
      <c r="P539" s="19"/>
      <c r="Q539" s="19"/>
      <c r="R539" s="19"/>
      <c r="S539" s="19"/>
      <c r="T539" s="19"/>
      <c r="U539" s="19"/>
      <c r="V539" s="19"/>
      <c r="W539" s="19"/>
      <c r="X539" s="19"/>
      <c r="Y539" s="19"/>
      <c r="Z539" s="19"/>
      <c r="AA539" s="19"/>
      <c r="AB539" s="19"/>
      <c r="AC539" s="19"/>
      <c r="AD539" s="19"/>
      <c r="AE539" s="19"/>
      <c r="AF539" s="19"/>
      <c r="AG539" s="19"/>
      <c r="AH539" s="19"/>
      <c r="AI539" s="19"/>
      <c r="AJ539" s="19"/>
      <c r="AK539" s="19"/>
      <c r="AL539" s="19"/>
      <c r="AM539" s="19"/>
      <c r="AN539" s="19"/>
      <c r="AO539" s="19"/>
      <c r="AP539" s="19"/>
      <c r="AQ539" s="19"/>
      <c r="AR539" s="19"/>
      <c r="AS539" s="19"/>
      <c r="AT539" s="19"/>
      <c r="AU539" s="19"/>
      <c r="AV539" s="19"/>
      <c r="AW539" s="19"/>
      <c r="AX539" s="19"/>
      <c r="GA539" s="54"/>
    </row>
    <row r="540" spans="1:183" s="18" customFormat="1">
      <c r="A540" s="51"/>
      <c r="B540" s="52"/>
      <c r="C540" s="52"/>
      <c r="D540" s="52"/>
      <c r="E540" s="53"/>
      <c r="F540" s="52"/>
      <c r="G540" s="52"/>
      <c r="H540" s="52"/>
      <c r="I540" s="53"/>
      <c r="J540" s="52"/>
      <c r="K540" s="52"/>
      <c r="L540" s="52"/>
      <c r="M540" s="52"/>
      <c r="N540" s="19"/>
      <c r="O540" s="19"/>
      <c r="P540" s="19"/>
      <c r="Q540" s="19"/>
      <c r="R540" s="19"/>
      <c r="S540" s="19"/>
      <c r="T540" s="19"/>
      <c r="U540" s="19"/>
      <c r="V540" s="19"/>
      <c r="W540" s="19"/>
      <c r="X540" s="19"/>
      <c r="Y540" s="19"/>
      <c r="Z540" s="19"/>
      <c r="AA540" s="19"/>
      <c r="AB540" s="19"/>
      <c r="AC540" s="19"/>
      <c r="AD540" s="19"/>
      <c r="AE540" s="19"/>
      <c r="AF540" s="19"/>
      <c r="AG540" s="19"/>
      <c r="AH540" s="19"/>
      <c r="AI540" s="19"/>
      <c r="AJ540" s="19"/>
      <c r="AK540" s="19"/>
      <c r="AL540" s="19"/>
      <c r="AM540" s="19"/>
      <c r="AN540" s="19"/>
      <c r="AO540" s="19"/>
      <c r="AP540" s="19"/>
      <c r="AQ540" s="19"/>
      <c r="AR540" s="19"/>
      <c r="AS540" s="19"/>
      <c r="AT540" s="19"/>
      <c r="AU540" s="19"/>
      <c r="AV540" s="19"/>
      <c r="AW540" s="19"/>
      <c r="AX540" s="19"/>
      <c r="GA540" s="54"/>
    </row>
    <row r="541" spans="1:183" s="18" customFormat="1">
      <c r="A541" s="51"/>
      <c r="B541" s="52"/>
      <c r="C541" s="52"/>
      <c r="D541" s="52"/>
      <c r="E541" s="53"/>
      <c r="F541" s="52"/>
      <c r="G541" s="52"/>
      <c r="H541" s="52"/>
      <c r="I541" s="53"/>
      <c r="J541" s="52"/>
      <c r="K541" s="52"/>
      <c r="L541" s="52"/>
      <c r="M541" s="52"/>
      <c r="N541" s="19"/>
      <c r="O541" s="19"/>
      <c r="P541" s="19"/>
      <c r="Q541" s="19"/>
      <c r="R541" s="19"/>
      <c r="S541" s="19"/>
      <c r="T541" s="19"/>
      <c r="U541" s="19"/>
      <c r="V541" s="19"/>
      <c r="W541" s="19"/>
      <c r="X541" s="19"/>
      <c r="Y541" s="19"/>
      <c r="Z541" s="19"/>
      <c r="AA541" s="19"/>
      <c r="AB541" s="19"/>
      <c r="AC541" s="19"/>
      <c r="AD541" s="19"/>
      <c r="AE541" s="19"/>
      <c r="AF541" s="19"/>
      <c r="AG541" s="19"/>
      <c r="AH541" s="19"/>
      <c r="AI541" s="19"/>
      <c r="AJ541" s="19"/>
      <c r="AK541" s="19"/>
      <c r="AL541" s="19"/>
      <c r="AM541" s="19"/>
      <c r="AN541" s="19"/>
      <c r="AO541" s="19"/>
      <c r="AP541" s="19"/>
      <c r="AQ541" s="19"/>
      <c r="AR541" s="19"/>
      <c r="AS541" s="19"/>
      <c r="AT541" s="19"/>
      <c r="AU541" s="19"/>
      <c r="AV541" s="19"/>
      <c r="AW541" s="19"/>
      <c r="AX541" s="19"/>
      <c r="GA541" s="54"/>
    </row>
    <row r="542" spans="1:183" s="18" customFormat="1">
      <c r="A542" s="51"/>
      <c r="B542" s="52"/>
      <c r="C542" s="52"/>
      <c r="D542" s="52"/>
      <c r="E542" s="53"/>
      <c r="F542" s="52"/>
      <c r="G542" s="52"/>
      <c r="H542" s="52"/>
      <c r="I542" s="53"/>
      <c r="J542" s="52"/>
      <c r="K542" s="52"/>
      <c r="L542" s="52"/>
      <c r="M542" s="52"/>
      <c r="N542" s="19"/>
      <c r="O542" s="19"/>
      <c r="P542" s="19"/>
      <c r="Q542" s="19"/>
      <c r="R542" s="19"/>
      <c r="S542" s="19"/>
      <c r="T542" s="19"/>
      <c r="U542" s="19"/>
      <c r="V542" s="19"/>
      <c r="W542" s="19"/>
      <c r="X542" s="19"/>
      <c r="Y542" s="19"/>
      <c r="Z542" s="19"/>
      <c r="AA542" s="19"/>
      <c r="AB542" s="19"/>
      <c r="AC542" s="19"/>
      <c r="AD542" s="19"/>
      <c r="AE542" s="19"/>
      <c r="AF542" s="19"/>
      <c r="AG542" s="19"/>
      <c r="AH542" s="19"/>
      <c r="AI542" s="19"/>
      <c r="AJ542" s="19"/>
      <c r="AK542" s="19"/>
      <c r="AL542" s="19"/>
      <c r="AM542" s="19"/>
      <c r="AN542" s="19"/>
      <c r="AO542" s="19"/>
      <c r="AP542" s="19"/>
      <c r="AQ542" s="19"/>
      <c r="AR542" s="19"/>
      <c r="AS542" s="19"/>
      <c r="AT542" s="19"/>
      <c r="AU542" s="19"/>
      <c r="AV542" s="19"/>
      <c r="AW542" s="19"/>
      <c r="AX542" s="19"/>
      <c r="GA542" s="54"/>
    </row>
    <row r="543" spans="1:183" s="18" customFormat="1">
      <c r="A543" s="51"/>
      <c r="B543" s="52"/>
      <c r="C543" s="52"/>
      <c r="D543" s="52"/>
      <c r="E543" s="53"/>
      <c r="F543" s="52"/>
      <c r="G543" s="52"/>
      <c r="H543" s="52"/>
      <c r="I543" s="53"/>
      <c r="J543" s="52"/>
      <c r="K543" s="52"/>
      <c r="L543" s="52"/>
      <c r="M543" s="52"/>
      <c r="N543" s="19"/>
      <c r="O543" s="19"/>
      <c r="P543" s="19"/>
      <c r="Q543" s="19"/>
      <c r="R543" s="19"/>
      <c r="S543" s="19"/>
      <c r="T543" s="19"/>
      <c r="U543" s="19"/>
      <c r="V543" s="19"/>
      <c r="W543" s="19"/>
      <c r="X543" s="19"/>
      <c r="Y543" s="19"/>
      <c r="Z543" s="19"/>
      <c r="AA543" s="19"/>
      <c r="AB543" s="19"/>
      <c r="AC543" s="19"/>
      <c r="AD543" s="19"/>
      <c r="AE543" s="19"/>
      <c r="AF543" s="19"/>
      <c r="AG543" s="19"/>
      <c r="AH543" s="19"/>
      <c r="AI543" s="19"/>
      <c r="AJ543" s="19"/>
      <c r="AK543" s="19"/>
      <c r="AL543" s="19"/>
      <c r="AM543" s="19"/>
      <c r="AN543" s="19"/>
      <c r="AO543" s="19"/>
      <c r="AP543" s="19"/>
      <c r="AQ543" s="19"/>
      <c r="AR543" s="19"/>
      <c r="AS543" s="19"/>
      <c r="AT543" s="19"/>
      <c r="AU543" s="19"/>
      <c r="AV543" s="19"/>
      <c r="AW543" s="19"/>
      <c r="AX543" s="19"/>
      <c r="GA543" s="54"/>
    </row>
    <row r="544" spans="1:183" s="18" customFormat="1">
      <c r="A544" s="51"/>
      <c r="B544" s="52"/>
      <c r="C544" s="52"/>
      <c r="D544" s="52"/>
      <c r="E544" s="53"/>
      <c r="F544" s="52"/>
      <c r="G544" s="52"/>
      <c r="H544" s="52"/>
      <c r="I544" s="53"/>
      <c r="J544" s="52"/>
      <c r="K544" s="52"/>
      <c r="L544" s="52"/>
      <c r="M544" s="52"/>
      <c r="N544" s="19"/>
      <c r="O544" s="19"/>
      <c r="P544" s="19"/>
      <c r="Q544" s="19"/>
      <c r="R544" s="19"/>
      <c r="S544" s="19"/>
      <c r="T544" s="19"/>
      <c r="U544" s="19"/>
      <c r="V544" s="19"/>
      <c r="W544" s="19"/>
      <c r="X544" s="19"/>
      <c r="Y544" s="19"/>
      <c r="Z544" s="19"/>
      <c r="AA544" s="19"/>
      <c r="AB544" s="19"/>
      <c r="AC544" s="19"/>
      <c r="AD544" s="19"/>
      <c r="AE544" s="19"/>
      <c r="AF544" s="19"/>
      <c r="AG544" s="19"/>
      <c r="AH544" s="19"/>
      <c r="AI544" s="19"/>
      <c r="AJ544" s="19"/>
      <c r="AK544" s="19"/>
      <c r="AL544" s="19"/>
      <c r="AM544" s="19"/>
      <c r="AN544" s="19"/>
      <c r="AO544" s="19"/>
      <c r="AP544" s="19"/>
      <c r="AQ544" s="19"/>
      <c r="AR544" s="19"/>
      <c r="AS544" s="19"/>
      <c r="AT544" s="19"/>
      <c r="AU544" s="19"/>
      <c r="AV544" s="19"/>
      <c r="AW544" s="19"/>
      <c r="AX544" s="19"/>
      <c r="GA544" s="54"/>
    </row>
    <row r="545" spans="1:183" s="18" customFormat="1">
      <c r="A545" s="51"/>
      <c r="B545" s="52"/>
      <c r="C545" s="52"/>
      <c r="D545" s="52"/>
      <c r="E545" s="53"/>
      <c r="F545" s="52"/>
      <c r="G545" s="52"/>
      <c r="H545" s="52"/>
      <c r="I545" s="53"/>
      <c r="J545" s="52"/>
      <c r="K545" s="52"/>
      <c r="L545" s="52"/>
      <c r="M545" s="52"/>
      <c r="N545" s="19"/>
      <c r="O545" s="19"/>
      <c r="P545" s="19"/>
      <c r="Q545" s="19"/>
      <c r="R545" s="19"/>
      <c r="S545" s="19"/>
      <c r="T545" s="19"/>
      <c r="U545" s="19"/>
      <c r="V545" s="19"/>
      <c r="W545" s="19"/>
      <c r="X545" s="19"/>
      <c r="Y545" s="19"/>
      <c r="Z545" s="19"/>
      <c r="AA545" s="19"/>
      <c r="AB545" s="19"/>
      <c r="AC545" s="19"/>
      <c r="AD545" s="19"/>
      <c r="AE545" s="19"/>
      <c r="AF545" s="19"/>
      <c r="AG545" s="19"/>
      <c r="AH545" s="19"/>
      <c r="AI545" s="19"/>
      <c r="AJ545" s="19"/>
      <c r="AK545" s="19"/>
      <c r="AL545" s="19"/>
      <c r="AM545" s="19"/>
      <c r="AN545" s="19"/>
      <c r="AO545" s="19"/>
      <c r="AP545" s="19"/>
      <c r="AQ545" s="19"/>
      <c r="AR545" s="19"/>
      <c r="AS545" s="19"/>
      <c r="AT545" s="19"/>
      <c r="AU545" s="19"/>
      <c r="AV545" s="19"/>
      <c r="AW545" s="19"/>
      <c r="AX545" s="19"/>
      <c r="GA545" s="54"/>
    </row>
    <row r="546" spans="1:183" s="18" customFormat="1">
      <c r="A546" s="51"/>
      <c r="B546" s="52"/>
      <c r="C546" s="52"/>
      <c r="D546" s="52"/>
      <c r="E546" s="53"/>
      <c r="F546" s="52"/>
      <c r="G546" s="52"/>
      <c r="H546" s="52"/>
      <c r="I546" s="53"/>
      <c r="J546" s="52"/>
      <c r="K546" s="52"/>
      <c r="L546" s="52"/>
      <c r="M546" s="52"/>
      <c r="N546" s="19"/>
      <c r="O546" s="19"/>
      <c r="P546" s="19"/>
      <c r="Q546" s="19"/>
      <c r="R546" s="19"/>
      <c r="S546" s="19"/>
      <c r="T546" s="19"/>
      <c r="U546" s="19"/>
      <c r="V546" s="19"/>
      <c r="W546" s="19"/>
      <c r="X546" s="19"/>
      <c r="Y546" s="19"/>
      <c r="Z546" s="19"/>
      <c r="AA546" s="19"/>
      <c r="AB546" s="19"/>
      <c r="AC546" s="19"/>
      <c r="AD546" s="19"/>
      <c r="AE546" s="19"/>
      <c r="AF546" s="19"/>
      <c r="AG546" s="19"/>
      <c r="AH546" s="19"/>
      <c r="AI546" s="19"/>
      <c r="AJ546" s="19"/>
      <c r="AK546" s="19"/>
      <c r="AL546" s="19"/>
      <c r="AM546" s="19"/>
      <c r="AN546" s="19"/>
      <c r="AO546" s="19"/>
      <c r="AP546" s="19"/>
      <c r="AQ546" s="19"/>
      <c r="AR546" s="19"/>
      <c r="AS546" s="19"/>
      <c r="AT546" s="19"/>
      <c r="AU546" s="19"/>
      <c r="AV546" s="19"/>
      <c r="AW546" s="19"/>
      <c r="AX546" s="19"/>
      <c r="GA546" s="54"/>
    </row>
    <row r="547" spans="1:183" s="18" customFormat="1">
      <c r="A547" s="51"/>
      <c r="B547" s="52"/>
      <c r="C547" s="52"/>
      <c r="D547" s="52"/>
      <c r="E547" s="53"/>
      <c r="F547" s="52"/>
      <c r="G547" s="52"/>
      <c r="H547" s="52"/>
      <c r="I547" s="53"/>
      <c r="J547" s="52"/>
      <c r="K547" s="52"/>
      <c r="L547" s="52"/>
      <c r="M547" s="52"/>
      <c r="N547" s="19"/>
      <c r="O547" s="19"/>
      <c r="P547" s="19"/>
      <c r="Q547" s="19"/>
      <c r="R547" s="19"/>
      <c r="S547" s="19"/>
      <c r="T547" s="19"/>
      <c r="U547" s="19"/>
      <c r="V547" s="19"/>
      <c r="W547" s="19"/>
      <c r="X547" s="19"/>
      <c r="Y547" s="19"/>
      <c r="Z547" s="19"/>
      <c r="AA547" s="19"/>
      <c r="AB547" s="19"/>
      <c r="AC547" s="19"/>
      <c r="AD547" s="19"/>
      <c r="AE547" s="19"/>
      <c r="AF547" s="19"/>
      <c r="AG547" s="19"/>
      <c r="AH547" s="19"/>
      <c r="AI547" s="19"/>
      <c r="AJ547" s="19"/>
      <c r="AK547" s="19"/>
      <c r="AL547" s="19"/>
      <c r="AM547" s="19"/>
      <c r="AN547" s="19"/>
      <c r="AO547" s="19"/>
      <c r="AP547" s="19"/>
      <c r="AQ547" s="19"/>
      <c r="AR547" s="19"/>
      <c r="AS547" s="19"/>
      <c r="AT547" s="19"/>
      <c r="AU547" s="19"/>
      <c r="AV547" s="19"/>
      <c r="AW547" s="19"/>
      <c r="AX547" s="19"/>
      <c r="GA547" s="54"/>
    </row>
    <row r="548" spans="1:183" s="18" customFormat="1">
      <c r="A548" s="51"/>
      <c r="B548" s="52"/>
      <c r="C548" s="52"/>
      <c r="D548" s="52"/>
      <c r="E548" s="53"/>
      <c r="F548" s="52"/>
      <c r="G548" s="52"/>
      <c r="H548" s="52"/>
      <c r="I548" s="53"/>
      <c r="J548" s="52"/>
      <c r="K548" s="52"/>
      <c r="L548" s="52"/>
      <c r="M548" s="52"/>
      <c r="N548" s="19"/>
      <c r="O548" s="19"/>
      <c r="P548" s="19"/>
      <c r="Q548" s="19"/>
      <c r="R548" s="19"/>
      <c r="S548" s="19"/>
      <c r="T548" s="19"/>
      <c r="U548" s="19"/>
      <c r="V548" s="19"/>
      <c r="W548" s="19"/>
      <c r="X548" s="19"/>
      <c r="Y548" s="19"/>
      <c r="Z548" s="19"/>
      <c r="AA548" s="19"/>
      <c r="AB548" s="19"/>
      <c r="AC548" s="19"/>
      <c r="AD548" s="19"/>
      <c r="AE548" s="19"/>
      <c r="AF548" s="19"/>
      <c r="AG548" s="19"/>
      <c r="AH548" s="19"/>
      <c r="AI548" s="19"/>
      <c r="AJ548" s="19"/>
      <c r="AK548" s="19"/>
      <c r="AL548" s="19"/>
      <c r="AM548" s="19"/>
      <c r="AN548" s="19"/>
      <c r="AO548" s="19"/>
      <c r="AP548" s="19"/>
      <c r="AQ548" s="19"/>
      <c r="AR548" s="19"/>
      <c r="AS548" s="19"/>
      <c r="AT548" s="19"/>
      <c r="AU548" s="19"/>
      <c r="AV548" s="19"/>
      <c r="AW548" s="19"/>
      <c r="AX548" s="19"/>
      <c r="GA548" s="54"/>
    </row>
    <row r="549" spans="1:183" s="18" customFormat="1">
      <c r="A549" s="51"/>
      <c r="B549" s="52"/>
      <c r="C549" s="52"/>
      <c r="D549" s="52"/>
      <c r="E549" s="53"/>
      <c r="F549" s="52"/>
      <c r="G549" s="52"/>
      <c r="H549" s="52"/>
      <c r="I549" s="53"/>
      <c r="J549" s="52"/>
      <c r="K549" s="52"/>
      <c r="L549" s="52"/>
      <c r="M549" s="52"/>
      <c r="N549" s="19"/>
      <c r="O549" s="19"/>
      <c r="P549" s="19"/>
      <c r="Q549" s="19"/>
      <c r="R549" s="19"/>
      <c r="S549" s="19"/>
      <c r="T549" s="19"/>
      <c r="U549" s="19"/>
      <c r="V549" s="19"/>
      <c r="W549" s="19"/>
      <c r="X549" s="19"/>
      <c r="Y549" s="19"/>
      <c r="Z549" s="19"/>
      <c r="AA549" s="19"/>
      <c r="AB549" s="19"/>
      <c r="AC549" s="19"/>
      <c r="AD549" s="19"/>
      <c r="AE549" s="19"/>
      <c r="AF549" s="19"/>
      <c r="AG549" s="19"/>
      <c r="AH549" s="19"/>
      <c r="AI549" s="19"/>
      <c r="AJ549" s="19"/>
      <c r="AK549" s="19"/>
      <c r="AL549" s="19"/>
      <c r="AM549" s="19"/>
      <c r="AN549" s="19"/>
      <c r="AO549" s="19"/>
      <c r="AP549" s="19"/>
      <c r="AQ549" s="19"/>
      <c r="AR549" s="19"/>
      <c r="AS549" s="19"/>
      <c r="AT549" s="19"/>
      <c r="AU549" s="19"/>
      <c r="AV549" s="19"/>
      <c r="AW549" s="19"/>
      <c r="AX549" s="19"/>
      <c r="GA549" s="54"/>
    </row>
    <row r="550" spans="1:183" s="18" customFormat="1">
      <c r="A550" s="51"/>
      <c r="B550" s="52"/>
      <c r="C550" s="52"/>
      <c r="D550" s="52"/>
      <c r="E550" s="53"/>
      <c r="F550" s="52"/>
      <c r="G550" s="52"/>
      <c r="H550" s="52"/>
      <c r="I550" s="53"/>
      <c r="J550" s="52"/>
      <c r="K550" s="52"/>
      <c r="L550" s="52"/>
      <c r="M550" s="52"/>
      <c r="N550" s="19"/>
      <c r="O550" s="19"/>
      <c r="P550" s="19"/>
      <c r="Q550" s="19"/>
      <c r="R550" s="19"/>
      <c r="S550" s="19"/>
      <c r="T550" s="19"/>
      <c r="U550" s="19"/>
      <c r="V550" s="19"/>
      <c r="W550" s="19"/>
      <c r="X550" s="19"/>
      <c r="Y550" s="19"/>
      <c r="Z550" s="19"/>
      <c r="AA550" s="19"/>
      <c r="AB550" s="19"/>
      <c r="AC550" s="19"/>
      <c r="AD550" s="19"/>
      <c r="AE550" s="19"/>
      <c r="AF550" s="19"/>
      <c r="AG550" s="19"/>
      <c r="AH550" s="19"/>
      <c r="AI550" s="19"/>
      <c r="AJ550" s="19"/>
      <c r="AK550" s="19"/>
      <c r="AL550" s="19"/>
      <c r="AM550" s="19"/>
      <c r="AN550" s="19"/>
      <c r="AO550" s="19"/>
      <c r="AP550" s="19"/>
      <c r="AQ550" s="19"/>
      <c r="AR550" s="19"/>
      <c r="AS550" s="19"/>
      <c r="AT550" s="19"/>
      <c r="AU550" s="19"/>
      <c r="AV550" s="19"/>
      <c r="AW550" s="19"/>
      <c r="AX550" s="19"/>
      <c r="GA550" s="54"/>
    </row>
    <row r="551" spans="1:183" s="18" customFormat="1">
      <c r="A551" s="51"/>
      <c r="B551" s="52"/>
      <c r="C551" s="52"/>
      <c r="D551" s="52"/>
      <c r="E551" s="53"/>
      <c r="F551" s="52"/>
      <c r="G551" s="52"/>
      <c r="H551" s="52"/>
      <c r="I551" s="53"/>
      <c r="J551" s="52"/>
      <c r="K551" s="52"/>
      <c r="L551" s="52"/>
      <c r="M551" s="52"/>
      <c r="N551" s="19"/>
      <c r="O551" s="19"/>
      <c r="P551" s="19"/>
      <c r="Q551" s="19"/>
      <c r="R551" s="19"/>
      <c r="S551" s="19"/>
      <c r="T551" s="19"/>
      <c r="U551" s="19"/>
      <c r="V551" s="19"/>
      <c r="W551" s="19"/>
      <c r="X551" s="19"/>
      <c r="Y551" s="19"/>
      <c r="Z551" s="19"/>
      <c r="AA551" s="19"/>
      <c r="AB551" s="19"/>
      <c r="AC551" s="19"/>
      <c r="AD551" s="19"/>
      <c r="AE551" s="19"/>
      <c r="AF551" s="19"/>
      <c r="AG551" s="19"/>
      <c r="AH551" s="19"/>
      <c r="AI551" s="19"/>
      <c r="AJ551" s="19"/>
      <c r="AK551" s="19"/>
      <c r="AL551" s="19"/>
      <c r="AM551" s="19"/>
      <c r="AN551" s="19"/>
      <c r="AO551" s="19"/>
      <c r="AP551" s="19"/>
      <c r="AQ551" s="19"/>
      <c r="AR551" s="19"/>
      <c r="AS551" s="19"/>
      <c r="AT551" s="19"/>
      <c r="AU551" s="19"/>
      <c r="AV551" s="19"/>
      <c r="AW551" s="19"/>
      <c r="AX551" s="19"/>
      <c r="GA551" s="54"/>
    </row>
    <row r="552" spans="1:183" s="18" customFormat="1">
      <c r="A552" s="51"/>
      <c r="B552" s="52"/>
      <c r="C552" s="52"/>
      <c r="D552" s="52"/>
      <c r="E552" s="53"/>
      <c r="F552" s="52"/>
      <c r="G552" s="52"/>
      <c r="H552" s="52"/>
      <c r="I552" s="53"/>
      <c r="J552" s="52"/>
      <c r="K552" s="52"/>
      <c r="L552" s="52"/>
      <c r="M552" s="52"/>
      <c r="N552" s="19"/>
      <c r="O552" s="19"/>
      <c r="P552" s="19"/>
      <c r="Q552" s="19"/>
      <c r="R552" s="19"/>
      <c r="S552" s="19"/>
      <c r="T552" s="19"/>
      <c r="U552" s="19"/>
      <c r="V552" s="19"/>
      <c r="W552" s="19"/>
      <c r="X552" s="19"/>
      <c r="Y552" s="19"/>
      <c r="Z552" s="19"/>
      <c r="AA552" s="19"/>
      <c r="AB552" s="19"/>
      <c r="AC552" s="19"/>
      <c r="AD552" s="19"/>
      <c r="AE552" s="19"/>
      <c r="AF552" s="19"/>
      <c r="AG552" s="19"/>
      <c r="AH552" s="19"/>
      <c r="AI552" s="19"/>
      <c r="AJ552" s="19"/>
      <c r="AK552" s="19"/>
      <c r="AL552" s="19"/>
      <c r="AM552" s="19"/>
      <c r="AN552" s="19"/>
      <c r="AO552" s="19"/>
      <c r="AP552" s="19"/>
      <c r="AQ552" s="19"/>
      <c r="AR552" s="19"/>
      <c r="AS552" s="19"/>
      <c r="AT552" s="19"/>
      <c r="AU552" s="19"/>
      <c r="AV552" s="19"/>
      <c r="AW552" s="19"/>
      <c r="AX552" s="19"/>
      <c r="GA552" s="54"/>
    </row>
    <row r="553" spans="1:183" s="18" customFormat="1">
      <c r="A553" s="51"/>
      <c r="B553" s="52"/>
      <c r="C553" s="52"/>
      <c r="D553" s="52"/>
      <c r="E553" s="53"/>
      <c r="F553" s="52"/>
      <c r="G553" s="52"/>
      <c r="H553" s="52"/>
      <c r="I553" s="53"/>
      <c r="J553" s="52"/>
      <c r="K553" s="52"/>
      <c r="L553" s="52"/>
      <c r="M553" s="52"/>
      <c r="N553" s="19"/>
      <c r="O553" s="19"/>
      <c r="P553" s="19"/>
      <c r="Q553" s="19"/>
      <c r="R553" s="19"/>
      <c r="S553" s="19"/>
      <c r="T553" s="19"/>
      <c r="U553" s="19"/>
      <c r="V553" s="19"/>
      <c r="W553" s="19"/>
      <c r="X553" s="19"/>
      <c r="Y553" s="19"/>
      <c r="Z553" s="19"/>
      <c r="AA553" s="19"/>
      <c r="AB553" s="19"/>
      <c r="AC553" s="19"/>
      <c r="AD553" s="19"/>
      <c r="AE553" s="19"/>
      <c r="AF553" s="19"/>
      <c r="AG553" s="19"/>
      <c r="AH553" s="19"/>
      <c r="AI553" s="19"/>
      <c r="AJ553" s="19"/>
      <c r="AK553" s="19"/>
      <c r="AL553" s="19"/>
      <c r="AM553" s="19"/>
      <c r="AN553" s="19"/>
      <c r="AO553" s="19"/>
      <c r="AP553" s="19"/>
      <c r="AQ553" s="19"/>
      <c r="AR553" s="19"/>
      <c r="AS553" s="19"/>
      <c r="AT553" s="19"/>
      <c r="AU553" s="19"/>
      <c r="AV553" s="19"/>
      <c r="AW553" s="19"/>
      <c r="AX553" s="19"/>
      <c r="GA553" s="54"/>
    </row>
    <row r="554" spans="1:183" s="18" customFormat="1">
      <c r="A554" s="51"/>
      <c r="B554" s="52"/>
      <c r="C554" s="52"/>
      <c r="D554" s="52"/>
      <c r="E554" s="53"/>
      <c r="F554" s="52"/>
      <c r="G554" s="52"/>
      <c r="H554" s="52"/>
      <c r="I554" s="53"/>
      <c r="J554" s="52"/>
      <c r="K554" s="52"/>
      <c r="L554" s="52"/>
      <c r="M554" s="52"/>
      <c r="N554" s="19"/>
      <c r="O554" s="19"/>
      <c r="P554" s="19"/>
      <c r="Q554" s="19"/>
      <c r="R554" s="19"/>
      <c r="S554" s="19"/>
      <c r="T554" s="19"/>
      <c r="U554" s="19"/>
      <c r="V554" s="19"/>
      <c r="W554" s="19"/>
      <c r="X554" s="19"/>
      <c r="Y554" s="19"/>
      <c r="Z554" s="19"/>
      <c r="AA554" s="19"/>
      <c r="AB554" s="19"/>
      <c r="AC554" s="19"/>
      <c r="AD554" s="19"/>
      <c r="AE554" s="19"/>
      <c r="AF554" s="19"/>
      <c r="AG554" s="19"/>
      <c r="AH554" s="19"/>
      <c r="AI554" s="19"/>
      <c r="AJ554" s="19"/>
      <c r="AK554" s="19"/>
      <c r="AL554" s="19"/>
      <c r="AM554" s="19"/>
      <c r="AN554" s="19"/>
      <c r="AO554" s="19"/>
      <c r="AP554" s="19"/>
      <c r="AQ554" s="19"/>
      <c r="AR554" s="19"/>
      <c r="AS554" s="19"/>
      <c r="AT554" s="19"/>
      <c r="AU554" s="19"/>
      <c r="AV554" s="19"/>
      <c r="AW554" s="19"/>
      <c r="AX554" s="19"/>
      <c r="GA554" s="54"/>
    </row>
    <row r="555" spans="1:183" s="18" customFormat="1">
      <c r="A555" s="51"/>
      <c r="B555" s="52"/>
      <c r="C555" s="52"/>
      <c r="D555" s="52"/>
      <c r="E555" s="53"/>
      <c r="F555" s="52"/>
      <c r="G555" s="52"/>
      <c r="H555" s="52"/>
      <c r="I555" s="53"/>
      <c r="J555" s="52"/>
      <c r="K555" s="52"/>
      <c r="L555" s="52"/>
      <c r="M555" s="52"/>
      <c r="N555" s="19"/>
      <c r="O555" s="19"/>
      <c r="P555" s="19"/>
      <c r="Q555" s="19"/>
      <c r="R555" s="19"/>
      <c r="S555" s="19"/>
      <c r="T555" s="19"/>
      <c r="U555" s="19"/>
      <c r="V555" s="19"/>
      <c r="W555" s="19"/>
      <c r="X555" s="19"/>
      <c r="Y555" s="19"/>
      <c r="Z555" s="19"/>
      <c r="AA555" s="19"/>
      <c r="AB555" s="19"/>
      <c r="AC555" s="19"/>
      <c r="AD555" s="19"/>
      <c r="AE555" s="19"/>
      <c r="AF555" s="19"/>
      <c r="AG555" s="19"/>
      <c r="AH555" s="19"/>
      <c r="AI555" s="19"/>
      <c r="AJ555" s="19"/>
      <c r="AK555" s="19"/>
      <c r="AL555" s="19"/>
      <c r="AM555" s="19"/>
      <c r="AN555" s="19"/>
      <c r="AO555" s="19"/>
      <c r="AP555" s="19"/>
      <c r="AQ555" s="19"/>
      <c r="AR555" s="19"/>
      <c r="AS555" s="19"/>
      <c r="AT555" s="19"/>
      <c r="AU555" s="19"/>
      <c r="AV555" s="19"/>
      <c r="AW555" s="19"/>
      <c r="AX555" s="19"/>
      <c r="GA555" s="54"/>
    </row>
    <row r="556" spans="1:183" s="18" customFormat="1">
      <c r="A556" s="51"/>
      <c r="B556" s="52"/>
      <c r="C556" s="52"/>
      <c r="D556" s="52"/>
      <c r="E556" s="53"/>
      <c r="F556" s="52"/>
      <c r="G556" s="52"/>
      <c r="H556" s="52"/>
      <c r="I556" s="53"/>
      <c r="J556" s="52"/>
      <c r="K556" s="52"/>
      <c r="L556" s="52"/>
      <c r="M556" s="52"/>
      <c r="N556" s="19"/>
      <c r="O556" s="19"/>
      <c r="P556" s="19"/>
      <c r="Q556" s="19"/>
      <c r="R556" s="19"/>
      <c r="S556" s="19"/>
      <c r="T556" s="19"/>
      <c r="U556" s="19"/>
      <c r="V556" s="19"/>
      <c r="W556" s="19"/>
      <c r="X556" s="19"/>
      <c r="Y556" s="19"/>
      <c r="Z556" s="19"/>
      <c r="AA556" s="19"/>
      <c r="AB556" s="19"/>
      <c r="AC556" s="19"/>
      <c r="AD556" s="19"/>
      <c r="AE556" s="19"/>
      <c r="AF556" s="19"/>
      <c r="AG556" s="19"/>
      <c r="AH556" s="19"/>
      <c r="AI556" s="19"/>
      <c r="AJ556" s="19"/>
      <c r="AK556" s="19"/>
      <c r="AL556" s="19"/>
      <c r="AM556" s="19"/>
      <c r="AN556" s="19"/>
      <c r="AO556" s="19"/>
      <c r="AP556" s="19"/>
      <c r="AQ556" s="19"/>
      <c r="AR556" s="19"/>
      <c r="AS556" s="19"/>
      <c r="AT556" s="19"/>
      <c r="AU556" s="19"/>
      <c r="AV556" s="19"/>
      <c r="AW556" s="19"/>
      <c r="AX556" s="19"/>
      <c r="GA556" s="54"/>
    </row>
    <row r="557" spans="1:183" s="18" customFormat="1">
      <c r="A557" s="51"/>
      <c r="B557" s="52"/>
      <c r="C557" s="52"/>
      <c r="D557" s="52"/>
      <c r="E557" s="53"/>
      <c r="F557" s="52"/>
      <c r="G557" s="52"/>
      <c r="H557" s="52"/>
      <c r="I557" s="53"/>
      <c r="J557" s="52"/>
      <c r="K557" s="52"/>
      <c r="L557" s="52"/>
      <c r="M557" s="52"/>
      <c r="N557" s="19"/>
      <c r="O557" s="19"/>
      <c r="P557" s="19"/>
      <c r="Q557" s="19"/>
      <c r="R557" s="19"/>
      <c r="S557" s="19"/>
      <c r="T557" s="19"/>
      <c r="U557" s="19"/>
      <c r="V557" s="19"/>
      <c r="W557" s="19"/>
      <c r="X557" s="19"/>
      <c r="Y557" s="19"/>
      <c r="Z557" s="19"/>
      <c r="AA557" s="19"/>
      <c r="AB557" s="19"/>
      <c r="AC557" s="19"/>
      <c r="AD557" s="19"/>
      <c r="AE557" s="19"/>
      <c r="AF557" s="19"/>
      <c r="AG557" s="19"/>
      <c r="AH557" s="19"/>
      <c r="AI557" s="19"/>
      <c r="AJ557" s="19"/>
      <c r="AK557" s="19"/>
      <c r="AL557" s="19"/>
      <c r="AM557" s="19"/>
      <c r="AN557" s="19"/>
      <c r="AO557" s="19"/>
      <c r="AP557" s="19"/>
      <c r="AQ557" s="19"/>
      <c r="AR557" s="19"/>
      <c r="AS557" s="19"/>
      <c r="AT557" s="19"/>
      <c r="AU557" s="19"/>
      <c r="AV557" s="19"/>
      <c r="AW557" s="19"/>
      <c r="AX557" s="19"/>
      <c r="GA557" s="54"/>
    </row>
    <row r="558" spans="1:183" s="18" customFormat="1">
      <c r="A558" s="51"/>
      <c r="B558" s="52"/>
      <c r="C558" s="52"/>
      <c r="D558" s="52"/>
      <c r="E558" s="53"/>
      <c r="F558" s="52"/>
      <c r="G558" s="52"/>
      <c r="H558" s="52"/>
      <c r="I558" s="53"/>
      <c r="J558" s="52"/>
      <c r="K558" s="52"/>
      <c r="L558" s="52"/>
      <c r="M558" s="52"/>
      <c r="N558" s="19"/>
      <c r="O558" s="19"/>
      <c r="P558" s="19"/>
      <c r="Q558" s="19"/>
      <c r="R558" s="19"/>
      <c r="S558" s="19"/>
      <c r="T558" s="19"/>
      <c r="U558" s="19"/>
      <c r="V558" s="19"/>
      <c r="W558" s="19"/>
      <c r="X558" s="19"/>
      <c r="Y558" s="19"/>
      <c r="Z558" s="19"/>
      <c r="AA558" s="19"/>
      <c r="AB558" s="19"/>
      <c r="AC558" s="19"/>
      <c r="AD558" s="19"/>
      <c r="AE558" s="19"/>
      <c r="AF558" s="19"/>
      <c r="AG558" s="19"/>
      <c r="AH558" s="19"/>
      <c r="AI558" s="19"/>
      <c r="AJ558" s="19"/>
      <c r="AK558" s="19"/>
      <c r="AL558" s="19"/>
      <c r="AM558" s="19"/>
      <c r="AN558" s="19"/>
      <c r="AO558" s="19"/>
      <c r="AP558" s="19"/>
      <c r="AQ558" s="19"/>
      <c r="AR558" s="19"/>
      <c r="AS558" s="19"/>
      <c r="AT558" s="19"/>
      <c r="AU558" s="19"/>
      <c r="AV558" s="19"/>
      <c r="AW558" s="19"/>
      <c r="AX558" s="19"/>
      <c r="GA558" s="54"/>
    </row>
    <row r="559" spans="1:183" s="18" customFormat="1">
      <c r="A559" s="51"/>
      <c r="B559" s="52"/>
      <c r="C559" s="52"/>
      <c r="D559" s="52"/>
      <c r="E559" s="53"/>
      <c r="F559" s="52"/>
      <c r="G559" s="52"/>
      <c r="H559" s="52"/>
      <c r="I559" s="53"/>
      <c r="J559" s="52"/>
      <c r="K559" s="52"/>
      <c r="L559" s="52"/>
      <c r="M559" s="52"/>
      <c r="N559" s="19"/>
      <c r="O559" s="19"/>
      <c r="P559" s="19"/>
      <c r="Q559" s="19"/>
      <c r="R559" s="19"/>
      <c r="S559" s="19"/>
      <c r="T559" s="19"/>
      <c r="U559" s="19"/>
      <c r="V559" s="19"/>
      <c r="W559" s="19"/>
      <c r="X559" s="19"/>
      <c r="Y559" s="19"/>
      <c r="Z559" s="19"/>
      <c r="AA559" s="19"/>
      <c r="AB559" s="19"/>
      <c r="AC559" s="19"/>
      <c r="AD559" s="19"/>
      <c r="AE559" s="19"/>
      <c r="AF559" s="19"/>
      <c r="AG559" s="19"/>
      <c r="AH559" s="19"/>
      <c r="AI559" s="19"/>
      <c r="AJ559" s="19"/>
      <c r="AK559" s="19"/>
      <c r="AL559" s="19"/>
      <c r="AM559" s="19"/>
      <c r="AN559" s="19"/>
      <c r="AO559" s="19"/>
      <c r="AP559" s="19"/>
      <c r="AQ559" s="19"/>
      <c r="AR559" s="19"/>
      <c r="AS559" s="19"/>
      <c r="AT559" s="19"/>
      <c r="AU559" s="19"/>
      <c r="AV559" s="19"/>
      <c r="AW559" s="19"/>
      <c r="AX559" s="19"/>
      <c r="GA559" s="54"/>
    </row>
    <row r="560" spans="1:183" s="18" customFormat="1">
      <c r="A560" s="51"/>
      <c r="B560" s="52"/>
      <c r="C560" s="52"/>
      <c r="D560" s="52"/>
      <c r="E560" s="53"/>
      <c r="F560" s="52"/>
      <c r="G560" s="52"/>
      <c r="H560" s="52"/>
      <c r="I560" s="53"/>
      <c r="J560" s="52"/>
      <c r="K560" s="52"/>
      <c r="L560" s="52"/>
      <c r="M560" s="52"/>
      <c r="N560" s="19"/>
      <c r="O560" s="19"/>
      <c r="P560" s="19"/>
      <c r="Q560" s="19"/>
      <c r="R560" s="19"/>
      <c r="S560" s="19"/>
      <c r="T560" s="19"/>
      <c r="U560" s="19"/>
      <c r="V560" s="19"/>
      <c r="W560" s="19"/>
      <c r="X560" s="19"/>
      <c r="Y560" s="19"/>
      <c r="Z560" s="19"/>
      <c r="AA560" s="19"/>
      <c r="AB560" s="19"/>
      <c r="AC560" s="19"/>
      <c r="AD560" s="19"/>
      <c r="AE560" s="19"/>
      <c r="AF560" s="19"/>
      <c r="AG560" s="19"/>
      <c r="AH560" s="19"/>
      <c r="AI560" s="19"/>
      <c r="AJ560" s="19"/>
      <c r="AK560" s="19"/>
      <c r="AL560" s="19"/>
      <c r="AM560" s="19"/>
      <c r="AN560" s="19"/>
      <c r="AO560" s="19"/>
      <c r="AP560" s="19"/>
      <c r="AQ560" s="19"/>
      <c r="AR560" s="19"/>
      <c r="AS560" s="19"/>
      <c r="AT560" s="19"/>
      <c r="AU560" s="19"/>
      <c r="AV560" s="19"/>
      <c r="AW560" s="19"/>
      <c r="AX560" s="19"/>
      <c r="GA560" s="54"/>
    </row>
    <row r="561" spans="1:183" s="18" customFormat="1">
      <c r="A561" s="51"/>
      <c r="B561" s="52"/>
      <c r="C561" s="52"/>
      <c r="D561" s="52"/>
      <c r="E561" s="53"/>
      <c r="F561" s="52"/>
      <c r="G561" s="52"/>
      <c r="H561" s="52"/>
      <c r="I561" s="53"/>
      <c r="J561" s="52"/>
      <c r="K561" s="52"/>
      <c r="L561" s="52"/>
      <c r="M561" s="52"/>
      <c r="N561" s="19"/>
      <c r="O561" s="19"/>
      <c r="P561" s="19"/>
      <c r="Q561" s="19"/>
      <c r="R561" s="19"/>
      <c r="S561" s="19"/>
      <c r="T561" s="19"/>
      <c r="U561" s="19"/>
      <c r="V561" s="19"/>
      <c r="W561" s="19"/>
      <c r="X561" s="19"/>
      <c r="Y561" s="19"/>
      <c r="Z561" s="19"/>
      <c r="AA561" s="19"/>
      <c r="AB561" s="19"/>
      <c r="AC561" s="19"/>
      <c r="AD561" s="19"/>
      <c r="AE561" s="19"/>
      <c r="AF561" s="19"/>
      <c r="AG561" s="19"/>
      <c r="AH561" s="19"/>
      <c r="AI561" s="19"/>
      <c r="AJ561" s="19"/>
      <c r="AK561" s="19"/>
      <c r="AL561" s="19"/>
      <c r="AM561" s="19"/>
      <c r="AN561" s="19"/>
      <c r="AO561" s="19"/>
      <c r="AP561" s="19"/>
      <c r="AQ561" s="19"/>
      <c r="AR561" s="19"/>
      <c r="AS561" s="19"/>
      <c r="AT561" s="19"/>
      <c r="AU561" s="19"/>
      <c r="AV561" s="19"/>
      <c r="AW561" s="19"/>
      <c r="AX561" s="19"/>
      <c r="GA561" s="54"/>
    </row>
    <row r="562" spans="1:183" s="18" customFormat="1">
      <c r="A562" s="51"/>
      <c r="B562" s="52"/>
      <c r="C562" s="52"/>
      <c r="D562" s="52"/>
      <c r="E562" s="53"/>
      <c r="F562" s="52"/>
      <c r="G562" s="52"/>
      <c r="H562" s="52"/>
      <c r="I562" s="53"/>
      <c r="J562" s="52"/>
      <c r="K562" s="52"/>
      <c r="L562" s="52"/>
      <c r="M562" s="52"/>
      <c r="N562" s="19"/>
      <c r="O562" s="19"/>
      <c r="P562" s="19"/>
      <c r="Q562" s="19"/>
      <c r="R562" s="19"/>
      <c r="S562" s="19"/>
      <c r="T562" s="19"/>
      <c r="U562" s="19"/>
      <c r="V562" s="19"/>
      <c r="W562" s="19"/>
      <c r="X562" s="19"/>
      <c r="Y562" s="19"/>
      <c r="Z562" s="19"/>
      <c r="AA562" s="19"/>
      <c r="AB562" s="19"/>
      <c r="AC562" s="19"/>
      <c r="AD562" s="19"/>
      <c r="AE562" s="19"/>
      <c r="AF562" s="19"/>
      <c r="AG562" s="19"/>
      <c r="AH562" s="19"/>
      <c r="AI562" s="19"/>
      <c r="AJ562" s="19"/>
      <c r="AK562" s="19"/>
      <c r="AL562" s="19"/>
      <c r="AM562" s="19"/>
      <c r="AN562" s="19"/>
      <c r="AO562" s="19"/>
      <c r="AP562" s="19"/>
      <c r="AQ562" s="19"/>
      <c r="AR562" s="19"/>
      <c r="AS562" s="19"/>
      <c r="AT562" s="19"/>
      <c r="AU562" s="19"/>
      <c r="AV562" s="19"/>
      <c r="AW562" s="19"/>
      <c r="AX562" s="19"/>
      <c r="GA562" s="54"/>
    </row>
    <row r="563" spans="1:183" s="18" customFormat="1">
      <c r="A563" s="51"/>
      <c r="B563" s="52"/>
      <c r="C563" s="52"/>
      <c r="D563" s="52"/>
      <c r="E563" s="53"/>
      <c r="F563" s="52"/>
      <c r="G563" s="52"/>
      <c r="H563" s="52"/>
      <c r="I563" s="53"/>
      <c r="J563" s="52"/>
      <c r="K563" s="52"/>
      <c r="L563" s="52"/>
      <c r="M563" s="52"/>
      <c r="N563" s="19"/>
      <c r="O563" s="19"/>
      <c r="P563" s="19"/>
      <c r="Q563" s="19"/>
      <c r="R563" s="19"/>
      <c r="S563" s="19"/>
      <c r="T563" s="19"/>
      <c r="U563" s="19"/>
      <c r="V563" s="19"/>
      <c r="W563" s="19"/>
      <c r="X563" s="19"/>
      <c r="Y563" s="19"/>
      <c r="Z563" s="19"/>
      <c r="AA563" s="19"/>
      <c r="AB563" s="19"/>
      <c r="AC563" s="19"/>
      <c r="AD563" s="19"/>
      <c r="AE563" s="19"/>
      <c r="AF563" s="19"/>
      <c r="AG563" s="19"/>
      <c r="AH563" s="19"/>
      <c r="AI563" s="19"/>
      <c r="AJ563" s="19"/>
      <c r="AK563" s="19"/>
      <c r="AL563" s="19"/>
      <c r="AM563" s="19"/>
      <c r="AN563" s="19"/>
      <c r="AO563" s="19"/>
      <c r="AP563" s="19"/>
      <c r="AQ563" s="19"/>
      <c r="AR563" s="19"/>
      <c r="AS563" s="19"/>
      <c r="AT563" s="19"/>
      <c r="AU563" s="19"/>
      <c r="AV563" s="19"/>
      <c r="AW563" s="19"/>
      <c r="AX563" s="19"/>
      <c r="GA563" s="54"/>
    </row>
    <row r="564" spans="1:183" s="18" customFormat="1">
      <c r="A564" s="51"/>
      <c r="B564" s="52"/>
      <c r="C564" s="52"/>
      <c r="D564" s="52"/>
      <c r="E564" s="53"/>
      <c r="F564" s="52"/>
      <c r="G564" s="52"/>
      <c r="H564" s="52"/>
      <c r="I564" s="53"/>
      <c r="J564" s="52"/>
      <c r="K564" s="52"/>
      <c r="L564" s="52"/>
      <c r="M564" s="52"/>
      <c r="N564" s="19"/>
      <c r="O564" s="19"/>
      <c r="P564" s="19"/>
      <c r="Q564" s="19"/>
      <c r="R564" s="19"/>
      <c r="S564" s="19"/>
      <c r="T564" s="19"/>
      <c r="U564" s="19"/>
      <c r="V564" s="19"/>
      <c r="W564" s="19"/>
      <c r="X564" s="19"/>
      <c r="Y564" s="19"/>
      <c r="Z564" s="19"/>
      <c r="AA564" s="19"/>
      <c r="AB564" s="19"/>
      <c r="AC564" s="19"/>
      <c r="AD564" s="19"/>
      <c r="AE564" s="19"/>
      <c r="AF564" s="19"/>
      <c r="AG564" s="19"/>
      <c r="AH564" s="19"/>
      <c r="AI564" s="19"/>
      <c r="AJ564" s="19"/>
      <c r="AK564" s="19"/>
      <c r="AL564" s="19"/>
      <c r="AM564" s="19"/>
      <c r="AN564" s="19"/>
      <c r="AO564" s="19"/>
      <c r="AP564" s="19"/>
      <c r="AQ564" s="19"/>
      <c r="AR564" s="19"/>
      <c r="AS564" s="19"/>
      <c r="AT564" s="19"/>
      <c r="AU564" s="19"/>
      <c r="AV564" s="19"/>
      <c r="AW564" s="19"/>
      <c r="AX564" s="19"/>
      <c r="GA564" s="54"/>
    </row>
    <row r="565" spans="1:183" s="18" customFormat="1">
      <c r="A565" s="51"/>
      <c r="B565" s="52"/>
      <c r="C565" s="52"/>
      <c r="D565" s="52"/>
      <c r="E565" s="53"/>
      <c r="F565" s="52"/>
      <c r="G565" s="52"/>
      <c r="H565" s="52"/>
      <c r="I565" s="53"/>
      <c r="J565" s="52"/>
      <c r="K565" s="52"/>
      <c r="L565" s="52"/>
      <c r="M565" s="52"/>
      <c r="N565" s="19"/>
      <c r="O565" s="19"/>
      <c r="P565" s="19"/>
      <c r="Q565" s="19"/>
      <c r="R565" s="19"/>
      <c r="S565" s="19"/>
      <c r="T565" s="19"/>
      <c r="U565" s="19"/>
      <c r="V565" s="19"/>
      <c r="W565" s="19"/>
      <c r="X565" s="19"/>
      <c r="Y565" s="19"/>
      <c r="Z565" s="19"/>
      <c r="AA565" s="19"/>
      <c r="AB565" s="19"/>
      <c r="AC565" s="19"/>
      <c r="AD565" s="19"/>
      <c r="AE565" s="19"/>
      <c r="AF565" s="19"/>
      <c r="AG565" s="19"/>
      <c r="AH565" s="19"/>
      <c r="AI565" s="19"/>
      <c r="AJ565" s="19"/>
      <c r="AK565" s="19"/>
      <c r="AL565" s="19"/>
      <c r="AM565" s="19"/>
      <c r="AN565" s="19"/>
      <c r="AO565" s="19"/>
      <c r="AP565" s="19"/>
      <c r="AQ565" s="19"/>
      <c r="AR565" s="19"/>
      <c r="AS565" s="19"/>
      <c r="AT565" s="19"/>
      <c r="AU565" s="19"/>
      <c r="AV565" s="19"/>
      <c r="AW565" s="19"/>
      <c r="AX565" s="19"/>
      <c r="GA565" s="54"/>
    </row>
    <row r="566" spans="1:183" s="18" customFormat="1">
      <c r="A566" s="51"/>
      <c r="B566" s="52"/>
      <c r="C566" s="52"/>
      <c r="D566" s="52"/>
      <c r="E566" s="53"/>
      <c r="F566" s="52"/>
      <c r="G566" s="52"/>
      <c r="H566" s="52"/>
      <c r="I566" s="53"/>
      <c r="J566" s="52"/>
      <c r="K566" s="52"/>
      <c r="L566" s="52"/>
      <c r="M566" s="52"/>
      <c r="N566" s="19"/>
      <c r="O566" s="19"/>
      <c r="P566" s="19"/>
      <c r="Q566" s="19"/>
      <c r="R566" s="19"/>
      <c r="S566" s="19"/>
      <c r="T566" s="19"/>
      <c r="U566" s="19"/>
      <c r="V566" s="19"/>
      <c r="W566" s="19"/>
      <c r="X566" s="19"/>
      <c r="Y566" s="19"/>
      <c r="Z566" s="19"/>
      <c r="AA566" s="19"/>
      <c r="AB566" s="19"/>
      <c r="AC566" s="19"/>
      <c r="AD566" s="19"/>
      <c r="AE566" s="19"/>
      <c r="AF566" s="19"/>
      <c r="AG566" s="19"/>
      <c r="AH566" s="19"/>
      <c r="AI566" s="19"/>
      <c r="AJ566" s="19"/>
      <c r="AK566" s="19"/>
      <c r="AL566" s="19"/>
      <c r="AM566" s="19"/>
      <c r="AN566" s="19"/>
      <c r="AO566" s="19"/>
      <c r="AP566" s="19"/>
      <c r="AQ566" s="19"/>
      <c r="AR566" s="19"/>
      <c r="AS566" s="19"/>
      <c r="AT566" s="19"/>
      <c r="AU566" s="19"/>
      <c r="AV566" s="19"/>
      <c r="AW566" s="19"/>
      <c r="AX566" s="19"/>
      <c r="GA566" s="54"/>
    </row>
    <row r="567" spans="1:183" s="18" customFormat="1">
      <c r="A567" s="51"/>
      <c r="B567" s="52"/>
      <c r="C567" s="52"/>
      <c r="D567" s="52"/>
      <c r="E567" s="53"/>
      <c r="F567" s="52"/>
      <c r="G567" s="52"/>
      <c r="H567" s="52"/>
      <c r="I567" s="53"/>
      <c r="J567" s="52"/>
      <c r="K567" s="52"/>
      <c r="L567" s="52"/>
      <c r="M567" s="52"/>
      <c r="N567" s="19"/>
      <c r="O567" s="19"/>
      <c r="P567" s="19"/>
      <c r="Q567" s="19"/>
      <c r="R567" s="19"/>
      <c r="S567" s="19"/>
      <c r="T567" s="19"/>
      <c r="U567" s="19"/>
      <c r="V567" s="19"/>
      <c r="W567" s="19"/>
      <c r="X567" s="19"/>
      <c r="Y567" s="19"/>
      <c r="Z567" s="19"/>
      <c r="AA567" s="19"/>
      <c r="AB567" s="19"/>
      <c r="AC567" s="19"/>
      <c r="AD567" s="19"/>
      <c r="AE567" s="19"/>
      <c r="AF567" s="19"/>
      <c r="AG567" s="19"/>
      <c r="AH567" s="19"/>
      <c r="AI567" s="19"/>
      <c r="AJ567" s="19"/>
      <c r="AK567" s="19"/>
      <c r="AL567" s="19"/>
      <c r="AM567" s="19"/>
      <c r="AN567" s="19"/>
      <c r="AO567" s="19"/>
      <c r="AP567" s="19"/>
      <c r="AQ567" s="19"/>
      <c r="AR567" s="19"/>
      <c r="AS567" s="19"/>
      <c r="AT567" s="19"/>
      <c r="AU567" s="19"/>
      <c r="AV567" s="19"/>
      <c r="AW567" s="19"/>
      <c r="AX567" s="19"/>
      <c r="GA567" s="54"/>
    </row>
    <row r="568" spans="1:183" s="18" customFormat="1">
      <c r="A568" s="51"/>
      <c r="B568" s="52"/>
      <c r="C568" s="52"/>
      <c r="D568" s="52"/>
      <c r="E568" s="53"/>
      <c r="F568" s="52"/>
      <c r="G568" s="52"/>
      <c r="H568" s="52"/>
      <c r="I568" s="53"/>
      <c r="J568" s="52"/>
      <c r="K568" s="52"/>
      <c r="L568" s="52"/>
      <c r="M568" s="52"/>
      <c r="N568" s="19"/>
      <c r="O568" s="19"/>
      <c r="P568" s="19"/>
      <c r="Q568" s="19"/>
      <c r="R568" s="19"/>
      <c r="S568" s="19"/>
      <c r="T568" s="19"/>
      <c r="U568" s="19"/>
      <c r="V568" s="19"/>
      <c r="W568" s="19"/>
      <c r="X568" s="19"/>
      <c r="Y568" s="19"/>
      <c r="Z568" s="19"/>
      <c r="AA568" s="19"/>
      <c r="AB568" s="19"/>
      <c r="AC568" s="19"/>
      <c r="AD568" s="19"/>
      <c r="AE568" s="19"/>
      <c r="AF568" s="19"/>
      <c r="AG568" s="19"/>
      <c r="AH568" s="19"/>
      <c r="AI568" s="19"/>
      <c r="AJ568" s="19"/>
      <c r="AK568" s="19"/>
      <c r="AL568" s="19"/>
      <c r="AM568" s="19"/>
      <c r="AN568" s="19"/>
      <c r="AO568" s="19"/>
      <c r="AP568" s="19"/>
      <c r="AQ568" s="19"/>
      <c r="AR568" s="19"/>
      <c r="AS568" s="19"/>
      <c r="AT568" s="19"/>
      <c r="AU568" s="19"/>
      <c r="AV568" s="19"/>
      <c r="AW568" s="19"/>
      <c r="AX568" s="19"/>
      <c r="GA568" s="54"/>
    </row>
    <row r="569" spans="1:183" s="18" customFormat="1">
      <c r="A569" s="51"/>
      <c r="B569" s="52"/>
      <c r="C569" s="52"/>
      <c r="D569" s="52"/>
      <c r="E569" s="53"/>
      <c r="F569" s="52"/>
      <c r="G569" s="52"/>
      <c r="H569" s="52"/>
      <c r="I569" s="53"/>
      <c r="J569" s="52"/>
      <c r="K569" s="52"/>
      <c r="L569" s="52"/>
      <c r="M569" s="52"/>
      <c r="N569" s="19"/>
      <c r="O569" s="19"/>
      <c r="P569" s="19"/>
      <c r="Q569" s="19"/>
      <c r="R569" s="19"/>
      <c r="S569" s="19"/>
      <c r="T569" s="19"/>
      <c r="U569" s="19"/>
      <c r="V569" s="19"/>
      <c r="W569" s="19"/>
      <c r="X569" s="19"/>
      <c r="Y569" s="19"/>
      <c r="Z569" s="19"/>
      <c r="AA569" s="19"/>
      <c r="AB569" s="19"/>
      <c r="AC569" s="19"/>
      <c r="AD569" s="19"/>
      <c r="AE569" s="19"/>
      <c r="AF569" s="19"/>
      <c r="AG569" s="19"/>
      <c r="AH569" s="19"/>
      <c r="AI569" s="19"/>
      <c r="AJ569" s="19"/>
      <c r="AK569" s="19"/>
      <c r="AL569" s="19"/>
      <c r="AM569" s="19"/>
      <c r="AN569" s="19"/>
      <c r="AO569" s="19"/>
      <c r="AP569" s="19"/>
      <c r="AQ569" s="19"/>
      <c r="AR569" s="19"/>
      <c r="AS569" s="19"/>
      <c r="AT569" s="19"/>
      <c r="AU569" s="19"/>
      <c r="AV569" s="19"/>
      <c r="AW569" s="19"/>
      <c r="AX569" s="19"/>
      <c r="GA569" s="54"/>
    </row>
    <row r="570" spans="1:183" s="18" customFormat="1">
      <c r="A570" s="51"/>
      <c r="B570" s="52"/>
      <c r="C570" s="52"/>
      <c r="D570" s="52"/>
      <c r="E570" s="53"/>
      <c r="F570" s="52"/>
      <c r="G570" s="52"/>
      <c r="H570" s="52"/>
      <c r="I570" s="53"/>
      <c r="J570" s="52"/>
      <c r="K570" s="52"/>
      <c r="L570" s="52"/>
      <c r="M570" s="52"/>
      <c r="N570" s="19"/>
      <c r="O570" s="19"/>
      <c r="P570" s="19"/>
      <c r="Q570" s="19"/>
      <c r="R570" s="19"/>
      <c r="S570" s="19"/>
      <c r="T570" s="19"/>
      <c r="U570" s="19"/>
      <c r="V570" s="19"/>
      <c r="W570" s="19"/>
      <c r="X570" s="19"/>
      <c r="Y570" s="19"/>
      <c r="Z570" s="19"/>
      <c r="AA570" s="19"/>
      <c r="AB570" s="19"/>
      <c r="AC570" s="19"/>
      <c r="AD570" s="19"/>
      <c r="AE570" s="19"/>
      <c r="AF570" s="19"/>
      <c r="AG570" s="19"/>
      <c r="AH570" s="19"/>
      <c r="AI570" s="19"/>
      <c r="AJ570" s="19"/>
      <c r="AK570" s="19"/>
      <c r="AL570" s="19"/>
      <c r="AM570" s="19"/>
      <c r="AN570" s="19"/>
      <c r="AO570" s="19"/>
      <c r="AP570" s="19"/>
      <c r="AQ570" s="19"/>
      <c r="AR570" s="19"/>
      <c r="AS570" s="19"/>
      <c r="AT570" s="19"/>
      <c r="AU570" s="19"/>
      <c r="AV570" s="19"/>
      <c r="AW570" s="19"/>
      <c r="AX570" s="19"/>
      <c r="GA570" s="54"/>
    </row>
    <row r="571" spans="1:183" s="18" customFormat="1">
      <c r="A571" s="51"/>
      <c r="B571" s="52"/>
      <c r="C571" s="52"/>
      <c r="D571" s="52"/>
      <c r="E571" s="53"/>
      <c r="F571" s="52"/>
      <c r="G571" s="52"/>
      <c r="H571" s="52"/>
      <c r="I571" s="53"/>
      <c r="J571" s="52"/>
      <c r="K571" s="52"/>
      <c r="L571" s="52"/>
      <c r="M571" s="52"/>
      <c r="N571" s="19"/>
      <c r="O571" s="19"/>
      <c r="P571" s="19"/>
      <c r="Q571" s="19"/>
      <c r="R571" s="19"/>
      <c r="S571" s="19"/>
      <c r="T571" s="19"/>
      <c r="U571" s="19"/>
      <c r="V571" s="19"/>
      <c r="W571" s="19"/>
      <c r="X571" s="19"/>
      <c r="Y571" s="19"/>
      <c r="Z571" s="19"/>
      <c r="AA571" s="19"/>
      <c r="AB571" s="19"/>
      <c r="AC571" s="19"/>
      <c r="AD571" s="19"/>
      <c r="AE571" s="19"/>
      <c r="AF571" s="19"/>
      <c r="AG571" s="19"/>
      <c r="AH571" s="19"/>
      <c r="AI571" s="19"/>
      <c r="AJ571" s="19"/>
      <c r="AK571" s="19"/>
      <c r="AL571" s="19"/>
      <c r="AM571" s="19"/>
      <c r="AN571" s="19"/>
      <c r="AO571" s="19"/>
      <c r="AP571" s="19"/>
      <c r="AQ571" s="19"/>
      <c r="AR571" s="19"/>
      <c r="AS571" s="19"/>
      <c r="AT571" s="19"/>
      <c r="AU571" s="19"/>
      <c r="AV571" s="19"/>
      <c r="AW571" s="19"/>
      <c r="AX571" s="19"/>
      <c r="GA571" s="54"/>
    </row>
    <row r="572" spans="1:183" s="18" customFormat="1">
      <c r="A572" s="51"/>
      <c r="B572" s="52"/>
      <c r="C572" s="52"/>
      <c r="D572" s="52"/>
      <c r="E572" s="53"/>
      <c r="F572" s="52"/>
      <c r="G572" s="52"/>
      <c r="H572" s="52"/>
      <c r="I572" s="53"/>
      <c r="J572" s="52"/>
      <c r="K572" s="52"/>
      <c r="L572" s="52"/>
      <c r="M572" s="52"/>
      <c r="N572" s="19"/>
      <c r="O572" s="19"/>
      <c r="P572" s="19"/>
      <c r="Q572" s="19"/>
      <c r="R572" s="19"/>
      <c r="S572" s="19"/>
      <c r="T572" s="19"/>
      <c r="U572" s="19"/>
      <c r="V572" s="19"/>
      <c r="W572" s="19"/>
      <c r="X572" s="19"/>
      <c r="Y572" s="19"/>
      <c r="Z572" s="19"/>
      <c r="AA572" s="19"/>
      <c r="AB572" s="19"/>
      <c r="AC572" s="19"/>
      <c r="AD572" s="19"/>
      <c r="AE572" s="19"/>
      <c r="AF572" s="19"/>
      <c r="AG572" s="19"/>
      <c r="AH572" s="19"/>
      <c r="AI572" s="19"/>
      <c r="AJ572" s="19"/>
      <c r="AK572" s="19"/>
      <c r="AL572" s="19"/>
      <c r="AM572" s="19"/>
      <c r="AN572" s="19"/>
      <c r="AO572" s="19"/>
      <c r="AP572" s="19"/>
      <c r="AQ572" s="19"/>
      <c r="AR572" s="19"/>
      <c r="AS572" s="19"/>
      <c r="AT572" s="19"/>
      <c r="AU572" s="19"/>
      <c r="AV572" s="19"/>
      <c r="AW572" s="19"/>
      <c r="AX572" s="19"/>
      <c r="GA572" s="54"/>
    </row>
    <row r="573" spans="1:183" s="18" customFormat="1">
      <c r="A573" s="51"/>
      <c r="B573" s="52"/>
      <c r="C573" s="52"/>
      <c r="D573" s="52"/>
      <c r="E573" s="53"/>
      <c r="F573" s="52"/>
      <c r="G573" s="52"/>
      <c r="H573" s="52"/>
      <c r="I573" s="53"/>
      <c r="J573" s="52"/>
      <c r="K573" s="52"/>
      <c r="L573" s="52"/>
      <c r="M573" s="52"/>
      <c r="N573" s="19"/>
      <c r="O573" s="19"/>
      <c r="P573" s="19"/>
      <c r="Q573" s="19"/>
      <c r="R573" s="19"/>
      <c r="S573" s="19"/>
      <c r="T573" s="19"/>
      <c r="U573" s="19"/>
      <c r="V573" s="19"/>
      <c r="W573" s="19"/>
      <c r="X573" s="19"/>
      <c r="Y573" s="19"/>
      <c r="Z573" s="19"/>
      <c r="AA573" s="19"/>
      <c r="AB573" s="19"/>
      <c r="AC573" s="19"/>
      <c r="AD573" s="19"/>
      <c r="AE573" s="19"/>
      <c r="AF573" s="19"/>
      <c r="AG573" s="19"/>
      <c r="AH573" s="19"/>
      <c r="AI573" s="19"/>
      <c r="AJ573" s="19"/>
      <c r="AK573" s="19"/>
      <c r="AL573" s="19"/>
      <c r="AM573" s="19"/>
      <c r="AN573" s="19"/>
      <c r="AO573" s="19"/>
      <c r="AP573" s="19"/>
      <c r="AQ573" s="19"/>
      <c r="AR573" s="19"/>
      <c r="AS573" s="19"/>
      <c r="AT573" s="19"/>
      <c r="AU573" s="19"/>
      <c r="AV573" s="19"/>
      <c r="AW573" s="19"/>
      <c r="AX573" s="19"/>
      <c r="GA573" s="54"/>
    </row>
    <row r="574" spans="1:183" s="18" customFormat="1">
      <c r="A574" s="51"/>
      <c r="B574" s="52"/>
      <c r="C574" s="52"/>
      <c r="D574" s="52"/>
      <c r="E574" s="53"/>
      <c r="F574" s="52"/>
      <c r="G574" s="52"/>
      <c r="H574" s="52"/>
      <c r="I574" s="53"/>
      <c r="J574" s="52"/>
      <c r="K574" s="52"/>
      <c r="L574" s="52"/>
      <c r="M574" s="52"/>
      <c r="N574" s="19"/>
      <c r="O574" s="19"/>
      <c r="P574" s="19"/>
      <c r="Q574" s="19"/>
      <c r="R574" s="19"/>
      <c r="S574" s="19"/>
      <c r="T574" s="19"/>
      <c r="U574" s="19"/>
      <c r="V574" s="19"/>
      <c r="W574" s="19"/>
      <c r="X574" s="19"/>
      <c r="Y574" s="19"/>
      <c r="Z574" s="19"/>
      <c r="AA574" s="19"/>
      <c r="AB574" s="19"/>
      <c r="AC574" s="19"/>
      <c r="AD574" s="19"/>
      <c r="AE574" s="19"/>
      <c r="AF574" s="19"/>
      <c r="AG574" s="19"/>
      <c r="AH574" s="19"/>
      <c r="AI574" s="19"/>
      <c r="AJ574" s="19"/>
      <c r="AK574" s="19"/>
      <c r="AL574" s="19"/>
      <c r="AM574" s="19"/>
      <c r="AN574" s="19"/>
      <c r="AO574" s="19"/>
      <c r="AP574" s="19"/>
      <c r="AQ574" s="19"/>
      <c r="AR574" s="19"/>
      <c r="AS574" s="19"/>
      <c r="AT574" s="19"/>
      <c r="AU574" s="19"/>
      <c r="AV574" s="19"/>
      <c r="AW574" s="19"/>
      <c r="AX574" s="19"/>
      <c r="GA574" s="54"/>
    </row>
    <row r="575" spans="1:183" s="18" customFormat="1">
      <c r="A575" s="51"/>
      <c r="B575" s="52"/>
      <c r="C575" s="52"/>
      <c r="D575" s="52"/>
      <c r="E575" s="53"/>
      <c r="F575" s="52"/>
      <c r="G575" s="52"/>
      <c r="H575" s="52"/>
      <c r="I575" s="53"/>
      <c r="J575" s="52"/>
      <c r="K575" s="52"/>
      <c r="L575" s="52"/>
      <c r="M575" s="52"/>
      <c r="N575" s="19"/>
      <c r="O575" s="19"/>
      <c r="P575" s="19"/>
      <c r="Q575" s="19"/>
      <c r="R575" s="19"/>
      <c r="S575" s="19"/>
      <c r="T575" s="19"/>
      <c r="U575" s="19"/>
      <c r="V575" s="19"/>
      <c r="W575" s="19"/>
      <c r="X575" s="19"/>
      <c r="Y575" s="19"/>
      <c r="Z575" s="19"/>
      <c r="AA575" s="19"/>
      <c r="AB575" s="19"/>
      <c r="AC575" s="19"/>
      <c r="AD575" s="19"/>
      <c r="AE575" s="19"/>
      <c r="AF575" s="19"/>
      <c r="AG575" s="19"/>
      <c r="AH575" s="19"/>
      <c r="AI575" s="19"/>
      <c r="AJ575" s="19"/>
      <c r="AK575" s="19"/>
      <c r="AL575" s="19"/>
      <c r="AM575" s="19"/>
      <c r="AN575" s="19"/>
      <c r="AO575" s="19"/>
      <c r="AP575" s="19"/>
      <c r="AQ575" s="19"/>
      <c r="AR575" s="19"/>
      <c r="AS575" s="19"/>
      <c r="AT575" s="19"/>
      <c r="AU575" s="19"/>
      <c r="AV575" s="19"/>
      <c r="AW575" s="19"/>
      <c r="AX575" s="19"/>
      <c r="GA575" s="54"/>
    </row>
    <row r="576" spans="1:183" s="18" customFormat="1">
      <c r="A576" s="51"/>
      <c r="B576" s="52"/>
      <c r="C576" s="52"/>
      <c r="D576" s="52"/>
      <c r="E576" s="53"/>
      <c r="F576" s="52"/>
      <c r="G576" s="52"/>
      <c r="H576" s="52"/>
      <c r="I576" s="53"/>
      <c r="J576" s="52"/>
      <c r="K576" s="52"/>
      <c r="L576" s="52"/>
      <c r="M576" s="52"/>
      <c r="N576" s="19"/>
      <c r="O576" s="19"/>
      <c r="P576" s="19"/>
      <c r="Q576" s="19"/>
      <c r="R576" s="19"/>
      <c r="S576" s="19"/>
      <c r="T576" s="19"/>
      <c r="U576" s="19"/>
      <c r="V576" s="19"/>
      <c r="W576" s="19"/>
      <c r="X576" s="19"/>
      <c r="Y576" s="19"/>
      <c r="Z576" s="19"/>
      <c r="AA576" s="19"/>
      <c r="AB576" s="19"/>
      <c r="AC576" s="19"/>
      <c r="AD576" s="19"/>
      <c r="AE576" s="19"/>
      <c r="AF576" s="19"/>
      <c r="AG576" s="19"/>
      <c r="AH576" s="19"/>
      <c r="AI576" s="19"/>
      <c r="AJ576" s="19"/>
      <c r="AK576" s="19"/>
      <c r="AL576" s="19"/>
      <c r="AM576" s="19"/>
      <c r="AN576" s="19"/>
      <c r="AO576" s="19"/>
      <c r="AP576" s="19"/>
      <c r="AQ576" s="19"/>
      <c r="AR576" s="19"/>
      <c r="AS576" s="19"/>
      <c r="AT576" s="19"/>
      <c r="AU576" s="19"/>
      <c r="AV576" s="19"/>
      <c r="AW576" s="19"/>
      <c r="AX576" s="19"/>
      <c r="GA576" s="54"/>
    </row>
    <row r="577" spans="1:183" s="18" customFormat="1">
      <c r="A577" s="51"/>
      <c r="B577" s="52"/>
      <c r="C577" s="52"/>
      <c r="D577" s="52"/>
      <c r="E577" s="53"/>
      <c r="F577" s="52"/>
      <c r="G577" s="52"/>
      <c r="H577" s="52"/>
      <c r="I577" s="53"/>
      <c r="J577" s="52"/>
      <c r="K577" s="52"/>
      <c r="L577" s="52"/>
      <c r="M577" s="52"/>
      <c r="N577" s="19"/>
      <c r="O577" s="19"/>
      <c r="P577" s="19"/>
      <c r="Q577" s="19"/>
      <c r="R577" s="19"/>
      <c r="S577" s="19"/>
      <c r="T577" s="19"/>
      <c r="U577" s="19"/>
      <c r="V577" s="19"/>
      <c r="W577" s="19"/>
      <c r="X577" s="19"/>
      <c r="Y577" s="19"/>
      <c r="Z577" s="19"/>
      <c r="AA577" s="19"/>
      <c r="AB577" s="19"/>
      <c r="AC577" s="19"/>
      <c r="AD577" s="19"/>
      <c r="AE577" s="19"/>
      <c r="AF577" s="19"/>
      <c r="AG577" s="19"/>
      <c r="AH577" s="19"/>
      <c r="AI577" s="19"/>
      <c r="AJ577" s="19"/>
      <c r="AK577" s="19"/>
      <c r="AL577" s="19"/>
      <c r="AM577" s="19"/>
      <c r="AN577" s="19"/>
      <c r="AO577" s="19"/>
      <c r="AP577" s="19"/>
      <c r="AQ577" s="19"/>
      <c r="AR577" s="19"/>
      <c r="AS577" s="19"/>
      <c r="AT577" s="19"/>
      <c r="AU577" s="19"/>
      <c r="AV577" s="19"/>
      <c r="AW577" s="19"/>
      <c r="AX577" s="19"/>
      <c r="GA577" s="54"/>
    </row>
    <row r="578" spans="1:183" s="18" customFormat="1">
      <c r="A578" s="51"/>
      <c r="B578" s="52"/>
      <c r="C578" s="52"/>
      <c r="D578" s="52"/>
      <c r="E578" s="53"/>
      <c r="F578" s="52"/>
      <c r="G578" s="52"/>
      <c r="H578" s="52"/>
      <c r="I578" s="53"/>
      <c r="J578" s="52"/>
      <c r="K578" s="52"/>
      <c r="L578" s="52"/>
      <c r="M578" s="52"/>
      <c r="N578" s="19"/>
      <c r="O578" s="19"/>
      <c r="P578" s="19"/>
      <c r="Q578" s="19"/>
      <c r="R578" s="19"/>
      <c r="S578" s="19"/>
      <c r="T578" s="19"/>
      <c r="U578" s="19"/>
      <c r="V578" s="19"/>
      <c r="W578" s="19"/>
      <c r="X578" s="19"/>
      <c r="Y578" s="19"/>
      <c r="Z578" s="19"/>
      <c r="AA578" s="19"/>
      <c r="AB578" s="19"/>
      <c r="AC578" s="19"/>
      <c r="AD578" s="19"/>
      <c r="AE578" s="19"/>
      <c r="AF578" s="19"/>
      <c r="AG578" s="19"/>
      <c r="AH578" s="19"/>
      <c r="AI578" s="19"/>
      <c r="AJ578" s="19"/>
      <c r="AK578" s="19"/>
      <c r="AL578" s="19"/>
      <c r="AM578" s="19"/>
      <c r="AN578" s="19"/>
      <c r="AO578" s="19"/>
      <c r="AP578" s="19"/>
      <c r="AQ578" s="19"/>
      <c r="AR578" s="19"/>
      <c r="AS578" s="19"/>
      <c r="AT578" s="19"/>
      <c r="AU578" s="19"/>
      <c r="AV578" s="19"/>
      <c r="AW578" s="19"/>
      <c r="AX578" s="19"/>
      <c r="GA578" s="54"/>
    </row>
    <row r="579" spans="1:183" s="18" customFormat="1">
      <c r="A579" s="51"/>
      <c r="B579" s="52"/>
      <c r="C579" s="52"/>
      <c r="D579" s="52"/>
      <c r="E579" s="53"/>
      <c r="F579" s="52"/>
      <c r="G579" s="52"/>
      <c r="H579" s="52"/>
      <c r="I579" s="53"/>
      <c r="J579" s="52"/>
      <c r="K579" s="52"/>
      <c r="L579" s="52"/>
      <c r="M579" s="52"/>
      <c r="N579" s="19"/>
      <c r="O579" s="19"/>
      <c r="P579" s="19"/>
      <c r="Q579" s="19"/>
      <c r="R579" s="19"/>
      <c r="S579" s="19"/>
      <c r="T579" s="19"/>
      <c r="U579" s="19"/>
      <c r="V579" s="19"/>
      <c r="W579" s="19"/>
      <c r="X579" s="19"/>
      <c r="Y579" s="19"/>
      <c r="Z579" s="19"/>
      <c r="AA579" s="19"/>
      <c r="AB579" s="19"/>
      <c r="AC579" s="19"/>
      <c r="AD579" s="19"/>
      <c r="AE579" s="19"/>
      <c r="AF579" s="19"/>
      <c r="AG579" s="19"/>
      <c r="AH579" s="19"/>
      <c r="AI579" s="19"/>
      <c r="AJ579" s="19"/>
      <c r="AK579" s="19"/>
      <c r="AL579" s="19"/>
      <c r="AM579" s="19"/>
      <c r="AN579" s="19"/>
      <c r="AO579" s="19"/>
      <c r="AP579" s="19"/>
      <c r="AQ579" s="19"/>
      <c r="AR579" s="19"/>
      <c r="AS579" s="19"/>
      <c r="AT579" s="19"/>
      <c r="AU579" s="19"/>
      <c r="AV579" s="19"/>
      <c r="AW579" s="19"/>
      <c r="AX579" s="19"/>
      <c r="GA579" s="54"/>
    </row>
    <row r="580" spans="1:183" s="18" customFormat="1">
      <c r="A580" s="51"/>
      <c r="B580" s="52"/>
      <c r="C580" s="52"/>
      <c r="D580" s="52"/>
      <c r="E580" s="53"/>
      <c r="F580" s="52"/>
      <c r="G580" s="52"/>
      <c r="H580" s="52"/>
      <c r="I580" s="53"/>
      <c r="J580" s="52"/>
      <c r="K580" s="52"/>
      <c r="L580" s="52"/>
      <c r="M580" s="52"/>
      <c r="N580" s="19"/>
      <c r="O580" s="19"/>
      <c r="P580" s="19"/>
      <c r="Q580" s="19"/>
      <c r="R580" s="19"/>
      <c r="S580" s="19"/>
      <c r="T580" s="19"/>
      <c r="U580" s="19"/>
      <c r="V580" s="19"/>
      <c r="W580" s="19"/>
      <c r="X580" s="19"/>
      <c r="Y580" s="19"/>
      <c r="Z580" s="19"/>
      <c r="AA580" s="19"/>
      <c r="AB580" s="19"/>
      <c r="AC580" s="19"/>
      <c r="AD580" s="19"/>
      <c r="AE580" s="19"/>
      <c r="AF580" s="19"/>
      <c r="AG580" s="19"/>
      <c r="AH580" s="19"/>
      <c r="AI580" s="19"/>
      <c r="AJ580" s="19"/>
      <c r="AK580" s="19"/>
      <c r="AL580" s="19"/>
      <c r="AM580" s="19"/>
      <c r="AN580" s="19"/>
      <c r="AO580" s="19"/>
      <c r="AP580" s="19"/>
      <c r="AQ580" s="19"/>
      <c r="AR580" s="19"/>
      <c r="AS580" s="19"/>
      <c r="AT580" s="19"/>
      <c r="AU580" s="19"/>
      <c r="AV580" s="19"/>
      <c r="AW580" s="19"/>
      <c r="AX580" s="19"/>
      <c r="GA580" s="54"/>
    </row>
    <row r="581" spans="1:183" s="18" customFormat="1">
      <c r="A581" s="51"/>
      <c r="B581" s="52"/>
      <c r="C581" s="52"/>
      <c r="D581" s="52"/>
      <c r="E581" s="53"/>
      <c r="F581" s="52"/>
      <c r="G581" s="52"/>
      <c r="H581" s="52"/>
      <c r="I581" s="53"/>
      <c r="J581" s="52"/>
      <c r="K581" s="52"/>
      <c r="L581" s="52"/>
      <c r="M581" s="52"/>
      <c r="N581" s="19"/>
      <c r="O581" s="19"/>
      <c r="P581" s="19"/>
      <c r="Q581" s="19"/>
      <c r="R581" s="19"/>
      <c r="S581" s="19"/>
      <c r="T581" s="19"/>
      <c r="U581" s="19"/>
      <c r="V581" s="19"/>
      <c r="W581" s="19"/>
      <c r="X581" s="19"/>
      <c r="Y581" s="19"/>
      <c r="Z581" s="19"/>
      <c r="AA581" s="19"/>
      <c r="AB581" s="19"/>
      <c r="AC581" s="19"/>
      <c r="AD581" s="19"/>
      <c r="AE581" s="19"/>
      <c r="AF581" s="19"/>
      <c r="AG581" s="19"/>
      <c r="AH581" s="19"/>
      <c r="AI581" s="19"/>
      <c r="AJ581" s="19"/>
      <c r="AK581" s="19"/>
      <c r="AL581" s="19"/>
      <c r="AM581" s="19"/>
      <c r="AN581" s="19"/>
      <c r="AO581" s="19"/>
      <c r="AP581" s="19"/>
      <c r="AQ581" s="19"/>
      <c r="AR581" s="19"/>
      <c r="AS581" s="19"/>
      <c r="AT581" s="19"/>
      <c r="AU581" s="19"/>
      <c r="AV581" s="19"/>
      <c r="AW581" s="19"/>
      <c r="AX581" s="19"/>
      <c r="GA581" s="54"/>
    </row>
    <row r="582" spans="1:183" s="18" customFormat="1">
      <c r="A582" s="51"/>
      <c r="B582" s="52"/>
      <c r="C582" s="52"/>
      <c r="D582" s="52"/>
      <c r="E582" s="53"/>
      <c r="F582" s="52"/>
      <c r="G582" s="52"/>
      <c r="H582" s="52"/>
      <c r="I582" s="53"/>
      <c r="J582" s="52"/>
      <c r="K582" s="52"/>
      <c r="L582" s="52"/>
      <c r="M582" s="52"/>
      <c r="N582" s="19"/>
      <c r="O582" s="19"/>
      <c r="P582" s="19"/>
      <c r="Q582" s="19"/>
      <c r="R582" s="19"/>
      <c r="S582" s="19"/>
      <c r="T582" s="19"/>
      <c r="U582" s="19"/>
      <c r="V582" s="19"/>
      <c r="W582" s="19"/>
      <c r="X582" s="19"/>
      <c r="Y582" s="19"/>
      <c r="Z582" s="19"/>
      <c r="AA582" s="19"/>
      <c r="AB582" s="19"/>
      <c r="AC582" s="19"/>
      <c r="AD582" s="19"/>
      <c r="AE582" s="19"/>
      <c r="AF582" s="19"/>
      <c r="AG582" s="19"/>
      <c r="AH582" s="19"/>
      <c r="AI582" s="19"/>
      <c r="AJ582" s="19"/>
      <c r="AK582" s="19"/>
      <c r="AL582" s="19"/>
      <c r="AM582" s="19"/>
      <c r="AN582" s="19"/>
      <c r="AO582" s="19"/>
      <c r="AP582" s="19"/>
      <c r="AQ582" s="19"/>
      <c r="AR582" s="19"/>
      <c r="AS582" s="19"/>
      <c r="AT582" s="19"/>
      <c r="AU582" s="19"/>
      <c r="AV582" s="19"/>
      <c r="AW582" s="19"/>
      <c r="AX582" s="19"/>
      <c r="GA582" s="54"/>
    </row>
    <row r="583" spans="1:183" s="18" customFormat="1">
      <c r="A583" s="51"/>
      <c r="B583" s="52"/>
      <c r="C583" s="52"/>
      <c r="D583" s="52"/>
      <c r="E583" s="53"/>
      <c r="F583" s="52"/>
      <c r="G583" s="52"/>
      <c r="H583" s="52"/>
      <c r="I583" s="53"/>
      <c r="J583" s="52"/>
      <c r="K583" s="52"/>
      <c r="L583" s="52"/>
      <c r="M583" s="52"/>
      <c r="N583" s="19"/>
      <c r="O583" s="19"/>
      <c r="P583" s="19"/>
      <c r="Q583" s="19"/>
      <c r="R583" s="19"/>
      <c r="S583" s="19"/>
      <c r="T583" s="19"/>
      <c r="U583" s="19"/>
      <c r="V583" s="19"/>
      <c r="W583" s="19"/>
      <c r="X583" s="19"/>
      <c r="Y583" s="19"/>
      <c r="Z583" s="19"/>
      <c r="AA583" s="19"/>
      <c r="AB583" s="19"/>
      <c r="AC583" s="19"/>
      <c r="AD583" s="19"/>
      <c r="AE583" s="19"/>
      <c r="AF583" s="19"/>
      <c r="AG583" s="19"/>
      <c r="AH583" s="19"/>
      <c r="AI583" s="19"/>
      <c r="AJ583" s="19"/>
      <c r="AK583" s="19"/>
      <c r="AL583" s="19"/>
      <c r="AM583" s="19"/>
      <c r="AN583" s="19"/>
      <c r="AO583" s="19"/>
      <c r="AP583" s="19"/>
      <c r="AQ583" s="19"/>
      <c r="AR583" s="19"/>
      <c r="AS583" s="19"/>
      <c r="AT583" s="19"/>
      <c r="AU583" s="19"/>
      <c r="AV583" s="19"/>
      <c r="AW583" s="19"/>
      <c r="AX583" s="19"/>
      <c r="GA583" s="54"/>
    </row>
    <row r="584" spans="1:183" s="18" customFormat="1">
      <c r="A584" s="51"/>
      <c r="B584" s="52"/>
      <c r="C584" s="52"/>
      <c r="D584" s="52"/>
      <c r="E584" s="53"/>
      <c r="F584" s="52"/>
      <c r="G584" s="52"/>
      <c r="H584" s="52"/>
      <c r="I584" s="53"/>
      <c r="J584" s="52"/>
      <c r="K584" s="52"/>
      <c r="L584" s="52"/>
      <c r="M584" s="52"/>
      <c r="N584" s="19"/>
      <c r="O584" s="19"/>
      <c r="P584" s="19"/>
      <c r="Q584" s="19"/>
      <c r="R584" s="19"/>
      <c r="S584" s="19"/>
      <c r="T584" s="19"/>
      <c r="U584" s="19"/>
      <c r="V584" s="19"/>
      <c r="W584" s="19"/>
      <c r="X584" s="19"/>
      <c r="Y584" s="19"/>
      <c r="Z584" s="19"/>
      <c r="AA584" s="19"/>
      <c r="AB584" s="19"/>
      <c r="AC584" s="19"/>
      <c r="AD584" s="19"/>
      <c r="AE584" s="19"/>
      <c r="AF584" s="19"/>
      <c r="AG584" s="19"/>
      <c r="AH584" s="19"/>
      <c r="AI584" s="19"/>
      <c r="AJ584" s="19"/>
      <c r="AK584" s="19"/>
      <c r="AL584" s="19"/>
      <c r="AM584" s="19"/>
      <c r="AN584" s="19"/>
      <c r="AO584" s="19"/>
      <c r="AP584" s="19"/>
      <c r="AQ584" s="19"/>
      <c r="AR584" s="19"/>
      <c r="AS584" s="19"/>
      <c r="AT584" s="19"/>
      <c r="AU584" s="19"/>
      <c r="AV584" s="19"/>
      <c r="AW584" s="19"/>
      <c r="AX584" s="19"/>
      <c r="GA584" s="54"/>
    </row>
    <row r="585" spans="1:183" s="18" customFormat="1">
      <c r="A585" s="51"/>
      <c r="B585" s="52"/>
      <c r="C585" s="52"/>
      <c r="D585" s="52"/>
      <c r="E585" s="53"/>
      <c r="F585" s="52"/>
      <c r="G585" s="52"/>
      <c r="H585" s="52"/>
      <c r="I585" s="53"/>
      <c r="J585" s="52"/>
      <c r="K585" s="52"/>
      <c r="L585" s="52"/>
      <c r="M585" s="52"/>
      <c r="N585" s="19"/>
      <c r="O585" s="19"/>
      <c r="P585" s="19"/>
      <c r="Q585" s="19"/>
      <c r="R585" s="19"/>
      <c r="S585" s="19"/>
      <c r="T585" s="19"/>
      <c r="U585" s="19"/>
      <c r="V585" s="19"/>
      <c r="W585" s="19"/>
      <c r="X585" s="19"/>
      <c r="Y585" s="19"/>
      <c r="Z585" s="19"/>
      <c r="AA585" s="19"/>
      <c r="AB585" s="19"/>
      <c r="AC585" s="19"/>
      <c r="AD585" s="19"/>
      <c r="AE585" s="19"/>
      <c r="AF585" s="19"/>
      <c r="AG585" s="19"/>
      <c r="AH585" s="19"/>
      <c r="AI585" s="19"/>
      <c r="AJ585" s="19"/>
      <c r="AK585" s="19"/>
      <c r="AL585" s="19"/>
      <c r="AM585" s="19"/>
      <c r="AN585" s="19"/>
      <c r="AO585" s="19"/>
      <c r="AP585" s="19"/>
      <c r="AQ585" s="19"/>
      <c r="AR585" s="19"/>
      <c r="AS585" s="19"/>
      <c r="AT585" s="19"/>
      <c r="AU585" s="19"/>
      <c r="AV585" s="19"/>
      <c r="AW585" s="19"/>
      <c r="AX585" s="19"/>
      <c r="GA585" s="54"/>
    </row>
    <row r="586" spans="1:183" s="18" customFormat="1">
      <c r="A586" s="51"/>
      <c r="B586" s="52"/>
      <c r="C586" s="52"/>
      <c r="D586" s="52"/>
      <c r="E586" s="53"/>
      <c r="F586" s="52"/>
      <c r="G586" s="52"/>
      <c r="H586" s="52"/>
      <c r="I586" s="53"/>
      <c r="J586" s="52"/>
      <c r="K586" s="52"/>
      <c r="L586" s="52"/>
      <c r="M586" s="52"/>
      <c r="N586" s="19"/>
      <c r="O586" s="19"/>
      <c r="P586" s="19"/>
      <c r="Q586" s="19"/>
      <c r="R586" s="19"/>
      <c r="S586" s="19"/>
      <c r="T586" s="19"/>
      <c r="U586" s="19"/>
      <c r="V586" s="19"/>
      <c r="W586" s="19"/>
      <c r="X586" s="19"/>
      <c r="Y586" s="19"/>
      <c r="Z586" s="19"/>
      <c r="AA586" s="19"/>
      <c r="AB586" s="19"/>
      <c r="AC586" s="19"/>
      <c r="AD586" s="19"/>
      <c r="AE586" s="19"/>
      <c r="AF586" s="19"/>
      <c r="AG586" s="19"/>
      <c r="AH586" s="19"/>
      <c r="AI586" s="19"/>
      <c r="AJ586" s="19"/>
      <c r="AK586" s="19"/>
      <c r="AL586" s="19"/>
      <c r="AM586" s="19"/>
      <c r="AN586" s="19"/>
      <c r="AO586" s="19"/>
      <c r="AP586" s="19"/>
      <c r="AQ586" s="19"/>
      <c r="AR586" s="19"/>
      <c r="AS586" s="19"/>
      <c r="AT586" s="19"/>
      <c r="AU586" s="19"/>
      <c r="AV586" s="19"/>
      <c r="AW586" s="19"/>
      <c r="AX586" s="19"/>
      <c r="GA586" s="54"/>
    </row>
    <row r="587" spans="1:183" s="18" customFormat="1">
      <c r="A587" s="51"/>
      <c r="B587" s="52"/>
      <c r="C587" s="52"/>
      <c r="D587" s="52"/>
      <c r="E587" s="53"/>
      <c r="F587" s="52"/>
      <c r="G587" s="52"/>
      <c r="H587" s="52"/>
      <c r="I587" s="53"/>
      <c r="J587" s="52"/>
      <c r="K587" s="52"/>
      <c r="L587" s="52"/>
      <c r="M587" s="52"/>
      <c r="N587" s="19"/>
      <c r="O587" s="19"/>
      <c r="P587" s="19"/>
      <c r="Q587" s="19"/>
      <c r="R587" s="19"/>
      <c r="S587" s="19"/>
      <c r="T587" s="19"/>
      <c r="U587" s="19"/>
      <c r="V587" s="19"/>
      <c r="W587" s="19"/>
      <c r="X587" s="19"/>
      <c r="Y587" s="19"/>
      <c r="Z587" s="19"/>
      <c r="AA587" s="19"/>
      <c r="AB587" s="19"/>
      <c r="AC587" s="19"/>
      <c r="AD587" s="19"/>
      <c r="AE587" s="19"/>
      <c r="AF587" s="19"/>
      <c r="AG587" s="19"/>
      <c r="AH587" s="19"/>
      <c r="AI587" s="19"/>
      <c r="AJ587" s="19"/>
      <c r="AK587" s="19"/>
      <c r="AL587" s="19"/>
      <c r="AM587" s="19"/>
      <c r="AN587" s="19"/>
      <c r="AO587" s="19"/>
      <c r="AP587" s="19"/>
      <c r="AQ587" s="19"/>
      <c r="AR587" s="19"/>
      <c r="AS587" s="19"/>
      <c r="AT587" s="19"/>
      <c r="AU587" s="19"/>
      <c r="AV587" s="19"/>
      <c r="AW587" s="19"/>
      <c r="AX587" s="19"/>
      <c r="GA587" s="54"/>
    </row>
    <row r="588" spans="1:183" s="18" customFormat="1">
      <c r="A588" s="51"/>
      <c r="B588" s="52"/>
      <c r="C588" s="52"/>
      <c r="D588" s="52"/>
      <c r="E588" s="53"/>
      <c r="F588" s="52"/>
      <c r="G588" s="52"/>
      <c r="H588" s="52"/>
      <c r="I588" s="53"/>
      <c r="J588" s="52"/>
      <c r="K588" s="52"/>
      <c r="L588" s="52"/>
      <c r="M588" s="52"/>
      <c r="N588" s="19"/>
      <c r="O588" s="19"/>
      <c r="P588" s="19"/>
      <c r="Q588" s="19"/>
      <c r="R588" s="19"/>
      <c r="S588" s="19"/>
      <c r="T588" s="19"/>
      <c r="U588" s="19"/>
      <c r="V588" s="19"/>
      <c r="W588" s="19"/>
      <c r="X588" s="19"/>
      <c r="Y588" s="19"/>
      <c r="Z588" s="19"/>
      <c r="AA588" s="19"/>
      <c r="AB588" s="19"/>
      <c r="AC588" s="19"/>
      <c r="AD588" s="19"/>
      <c r="AE588" s="19"/>
      <c r="AF588" s="19"/>
      <c r="AG588" s="19"/>
      <c r="AH588" s="19"/>
      <c r="AI588" s="19"/>
      <c r="AJ588" s="19"/>
      <c r="AK588" s="19"/>
      <c r="AL588" s="19"/>
      <c r="AM588" s="19"/>
      <c r="AN588" s="19"/>
      <c r="AO588" s="19"/>
      <c r="AP588" s="19"/>
      <c r="AQ588" s="19"/>
      <c r="AR588" s="19"/>
      <c r="AS588" s="19"/>
      <c r="AT588" s="19"/>
      <c r="AU588" s="19"/>
      <c r="AV588" s="19"/>
      <c r="AW588" s="19"/>
      <c r="AX588" s="19"/>
      <c r="GA588" s="54"/>
    </row>
    <row r="589" spans="1:183" s="18" customFormat="1">
      <c r="A589" s="51"/>
      <c r="B589" s="52"/>
      <c r="C589" s="52"/>
      <c r="D589" s="52"/>
      <c r="E589" s="53"/>
      <c r="F589" s="52"/>
      <c r="G589" s="52"/>
      <c r="H589" s="52"/>
      <c r="I589" s="53"/>
      <c r="J589" s="52"/>
      <c r="K589" s="52"/>
      <c r="L589" s="52"/>
      <c r="M589" s="52"/>
      <c r="N589" s="19"/>
      <c r="O589" s="19"/>
      <c r="P589" s="19"/>
      <c r="Q589" s="19"/>
      <c r="R589" s="19"/>
      <c r="S589" s="19"/>
      <c r="T589" s="19"/>
      <c r="U589" s="19"/>
      <c r="V589" s="19"/>
      <c r="W589" s="19"/>
      <c r="X589" s="19"/>
      <c r="Y589" s="19"/>
      <c r="Z589" s="19"/>
      <c r="AA589" s="19"/>
      <c r="AB589" s="19"/>
      <c r="AC589" s="19"/>
      <c r="AD589" s="19"/>
      <c r="AE589" s="19"/>
      <c r="AF589" s="19"/>
      <c r="AG589" s="19"/>
      <c r="AH589" s="19"/>
      <c r="AI589" s="19"/>
      <c r="AJ589" s="19"/>
      <c r="AK589" s="19"/>
      <c r="AL589" s="19"/>
      <c r="AM589" s="19"/>
      <c r="AN589" s="19"/>
      <c r="AO589" s="19"/>
      <c r="AP589" s="19"/>
      <c r="AQ589" s="19"/>
      <c r="AR589" s="19"/>
      <c r="AS589" s="19"/>
      <c r="AT589" s="19"/>
      <c r="AU589" s="19"/>
      <c r="AV589" s="19"/>
      <c r="AW589" s="19"/>
      <c r="AX589" s="19"/>
      <c r="GA589" s="54"/>
    </row>
    <row r="590" spans="1:183" s="18" customFormat="1">
      <c r="A590" s="51"/>
      <c r="B590" s="52"/>
      <c r="C590" s="52"/>
      <c r="D590" s="52"/>
      <c r="E590" s="53"/>
      <c r="F590" s="52"/>
      <c r="G590" s="52"/>
      <c r="H590" s="52"/>
      <c r="I590" s="53"/>
      <c r="J590" s="52"/>
      <c r="K590" s="52"/>
      <c r="L590" s="52"/>
      <c r="M590" s="52"/>
      <c r="N590" s="19"/>
      <c r="O590" s="19"/>
      <c r="P590" s="19"/>
      <c r="Q590" s="19"/>
      <c r="R590" s="19"/>
      <c r="S590" s="19"/>
      <c r="T590" s="19"/>
      <c r="U590" s="19"/>
      <c r="V590" s="19"/>
      <c r="W590" s="19"/>
      <c r="X590" s="19"/>
      <c r="Y590" s="19"/>
      <c r="Z590" s="19"/>
      <c r="AA590" s="19"/>
      <c r="AB590" s="19"/>
      <c r="AC590" s="19"/>
      <c r="AD590" s="19"/>
      <c r="AE590" s="19"/>
      <c r="AF590" s="19"/>
      <c r="AG590" s="19"/>
      <c r="AH590" s="19"/>
      <c r="AI590" s="19"/>
      <c r="AJ590" s="19"/>
      <c r="AK590" s="19"/>
      <c r="AL590" s="19"/>
      <c r="AM590" s="19"/>
      <c r="AN590" s="19"/>
      <c r="AO590" s="19"/>
      <c r="AP590" s="19"/>
      <c r="AQ590" s="19"/>
      <c r="AR590" s="19"/>
      <c r="AS590" s="19"/>
      <c r="AT590" s="19"/>
      <c r="AU590" s="19"/>
      <c r="AV590" s="19"/>
      <c r="AW590" s="19"/>
      <c r="AX590" s="19"/>
      <c r="GA590" s="54"/>
    </row>
    <row r="591" spans="1:183" s="18" customFormat="1">
      <c r="A591" s="51"/>
      <c r="B591" s="52"/>
      <c r="C591" s="52"/>
      <c r="D591" s="52"/>
      <c r="E591" s="53"/>
      <c r="F591" s="52"/>
      <c r="G591" s="52"/>
      <c r="H591" s="52"/>
      <c r="I591" s="53"/>
      <c r="J591" s="52"/>
      <c r="K591" s="52"/>
      <c r="L591" s="52"/>
      <c r="M591" s="52"/>
      <c r="N591" s="19"/>
      <c r="O591" s="19"/>
      <c r="P591" s="19"/>
      <c r="Q591" s="19"/>
      <c r="R591" s="19"/>
      <c r="S591" s="19"/>
      <c r="T591" s="19"/>
      <c r="U591" s="19"/>
      <c r="V591" s="19"/>
      <c r="W591" s="19"/>
      <c r="X591" s="19"/>
      <c r="Y591" s="19"/>
      <c r="Z591" s="19"/>
      <c r="AA591" s="19"/>
      <c r="AB591" s="19"/>
      <c r="AC591" s="19"/>
      <c r="AD591" s="19"/>
      <c r="AE591" s="19"/>
      <c r="AF591" s="19"/>
      <c r="AG591" s="19"/>
      <c r="AH591" s="19"/>
      <c r="AI591" s="19"/>
      <c r="AJ591" s="19"/>
      <c r="AK591" s="19"/>
      <c r="AL591" s="19"/>
      <c r="AM591" s="19"/>
      <c r="AN591" s="19"/>
      <c r="AO591" s="19"/>
      <c r="AP591" s="19"/>
      <c r="AQ591" s="19"/>
      <c r="AR591" s="19"/>
      <c r="AS591" s="19"/>
      <c r="AT591" s="19"/>
      <c r="AU591" s="19"/>
      <c r="AV591" s="19"/>
      <c r="AW591" s="19"/>
      <c r="AX591" s="19"/>
      <c r="GA591" s="54"/>
    </row>
    <row r="592" spans="1:183" s="18" customFormat="1">
      <c r="A592" s="51"/>
      <c r="B592" s="52"/>
      <c r="C592" s="52"/>
      <c r="D592" s="52"/>
      <c r="E592" s="53"/>
      <c r="F592" s="52"/>
      <c r="G592" s="52"/>
      <c r="H592" s="52"/>
      <c r="I592" s="53"/>
      <c r="J592" s="52"/>
      <c r="K592" s="52"/>
      <c r="L592" s="52"/>
      <c r="M592" s="52"/>
      <c r="N592" s="19"/>
      <c r="O592" s="19"/>
      <c r="P592" s="19"/>
      <c r="Q592" s="19"/>
      <c r="R592" s="19"/>
      <c r="S592" s="19"/>
      <c r="T592" s="19"/>
      <c r="U592" s="19"/>
      <c r="V592" s="19"/>
      <c r="W592" s="19"/>
      <c r="X592" s="19"/>
      <c r="Y592" s="19"/>
      <c r="Z592" s="19"/>
      <c r="AA592" s="19"/>
      <c r="AB592" s="19"/>
      <c r="AC592" s="19"/>
      <c r="AD592" s="19"/>
      <c r="AE592" s="19"/>
      <c r="AF592" s="19"/>
      <c r="AG592" s="19"/>
      <c r="AH592" s="19"/>
      <c r="AI592" s="19"/>
      <c r="AJ592" s="19"/>
      <c r="AK592" s="19"/>
      <c r="AL592" s="19"/>
      <c r="AM592" s="19"/>
      <c r="AN592" s="19"/>
      <c r="AO592" s="19"/>
      <c r="AP592" s="19"/>
      <c r="AQ592" s="19"/>
      <c r="AR592" s="19"/>
      <c r="AS592" s="19"/>
      <c r="AT592" s="19"/>
      <c r="AU592" s="19"/>
      <c r="AV592" s="19"/>
      <c r="AW592" s="19"/>
      <c r="AX592" s="19"/>
      <c r="GA592" s="54"/>
    </row>
    <row r="593" spans="1:183" s="18" customFormat="1">
      <c r="A593" s="51"/>
      <c r="B593" s="52"/>
      <c r="C593" s="52"/>
      <c r="D593" s="52"/>
      <c r="E593" s="53"/>
      <c r="F593" s="52"/>
      <c r="G593" s="52"/>
      <c r="H593" s="52"/>
      <c r="I593" s="53"/>
      <c r="J593" s="52"/>
      <c r="K593" s="52"/>
      <c r="L593" s="52"/>
      <c r="M593" s="52"/>
      <c r="N593" s="19"/>
      <c r="O593" s="19"/>
      <c r="P593" s="19"/>
      <c r="Q593" s="19"/>
      <c r="R593" s="19"/>
      <c r="S593" s="19"/>
      <c r="T593" s="19"/>
      <c r="U593" s="19"/>
      <c r="V593" s="19"/>
      <c r="W593" s="19"/>
      <c r="X593" s="19"/>
      <c r="Y593" s="19"/>
      <c r="Z593" s="19"/>
      <c r="AA593" s="19"/>
      <c r="AB593" s="19"/>
      <c r="AC593" s="19"/>
      <c r="AD593" s="19"/>
      <c r="AE593" s="19"/>
      <c r="AF593" s="19"/>
      <c r="AG593" s="19"/>
      <c r="AH593" s="19"/>
      <c r="AI593" s="19"/>
      <c r="AJ593" s="19"/>
      <c r="AK593" s="19"/>
      <c r="AL593" s="19"/>
      <c r="AM593" s="19"/>
      <c r="AN593" s="19"/>
      <c r="AO593" s="19"/>
      <c r="AP593" s="19"/>
      <c r="AQ593" s="19"/>
      <c r="AR593" s="19"/>
      <c r="AS593" s="19"/>
      <c r="AT593" s="19"/>
      <c r="AU593" s="19"/>
      <c r="AV593" s="19"/>
      <c r="AW593" s="19"/>
      <c r="AX593" s="19"/>
      <c r="GA593" s="54"/>
    </row>
    <row r="594" spans="1:183" s="18" customFormat="1">
      <c r="A594" s="51"/>
      <c r="B594" s="52"/>
      <c r="C594" s="52"/>
      <c r="D594" s="52"/>
      <c r="E594" s="53"/>
      <c r="F594" s="52"/>
      <c r="G594" s="52"/>
      <c r="H594" s="52"/>
      <c r="I594" s="53"/>
      <c r="J594" s="52"/>
      <c r="K594" s="52"/>
      <c r="L594" s="52"/>
      <c r="M594" s="52"/>
      <c r="N594" s="19"/>
      <c r="O594" s="19"/>
      <c r="P594" s="19"/>
      <c r="Q594" s="19"/>
      <c r="R594" s="19"/>
      <c r="S594" s="19"/>
      <c r="T594" s="19"/>
      <c r="U594" s="19"/>
      <c r="V594" s="19"/>
      <c r="W594" s="19"/>
      <c r="X594" s="19"/>
      <c r="Y594" s="19"/>
      <c r="Z594" s="19"/>
      <c r="AA594" s="19"/>
      <c r="AB594" s="19"/>
      <c r="AC594" s="19"/>
      <c r="AD594" s="19"/>
      <c r="AE594" s="19"/>
      <c r="AF594" s="19"/>
      <c r="AG594" s="19"/>
      <c r="AH594" s="19"/>
      <c r="AI594" s="19"/>
      <c r="AJ594" s="19"/>
      <c r="AK594" s="19"/>
      <c r="AL594" s="19"/>
      <c r="AM594" s="19"/>
      <c r="AN594" s="19"/>
      <c r="AO594" s="19"/>
      <c r="AP594" s="19"/>
      <c r="AQ594" s="19"/>
      <c r="AR594" s="19"/>
      <c r="AS594" s="19"/>
      <c r="AT594" s="19"/>
      <c r="AU594" s="19"/>
      <c r="AV594" s="19"/>
      <c r="AW594" s="19"/>
      <c r="AX594" s="19"/>
      <c r="GA594" s="54"/>
    </row>
    <row r="595" spans="1:183" s="18" customFormat="1">
      <c r="A595" s="51"/>
      <c r="B595" s="52"/>
      <c r="C595" s="52"/>
      <c r="D595" s="52"/>
      <c r="E595" s="53"/>
      <c r="F595" s="52"/>
      <c r="G595" s="52"/>
      <c r="H595" s="52"/>
      <c r="I595" s="53"/>
      <c r="J595" s="52"/>
      <c r="K595" s="52"/>
      <c r="L595" s="52"/>
      <c r="M595" s="52"/>
      <c r="N595" s="19"/>
      <c r="O595" s="19"/>
      <c r="P595" s="19"/>
      <c r="Q595" s="19"/>
      <c r="R595" s="19"/>
      <c r="S595" s="19"/>
      <c r="T595" s="19"/>
      <c r="U595" s="19"/>
      <c r="V595" s="19"/>
      <c r="W595" s="19"/>
      <c r="X595" s="19"/>
      <c r="Y595" s="19"/>
      <c r="Z595" s="19"/>
      <c r="AA595" s="19"/>
      <c r="AB595" s="19"/>
      <c r="AC595" s="19"/>
      <c r="AD595" s="19"/>
      <c r="AE595" s="19"/>
      <c r="AF595" s="19"/>
      <c r="AG595" s="19"/>
      <c r="AH595" s="19"/>
      <c r="AI595" s="19"/>
      <c r="AJ595" s="19"/>
      <c r="AK595" s="19"/>
      <c r="AL595" s="19"/>
      <c r="AM595" s="19"/>
      <c r="AN595" s="19"/>
      <c r="AO595" s="19"/>
      <c r="AP595" s="19"/>
      <c r="AQ595" s="19"/>
      <c r="AR595" s="19"/>
      <c r="AS595" s="19"/>
      <c r="AT595" s="19"/>
      <c r="AU595" s="19"/>
      <c r="AV595" s="19"/>
      <c r="AW595" s="19"/>
      <c r="AX595" s="19"/>
      <c r="GA595" s="54"/>
    </row>
    <row r="596" spans="1:183" s="18" customFormat="1">
      <c r="A596" s="51"/>
      <c r="B596" s="52"/>
      <c r="C596" s="52"/>
      <c r="D596" s="52"/>
      <c r="E596" s="53"/>
      <c r="F596" s="52"/>
      <c r="G596" s="52"/>
      <c r="H596" s="52"/>
      <c r="I596" s="53"/>
      <c r="J596" s="52"/>
      <c r="K596" s="52"/>
      <c r="L596" s="52"/>
      <c r="M596" s="52"/>
      <c r="N596" s="19"/>
      <c r="O596" s="19"/>
      <c r="P596" s="19"/>
      <c r="Q596" s="19"/>
      <c r="R596" s="19"/>
      <c r="S596" s="19"/>
      <c r="T596" s="19"/>
      <c r="U596" s="19"/>
      <c r="V596" s="19"/>
      <c r="W596" s="19"/>
      <c r="X596" s="19"/>
      <c r="Y596" s="19"/>
      <c r="Z596" s="19"/>
      <c r="AA596" s="19"/>
      <c r="AB596" s="19"/>
      <c r="AC596" s="19"/>
      <c r="AD596" s="19"/>
      <c r="AE596" s="19"/>
      <c r="AF596" s="19"/>
      <c r="AG596" s="19"/>
      <c r="AH596" s="19"/>
      <c r="AI596" s="19"/>
      <c r="AJ596" s="19"/>
      <c r="AK596" s="19"/>
      <c r="AL596" s="19"/>
      <c r="AM596" s="19"/>
      <c r="AN596" s="19"/>
      <c r="AO596" s="19"/>
      <c r="AP596" s="19"/>
      <c r="AQ596" s="19"/>
      <c r="AR596" s="19"/>
      <c r="AS596" s="19"/>
      <c r="AT596" s="19"/>
      <c r="AU596" s="19"/>
      <c r="AV596" s="19"/>
      <c r="AW596" s="19"/>
      <c r="AX596" s="19"/>
      <c r="GA596" s="54"/>
    </row>
    <row r="597" spans="1:183" s="18" customFormat="1">
      <c r="A597" s="51"/>
      <c r="B597" s="52"/>
      <c r="C597" s="52"/>
      <c r="D597" s="52"/>
      <c r="E597" s="53"/>
      <c r="F597" s="52"/>
      <c r="G597" s="52"/>
      <c r="H597" s="52"/>
      <c r="I597" s="53"/>
      <c r="J597" s="52"/>
      <c r="K597" s="52"/>
      <c r="L597" s="52"/>
      <c r="M597" s="52"/>
      <c r="N597" s="19"/>
      <c r="O597" s="19"/>
      <c r="P597" s="19"/>
      <c r="Q597" s="19"/>
      <c r="R597" s="19"/>
      <c r="S597" s="19"/>
      <c r="T597" s="19"/>
      <c r="U597" s="19"/>
      <c r="V597" s="19"/>
      <c r="W597" s="19"/>
      <c r="X597" s="19"/>
      <c r="Y597" s="19"/>
      <c r="Z597" s="19"/>
      <c r="AA597" s="19"/>
      <c r="AB597" s="19"/>
      <c r="AC597" s="19"/>
      <c r="AD597" s="19"/>
      <c r="AE597" s="19"/>
      <c r="AF597" s="19"/>
      <c r="AG597" s="19"/>
      <c r="AH597" s="19"/>
      <c r="AI597" s="19"/>
      <c r="AJ597" s="19"/>
      <c r="AK597" s="19"/>
      <c r="AL597" s="19"/>
      <c r="AM597" s="19"/>
      <c r="AN597" s="19"/>
      <c r="AO597" s="19"/>
      <c r="AP597" s="19"/>
      <c r="AQ597" s="19"/>
      <c r="AR597" s="19"/>
      <c r="AS597" s="19"/>
      <c r="AT597" s="19"/>
      <c r="AU597" s="19"/>
      <c r="AV597" s="19"/>
      <c r="AW597" s="19"/>
      <c r="AX597" s="19"/>
      <c r="GA597" s="54"/>
    </row>
    <row r="598" spans="1:183" s="18" customFormat="1">
      <c r="A598" s="51"/>
      <c r="B598" s="52"/>
      <c r="C598" s="52"/>
      <c r="D598" s="52"/>
      <c r="E598" s="53"/>
      <c r="F598" s="52"/>
      <c r="G598" s="52"/>
      <c r="H598" s="52"/>
      <c r="I598" s="53"/>
      <c r="J598" s="52"/>
      <c r="K598" s="52"/>
      <c r="L598" s="52"/>
      <c r="M598" s="52"/>
      <c r="N598" s="19"/>
      <c r="O598" s="19"/>
      <c r="P598" s="19"/>
      <c r="Q598" s="19"/>
      <c r="R598" s="19"/>
      <c r="S598" s="19"/>
      <c r="T598" s="19"/>
      <c r="U598" s="19"/>
      <c r="V598" s="19"/>
      <c r="W598" s="19"/>
      <c r="X598" s="19"/>
      <c r="Y598" s="19"/>
      <c r="Z598" s="19"/>
      <c r="AA598" s="19"/>
      <c r="AB598" s="19"/>
      <c r="AC598" s="19"/>
      <c r="AD598" s="19"/>
      <c r="AE598" s="19"/>
      <c r="AF598" s="19"/>
      <c r="AG598" s="19"/>
      <c r="AH598" s="19"/>
      <c r="AI598" s="19"/>
      <c r="AJ598" s="19"/>
      <c r="AK598" s="19"/>
      <c r="AL598" s="19"/>
      <c r="AM598" s="19"/>
      <c r="AN598" s="19"/>
      <c r="AO598" s="19"/>
      <c r="AP598" s="19"/>
      <c r="AQ598" s="19"/>
      <c r="AR598" s="19"/>
      <c r="AS598" s="19"/>
      <c r="AT598" s="19"/>
      <c r="AU598" s="19"/>
      <c r="AV598" s="19"/>
      <c r="AW598" s="19"/>
      <c r="AX598" s="19"/>
      <c r="GA598" s="54"/>
    </row>
    <row r="599" spans="1:183" s="18" customFormat="1">
      <c r="A599" s="51"/>
      <c r="B599" s="52"/>
      <c r="C599" s="52"/>
      <c r="D599" s="52"/>
      <c r="E599" s="53"/>
      <c r="F599" s="52"/>
      <c r="G599" s="52"/>
      <c r="H599" s="52"/>
      <c r="I599" s="53"/>
      <c r="J599" s="52"/>
      <c r="K599" s="52"/>
      <c r="L599" s="52"/>
      <c r="M599" s="52"/>
      <c r="N599" s="19"/>
      <c r="O599" s="19"/>
      <c r="P599" s="19"/>
      <c r="Q599" s="19"/>
      <c r="R599" s="19"/>
      <c r="S599" s="19"/>
      <c r="T599" s="19"/>
      <c r="U599" s="19"/>
      <c r="V599" s="19"/>
      <c r="W599" s="19"/>
      <c r="X599" s="19"/>
      <c r="Y599" s="19"/>
      <c r="Z599" s="19"/>
      <c r="AA599" s="19"/>
      <c r="AB599" s="19"/>
      <c r="AC599" s="19"/>
      <c r="AD599" s="19"/>
      <c r="AE599" s="19"/>
      <c r="AF599" s="19"/>
      <c r="AG599" s="19"/>
      <c r="AH599" s="19"/>
      <c r="AI599" s="19"/>
      <c r="AJ599" s="19"/>
      <c r="AK599" s="19"/>
      <c r="AL599" s="19"/>
      <c r="AM599" s="19"/>
      <c r="AN599" s="19"/>
      <c r="AO599" s="19"/>
      <c r="AP599" s="19"/>
      <c r="AQ599" s="19"/>
      <c r="AR599" s="19"/>
      <c r="AS599" s="19"/>
      <c r="AT599" s="19"/>
      <c r="AU599" s="19"/>
      <c r="AV599" s="19"/>
      <c r="AW599" s="19"/>
      <c r="AX599" s="19"/>
      <c r="GA599" s="54"/>
    </row>
    <row r="600" spans="1:183" s="18" customFormat="1">
      <c r="A600" s="51"/>
      <c r="B600" s="52"/>
      <c r="C600" s="52"/>
      <c r="D600" s="52"/>
      <c r="E600" s="53"/>
      <c r="F600" s="52"/>
      <c r="G600" s="52"/>
      <c r="H600" s="52"/>
      <c r="I600" s="53"/>
      <c r="J600" s="52"/>
      <c r="K600" s="52"/>
      <c r="L600" s="52"/>
      <c r="M600" s="52"/>
      <c r="N600" s="19"/>
      <c r="O600" s="19"/>
      <c r="P600" s="19"/>
      <c r="Q600" s="19"/>
      <c r="R600" s="19"/>
      <c r="S600" s="19"/>
      <c r="T600" s="19"/>
      <c r="U600" s="19"/>
      <c r="V600" s="19"/>
      <c r="W600" s="19"/>
      <c r="X600" s="19"/>
      <c r="Y600" s="19"/>
      <c r="Z600" s="19"/>
      <c r="AA600" s="19"/>
      <c r="AB600" s="19"/>
      <c r="AC600" s="19"/>
      <c r="AD600" s="19"/>
      <c r="AE600" s="19"/>
      <c r="AF600" s="19"/>
      <c r="AG600" s="19"/>
      <c r="AH600" s="19"/>
      <c r="AI600" s="19"/>
      <c r="AJ600" s="19"/>
      <c r="AK600" s="19"/>
      <c r="AL600" s="19"/>
      <c r="AM600" s="19"/>
      <c r="AN600" s="19"/>
      <c r="AO600" s="19"/>
      <c r="AP600" s="19"/>
      <c r="AQ600" s="19"/>
      <c r="AR600" s="19"/>
      <c r="AS600" s="19"/>
      <c r="AT600" s="19"/>
      <c r="AU600" s="19"/>
      <c r="AV600" s="19"/>
      <c r="AW600" s="19"/>
      <c r="AX600" s="19"/>
      <c r="GA600" s="54"/>
    </row>
    <row r="601" spans="1:183" s="18" customFormat="1">
      <c r="A601" s="51"/>
      <c r="B601" s="52"/>
      <c r="C601" s="52"/>
      <c r="D601" s="52"/>
      <c r="E601" s="53"/>
      <c r="F601" s="52"/>
      <c r="G601" s="52"/>
      <c r="H601" s="52"/>
      <c r="I601" s="53"/>
      <c r="J601" s="52"/>
      <c r="K601" s="52"/>
      <c r="L601" s="52"/>
      <c r="M601" s="52"/>
      <c r="N601" s="19"/>
      <c r="O601" s="19"/>
      <c r="P601" s="19"/>
      <c r="Q601" s="19"/>
      <c r="R601" s="19"/>
      <c r="S601" s="19"/>
      <c r="T601" s="19"/>
      <c r="U601" s="19"/>
      <c r="V601" s="19"/>
      <c r="W601" s="19"/>
      <c r="X601" s="19"/>
      <c r="Y601" s="19"/>
      <c r="Z601" s="19"/>
      <c r="AA601" s="19"/>
      <c r="AB601" s="19"/>
      <c r="AC601" s="19"/>
      <c r="AD601" s="19"/>
      <c r="AE601" s="19"/>
      <c r="AF601" s="19"/>
      <c r="AG601" s="19"/>
      <c r="AH601" s="19"/>
      <c r="AI601" s="19"/>
      <c r="AJ601" s="19"/>
      <c r="AK601" s="19"/>
      <c r="AL601" s="19"/>
      <c r="AM601" s="19"/>
      <c r="AN601" s="19"/>
      <c r="AO601" s="19"/>
      <c r="AP601" s="19"/>
      <c r="AQ601" s="19"/>
      <c r="AR601" s="19"/>
      <c r="AS601" s="19"/>
      <c r="AT601" s="19"/>
      <c r="AU601" s="19"/>
      <c r="AV601" s="19"/>
      <c r="AW601" s="19"/>
      <c r="AX601" s="19"/>
      <c r="GA601" s="54"/>
    </row>
    <row r="602" spans="1:183" s="18" customFormat="1">
      <c r="A602" s="51"/>
      <c r="B602" s="52"/>
      <c r="C602" s="52"/>
      <c r="D602" s="52"/>
      <c r="E602" s="53"/>
      <c r="F602" s="52"/>
      <c r="G602" s="52"/>
      <c r="H602" s="52"/>
      <c r="I602" s="53"/>
      <c r="J602" s="52"/>
      <c r="K602" s="52"/>
      <c r="L602" s="52"/>
      <c r="M602" s="52"/>
      <c r="N602" s="19"/>
      <c r="O602" s="19"/>
      <c r="P602" s="19"/>
      <c r="Q602" s="19"/>
      <c r="R602" s="19"/>
      <c r="S602" s="19"/>
      <c r="T602" s="19"/>
      <c r="U602" s="19"/>
      <c r="V602" s="19"/>
      <c r="W602" s="19"/>
      <c r="X602" s="19"/>
      <c r="Y602" s="19"/>
      <c r="Z602" s="19"/>
      <c r="AA602" s="19"/>
      <c r="AB602" s="19"/>
      <c r="AC602" s="19"/>
      <c r="AD602" s="19"/>
      <c r="AE602" s="19"/>
      <c r="AF602" s="19"/>
      <c r="AG602" s="19"/>
      <c r="AH602" s="19"/>
      <c r="AI602" s="19"/>
      <c r="AJ602" s="19"/>
      <c r="AK602" s="19"/>
      <c r="AL602" s="19"/>
      <c r="AM602" s="19"/>
      <c r="AN602" s="19"/>
      <c r="AO602" s="19"/>
      <c r="AP602" s="19"/>
      <c r="AQ602" s="19"/>
      <c r="AR602" s="19"/>
      <c r="AS602" s="19"/>
      <c r="AT602" s="19"/>
      <c r="AU602" s="19"/>
      <c r="AV602" s="19"/>
      <c r="AW602" s="19"/>
      <c r="AX602" s="19"/>
      <c r="GA602" s="54"/>
    </row>
    <row r="603" spans="1:183" s="18" customFormat="1">
      <c r="A603" s="51"/>
      <c r="B603" s="52"/>
      <c r="C603" s="52"/>
      <c r="D603" s="52"/>
      <c r="E603" s="53"/>
      <c r="F603" s="52"/>
      <c r="G603" s="52"/>
      <c r="H603" s="52"/>
      <c r="I603" s="53"/>
      <c r="J603" s="52"/>
      <c r="K603" s="52"/>
      <c r="L603" s="52"/>
      <c r="M603" s="52"/>
      <c r="N603" s="19"/>
      <c r="O603" s="19"/>
      <c r="P603" s="19"/>
      <c r="Q603" s="19"/>
      <c r="R603" s="19"/>
      <c r="S603" s="19"/>
      <c r="T603" s="19"/>
      <c r="U603" s="19"/>
      <c r="V603" s="19"/>
      <c r="W603" s="19"/>
      <c r="X603" s="19"/>
      <c r="Y603" s="19"/>
      <c r="Z603" s="19"/>
      <c r="AA603" s="19"/>
      <c r="AB603" s="19"/>
      <c r="AC603" s="19"/>
      <c r="AD603" s="19"/>
      <c r="AE603" s="19"/>
      <c r="AF603" s="19"/>
      <c r="AG603" s="19"/>
      <c r="AH603" s="19"/>
      <c r="AI603" s="19"/>
      <c r="AJ603" s="19"/>
      <c r="AK603" s="19"/>
      <c r="AL603" s="19"/>
      <c r="AM603" s="19"/>
      <c r="AN603" s="19"/>
      <c r="AO603" s="19"/>
      <c r="AP603" s="19"/>
      <c r="AQ603" s="19"/>
      <c r="AR603" s="19"/>
      <c r="AS603" s="19"/>
      <c r="AT603" s="19"/>
      <c r="AU603" s="19"/>
      <c r="AV603" s="19"/>
      <c r="AW603" s="19"/>
      <c r="AX603" s="19"/>
      <c r="GA603" s="54"/>
    </row>
    <row r="604" spans="1:183" s="18" customFormat="1">
      <c r="A604" s="51"/>
      <c r="B604" s="52"/>
      <c r="C604" s="52"/>
      <c r="D604" s="52"/>
      <c r="E604" s="53"/>
      <c r="F604" s="52"/>
      <c r="G604" s="52"/>
      <c r="H604" s="52"/>
      <c r="I604" s="53"/>
      <c r="J604" s="52"/>
      <c r="K604" s="52"/>
      <c r="L604" s="52"/>
      <c r="M604" s="52"/>
      <c r="N604" s="19"/>
      <c r="O604" s="19"/>
      <c r="P604" s="19"/>
      <c r="Q604" s="19"/>
      <c r="R604" s="19"/>
      <c r="S604" s="19"/>
      <c r="T604" s="19"/>
      <c r="U604" s="19"/>
      <c r="V604" s="19"/>
      <c r="W604" s="19"/>
      <c r="X604" s="19"/>
      <c r="Y604" s="19"/>
      <c r="Z604" s="19"/>
      <c r="AA604" s="19"/>
      <c r="AB604" s="19"/>
      <c r="AC604" s="19"/>
      <c r="AD604" s="19"/>
      <c r="AE604" s="19"/>
      <c r="AF604" s="19"/>
      <c r="AG604" s="19"/>
      <c r="AH604" s="19"/>
      <c r="AI604" s="19"/>
      <c r="AJ604" s="19"/>
      <c r="AK604" s="19"/>
      <c r="AL604" s="19"/>
      <c r="AM604" s="19"/>
      <c r="AN604" s="19"/>
      <c r="AO604" s="19"/>
      <c r="AP604" s="19"/>
      <c r="AQ604" s="19"/>
      <c r="AR604" s="19"/>
      <c r="AS604" s="19"/>
      <c r="AT604" s="19"/>
      <c r="AU604" s="19"/>
      <c r="AV604" s="19"/>
      <c r="AW604" s="19"/>
      <c r="AX604" s="19"/>
      <c r="GA604" s="54"/>
    </row>
    <row r="605" spans="1:183" s="18" customFormat="1">
      <c r="A605" s="51"/>
      <c r="B605" s="52"/>
      <c r="C605" s="52"/>
      <c r="D605" s="52"/>
      <c r="E605" s="53"/>
      <c r="F605" s="52"/>
      <c r="G605" s="52"/>
      <c r="H605" s="52"/>
      <c r="I605" s="53"/>
      <c r="J605" s="52"/>
      <c r="K605" s="52"/>
      <c r="L605" s="52"/>
      <c r="M605" s="52"/>
      <c r="N605" s="19"/>
      <c r="O605" s="19"/>
      <c r="P605" s="19"/>
      <c r="Q605" s="19"/>
      <c r="R605" s="19"/>
      <c r="S605" s="19"/>
      <c r="T605" s="19"/>
      <c r="U605" s="19"/>
      <c r="V605" s="19"/>
      <c r="W605" s="19"/>
      <c r="X605" s="19"/>
      <c r="Y605" s="19"/>
      <c r="Z605" s="19"/>
      <c r="AA605" s="19"/>
      <c r="AB605" s="19"/>
      <c r="AC605" s="19"/>
      <c r="AD605" s="19"/>
      <c r="AE605" s="19"/>
      <c r="AF605" s="19"/>
      <c r="AG605" s="19"/>
      <c r="AH605" s="19"/>
      <c r="AI605" s="19"/>
      <c r="AJ605" s="19"/>
      <c r="AK605" s="19"/>
      <c r="AL605" s="19"/>
      <c r="AM605" s="19"/>
      <c r="AN605" s="19"/>
      <c r="AO605" s="19"/>
      <c r="AP605" s="19"/>
      <c r="AQ605" s="19"/>
      <c r="AR605" s="19"/>
      <c r="AS605" s="19"/>
      <c r="AT605" s="19"/>
      <c r="AU605" s="19"/>
      <c r="AV605" s="19"/>
      <c r="AW605" s="19"/>
      <c r="AX605" s="19"/>
      <c r="GA605" s="54"/>
    </row>
    <row r="606" spans="1:183" s="18" customFormat="1">
      <c r="A606" s="51"/>
      <c r="B606" s="52"/>
      <c r="C606" s="52"/>
      <c r="D606" s="52"/>
      <c r="E606" s="53"/>
      <c r="F606" s="52"/>
      <c r="G606" s="52"/>
      <c r="H606" s="52"/>
      <c r="I606" s="53"/>
      <c r="J606" s="52"/>
      <c r="K606" s="52"/>
      <c r="L606" s="52"/>
      <c r="M606" s="52"/>
      <c r="N606" s="19"/>
      <c r="O606" s="19"/>
      <c r="P606" s="19"/>
      <c r="Q606" s="19"/>
      <c r="R606" s="19"/>
      <c r="S606" s="19"/>
      <c r="T606" s="19"/>
      <c r="U606" s="19"/>
      <c r="V606" s="19"/>
      <c r="W606" s="19"/>
      <c r="X606" s="19"/>
      <c r="Y606" s="19"/>
      <c r="Z606" s="19"/>
      <c r="AA606" s="19"/>
      <c r="AB606" s="19"/>
      <c r="AC606" s="19"/>
      <c r="AD606" s="19"/>
      <c r="AE606" s="19"/>
      <c r="AF606" s="19"/>
      <c r="AG606" s="19"/>
      <c r="AH606" s="19"/>
      <c r="AI606" s="19"/>
      <c r="AJ606" s="19"/>
      <c r="AK606" s="19"/>
      <c r="AL606" s="19"/>
      <c r="AM606" s="19"/>
      <c r="AN606" s="19"/>
      <c r="AO606" s="19"/>
      <c r="AP606" s="19"/>
      <c r="AQ606" s="19"/>
      <c r="AR606" s="19"/>
      <c r="AS606" s="19"/>
      <c r="AT606" s="19"/>
      <c r="AU606" s="19"/>
      <c r="AV606" s="19"/>
      <c r="AW606" s="19"/>
      <c r="AX606" s="19"/>
      <c r="GA606" s="54"/>
    </row>
    <row r="607" spans="1:183" s="18" customFormat="1">
      <c r="A607" s="51"/>
      <c r="B607" s="52"/>
      <c r="C607" s="52"/>
      <c r="D607" s="52"/>
      <c r="E607" s="53"/>
      <c r="F607" s="52"/>
      <c r="G607" s="52"/>
      <c r="H607" s="52"/>
      <c r="I607" s="53"/>
      <c r="J607" s="52"/>
      <c r="K607" s="52"/>
      <c r="L607" s="52"/>
      <c r="M607" s="52"/>
      <c r="N607" s="19"/>
      <c r="O607" s="19"/>
      <c r="P607" s="19"/>
      <c r="Q607" s="19"/>
      <c r="R607" s="19"/>
      <c r="S607" s="19"/>
      <c r="T607" s="19"/>
      <c r="U607" s="19"/>
      <c r="V607" s="19"/>
      <c r="W607" s="19"/>
      <c r="X607" s="19"/>
      <c r="Y607" s="19"/>
      <c r="Z607" s="19"/>
      <c r="AA607" s="19"/>
      <c r="AB607" s="19"/>
      <c r="AC607" s="19"/>
      <c r="AD607" s="19"/>
      <c r="AE607" s="19"/>
      <c r="AF607" s="19"/>
      <c r="AG607" s="19"/>
      <c r="AH607" s="19"/>
      <c r="AI607" s="19"/>
      <c r="AJ607" s="19"/>
      <c r="AK607" s="19"/>
      <c r="AL607" s="19"/>
      <c r="AM607" s="19"/>
      <c r="AN607" s="19"/>
      <c r="AO607" s="19"/>
      <c r="AP607" s="19"/>
      <c r="AQ607" s="19"/>
      <c r="AR607" s="19"/>
      <c r="AS607" s="19"/>
      <c r="AT607" s="19"/>
      <c r="AU607" s="19"/>
      <c r="AV607" s="19"/>
      <c r="AW607" s="19"/>
      <c r="AX607" s="19"/>
      <c r="GA607" s="54"/>
    </row>
    <row r="608" spans="1:183" s="18" customFormat="1">
      <c r="A608" s="51"/>
      <c r="B608" s="52"/>
      <c r="C608" s="52"/>
      <c r="D608" s="52"/>
      <c r="E608" s="53"/>
      <c r="F608" s="52"/>
      <c r="G608" s="52"/>
      <c r="H608" s="52"/>
      <c r="I608" s="53"/>
      <c r="J608" s="52"/>
      <c r="K608" s="52"/>
      <c r="L608" s="52"/>
      <c r="M608" s="52"/>
      <c r="N608" s="19"/>
      <c r="O608" s="19"/>
      <c r="P608" s="19"/>
      <c r="Q608" s="19"/>
      <c r="R608" s="19"/>
      <c r="S608" s="19"/>
      <c r="T608" s="19"/>
      <c r="U608" s="19"/>
      <c r="V608" s="19"/>
      <c r="W608" s="19"/>
      <c r="X608" s="19"/>
      <c r="Y608" s="19"/>
      <c r="Z608" s="19"/>
      <c r="AA608" s="19"/>
      <c r="AB608" s="19"/>
      <c r="AC608" s="19"/>
      <c r="AD608" s="19"/>
      <c r="AE608" s="19"/>
      <c r="AF608" s="19"/>
      <c r="AG608" s="19"/>
      <c r="AH608" s="19"/>
      <c r="AI608" s="19"/>
      <c r="AJ608" s="19"/>
      <c r="AK608" s="19"/>
      <c r="AL608" s="19"/>
      <c r="AM608" s="19"/>
      <c r="AN608" s="19"/>
      <c r="AO608" s="19"/>
      <c r="AP608" s="19"/>
      <c r="AQ608" s="19"/>
      <c r="AR608" s="19"/>
      <c r="AS608" s="19"/>
      <c r="AT608" s="19"/>
      <c r="AU608" s="19"/>
      <c r="AV608" s="19"/>
      <c r="AW608" s="19"/>
      <c r="AX608" s="19"/>
      <c r="GA608" s="54"/>
    </row>
    <row r="609" spans="1:183" s="18" customFormat="1">
      <c r="A609" s="51"/>
      <c r="B609" s="52"/>
      <c r="C609" s="52"/>
      <c r="D609" s="52"/>
      <c r="E609" s="53"/>
      <c r="F609" s="52"/>
      <c r="G609" s="52"/>
      <c r="H609" s="52"/>
      <c r="I609" s="53"/>
      <c r="J609" s="52"/>
      <c r="K609" s="52"/>
      <c r="L609" s="52"/>
      <c r="M609" s="52"/>
      <c r="N609" s="19"/>
      <c r="O609" s="19"/>
      <c r="P609" s="19"/>
      <c r="Q609" s="19"/>
      <c r="R609" s="19"/>
      <c r="S609" s="19"/>
      <c r="T609" s="19"/>
      <c r="U609" s="19"/>
      <c r="V609" s="19"/>
      <c r="W609" s="19"/>
      <c r="X609" s="19"/>
      <c r="Y609" s="19"/>
      <c r="Z609" s="19"/>
      <c r="AA609" s="19"/>
      <c r="AB609" s="19"/>
      <c r="AC609" s="19"/>
      <c r="AD609" s="19"/>
      <c r="AE609" s="19"/>
      <c r="AF609" s="19"/>
      <c r="AG609" s="19"/>
      <c r="AH609" s="19"/>
      <c r="AI609" s="19"/>
      <c r="AJ609" s="19"/>
      <c r="AK609" s="19"/>
      <c r="AL609" s="19"/>
      <c r="AM609" s="19"/>
      <c r="AN609" s="19"/>
      <c r="AO609" s="19"/>
      <c r="AP609" s="19"/>
      <c r="AQ609" s="19"/>
      <c r="AR609" s="19"/>
      <c r="AS609" s="19"/>
      <c r="AT609" s="19"/>
      <c r="AU609" s="19"/>
      <c r="AV609" s="19"/>
      <c r="AW609" s="19"/>
      <c r="AX609" s="19"/>
      <c r="GA609" s="54"/>
    </row>
    <row r="610" spans="1:183" s="18" customFormat="1">
      <c r="A610" s="51"/>
      <c r="B610" s="52"/>
      <c r="C610" s="52"/>
      <c r="D610" s="52"/>
      <c r="E610" s="53"/>
      <c r="F610" s="52"/>
      <c r="G610" s="52"/>
      <c r="H610" s="52"/>
      <c r="I610" s="53"/>
      <c r="J610" s="52"/>
      <c r="K610" s="52"/>
      <c r="L610" s="52"/>
      <c r="M610" s="52"/>
      <c r="N610" s="19"/>
      <c r="O610" s="19"/>
      <c r="P610" s="19"/>
      <c r="Q610" s="19"/>
      <c r="R610" s="19"/>
      <c r="S610" s="19"/>
      <c r="T610" s="19"/>
      <c r="U610" s="19"/>
      <c r="V610" s="19"/>
      <c r="W610" s="19"/>
      <c r="X610" s="19"/>
      <c r="Y610" s="19"/>
      <c r="Z610" s="19"/>
      <c r="AA610" s="19"/>
      <c r="AB610" s="19"/>
      <c r="AC610" s="19"/>
      <c r="AD610" s="19"/>
      <c r="AE610" s="19"/>
      <c r="AF610" s="19"/>
      <c r="AG610" s="19"/>
      <c r="AH610" s="19"/>
      <c r="AI610" s="19"/>
      <c r="AJ610" s="19"/>
      <c r="AK610" s="19"/>
      <c r="AL610" s="19"/>
      <c r="AM610" s="19"/>
      <c r="AN610" s="19"/>
      <c r="AO610" s="19"/>
      <c r="AP610" s="19"/>
      <c r="AQ610" s="19"/>
      <c r="AR610" s="19"/>
      <c r="AS610" s="19"/>
      <c r="AT610" s="19"/>
      <c r="AU610" s="19"/>
      <c r="AV610" s="19"/>
      <c r="AW610" s="19"/>
      <c r="AX610" s="19"/>
      <c r="GA610" s="54"/>
    </row>
    <row r="611" spans="1:183" s="18" customFormat="1">
      <c r="A611" s="51"/>
      <c r="B611" s="52"/>
      <c r="C611" s="52"/>
      <c r="D611" s="52"/>
      <c r="E611" s="53"/>
      <c r="F611" s="52"/>
      <c r="G611" s="52"/>
      <c r="H611" s="52"/>
      <c r="I611" s="53"/>
      <c r="J611" s="52"/>
      <c r="K611" s="52"/>
      <c r="L611" s="52"/>
      <c r="M611" s="52"/>
      <c r="N611" s="19"/>
      <c r="O611" s="19"/>
      <c r="P611" s="19"/>
      <c r="Q611" s="19"/>
      <c r="R611" s="19"/>
      <c r="S611" s="19"/>
      <c r="T611" s="19"/>
      <c r="U611" s="19"/>
      <c r="V611" s="19"/>
      <c r="W611" s="19"/>
      <c r="X611" s="19"/>
      <c r="Y611" s="19"/>
      <c r="Z611" s="19"/>
      <c r="AA611" s="19"/>
      <c r="AB611" s="19"/>
      <c r="AC611" s="19"/>
      <c r="AD611" s="19"/>
      <c r="AE611" s="19"/>
      <c r="AF611" s="19"/>
      <c r="AG611" s="19"/>
      <c r="AH611" s="19"/>
      <c r="AI611" s="19"/>
      <c r="AJ611" s="19"/>
      <c r="AK611" s="19"/>
      <c r="AL611" s="19"/>
      <c r="AM611" s="19"/>
      <c r="AN611" s="19"/>
      <c r="AO611" s="19"/>
      <c r="AP611" s="19"/>
      <c r="AQ611" s="19"/>
      <c r="AR611" s="19"/>
      <c r="AS611" s="19"/>
      <c r="AT611" s="19"/>
      <c r="AU611" s="19"/>
      <c r="AV611" s="19"/>
      <c r="AW611" s="19"/>
      <c r="AX611" s="19"/>
      <c r="GA611" s="54"/>
    </row>
    <row r="612" spans="1:183" s="18" customFormat="1">
      <c r="A612" s="51"/>
      <c r="B612" s="52"/>
      <c r="C612" s="52"/>
      <c r="D612" s="52"/>
      <c r="E612" s="53"/>
      <c r="F612" s="52"/>
      <c r="G612" s="52"/>
      <c r="H612" s="52"/>
      <c r="I612" s="53"/>
      <c r="J612" s="52"/>
      <c r="K612" s="52"/>
      <c r="L612" s="52"/>
      <c r="M612" s="52"/>
      <c r="N612" s="19"/>
      <c r="O612" s="19"/>
      <c r="P612" s="19"/>
      <c r="Q612" s="19"/>
      <c r="R612" s="19"/>
      <c r="S612" s="19"/>
      <c r="T612" s="19"/>
      <c r="U612" s="19"/>
      <c r="V612" s="19"/>
      <c r="W612" s="19"/>
      <c r="X612" s="19"/>
      <c r="Y612" s="19"/>
      <c r="Z612" s="19"/>
      <c r="AA612" s="19"/>
      <c r="AB612" s="19"/>
      <c r="AC612" s="19"/>
      <c r="AD612" s="19"/>
      <c r="AE612" s="19"/>
      <c r="AF612" s="19"/>
      <c r="AG612" s="19"/>
      <c r="AH612" s="19"/>
      <c r="AI612" s="19"/>
      <c r="AJ612" s="19"/>
      <c r="AK612" s="19"/>
      <c r="AL612" s="19"/>
      <c r="AM612" s="19"/>
      <c r="AN612" s="19"/>
      <c r="AO612" s="19"/>
      <c r="AP612" s="19"/>
      <c r="AQ612" s="19"/>
      <c r="AR612" s="19"/>
      <c r="AS612" s="19"/>
      <c r="AT612" s="19"/>
      <c r="AU612" s="19"/>
      <c r="AV612" s="19"/>
      <c r="AW612" s="19"/>
      <c r="AX612" s="19"/>
      <c r="GA612" s="54"/>
    </row>
    <row r="613" spans="1:183" s="18" customFormat="1">
      <c r="A613" s="51"/>
      <c r="B613" s="52"/>
      <c r="C613" s="52"/>
      <c r="D613" s="52"/>
      <c r="E613" s="53"/>
      <c r="F613" s="52"/>
      <c r="G613" s="52"/>
      <c r="H613" s="52"/>
      <c r="I613" s="53"/>
      <c r="J613" s="52"/>
      <c r="K613" s="52"/>
      <c r="L613" s="52"/>
      <c r="M613" s="52"/>
      <c r="N613" s="19"/>
      <c r="O613" s="19"/>
      <c r="P613" s="19"/>
      <c r="Q613" s="19"/>
      <c r="R613" s="19"/>
      <c r="S613" s="19"/>
      <c r="T613" s="19"/>
      <c r="U613" s="19"/>
      <c r="V613" s="19"/>
      <c r="W613" s="19"/>
      <c r="X613" s="19"/>
      <c r="Y613" s="19"/>
      <c r="Z613" s="19"/>
      <c r="AA613" s="19"/>
      <c r="AB613" s="19"/>
      <c r="AC613" s="19"/>
      <c r="AD613" s="19"/>
      <c r="AE613" s="19"/>
      <c r="AF613" s="19"/>
      <c r="AG613" s="19"/>
      <c r="AH613" s="19"/>
      <c r="AI613" s="19"/>
      <c r="AJ613" s="19"/>
      <c r="AK613" s="19"/>
      <c r="AL613" s="19"/>
      <c r="AM613" s="19"/>
      <c r="AN613" s="19"/>
      <c r="AO613" s="19"/>
      <c r="AP613" s="19"/>
      <c r="AQ613" s="19"/>
      <c r="AR613" s="19"/>
      <c r="AS613" s="19"/>
      <c r="AT613" s="19"/>
      <c r="AU613" s="19"/>
      <c r="AV613" s="19"/>
      <c r="AW613" s="19"/>
      <c r="AX613" s="19"/>
      <c r="GA613" s="54"/>
    </row>
    <row r="614" spans="1:183" s="18" customFormat="1">
      <c r="A614" s="51"/>
      <c r="B614" s="52"/>
      <c r="C614" s="52"/>
      <c r="D614" s="52"/>
      <c r="E614" s="53"/>
      <c r="F614" s="52"/>
      <c r="G614" s="52"/>
      <c r="H614" s="52"/>
      <c r="I614" s="53"/>
      <c r="J614" s="52"/>
      <c r="K614" s="52"/>
      <c r="L614" s="52"/>
      <c r="M614" s="52"/>
      <c r="N614" s="19"/>
      <c r="O614" s="19"/>
      <c r="P614" s="19"/>
      <c r="Q614" s="19"/>
      <c r="R614" s="19"/>
      <c r="S614" s="19"/>
      <c r="T614" s="19"/>
      <c r="U614" s="19"/>
      <c r="V614" s="19"/>
      <c r="W614" s="19"/>
      <c r="X614" s="19"/>
      <c r="Y614" s="19"/>
      <c r="Z614" s="19"/>
      <c r="AA614" s="19"/>
      <c r="AB614" s="19"/>
      <c r="AC614" s="19"/>
      <c r="AD614" s="19"/>
      <c r="AE614" s="19"/>
      <c r="AF614" s="19"/>
      <c r="AG614" s="19"/>
      <c r="AH614" s="19"/>
      <c r="AI614" s="19"/>
      <c r="AJ614" s="19"/>
      <c r="AK614" s="19"/>
      <c r="AL614" s="19"/>
      <c r="AM614" s="19"/>
      <c r="AN614" s="19"/>
      <c r="AO614" s="19"/>
      <c r="AP614" s="19"/>
      <c r="AQ614" s="19"/>
      <c r="AR614" s="19"/>
      <c r="AS614" s="19"/>
      <c r="AT614" s="19"/>
      <c r="AU614" s="19"/>
      <c r="AV614" s="19"/>
      <c r="AW614" s="19"/>
      <c r="AX614" s="19"/>
      <c r="GA614" s="54"/>
    </row>
    <row r="615" spans="1:183" s="18" customFormat="1">
      <c r="A615" s="51"/>
      <c r="B615" s="52"/>
      <c r="C615" s="52"/>
      <c r="D615" s="52"/>
      <c r="E615" s="53"/>
      <c r="F615" s="52"/>
      <c r="G615" s="52"/>
      <c r="H615" s="52"/>
      <c r="I615" s="53"/>
      <c r="J615" s="52"/>
      <c r="K615" s="52"/>
      <c r="L615" s="52"/>
      <c r="M615" s="52"/>
      <c r="N615" s="19"/>
      <c r="O615" s="19"/>
      <c r="P615" s="19"/>
      <c r="Q615" s="19"/>
      <c r="R615" s="19"/>
      <c r="S615" s="19"/>
      <c r="T615" s="19"/>
      <c r="U615" s="19"/>
      <c r="V615" s="19"/>
      <c r="W615" s="19"/>
      <c r="X615" s="19"/>
      <c r="Y615" s="19"/>
      <c r="Z615" s="19"/>
      <c r="AA615" s="19"/>
      <c r="AB615" s="19"/>
      <c r="AC615" s="19"/>
      <c r="AD615" s="19"/>
      <c r="AE615" s="19"/>
      <c r="AF615" s="19"/>
      <c r="AG615" s="19"/>
      <c r="AH615" s="19"/>
      <c r="AI615" s="19"/>
      <c r="AJ615" s="19"/>
      <c r="AK615" s="19"/>
      <c r="AL615" s="19"/>
      <c r="AM615" s="19"/>
      <c r="AN615" s="19"/>
      <c r="AO615" s="19"/>
      <c r="AP615" s="19"/>
      <c r="AQ615" s="19"/>
      <c r="AR615" s="19"/>
      <c r="AS615" s="19"/>
      <c r="AT615" s="19"/>
      <c r="AU615" s="19"/>
      <c r="AV615" s="19"/>
      <c r="AW615" s="19"/>
      <c r="AX615" s="19"/>
      <c r="GA615" s="54"/>
    </row>
    <row r="616" spans="1:183" s="18" customFormat="1">
      <c r="A616" s="51"/>
      <c r="B616" s="52"/>
      <c r="C616" s="52"/>
      <c r="D616" s="52"/>
      <c r="E616" s="53"/>
      <c r="F616" s="52"/>
      <c r="G616" s="52"/>
      <c r="H616" s="52"/>
      <c r="I616" s="53"/>
      <c r="J616" s="52"/>
      <c r="K616" s="52"/>
      <c r="L616" s="52"/>
      <c r="M616" s="52"/>
      <c r="N616" s="19"/>
      <c r="O616" s="19"/>
      <c r="P616" s="19"/>
      <c r="Q616" s="19"/>
      <c r="R616" s="19"/>
      <c r="S616" s="19"/>
      <c r="T616" s="19"/>
      <c r="U616" s="19"/>
      <c r="V616" s="19"/>
      <c r="W616" s="19"/>
      <c r="X616" s="19"/>
      <c r="Y616" s="19"/>
      <c r="Z616" s="19"/>
      <c r="AA616" s="19"/>
      <c r="AB616" s="19"/>
      <c r="AC616" s="19"/>
      <c r="AD616" s="19"/>
      <c r="AE616" s="19"/>
      <c r="AF616" s="19"/>
      <c r="AG616" s="19"/>
      <c r="AH616" s="19"/>
      <c r="AI616" s="19"/>
      <c r="AJ616" s="19"/>
      <c r="AK616" s="19"/>
      <c r="AL616" s="19"/>
      <c r="AM616" s="19"/>
      <c r="AN616" s="19"/>
      <c r="AO616" s="19"/>
      <c r="AP616" s="19"/>
      <c r="AQ616" s="19"/>
      <c r="AR616" s="19"/>
      <c r="AS616" s="19"/>
      <c r="AT616" s="19"/>
      <c r="AU616" s="19"/>
      <c r="AV616" s="19"/>
      <c r="AW616" s="19"/>
      <c r="AX616" s="19"/>
      <c r="GA616" s="54"/>
    </row>
    <row r="617" spans="1:183" s="18" customFormat="1">
      <c r="A617" s="51"/>
      <c r="B617" s="52"/>
      <c r="C617" s="52"/>
      <c r="D617" s="52"/>
      <c r="E617" s="53"/>
      <c r="F617" s="52"/>
      <c r="G617" s="52"/>
      <c r="H617" s="52"/>
      <c r="I617" s="53"/>
      <c r="J617" s="52"/>
      <c r="K617" s="52"/>
      <c r="L617" s="52"/>
      <c r="M617" s="52"/>
      <c r="N617" s="19"/>
      <c r="O617" s="19"/>
      <c r="P617" s="19"/>
      <c r="Q617" s="19"/>
      <c r="R617" s="19"/>
      <c r="S617" s="19"/>
      <c r="T617" s="19"/>
      <c r="U617" s="19"/>
      <c r="V617" s="19"/>
      <c r="W617" s="19"/>
      <c r="X617" s="19"/>
      <c r="Y617" s="19"/>
      <c r="Z617" s="19"/>
      <c r="AA617" s="19"/>
      <c r="AB617" s="19"/>
      <c r="AC617" s="19"/>
      <c r="AD617" s="19"/>
      <c r="AE617" s="19"/>
      <c r="AF617" s="19"/>
      <c r="AG617" s="19"/>
      <c r="AH617" s="19"/>
      <c r="AI617" s="19"/>
      <c r="AJ617" s="19"/>
      <c r="AK617" s="19"/>
      <c r="AL617" s="19"/>
      <c r="AM617" s="19"/>
      <c r="AN617" s="19"/>
      <c r="AO617" s="19"/>
      <c r="AP617" s="19"/>
      <c r="AQ617" s="19"/>
      <c r="AR617" s="19"/>
      <c r="AS617" s="19"/>
      <c r="AT617" s="19"/>
      <c r="AU617" s="19"/>
      <c r="AV617" s="19"/>
      <c r="AW617" s="19"/>
      <c r="AX617" s="19"/>
      <c r="GA617" s="54"/>
    </row>
    <row r="618" spans="1:183" s="18" customFormat="1">
      <c r="A618" s="51"/>
      <c r="B618" s="52"/>
      <c r="C618" s="52"/>
      <c r="D618" s="52"/>
      <c r="E618" s="53"/>
      <c r="F618" s="52"/>
      <c r="G618" s="52"/>
      <c r="H618" s="52"/>
      <c r="I618" s="53"/>
      <c r="J618" s="52"/>
      <c r="K618" s="52"/>
      <c r="L618" s="52"/>
      <c r="M618" s="52"/>
      <c r="N618" s="19"/>
      <c r="O618" s="19"/>
      <c r="P618" s="19"/>
      <c r="Q618" s="19"/>
      <c r="R618" s="19"/>
      <c r="S618" s="19"/>
      <c r="T618" s="19"/>
      <c r="U618" s="19"/>
      <c r="V618" s="19"/>
      <c r="W618" s="19"/>
      <c r="X618" s="19"/>
      <c r="Y618" s="19"/>
      <c r="Z618" s="19"/>
      <c r="AA618" s="19"/>
      <c r="AB618" s="19"/>
      <c r="AC618" s="19"/>
      <c r="AD618" s="19"/>
      <c r="AE618" s="19"/>
      <c r="AF618" s="19"/>
      <c r="AG618" s="19"/>
      <c r="AH618" s="19"/>
      <c r="AI618" s="19"/>
      <c r="AJ618" s="19"/>
      <c r="AK618" s="19"/>
      <c r="AL618" s="19"/>
      <c r="AM618" s="19"/>
      <c r="AN618" s="19"/>
      <c r="AO618" s="19"/>
      <c r="AP618" s="19"/>
      <c r="AQ618" s="19"/>
      <c r="AR618" s="19"/>
      <c r="AS618" s="19"/>
      <c r="AT618" s="19"/>
      <c r="AU618" s="19"/>
      <c r="AV618" s="19"/>
      <c r="AW618" s="19"/>
      <c r="AX618" s="19"/>
      <c r="GA618" s="54"/>
    </row>
    <row r="619" spans="1:183" s="18" customFormat="1">
      <c r="A619" s="51"/>
      <c r="B619" s="52"/>
      <c r="C619" s="52"/>
      <c r="D619" s="52"/>
      <c r="E619" s="53"/>
      <c r="F619" s="52"/>
      <c r="G619" s="52"/>
      <c r="H619" s="52"/>
      <c r="I619" s="53"/>
      <c r="J619" s="52"/>
      <c r="K619" s="52"/>
      <c r="L619" s="52"/>
      <c r="M619" s="52"/>
      <c r="N619" s="19"/>
      <c r="O619" s="19"/>
      <c r="P619" s="19"/>
      <c r="Q619" s="19"/>
      <c r="R619" s="19"/>
      <c r="S619" s="19"/>
      <c r="T619" s="19"/>
      <c r="U619" s="19"/>
      <c r="V619" s="19"/>
      <c r="W619" s="19"/>
      <c r="X619" s="19"/>
      <c r="Y619" s="19"/>
      <c r="Z619" s="19"/>
      <c r="AA619" s="19"/>
      <c r="AB619" s="19"/>
      <c r="AC619" s="19"/>
      <c r="AD619" s="19"/>
      <c r="AE619" s="19"/>
      <c r="AF619" s="19"/>
      <c r="AG619" s="19"/>
      <c r="AH619" s="19"/>
      <c r="AI619" s="19"/>
      <c r="AJ619" s="19"/>
      <c r="AK619" s="19"/>
      <c r="AL619" s="19"/>
      <c r="AM619" s="19"/>
      <c r="AN619" s="19"/>
      <c r="AO619" s="19"/>
      <c r="AP619" s="19"/>
      <c r="AQ619" s="19"/>
      <c r="AR619" s="19"/>
      <c r="AS619" s="19"/>
      <c r="AT619" s="19"/>
      <c r="AU619" s="19"/>
      <c r="AV619" s="19"/>
      <c r="AW619" s="19"/>
      <c r="AX619" s="19"/>
      <c r="GA619" s="54"/>
    </row>
    <row r="620" spans="1:183" s="18" customFormat="1">
      <c r="A620" s="51"/>
      <c r="B620" s="52"/>
      <c r="C620" s="52"/>
      <c r="D620" s="52"/>
      <c r="E620" s="53"/>
      <c r="F620" s="52"/>
      <c r="G620" s="52"/>
      <c r="H620" s="52"/>
      <c r="I620" s="53"/>
      <c r="J620" s="52"/>
      <c r="K620" s="52"/>
      <c r="L620" s="52"/>
      <c r="M620" s="52"/>
      <c r="N620" s="19"/>
      <c r="O620" s="19"/>
      <c r="P620" s="19"/>
      <c r="Q620" s="19"/>
      <c r="R620" s="19"/>
      <c r="S620" s="19"/>
      <c r="T620" s="19"/>
      <c r="U620" s="19"/>
      <c r="V620" s="19"/>
      <c r="W620" s="19"/>
      <c r="X620" s="19"/>
      <c r="Y620" s="19"/>
      <c r="Z620" s="19"/>
      <c r="AA620" s="19"/>
      <c r="AB620" s="19"/>
      <c r="AC620" s="19"/>
      <c r="AD620" s="19"/>
      <c r="AE620" s="19"/>
      <c r="AF620" s="19"/>
      <c r="AG620" s="19"/>
      <c r="AH620" s="19"/>
      <c r="AI620" s="19"/>
      <c r="AJ620" s="19"/>
      <c r="AK620" s="19"/>
      <c r="AL620" s="19"/>
      <c r="AM620" s="19"/>
      <c r="AN620" s="19"/>
      <c r="AO620" s="19"/>
      <c r="AP620" s="19"/>
      <c r="AQ620" s="19"/>
      <c r="AR620" s="19"/>
      <c r="AS620" s="19"/>
      <c r="AT620" s="19"/>
      <c r="AU620" s="19"/>
      <c r="AV620" s="19"/>
      <c r="AW620" s="19"/>
      <c r="AX620" s="19"/>
      <c r="GA620" s="54"/>
    </row>
    <row r="621" spans="1:183" s="18" customFormat="1">
      <c r="A621" s="51"/>
      <c r="B621" s="52"/>
      <c r="C621" s="52"/>
      <c r="D621" s="52"/>
      <c r="E621" s="53"/>
      <c r="F621" s="52"/>
      <c r="G621" s="52"/>
      <c r="H621" s="52"/>
      <c r="I621" s="53"/>
      <c r="J621" s="52"/>
      <c r="K621" s="52"/>
      <c r="L621" s="52"/>
      <c r="M621" s="52"/>
      <c r="N621" s="19"/>
      <c r="O621" s="19"/>
      <c r="P621" s="19"/>
      <c r="Q621" s="19"/>
      <c r="R621" s="19"/>
      <c r="S621" s="19"/>
      <c r="T621" s="19"/>
      <c r="U621" s="19"/>
      <c r="V621" s="19"/>
      <c r="W621" s="19"/>
      <c r="X621" s="19"/>
      <c r="Y621" s="19"/>
      <c r="Z621" s="19"/>
      <c r="AA621" s="19"/>
      <c r="AB621" s="19"/>
      <c r="AC621" s="19"/>
      <c r="AD621" s="19"/>
      <c r="AE621" s="19"/>
      <c r="AF621" s="19"/>
      <c r="AG621" s="19"/>
      <c r="AH621" s="19"/>
      <c r="AI621" s="19"/>
      <c r="AJ621" s="19"/>
      <c r="AK621" s="19"/>
      <c r="AL621" s="19"/>
      <c r="AM621" s="19"/>
      <c r="AN621" s="19"/>
      <c r="AO621" s="19"/>
      <c r="AP621" s="19"/>
      <c r="AQ621" s="19"/>
      <c r="AR621" s="19"/>
      <c r="AS621" s="19"/>
      <c r="AT621" s="19"/>
      <c r="AU621" s="19"/>
      <c r="AV621" s="19"/>
      <c r="AW621" s="19"/>
      <c r="AX621" s="19"/>
      <c r="GA621" s="54"/>
    </row>
    <row r="622" spans="1:183" s="18" customFormat="1">
      <c r="A622" s="51"/>
      <c r="B622" s="52"/>
      <c r="C622" s="52"/>
      <c r="D622" s="52"/>
      <c r="E622" s="53"/>
      <c r="F622" s="52"/>
      <c r="G622" s="52"/>
      <c r="H622" s="52"/>
      <c r="I622" s="53"/>
      <c r="J622" s="52"/>
      <c r="K622" s="52"/>
      <c r="L622" s="52"/>
      <c r="M622" s="52"/>
      <c r="N622" s="19"/>
      <c r="O622" s="19"/>
      <c r="P622" s="19"/>
      <c r="Q622" s="19"/>
      <c r="R622" s="19"/>
      <c r="S622" s="19"/>
      <c r="T622" s="19"/>
      <c r="U622" s="19"/>
      <c r="V622" s="19"/>
      <c r="W622" s="19"/>
      <c r="X622" s="19"/>
      <c r="Y622" s="19"/>
      <c r="Z622" s="19"/>
      <c r="AA622" s="19"/>
      <c r="AB622" s="19"/>
      <c r="AC622" s="19"/>
      <c r="AD622" s="19"/>
      <c r="AE622" s="19"/>
      <c r="AF622" s="19"/>
      <c r="AG622" s="19"/>
      <c r="AH622" s="19"/>
      <c r="AI622" s="19"/>
      <c r="AJ622" s="19"/>
      <c r="AK622" s="19"/>
      <c r="AL622" s="19"/>
      <c r="AM622" s="19"/>
      <c r="AN622" s="19"/>
      <c r="AO622" s="19"/>
      <c r="AP622" s="19"/>
      <c r="AQ622" s="19"/>
      <c r="AR622" s="19"/>
      <c r="AS622" s="19"/>
      <c r="AT622" s="19"/>
      <c r="AU622" s="19"/>
      <c r="AV622" s="19"/>
      <c r="AW622" s="19"/>
      <c r="AX622" s="19"/>
      <c r="GA622" s="54"/>
    </row>
    <row r="623" spans="1:183" s="18" customFormat="1">
      <c r="A623" s="51"/>
      <c r="B623" s="52"/>
      <c r="C623" s="52"/>
      <c r="D623" s="52"/>
      <c r="E623" s="53"/>
      <c r="F623" s="52"/>
      <c r="G623" s="52"/>
      <c r="H623" s="52"/>
      <c r="I623" s="53"/>
      <c r="J623" s="52"/>
      <c r="K623" s="52"/>
      <c r="L623" s="52"/>
      <c r="M623" s="52"/>
      <c r="N623" s="19"/>
      <c r="O623" s="19"/>
      <c r="P623" s="19"/>
      <c r="Q623" s="19"/>
      <c r="R623" s="19"/>
      <c r="S623" s="19"/>
      <c r="T623" s="19"/>
      <c r="U623" s="19"/>
      <c r="V623" s="19"/>
      <c r="W623" s="19"/>
      <c r="X623" s="19"/>
      <c r="Y623" s="19"/>
      <c r="Z623" s="19"/>
      <c r="AA623" s="19"/>
      <c r="AB623" s="19"/>
      <c r="AC623" s="19"/>
      <c r="AD623" s="19"/>
      <c r="AE623" s="19"/>
      <c r="AF623" s="19"/>
      <c r="AG623" s="19"/>
      <c r="AH623" s="19"/>
      <c r="AI623" s="19"/>
      <c r="AJ623" s="19"/>
      <c r="AK623" s="19"/>
      <c r="AL623" s="19"/>
      <c r="AM623" s="19"/>
      <c r="AN623" s="19"/>
      <c r="AO623" s="19"/>
      <c r="AP623" s="19"/>
      <c r="AQ623" s="19"/>
      <c r="AR623" s="19"/>
      <c r="AS623" s="19"/>
      <c r="AT623" s="19"/>
      <c r="AU623" s="19"/>
      <c r="AV623" s="19"/>
      <c r="AW623" s="19"/>
      <c r="AX623" s="19"/>
      <c r="GA623" s="54"/>
    </row>
    <row r="624" spans="1:183" s="18" customFormat="1">
      <c r="A624" s="51"/>
      <c r="B624" s="52"/>
      <c r="C624" s="52"/>
      <c r="D624" s="52"/>
      <c r="E624" s="53"/>
      <c r="F624" s="52"/>
      <c r="G624" s="52"/>
      <c r="H624" s="52"/>
      <c r="I624" s="53"/>
      <c r="J624" s="52"/>
      <c r="K624" s="52"/>
      <c r="L624" s="52"/>
      <c r="M624" s="52"/>
      <c r="N624" s="19"/>
      <c r="O624" s="19"/>
      <c r="P624" s="19"/>
      <c r="Q624" s="19"/>
      <c r="R624" s="19"/>
      <c r="S624" s="19"/>
      <c r="T624" s="19"/>
      <c r="U624" s="19"/>
      <c r="V624" s="19"/>
      <c r="W624" s="19"/>
      <c r="X624" s="19"/>
      <c r="Y624" s="19"/>
      <c r="Z624" s="19"/>
      <c r="AA624" s="19"/>
      <c r="AB624" s="19"/>
      <c r="AC624" s="19"/>
      <c r="AD624" s="19"/>
      <c r="AE624" s="19"/>
      <c r="AF624" s="19"/>
      <c r="AG624" s="19"/>
      <c r="AH624" s="19"/>
      <c r="AI624" s="19"/>
      <c r="AJ624" s="19"/>
      <c r="AK624" s="19"/>
      <c r="AL624" s="19"/>
      <c r="AM624" s="19"/>
      <c r="AN624" s="19"/>
      <c r="AO624" s="19"/>
      <c r="AP624" s="19"/>
      <c r="AQ624" s="19"/>
      <c r="AR624" s="19"/>
      <c r="AS624" s="19"/>
      <c r="AT624" s="19"/>
      <c r="AU624" s="19"/>
      <c r="AV624" s="19"/>
      <c r="AW624" s="19"/>
      <c r="AX624" s="19"/>
      <c r="GA624" s="54"/>
    </row>
    <row r="625" spans="1:183" s="18" customFormat="1">
      <c r="A625" s="51"/>
      <c r="B625" s="52"/>
      <c r="C625" s="52"/>
      <c r="D625" s="52"/>
      <c r="E625" s="53"/>
      <c r="F625" s="52"/>
      <c r="G625" s="52"/>
      <c r="H625" s="52"/>
      <c r="I625" s="53"/>
      <c r="J625" s="52"/>
      <c r="K625" s="52"/>
      <c r="L625" s="52"/>
      <c r="M625" s="52"/>
      <c r="N625" s="19"/>
      <c r="O625" s="19"/>
      <c r="P625" s="19"/>
      <c r="Q625" s="19"/>
      <c r="R625" s="19"/>
      <c r="S625" s="19"/>
      <c r="T625" s="19"/>
      <c r="U625" s="19"/>
      <c r="V625" s="19"/>
      <c r="W625" s="19"/>
      <c r="X625" s="19"/>
      <c r="Y625" s="19"/>
      <c r="Z625" s="19"/>
      <c r="AA625" s="19"/>
      <c r="AB625" s="19"/>
      <c r="AC625" s="19"/>
      <c r="AD625" s="19"/>
      <c r="AE625" s="19"/>
      <c r="AF625" s="19"/>
      <c r="AG625" s="19"/>
      <c r="AH625" s="19"/>
      <c r="AI625" s="19"/>
      <c r="AJ625" s="19"/>
      <c r="AK625" s="19"/>
      <c r="AL625" s="19"/>
      <c r="AM625" s="19"/>
      <c r="AN625" s="19"/>
      <c r="AO625" s="19"/>
      <c r="AP625" s="19"/>
      <c r="AQ625" s="19"/>
      <c r="AR625" s="19"/>
      <c r="AS625" s="19"/>
      <c r="AT625" s="19"/>
      <c r="AU625" s="19"/>
      <c r="AV625" s="19"/>
      <c r="AW625" s="19"/>
      <c r="AX625" s="19"/>
      <c r="GA625" s="54"/>
    </row>
    <row r="626" spans="1:183" s="18" customFormat="1">
      <c r="A626" s="51"/>
      <c r="B626" s="52"/>
      <c r="C626" s="52"/>
      <c r="D626" s="52"/>
      <c r="E626" s="53"/>
      <c r="F626" s="52"/>
      <c r="G626" s="52"/>
      <c r="H626" s="52"/>
      <c r="I626" s="53"/>
      <c r="J626" s="52"/>
      <c r="K626" s="52"/>
      <c r="L626" s="52"/>
      <c r="M626" s="52"/>
      <c r="N626" s="19"/>
      <c r="O626" s="19"/>
      <c r="P626" s="19"/>
      <c r="Q626" s="19"/>
      <c r="R626" s="19"/>
      <c r="S626" s="19"/>
      <c r="T626" s="19"/>
      <c r="U626" s="19"/>
      <c r="V626" s="19"/>
      <c r="W626" s="19"/>
      <c r="X626" s="19"/>
      <c r="Y626" s="19"/>
      <c r="Z626" s="19"/>
      <c r="AA626" s="19"/>
      <c r="AB626" s="19"/>
      <c r="AC626" s="19"/>
      <c r="AD626" s="19"/>
      <c r="AE626" s="19"/>
      <c r="AF626" s="19"/>
      <c r="AG626" s="19"/>
      <c r="AH626" s="19"/>
      <c r="AI626" s="19"/>
      <c r="AJ626" s="19"/>
      <c r="AK626" s="19"/>
      <c r="AL626" s="19"/>
      <c r="AM626" s="19"/>
      <c r="AN626" s="19"/>
      <c r="AO626" s="19"/>
      <c r="AP626" s="19"/>
      <c r="AQ626" s="19"/>
      <c r="AR626" s="19"/>
      <c r="AS626" s="19"/>
      <c r="AT626" s="19"/>
      <c r="AU626" s="19"/>
      <c r="AV626" s="19"/>
      <c r="AW626" s="19"/>
      <c r="AX626" s="19"/>
      <c r="GA626" s="54"/>
    </row>
    <row r="627" spans="1:183" s="18" customFormat="1">
      <c r="A627" s="51"/>
      <c r="B627" s="52"/>
      <c r="C627" s="52"/>
      <c r="D627" s="52"/>
      <c r="E627" s="53"/>
      <c r="F627" s="52"/>
      <c r="G627" s="52"/>
      <c r="H627" s="52"/>
      <c r="I627" s="53"/>
      <c r="J627" s="52"/>
      <c r="K627" s="52"/>
      <c r="L627" s="52"/>
      <c r="M627" s="52"/>
      <c r="N627" s="19"/>
      <c r="O627" s="19"/>
      <c r="P627" s="19"/>
      <c r="Q627" s="19"/>
      <c r="R627" s="19"/>
      <c r="S627" s="19"/>
      <c r="T627" s="19"/>
      <c r="U627" s="19"/>
      <c r="V627" s="19"/>
      <c r="W627" s="19"/>
      <c r="X627" s="19"/>
      <c r="Y627" s="19"/>
      <c r="Z627" s="19"/>
      <c r="AA627" s="19"/>
      <c r="AB627" s="19"/>
      <c r="AC627" s="19"/>
      <c r="AD627" s="19"/>
      <c r="AE627" s="19"/>
      <c r="AF627" s="19"/>
      <c r="AG627" s="19"/>
      <c r="AH627" s="19"/>
      <c r="AI627" s="19"/>
      <c r="AJ627" s="19"/>
      <c r="AK627" s="19"/>
      <c r="AL627" s="19"/>
      <c r="AM627" s="19"/>
      <c r="AN627" s="19"/>
      <c r="AO627" s="19"/>
      <c r="AP627" s="19"/>
      <c r="AQ627" s="19"/>
      <c r="AR627" s="19"/>
      <c r="AS627" s="19"/>
      <c r="AT627" s="19"/>
      <c r="AU627" s="19"/>
      <c r="AV627" s="19"/>
      <c r="AW627" s="19"/>
      <c r="AX627" s="19"/>
      <c r="GA627" s="54"/>
    </row>
    <row r="628" spans="1:183" s="18" customFormat="1">
      <c r="A628" s="51"/>
      <c r="B628" s="52"/>
      <c r="C628" s="52"/>
      <c r="D628" s="52"/>
      <c r="E628" s="53"/>
      <c r="F628" s="52"/>
      <c r="G628" s="52"/>
      <c r="H628" s="52"/>
      <c r="I628" s="53"/>
      <c r="J628" s="52"/>
      <c r="K628" s="52"/>
      <c r="L628" s="52"/>
      <c r="M628" s="52"/>
      <c r="N628" s="19"/>
      <c r="O628" s="19"/>
      <c r="P628" s="19"/>
      <c r="Q628" s="19"/>
      <c r="R628" s="19"/>
      <c r="S628" s="19"/>
      <c r="T628" s="19"/>
      <c r="U628" s="19"/>
      <c r="V628" s="19"/>
      <c r="W628" s="19"/>
      <c r="X628" s="19"/>
      <c r="Y628" s="19"/>
      <c r="Z628" s="19"/>
      <c r="AA628" s="19"/>
      <c r="AB628" s="19"/>
      <c r="AC628" s="19"/>
      <c r="AD628" s="19"/>
      <c r="AE628" s="19"/>
      <c r="AF628" s="19"/>
      <c r="AG628" s="19"/>
      <c r="AH628" s="19"/>
      <c r="AI628" s="19"/>
      <c r="AJ628" s="19"/>
      <c r="AK628" s="19"/>
      <c r="AL628" s="19"/>
      <c r="AM628" s="19"/>
      <c r="AN628" s="19"/>
      <c r="AO628" s="19"/>
      <c r="AP628" s="19"/>
      <c r="AQ628" s="19"/>
      <c r="AR628" s="19"/>
      <c r="AS628" s="19"/>
      <c r="AT628" s="19"/>
      <c r="AU628" s="19"/>
      <c r="AV628" s="19"/>
      <c r="AW628" s="19"/>
      <c r="AX628" s="19"/>
      <c r="GA628" s="54"/>
    </row>
    <row r="629" spans="1:183" s="18" customFormat="1">
      <c r="A629" s="51"/>
      <c r="B629" s="52"/>
      <c r="C629" s="52"/>
      <c r="D629" s="52"/>
      <c r="E629" s="53"/>
      <c r="F629" s="52"/>
      <c r="G629" s="52"/>
      <c r="H629" s="52"/>
      <c r="I629" s="53"/>
      <c r="J629" s="52"/>
      <c r="K629" s="52"/>
      <c r="L629" s="52"/>
      <c r="M629" s="52"/>
      <c r="N629" s="19"/>
      <c r="O629" s="19"/>
      <c r="P629" s="19"/>
      <c r="Q629" s="19"/>
      <c r="R629" s="19"/>
      <c r="S629" s="19"/>
      <c r="T629" s="19"/>
      <c r="U629" s="19"/>
      <c r="V629" s="19"/>
      <c r="W629" s="19"/>
      <c r="X629" s="19"/>
      <c r="Y629" s="19"/>
      <c r="Z629" s="19"/>
      <c r="AA629" s="19"/>
      <c r="AB629" s="19"/>
      <c r="AC629" s="19"/>
      <c r="AD629" s="19"/>
      <c r="AE629" s="19"/>
      <c r="AF629" s="19"/>
      <c r="AG629" s="19"/>
      <c r="AH629" s="19"/>
      <c r="AI629" s="19"/>
      <c r="AJ629" s="19"/>
      <c r="AK629" s="19"/>
      <c r="AL629" s="19"/>
      <c r="AM629" s="19"/>
      <c r="AN629" s="19"/>
      <c r="AO629" s="19"/>
      <c r="AP629" s="19"/>
      <c r="AQ629" s="19"/>
      <c r="AR629" s="19"/>
      <c r="AS629" s="19"/>
      <c r="AT629" s="19"/>
      <c r="AU629" s="19"/>
      <c r="AV629" s="19"/>
      <c r="AW629" s="19"/>
      <c r="AX629" s="19"/>
      <c r="GA629" s="54"/>
    </row>
    <row r="630" spans="1:183" s="18" customFormat="1">
      <c r="A630" s="51"/>
      <c r="B630" s="52"/>
      <c r="C630" s="52"/>
      <c r="D630" s="52"/>
      <c r="E630" s="53"/>
      <c r="F630" s="52"/>
      <c r="G630" s="52"/>
      <c r="H630" s="52"/>
      <c r="I630" s="53"/>
      <c r="J630" s="52"/>
      <c r="K630" s="52"/>
      <c r="L630" s="52"/>
      <c r="M630" s="52"/>
      <c r="N630" s="19"/>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c r="AO630" s="19"/>
      <c r="AP630" s="19"/>
      <c r="AQ630" s="19"/>
      <c r="AR630" s="19"/>
      <c r="AS630" s="19"/>
      <c r="AT630" s="19"/>
      <c r="AU630" s="19"/>
      <c r="AV630" s="19"/>
      <c r="AW630" s="19"/>
      <c r="AX630" s="19"/>
      <c r="GA630" s="54"/>
    </row>
    <row r="631" spans="1:183" s="18" customFormat="1">
      <c r="A631" s="51"/>
      <c r="B631" s="52"/>
      <c r="C631" s="52"/>
      <c r="D631" s="52"/>
      <c r="E631" s="53"/>
      <c r="F631" s="52"/>
      <c r="G631" s="52"/>
      <c r="H631" s="52"/>
      <c r="I631" s="53"/>
      <c r="J631" s="52"/>
      <c r="K631" s="52"/>
      <c r="L631" s="52"/>
      <c r="M631" s="52"/>
      <c r="N631" s="19"/>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c r="AO631" s="19"/>
      <c r="AP631" s="19"/>
      <c r="AQ631" s="19"/>
      <c r="AR631" s="19"/>
      <c r="AS631" s="19"/>
      <c r="AT631" s="19"/>
      <c r="AU631" s="19"/>
      <c r="AV631" s="19"/>
      <c r="AW631" s="19"/>
      <c r="AX631" s="19"/>
      <c r="GA631" s="54"/>
    </row>
    <row r="632" spans="1:183" s="18" customFormat="1">
      <c r="A632" s="51"/>
      <c r="B632" s="52"/>
      <c r="C632" s="52"/>
      <c r="D632" s="52"/>
      <c r="E632" s="53"/>
      <c r="F632" s="52"/>
      <c r="G632" s="52"/>
      <c r="H632" s="52"/>
      <c r="I632" s="53"/>
      <c r="J632" s="52"/>
      <c r="K632" s="52"/>
      <c r="L632" s="52"/>
      <c r="M632" s="52"/>
      <c r="N632" s="19"/>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c r="AO632" s="19"/>
      <c r="AP632" s="19"/>
      <c r="AQ632" s="19"/>
      <c r="AR632" s="19"/>
      <c r="AS632" s="19"/>
      <c r="AT632" s="19"/>
      <c r="AU632" s="19"/>
      <c r="AV632" s="19"/>
      <c r="AW632" s="19"/>
      <c r="AX632" s="19"/>
      <c r="GA632" s="54"/>
    </row>
    <row r="633" spans="1:183" s="18" customFormat="1">
      <c r="A633" s="51"/>
      <c r="B633" s="52"/>
      <c r="C633" s="52"/>
      <c r="D633" s="52"/>
      <c r="E633" s="53"/>
      <c r="F633" s="52"/>
      <c r="G633" s="52"/>
      <c r="H633" s="52"/>
      <c r="I633" s="53"/>
      <c r="J633" s="52"/>
      <c r="K633" s="52"/>
      <c r="L633" s="52"/>
      <c r="M633" s="52"/>
      <c r="N633" s="19"/>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c r="AO633" s="19"/>
      <c r="AP633" s="19"/>
      <c r="AQ633" s="19"/>
      <c r="AR633" s="19"/>
      <c r="AS633" s="19"/>
      <c r="AT633" s="19"/>
      <c r="AU633" s="19"/>
      <c r="AV633" s="19"/>
      <c r="AW633" s="19"/>
      <c r="AX633" s="19"/>
      <c r="GA633" s="54"/>
    </row>
    <row r="634" spans="1:183" s="18" customFormat="1">
      <c r="A634" s="51"/>
      <c r="B634" s="52"/>
      <c r="C634" s="52"/>
      <c r="D634" s="52"/>
      <c r="E634" s="53"/>
      <c r="F634" s="52"/>
      <c r="G634" s="52"/>
      <c r="H634" s="52"/>
      <c r="I634" s="53"/>
      <c r="J634" s="52"/>
      <c r="K634" s="52"/>
      <c r="L634" s="52"/>
      <c r="M634" s="52"/>
      <c r="N634" s="19"/>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c r="AO634" s="19"/>
      <c r="AP634" s="19"/>
      <c r="AQ634" s="19"/>
      <c r="AR634" s="19"/>
      <c r="AS634" s="19"/>
      <c r="AT634" s="19"/>
      <c r="AU634" s="19"/>
      <c r="AV634" s="19"/>
      <c r="AW634" s="19"/>
      <c r="AX634" s="19"/>
      <c r="GA634" s="54"/>
    </row>
    <row r="635" spans="1:183" s="18" customFormat="1">
      <c r="A635" s="51"/>
      <c r="B635" s="52"/>
      <c r="C635" s="52"/>
      <c r="D635" s="52"/>
      <c r="E635" s="53"/>
      <c r="F635" s="52"/>
      <c r="G635" s="52"/>
      <c r="H635" s="52"/>
      <c r="I635" s="53"/>
      <c r="J635" s="52"/>
      <c r="K635" s="52"/>
      <c r="L635" s="52"/>
      <c r="M635" s="52"/>
      <c r="N635" s="19"/>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c r="AO635" s="19"/>
      <c r="AP635" s="19"/>
      <c r="AQ635" s="19"/>
      <c r="AR635" s="19"/>
      <c r="AS635" s="19"/>
      <c r="AT635" s="19"/>
      <c r="AU635" s="19"/>
      <c r="AV635" s="19"/>
      <c r="AW635" s="19"/>
      <c r="AX635" s="19"/>
      <c r="GA635" s="54"/>
    </row>
    <row r="636" spans="1:183" s="18" customFormat="1">
      <c r="A636" s="51"/>
      <c r="B636" s="52"/>
      <c r="C636" s="52"/>
      <c r="D636" s="52"/>
      <c r="E636" s="53"/>
      <c r="F636" s="52"/>
      <c r="G636" s="52"/>
      <c r="H636" s="52"/>
      <c r="I636" s="53"/>
      <c r="J636" s="52"/>
      <c r="K636" s="52"/>
      <c r="L636" s="52"/>
      <c r="M636" s="52"/>
      <c r="N636" s="19"/>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c r="AO636" s="19"/>
      <c r="AP636" s="19"/>
      <c r="AQ636" s="19"/>
      <c r="AR636" s="19"/>
      <c r="AS636" s="19"/>
      <c r="AT636" s="19"/>
      <c r="AU636" s="19"/>
      <c r="AV636" s="19"/>
      <c r="AW636" s="19"/>
      <c r="AX636" s="19"/>
      <c r="GA636" s="54"/>
    </row>
    <row r="637" spans="1:183" s="18" customFormat="1">
      <c r="A637" s="51"/>
      <c r="B637" s="52"/>
      <c r="C637" s="52"/>
      <c r="D637" s="52"/>
      <c r="E637" s="53"/>
      <c r="F637" s="52"/>
      <c r="G637" s="52"/>
      <c r="H637" s="52"/>
      <c r="I637" s="53"/>
      <c r="J637" s="52"/>
      <c r="K637" s="52"/>
      <c r="L637" s="52"/>
      <c r="M637" s="52"/>
      <c r="N637" s="19"/>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c r="AO637" s="19"/>
      <c r="AP637" s="19"/>
      <c r="AQ637" s="19"/>
      <c r="AR637" s="19"/>
      <c r="AS637" s="19"/>
      <c r="AT637" s="19"/>
      <c r="AU637" s="19"/>
      <c r="AV637" s="19"/>
      <c r="AW637" s="19"/>
      <c r="AX637" s="19"/>
      <c r="GA637" s="54"/>
    </row>
    <row r="638" spans="1:183" s="18" customFormat="1">
      <c r="A638" s="51"/>
      <c r="B638" s="52"/>
      <c r="C638" s="52"/>
      <c r="D638" s="52"/>
      <c r="E638" s="53"/>
      <c r="F638" s="52"/>
      <c r="G638" s="52"/>
      <c r="H638" s="52"/>
      <c r="I638" s="53"/>
      <c r="J638" s="52"/>
      <c r="K638" s="52"/>
      <c r="L638" s="52"/>
      <c r="M638" s="52"/>
      <c r="N638" s="19"/>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c r="AO638" s="19"/>
      <c r="AP638" s="19"/>
      <c r="AQ638" s="19"/>
      <c r="AR638" s="19"/>
      <c r="AS638" s="19"/>
      <c r="AT638" s="19"/>
      <c r="AU638" s="19"/>
      <c r="AV638" s="19"/>
      <c r="AW638" s="19"/>
      <c r="AX638" s="19"/>
      <c r="GA638" s="54"/>
    </row>
    <row r="639" spans="1:183" s="18" customFormat="1">
      <c r="A639" s="51"/>
      <c r="B639" s="52"/>
      <c r="C639" s="52"/>
      <c r="D639" s="52"/>
      <c r="E639" s="53"/>
      <c r="F639" s="52"/>
      <c r="G639" s="52"/>
      <c r="H639" s="52"/>
      <c r="I639" s="53"/>
      <c r="J639" s="52"/>
      <c r="K639" s="52"/>
      <c r="L639" s="52"/>
      <c r="M639" s="52"/>
      <c r="N639" s="19"/>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c r="AO639" s="19"/>
      <c r="AP639" s="19"/>
      <c r="AQ639" s="19"/>
      <c r="AR639" s="19"/>
      <c r="AS639" s="19"/>
      <c r="AT639" s="19"/>
      <c r="AU639" s="19"/>
      <c r="AV639" s="19"/>
      <c r="AW639" s="19"/>
      <c r="AX639" s="19"/>
      <c r="GA639" s="54"/>
    </row>
    <row r="640" spans="1:183" s="18" customFormat="1">
      <c r="A640" s="51"/>
      <c r="B640" s="52"/>
      <c r="C640" s="52"/>
      <c r="D640" s="52"/>
      <c r="E640" s="53"/>
      <c r="F640" s="52"/>
      <c r="G640" s="52"/>
      <c r="H640" s="52"/>
      <c r="I640" s="53"/>
      <c r="J640" s="52"/>
      <c r="K640" s="52"/>
      <c r="L640" s="52"/>
      <c r="M640" s="52"/>
      <c r="N640" s="19"/>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c r="AO640" s="19"/>
      <c r="AP640" s="19"/>
      <c r="AQ640" s="19"/>
      <c r="AR640" s="19"/>
      <c r="AS640" s="19"/>
      <c r="AT640" s="19"/>
      <c r="AU640" s="19"/>
      <c r="AV640" s="19"/>
      <c r="AW640" s="19"/>
      <c r="AX640" s="19"/>
      <c r="GA640" s="54"/>
    </row>
    <row r="641" spans="1:183" s="18" customFormat="1">
      <c r="A641" s="51"/>
      <c r="B641" s="52"/>
      <c r="C641" s="52"/>
      <c r="D641" s="52"/>
      <c r="E641" s="53"/>
      <c r="F641" s="52"/>
      <c r="G641" s="52"/>
      <c r="H641" s="52"/>
      <c r="I641" s="53"/>
      <c r="J641" s="52"/>
      <c r="K641" s="52"/>
      <c r="L641" s="52"/>
      <c r="M641" s="52"/>
      <c r="N641" s="19"/>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c r="AO641" s="19"/>
      <c r="AP641" s="19"/>
      <c r="AQ641" s="19"/>
      <c r="AR641" s="19"/>
      <c r="AS641" s="19"/>
      <c r="AT641" s="19"/>
      <c r="AU641" s="19"/>
      <c r="AV641" s="19"/>
      <c r="AW641" s="19"/>
      <c r="AX641" s="19"/>
      <c r="GA641" s="54"/>
    </row>
    <row r="642" spans="1:183" s="18" customFormat="1">
      <c r="A642" s="51"/>
      <c r="B642" s="52"/>
      <c r="C642" s="52"/>
      <c r="D642" s="52"/>
      <c r="E642" s="53"/>
      <c r="F642" s="52"/>
      <c r="G642" s="52"/>
      <c r="H642" s="52"/>
      <c r="I642" s="53"/>
      <c r="J642" s="52"/>
      <c r="K642" s="52"/>
      <c r="L642" s="52"/>
      <c r="M642" s="52"/>
      <c r="N642" s="19"/>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c r="AO642" s="19"/>
      <c r="AP642" s="19"/>
      <c r="AQ642" s="19"/>
      <c r="AR642" s="19"/>
      <c r="AS642" s="19"/>
      <c r="AT642" s="19"/>
      <c r="AU642" s="19"/>
      <c r="AV642" s="19"/>
      <c r="AW642" s="19"/>
      <c r="AX642" s="19"/>
      <c r="GA642" s="54"/>
    </row>
    <row r="643" spans="1:183" s="18" customFormat="1">
      <c r="A643" s="51"/>
      <c r="B643" s="52"/>
      <c r="C643" s="52"/>
      <c r="D643" s="52"/>
      <c r="E643" s="53"/>
      <c r="F643" s="52"/>
      <c r="G643" s="52"/>
      <c r="H643" s="52"/>
      <c r="I643" s="53"/>
      <c r="J643" s="52"/>
      <c r="K643" s="52"/>
      <c r="L643" s="52"/>
      <c r="M643" s="52"/>
      <c r="N643" s="19"/>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c r="AO643" s="19"/>
      <c r="AP643" s="19"/>
      <c r="AQ643" s="19"/>
      <c r="AR643" s="19"/>
      <c r="AS643" s="19"/>
      <c r="AT643" s="19"/>
      <c r="AU643" s="19"/>
      <c r="AV643" s="19"/>
      <c r="AW643" s="19"/>
      <c r="AX643" s="19"/>
      <c r="GA643" s="54"/>
    </row>
    <row r="644" spans="1:183" s="18" customFormat="1">
      <c r="A644" s="51"/>
      <c r="B644" s="52"/>
      <c r="C644" s="52"/>
      <c r="D644" s="52"/>
      <c r="E644" s="53"/>
      <c r="F644" s="52"/>
      <c r="G644" s="52"/>
      <c r="H644" s="52"/>
      <c r="I644" s="53"/>
      <c r="J644" s="52"/>
      <c r="K644" s="52"/>
      <c r="L644" s="52"/>
      <c r="M644" s="52"/>
      <c r="N644" s="19"/>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c r="AO644" s="19"/>
      <c r="AP644" s="19"/>
      <c r="AQ644" s="19"/>
      <c r="AR644" s="19"/>
      <c r="AS644" s="19"/>
      <c r="AT644" s="19"/>
      <c r="AU644" s="19"/>
      <c r="AV644" s="19"/>
      <c r="AW644" s="19"/>
      <c r="AX644" s="19"/>
      <c r="GA644" s="54"/>
    </row>
    <row r="645" spans="1:183" s="18" customFormat="1">
      <c r="A645" s="51"/>
      <c r="B645" s="52"/>
      <c r="C645" s="52"/>
      <c r="D645" s="52"/>
      <c r="E645" s="53"/>
      <c r="F645" s="52"/>
      <c r="G645" s="52"/>
      <c r="H645" s="52"/>
      <c r="I645" s="53"/>
      <c r="J645" s="52"/>
      <c r="K645" s="52"/>
      <c r="L645" s="52"/>
      <c r="M645" s="52"/>
      <c r="N645" s="19"/>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c r="AO645" s="19"/>
      <c r="AP645" s="19"/>
      <c r="AQ645" s="19"/>
      <c r="AR645" s="19"/>
      <c r="AS645" s="19"/>
      <c r="AT645" s="19"/>
      <c r="AU645" s="19"/>
      <c r="AV645" s="19"/>
      <c r="AW645" s="19"/>
      <c r="AX645" s="19"/>
      <c r="GA645" s="54"/>
    </row>
    <row r="646" spans="1:183" s="18" customFormat="1">
      <c r="A646" s="51"/>
      <c r="B646" s="52"/>
      <c r="C646" s="52"/>
      <c r="D646" s="52"/>
      <c r="E646" s="53"/>
      <c r="F646" s="52"/>
      <c r="G646" s="52"/>
      <c r="H646" s="52"/>
      <c r="I646" s="53"/>
      <c r="J646" s="52"/>
      <c r="K646" s="52"/>
      <c r="L646" s="52"/>
      <c r="M646" s="52"/>
      <c r="N646" s="19"/>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c r="AO646" s="19"/>
      <c r="AP646" s="19"/>
      <c r="AQ646" s="19"/>
      <c r="AR646" s="19"/>
      <c r="AS646" s="19"/>
      <c r="AT646" s="19"/>
      <c r="AU646" s="19"/>
      <c r="AV646" s="19"/>
      <c r="AW646" s="19"/>
      <c r="AX646" s="19"/>
      <c r="GA646" s="54"/>
    </row>
    <row r="647" spans="1:183" s="18" customFormat="1">
      <c r="A647" s="51"/>
      <c r="B647" s="52"/>
      <c r="C647" s="52"/>
      <c r="D647" s="52"/>
      <c r="E647" s="53"/>
      <c r="F647" s="52"/>
      <c r="G647" s="52"/>
      <c r="H647" s="52"/>
      <c r="I647" s="53"/>
      <c r="J647" s="52"/>
      <c r="K647" s="52"/>
      <c r="L647" s="52"/>
      <c r="M647" s="52"/>
      <c r="N647" s="19"/>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c r="AO647" s="19"/>
      <c r="AP647" s="19"/>
      <c r="AQ647" s="19"/>
      <c r="AR647" s="19"/>
      <c r="AS647" s="19"/>
      <c r="AT647" s="19"/>
      <c r="AU647" s="19"/>
      <c r="AV647" s="19"/>
      <c r="AW647" s="19"/>
      <c r="AX647" s="19"/>
      <c r="GA647" s="54"/>
    </row>
    <row r="648" spans="1:183" s="18" customFormat="1">
      <c r="A648" s="51"/>
      <c r="B648" s="52"/>
      <c r="C648" s="52"/>
      <c r="D648" s="52"/>
      <c r="E648" s="53"/>
      <c r="F648" s="52"/>
      <c r="G648" s="52"/>
      <c r="H648" s="52"/>
      <c r="I648" s="53"/>
      <c r="J648" s="52"/>
      <c r="K648" s="52"/>
      <c r="L648" s="52"/>
      <c r="M648" s="52"/>
      <c r="N648" s="19"/>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c r="AO648" s="19"/>
      <c r="AP648" s="19"/>
      <c r="AQ648" s="19"/>
      <c r="AR648" s="19"/>
      <c r="AS648" s="19"/>
      <c r="AT648" s="19"/>
      <c r="AU648" s="19"/>
      <c r="AV648" s="19"/>
      <c r="AW648" s="19"/>
      <c r="AX648" s="19"/>
      <c r="GA648" s="54"/>
    </row>
    <row r="649" spans="1:183" s="18" customFormat="1">
      <c r="A649" s="51"/>
      <c r="B649" s="52"/>
      <c r="C649" s="52"/>
      <c r="D649" s="52"/>
      <c r="E649" s="53"/>
      <c r="F649" s="52"/>
      <c r="G649" s="52"/>
      <c r="H649" s="52"/>
      <c r="I649" s="53"/>
      <c r="J649" s="52"/>
      <c r="K649" s="52"/>
      <c r="L649" s="52"/>
      <c r="M649" s="52"/>
      <c r="N649" s="19"/>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c r="AO649" s="19"/>
      <c r="AP649" s="19"/>
      <c r="AQ649" s="19"/>
      <c r="AR649" s="19"/>
      <c r="AS649" s="19"/>
      <c r="AT649" s="19"/>
      <c r="AU649" s="19"/>
      <c r="AV649" s="19"/>
      <c r="AW649" s="19"/>
      <c r="AX649" s="19"/>
      <c r="GA649" s="54"/>
    </row>
    <row r="650" spans="1:183" s="18" customFormat="1">
      <c r="A650" s="51"/>
      <c r="B650" s="52"/>
      <c r="C650" s="52"/>
      <c r="D650" s="52"/>
      <c r="E650" s="53"/>
      <c r="F650" s="52"/>
      <c r="G650" s="52"/>
      <c r="H650" s="52"/>
      <c r="I650" s="53"/>
      <c r="J650" s="52"/>
      <c r="K650" s="52"/>
      <c r="L650" s="52"/>
      <c r="M650" s="52"/>
      <c r="N650" s="19"/>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c r="AO650" s="19"/>
      <c r="AP650" s="19"/>
      <c r="AQ650" s="19"/>
      <c r="AR650" s="19"/>
      <c r="AS650" s="19"/>
      <c r="AT650" s="19"/>
      <c r="AU650" s="19"/>
      <c r="AV650" s="19"/>
      <c r="AW650" s="19"/>
      <c r="AX650" s="19"/>
      <c r="GA650" s="54"/>
    </row>
    <row r="651" spans="1:183" s="18" customFormat="1">
      <c r="A651" s="51"/>
      <c r="B651" s="52"/>
      <c r="C651" s="52"/>
      <c r="D651" s="52"/>
      <c r="E651" s="53"/>
      <c r="F651" s="52"/>
      <c r="G651" s="52"/>
      <c r="H651" s="52"/>
      <c r="I651" s="53"/>
      <c r="J651" s="52"/>
      <c r="K651" s="52"/>
      <c r="L651" s="52"/>
      <c r="M651" s="52"/>
      <c r="N651" s="19"/>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c r="AO651" s="19"/>
      <c r="AP651" s="19"/>
      <c r="AQ651" s="19"/>
      <c r="AR651" s="19"/>
      <c r="AS651" s="19"/>
      <c r="AT651" s="19"/>
      <c r="AU651" s="19"/>
      <c r="AV651" s="19"/>
      <c r="AW651" s="19"/>
      <c r="AX651" s="19"/>
      <c r="GA651" s="54"/>
    </row>
    <row r="652" spans="1:183" s="18" customFormat="1">
      <c r="A652" s="51"/>
      <c r="B652" s="52"/>
      <c r="C652" s="52"/>
      <c r="D652" s="52"/>
      <c r="E652" s="53"/>
      <c r="F652" s="52"/>
      <c r="G652" s="52"/>
      <c r="H652" s="52"/>
      <c r="I652" s="53"/>
      <c r="J652" s="52"/>
      <c r="K652" s="52"/>
      <c r="L652" s="52"/>
      <c r="M652" s="52"/>
      <c r="N652" s="19"/>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c r="AO652" s="19"/>
      <c r="AP652" s="19"/>
      <c r="AQ652" s="19"/>
      <c r="AR652" s="19"/>
      <c r="AS652" s="19"/>
      <c r="AT652" s="19"/>
      <c r="AU652" s="19"/>
      <c r="AV652" s="19"/>
      <c r="AW652" s="19"/>
      <c r="AX652" s="19"/>
      <c r="GA652" s="54"/>
    </row>
    <row r="653" spans="1:183" s="18" customFormat="1">
      <c r="A653" s="51"/>
      <c r="B653" s="52"/>
      <c r="C653" s="52"/>
      <c r="D653" s="52"/>
      <c r="E653" s="53"/>
      <c r="F653" s="52"/>
      <c r="G653" s="52"/>
      <c r="H653" s="52"/>
      <c r="I653" s="53"/>
      <c r="J653" s="52"/>
      <c r="K653" s="52"/>
      <c r="L653" s="52"/>
      <c r="M653" s="52"/>
      <c r="N653" s="19"/>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c r="AO653" s="19"/>
      <c r="AP653" s="19"/>
      <c r="AQ653" s="19"/>
      <c r="AR653" s="19"/>
      <c r="AS653" s="19"/>
      <c r="AT653" s="19"/>
      <c r="AU653" s="19"/>
      <c r="AV653" s="19"/>
      <c r="AW653" s="19"/>
      <c r="AX653" s="19"/>
      <c r="GA653" s="54"/>
    </row>
    <row r="654" spans="1:183" s="18" customFormat="1">
      <c r="A654" s="51"/>
      <c r="B654" s="52"/>
      <c r="C654" s="52"/>
      <c r="D654" s="52"/>
      <c r="E654" s="53"/>
      <c r="F654" s="52"/>
      <c r="G654" s="52"/>
      <c r="H654" s="52"/>
      <c r="I654" s="53"/>
      <c r="J654" s="52"/>
      <c r="K654" s="52"/>
      <c r="L654" s="52"/>
      <c r="M654" s="52"/>
      <c r="N654" s="19"/>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c r="AO654" s="19"/>
      <c r="AP654" s="19"/>
      <c r="AQ654" s="19"/>
      <c r="AR654" s="19"/>
      <c r="AS654" s="19"/>
      <c r="AT654" s="19"/>
      <c r="AU654" s="19"/>
      <c r="AV654" s="19"/>
      <c r="AW654" s="19"/>
      <c r="AX654" s="19"/>
      <c r="GA654" s="54"/>
    </row>
    <row r="655" spans="1:183" s="18" customFormat="1">
      <c r="A655" s="51"/>
      <c r="B655" s="52"/>
      <c r="C655" s="52"/>
      <c r="D655" s="52"/>
      <c r="E655" s="53"/>
      <c r="F655" s="52"/>
      <c r="G655" s="52"/>
      <c r="H655" s="52"/>
      <c r="I655" s="53"/>
      <c r="J655" s="52"/>
      <c r="K655" s="52"/>
      <c r="L655" s="52"/>
      <c r="M655" s="52"/>
      <c r="N655" s="19"/>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c r="AO655" s="19"/>
      <c r="AP655" s="19"/>
      <c r="AQ655" s="19"/>
      <c r="AR655" s="19"/>
      <c r="AS655" s="19"/>
      <c r="AT655" s="19"/>
      <c r="AU655" s="19"/>
      <c r="AV655" s="19"/>
      <c r="AW655" s="19"/>
      <c r="AX655" s="19"/>
      <c r="GA655" s="54"/>
    </row>
    <row r="656" spans="1:183" s="18" customFormat="1">
      <c r="A656" s="51"/>
      <c r="B656" s="52"/>
      <c r="C656" s="52"/>
      <c r="D656" s="52"/>
      <c r="E656" s="53"/>
      <c r="F656" s="52"/>
      <c r="G656" s="52"/>
      <c r="H656" s="52"/>
      <c r="I656" s="53"/>
      <c r="J656" s="52"/>
      <c r="K656" s="52"/>
      <c r="L656" s="52"/>
      <c r="M656" s="52"/>
      <c r="N656" s="19"/>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c r="AO656" s="19"/>
      <c r="AP656" s="19"/>
      <c r="AQ656" s="19"/>
      <c r="AR656" s="19"/>
      <c r="AS656" s="19"/>
      <c r="AT656" s="19"/>
      <c r="AU656" s="19"/>
      <c r="AV656" s="19"/>
      <c r="AW656" s="19"/>
      <c r="AX656" s="19"/>
      <c r="GA656" s="54"/>
    </row>
    <row r="657" spans="1:183" s="18" customFormat="1">
      <c r="A657" s="51"/>
      <c r="B657" s="52"/>
      <c r="C657" s="52"/>
      <c r="D657" s="52"/>
      <c r="E657" s="53"/>
      <c r="F657" s="52"/>
      <c r="G657" s="52"/>
      <c r="H657" s="52"/>
      <c r="I657" s="53"/>
      <c r="J657" s="52"/>
      <c r="K657" s="52"/>
      <c r="L657" s="52"/>
      <c r="M657" s="52"/>
      <c r="N657" s="19"/>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c r="AO657" s="19"/>
      <c r="AP657" s="19"/>
      <c r="AQ657" s="19"/>
      <c r="AR657" s="19"/>
      <c r="AS657" s="19"/>
      <c r="AT657" s="19"/>
      <c r="AU657" s="19"/>
      <c r="AV657" s="19"/>
      <c r="AW657" s="19"/>
      <c r="AX657" s="19"/>
      <c r="GA657" s="54"/>
    </row>
    <row r="658" spans="1:183" s="18" customFormat="1">
      <c r="A658" s="51"/>
      <c r="B658" s="52"/>
      <c r="C658" s="52"/>
      <c r="D658" s="52"/>
      <c r="E658" s="53"/>
      <c r="F658" s="52"/>
      <c r="G658" s="52"/>
      <c r="H658" s="52"/>
      <c r="I658" s="53"/>
      <c r="J658" s="52"/>
      <c r="K658" s="52"/>
      <c r="L658" s="52"/>
      <c r="M658" s="52"/>
      <c r="N658" s="19"/>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c r="AO658" s="19"/>
      <c r="AP658" s="19"/>
      <c r="AQ658" s="19"/>
      <c r="AR658" s="19"/>
      <c r="AS658" s="19"/>
      <c r="AT658" s="19"/>
      <c r="AU658" s="19"/>
      <c r="AV658" s="19"/>
      <c r="AW658" s="19"/>
      <c r="AX658" s="19"/>
      <c r="GA658" s="54"/>
    </row>
    <row r="659" spans="1:183" s="18" customFormat="1">
      <c r="A659" s="51"/>
      <c r="B659" s="52"/>
      <c r="C659" s="52"/>
      <c r="D659" s="52"/>
      <c r="E659" s="53"/>
      <c r="F659" s="52"/>
      <c r="G659" s="52"/>
      <c r="H659" s="52"/>
      <c r="I659" s="53"/>
      <c r="J659" s="52"/>
      <c r="K659" s="52"/>
      <c r="L659" s="52"/>
      <c r="M659" s="52"/>
      <c r="N659" s="19"/>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c r="AO659" s="19"/>
      <c r="AP659" s="19"/>
      <c r="AQ659" s="19"/>
      <c r="AR659" s="19"/>
      <c r="AS659" s="19"/>
      <c r="AT659" s="19"/>
      <c r="AU659" s="19"/>
      <c r="AV659" s="19"/>
      <c r="AW659" s="19"/>
      <c r="AX659" s="19"/>
      <c r="GA659" s="54"/>
    </row>
    <row r="660" spans="1:183" s="18" customFormat="1">
      <c r="A660" s="51"/>
      <c r="B660" s="52"/>
      <c r="C660" s="52"/>
      <c r="D660" s="52"/>
      <c r="E660" s="53"/>
      <c r="F660" s="52"/>
      <c r="G660" s="52"/>
      <c r="H660" s="52"/>
      <c r="I660" s="53"/>
      <c r="J660" s="52"/>
      <c r="K660" s="52"/>
      <c r="L660" s="52"/>
      <c r="M660" s="52"/>
      <c r="N660" s="19"/>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c r="AO660" s="19"/>
      <c r="AP660" s="19"/>
      <c r="AQ660" s="19"/>
      <c r="AR660" s="19"/>
      <c r="AS660" s="19"/>
      <c r="AT660" s="19"/>
      <c r="AU660" s="19"/>
      <c r="AV660" s="19"/>
      <c r="AW660" s="19"/>
      <c r="AX660" s="19"/>
      <c r="GA660" s="54"/>
    </row>
    <row r="661" spans="1:183" s="18" customFormat="1">
      <c r="A661" s="51"/>
      <c r="B661" s="52"/>
      <c r="C661" s="52"/>
      <c r="D661" s="52"/>
      <c r="E661" s="53"/>
      <c r="F661" s="52"/>
      <c r="G661" s="52"/>
      <c r="H661" s="52"/>
      <c r="I661" s="53"/>
      <c r="J661" s="52"/>
      <c r="K661" s="52"/>
      <c r="L661" s="52"/>
      <c r="M661" s="52"/>
      <c r="N661" s="19"/>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c r="AO661" s="19"/>
      <c r="AP661" s="19"/>
      <c r="AQ661" s="19"/>
      <c r="AR661" s="19"/>
      <c r="AS661" s="19"/>
      <c r="AT661" s="19"/>
      <c r="AU661" s="19"/>
      <c r="AV661" s="19"/>
      <c r="AW661" s="19"/>
      <c r="AX661" s="19"/>
      <c r="GA661" s="54"/>
    </row>
    <row r="662" spans="1:183" s="18" customFormat="1">
      <c r="A662" s="51"/>
      <c r="B662" s="52"/>
      <c r="C662" s="52"/>
      <c r="D662" s="52"/>
      <c r="E662" s="53"/>
      <c r="F662" s="52"/>
      <c r="G662" s="52"/>
      <c r="H662" s="52"/>
      <c r="I662" s="53"/>
      <c r="J662" s="52"/>
      <c r="K662" s="52"/>
      <c r="L662" s="52"/>
      <c r="M662" s="52"/>
      <c r="N662" s="19"/>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c r="AO662" s="19"/>
      <c r="AP662" s="19"/>
      <c r="AQ662" s="19"/>
      <c r="AR662" s="19"/>
      <c r="AS662" s="19"/>
      <c r="AT662" s="19"/>
      <c r="AU662" s="19"/>
      <c r="AV662" s="19"/>
      <c r="AW662" s="19"/>
      <c r="AX662" s="19"/>
      <c r="GA662" s="54"/>
    </row>
    <row r="663" spans="1:183" s="18" customFormat="1">
      <c r="A663" s="51"/>
      <c r="B663" s="52"/>
      <c r="C663" s="52"/>
      <c r="D663" s="52"/>
      <c r="E663" s="53"/>
      <c r="F663" s="52"/>
      <c r="G663" s="52"/>
      <c r="H663" s="52"/>
      <c r="I663" s="53"/>
      <c r="J663" s="52"/>
      <c r="K663" s="52"/>
      <c r="L663" s="52"/>
      <c r="M663" s="52"/>
      <c r="N663" s="19"/>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c r="AO663" s="19"/>
      <c r="AP663" s="19"/>
      <c r="AQ663" s="19"/>
      <c r="AR663" s="19"/>
      <c r="AS663" s="19"/>
      <c r="AT663" s="19"/>
      <c r="AU663" s="19"/>
      <c r="AV663" s="19"/>
      <c r="AW663" s="19"/>
      <c r="AX663" s="19"/>
      <c r="GA663" s="54"/>
    </row>
    <row r="664" spans="1:183" s="18" customFormat="1">
      <c r="A664" s="51"/>
      <c r="B664" s="52"/>
      <c r="C664" s="52"/>
      <c r="D664" s="52"/>
      <c r="E664" s="53"/>
      <c r="F664" s="52"/>
      <c r="G664" s="52"/>
      <c r="H664" s="52"/>
      <c r="I664" s="53"/>
      <c r="J664" s="52"/>
      <c r="K664" s="52"/>
      <c r="L664" s="52"/>
      <c r="M664" s="52"/>
      <c r="N664" s="19"/>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c r="AO664" s="19"/>
      <c r="AP664" s="19"/>
      <c r="AQ664" s="19"/>
      <c r="AR664" s="19"/>
      <c r="AS664" s="19"/>
      <c r="AT664" s="19"/>
      <c r="AU664" s="19"/>
      <c r="AV664" s="19"/>
      <c r="AW664" s="19"/>
      <c r="AX664" s="19"/>
      <c r="GA664" s="54"/>
    </row>
    <row r="665" spans="1:183" s="18" customFormat="1">
      <c r="A665" s="51"/>
      <c r="B665" s="52"/>
      <c r="C665" s="52"/>
      <c r="D665" s="52"/>
      <c r="E665" s="53"/>
      <c r="F665" s="52"/>
      <c r="G665" s="52"/>
      <c r="H665" s="52"/>
      <c r="I665" s="53"/>
      <c r="J665" s="52"/>
      <c r="K665" s="52"/>
      <c r="L665" s="52"/>
      <c r="M665" s="52"/>
      <c r="N665" s="19"/>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c r="AO665" s="19"/>
      <c r="AP665" s="19"/>
      <c r="AQ665" s="19"/>
      <c r="AR665" s="19"/>
      <c r="AS665" s="19"/>
      <c r="AT665" s="19"/>
      <c r="AU665" s="19"/>
      <c r="AV665" s="19"/>
      <c r="AW665" s="19"/>
      <c r="AX665" s="19"/>
      <c r="GA665" s="54"/>
    </row>
    <row r="666" spans="1:183" s="18" customFormat="1">
      <c r="A666" s="51"/>
      <c r="B666" s="52"/>
      <c r="C666" s="52"/>
      <c r="D666" s="52"/>
      <c r="E666" s="53"/>
      <c r="F666" s="52"/>
      <c r="G666" s="52"/>
      <c r="H666" s="52"/>
      <c r="I666" s="53"/>
      <c r="J666" s="52"/>
      <c r="K666" s="52"/>
      <c r="L666" s="52"/>
      <c r="M666" s="52"/>
      <c r="N666" s="19"/>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c r="AO666" s="19"/>
      <c r="AP666" s="19"/>
      <c r="AQ666" s="19"/>
      <c r="AR666" s="19"/>
      <c r="AS666" s="19"/>
      <c r="AT666" s="19"/>
      <c r="AU666" s="19"/>
      <c r="AV666" s="19"/>
      <c r="AW666" s="19"/>
      <c r="AX666" s="19"/>
      <c r="GA666" s="54"/>
    </row>
    <row r="667" spans="1:183" s="18" customFormat="1">
      <c r="A667" s="51"/>
      <c r="B667" s="52"/>
      <c r="C667" s="52"/>
      <c r="D667" s="52"/>
      <c r="E667" s="53"/>
      <c r="F667" s="52"/>
      <c r="G667" s="52"/>
      <c r="H667" s="52"/>
      <c r="I667" s="53"/>
      <c r="J667" s="52"/>
      <c r="K667" s="52"/>
      <c r="L667" s="52"/>
      <c r="M667" s="52"/>
      <c r="N667" s="19"/>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c r="AO667" s="19"/>
      <c r="AP667" s="19"/>
      <c r="AQ667" s="19"/>
      <c r="AR667" s="19"/>
      <c r="AS667" s="19"/>
      <c r="AT667" s="19"/>
      <c r="AU667" s="19"/>
      <c r="AV667" s="19"/>
      <c r="AW667" s="19"/>
      <c r="AX667" s="19"/>
      <c r="GA667" s="54"/>
    </row>
    <row r="668" spans="1:183" s="18" customFormat="1">
      <c r="A668" s="51"/>
      <c r="B668" s="52"/>
      <c r="C668" s="52"/>
      <c r="D668" s="52"/>
      <c r="E668" s="53"/>
      <c r="F668" s="52"/>
      <c r="G668" s="52"/>
      <c r="H668" s="52"/>
      <c r="I668" s="53"/>
      <c r="J668" s="52"/>
      <c r="K668" s="52"/>
      <c r="L668" s="52"/>
      <c r="M668" s="52"/>
      <c r="N668" s="19"/>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c r="AO668" s="19"/>
      <c r="AP668" s="19"/>
      <c r="AQ668" s="19"/>
      <c r="AR668" s="19"/>
      <c r="AS668" s="19"/>
      <c r="AT668" s="19"/>
      <c r="AU668" s="19"/>
      <c r="AV668" s="19"/>
      <c r="AW668" s="19"/>
      <c r="AX668" s="19"/>
      <c r="GA668" s="54"/>
    </row>
    <row r="669" spans="1:183" s="18" customFormat="1">
      <c r="A669" s="51"/>
      <c r="B669" s="52"/>
      <c r="C669" s="52"/>
      <c r="D669" s="52"/>
      <c r="E669" s="53"/>
      <c r="F669" s="52"/>
      <c r="G669" s="52"/>
      <c r="H669" s="52"/>
      <c r="I669" s="53"/>
      <c r="J669" s="52"/>
      <c r="K669" s="52"/>
      <c r="L669" s="52"/>
      <c r="M669" s="52"/>
      <c r="N669" s="19"/>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c r="AO669" s="19"/>
      <c r="AP669" s="19"/>
      <c r="AQ669" s="19"/>
      <c r="AR669" s="19"/>
      <c r="AS669" s="19"/>
      <c r="AT669" s="19"/>
      <c r="AU669" s="19"/>
      <c r="AV669" s="19"/>
      <c r="AW669" s="19"/>
      <c r="AX669" s="19"/>
      <c r="GA669" s="54"/>
    </row>
    <row r="670" spans="1:183" s="18" customFormat="1">
      <c r="A670" s="51"/>
      <c r="B670" s="52"/>
      <c r="C670" s="52"/>
      <c r="D670" s="52"/>
      <c r="E670" s="53"/>
      <c r="F670" s="52"/>
      <c r="G670" s="52"/>
      <c r="H670" s="52"/>
      <c r="I670" s="53"/>
      <c r="J670" s="52"/>
      <c r="K670" s="52"/>
      <c r="L670" s="52"/>
      <c r="M670" s="52"/>
      <c r="N670" s="19"/>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c r="AO670" s="19"/>
      <c r="AP670" s="19"/>
      <c r="AQ670" s="19"/>
      <c r="AR670" s="19"/>
      <c r="AS670" s="19"/>
      <c r="AT670" s="19"/>
      <c r="AU670" s="19"/>
      <c r="AV670" s="19"/>
      <c r="AW670" s="19"/>
      <c r="AX670" s="19"/>
      <c r="GA670" s="54"/>
    </row>
    <row r="671" spans="1:183" s="18" customFormat="1">
      <c r="A671" s="51"/>
      <c r="B671" s="52"/>
      <c r="C671" s="52"/>
      <c r="D671" s="52"/>
      <c r="E671" s="53"/>
      <c r="F671" s="52"/>
      <c r="G671" s="52"/>
      <c r="H671" s="52"/>
      <c r="I671" s="53"/>
      <c r="J671" s="52"/>
      <c r="K671" s="52"/>
      <c r="L671" s="52"/>
      <c r="M671" s="52"/>
      <c r="N671" s="19"/>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c r="AO671" s="19"/>
      <c r="AP671" s="19"/>
      <c r="AQ671" s="19"/>
      <c r="AR671" s="19"/>
      <c r="AS671" s="19"/>
      <c r="AT671" s="19"/>
      <c r="AU671" s="19"/>
      <c r="AV671" s="19"/>
      <c r="AW671" s="19"/>
      <c r="AX671" s="19"/>
      <c r="GA671" s="54"/>
    </row>
    <row r="672" spans="1:183" s="18" customFormat="1">
      <c r="A672" s="51"/>
      <c r="B672" s="52"/>
      <c r="C672" s="52"/>
      <c r="D672" s="52"/>
      <c r="E672" s="53"/>
      <c r="F672" s="52"/>
      <c r="G672" s="52"/>
      <c r="H672" s="52"/>
      <c r="I672" s="53"/>
      <c r="J672" s="52"/>
      <c r="K672" s="52"/>
      <c r="L672" s="52"/>
      <c r="M672" s="52"/>
      <c r="N672" s="19"/>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c r="AO672" s="19"/>
      <c r="AP672" s="19"/>
      <c r="AQ672" s="19"/>
      <c r="AR672" s="19"/>
      <c r="AS672" s="19"/>
      <c r="AT672" s="19"/>
      <c r="AU672" s="19"/>
      <c r="AV672" s="19"/>
      <c r="AW672" s="19"/>
      <c r="AX672" s="19"/>
      <c r="GA672" s="54"/>
    </row>
    <row r="673" spans="1:183" s="18" customFormat="1">
      <c r="A673" s="51"/>
      <c r="B673" s="52"/>
      <c r="C673" s="52"/>
      <c r="D673" s="52"/>
      <c r="E673" s="53"/>
      <c r="F673" s="52"/>
      <c r="G673" s="52"/>
      <c r="H673" s="52"/>
      <c r="I673" s="53"/>
      <c r="J673" s="52"/>
      <c r="K673" s="52"/>
      <c r="L673" s="52"/>
      <c r="M673" s="52"/>
      <c r="N673" s="19"/>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c r="AO673" s="19"/>
      <c r="AP673" s="19"/>
      <c r="AQ673" s="19"/>
      <c r="AR673" s="19"/>
      <c r="AS673" s="19"/>
      <c r="AT673" s="19"/>
      <c r="AU673" s="19"/>
      <c r="AV673" s="19"/>
      <c r="AW673" s="19"/>
      <c r="AX673" s="19"/>
      <c r="GA673" s="54"/>
    </row>
    <row r="674" spans="1:183" s="18" customFormat="1">
      <c r="A674" s="51"/>
      <c r="B674" s="52"/>
      <c r="C674" s="52"/>
      <c r="D674" s="52"/>
      <c r="E674" s="53"/>
      <c r="F674" s="52"/>
      <c r="G674" s="52"/>
      <c r="H674" s="52"/>
      <c r="I674" s="53"/>
      <c r="J674" s="52"/>
      <c r="K674" s="52"/>
      <c r="L674" s="52"/>
      <c r="M674" s="52"/>
      <c r="N674" s="19"/>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c r="AO674" s="19"/>
      <c r="AP674" s="19"/>
      <c r="AQ674" s="19"/>
      <c r="AR674" s="19"/>
      <c r="AS674" s="19"/>
      <c r="AT674" s="19"/>
      <c r="AU674" s="19"/>
      <c r="AV674" s="19"/>
      <c r="AW674" s="19"/>
      <c r="AX674" s="19"/>
      <c r="GA674" s="54"/>
    </row>
    <row r="675" spans="1:183" s="18" customFormat="1">
      <c r="A675" s="51"/>
      <c r="B675" s="52"/>
      <c r="C675" s="52"/>
      <c r="D675" s="52"/>
      <c r="E675" s="53"/>
      <c r="F675" s="52"/>
      <c r="G675" s="52"/>
      <c r="H675" s="52"/>
      <c r="I675" s="53"/>
      <c r="J675" s="52"/>
      <c r="K675" s="52"/>
      <c r="L675" s="52"/>
      <c r="M675" s="52"/>
      <c r="N675" s="19"/>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c r="AO675" s="19"/>
      <c r="AP675" s="19"/>
      <c r="AQ675" s="19"/>
      <c r="AR675" s="19"/>
      <c r="AS675" s="19"/>
      <c r="AT675" s="19"/>
      <c r="AU675" s="19"/>
      <c r="AV675" s="19"/>
      <c r="AW675" s="19"/>
      <c r="AX675" s="19"/>
      <c r="GA675" s="54"/>
    </row>
    <row r="676" spans="1:183" s="18" customFormat="1">
      <c r="A676" s="51"/>
      <c r="B676" s="52"/>
      <c r="C676" s="52"/>
      <c r="D676" s="52"/>
      <c r="E676" s="53"/>
      <c r="F676" s="52"/>
      <c r="G676" s="52"/>
      <c r="H676" s="52"/>
      <c r="I676" s="53"/>
      <c r="J676" s="52"/>
      <c r="K676" s="52"/>
      <c r="L676" s="52"/>
      <c r="M676" s="52"/>
      <c r="N676" s="19"/>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c r="AO676" s="19"/>
      <c r="AP676" s="19"/>
      <c r="AQ676" s="19"/>
      <c r="AR676" s="19"/>
      <c r="AS676" s="19"/>
      <c r="AT676" s="19"/>
      <c r="AU676" s="19"/>
      <c r="AV676" s="19"/>
      <c r="AW676" s="19"/>
      <c r="AX676" s="19"/>
      <c r="GA676" s="54"/>
    </row>
    <row r="677" spans="1:183" s="18" customFormat="1">
      <c r="A677" s="51"/>
      <c r="B677" s="52"/>
      <c r="C677" s="52"/>
      <c r="D677" s="52"/>
      <c r="E677" s="53"/>
      <c r="F677" s="52"/>
      <c r="G677" s="52"/>
      <c r="H677" s="52"/>
      <c r="I677" s="53"/>
      <c r="J677" s="52"/>
      <c r="K677" s="52"/>
      <c r="L677" s="52"/>
      <c r="M677" s="52"/>
      <c r="N677" s="19"/>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c r="AO677" s="19"/>
      <c r="AP677" s="19"/>
      <c r="AQ677" s="19"/>
      <c r="AR677" s="19"/>
      <c r="AS677" s="19"/>
      <c r="AT677" s="19"/>
      <c r="AU677" s="19"/>
      <c r="AV677" s="19"/>
      <c r="AW677" s="19"/>
      <c r="AX677" s="19"/>
      <c r="GA677" s="54"/>
    </row>
    <row r="678" spans="1:183" s="18" customFormat="1">
      <c r="A678" s="51"/>
      <c r="B678" s="52"/>
      <c r="C678" s="52"/>
      <c r="D678" s="52"/>
      <c r="E678" s="53"/>
      <c r="F678" s="52"/>
      <c r="G678" s="52"/>
      <c r="H678" s="52"/>
      <c r="I678" s="53"/>
      <c r="J678" s="52"/>
      <c r="K678" s="52"/>
      <c r="L678" s="52"/>
      <c r="M678" s="52"/>
      <c r="N678" s="19"/>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c r="AO678" s="19"/>
      <c r="AP678" s="19"/>
      <c r="AQ678" s="19"/>
      <c r="AR678" s="19"/>
      <c r="AS678" s="19"/>
      <c r="AT678" s="19"/>
      <c r="AU678" s="19"/>
      <c r="AV678" s="19"/>
      <c r="AW678" s="19"/>
      <c r="AX678" s="19"/>
      <c r="GA678" s="54"/>
    </row>
    <row r="679" spans="1:183" s="18" customFormat="1">
      <c r="A679" s="51"/>
      <c r="B679" s="52"/>
      <c r="C679" s="52"/>
      <c r="D679" s="52"/>
      <c r="E679" s="53"/>
      <c r="F679" s="52"/>
      <c r="G679" s="52"/>
      <c r="H679" s="52"/>
      <c r="I679" s="53"/>
      <c r="J679" s="52"/>
      <c r="K679" s="52"/>
      <c r="L679" s="52"/>
      <c r="M679" s="52"/>
      <c r="N679" s="19"/>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c r="AO679" s="19"/>
      <c r="AP679" s="19"/>
      <c r="AQ679" s="19"/>
      <c r="AR679" s="19"/>
      <c r="AS679" s="19"/>
      <c r="AT679" s="19"/>
      <c r="AU679" s="19"/>
      <c r="AV679" s="19"/>
      <c r="AW679" s="19"/>
      <c r="AX679" s="19"/>
      <c r="GA679" s="54"/>
    </row>
    <row r="680" spans="1:183" s="18" customFormat="1">
      <c r="A680" s="51"/>
      <c r="B680" s="52"/>
      <c r="C680" s="52"/>
      <c r="D680" s="52"/>
      <c r="E680" s="53"/>
      <c r="F680" s="52"/>
      <c r="G680" s="52"/>
      <c r="H680" s="52"/>
      <c r="I680" s="53"/>
      <c r="J680" s="52"/>
      <c r="K680" s="52"/>
      <c r="L680" s="52"/>
      <c r="M680" s="52"/>
      <c r="N680" s="19"/>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c r="AO680" s="19"/>
      <c r="AP680" s="19"/>
      <c r="AQ680" s="19"/>
      <c r="AR680" s="19"/>
      <c r="AS680" s="19"/>
      <c r="AT680" s="19"/>
      <c r="AU680" s="19"/>
      <c r="AV680" s="19"/>
      <c r="AW680" s="19"/>
      <c r="AX680" s="19"/>
      <c r="GA680" s="54"/>
    </row>
    <row r="681" spans="1:183" s="18" customFormat="1">
      <c r="A681" s="51"/>
      <c r="B681" s="52"/>
      <c r="C681" s="52"/>
      <c r="D681" s="52"/>
      <c r="E681" s="53"/>
      <c r="F681" s="52"/>
      <c r="G681" s="52"/>
      <c r="H681" s="52"/>
      <c r="I681" s="53"/>
      <c r="J681" s="52"/>
      <c r="K681" s="52"/>
      <c r="L681" s="52"/>
      <c r="M681" s="52"/>
      <c r="N681" s="19"/>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c r="AO681" s="19"/>
      <c r="AP681" s="19"/>
      <c r="AQ681" s="19"/>
      <c r="AR681" s="19"/>
      <c r="AS681" s="19"/>
      <c r="AT681" s="19"/>
      <c r="AU681" s="19"/>
      <c r="AV681" s="19"/>
      <c r="AW681" s="19"/>
      <c r="AX681" s="19"/>
      <c r="GA681" s="54"/>
    </row>
    <row r="682" spans="1:183" s="18" customFormat="1">
      <c r="A682" s="51"/>
      <c r="B682" s="52"/>
      <c r="C682" s="52"/>
      <c r="D682" s="52"/>
      <c r="E682" s="53"/>
      <c r="F682" s="52"/>
      <c r="G682" s="52"/>
      <c r="H682" s="52"/>
      <c r="I682" s="53"/>
      <c r="J682" s="52"/>
      <c r="K682" s="52"/>
      <c r="L682" s="52"/>
      <c r="M682" s="52"/>
      <c r="N682" s="19"/>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c r="AO682" s="19"/>
      <c r="AP682" s="19"/>
      <c r="AQ682" s="19"/>
      <c r="AR682" s="19"/>
      <c r="AS682" s="19"/>
      <c r="AT682" s="19"/>
      <c r="AU682" s="19"/>
      <c r="AV682" s="19"/>
      <c r="AW682" s="19"/>
      <c r="AX682" s="19"/>
      <c r="GA682" s="54"/>
    </row>
    <row r="683" spans="1:183" s="18" customFormat="1">
      <c r="A683" s="51"/>
      <c r="B683" s="52"/>
      <c r="C683" s="52"/>
      <c r="D683" s="52"/>
      <c r="E683" s="53"/>
      <c r="F683" s="52"/>
      <c r="G683" s="52"/>
      <c r="H683" s="52"/>
      <c r="I683" s="53"/>
      <c r="J683" s="52"/>
      <c r="K683" s="52"/>
      <c r="L683" s="52"/>
      <c r="M683" s="52"/>
      <c r="N683" s="19"/>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c r="AO683" s="19"/>
      <c r="AP683" s="19"/>
      <c r="AQ683" s="19"/>
      <c r="AR683" s="19"/>
      <c r="AS683" s="19"/>
      <c r="AT683" s="19"/>
      <c r="AU683" s="19"/>
      <c r="AV683" s="19"/>
      <c r="AW683" s="19"/>
      <c r="AX683" s="19"/>
      <c r="GA683" s="54"/>
    </row>
    <row r="684" spans="1:183" s="18" customFormat="1">
      <c r="A684" s="51"/>
      <c r="B684" s="52"/>
      <c r="C684" s="52"/>
      <c r="D684" s="52"/>
      <c r="E684" s="53"/>
      <c r="F684" s="52"/>
      <c r="G684" s="52"/>
      <c r="H684" s="52"/>
      <c r="I684" s="53"/>
      <c r="J684" s="52"/>
      <c r="K684" s="52"/>
      <c r="L684" s="52"/>
      <c r="M684" s="52"/>
      <c r="N684" s="19"/>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c r="AO684" s="19"/>
      <c r="AP684" s="19"/>
      <c r="AQ684" s="19"/>
      <c r="AR684" s="19"/>
      <c r="AS684" s="19"/>
      <c r="AT684" s="19"/>
      <c r="AU684" s="19"/>
      <c r="AV684" s="19"/>
      <c r="AW684" s="19"/>
      <c r="AX684" s="19"/>
      <c r="GA684" s="54"/>
    </row>
    <row r="685" spans="1:183" s="18" customFormat="1">
      <c r="A685" s="51"/>
      <c r="B685" s="52"/>
      <c r="C685" s="52"/>
      <c r="D685" s="52"/>
      <c r="E685" s="53"/>
      <c r="F685" s="52"/>
      <c r="G685" s="52"/>
      <c r="H685" s="52"/>
      <c r="I685" s="53"/>
      <c r="J685" s="52"/>
      <c r="K685" s="52"/>
      <c r="L685" s="52"/>
      <c r="M685" s="52"/>
      <c r="N685" s="19"/>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c r="AO685" s="19"/>
      <c r="AP685" s="19"/>
      <c r="AQ685" s="19"/>
      <c r="AR685" s="19"/>
      <c r="AS685" s="19"/>
      <c r="AT685" s="19"/>
      <c r="AU685" s="19"/>
      <c r="AV685" s="19"/>
      <c r="AW685" s="19"/>
      <c r="AX685" s="19"/>
      <c r="GA685" s="54"/>
    </row>
    <row r="686" spans="1:183" s="18" customFormat="1">
      <c r="A686" s="51"/>
      <c r="B686" s="52"/>
      <c r="C686" s="52"/>
      <c r="D686" s="52"/>
      <c r="E686" s="53"/>
      <c r="F686" s="52"/>
      <c r="G686" s="52"/>
      <c r="H686" s="52"/>
      <c r="I686" s="53"/>
      <c r="J686" s="52"/>
      <c r="K686" s="52"/>
      <c r="L686" s="52"/>
      <c r="M686" s="52"/>
      <c r="N686" s="19"/>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c r="AO686" s="19"/>
      <c r="AP686" s="19"/>
      <c r="AQ686" s="19"/>
      <c r="AR686" s="19"/>
      <c r="AS686" s="19"/>
      <c r="AT686" s="19"/>
      <c r="AU686" s="19"/>
      <c r="AV686" s="19"/>
      <c r="AW686" s="19"/>
      <c r="AX686" s="19"/>
      <c r="GA686" s="54"/>
    </row>
    <row r="687" spans="1:183" s="18" customFormat="1">
      <c r="A687" s="51"/>
      <c r="B687" s="52"/>
      <c r="C687" s="52"/>
      <c r="D687" s="52"/>
      <c r="E687" s="53"/>
      <c r="F687" s="52"/>
      <c r="G687" s="52"/>
      <c r="H687" s="52"/>
      <c r="I687" s="53"/>
      <c r="J687" s="52"/>
      <c r="K687" s="52"/>
      <c r="L687" s="52"/>
      <c r="M687" s="52"/>
      <c r="N687" s="19"/>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c r="AO687" s="19"/>
      <c r="AP687" s="19"/>
      <c r="AQ687" s="19"/>
      <c r="AR687" s="19"/>
      <c r="AS687" s="19"/>
      <c r="AT687" s="19"/>
      <c r="AU687" s="19"/>
      <c r="AV687" s="19"/>
      <c r="AW687" s="19"/>
      <c r="AX687" s="19"/>
      <c r="GA687" s="54"/>
    </row>
    <row r="688" spans="1:183" s="18" customFormat="1">
      <c r="A688" s="51"/>
      <c r="B688" s="52"/>
      <c r="C688" s="52"/>
      <c r="D688" s="52"/>
      <c r="E688" s="53"/>
      <c r="F688" s="52"/>
      <c r="G688" s="52"/>
      <c r="H688" s="52"/>
      <c r="I688" s="53"/>
      <c r="J688" s="52"/>
      <c r="K688" s="52"/>
      <c r="L688" s="52"/>
      <c r="M688" s="52"/>
      <c r="N688" s="19"/>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c r="AO688" s="19"/>
      <c r="AP688" s="19"/>
      <c r="AQ688" s="19"/>
      <c r="AR688" s="19"/>
      <c r="AS688" s="19"/>
      <c r="AT688" s="19"/>
      <c r="AU688" s="19"/>
      <c r="AV688" s="19"/>
      <c r="AW688" s="19"/>
      <c r="AX688" s="19"/>
      <c r="GA688" s="54"/>
    </row>
    <row r="689" spans="1:183" s="18" customFormat="1">
      <c r="A689" s="51"/>
      <c r="B689" s="52"/>
      <c r="C689" s="52"/>
      <c r="D689" s="52"/>
      <c r="E689" s="53"/>
      <c r="F689" s="52"/>
      <c r="G689" s="52"/>
      <c r="H689" s="52"/>
      <c r="I689" s="53"/>
      <c r="J689" s="52"/>
      <c r="K689" s="52"/>
      <c r="L689" s="52"/>
      <c r="M689" s="52"/>
      <c r="N689" s="19"/>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c r="AO689" s="19"/>
      <c r="AP689" s="19"/>
      <c r="AQ689" s="19"/>
      <c r="AR689" s="19"/>
      <c r="AS689" s="19"/>
      <c r="AT689" s="19"/>
      <c r="AU689" s="19"/>
      <c r="AV689" s="19"/>
      <c r="AW689" s="19"/>
      <c r="AX689" s="19"/>
      <c r="GA689" s="54"/>
    </row>
    <row r="690" spans="1:183" s="18" customFormat="1">
      <c r="A690" s="51"/>
      <c r="B690" s="52"/>
      <c r="C690" s="52"/>
      <c r="D690" s="52"/>
      <c r="E690" s="53"/>
      <c r="F690" s="52"/>
      <c r="G690" s="52"/>
      <c r="H690" s="52"/>
      <c r="I690" s="53"/>
      <c r="J690" s="52"/>
      <c r="K690" s="52"/>
      <c r="L690" s="52"/>
      <c r="M690" s="52"/>
      <c r="N690" s="19"/>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c r="AO690" s="19"/>
      <c r="AP690" s="19"/>
      <c r="AQ690" s="19"/>
      <c r="AR690" s="19"/>
      <c r="AS690" s="19"/>
      <c r="AT690" s="19"/>
      <c r="AU690" s="19"/>
      <c r="AV690" s="19"/>
      <c r="AW690" s="19"/>
      <c r="AX690" s="19"/>
      <c r="GA690" s="54"/>
    </row>
    <row r="691" spans="1:183" s="18" customFormat="1">
      <c r="A691" s="51"/>
      <c r="B691" s="52"/>
      <c r="C691" s="52"/>
      <c r="D691" s="52"/>
      <c r="E691" s="53"/>
      <c r="F691" s="52"/>
      <c r="G691" s="52"/>
      <c r="H691" s="52"/>
      <c r="I691" s="53"/>
      <c r="J691" s="52"/>
      <c r="K691" s="52"/>
      <c r="L691" s="52"/>
      <c r="M691" s="52"/>
      <c r="N691" s="19"/>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c r="AO691" s="19"/>
      <c r="AP691" s="19"/>
      <c r="AQ691" s="19"/>
      <c r="AR691" s="19"/>
      <c r="AS691" s="19"/>
      <c r="AT691" s="19"/>
      <c r="AU691" s="19"/>
      <c r="AV691" s="19"/>
      <c r="AW691" s="19"/>
      <c r="AX691" s="19"/>
      <c r="GA691" s="54"/>
    </row>
    <row r="692" spans="1:183" s="18" customFormat="1">
      <c r="A692" s="51"/>
      <c r="B692" s="52"/>
      <c r="C692" s="52"/>
      <c r="D692" s="52"/>
      <c r="E692" s="53"/>
      <c r="F692" s="52"/>
      <c r="G692" s="52"/>
      <c r="H692" s="52"/>
      <c r="I692" s="53"/>
      <c r="J692" s="52"/>
      <c r="K692" s="52"/>
      <c r="L692" s="52"/>
      <c r="M692" s="52"/>
      <c r="N692" s="19"/>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c r="AO692" s="19"/>
      <c r="AP692" s="19"/>
      <c r="AQ692" s="19"/>
      <c r="AR692" s="19"/>
      <c r="AS692" s="19"/>
      <c r="AT692" s="19"/>
      <c r="AU692" s="19"/>
      <c r="AV692" s="19"/>
      <c r="AW692" s="19"/>
      <c r="AX692" s="19"/>
      <c r="GA692" s="54"/>
    </row>
    <row r="693" spans="1:183" s="18" customFormat="1">
      <c r="A693" s="51"/>
      <c r="B693" s="52"/>
      <c r="C693" s="52"/>
      <c r="D693" s="52"/>
      <c r="E693" s="53"/>
      <c r="F693" s="52"/>
      <c r="G693" s="52"/>
      <c r="H693" s="52"/>
      <c r="I693" s="53"/>
      <c r="J693" s="52"/>
      <c r="K693" s="52"/>
      <c r="L693" s="52"/>
      <c r="M693" s="52"/>
      <c r="N693" s="19"/>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c r="AO693" s="19"/>
      <c r="AP693" s="19"/>
      <c r="AQ693" s="19"/>
      <c r="AR693" s="19"/>
      <c r="AS693" s="19"/>
      <c r="AT693" s="19"/>
      <c r="AU693" s="19"/>
      <c r="AV693" s="19"/>
      <c r="AW693" s="19"/>
      <c r="AX693" s="19"/>
      <c r="GA693" s="54"/>
    </row>
    <row r="694" spans="1:183" s="18" customFormat="1">
      <c r="A694" s="51"/>
      <c r="B694" s="52"/>
      <c r="C694" s="52"/>
      <c r="D694" s="52"/>
      <c r="E694" s="53"/>
      <c r="F694" s="52"/>
      <c r="G694" s="52"/>
      <c r="H694" s="52"/>
      <c r="I694" s="53"/>
      <c r="J694" s="52"/>
      <c r="K694" s="52"/>
      <c r="L694" s="52"/>
      <c r="M694" s="52"/>
      <c r="N694" s="19"/>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c r="AO694" s="19"/>
      <c r="AP694" s="19"/>
      <c r="AQ694" s="19"/>
      <c r="AR694" s="19"/>
      <c r="AS694" s="19"/>
      <c r="AT694" s="19"/>
      <c r="AU694" s="19"/>
      <c r="AV694" s="19"/>
      <c r="AW694" s="19"/>
      <c r="AX694" s="19"/>
      <c r="GA694" s="54"/>
    </row>
    <row r="695" spans="1:183" s="18" customFormat="1">
      <c r="A695" s="51"/>
      <c r="B695" s="52"/>
      <c r="C695" s="52"/>
      <c r="D695" s="52"/>
      <c r="E695" s="53"/>
      <c r="F695" s="52"/>
      <c r="G695" s="52"/>
      <c r="H695" s="52"/>
      <c r="I695" s="53"/>
      <c r="J695" s="52"/>
      <c r="K695" s="52"/>
      <c r="L695" s="52"/>
      <c r="M695" s="52"/>
      <c r="N695" s="19"/>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c r="AO695" s="19"/>
      <c r="AP695" s="19"/>
      <c r="AQ695" s="19"/>
      <c r="AR695" s="19"/>
      <c r="AS695" s="19"/>
      <c r="AT695" s="19"/>
      <c r="AU695" s="19"/>
      <c r="AV695" s="19"/>
      <c r="AW695" s="19"/>
      <c r="AX695" s="19"/>
      <c r="GA695" s="54"/>
    </row>
    <row r="696" spans="1:183" s="18" customFormat="1">
      <c r="A696" s="51"/>
      <c r="B696" s="52"/>
      <c r="C696" s="52"/>
      <c r="D696" s="52"/>
      <c r="E696" s="53"/>
      <c r="F696" s="52"/>
      <c r="G696" s="52"/>
      <c r="H696" s="52"/>
      <c r="I696" s="53"/>
      <c r="J696" s="52"/>
      <c r="K696" s="52"/>
      <c r="L696" s="52"/>
      <c r="M696" s="52"/>
      <c r="N696" s="19"/>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c r="AO696" s="19"/>
      <c r="AP696" s="19"/>
      <c r="AQ696" s="19"/>
      <c r="AR696" s="19"/>
      <c r="AS696" s="19"/>
      <c r="AT696" s="19"/>
      <c r="AU696" s="19"/>
      <c r="AV696" s="19"/>
      <c r="AW696" s="19"/>
      <c r="AX696" s="19"/>
      <c r="GA696" s="54"/>
    </row>
    <row r="697" spans="1:183" s="18" customFormat="1">
      <c r="A697" s="51"/>
      <c r="B697" s="52"/>
      <c r="C697" s="52"/>
      <c r="D697" s="52"/>
      <c r="E697" s="53"/>
      <c r="F697" s="52"/>
      <c r="G697" s="52"/>
      <c r="H697" s="52"/>
      <c r="I697" s="53"/>
      <c r="J697" s="52"/>
      <c r="K697" s="52"/>
      <c r="L697" s="52"/>
      <c r="M697" s="52"/>
      <c r="N697" s="19"/>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c r="AO697" s="19"/>
      <c r="AP697" s="19"/>
      <c r="AQ697" s="19"/>
      <c r="AR697" s="19"/>
      <c r="AS697" s="19"/>
      <c r="AT697" s="19"/>
      <c r="AU697" s="19"/>
      <c r="AV697" s="19"/>
      <c r="AW697" s="19"/>
      <c r="AX697" s="19"/>
      <c r="GA697" s="54"/>
    </row>
    <row r="698" spans="1:183" s="18" customFormat="1">
      <c r="A698" s="51"/>
      <c r="B698" s="52"/>
      <c r="C698" s="52"/>
      <c r="D698" s="52"/>
      <c r="E698" s="53"/>
      <c r="F698" s="52"/>
      <c r="G698" s="52"/>
      <c r="H698" s="52"/>
      <c r="I698" s="53"/>
      <c r="J698" s="52"/>
      <c r="K698" s="52"/>
      <c r="L698" s="52"/>
      <c r="M698" s="52"/>
      <c r="N698" s="19"/>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c r="AO698" s="19"/>
      <c r="AP698" s="19"/>
      <c r="AQ698" s="19"/>
      <c r="AR698" s="19"/>
      <c r="AS698" s="19"/>
      <c r="AT698" s="19"/>
      <c r="AU698" s="19"/>
      <c r="AV698" s="19"/>
      <c r="AW698" s="19"/>
      <c r="AX698" s="19"/>
      <c r="GA698" s="54"/>
    </row>
    <row r="699" spans="1:183" s="18" customFormat="1">
      <c r="A699" s="51"/>
      <c r="B699" s="52"/>
      <c r="C699" s="52"/>
      <c r="D699" s="52"/>
      <c r="E699" s="53"/>
      <c r="F699" s="52"/>
      <c r="G699" s="52"/>
      <c r="H699" s="52"/>
      <c r="I699" s="53"/>
      <c r="J699" s="52"/>
      <c r="K699" s="52"/>
      <c r="L699" s="52"/>
      <c r="M699" s="52"/>
      <c r="N699" s="19"/>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c r="AO699" s="19"/>
      <c r="AP699" s="19"/>
      <c r="AQ699" s="19"/>
      <c r="AR699" s="19"/>
      <c r="AS699" s="19"/>
      <c r="AT699" s="19"/>
      <c r="AU699" s="19"/>
      <c r="AV699" s="19"/>
      <c r="AW699" s="19"/>
      <c r="AX699" s="19"/>
      <c r="GA699" s="54"/>
    </row>
    <row r="700" spans="1:183" s="18" customFormat="1">
      <c r="A700" s="51"/>
      <c r="B700" s="52"/>
      <c r="C700" s="52"/>
      <c r="D700" s="52"/>
      <c r="E700" s="53"/>
      <c r="F700" s="52"/>
      <c r="G700" s="52"/>
      <c r="H700" s="52"/>
      <c r="I700" s="53"/>
      <c r="J700" s="52"/>
      <c r="K700" s="52"/>
      <c r="L700" s="52"/>
      <c r="M700" s="52"/>
      <c r="N700" s="19"/>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c r="AO700" s="19"/>
      <c r="AP700" s="19"/>
      <c r="AQ700" s="19"/>
      <c r="AR700" s="19"/>
      <c r="AS700" s="19"/>
      <c r="AT700" s="19"/>
      <c r="AU700" s="19"/>
      <c r="AV700" s="19"/>
      <c r="AW700" s="19"/>
      <c r="AX700" s="19"/>
      <c r="GA700" s="54"/>
    </row>
    <row r="701" spans="1:183" s="18" customFormat="1">
      <c r="A701" s="51"/>
      <c r="B701" s="52"/>
      <c r="C701" s="52"/>
      <c r="D701" s="52"/>
      <c r="E701" s="53"/>
      <c r="F701" s="52"/>
      <c r="G701" s="52"/>
      <c r="H701" s="52"/>
      <c r="I701" s="53"/>
      <c r="J701" s="52"/>
      <c r="K701" s="52"/>
      <c r="L701" s="52"/>
      <c r="M701" s="52"/>
      <c r="N701" s="19"/>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c r="AO701" s="19"/>
      <c r="AP701" s="19"/>
      <c r="AQ701" s="19"/>
      <c r="AR701" s="19"/>
      <c r="AS701" s="19"/>
      <c r="AT701" s="19"/>
      <c r="AU701" s="19"/>
      <c r="AV701" s="19"/>
      <c r="AW701" s="19"/>
      <c r="AX701" s="19"/>
      <c r="GA701" s="54"/>
    </row>
    <row r="702" spans="1:183" s="18" customFormat="1">
      <c r="A702" s="51"/>
      <c r="B702" s="52"/>
      <c r="C702" s="52"/>
      <c r="D702" s="52"/>
      <c r="E702" s="53"/>
      <c r="F702" s="52"/>
      <c r="G702" s="52"/>
      <c r="H702" s="52"/>
      <c r="I702" s="53"/>
      <c r="J702" s="52"/>
      <c r="K702" s="52"/>
      <c r="L702" s="52"/>
      <c r="M702" s="52"/>
      <c r="N702" s="19"/>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c r="AO702" s="19"/>
      <c r="AP702" s="19"/>
      <c r="AQ702" s="19"/>
      <c r="AR702" s="19"/>
      <c r="AS702" s="19"/>
      <c r="AT702" s="19"/>
      <c r="AU702" s="19"/>
      <c r="AV702" s="19"/>
      <c r="AW702" s="19"/>
      <c r="AX702" s="19"/>
      <c r="GA702" s="54"/>
    </row>
    <row r="703" spans="1:183" s="18" customFormat="1">
      <c r="A703" s="51"/>
      <c r="B703" s="52"/>
      <c r="C703" s="52"/>
      <c r="D703" s="52"/>
      <c r="E703" s="53"/>
      <c r="F703" s="52"/>
      <c r="G703" s="52"/>
      <c r="H703" s="52"/>
      <c r="I703" s="53"/>
      <c r="J703" s="52"/>
      <c r="K703" s="52"/>
      <c r="L703" s="52"/>
      <c r="M703" s="52"/>
      <c r="N703" s="19"/>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c r="AO703" s="19"/>
      <c r="AP703" s="19"/>
      <c r="AQ703" s="19"/>
      <c r="AR703" s="19"/>
      <c r="AS703" s="19"/>
      <c r="AT703" s="19"/>
      <c r="AU703" s="19"/>
      <c r="AV703" s="19"/>
      <c r="AW703" s="19"/>
      <c r="AX703" s="19"/>
      <c r="GA703" s="54"/>
    </row>
    <row r="704" spans="1:183" s="18" customFormat="1">
      <c r="A704" s="51"/>
      <c r="B704" s="52"/>
      <c r="C704" s="52"/>
      <c r="D704" s="52"/>
      <c r="E704" s="53"/>
      <c r="F704" s="52"/>
      <c r="G704" s="52"/>
      <c r="H704" s="52"/>
      <c r="I704" s="53"/>
      <c r="J704" s="52"/>
      <c r="K704" s="52"/>
      <c r="L704" s="52"/>
      <c r="M704" s="52"/>
      <c r="N704" s="19"/>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c r="AO704" s="19"/>
      <c r="AP704" s="19"/>
      <c r="AQ704" s="19"/>
      <c r="AR704" s="19"/>
      <c r="AS704" s="19"/>
      <c r="AT704" s="19"/>
      <c r="AU704" s="19"/>
      <c r="AV704" s="19"/>
      <c r="AW704" s="19"/>
      <c r="AX704" s="19"/>
      <c r="GA704" s="54"/>
    </row>
    <row r="705" spans="1:183" s="18" customFormat="1">
      <c r="A705" s="51"/>
      <c r="B705" s="52"/>
      <c r="C705" s="52"/>
      <c r="D705" s="52"/>
      <c r="E705" s="53"/>
      <c r="F705" s="52"/>
      <c r="G705" s="52"/>
      <c r="H705" s="52"/>
      <c r="I705" s="53"/>
      <c r="J705" s="52"/>
      <c r="K705" s="52"/>
      <c r="L705" s="52"/>
      <c r="M705" s="52"/>
      <c r="N705" s="19"/>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c r="AO705" s="19"/>
      <c r="AP705" s="19"/>
      <c r="AQ705" s="19"/>
      <c r="AR705" s="19"/>
      <c r="AS705" s="19"/>
      <c r="AT705" s="19"/>
      <c r="AU705" s="19"/>
      <c r="AV705" s="19"/>
      <c r="AW705" s="19"/>
      <c r="AX705" s="19"/>
      <c r="GA705" s="54"/>
    </row>
    <row r="706" spans="1:183" s="18" customFormat="1">
      <c r="A706" s="51"/>
      <c r="B706" s="52"/>
      <c r="C706" s="52"/>
      <c r="D706" s="52"/>
      <c r="E706" s="53"/>
      <c r="F706" s="52"/>
      <c r="G706" s="52"/>
      <c r="H706" s="52"/>
      <c r="I706" s="53"/>
      <c r="J706" s="52"/>
      <c r="K706" s="52"/>
      <c r="L706" s="52"/>
      <c r="M706" s="52"/>
      <c r="N706" s="19"/>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c r="AO706" s="19"/>
      <c r="AP706" s="19"/>
      <c r="AQ706" s="19"/>
      <c r="AR706" s="19"/>
      <c r="AS706" s="19"/>
      <c r="AT706" s="19"/>
      <c r="AU706" s="19"/>
      <c r="AV706" s="19"/>
      <c r="AW706" s="19"/>
      <c r="AX706" s="19"/>
      <c r="GA706" s="54"/>
    </row>
    <row r="707" spans="1:183" s="18" customFormat="1">
      <c r="A707" s="51"/>
      <c r="B707" s="52"/>
      <c r="C707" s="52"/>
      <c r="D707" s="52"/>
      <c r="E707" s="53"/>
      <c r="F707" s="52"/>
      <c r="G707" s="52"/>
      <c r="H707" s="52"/>
      <c r="I707" s="53"/>
      <c r="J707" s="52"/>
      <c r="K707" s="52"/>
      <c r="L707" s="52"/>
      <c r="M707" s="52"/>
      <c r="N707" s="19"/>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c r="AO707" s="19"/>
      <c r="AP707" s="19"/>
      <c r="AQ707" s="19"/>
      <c r="AR707" s="19"/>
      <c r="AS707" s="19"/>
      <c r="AT707" s="19"/>
      <c r="AU707" s="19"/>
      <c r="AV707" s="19"/>
      <c r="AW707" s="19"/>
      <c r="AX707" s="19"/>
      <c r="GA707" s="54"/>
    </row>
    <row r="708" spans="1:183" s="18" customFormat="1">
      <c r="A708" s="51"/>
      <c r="B708" s="52"/>
      <c r="C708" s="52"/>
      <c r="D708" s="52"/>
      <c r="E708" s="53"/>
      <c r="F708" s="52"/>
      <c r="G708" s="52"/>
      <c r="H708" s="52"/>
      <c r="I708" s="53"/>
      <c r="J708" s="52"/>
      <c r="K708" s="52"/>
      <c r="L708" s="52"/>
      <c r="M708" s="52"/>
      <c r="N708" s="19"/>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c r="AO708" s="19"/>
      <c r="AP708" s="19"/>
      <c r="AQ708" s="19"/>
      <c r="AR708" s="19"/>
      <c r="AS708" s="19"/>
      <c r="AT708" s="19"/>
      <c r="AU708" s="19"/>
      <c r="AV708" s="19"/>
      <c r="AW708" s="19"/>
      <c r="AX708" s="19"/>
      <c r="GA708" s="54"/>
    </row>
    <row r="709" spans="1:183" s="18" customFormat="1">
      <c r="A709" s="51"/>
      <c r="B709" s="52"/>
      <c r="C709" s="52"/>
      <c r="D709" s="52"/>
      <c r="E709" s="53"/>
      <c r="F709" s="52"/>
      <c r="G709" s="52"/>
      <c r="H709" s="52"/>
      <c r="I709" s="53"/>
      <c r="J709" s="52"/>
      <c r="K709" s="52"/>
      <c r="L709" s="52"/>
      <c r="M709" s="52"/>
      <c r="N709" s="19"/>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c r="AO709" s="19"/>
      <c r="AP709" s="19"/>
      <c r="AQ709" s="19"/>
      <c r="AR709" s="19"/>
      <c r="AS709" s="19"/>
      <c r="AT709" s="19"/>
      <c r="AU709" s="19"/>
      <c r="AV709" s="19"/>
      <c r="AW709" s="19"/>
      <c r="AX709" s="19"/>
      <c r="GA709" s="54"/>
    </row>
    <row r="710" spans="1:183" s="18" customFormat="1">
      <c r="A710" s="51"/>
      <c r="B710" s="52"/>
      <c r="C710" s="52"/>
      <c r="D710" s="52"/>
      <c r="E710" s="53"/>
      <c r="F710" s="52"/>
      <c r="G710" s="52"/>
      <c r="H710" s="52"/>
      <c r="I710" s="53"/>
      <c r="J710" s="52"/>
      <c r="K710" s="52"/>
      <c r="L710" s="52"/>
      <c r="M710" s="52"/>
      <c r="N710" s="19"/>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c r="AO710" s="19"/>
      <c r="AP710" s="19"/>
      <c r="AQ710" s="19"/>
      <c r="AR710" s="19"/>
      <c r="AS710" s="19"/>
      <c r="AT710" s="19"/>
      <c r="AU710" s="19"/>
      <c r="AV710" s="19"/>
      <c r="AW710" s="19"/>
      <c r="AX710" s="19"/>
      <c r="GA710" s="54"/>
    </row>
    <row r="711" spans="1:183" s="18" customFormat="1">
      <c r="A711" s="51"/>
      <c r="B711" s="52"/>
      <c r="C711" s="52"/>
      <c r="D711" s="52"/>
      <c r="E711" s="53"/>
      <c r="F711" s="52"/>
      <c r="G711" s="52"/>
      <c r="H711" s="52"/>
      <c r="I711" s="53"/>
      <c r="J711" s="52"/>
      <c r="K711" s="52"/>
      <c r="L711" s="52"/>
      <c r="M711" s="52"/>
      <c r="N711" s="19"/>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c r="AO711" s="19"/>
      <c r="AP711" s="19"/>
      <c r="AQ711" s="19"/>
      <c r="AR711" s="19"/>
      <c r="AS711" s="19"/>
      <c r="AT711" s="19"/>
      <c r="AU711" s="19"/>
      <c r="AV711" s="19"/>
      <c r="AW711" s="19"/>
      <c r="AX711" s="19"/>
      <c r="GA711" s="54"/>
    </row>
    <row r="712" spans="1:183" s="18" customFormat="1">
      <c r="A712" s="51"/>
      <c r="B712" s="52"/>
      <c r="C712" s="52"/>
      <c r="D712" s="52"/>
      <c r="E712" s="53"/>
      <c r="F712" s="52"/>
      <c r="G712" s="52"/>
      <c r="H712" s="52"/>
      <c r="I712" s="53"/>
      <c r="J712" s="52"/>
      <c r="K712" s="52"/>
      <c r="L712" s="52"/>
      <c r="M712" s="52"/>
      <c r="N712" s="19"/>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c r="AO712" s="19"/>
      <c r="AP712" s="19"/>
      <c r="AQ712" s="19"/>
      <c r="AR712" s="19"/>
      <c r="AS712" s="19"/>
      <c r="AT712" s="19"/>
      <c r="AU712" s="19"/>
      <c r="AV712" s="19"/>
      <c r="AW712" s="19"/>
      <c r="AX712" s="19"/>
      <c r="GA712" s="54"/>
    </row>
    <row r="713" spans="1:183" s="18" customFormat="1">
      <c r="A713" s="51"/>
      <c r="B713" s="52"/>
      <c r="C713" s="52"/>
      <c r="D713" s="52"/>
      <c r="E713" s="53"/>
      <c r="F713" s="52"/>
      <c r="G713" s="52"/>
      <c r="H713" s="52"/>
      <c r="I713" s="53"/>
      <c r="J713" s="52"/>
      <c r="K713" s="52"/>
      <c r="L713" s="52"/>
      <c r="M713" s="52"/>
      <c r="N713" s="19"/>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c r="AO713" s="19"/>
      <c r="AP713" s="19"/>
      <c r="AQ713" s="19"/>
      <c r="AR713" s="19"/>
      <c r="AS713" s="19"/>
      <c r="AT713" s="19"/>
      <c r="AU713" s="19"/>
      <c r="AV713" s="19"/>
      <c r="AW713" s="19"/>
      <c r="AX713" s="19"/>
      <c r="GA713" s="54"/>
    </row>
    <row r="714" spans="1:183" s="18" customFormat="1">
      <c r="A714" s="51"/>
      <c r="B714" s="52"/>
      <c r="C714" s="52"/>
      <c r="D714" s="52"/>
      <c r="E714" s="53"/>
      <c r="F714" s="52"/>
      <c r="G714" s="52"/>
      <c r="H714" s="52"/>
      <c r="I714" s="53"/>
      <c r="J714" s="52"/>
      <c r="K714" s="52"/>
      <c r="L714" s="52"/>
      <c r="M714" s="52"/>
      <c r="N714" s="19"/>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c r="AO714" s="19"/>
      <c r="AP714" s="19"/>
      <c r="AQ714" s="19"/>
      <c r="AR714" s="19"/>
      <c r="AS714" s="19"/>
      <c r="AT714" s="19"/>
      <c r="AU714" s="19"/>
      <c r="AV714" s="19"/>
      <c r="AW714" s="19"/>
      <c r="AX714" s="19"/>
      <c r="GA714" s="54"/>
    </row>
    <row r="715" spans="1:183" s="18" customFormat="1">
      <c r="A715" s="51"/>
      <c r="B715" s="52"/>
      <c r="C715" s="52"/>
      <c r="D715" s="52"/>
      <c r="E715" s="53"/>
      <c r="F715" s="52"/>
      <c r="G715" s="52"/>
      <c r="H715" s="52"/>
      <c r="I715" s="53"/>
      <c r="J715" s="52"/>
      <c r="K715" s="52"/>
      <c r="L715" s="52"/>
      <c r="M715" s="52"/>
      <c r="N715" s="19"/>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c r="AO715" s="19"/>
      <c r="AP715" s="19"/>
      <c r="AQ715" s="19"/>
      <c r="AR715" s="19"/>
      <c r="AS715" s="19"/>
      <c r="AT715" s="19"/>
      <c r="AU715" s="19"/>
      <c r="AV715" s="19"/>
      <c r="AW715" s="19"/>
      <c r="AX715" s="19"/>
      <c r="GA715" s="54"/>
    </row>
    <row r="716" spans="1:183" s="18" customFormat="1">
      <c r="A716" s="51"/>
      <c r="B716" s="52"/>
      <c r="C716" s="52"/>
      <c r="D716" s="52"/>
      <c r="E716" s="53"/>
      <c r="F716" s="52"/>
      <c r="G716" s="52"/>
      <c r="H716" s="52"/>
      <c r="I716" s="53"/>
      <c r="J716" s="52"/>
      <c r="K716" s="52"/>
      <c r="L716" s="52"/>
      <c r="M716" s="52"/>
      <c r="N716" s="19"/>
      <c r="O716" s="19"/>
      <c r="P716" s="19"/>
      <c r="Q716" s="19"/>
      <c r="R716" s="19"/>
      <c r="S716" s="19"/>
      <c r="T716" s="19"/>
      <c r="U716" s="19"/>
      <c r="V716" s="19"/>
      <c r="W716" s="19"/>
      <c r="X716" s="19"/>
      <c r="Y716" s="19"/>
      <c r="Z716" s="19"/>
      <c r="AA716" s="19"/>
      <c r="AB716" s="19"/>
      <c r="AC716" s="19"/>
      <c r="AD716" s="19"/>
      <c r="AE716" s="19"/>
      <c r="AF716" s="19"/>
      <c r="AG716" s="19"/>
      <c r="AH716" s="19"/>
      <c r="AI716" s="19"/>
      <c r="AJ716" s="19"/>
      <c r="AK716" s="19"/>
      <c r="AL716" s="19"/>
      <c r="AM716" s="19"/>
      <c r="AN716" s="19"/>
      <c r="AO716" s="19"/>
      <c r="AP716" s="19"/>
      <c r="AQ716" s="19"/>
      <c r="AR716" s="19"/>
      <c r="AS716" s="19"/>
      <c r="AT716" s="19"/>
      <c r="AU716" s="19"/>
      <c r="AV716" s="19"/>
      <c r="AW716" s="19"/>
      <c r="AX716" s="19"/>
      <c r="GA716" s="54"/>
    </row>
    <row r="717" spans="1:183" s="18" customFormat="1">
      <c r="A717" s="51"/>
      <c r="B717" s="52"/>
      <c r="C717" s="52"/>
      <c r="D717" s="52"/>
      <c r="E717" s="53"/>
      <c r="F717" s="52"/>
      <c r="G717" s="52"/>
      <c r="H717" s="52"/>
      <c r="I717" s="53"/>
      <c r="J717" s="52"/>
      <c r="K717" s="52"/>
      <c r="L717" s="52"/>
      <c r="M717" s="52"/>
      <c r="N717" s="19"/>
      <c r="O717" s="19"/>
      <c r="P717" s="19"/>
      <c r="Q717" s="19"/>
      <c r="R717" s="19"/>
      <c r="S717" s="19"/>
      <c r="T717" s="19"/>
      <c r="U717" s="19"/>
      <c r="V717" s="19"/>
      <c r="W717" s="19"/>
      <c r="X717" s="19"/>
      <c r="Y717" s="19"/>
      <c r="Z717" s="19"/>
      <c r="AA717" s="19"/>
      <c r="AB717" s="19"/>
      <c r="AC717" s="19"/>
      <c r="AD717" s="19"/>
      <c r="AE717" s="19"/>
      <c r="AF717" s="19"/>
      <c r="AG717" s="19"/>
      <c r="AH717" s="19"/>
      <c r="AI717" s="19"/>
      <c r="AJ717" s="19"/>
      <c r="AK717" s="19"/>
      <c r="AL717" s="19"/>
      <c r="AM717" s="19"/>
      <c r="AN717" s="19"/>
      <c r="AO717" s="19"/>
      <c r="AP717" s="19"/>
      <c r="AQ717" s="19"/>
      <c r="AR717" s="19"/>
      <c r="AS717" s="19"/>
      <c r="AT717" s="19"/>
      <c r="AU717" s="19"/>
      <c r="AV717" s="19"/>
      <c r="AW717" s="19"/>
      <c r="AX717" s="19"/>
      <c r="GA717" s="54"/>
    </row>
    <row r="718" spans="1:183" s="18" customFormat="1">
      <c r="A718" s="51"/>
      <c r="B718" s="52"/>
      <c r="C718" s="52"/>
      <c r="D718" s="52"/>
      <c r="E718" s="53"/>
      <c r="F718" s="52"/>
      <c r="G718" s="52"/>
      <c r="H718" s="52"/>
      <c r="I718" s="53"/>
      <c r="J718" s="52"/>
      <c r="K718" s="52"/>
      <c r="L718" s="52"/>
      <c r="M718" s="52"/>
      <c r="N718" s="19"/>
      <c r="O718" s="19"/>
      <c r="P718" s="19"/>
      <c r="Q718" s="19"/>
      <c r="R718" s="19"/>
      <c r="S718" s="19"/>
      <c r="T718" s="19"/>
      <c r="U718" s="19"/>
      <c r="V718" s="19"/>
      <c r="W718" s="19"/>
      <c r="X718" s="19"/>
      <c r="Y718" s="19"/>
      <c r="Z718" s="19"/>
      <c r="AA718" s="19"/>
      <c r="AB718" s="19"/>
      <c r="AC718" s="19"/>
      <c r="AD718" s="19"/>
      <c r="AE718" s="19"/>
      <c r="AF718" s="19"/>
      <c r="AG718" s="19"/>
      <c r="AH718" s="19"/>
      <c r="AI718" s="19"/>
      <c r="AJ718" s="19"/>
      <c r="AK718" s="19"/>
      <c r="AL718" s="19"/>
      <c r="AM718" s="19"/>
      <c r="AN718" s="19"/>
      <c r="AO718" s="19"/>
      <c r="AP718" s="19"/>
      <c r="AQ718" s="19"/>
      <c r="AR718" s="19"/>
      <c r="AS718" s="19"/>
      <c r="AT718" s="19"/>
      <c r="AU718" s="19"/>
      <c r="AV718" s="19"/>
      <c r="AW718" s="19"/>
      <c r="AX718" s="19"/>
      <c r="GA718" s="54"/>
    </row>
    <row r="719" spans="1:183" s="18" customFormat="1">
      <c r="A719" s="51"/>
      <c r="B719" s="52"/>
      <c r="C719" s="52"/>
      <c r="D719" s="52"/>
      <c r="E719" s="53"/>
      <c r="F719" s="52"/>
      <c r="G719" s="52"/>
      <c r="H719" s="52"/>
      <c r="I719" s="53"/>
      <c r="J719" s="52"/>
      <c r="K719" s="52"/>
      <c r="L719" s="52"/>
      <c r="M719" s="52"/>
      <c r="N719" s="19"/>
      <c r="O719" s="19"/>
      <c r="P719" s="19"/>
      <c r="Q719" s="19"/>
      <c r="R719" s="19"/>
      <c r="S719" s="19"/>
      <c r="T719" s="19"/>
      <c r="U719" s="19"/>
      <c r="V719" s="19"/>
      <c r="W719" s="19"/>
      <c r="X719" s="19"/>
      <c r="Y719" s="19"/>
      <c r="Z719" s="19"/>
      <c r="AA719" s="19"/>
      <c r="AB719" s="19"/>
      <c r="AC719" s="19"/>
      <c r="AD719" s="19"/>
      <c r="AE719" s="19"/>
      <c r="AF719" s="19"/>
      <c r="AG719" s="19"/>
      <c r="AH719" s="19"/>
      <c r="AI719" s="19"/>
      <c r="AJ719" s="19"/>
      <c r="AK719" s="19"/>
      <c r="AL719" s="19"/>
      <c r="AM719" s="19"/>
      <c r="AN719" s="19"/>
      <c r="AO719" s="19"/>
      <c r="AP719" s="19"/>
      <c r="AQ719" s="19"/>
      <c r="AR719" s="19"/>
      <c r="AS719" s="19"/>
      <c r="AT719" s="19"/>
      <c r="AU719" s="19"/>
      <c r="AV719" s="19"/>
      <c r="AW719" s="19"/>
      <c r="AX719" s="19"/>
      <c r="GA719" s="54"/>
    </row>
    <row r="720" spans="1:183" s="18" customFormat="1">
      <c r="A720" s="51"/>
      <c r="B720" s="52"/>
      <c r="C720" s="52"/>
      <c r="D720" s="52"/>
      <c r="E720" s="53"/>
      <c r="F720" s="52"/>
      <c r="G720" s="52"/>
      <c r="H720" s="52"/>
      <c r="I720" s="53"/>
      <c r="J720" s="52"/>
      <c r="K720" s="52"/>
      <c r="L720" s="52"/>
      <c r="M720" s="52"/>
      <c r="N720" s="19"/>
      <c r="O720" s="19"/>
      <c r="P720" s="19"/>
      <c r="Q720" s="19"/>
      <c r="R720" s="19"/>
      <c r="S720" s="19"/>
      <c r="T720" s="19"/>
      <c r="U720" s="19"/>
      <c r="V720" s="19"/>
      <c r="W720" s="19"/>
      <c r="X720" s="19"/>
      <c r="Y720" s="19"/>
      <c r="Z720" s="19"/>
      <c r="AA720" s="19"/>
      <c r="AB720" s="19"/>
      <c r="AC720" s="19"/>
      <c r="AD720" s="19"/>
      <c r="AE720" s="19"/>
      <c r="AF720" s="19"/>
      <c r="AG720" s="19"/>
      <c r="AH720" s="19"/>
      <c r="AI720" s="19"/>
      <c r="AJ720" s="19"/>
      <c r="AK720" s="19"/>
      <c r="AL720" s="19"/>
      <c r="AM720" s="19"/>
      <c r="AN720" s="19"/>
      <c r="AO720" s="19"/>
      <c r="AP720" s="19"/>
      <c r="AQ720" s="19"/>
      <c r="AR720" s="19"/>
      <c r="AS720" s="19"/>
      <c r="AT720" s="19"/>
      <c r="AU720" s="19"/>
      <c r="AV720" s="19"/>
      <c r="AW720" s="19"/>
      <c r="AX720" s="19"/>
      <c r="GA720" s="54"/>
    </row>
    <row r="721" spans="1:183" s="18" customFormat="1">
      <c r="A721" s="51"/>
      <c r="B721" s="52"/>
      <c r="C721" s="52"/>
      <c r="D721" s="52"/>
      <c r="E721" s="53"/>
      <c r="F721" s="52"/>
      <c r="G721" s="52"/>
      <c r="H721" s="52"/>
      <c r="I721" s="53"/>
      <c r="J721" s="52"/>
      <c r="K721" s="52"/>
      <c r="L721" s="52"/>
      <c r="M721" s="52"/>
      <c r="N721" s="19"/>
      <c r="O721" s="19"/>
      <c r="P721" s="19"/>
      <c r="Q721" s="19"/>
      <c r="R721" s="19"/>
      <c r="S721" s="19"/>
      <c r="T721" s="19"/>
      <c r="U721" s="19"/>
      <c r="V721" s="19"/>
      <c r="W721" s="19"/>
      <c r="X721" s="19"/>
      <c r="Y721" s="19"/>
      <c r="Z721" s="19"/>
      <c r="AA721" s="19"/>
      <c r="AB721" s="19"/>
      <c r="AC721" s="19"/>
      <c r="AD721" s="19"/>
      <c r="AE721" s="19"/>
      <c r="AF721" s="19"/>
      <c r="AG721" s="19"/>
      <c r="AH721" s="19"/>
      <c r="AI721" s="19"/>
      <c r="AJ721" s="19"/>
      <c r="AK721" s="19"/>
      <c r="AL721" s="19"/>
      <c r="AM721" s="19"/>
      <c r="AN721" s="19"/>
      <c r="AO721" s="19"/>
      <c r="AP721" s="19"/>
      <c r="AQ721" s="19"/>
      <c r="AR721" s="19"/>
      <c r="AS721" s="19"/>
      <c r="AT721" s="19"/>
      <c r="AU721" s="19"/>
      <c r="AV721" s="19"/>
      <c r="AW721" s="19"/>
      <c r="AX721" s="19"/>
      <c r="GA721" s="54"/>
    </row>
    <row r="722" spans="1:183" s="18" customFormat="1">
      <c r="A722" s="51"/>
      <c r="B722" s="52"/>
      <c r="C722" s="52"/>
      <c r="D722" s="52"/>
      <c r="E722" s="53"/>
      <c r="F722" s="52"/>
      <c r="G722" s="52"/>
      <c r="H722" s="52"/>
      <c r="I722" s="53"/>
      <c r="J722" s="52"/>
      <c r="K722" s="52"/>
      <c r="L722" s="52"/>
      <c r="M722" s="52"/>
      <c r="N722" s="19"/>
      <c r="O722" s="19"/>
      <c r="P722" s="19"/>
      <c r="Q722" s="19"/>
      <c r="R722" s="19"/>
      <c r="S722" s="19"/>
      <c r="T722" s="19"/>
      <c r="U722" s="19"/>
      <c r="V722" s="19"/>
      <c r="W722" s="19"/>
      <c r="X722" s="19"/>
      <c r="Y722" s="19"/>
      <c r="Z722" s="19"/>
      <c r="AA722" s="19"/>
      <c r="AB722" s="19"/>
      <c r="AC722" s="19"/>
      <c r="AD722" s="19"/>
      <c r="AE722" s="19"/>
      <c r="AF722" s="19"/>
      <c r="AG722" s="19"/>
      <c r="AH722" s="19"/>
      <c r="AI722" s="19"/>
      <c r="AJ722" s="19"/>
      <c r="AK722" s="19"/>
      <c r="AL722" s="19"/>
      <c r="AM722" s="19"/>
      <c r="AN722" s="19"/>
      <c r="AO722" s="19"/>
      <c r="AP722" s="19"/>
      <c r="AQ722" s="19"/>
      <c r="AR722" s="19"/>
      <c r="AS722" s="19"/>
      <c r="AT722" s="19"/>
      <c r="AU722" s="19"/>
      <c r="AV722" s="19"/>
      <c r="AW722" s="19"/>
      <c r="AX722" s="19"/>
      <c r="GA722" s="54"/>
    </row>
    <row r="723" spans="1:183" s="18" customFormat="1">
      <c r="A723" s="51"/>
      <c r="B723" s="52"/>
      <c r="C723" s="52"/>
      <c r="D723" s="52"/>
      <c r="E723" s="53"/>
      <c r="F723" s="52"/>
      <c r="G723" s="52"/>
      <c r="H723" s="52"/>
      <c r="I723" s="53"/>
      <c r="J723" s="52"/>
      <c r="K723" s="52"/>
      <c r="L723" s="52"/>
      <c r="M723" s="52"/>
      <c r="N723" s="19"/>
      <c r="O723" s="19"/>
      <c r="P723" s="19"/>
      <c r="Q723" s="19"/>
      <c r="R723" s="19"/>
      <c r="S723" s="19"/>
      <c r="T723" s="19"/>
      <c r="U723" s="19"/>
      <c r="V723" s="19"/>
      <c r="W723" s="19"/>
      <c r="X723" s="19"/>
      <c r="Y723" s="19"/>
      <c r="Z723" s="19"/>
      <c r="AA723" s="19"/>
      <c r="AB723" s="19"/>
      <c r="AC723" s="19"/>
      <c r="AD723" s="19"/>
      <c r="AE723" s="19"/>
      <c r="AF723" s="19"/>
      <c r="AG723" s="19"/>
      <c r="AH723" s="19"/>
      <c r="AI723" s="19"/>
      <c r="AJ723" s="19"/>
      <c r="AK723" s="19"/>
      <c r="AL723" s="19"/>
      <c r="AM723" s="19"/>
      <c r="AN723" s="19"/>
      <c r="AO723" s="19"/>
      <c r="AP723" s="19"/>
      <c r="AQ723" s="19"/>
      <c r="AR723" s="19"/>
      <c r="AS723" s="19"/>
      <c r="AT723" s="19"/>
      <c r="AU723" s="19"/>
      <c r="AV723" s="19"/>
      <c r="AW723" s="19"/>
      <c r="AX723" s="19"/>
      <c r="GA723" s="54"/>
    </row>
    <row r="724" spans="1:183" s="18" customFormat="1">
      <c r="A724" s="51"/>
      <c r="B724" s="52"/>
      <c r="C724" s="52"/>
      <c r="D724" s="52"/>
      <c r="E724" s="53"/>
      <c r="F724" s="52"/>
      <c r="G724" s="52"/>
      <c r="H724" s="52"/>
      <c r="I724" s="53"/>
      <c r="J724" s="52"/>
      <c r="K724" s="52"/>
      <c r="L724" s="52"/>
      <c r="M724" s="52"/>
      <c r="N724" s="19"/>
      <c r="O724" s="19"/>
      <c r="P724" s="19"/>
      <c r="Q724" s="19"/>
      <c r="R724" s="19"/>
      <c r="S724" s="19"/>
      <c r="T724" s="19"/>
      <c r="U724" s="19"/>
      <c r="V724" s="19"/>
      <c r="W724" s="19"/>
      <c r="X724" s="19"/>
      <c r="Y724" s="19"/>
      <c r="Z724" s="19"/>
      <c r="AA724" s="19"/>
      <c r="AB724" s="19"/>
      <c r="AC724" s="19"/>
      <c r="AD724" s="19"/>
      <c r="AE724" s="19"/>
      <c r="AF724" s="19"/>
      <c r="AG724" s="19"/>
      <c r="AH724" s="19"/>
      <c r="AI724" s="19"/>
      <c r="AJ724" s="19"/>
      <c r="AK724" s="19"/>
      <c r="AL724" s="19"/>
      <c r="AM724" s="19"/>
      <c r="AN724" s="19"/>
      <c r="AO724" s="19"/>
      <c r="AP724" s="19"/>
      <c r="AQ724" s="19"/>
      <c r="AR724" s="19"/>
      <c r="AS724" s="19"/>
      <c r="AT724" s="19"/>
      <c r="AU724" s="19"/>
      <c r="AV724" s="19"/>
      <c r="AW724" s="19"/>
      <c r="AX724" s="19"/>
      <c r="GA724" s="54"/>
    </row>
    <row r="725" spans="1:183" s="18" customFormat="1">
      <c r="A725" s="51"/>
      <c r="B725" s="52"/>
      <c r="C725" s="52"/>
      <c r="D725" s="52"/>
      <c r="E725" s="53"/>
      <c r="F725" s="52"/>
      <c r="G725" s="52"/>
      <c r="H725" s="52"/>
      <c r="I725" s="53"/>
      <c r="J725" s="52"/>
      <c r="K725" s="52"/>
      <c r="L725" s="52"/>
      <c r="M725" s="52"/>
      <c r="N725" s="19"/>
      <c r="O725" s="19"/>
      <c r="P725" s="19"/>
      <c r="Q725" s="19"/>
      <c r="R725" s="19"/>
      <c r="S725" s="19"/>
      <c r="T725" s="19"/>
      <c r="U725" s="19"/>
      <c r="V725" s="19"/>
      <c r="W725" s="19"/>
      <c r="X725" s="19"/>
      <c r="Y725" s="19"/>
      <c r="Z725" s="19"/>
      <c r="AA725" s="19"/>
      <c r="AB725" s="19"/>
      <c r="AC725" s="19"/>
      <c r="AD725" s="19"/>
      <c r="AE725" s="19"/>
      <c r="AF725" s="19"/>
      <c r="AG725" s="19"/>
      <c r="AH725" s="19"/>
      <c r="AI725" s="19"/>
      <c r="AJ725" s="19"/>
      <c r="AK725" s="19"/>
      <c r="AL725" s="19"/>
      <c r="AM725" s="19"/>
      <c r="AN725" s="19"/>
      <c r="AO725" s="19"/>
      <c r="AP725" s="19"/>
      <c r="AQ725" s="19"/>
      <c r="AR725" s="19"/>
      <c r="AS725" s="19"/>
      <c r="AT725" s="19"/>
      <c r="AU725" s="19"/>
      <c r="AV725" s="19"/>
      <c r="AW725" s="19"/>
      <c r="AX725" s="19"/>
      <c r="GA725" s="54"/>
    </row>
    <row r="726" spans="1:183" s="18" customFormat="1">
      <c r="A726" s="51"/>
      <c r="B726" s="52"/>
      <c r="C726" s="52"/>
      <c r="D726" s="52"/>
      <c r="E726" s="53"/>
      <c r="F726" s="52"/>
      <c r="G726" s="52"/>
      <c r="H726" s="52"/>
      <c r="I726" s="53"/>
      <c r="J726" s="52"/>
      <c r="K726" s="52"/>
      <c r="L726" s="52"/>
      <c r="M726" s="52"/>
      <c r="N726" s="19"/>
      <c r="O726" s="19"/>
      <c r="P726" s="19"/>
      <c r="Q726" s="19"/>
      <c r="R726" s="19"/>
      <c r="S726" s="19"/>
      <c r="T726" s="19"/>
      <c r="U726" s="19"/>
      <c r="V726" s="19"/>
      <c r="W726" s="19"/>
      <c r="X726" s="19"/>
      <c r="Y726" s="19"/>
      <c r="Z726" s="19"/>
      <c r="AA726" s="19"/>
      <c r="AB726" s="19"/>
      <c r="AC726" s="19"/>
      <c r="AD726" s="19"/>
      <c r="AE726" s="19"/>
      <c r="AF726" s="19"/>
      <c r="AG726" s="19"/>
      <c r="AH726" s="19"/>
      <c r="AI726" s="19"/>
      <c r="AJ726" s="19"/>
      <c r="AK726" s="19"/>
      <c r="AL726" s="19"/>
      <c r="AM726" s="19"/>
      <c r="AN726" s="19"/>
      <c r="AO726" s="19"/>
      <c r="AP726" s="19"/>
      <c r="AQ726" s="19"/>
      <c r="AR726" s="19"/>
      <c r="AS726" s="19"/>
      <c r="AT726" s="19"/>
      <c r="AU726" s="19"/>
      <c r="AV726" s="19"/>
      <c r="AW726" s="19"/>
      <c r="AX726" s="19"/>
      <c r="GA726" s="54"/>
    </row>
    <row r="727" spans="1:183" s="18" customFormat="1">
      <c r="A727" s="51"/>
      <c r="B727" s="52"/>
      <c r="C727" s="52"/>
      <c r="D727" s="52"/>
      <c r="E727" s="53"/>
      <c r="F727" s="52"/>
      <c r="G727" s="52"/>
      <c r="H727" s="52"/>
      <c r="I727" s="53"/>
      <c r="J727" s="52"/>
      <c r="K727" s="52"/>
      <c r="L727" s="52"/>
      <c r="M727" s="52"/>
      <c r="N727" s="19"/>
      <c r="O727" s="19"/>
      <c r="P727" s="19"/>
      <c r="Q727" s="19"/>
      <c r="R727" s="19"/>
      <c r="S727" s="19"/>
      <c r="T727" s="19"/>
      <c r="U727" s="19"/>
      <c r="V727" s="19"/>
      <c r="W727" s="19"/>
      <c r="X727" s="19"/>
      <c r="Y727" s="19"/>
      <c r="Z727" s="19"/>
      <c r="AA727" s="19"/>
      <c r="AB727" s="19"/>
      <c r="AC727" s="19"/>
      <c r="AD727" s="19"/>
      <c r="AE727" s="19"/>
      <c r="AF727" s="19"/>
      <c r="AG727" s="19"/>
      <c r="AH727" s="19"/>
      <c r="AI727" s="19"/>
      <c r="AJ727" s="19"/>
      <c r="AK727" s="19"/>
      <c r="AL727" s="19"/>
      <c r="AM727" s="19"/>
      <c r="AN727" s="19"/>
      <c r="AO727" s="19"/>
      <c r="AP727" s="19"/>
      <c r="AQ727" s="19"/>
      <c r="AR727" s="19"/>
      <c r="AS727" s="19"/>
      <c r="AT727" s="19"/>
      <c r="AU727" s="19"/>
      <c r="AV727" s="19"/>
      <c r="AW727" s="19"/>
      <c r="AX727" s="19"/>
      <c r="GA727" s="54"/>
    </row>
    <row r="728" spans="1:183" s="18" customFormat="1">
      <c r="A728" s="51"/>
      <c r="B728" s="52"/>
      <c r="C728" s="52"/>
      <c r="D728" s="52"/>
      <c r="E728" s="53"/>
      <c r="F728" s="52"/>
      <c r="G728" s="52"/>
      <c r="H728" s="52"/>
      <c r="I728" s="53"/>
      <c r="J728" s="52"/>
      <c r="K728" s="52"/>
      <c r="L728" s="52"/>
      <c r="M728" s="52"/>
      <c r="N728" s="19"/>
      <c r="O728" s="19"/>
      <c r="P728" s="19"/>
      <c r="Q728" s="19"/>
      <c r="R728" s="19"/>
      <c r="S728" s="19"/>
      <c r="T728" s="19"/>
      <c r="U728" s="19"/>
      <c r="V728" s="19"/>
      <c r="W728" s="19"/>
      <c r="X728" s="19"/>
      <c r="Y728" s="19"/>
      <c r="Z728" s="19"/>
      <c r="AA728" s="19"/>
      <c r="AB728" s="19"/>
      <c r="AC728" s="19"/>
      <c r="AD728" s="19"/>
      <c r="AE728" s="19"/>
      <c r="AF728" s="19"/>
      <c r="AG728" s="19"/>
      <c r="AH728" s="19"/>
      <c r="AI728" s="19"/>
      <c r="AJ728" s="19"/>
      <c r="AK728" s="19"/>
      <c r="AL728" s="19"/>
      <c r="AM728" s="19"/>
      <c r="AN728" s="19"/>
      <c r="AO728" s="19"/>
      <c r="AP728" s="19"/>
      <c r="AQ728" s="19"/>
      <c r="AR728" s="19"/>
      <c r="AS728" s="19"/>
      <c r="AT728" s="19"/>
      <c r="AU728" s="19"/>
      <c r="AV728" s="19"/>
      <c r="AW728" s="19"/>
      <c r="AX728" s="19"/>
      <c r="GA728" s="54"/>
    </row>
    <row r="729" spans="1:183" s="18" customFormat="1">
      <c r="A729" s="51"/>
      <c r="B729" s="52"/>
      <c r="C729" s="52"/>
      <c r="D729" s="52"/>
      <c r="E729" s="53"/>
      <c r="F729" s="52"/>
      <c r="G729" s="52"/>
      <c r="H729" s="52"/>
      <c r="I729" s="53"/>
      <c r="J729" s="52"/>
      <c r="K729" s="52"/>
      <c r="L729" s="52"/>
      <c r="M729" s="52"/>
      <c r="N729" s="19"/>
      <c r="O729" s="19"/>
      <c r="P729" s="19"/>
      <c r="Q729" s="19"/>
      <c r="R729" s="19"/>
      <c r="S729" s="19"/>
      <c r="T729" s="19"/>
      <c r="U729" s="19"/>
      <c r="V729" s="19"/>
      <c r="W729" s="19"/>
      <c r="X729" s="19"/>
      <c r="Y729" s="19"/>
      <c r="Z729" s="19"/>
      <c r="AA729" s="19"/>
      <c r="AB729" s="19"/>
      <c r="AC729" s="19"/>
      <c r="AD729" s="19"/>
      <c r="AE729" s="19"/>
      <c r="AF729" s="19"/>
      <c r="AG729" s="19"/>
      <c r="AH729" s="19"/>
      <c r="AI729" s="19"/>
      <c r="AJ729" s="19"/>
      <c r="AK729" s="19"/>
      <c r="AL729" s="19"/>
      <c r="AM729" s="19"/>
      <c r="AN729" s="19"/>
      <c r="AO729" s="19"/>
      <c r="AP729" s="19"/>
      <c r="AQ729" s="19"/>
      <c r="AR729" s="19"/>
      <c r="AS729" s="19"/>
      <c r="AT729" s="19"/>
      <c r="AU729" s="19"/>
      <c r="AV729" s="19"/>
      <c r="AW729" s="19"/>
      <c r="AX729" s="19"/>
      <c r="GA729" s="54"/>
    </row>
    <row r="730" spans="1:183" s="18" customFormat="1">
      <c r="A730" s="51"/>
      <c r="B730" s="52"/>
      <c r="C730" s="52"/>
      <c r="D730" s="52"/>
      <c r="E730" s="53"/>
      <c r="F730" s="52"/>
      <c r="G730" s="52"/>
      <c r="H730" s="52"/>
      <c r="I730" s="53"/>
      <c r="J730" s="52"/>
      <c r="K730" s="52"/>
      <c r="L730" s="52"/>
      <c r="M730" s="52"/>
      <c r="N730" s="19"/>
      <c r="O730" s="19"/>
      <c r="P730" s="19"/>
      <c r="Q730" s="19"/>
      <c r="R730" s="19"/>
      <c r="S730" s="19"/>
      <c r="T730" s="19"/>
      <c r="U730" s="19"/>
      <c r="V730" s="19"/>
      <c r="W730" s="19"/>
      <c r="X730" s="19"/>
      <c r="Y730" s="19"/>
      <c r="Z730" s="19"/>
      <c r="AA730" s="19"/>
      <c r="AB730" s="19"/>
      <c r="AC730" s="19"/>
      <c r="AD730" s="19"/>
      <c r="AE730" s="19"/>
      <c r="AF730" s="19"/>
      <c r="AG730" s="19"/>
      <c r="AH730" s="19"/>
      <c r="AI730" s="19"/>
      <c r="AJ730" s="19"/>
      <c r="AK730" s="19"/>
      <c r="AL730" s="19"/>
      <c r="AM730" s="19"/>
      <c r="AN730" s="19"/>
      <c r="AO730" s="19"/>
      <c r="AP730" s="19"/>
      <c r="AQ730" s="19"/>
      <c r="AR730" s="19"/>
      <c r="AS730" s="19"/>
      <c r="AT730" s="19"/>
      <c r="AU730" s="19"/>
      <c r="AV730" s="19"/>
      <c r="AW730" s="19"/>
      <c r="AX730" s="19"/>
      <c r="GA730" s="54"/>
    </row>
    <row r="731" spans="1:183" s="18" customFormat="1">
      <c r="A731" s="51"/>
      <c r="B731" s="52"/>
      <c r="C731" s="52"/>
      <c r="D731" s="52"/>
      <c r="E731" s="53"/>
      <c r="F731" s="52"/>
      <c r="G731" s="52"/>
      <c r="H731" s="52"/>
      <c r="I731" s="53"/>
      <c r="J731" s="52"/>
      <c r="K731" s="52"/>
      <c r="L731" s="52"/>
      <c r="M731" s="52"/>
      <c r="N731" s="19"/>
      <c r="O731" s="19"/>
      <c r="P731" s="19"/>
      <c r="Q731" s="19"/>
      <c r="R731" s="19"/>
      <c r="S731" s="19"/>
      <c r="T731" s="19"/>
      <c r="U731" s="19"/>
      <c r="V731" s="19"/>
      <c r="W731" s="19"/>
      <c r="X731" s="19"/>
      <c r="Y731" s="19"/>
      <c r="Z731" s="19"/>
      <c r="AA731" s="19"/>
      <c r="AB731" s="19"/>
      <c r="AC731" s="19"/>
      <c r="AD731" s="19"/>
      <c r="AE731" s="19"/>
      <c r="AF731" s="19"/>
      <c r="AG731" s="19"/>
      <c r="AH731" s="19"/>
      <c r="AI731" s="19"/>
      <c r="AJ731" s="19"/>
      <c r="AK731" s="19"/>
      <c r="AL731" s="19"/>
      <c r="AM731" s="19"/>
      <c r="AN731" s="19"/>
      <c r="AO731" s="19"/>
      <c r="AP731" s="19"/>
      <c r="AQ731" s="19"/>
      <c r="AR731" s="19"/>
      <c r="AS731" s="19"/>
      <c r="AT731" s="19"/>
      <c r="AU731" s="19"/>
      <c r="AV731" s="19"/>
      <c r="AW731" s="19"/>
      <c r="AX731" s="19"/>
      <c r="GA731" s="54"/>
    </row>
    <row r="732" spans="1:183" s="18" customFormat="1">
      <c r="A732" s="51"/>
      <c r="B732" s="52"/>
      <c r="C732" s="52"/>
      <c r="D732" s="52"/>
      <c r="E732" s="53"/>
      <c r="F732" s="52"/>
      <c r="G732" s="52"/>
      <c r="H732" s="52"/>
      <c r="I732" s="53"/>
      <c r="J732" s="52"/>
      <c r="K732" s="52"/>
      <c r="L732" s="52"/>
      <c r="M732" s="52"/>
      <c r="N732" s="19"/>
      <c r="O732" s="19"/>
      <c r="P732" s="19"/>
      <c r="Q732" s="19"/>
      <c r="R732" s="19"/>
      <c r="S732" s="19"/>
      <c r="T732" s="19"/>
      <c r="U732" s="19"/>
      <c r="V732" s="19"/>
      <c r="W732" s="19"/>
      <c r="X732" s="19"/>
      <c r="Y732" s="19"/>
      <c r="Z732" s="19"/>
      <c r="AA732" s="19"/>
      <c r="AB732" s="19"/>
      <c r="AC732" s="19"/>
      <c r="AD732" s="19"/>
      <c r="AE732" s="19"/>
      <c r="AF732" s="19"/>
      <c r="AG732" s="19"/>
      <c r="AH732" s="19"/>
      <c r="AI732" s="19"/>
      <c r="AJ732" s="19"/>
      <c r="AK732" s="19"/>
      <c r="AL732" s="19"/>
      <c r="AM732" s="19"/>
      <c r="AN732" s="19"/>
      <c r="AO732" s="19"/>
      <c r="AP732" s="19"/>
      <c r="AQ732" s="19"/>
      <c r="AR732" s="19"/>
      <c r="AS732" s="19"/>
      <c r="AT732" s="19"/>
      <c r="AU732" s="19"/>
      <c r="AV732" s="19"/>
      <c r="AW732" s="19"/>
      <c r="AX732" s="19"/>
      <c r="GA732" s="54"/>
    </row>
    <row r="733" spans="1:183" s="18" customFormat="1">
      <c r="A733" s="51"/>
      <c r="B733" s="52"/>
      <c r="C733" s="52"/>
      <c r="D733" s="52"/>
      <c r="E733" s="53"/>
      <c r="F733" s="52"/>
      <c r="G733" s="52"/>
      <c r="H733" s="52"/>
      <c r="I733" s="53"/>
      <c r="J733" s="52"/>
      <c r="K733" s="52"/>
      <c r="L733" s="52"/>
      <c r="M733" s="52"/>
      <c r="N733" s="19"/>
      <c r="O733" s="19"/>
      <c r="P733" s="19"/>
      <c r="Q733" s="19"/>
      <c r="R733" s="19"/>
      <c r="S733" s="19"/>
      <c r="T733" s="19"/>
      <c r="U733" s="19"/>
      <c r="V733" s="19"/>
      <c r="W733" s="19"/>
      <c r="X733" s="19"/>
      <c r="Y733" s="19"/>
      <c r="Z733" s="19"/>
      <c r="AA733" s="19"/>
      <c r="AB733" s="19"/>
      <c r="AC733" s="19"/>
      <c r="AD733" s="19"/>
      <c r="AE733" s="19"/>
      <c r="AF733" s="19"/>
      <c r="AG733" s="19"/>
      <c r="AH733" s="19"/>
      <c r="AI733" s="19"/>
      <c r="AJ733" s="19"/>
      <c r="AK733" s="19"/>
      <c r="AL733" s="19"/>
      <c r="AM733" s="19"/>
      <c r="AN733" s="19"/>
      <c r="AO733" s="19"/>
      <c r="AP733" s="19"/>
      <c r="AQ733" s="19"/>
      <c r="AR733" s="19"/>
      <c r="AS733" s="19"/>
      <c r="AT733" s="19"/>
      <c r="AU733" s="19"/>
      <c r="AV733" s="19"/>
      <c r="AW733" s="19"/>
      <c r="AX733" s="19"/>
      <c r="GA733" s="54"/>
    </row>
    <row r="734" spans="1:183" s="18" customFormat="1">
      <c r="A734" s="51"/>
      <c r="B734" s="52"/>
      <c r="C734" s="52"/>
      <c r="D734" s="52"/>
      <c r="E734" s="53"/>
      <c r="F734" s="52"/>
      <c r="G734" s="52"/>
      <c r="H734" s="52"/>
      <c r="I734" s="53"/>
      <c r="J734" s="52"/>
      <c r="K734" s="52"/>
      <c r="L734" s="52"/>
      <c r="M734" s="52"/>
      <c r="N734" s="19"/>
      <c r="O734" s="19"/>
      <c r="P734" s="19"/>
      <c r="Q734" s="19"/>
      <c r="R734" s="19"/>
      <c r="S734" s="19"/>
      <c r="T734" s="19"/>
      <c r="U734" s="19"/>
      <c r="V734" s="19"/>
      <c r="W734" s="19"/>
      <c r="X734" s="19"/>
      <c r="Y734" s="19"/>
      <c r="Z734" s="19"/>
      <c r="AA734" s="19"/>
      <c r="AB734" s="19"/>
      <c r="AC734" s="19"/>
      <c r="AD734" s="19"/>
      <c r="AE734" s="19"/>
      <c r="AF734" s="19"/>
      <c r="AG734" s="19"/>
      <c r="AH734" s="19"/>
      <c r="AI734" s="19"/>
      <c r="AJ734" s="19"/>
      <c r="AK734" s="19"/>
      <c r="AL734" s="19"/>
      <c r="AM734" s="19"/>
      <c r="AN734" s="19"/>
      <c r="AO734" s="19"/>
      <c r="AP734" s="19"/>
      <c r="AQ734" s="19"/>
      <c r="AR734" s="19"/>
      <c r="AS734" s="19"/>
      <c r="AT734" s="19"/>
      <c r="AU734" s="19"/>
      <c r="AV734" s="19"/>
      <c r="AW734" s="19"/>
      <c r="AX734" s="19"/>
      <c r="GA734" s="54"/>
    </row>
    <row r="735" spans="1:183" s="18" customFormat="1">
      <c r="A735" s="51"/>
      <c r="B735" s="52"/>
      <c r="C735" s="52"/>
      <c r="D735" s="52"/>
      <c r="E735" s="53"/>
      <c r="F735" s="52"/>
      <c r="G735" s="52"/>
      <c r="H735" s="52"/>
      <c r="I735" s="53"/>
      <c r="J735" s="52"/>
      <c r="K735" s="52"/>
      <c r="L735" s="52"/>
      <c r="M735" s="52"/>
      <c r="N735" s="19"/>
      <c r="O735" s="19"/>
      <c r="P735" s="19"/>
      <c r="Q735" s="19"/>
      <c r="R735" s="19"/>
      <c r="S735" s="19"/>
      <c r="T735" s="19"/>
      <c r="U735" s="19"/>
      <c r="V735" s="19"/>
      <c r="W735" s="19"/>
      <c r="X735" s="19"/>
      <c r="Y735" s="19"/>
      <c r="Z735" s="19"/>
      <c r="AA735" s="19"/>
      <c r="AB735" s="19"/>
      <c r="AC735" s="19"/>
      <c r="AD735" s="19"/>
      <c r="AE735" s="19"/>
      <c r="AF735" s="19"/>
      <c r="AG735" s="19"/>
      <c r="AH735" s="19"/>
      <c r="AI735" s="19"/>
      <c r="AJ735" s="19"/>
      <c r="AK735" s="19"/>
      <c r="AL735" s="19"/>
      <c r="AM735" s="19"/>
      <c r="AN735" s="19"/>
      <c r="AO735" s="19"/>
      <c r="AP735" s="19"/>
      <c r="AQ735" s="19"/>
      <c r="AR735" s="19"/>
      <c r="AS735" s="19"/>
      <c r="AT735" s="19"/>
      <c r="AU735" s="19"/>
      <c r="AV735" s="19"/>
      <c r="AW735" s="19"/>
      <c r="AX735" s="19"/>
      <c r="GA735" s="54"/>
    </row>
    <row r="736" spans="1:183" s="18" customFormat="1">
      <c r="A736" s="51"/>
      <c r="B736" s="52"/>
      <c r="C736" s="52"/>
      <c r="D736" s="52"/>
      <c r="E736" s="53"/>
      <c r="F736" s="52"/>
      <c r="G736" s="52"/>
      <c r="H736" s="52"/>
      <c r="I736" s="53"/>
      <c r="J736" s="52"/>
      <c r="K736" s="52"/>
      <c r="L736" s="52"/>
      <c r="M736" s="52"/>
      <c r="N736" s="19"/>
      <c r="O736" s="19"/>
      <c r="P736" s="19"/>
      <c r="Q736" s="19"/>
      <c r="R736" s="19"/>
      <c r="S736" s="19"/>
      <c r="T736" s="19"/>
      <c r="U736" s="19"/>
      <c r="V736" s="19"/>
      <c r="W736" s="19"/>
      <c r="X736" s="19"/>
      <c r="Y736" s="19"/>
      <c r="Z736" s="19"/>
      <c r="AA736" s="19"/>
      <c r="AB736" s="19"/>
      <c r="AC736" s="19"/>
      <c r="AD736" s="19"/>
      <c r="AE736" s="19"/>
      <c r="AF736" s="19"/>
      <c r="AG736" s="19"/>
      <c r="AH736" s="19"/>
      <c r="AI736" s="19"/>
      <c r="AJ736" s="19"/>
      <c r="AK736" s="19"/>
      <c r="AL736" s="19"/>
      <c r="AM736" s="19"/>
      <c r="AN736" s="19"/>
      <c r="AO736" s="19"/>
      <c r="AP736" s="19"/>
      <c r="AQ736" s="19"/>
      <c r="AR736" s="19"/>
      <c r="AS736" s="19"/>
      <c r="AT736" s="19"/>
      <c r="AU736" s="19"/>
      <c r="AV736" s="19"/>
      <c r="AW736" s="19"/>
      <c r="AX736" s="19"/>
      <c r="GA736" s="54"/>
    </row>
    <row r="737" spans="1:183" s="18" customFormat="1">
      <c r="A737" s="51"/>
      <c r="B737" s="52"/>
      <c r="C737" s="52"/>
      <c r="D737" s="52"/>
      <c r="E737" s="53"/>
      <c r="F737" s="52"/>
      <c r="G737" s="52"/>
      <c r="H737" s="52"/>
      <c r="I737" s="53"/>
      <c r="J737" s="52"/>
      <c r="K737" s="52"/>
      <c r="L737" s="52"/>
      <c r="M737" s="52"/>
      <c r="N737" s="19"/>
      <c r="O737" s="19"/>
      <c r="P737" s="19"/>
      <c r="Q737" s="19"/>
      <c r="R737" s="19"/>
      <c r="S737" s="19"/>
      <c r="T737" s="19"/>
      <c r="U737" s="19"/>
      <c r="V737" s="19"/>
      <c r="W737" s="19"/>
      <c r="X737" s="19"/>
      <c r="Y737" s="19"/>
      <c r="Z737" s="19"/>
      <c r="AA737" s="19"/>
      <c r="AB737" s="19"/>
      <c r="AC737" s="19"/>
      <c r="AD737" s="19"/>
      <c r="AE737" s="19"/>
      <c r="AF737" s="19"/>
      <c r="AG737" s="19"/>
      <c r="AH737" s="19"/>
      <c r="AI737" s="19"/>
      <c r="AJ737" s="19"/>
      <c r="AK737" s="19"/>
      <c r="AL737" s="19"/>
      <c r="AM737" s="19"/>
      <c r="AN737" s="19"/>
      <c r="AO737" s="19"/>
      <c r="AP737" s="19"/>
      <c r="AQ737" s="19"/>
      <c r="AR737" s="19"/>
      <c r="AS737" s="19"/>
      <c r="AT737" s="19"/>
      <c r="AU737" s="19"/>
      <c r="AV737" s="19"/>
      <c r="AW737" s="19"/>
      <c r="AX737" s="19"/>
      <c r="GA737" s="54"/>
    </row>
    <row r="738" spans="1:183" s="18" customFormat="1">
      <c r="A738" s="51"/>
      <c r="B738" s="52"/>
      <c r="C738" s="52"/>
      <c r="D738" s="52"/>
      <c r="E738" s="53"/>
      <c r="F738" s="52"/>
      <c r="G738" s="52"/>
      <c r="H738" s="52"/>
      <c r="I738" s="53"/>
      <c r="J738" s="52"/>
      <c r="K738" s="52"/>
      <c r="L738" s="52"/>
      <c r="M738" s="52"/>
      <c r="N738" s="19"/>
      <c r="O738" s="19"/>
      <c r="P738" s="19"/>
      <c r="Q738" s="19"/>
      <c r="R738" s="19"/>
      <c r="S738" s="19"/>
      <c r="T738" s="19"/>
      <c r="U738" s="19"/>
      <c r="V738" s="19"/>
      <c r="W738" s="19"/>
      <c r="X738" s="19"/>
      <c r="Y738" s="19"/>
      <c r="Z738" s="19"/>
      <c r="AA738" s="19"/>
      <c r="AB738" s="19"/>
      <c r="AC738" s="19"/>
      <c r="AD738" s="19"/>
      <c r="AE738" s="19"/>
      <c r="AF738" s="19"/>
      <c r="AG738" s="19"/>
      <c r="AH738" s="19"/>
      <c r="AI738" s="19"/>
      <c r="AJ738" s="19"/>
      <c r="AK738" s="19"/>
      <c r="AL738" s="19"/>
      <c r="AM738" s="19"/>
      <c r="AN738" s="19"/>
      <c r="AO738" s="19"/>
      <c r="AP738" s="19"/>
      <c r="AQ738" s="19"/>
      <c r="AR738" s="19"/>
      <c r="AS738" s="19"/>
      <c r="AT738" s="19"/>
      <c r="AU738" s="19"/>
      <c r="AV738" s="19"/>
      <c r="AW738" s="19"/>
      <c r="AX738" s="19"/>
      <c r="GA738" s="54"/>
    </row>
    <row r="739" spans="1:183" s="18" customFormat="1">
      <c r="A739" s="51"/>
      <c r="B739" s="52"/>
      <c r="C739" s="52"/>
      <c r="D739" s="52"/>
      <c r="E739" s="53"/>
      <c r="F739" s="52"/>
      <c r="G739" s="52"/>
      <c r="H739" s="52"/>
      <c r="I739" s="53"/>
      <c r="J739" s="52"/>
      <c r="K739" s="52"/>
      <c r="L739" s="52"/>
      <c r="M739" s="52"/>
      <c r="N739" s="19"/>
      <c r="O739" s="19"/>
      <c r="P739" s="19"/>
      <c r="Q739" s="19"/>
      <c r="R739" s="19"/>
      <c r="S739" s="19"/>
      <c r="T739" s="19"/>
      <c r="U739" s="19"/>
      <c r="V739" s="19"/>
      <c r="W739" s="19"/>
      <c r="X739" s="19"/>
      <c r="Y739" s="19"/>
      <c r="Z739" s="19"/>
      <c r="AA739" s="19"/>
      <c r="AB739" s="19"/>
      <c r="AC739" s="19"/>
      <c r="AD739" s="19"/>
      <c r="AE739" s="19"/>
      <c r="AF739" s="19"/>
      <c r="AG739" s="19"/>
      <c r="AH739" s="19"/>
      <c r="AI739" s="19"/>
      <c r="AJ739" s="19"/>
      <c r="AK739" s="19"/>
      <c r="AL739" s="19"/>
      <c r="AM739" s="19"/>
      <c r="AN739" s="19"/>
      <c r="AO739" s="19"/>
      <c r="AP739" s="19"/>
      <c r="AQ739" s="19"/>
      <c r="AR739" s="19"/>
      <c r="AS739" s="19"/>
      <c r="AT739" s="19"/>
      <c r="AU739" s="19"/>
      <c r="AV739" s="19"/>
      <c r="AW739" s="19"/>
      <c r="AX739" s="19"/>
      <c r="GA739" s="54"/>
    </row>
    <row r="740" spans="1:183" s="18" customFormat="1">
      <c r="A740" s="51"/>
      <c r="B740" s="52"/>
      <c r="C740" s="52"/>
      <c r="D740" s="52"/>
      <c r="E740" s="53"/>
      <c r="F740" s="52"/>
      <c r="G740" s="52"/>
      <c r="H740" s="52"/>
      <c r="I740" s="53"/>
      <c r="J740" s="52"/>
      <c r="K740" s="52"/>
      <c r="L740" s="52"/>
      <c r="M740" s="52"/>
      <c r="N740" s="19"/>
      <c r="O740" s="19"/>
      <c r="P740" s="19"/>
      <c r="Q740" s="19"/>
      <c r="R740" s="19"/>
      <c r="S740" s="19"/>
      <c r="T740" s="19"/>
      <c r="U740" s="19"/>
      <c r="V740" s="19"/>
      <c r="W740" s="19"/>
      <c r="X740" s="19"/>
      <c r="Y740" s="19"/>
      <c r="Z740" s="19"/>
      <c r="AA740" s="19"/>
      <c r="AB740" s="19"/>
      <c r="AC740" s="19"/>
      <c r="AD740" s="19"/>
      <c r="AE740" s="19"/>
      <c r="AF740" s="19"/>
      <c r="AG740" s="19"/>
      <c r="AH740" s="19"/>
      <c r="AI740" s="19"/>
      <c r="AJ740" s="19"/>
      <c r="AK740" s="19"/>
      <c r="AL740" s="19"/>
      <c r="AM740" s="19"/>
      <c r="AN740" s="19"/>
      <c r="AO740" s="19"/>
      <c r="AP740" s="19"/>
      <c r="AQ740" s="19"/>
      <c r="AR740" s="19"/>
      <c r="AS740" s="19"/>
      <c r="AT740" s="19"/>
      <c r="AU740" s="19"/>
      <c r="AV740" s="19"/>
      <c r="AW740" s="19"/>
      <c r="AX740" s="19"/>
      <c r="GA740" s="54"/>
    </row>
    <row r="741" spans="1:183" s="18" customFormat="1">
      <c r="A741" s="51"/>
      <c r="B741" s="52"/>
      <c r="C741" s="52"/>
      <c r="D741" s="52"/>
      <c r="E741" s="53"/>
      <c r="F741" s="52"/>
      <c r="G741" s="52"/>
      <c r="H741" s="52"/>
      <c r="I741" s="53"/>
      <c r="J741" s="52"/>
      <c r="K741" s="52"/>
      <c r="L741" s="52"/>
      <c r="M741" s="52"/>
      <c r="N741" s="19"/>
      <c r="O741" s="19"/>
      <c r="P741" s="19"/>
      <c r="Q741" s="19"/>
      <c r="R741" s="19"/>
      <c r="S741" s="19"/>
      <c r="T741" s="19"/>
      <c r="U741" s="19"/>
      <c r="V741" s="19"/>
      <c r="W741" s="19"/>
      <c r="X741" s="19"/>
      <c r="Y741" s="19"/>
      <c r="Z741" s="19"/>
      <c r="AA741" s="19"/>
      <c r="AB741" s="19"/>
      <c r="AC741" s="19"/>
      <c r="AD741" s="19"/>
      <c r="AE741" s="19"/>
      <c r="AF741" s="19"/>
      <c r="AG741" s="19"/>
      <c r="AH741" s="19"/>
      <c r="AI741" s="19"/>
      <c r="AJ741" s="19"/>
      <c r="AK741" s="19"/>
      <c r="AL741" s="19"/>
      <c r="AM741" s="19"/>
      <c r="AN741" s="19"/>
      <c r="AO741" s="19"/>
      <c r="AP741" s="19"/>
      <c r="AQ741" s="19"/>
      <c r="AR741" s="19"/>
      <c r="AS741" s="19"/>
      <c r="AT741" s="19"/>
      <c r="AU741" s="19"/>
      <c r="AV741" s="19"/>
      <c r="AW741" s="19"/>
      <c r="AX741" s="19"/>
      <c r="GA741" s="54"/>
    </row>
    <row r="742" spans="1:183" s="18" customFormat="1">
      <c r="A742" s="51"/>
      <c r="B742" s="52"/>
      <c r="C742" s="52"/>
      <c r="D742" s="52"/>
      <c r="E742" s="53"/>
      <c r="F742" s="52"/>
      <c r="G742" s="52"/>
      <c r="H742" s="52"/>
      <c r="I742" s="53"/>
      <c r="J742" s="52"/>
      <c r="K742" s="52"/>
      <c r="L742" s="52"/>
      <c r="M742" s="52"/>
      <c r="N742" s="19"/>
      <c r="O742" s="19"/>
      <c r="P742" s="19"/>
      <c r="Q742" s="19"/>
      <c r="R742" s="19"/>
      <c r="S742" s="19"/>
      <c r="T742" s="19"/>
      <c r="U742" s="19"/>
      <c r="V742" s="19"/>
      <c r="W742" s="19"/>
      <c r="X742" s="19"/>
      <c r="Y742" s="19"/>
      <c r="Z742" s="19"/>
      <c r="AA742" s="19"/>
      <c r="AB742" s="19"/>
      <c r="AC742" s="19"/>
      <c r="AD742" s="19"/>
      <c r="AE742" s="19"/>
      <c r="AF742" s="19"/>
      <c r="AG742" s="19"/>
      <c r="AH742" s="19"/>
      <c r="AI742" s="19"/>
      <c r="AJ742" s="19"/>
      <c r="AK742" s="19"/>
      <c r="AL742" s="19"/>
      <c r="AM742" s="19"/>
      <c r="AN742" s="19"/>
      <c r="AO742" s="19"/>
      <c r="AP742" s="19"/>
      <c r="AQ742" s="19"/>
      <c r="AR742" s="19"/>
      <c r="AS742" s="19"/>
      <c r="AT742" s="19"/>
      <c r="AU742" s="19"/>
      <c r="AV742" s="19"/>
      <c r="AW742" s="19"/>
      <c r="AX742" s="19"/>
      <c r="GA742" s="54"/>
    </row>
    <row r="743" spans="1:183" s="18" customFormat="1">
      <c r="A743" s="51"/>
      <c r="B743" s="52"/>
      <c r="C743" s="52"/>
      <c r="D743" s="52"/>
      <c r="E743" s="53"/>
      <c r="F743" s="52"/>
      <c r="G743" s="52"/>
      <c r="H743" s="52"/>
      <c r="I743" s="53"/>
      <c r="J743" s="52"/>
      <c r="K743" s="52"/>
      <c r="L743" s="52"/>
      <c r="M743" s="52"/>
      <c r="N743" s="19"/>
      <c r="O743" s="19"/>
      <c r="P743" s="19"/>
      <c r="Q743" s="19"/>
      <c r="R743" s="19"/>
      <c r="S743" s="19"/>
      <c r="T743" s="19"/>
      <c r="U743" s="19"/>
      <c r="V743" s="19"/>
      <c r="W743" s="19"/>
      <c r="X743" s="19"/>
      <c r="Y743" s="19"/>
      <c r="Z743" s="19"/>
      <c r="AA743" s="19"/>
      <c r="AB743" s="19"/>
      <c r="AC743" s="19"/>
      <c r="AD743" s="19"/>
      <c r="AE743" s="19"/>
      <c r="AF743" s="19"/>
      <c r="AG743" s="19"/>
      <c r="AH743" s="19"/>
      <c r="AI743" s="19"/>
      <c r="AJ743" s="19"/>
      <c r="AK743" s="19"/>
      <c r="AL743" s="19"/>
      <c r="AM743" s="19"/>
      <c r="AN743" s="19"/>
      <c r="AO743" s="19"/>
      <c r="AP743" s="19"/>
      <c r="AQ743" s="19"/>
      <c r="AR743" s="19"/>
      <c r="AS743" s="19"/>
      <c r="AT743" s="19"/>
      <c r="AU743" s="19"/>
      <c r="AV743" s="19"/>
      <c r="AW743" s="19"/>
      <c r="AX743" s="19"/>
      <c r="GA743" s="54"/>
    </row>
    <row r="744" spans="1:183" s="18" customFormat="1">
      <c r="A744" s="51"/>
      <c r="B744" s="52"/>
      <c r="C744" s="52"/>
      <c r="D744" s="52"/>
      <c r="E744" s="53"/>
      <c r="F744" s="52"/>
      <c r="G744" s="52"/>
      <c r="H744" s="52"/>
      <c r="I744" s="53"/>
      <c r="J744" s="52"/>
      <c r="K744" s="52"/>
      <c r="L744" s="52"/>
      <c r="M744" s="52"/>
      <c r="N744" s="19"/>
      <c r="O744" s="19"/>
      <c r="P744" s="19"/>
      <c r="Q744" s="19"/>
      <c r="R744" s="19"/>
      <c r="S744" s="19"/>
      <c r="T744" s="19"/>
      <c r="U744" s="19"/>
      <c r="V744" s="19"/>
      <c r="W744" s="19"/>
      <c r="X744" s="19"/>
      <c r="Y744" s="19"/>
      <c r="Z744" s="19"/>
      <c r="AA744" s="19"/>
      <c r="AB744" s="19"/>
      <c r="AC744" s="19"/>
      <c r="AD744" s="19"/>
      <c r="AE744" s="19"/>
      <c r="AF744" s="19"/>
      <c r="AG744" s="19"/>
      <c r="AH744" s="19"/>
      <c r="AI744" s="19"/>
      <c r="AJ744" s="19"/>
      <c r="AK744" s="19"/>
      <c r="AL744" s="19"/>
      <c r="AM744" s="19"/>
      <c r="AN744" s="19"/>
      <c r="AO744" s="19"/>
      <c r="AP744" s="19"/>
      <c r="AQ744" s="19"/>
      <c r="AR744" s="19"/>
      <c r="AS744" s="19"/>
      <c r="AT744" s="19"/>
      <c r="AU744" s="19"/>
      <c r="AV744" s="19"/>
      <c r="AW744" s="19"/>
      <c r="AX744" s="19"/>
      <c r="GA744" s="54"/>
    </row>
    <row r="745" spans="1:183" s="18" customFormat="1">
      <c r="A745" s="51"/>
      <c r="B745" s="52"/>
      <c r="C745" s="52"/>
      <c r="D745" s="52"/>
      <c r="E745" s="53"/>
      <c r="F745" s="52"/>
      <c r="G745" s="52"/>
      <c r="H745" s="52"/>
      <c r="I745" s="53"/>
      <c r="J745" s="52"/>
      <c r="K745" s="52"/>
      <c r="L745" s="52"/>
      <c r="M745" s="52"/>
      <c r="N745" s="19"/>
      <c r="O745" s="19"/>
      <c r="P745" s="19"/>
      <c r="Q745" s="19"/>
      <c r="R745" s="19"/>
      <c r="S745" s="19"/>
      <c r="T745" s="19"/>
      <c r="U745" s="19"/>
      <c r="V745" s="19"/>
      <c r="W745" s="19"/>
      <c r="X745" s="19"/>
      <c r="Y745" s="19"/>
      <c r="Z745" s="19"/>
      <c r="AA745" s="19"/>
      <c r="AB745" s="19"/>
      <c r="AC745" s="19"/>
      <c r="AD745" s="19"/>
      <c r="AE745" s="19"/>
      <c r="AF745" s="19"/>
      <c r="AG745" s="19"/>
      <c r="AH745" s="19"/>
      <c r="AI745" s="19"/>
      <c r="AJ745" s="19"/>
      <c r="AK745" s="19"/>
      <c r="AL745" s="19"/>
      <c r="AM745" s="19"/>
      <c r="AN745" s="19"/>
      <c r="AO745" s="19"/>
      <c r="AP745" s="19"/>
      <c r="AQ745" s="19"/>
      <c r="AR745" s="19"/>
      <c r="AS745" s="19"/>
      <c r="AT745" s="19"/>
      <c r="AU745" s="19"/>
      <c r="AV745" s="19"/>
      <c r="AW745" s="19"/>
      <c r="AX745" s="19"/>
      <c r="GA745" s="54"/>
    </row>
    <row r="746" spans="1:183" s="18" customFormat="1">
      <c r="A746" s="51"/>
      <c r="B746" s="52"/>
      <c r="C746" s="52"/>
      <c r="D746" s="52"/>
      <c r="E746" s="53"/>
      <c r="F746" s="52"/>
      <c r="G746" s="52"/>
      <c r="H746" s="52"/>
      <c r="I746" s="53"/>
      <c r="J746" s="52"/>
      <c r="K746" s="52"/>
      <c r="L746" s="52"/>
      <c r="M746" s="52"/>
      <c r="N746" s="19"/>
      <c r="O746" s="19"/>
      <c r="P746" s="19"/>
      <c r="Q746" s="19"/>
      <c r="R746" s="19"/>
      <c r="S746" s="19"/>
      <c r="T746" s="19"/>
      <c r="U746" s="19"/>
      <c r="V746" s="19"/>
      <c r="W746" s="19"/>
      <c r="X746" s="19"/>
      <c r="Y746" s="19"/>
      <c r="Z746" s="19"/>
      <c r="AA746" s="19"/>
      <c r="AB746" s="19"/>
      <c r="AC746" s="19"/>
      <c r="AD746" s="19"/>
      <c r="AE746" s="19"/>
      <c r="AF746" s="19"/>
      <c r="AG746" s="19"/>
      <c r="AH746" s="19"/>
      <c r="AI746" s="19"/>
      <c r="AJ746" s="19"/>
      <c r="AK746" s="19"/>
      <c r="AL746" s="19"/>
      <c r="AM746" s="19"/>
      <c r="AN746" s="19"/>
      <c r="AO746" s="19"/>
      <c r="AP746" s="19"/>
      <c r="AQ746" s="19"/>
      <c r="AR746" s="19"/>
      <c r="AS746" s="19"/>
      <c r="AT746" s="19"/>
      <c r="AU746" s="19"/>
      <c r="AV746" s="19"/>
      <c r="AW746" s="19"/>
      <c r="AX746" s="19"/>
      <c r="GA746" s="54"/>
    </row>
    <row r="747" spans="1:183" s="18" customFormat="1">
      <c r="A747" s="51"/>
      <c r="B747" s="52"/>
      <c r="C747" s="52"/>
      <c r="D747" s="52"/>
      <c r="E747" s="53"/>
      <c r="F747" s="52"/>
      <c r="G747" s="52"/>
      <c r="H747" s="52"/>
      <c r="I747" s="53"/>
      <c r="J747" s="52"/>
      <c r="K747" s="52"/>
      <c r="L747" s="52"/>
      <c r="M747" s="52"/>
      <c r="N747" s="19"/>
      <c r="O747" s="19"/>
      <c r="P747" s="19"/>
      <c r="Q747" s="19"/>
      <c r="R747" s="19"/>
      <c r="S747" s="19"/>
      <c r="T747" s="19"/>
      <c r="U747" s="19"/>
      <c r="V747" s="19"/>
      <c r="W747" s="19"/>
      <c r="X747" s="19"/>
      <c r="Y747" s="19"/>
      <c r="Z747" s="19"/>
      <c r="AA747" s="19"/>
      <c r="AB747" s="19"/>
      <c r="AC747" s="19"/>
      <c r="AD747" s="19"/>
      <c r="AE747" s="19"/>
      <c r="AF747" s="19"/>
      <c r="AG747" s="19"/>
      <c r="AH747" s="19"/>
      <c r="AI747" s="19"/>
      <c r="AJ747" s="19"/>
      <c r="AK747" s="19"/>
      <c r="AL747" s="19"/>
      <c r="AM747" s="19"/>
      <c r="AN747" s="19"/>
      <c r="AO747" s="19"/>
      <c r="AP747" s="19"/>
      <c r="AQ747" s="19"/>
      <c r="AR747" s="19"/>
      <c r="AS747" s="19"/>
      <c r="AT747" s="19"/>
      <c r="AU747" s="19"/>
      <c r="AV747" s="19"/>
      <c r="AW747" s="19"/>
      <c r="AX747" s="19"/>
      <c r="GA747" s="54"/>
    </row>
    <row r="748" spans="1:183" s="18" customFormat="1">
      <c r="A748" s="51"/>
      <c r="B748" s="52"/>
      <c r="C748" s="52"/>
      <c r="D748" s="52"/>
      <c r="E748" s="53"/>
      <c r="F748" s="52"/>
      <c r="G748" s="52"/>
      <c r="H748" s="52"/>
      <c r="I748" s="53"/>
      <c r="J748" s="52"/>
      <c r="K748" s="52"/>
      <c r="L748" s="52"/>
      <c r="M748" s="52"/>
      <c r="N748" s="19"/>
      <c r="O748" s="19"/>
      <c r="P748" s="19"/>
      <c r="Q748" s="19"/>
      <c r="R748" s="19"/>
      <c r="S748" s="19"/>
      <c r="T748" s="19"/>
      <c r="U748" s="19"/>
      <c r="V748" s="19"/>
      <c r="W748" s="19"/>
      <c r="X748" s="19"/>
      <c r="Y748" s="19"/>
      <c r="Z748" s="19"/>
      <c r="AA748" s="19"/>
      <c r="AB748" s="19"/>
      <c r="AC748" s="19"/>
      <c r="AD748" s="19"/>
      <c r="AE748" s="19"/>
      <c r="AF748" s="19"/>
      <c r="AG748" s="19"/>
      <c r="AH748" s="19"/>
      <c r="AI748" s="19"/>
      <c r="AJ748" s="19"/>
      <c r="AK748" s="19"/>
      <c r="AL748" s="19"/>
      <c r="AM748" s="19"/>
      <c r="AN748" s="19"/>
      <c r="AO748" s="19"/>
      <c r="AP748" s="19"/>
      <c r="AQ748" s="19"/>
      <c r="AR748" s="19"/>
      <c r="AS748" s="19"/>
      <c r="AT748" s="19"/>
      <c r="AU748" s="19"/>
      <c r="AV748" s="19"/>
      <c r="AW748" s="19"/>
      <c r="AX748" s="19"/>
      <c r="GA748" s="54"/>
    </row>
    <row r="749" spans="1:183" s="18" customFormat="1">
      <c r="A749" s="51"/>
      <c r="B749" s="52"/>
      <c r="C749" s="52"/>
      <c r="D749" s="52"/>
      <c r="E749" s="53"/>
      <c r="F749" s="52"/>
      <c r="G749" s="52"/>
      <c r="H749" s="52"/>
      <c r="I749" s="53"/>
      <c r="J749" s="52"/>
      <c r="K749" s="52"/>
      <c r="L749" s="52"/>
      <c r="M749" s="52"/>
      <c r="N749" s="19"/>
      <c r="O749" s="19"/>
      <c r="P749" s="19"/>
      <c r="Q749" s="19"/>
      <c r="R749" s="19"/>
      <c r="S749" s="19"/>
      <c r="T749" s="19"/>
      <c r="U749" s="19"/>
      <c r="V749" s="19"/>
      <c r="W749" s="19"/>
      <c r="X749" s="19"/>
      <c r="Y749" s="19"/>
      <c r="Z749" s="19"/>
      <c r="AA749" s="19"/>
      <c r="AB749" s="19"/>
      <c r="AC749" s="19"/>
      <c r="AD749" s="19"/>
      <c r="AE749" s="19"/>
      <c r="AF749" s="19"/>
      <c r="AG749" s="19"/>
      <c r="AH749" s="19"/>
      <c r="AI749" s="19"/>
      <c r="AJ749" s="19"/>
      <c r="AK749" s="19"/>
      <c r="AL749" s="19"/>
      <c r="AM749" s="19"/>
      <c r="AN749" s="19"/>
      <c r="AO749" s="19"/>
      <c r="AP749" s="19"/>
      <c r="AQ749" s="19"/>
      <c r="AR749" s="19"/>
      <c r="AS749" s="19"/>
      <c r="AT749" s="19"/>
      <c r="AU749" s="19"/>
      <c r="AV749" s="19"/>
      <c r="AW749" s="19"/>
      <c r="AX749" s="19"/>
      <c r="GA749" s="54"/>
    </row>
    <row r="750" spans="1:183" s="18" customFormat="1">
      <c r="A750" s="51"/>
      <c r="B750" s="52"/>
      <c r="C750" s="52"/>
      <c r="D750" s="52"/>
      <c r="E750" s="53"/>
      <c r="F750" s="52"/>
      <c r="G750" s="52"/>
      <c r="H750" s="52"/>
      <c r="I750" s="53"/>
      <c r="J750" s="52"/>
      <c r="K750" s="52"/>
      <c r="L750" s="52"/>
      <c r="M750" s="52"/>
      <c r="N750" s="19"/>
      <c r="O750" s="19"/>
      <c r="P750" s="19"/>
      <c r="Q750" s="19"/>
      <c r="R750" s="19"/>
      <c r="S750" s="19"/>
      <c r="T750" s="19"/>
      <c r="U750" s="19"/>
      <c r="V750" s="19"/>
      <c r="W750" s="19"/>
      <c r="X750" s="19"/>
      <c r="Y750" s="19"/>
      <c r="Z750" s="19"/>
      <c r="AA750" s="19"/>
      <c r="AB750" s="19"/>
      <c r="AC750" s="19"/>
      <c r="AD750" s="19"/>
      <c r="AE750" s="19"/>
      <c r="AF750" s="19"/>
      <c r="AG750" s="19"/>
      <c r="AH750" s="19"/>
      <c r="AI750" s="19"/>
      <c r="AJ750" s="19"/>
      <c r="AK750" s="19"/>
      <c r="AL750" s="19"/>
      <c r="AM750" s="19"/>
      <c r="AN750" s="19"/>
      <c r="AO750" s="19"/>
      <c r="AP750" s="19"/>
      <c r="AQ750" s="19"/>
      <c r="AR750" s="19"/>
      <c r="AS750" s="19"/>
      <c r="AT750" s="19"/>
      <c r="AU750" s="19"/>
      <c r="AV750" s="19"/>
      <c r="AW750" s="19"/>
      <c r="AX750" s="19"/>
      <c r="GA750" s="54"/>
    </row>
    <row r="751" spans="1:183" s="18" customFormat="1">
      <c r="A751" s="51"/>
      <c r="B751" s="52"/>
      <c r="C751" s="52"/>
      <c r="D751" s="52"/>
      <c r="E751" s="53"/>
      <c r="F751" s="52"/>
      <c r="G751" s="52"/>
      <c r="H751" s="52"/>
      <c r="I751" s="53"/>
      <c r="J751" s="52"/>
      <c r="K751" s="52"/>
      <c r="L751" s="52"/>
      <c r="M751" s="52"/>
      <c r="N751" s="19"/>
      <c r="O751" s="19"/>
      <c r="P751" s="19"/>
      <c r="Q751" s="19"/>
      <c r="R751" s="19"/>
      <c r="S751" s="19"/>
      <c r="T751" s="19"/>
      <c r="U751" s="19"/>
      <c r="V751" s="19"/>
      <c r="W751" s="19"/>
      <c r="X751" s="19"/>
      <c r="Y751" s="19"/>
      <c r="Z751" s="19"/>
      <c r="AA751" s="19"/>
      <c r="AB751" s="19"/>
      <c r="AC751" s="19"/>
      <c r="AD751" s="19"/>
      <c r="AE751" s="19"/>
      <c r="AF751" s="19"/>
      <c r="AG751" s="19"/>
      <c r="AH751" s="19"/>
      <c r="AI751" s="19"/>
      <c r="AJ751" s="19"/>
      <c r="AK751" s="19"/>
      <c r="AL751" s="19"/>
      <c r="AM751" s="19"/>
      <c r="AN751" s="19"/>
      <c r="AO751" s="19"/>
      <c r="AP751" s="19"/>
      <c r="AQ751" s="19"/>
      <c r="AR751" s="19"/>
      <c r="AS751" s="19"/>
      <c r="AT751" s="19"/>
      <c r="AU751" s="19"/>
      <c r="AV751" s="19"/>
      <c r="AW751" s="19"/>
      <c r="AX751" s="19"/>
      <c r="GA751" s="54"/>
    </row>
    <row r="752" spans="1:183" s="18" customFormat="1">
      <c r="A752" s="51"/>
      <c r="B752" s="52"/>
      <c r="C752" s="52"/>
      <c r="D752" s="52"/>
      <c r="E752" s="53"/>
      <c r="F752" s="52"/>
      <c r="G752" s="52"/>
      <c r="H752" s="52"/>
      <c r="I752" s="53"/>
      <c r="J752" s="52"/>
      <c r="K752" s="52"/>
      <c r="L752" s="52"/>
      <c r="M752" s="52"/>
      <c r="N752" s="19"/>
      <c r="O752" s="19"/>
      <c r="P752" s="19"/>
      <c r="Q752" s="19"/>
      <c r="R752" s="19"/>
      <c r="S752" s="19"/>
      <c r="T752" s="19"/>
      <c r="U752" s="19"/>
      <c r="V752" s="19"/>
      <c r="W752" s="19"/>
      <c r="X752" s="19"/>
      <c r="Y752" s="19"/>
      <c r="Z752" s="19"/>
      <c r="AA752" s="19"/>
      <c r="AB752" s="19"/>
      <c r="AC752" s="19"/>
      <c r="AD752" s="19"/>
      <c r="AE752" s="19"/>
      <c r="AF752" s="19"/>
      <c r="AG752" s="19"/>
      <c r="AH752" s="19"/>
      <c r="AI752" s="19"/>
      <c r="AJ752" s="19"/>
      <c r="AK752" s="19"/>
      <c r="AL752" s="19"/>
      <c r="AM752" s="19"/>
      <c r="AN752" s="19"/>
      <c r="AO752" s="19"/>
      <c r="AP752" s="19"/>
      <c r="AQ752" s="19"/>
      <c r="AR752" s="19"/>
      <c r="AS752" s="19"/>
      <c r="AT752" s="19"/>
      <c r="AU752" s="19"/>
      <c r="AV752" s="19"/>
      <c r="AW752" s="19"/>
      <c r="AX752" s="19"/>
      <c r="GA752" s="54"/>
    </row>
    <row r="753" spans="1:183" s="18" customFormat="1">
      <c r="A753" s="51"/>
      <c r="B753" s="52"/>
      <c r="C753" s="52"/>
      <c r="D753" s="52"/>
      <c r="E753" s="53"/>
      <c r="F753" s="52"/>
      <c r="G753" s="52"/>
      <c r="H753" s="52"/>
      <c r="I753" s="53"/>
      <c r="J753" s="52"/>
      <c r="K753" s="52"/>
      <c r="L753" s="52"/>
      <c r="M753" s="52"/>
      <c r="N753" s="19"/>
      <c r="O753" s="19"/>
      <c r="P753" s="19"/>
      <c r="Q753" s="19"/>
      <c r="R753" s="19"/>
      <c r="S753" s="19"/>
      <c r="T753" s="19"/>
      <c r="U753" s="19"/>
      <c r="V753" s="19"/>
      <c r="W753" s="19"/>
      <c r="X753" s="19"/>
      <c r="Y753" s="19"/>
      <c r="Z753" s="19"/>
      <c r="AA753" s="19"/>
      <c r="AB753" s="19"/>
      <c r="AC753" s="19"/>
      <c r="AD753" s="19"/>
      <c r="AE753" s="19"/>
      <c r="AF753" s="19"/>
      <c r="AG753" s="19"/>
      <c r="AH753" s="19"/>
      <c r="AI753" s="19"/>
      <c r="AJ753" s="19"/>
      <c r="AK753" s="19"/>
      <c r="AL753" s="19"/>
      <c r="AM753" s="19"/>
      <c r="AN753" s="19"/>
      <c r="AO753" s="19"/>
      <c r="AP753" s="19"/>
      <c r="AQ753" s="19"/>
      <c r="AR753" s="19"/>
      <c r="AS753" s="19"/>
      <c r="AT753" s="19"/>
      <c r="AU753" s="19"/>
      <c r="AV753" s="19"/>
      <c r="AW753" s="19"/>
      <c r="AX753" s="19"/>
      <c r="GA753" s="54"/>
    </row>
    <row r="754" spans="1:183" s="18" customFormat="1">
      <c r="A754" s="51"/>
      <c r="B754" s="52"/>
      <c r="C754" s="52"/>
      <c r="D754" s="52"/>
      <c r="E754" s="53"/>
      <c r="F754" s="52"/>
      <c r="G754" s="52"/>
      <c r="H754" s="52"/>
      <c r="I754" s="53"/>
      <c r="J754" s="52"/>
      <c r="K754" s="52"/>
      <c r="L754" s="52"/>
      <c r="M754" s="52"/>
      <c r="N754" s="19"/>
      <c r="O754" s="19"/>
      <c r="P754" s="19"/>
      <c r="Q754" s="19"/>
      <c r="R754" s="19"/>
      <c r="S754" s="19"/>
      <c r="T754" s="19"/>
      <c r="U754" s="19"/>
      <c r="V754" s="19"/>
      <c r="W754" s="19"/>
      <c r="X754" s="19"/>
      <c r="Y754" s="19"/>
      <c r="Z754" s="19"/>
      <c r="AA754" s="19"/>
      <c r="AB754" s="19"/>
      <c r="AC754" s="19"/>
      <c r="AD754" s="19"/>
      <c r="AE754" s="19"/>
      <c r="AF754" s="19"/>
      <c r="AG754" s="19"/>
      <c r="AH754" s="19"/>
      <c r="AI754" s="19"/>
      <c r="AJ754" s="19"/>
      <c r="AK754" s="19"/>
      <c r="AL754" s="19"/>
      <c r="AM754" s="19"/>
      <c r="AN754" s="19"/>
      <c r="AO754" s="19"/>
      <c r="AP754" s="19"/>
      <c r="AQ754" s="19"/>
      <c r="AR754" s="19"/>
      <c r="AS754" s="19"/>
      <c r="AT754" s="19"/>
      <c r="AU754" s="19"/>
      <c r="AV754" s="19"/>
      <c r="AW754" s="19"/>
      <c r="AX754" s="19"/>
      <c r="GA754" s="54"/>
    </row>
    <row r="755" spans="1:183" s="18" customFormat="1">
      <c r="A755" s="51"/>
      <c r="B755" s="52"/>
      <c r="C755" s="52"/>
      <c r="D755" s="52"/>
      <c r="E755" s="53"/>
      <c r="F755" s="52"/>
      <c r="G755" s="52"/>
      <c r="H755" s="52"/>
      <c r="I755" s="53"/>
      <c r="J755" s="52"/>
      <c r="K755" s="52"/>
      <c r="L755" s="52"/>
      <c r="M755" s="52"/>
      <c r="N755" s="19"/>
      <c r="O755" s="19"/>
      <c r="P755" s="19"/>
      <c r="Q755" s="19"/>
      <c r="R755" s="19"/>
      <c r="S755" s="19"/>
      <c r="T755" s="19"/>
      <c r="U755" s="19"/>
      <c r="V755" s="19"/>
      <c r="W755" s="19"/>
      <c r="X755" s="19"/>
      <c r="Y755" s="19"/>
      <c r="Z755" s="19"/>
      <c r="AA755" s="19"/>
      <c r="AB755" s="19"/>
      <c r="AC755" s="19"/>
      <c r="AD755" s="19"/>
      <c r="AE755" s="19"/>
      <c r="AF755" s="19"/>
      <c r="AG755" s="19"/>
      <c r="AH755" s="19"/>
      <c r="AI755" s="19"/>
      <c r="AJ755" s="19"/>
      <c r="AK755" s="19"/>
      <c r="AL755" s="19"/>
      <c r="AM755" s="19"/>
      <c r="AN755" s="19"/>
      <c r="AO755" s="19"/>
      <c r="AP755" s="19"/>
      <c r="AQ755" s="19"/>
      <c r="AR755" s="19"/>
      <c r="AS755" s="19"/>
      <c r="AT755" s="19"/>
      <c r="AU755" s="19"/>
      <c r="AV755" s="19"/>
      <c r="AW755" s="19"/>
      <c r="AX755" s="19"/>
      <c r="GA755" s="54"/>
    </row>
    <row r="756" spans="1:183" s="18" customFormat="1">
      <c r="A756" s="51"/>
      <c r="B756" s="52"/>
      <c r="C756" s="52"/>
      <c r="D756" s="52"/>
      <c r="E756" s="53"/>
      <c r="F756" s="52"/>
      <c r="G756" s="52"/>
      <c r="H756" s="52"/>
      <c r="I756" s="53"/>
      <c r="J756" s="52"/>
      <c r="K756" s="52"/>
      <c r="L756" s="52"/>
      <c r="M756" s="52"/>
      <c r="N756" s="19"/>
      <c r="O756" s="19"/>
      <c r="P756" s="19"/>
      <c r="Q756" s="19"/>
      <c r="R756" s="19"/>
      <c r="S756" s="19"/>
      <c r="T756" s="19"/>
      <c r="U756" s="19"/>
      <c r="V756" s="19"/>
      <c r="W756" s="19"/>
      <c r="X756" s="19"/>
      <c r="Y756" s="19"/>
      <c r="Z756" s="19"/>
      <c r="AA756" s="19"/>
      <c r="AB756" s="19"/>
      <c r="AC756" s="19"/>
      <c r="AD756" s="19"/>
      <c r="AE756" s="19"/>
      <c r="AF756" s="19"/>
      <c r="AG756" s="19"/>
      <c r="AH756" s="19"/>
      <c r="AI756" s="19"/>
      <c r="AJ756" s="19"/>
      <c r="AK756" s="19"/>
      <c r="AL756" s="19"/>
      <c r="AM756" s="19"/>
      <c r="AN756" s="19"/>
      <c r="AO756" s="19"/>
      <c r="AP756" s="19"/>
      <c r="AQ756" s="19"/>
      <c r="AR756" s="19"/>
      <c r="AS756" s="19"/>
      <c r="AT756" s="19"/>
      <c r="AU756" s="19"/>
      <c r="AV756" s="19"/>
      <c r="AW756" s="19"/>
      <c r="AX756" s="19"/>
      <c r="GA756" s="54"/>
    </row>
    <row r="757" spans="1:183" s="18" customFormat="1">
      <c r="A757" s="51"/>
      <c r="B757" s="52"/>
      <c r="C757" s="52"/>
      <c r="D757" s="52"/>
      <c r="E757" s="53"/>
      <c r="F757" s="52"/>
      <c r="G757" s="52"/>
      <c r="H757" s="52"/>
      <c r="I757" s="53"/>
      <c r="J757" s="52"/>
      <c r="K757" s="52"/>
      <c r="L757" s="52"/>
      <c r="M757" s="52"/>
      <c r="N757" s="19"/>
      <c r="O757" s="19"/>
      <c r="P757" s="19"/>
      <c r="Q757" s="19"/>
      <c r="R757" s="19"/>
      <c r="S757" s="19"/>
      <c r="T757" s="19"/>
      <c r="U757" s="19"/>
      <c r="V757" s="19"/>
      <c r="W757" s="19"/>
      <c r="X757" s="19"/>
      <c r="Y757" s="19"/>
      <c r="Z757" s="19"/>
      <c r="AA757" s="19"/>
      <c r="AB757" s="19"/>
      <c r="AC757" s="19"/>
      <c r="AD757" s="19"/>
      <c r="AE757" s="19"/>
      <c r="AF757" s="19"/>
      <c r="AG757" s="19"/>
      <c r="AH757" s="19"/>
      <c r="AI757" s="19"/>
      <c r="AJ757" s="19"/>
      <c r="AK757" s="19"/>
      <c r="AL757" s="19"/>
      <c r="AM757" s="19"/>
      <c r="AN757" s="19"/>
      <c r="AO757" s="19"/>
      <c r="AP757" s="19"/>
      <c r="AQ757" s="19"/>
      <c r="AR757" s="19"/>
      <c r="AS757" s="19"/>
      <c r="AT757" s="19"/>
      <c r="AU757" s="19"/>
      <c r="AV757" s="19"/>
      <c r="AW757" s="19"/>
      <c r="AX757" s="19"/>
      <c r="GA757" s="54"/>
    </row>
    <row r="758" spans="1:183" s="18" customFormat="1">
      <c r="A758" s="51"/>
      <c r="B758" s="52"/>
      <c r="C758" s="52"/>
      <c r="D758" s="52"/>
      <c r="E758" s="53"/>
      <c r="F758" s="52"/>
      <c r="G758" s="52"/>
      <c r="H758" s="52"/>
      <c r="I758" s="53"/>
      <c r="J758" s="52"/>
      <c r="K758" s="52"/>
      <c r="L758" s="52"/>
      <c r="M758" s="52"/>
      <c r="N758" s="19"/>
      <c r="O758" s="19"/>
      <c r="P758" s="19"/>
      <c r="Q758" s="19"/>
      <c r="R758" s="19"/>
      <c r="S758" s="19"/>
      <c r="T758" s="19"/>
      <c r="U758" s="19"/>
      <c r="V758" s="19"/>
      <c r="W758" s="19"/>
      <c r="X758" s="19"/>
      <c r="Y758" s="19"/>
      <c r="Z758" s="19"/>
      <c r="AA758" s="19"/>
      <c r="AB758" s="19"/>
      <c r="AC758" s="19"/>
      <c r="AD758" s="19"/>
      <c r="AE758" s="19"/>
      <c r="AF758" s="19"/>
      <c r="AG758" s="19"/>
      <c r="AH758" s="19"/>
      <c r="AI758" s="19"/>
      <c r="AJ758" s="19"/>
      <c r="AK758" s="19"/>
      <c r="AL758" s="19"/>
      <c r="AM758" s="19"/>
      <c r="AN758" s="19"/>
      <c r="AO758" s="19"/>
      <c r="AP758" s="19"/>
      <c r="AQ758" s="19"/>
      <c r="AR758" s="19"/>
      <c r="AS758" s="19"/>
      <c r="AT758" s="19"/>
      <c r="AU758" s="19"/>
      <c r="AV758" s="19"/>
      <c r="AW758" s="19"/>
      <c r="AX758" s="19"/>
      <c r="GA758" s="54"/>
    </row>
    <row r="759" spans="1:183" s="18" customFormat="1">
      <c r="A759" s="51"/>
      <c r="B759" s="52"/>
      <c r="C759" s="52"/>
      <c r="D759" s="52"/>
      <c r="E759" s="53"/>
      <c r="F759" s="52"/>
      <c r="G759" s="52"/>
      <c r="H759" s="52"/>
      <c r="I759" s="53"/>
      <c r="J759" s="52"/>
      <c r="K759" s="52"/>
      <c r="L759" s="52"/>
      <c r="M759" s="52"/>
      <c r="N759" s="19"/>
      <c r="O759" s="19"/>
      <c r="P759" s="19"/>
      <c r="Q759" s="19"/>
      <c r="R759" s="19"/>
      <c r="S759" s="19"/>
      <c r="T759" s="19"/>
      <c r="U759" s="19"/>
      <c r="V759" s="19"/>
      <c r="W759" s="19"/>
      <c r="X759" s="19"/>
      <c r="Y759" s="19"/>
      <c r="Z759" s="19"/>
      <c r="AA759" s="19"/>
      <c r="AB759" s="19"/>
      <c r="AC759" s="19"/>
      <c r="AD759" s="19"/>
      <c r="AE759" s="19"/>
      <c r="AF759" s="19"/>
      <c r="AG759" s="19"/>
      <c r="AH759" s="19"/>
      <c r="AI759" s="19"/>
      <c r="AJ759" s="19"/>
      <c r="AK759" s="19"/>
      <c r="AL759" s="19"/>
      <c r="AM759" s="19"/>
      <c r="AN759" s="19"/>
      <c r="AO759" s="19"/>
      <c r="AP759" s="19"/>
      <c r="AQ759" s="19"/>
      <c r="AR759" s="19"/>
      <c r="AS759" s="19"/>
      <c r="AT759" s="19"/>
      <c r="AU759" s="19"/>
      <c r="AV759" s="19"/>
      <c r="AW759" s="19"/>
      <c r="AX759" s="19"/>
      <c r="GA759" s="54"/>
    </row>
    <row r="760" spans="1:183" s="18" customFormat="1">
      <c r="A760" s="51"/>
      <c r="B760" s="52"/>
      <c r="C760" s="52"/>
      <c r="D760" s="52"/>
      <c r="E760" s="53"/>
      <c r="F760" s="52"/>
      <c r="G760" s="52"/>
      <c r="H760" s="52"/>
      <c r="I760" s="53"/>
      <c r="J760" s="52"/>
      <c r="K760" s="52"/>
      <c r="L760" s="52"/>
      <c r="M760" s="52"/>
      <c r="N760" s="19"/>
      <c r="O760" s="19"/>
      <c r="P760" s="19"/>
      <c r="Q760" s="19"/>
      <c r="R760" s="19"/>
      <c r="S760" s="19"/>
      <c r="T760" s="19"/>
      <c r="U760" s="19"/>
      <c r="V760" s="19"/>
      <c r="W760" s="19"/>
      <c r="X760" s="19"/>
      <c r="Y760" s="19"/>
      <c r="Z760" s="19"/>
      <c r="AA760" s="19"/>
      <c r="AB760" s="19"/>
      <c r="AC760" s="19"/>
      <c r="AD760" s="19"/>
      <c r="AE760" s="19"/>
      <c r="AF760" s="19"/>
      <c r="AG760" s="19"/>
      <c r="AH760" s="19"/>
      <c r="AI760" s="19"/>
      <c r="AJ760" s="19"/>
      <c r="AK760" s="19"/>
      <c r="AL760" s="19"/>
      <c r="AM760" s="19"/>
      <c r="AN760" s="19"/>
      <c r="AO760" s="19"/>
      <c r="AP760" s="19"/>
      <c r="AQ760" s="19"/>
      <c r="AR760" s="19"/>
      <c r="AS760" s="19"/>
      <c r="AT760" s="19"/>
      <c r="AU760" s="19"/>
      <c r="AV760" s="19"/>
      <c r="AW760" s="19"/>
      <c r="AX760" s="19"/>
      <c r="GA760" s="54"/>
    </row>
    <row r="761" spans="1:183" s="18" customFormat="1">
      <c r="A761" s="51"/>
      <c r="B761" s="52"/>
      <c r="C761" s="52"/>
      <c r="D761" s="52"/>
      <c r="E761" s="53"/>
      <c r="F761" s="52"/>
      <c r="G761" s="52"/>
      <c r="H761" s="52"/>
      <c r="I761" s="53"/>
      <c r="J761" s="52"/>
      <c r="K761" s="52"/>
      <c r="L761" s="52"/>
      <c r="M761" s="52"/>
      <c r="N761" s="19"/>
      <c r="O761" s="19"/>
      <c r="P761" s="19"/>
      <c r="Q761" s="19"/>
      <c r="R761" s="19"/>
      <c r="S761" s="19"/>
      <c r="T761" s="19"/>
      <c r="U761" s="19"/>
      <c r="V761" s="19"/>
      <c r="W761" s="19"/>
      <c r="X761" s="19"/>
      <c r="Y761" s="19"/>
      <c r="Z761" s="19"/>
      <c r="AA761" s="19"/>
      <c r="AB761" s="19"/>
      <c r="AC761" s="19"/>
      <c r="AD761" s="19"/>
      <c r="AE761" s="19"/>
      <c r="AF761" s="19"/>
      <c r="AG761" s="19"/>
      <c r="AH761" s="19"/>
      <c r="AI761" s="19"/>
      <c r="AJ761" s="19"/>
      <c r="AK761" s="19"/>
      <c r="AL761" s="19"/>
      <c r="AM761" s="19"/>
      <c r="AN761" s="19"/>
      <c r="AO761" s="19"/>
      <c r="AP761" s="19"/>
      <c r="AQ761" s="19"/>
      <c r="AR761" s="19"/>
      <c r="AS761" s="19"/>
      <c r="AT761" s="19"/>
      <c r="AU761" s="19"/>
      <c r="AV761" s="19"/>
      <c r="AW761" s="19"/>
      <c r="AX761" s="19"/>
      <c r="GA761" s="54"/>
    </row>
    <row r="762" spans="1:183" s="18" customFormat="1">
      <c r="A762" s="51"/>
      <c r="B762" s="52"/>
      <c r="C762" s="52"/>
      <c r="D762" s="52"/>
      <c r="E762" s="53"/>
      <c r="F762" s="52"/>
      <c r="G762" s="52"/>
      <c r="H762" s="52"/>
      <c r="I762" s="53"/>
      <c r="J762" s="52"/>
      <c r="K762" s="52"/>
      <c r="L762" s="52"/>
      <c r="M762" s="52"/>
      <c r="N762" s="19"/>
      <c r="O762" s="19"/>
      <c r="P762" s="19"/>
      <c r="Q762" s="19"/>
      <c r="R762" s="19"/>
      <c r="S762" s="19"/>
      <c r="T762" s="19"/>
      <c r="U762" s="19"/>
      <c r="V762" s="19"/>
      <c r="W762" s="19"/>
      <c r="X762" s="19"/>
      <c r="Y762" s="19"/>
      <c r="Z762" s="19"/>
      <c r="AA762" s="19"/>
      <c r="AB762" s="19"/>
      <c r="AC762" s="19"/>
      <c r="AD762" s="19"/>
      <c r="AE762" s="19"/>
      <c r="AF762" s="19"/>
      <c r="AG762" s="19"/>
      <c r="AH762" s="19"/>
      <c r="AI762" s="19"/>
      <c r="AJ762" s="19"/>
      <c r="AK762" s="19"/>
      <c r="AL762" s="19"/>
      <c r="AM762" s="19"/>
      <c r="AN762" s="19"/>
      <c r="AO762" s="19"/>
      <c r="AP762" s="19"/>
      <c r="AQ762" s="19"/>
      <c r="AR762" s="19"/>
      <c r="AS762" s="19"/>
      <c r="AT762" s="19"/>
      <c r="AU762" s="19"/>
      <c r="AV762" s="19"/>
      <c r="AW762" s="19"/>
      <c r="AX762" s="19"/>
      <c r="GA762" s="54"/>
    </row>
    <row r="763" spans="1:183" s="18" customFormat="1">
      <c r="A763" s="51"/>
      <c r="B763" s="52"/>
      <c r="C763" s="52"/>
      <c r="D763" s="52"/>
      <c r="E763" s="53"/>
      <c r="F763" s="52"/>
      <c r="G763" s="52"/>
      <c r="H763" s="52"/>
      <c r="I763" s="53"/>
      <c r="J763" s="52"/>
      <c r="K763" s="52"/>
      <c r="L763" s="52"/>
      <c r="M763" s="52"/>
      <c r="N763" s="19"/>
      <c r="O763" s="19"/>
      <c r="P763" s="19"/>
      <c r="Q763" s="19"/>
      <c r="R763" s="19"/>
      <c r="S763" s="19"/>
      <c r="T763" s="19"/>
      <c r="U763" s="19"/>
      <c r="V763" s="19"/>
      <c r="W763" s="19"/>
      <c r="X763" s="19"/>
      <c r="Y763" s="19"/>
      <c r="Z763" s="19"/>
      <c r="AA763" s="19"/>
      <c r="AB763" s="19"/>
      <c r="AC763" s="19"/>
      <c r="AD763" s="19"/>
      <c r="AE763" s="19"/>
      <c r="AF763" s="19"/>
      <c r="AG763" s="19"/>
      <c r="AH763" s="19"/>
      <c r="AI763" s="19"/>
      <c r="AJ763" s="19"/>
      <c r="AK763" s="19"/>
      <c r="AL763" s="19"/>
      <c r="AM763" s="19"/>
      <c r="AN763" s="19"/>
      <c r="AO763" s="19"/>
      <c r="AP763" s="19"/>
      <c r="AQ763" s="19"/>
      <c r="AR763" s="19"/>
      <c r="AS763" s="19"/>
      <c r="AT763" s="19"/>
      <c r="AU763" s="19"/>
      <c r="AV763" s="19"/>
      <c r="AW763" s="19"/>
      <c r="AX763" s="19"/>
      <c r="GA763" s="54"/>
    </row>
    <row r="764" spans="1:183" s="18" customFormat="1">
      <c r="A764" s="51"/>
      <c r="B764" s="52"/>
      <c r="C764" s="52"/>
      <c r="D764" s="52"/>
      <c r="E764" s="53"/>
      <c r="F764" s="52"/>
      <c r="G764" s="52"/>
      <c r="H764" s="52"/>
      <c r="I764" s="53"/>
      <c r="J764" s="52"/>
      <c r="K764" s="52"/>
      <c r="L764" s="52"/>
      <c r="M764" s="52"/>
      <c r="N764" s="19"/>
      <c r="O764" s="19"/>
      <c r="P764" s="19"/>
      <c r="Q764" s="19"/>
      <c r="R764" s="19"/>
      <c r="S764" s="19"/>
      <c r="T764" s="19"/>
      <c r="U764" s="19"/>
      <c r="V764" s="19"/>
      <c r="W764" s="19"/>
      <c r="X764" s="19"/>
      <c r="Y764" s="19"/>
      <c r="Z764" s="19"/>
      <c r="AA764" s="19"/>
      <c r="AB764" s="19"/>
      <c r="AC764" s="19"/>
      <c r="AD764" s="19"/>
      <c r="AE764" s="19"/>
      <c r="AF764" s="19"/>
      <c r="AG764" s="19"/>
      <c r="AH764" s="19"/>
      <c r="AI764" s="19"/>
      <c r="AJ764" s="19"/>
      <c r="AK764" s="19"/>
      <c r="AL764" s="19"/>
      <c r="AM764" s="19"/>
      <c r="AN764" s="19"/>
      <c r="AO764" s="19"/>
      <c r="AP764" s="19"/>
      <c r="AQ764" s="19"/>
      <c r="AR764" s="19"/>
      <c r="AS764" s="19"/>
      <c r="AT764" s="19"/>
      <c r="AU764" s="19"/>
      <c r="AV764" s="19"/>
      <c r="AW764" s="19"/>
      <c r="AX764" s="19"/>
      <c r="GA764" s="54"/>
    </row>
    <row r="765" spans="1:183" s="18" customFormat="1">
      <c r="A765" s="51"/>
      <c r="B765" s="52"/>
      <c r="C765" s="52"/>
      <c r="D765" s="52"/>
      <c r="E765" s="53"/>
      <c r="F765" s="52"/>
      <c r="G765" s="52"/>
      <c r="H765" s="52"/>
      <c r="I765" s="53"/>
      <c r="J765" s="52"/>
      <c r="K765" s="52"/>
      <c r="L765" s="52"/>
      <c r="M765" s="52"/>
      <c r="N765" s="19"/>
      <c r="O765" s="19"/>
      <c r="P765" s="19"/>
      <c r="Q765" s="19"/>
      <c r="R765" s="19"/>
      <c r="S765" s="19"/>
      <c r="T765" s="19"/>
      <c r="U765" s="19"/>
      <c r="V765" s="19"/>
      <c r="W765" s="19"/>
      <c r="X765" s="19"/>
      <c r="Y765" s="19"/>
      <c r="Z765" s="19"/>
      <c r="AA765" s="19"/>
      <c r="AB765" s="19"/>
      <c r="AC765" s="19"/>
      <c r="AD765" s="19"/>
      <c r="AE765" s="19"/>
      <c r="AF765" s="19"/>
      <c r="AG765" s="19"/>
      <c r="AH765" s="19"/>
      <c r="AI765" s="19"/>
      <c r="AJ765" s="19"/>
      <c r="AK765" s="19"/>
      <c r="AL765" s="19"/>
      <c r="AM765" s="19"/>
      <c r="AN765" s="19"/>
      <c r="AO765" s="19"/>
      <c r="AP765" s="19"/>
      <c r="AQ765" s="19"/>
      <c r="AR765" s="19"/>
      <c r="AS765" s="19"/>
      <c r="AT765" s="19"/>
      <c r="AU765" s="19"/>
      <c r="AV765" s="19"/>
      <c r="AW765" s="19"/>
      <c r="AX765" s="19"/>
      <c r="GA765" s="54"/>
    </row>
    <row r="766" spans="1:183" s="18" customFormat="1">
      <c r="A766" s="51"/>
      <c r="B766" s="52"/>
      <c r="C766" s="52"/>
      <c r="D766" s="52"/>
      <c r="E766" s="53"/>
      <c r="F766" s="52"/>
      <c r="G766" s="52"/>
      <c r="H766" s="52"/>
      <c r="I766" s="53"/>
      <c r="J766" s="52"/>
      <c r="K766" s="52"/>
      <c r="L766" s="52"/>
      <c r="M766" s="52"/>
      <c r="N766" s="19"/>
      <c r="O766" s="19"/>
      <c r="P766" s="19"/>
      <c r="Q766" s="19"/>
      <c r="R766" s="19"/>
      <c r="S766" s="19"/>
      <c r="T766" s="19"/>
      <c r="U766" s="19"/>
      <c r="V766" s="19"/>
      <c r="W766" s="19"/>
      <c r="X766" s="19"/>
      <c r="Y766" s="19"/>
      <c r="Z766" s="19"/>
      <c r="AA766" s="19"/>
      <c r="AB766" s="19"/>
      <c r="AC766" s="19"/>
      <c r="AD766" s="19"/>
      <c r="AE766" s="19"/>
      <c r="AF766" s="19"/>
      <c r="AG766" s="19"/>
      <c r="AH766" s="19"/>
      <c r="AI766" s="19"/>
      <c r="AJ766" s="19"/>
      <c r="AK766" s="19"/>
      <c r="AL766" s="19"/>
      <c r="AM766" s="19"/>
      <c r="AN766" s="19"/>
      <c r="AO766" s="19"/>
      <c r="AP766" s="19"/>
      <c r="AQ766" s="19"/>
      <c r="AR766" s="19"/>
      <c r="AS766" s="19"/>
      <c r="AT766" s="19"/>
      <c r="AU766" s="19"/>
      <c r="AV766" s="19"/>
      <c r="AW766" s="19"/>
      <c r="AX766" s="19"/>
      <c r="GA766" s="54"/>
    </row>
    <row r="767" spans="1:183" s="18" customFormat="1">
      <c r="A767" s="51"/>
      <c r="B767" s="52"/>
      <c r="C767" s="52"/>
      <c r="D767" s="52"/>
      <c r="E767" s="53"/>
      <c r="F767" s="52"/>
      <c r="G767" s="52"/>
      <c r="H767" s="52"/>
      <c r="I767" s="53"/>
      <c r="J767" s="52"/>
      <c r="K767" s="52"/>
      <c r="L767" s="52"/>
      <c r="M767" s="52"/>
      <c r="N767" s="19"/>
      <c r="O767" s="19"/>
      <c r="P767" s="19"/>
      <c r="Q767" s="19"/>
      <c r="R767" s="19"/>
      <c r="S767" s="19"/>
      <c r="T767" s="19"/>
      <c r="U767" s="19"/>
      <c r="V767" s="19"/>
      <c r="W767" s="19"/>
      <c r="X767" s="19"/>
      <c r="Y767" s="19"/>
      <c r="Z767" s="19"/>
      <c r="AA767" s="19"/>
      <c r="AB767" s="19"/>
      <c r="AC767" s="19"/>
      <c r="AD767" s="19"/>
      <c r="AE767" s="19"/>
      <c r="AF767" s="19"/>
      <c r="AG767" s="19"/>
      <c r="AH767" s="19"/>
      <c r="AI767" s="19"/>
      <c r="AJ767" s="19"/>
      <c r="AK767" s="19"/>
      <c r="AL767" s="19"/>
      <c r="AM767" s="19"/>
      <c r="AN767" s="19"/>
      <c r="AO767" s="19"/>
      <c r="AP767" s="19"/>
      <c r="AQ767" s="19"/>
      <c r="AR767" s="19"/>
      <c r="AS767" s="19"/>
      <c r="AT767" s="19"/>
      <c r="AU767" s="19"/>
      <c r="AV767" s="19"/>
      <c r="AW767" s="19"/>
      <c r="AX767" s="19"/>
      <c r="GA767" s="54"/>
    </row>
    <row r="768" spans="1:183" s="18" customFormat="1">
      <c r="A768" s="51"/>
      <c r="B768" s="52"/>
      <c r="C768" s="52"/>
      <c r="D768" s="52"/>
      <c r="E768" s="53"/>
      <c r="F768" s="52"/>
      <c r="G768" s="52"/>
      <c r="H768" s="52"/>
      <c r="I768" s="53"/>
      <c r="J768" s="52"/>
      <c r="K768" s="52"/>
      <c r="L768" s="52"/>
      <c r="M768" s="52"/>
      <c r="N768" s="19"/>
      <c r="O768" s="19"/>
      <c r="P768" s="19"/>
      <c r="Q768" s="19"/>
      <c r="R768" s="19"/>
      <c r="S768" s="19"/>
      <c r="T768" s="19"/>
      <c r="U768" s="19"/>
      <c r="V768" s="19"/>
      <c r="W768" s="19"/>
      <c r="X768" s="19"/>
      <c r="Y768" s="19"/>
      <c r="Z768" s="19"/>
      <c r="AA768" s="19"/>
      <c r="AB768" s="19"/>
      <c r="AC768" s="19"/>
      <c r="AD768" s="19"/>
      <c r="AE768" s="19"/>
      <c r="AF768" s="19"/>
      <c r="AG768" s="19"/>
      <c r="AH768" s="19"/>
      <c r="AI768" s="19"/>
      <c r="AJ768" s="19"/>
      <c r="AK768" s="19"/>
      <c r="AL768" s="19"/>
      <c r="AM768" s="19"/>
      <c r="AN768" s="19"/>
      <c r="AO768" s="19"/>
      <c r="AP768" s="19"/>
      <c r="AQ768" s="19"/>
      <c r="AR768" s="19"/>
      <c r="AS768" s="19"/>
      <c r="AT768" s="19"/>
      <c r="AU768" s="19"/>
      <c r="AV768" s="19"/>
      <c r="AW768" s="19"/>
      <c r="AX768" s="19"/>
      <c r="GA768" s="54"/>
    </row>
    <row r="769" spans="1:183" s="18" customFormat="1">
      <c r="A769" s="51"/>
      <c r="B769" s="52"/>
      <c r="C769" s="52"/>
      <c r="D769" s="52"/>
      <c r="E769" s="53"/>
      <c r="F769" s="52"/>
      <c r="G769" s="52"/>
      <c r="H769" s="52"/>
      <c r="I769" s="53"/>
      <c r="J769" s="52"/>
      <c r="K769" s="52"/>
      <c r="L769" s="52"/>
      <c r="M769" s="52"/>
      <c r="N769" s="19"/>
      <c r="O769" s="19"/>
      <c r="P769" s="19"/>
      <c r="Q769" s="19"/>
      <c r="R769" s="19"/>
      <c r="S769" s="19"/>
      <c r="T769" s="19"/>
      <c r="U769" s="19"/>
      <c r="V769" s="19"/>
      <c r="W769" s="19"/>
      <c r="X769" s="19"/>
      <c r="Y769" s="19"/>
      <c r="Z769" s="19"/>
      <c r="AA769" s="19"/>
      <c r="AB769" s="19"/>
      <c r="AC769" s="19"/>
      <c r="AD769" s="19"/>
      <c r="AE769" s="19"/>
      <c r="AF769" s="19"/>
      <c r="AG769" s="19"/>
      <c r="AH769" s="19"/>
      <c r="AI769" s="19"/>
      <c r="AJ769" s="19"/>
      <c r="AK769" s="19"/>
      <c r="AL769" s="19"/>
      <c r="AM769" s="19"/>
      <c r="AN769" s="19"/>
      <c r="AO769" s="19"/>
      <c r="AP769" s="19"/>
      <c r="AQ769" s="19"/>
      <c r="AR769" s="19"/>
      <c r="AS769" s="19"/>
      <c r="AT769" s="19"/>
      <c r="AU769" s="19"/>
      <c r="AV769" s="19"/>
      <c r="AW769" s="19"/>
      <c r="AX769" s="19"/>
      <c r="GA769" s="54"/>
    </row>
    <row r="770" spans="1:183" s="18" customFormat="1">
      <c r="A770" s="51"/>
      <c r="B770" s="52"/>
      <c r="C770" s="52"/>
      <c r="D770" s="52"/>
      <c r="E770" s="53"/>
      <c r="F770" s="52"/>
      <c r="G770" s="52"/>
      <c r="H770" s="52"/>
      <c r="I770" s="53"/>
      <c r="J770" s="52"/>
      <c r="K770" s="52"/>
      <c r="L770" s="52"/>
      <c r="M770" s="52"/>
      <c r="N770" s="19"/>
      <c r="O770" s="19"/>
      <c r="P770" s="19"/>
      <c r="Q770" s="19"/>
      <c r="R770" s="19"/>
      <c r="S770" s="19"/>
      <c r="T770" s="19"/>
      <c r="U770" s="19"/>
      <c r="V770" s="19"/>
      <c r="W770" s="19"/>
      <c r="X770" s="19"/>
      <c r="Y770" s="19"/>
      <c r="Z770" s="19"/>
      <c r="AA770" s="19"/>
      <c r="AB770" s="19"/>
      <c r="AC770" s="19"/>
      <c r="AD770" s="19"/>
      <c r="AE770" s="19"/>
      <c r="AF770" s="19"/>
      <c r="AG770" s="19"/>
      <c r="AH770" s="19"/>
      <c r="AI770" s="19"/>
      <c r="AJ770" s="19"/>
      <c r="AK770" s="19"/>
      <c r="AL770" s="19"/>
      <c r="AM770" s="19"/>
      <c r="AN770" s="19"/>
      <c r="AO770" s="19"/>
      <c r="AP770" s="19"/>
      <c r="AQ770" s="19"/>
      <c r="AR770" s="19"/>
      <c r="AS770" s="19"/>
      <c r="AT770" s="19"/>
      <c r="AU770" s="19"/>
      <c r="AV770" s="19"/>
      <c r="AW770" s="19"/>
      <c r="AX770" s="19"/>
      <c r="GA770" s="54"/>
    </row>
    <row r="771" spans="1:183" s="18" customFormat="1">
      <c r="A771" s="51"/>
      <c r="B771" s="52"/>
      <c r="C771" s="52"/>
      <c r="D771" s="52"/>
      <c r="E771" s="53"/>
      <c r="F771" s="52"/>
      <c r="G771" s="52"/>
      <c r="H771" s="52"/>
      <c r="I771" s="53"/>
      <c r="J771" s="52"/>
      <c r="K771" s="52"/>
      <c r="L771" s="52"/>
      <c r="M771" s="52"/>
      <c r="N771" s="19"/>
      <c r="O771" s="19"/>
      <c r="P771" s="19"/>
      <c r="Q771" s="19"/>
      <c r="R771" s="19"/>
      <c r="S771" s="19"/>
      <c r="T771" s="19"/>
      <c r="U771" s="19"/>
      <c r="V771" s="19"/>
      <c r="W771" s="19"/>
      <c r="X771" s="19"/>
      <c r="Y771" s="19"/>
      <c r="Z771" s="19"/>
      <c r="AA771" s="19"/>
      <c r="AB771" s="19"/>
      <c r="AC771" s="19"/>
      <c r="AD771" s="19"/>
      <c r="AE771" s="19"/>
      <c r="AF771" s="19"/>
      <c r="AG771" s="19"/>
      <c r="AH771" s="19"/>
      <c r="AI771" s="19"/>
      <c r="AJ771" s="19"/>
      <c r="AK771" s="19"/>
      <c r="AL771" s="19"/>
      <c r="AM771" s="19"/>
      <c r="AN771" s="19"/>
      <c r="AO771" s="19"/>
      <c r="AP771" s="19"/>
      <c r="AQ771" s="19"/>
      <c r="AR771" s="19"/>
      <c r="AS771" s="19"/>
      <c r="AT771" s="19"/>
      <c r="AU771" s="19"/>
      <c r="AV771" s="19"/>
      <c r="AW771" s="19"/>
      <c r="AX771" s="19"/>
      <c r="GA771" s="54"/>
    </row>
    <row r="772" spans="1:183" s="18" customFormat="1">
      <c r="A772" s="51"/>
      <c r="B772" s="52"/>
      <c r="C772" s="52"/>
      <c r="D772" s="52"/>
      <c r="E772" s="53"/>
      <c r="F772" s="52"/>
      <c r="G772" s="52"/>
      <c r="H772" s="52"/>
      <c r="I772" s="53"/>
      <c r="J772" s="52"/>
      <c r="K772" s="52"/>
      <c r="L772" s="52"/>
      <c r="M772" s="52"/>
      <c r="N772" s="19"/>
      <c r="O772" s="19"/>
      <c r="P772" s="19"/>
      <c r="Q772" s="19"/>
      <c r="R772" s="19"/>
      <c r="S772" s="19"/>
      <c r="T772" s="19"/>
      <c r="U772" s="19"/>
      <c r="V772" s="19"/>
      <c r="W772" s="19"/>
      <c r="X772" s="19"/>
      <c r="Y772" s="19"/>
      <c r="Z772" s="19"/>
      <c r="AA772" s="19"/>
      <c r="AB772" s="19"/>
      <c r="AC772" s="19"/>
      <c r="AD772" s="19"/>
      <c r="AE772" s="19"/>
      <c r="AF772" s="19"/>
      <c r="AG772" s="19"/>
      <c r="AH772" s="19"/>
      <c r="AI772" s="19"/>
      <c r="AJ772" s="19"/>
      <c r="AK772" s="19"/>
      <c r="AL772" s="19"/>
      <c r="AM772" s="19"/>
      <c r="AN772" s="19"/>
      <c r="AO772" s="19"/>
      <c r="AP772" s="19"/>
      <c r="AQ772" s="19"/>
      <c r="AR772" s="19"/>
      <c r="AS772" s="19"/>
      <c r="AT772" s="19"/>
      <c r="AU772" s="19"/>
      <c r="AV772" s="19"/>
      <c r="AW772" s="19"/>
      <c r="AX772" s="19"/>
      <c r="GA772" s="54"/>
    </row>
    <row r="773" spans="1:183" s="18" customFormat="1">
      <c r="A773" s="51"/>
      <c r="B773" s="52"/>
      <c r="C773" s="52"/>
      <c r="D773" s="52"/>
      <c r="E773" s="53"/>
      <c r="F773" s="52"/>
      <c r="G773" s="52"/>
      <c r="H773" s="52"/>
      <c r="I773" s="53"/>
      <c r="J773" s="52"/>
      <c r="K773" s="52"/>
      <c r="L773" s="52"/>
      <c r="M773" s="52"/>
      <c r="N773" s="19"/>
      <c r="O773" s="19"/>
      <c r="P773" s="19"/>
      <c r="Q773" s="19"/>
      <c r="R773" s="19"/>
      <c r="S773" s="19"/>
      <c r="T773" s="19"/>
      <c r="U773" s="19"/>
      <c r="V773" s="19"/>
      <c r="W773" s="19"/>
      <c r="X773" s="19"/>
      <c r="Y773" s="19"/>
      <c r="Z773" s="19"/>
      <c r="AA773" s="19"/>
      <c r="AB773" s="19"/>
      <c r="AC773" s="19"/>
      <c r="AD773" s="19"/>
      <c r="AE773" s="19"/>
      <c r="AF773" s="19"/>
      <c r="AG773" s="19"/>
      <c r="AH773" s="19"/>
      <c r="AI773" s="19"/>
      <c r="AJ773" s="19"/>
      <c r="AK773" s="19"/>
      <c r="AL773" s="19"/>
      <c r="AM773" s="19"/>
      <c r="AN773" s="19"/>
      <c r="AO773" s="19"/>
      <c r="AP773" s="19"/>
      <c r="AQ773" s="19"/>
      <c r="AR773" s="19"/>
      <c r="AS773" s="19"/>
      <c r="AT773" s="19"/>
      <c r="AU773" s="19"/>
      <c r="AV773" s="19"/>
      <c r="AW773" s="19"/>
      <c r="AX773" s="19"/>
      <c r="GA773" s="54"/>
    </row>
    <row r="774" spans="1:183" s="18" customFormat="1">
      <c r="A774" s="51"/>
      <c r="B774" s="52"/>
      <c r="C774" s="52"/>
      <c r="D774" s="52"/>
      <c r="E774" s="53"/>
      <c r="F774" s="52"/>
      <c r="G774" s="52"/>
      <c r="H774" s="52"/>
      <c r="I774" s="53"/>
      <c r="J774" s="52"/>
      <c r="K774" s="52"/>
      <c r="L774" s="52"/>
      <c r="M774" s="52"/>
      <c r="N774" s="19"/>
      <c r="O774" s="19"/>
      <c r="P774" s="19"/>
      <c r="Q774" s="19"/>
      <c r="R774" s="19"/>
      <c r="S774" s="19"/>
      <c r="T774" s="19"/>
      <c r="U774" s="19"/>
      <c r="V774" s="19"/>
      <c r="W774" s="19"/>
      <c r="X774" s="19"/>
      <c r="Y774" s="19"/>
      <c r="Z774" s="19"/>
      <c r="AA774" s="19"/>
      <c r="AB774" s="19"/>
      <c r="AC774" s="19"/>
      <c r="AD774" s="19"/>
      <c r="AE774" s="19"/>
      <c r="AF774" s="19"/>
      <c r="AG774" s="19"/>
      <c r="AH774" s="19"/>
      <c r="AI774" s="19"/>
      <c r="AJ774" s="19"/>
      <c r="AK774" s="19"/>
      <c r="AL774" s="19"/>
      <c r="AM774" s="19"/>
      <c r="AN774" s="19"/>
      <c r="AO774" s="19"/>
      <c r="AP774" s="19"/>
      <c r="AQ774" s="19"/>
      <c r="AR774" s="19"/>
      <c r="AS774" s="19"/>
      <c r="AT774" s="19"/>
      <c r="AU774" s="19"/>
      <c r="AV774" s="19"/>
      <c r="AW774" s="19"/>
      <c r="AX774" s="19"/>
      <c r="GA774" s="54"/>
    </row>
    <row r="775" spans="1:183" s="18" customFormat="1">
      <c r="A775" s="51"/>
      <c r="B775" s="52"/>
      <c r="C775" s="52"/>
      <c r="D775" s="52"/>
      <c r="E775" s="53"/>
      <c r="F775" s="52"/>
      <c r="G775" s="52"/>
      <c r="H775" s="52"/>
      <c r="I775" s="53"/>
      <c r="J775" s="52"/>
      <c r="K775" s="52"/>
      <c r="L775" s="52"/>
      <c r="M775" s="52"/>
      <c r="N775" s="19"/>
      <c r="O775" s="19"/>
      <c r="P775" s="19"/>
      <c r="Q775" s="19"/>
      <c r="R775" s="19"/>
      <c r="S775" s="19"/>
      <c r="T775" s="19"/>
      <c r="U775" s="19"/>
      <c r="V775" s="19"/>
      <c r="W775" s="19"/>
      <c r="X775" s="19"/>
      <c r="Y775" s="19"/>
      <c r="Z775" s="19"/>
      <c r="AA775" s="19"/>
      <c r="AB775" s="19"/>
      <c r="AC775" s="19"/>
      <c r="AD775" s="19"/>
      <c r="AE775" s="19"/>
      <c r="AF775" s="19"/>
      <c r="AG775" s="19"/>
      <c r="AH775" s="19"/>
      <c r="AI775" s="19"/>
      <c r="AJ775" s="19"/>
      <c r="AK775" s="19"/>
      <c r="AL775" s="19"/>
      <c r="AM775" s="19"/>
      <c r="AN775" s="19"/>
      <c r="AO775" s="19"/>
      <c r="AP775" s="19"/>
      <c r="AQ775" s="19"/>
      <c r="AR775" s="19"/>
      <c r="AS775" s="19"/>
      <c r="AT775" s="19"/>
      <c r="AU775" s="19"/>
      <c r="AV775" s="19"/>
      <c r="AW775" s="19"/>
      <c r="AX775" s="19"/>
      <c r="GA775" s="54"/>
    </row>
    <row r="776" spans="1:183" s="18" customFormat="1">
      <c r="A776" s="51"/>
      <c r="B776" s="52"/>
      <c r="C776" s="52"/>
      <c r="D776" s="52"/>
      <c r="E776" s="53"/>
      <c r="F776" s="52"/>
      <c r="G776" s="52"/>
      <c r="H776" s="52"/>
      <c r="I776" s="53"/>
      <c r="J776" s="52"/>
      <c r="K776" s="52"/>
      <c r="L776" s="52"/>
      <c r="M776" s="52"/>
      <c r="N776" s="19"/>
      <c r="O776" s="19"/>
      <c r="P776" s="19"/>
      <c r="Q776" s="19"/>
      <c r="R776" s="19"/>
      <c r="S776" s="19"/>
      <c r="T776" s="19"/>
      <c r="U776" s="19"/>
      <c r="V776" s="19"/>
      <c r="W776" s="19"/>
      <c r="X776" s="19"/>
      <c r="Y776" s="19"/>
      <c r="Z776" s="19"/>
      <c r="AA776" s="19"/>
      <c r="AB776" s="19"/>
      <c r="AC776" s="19"/>
      <c r="AD776" s="19"/>
      <c r="AE776" s="19"/>
      <c r="AF776" s="19"/>
      <c r="AG776" s="19"/>
      <c r="AH776" s="19"/>
      <c r="AI776" s="19"/>
      <c r="AJ776" s="19"/>
      <c r="AK776" s="19"/>
      <c r="AL776" s="19"/>
      <c r="AM776" s="19"/>
      <c r="AN776" s="19"/>
      <c r="AO776" s="19"/>
      <c r="AP776" s="19"/>
      <c r="AQ776" s="19"/>
      <c r="AR776" s="19"/>
      <c r="AS776" s="19"/>
      <c r="AT776" s="19"/>
      <c r="AU776" s="19"/>
      <c r="AV776" s="19"/>
      <c r="AW776" s="19"/>
      <c r="AX776" s="19"/>
      <c r="GA776" s="54"/>
    </row>
    <row r="777" spans="1:183" s="18" customFormat="1">
      <c r="A777" s="51"/>
      <c r="B777" s="52"/>
      <c r="C777" s="52"/>
      <c r="D777" s="52"/>
      <c r="E777" s="53"/>
      <c r="F777" s="52"/>
      <c r="G777" s="52"/>
      <c r="H777" s="52"/>
      <c r="I777" s="53"/>
      <c r="J777" s="52"/>
      <c r="K777" s="52"/>
      <c r="L777" s="52"/>
      <c r="M777" s="52"/>
      <c r="N777" s="19"/>
      <c r="O777" s="19"/>
      <c r="P777" s="19"/>
      <c r="Q777" s="19"/>
      <c r="R777" s="19"/>
      <c r="S777" s="19"/>
      <c r="T777" s="19"/>
      <c r="U777" s="19"/>
      <c r="V777" s="19"/>
      <c r="W777" s="19"/>
      <c r="X777" s="19"/>
      <c r="Y777" s="19"/>
      <c r="Z777" s="19"/>
      <c r="AA777" s="19"/>
      <c r="AB777" s="19"/>
      <c r="AC777" s="19"/>
      <c r="AD777" s="19"/>
      <c r="AE777" s="19"/>
      <c r="AF777" s="19"/>
      <c r="AG777" s="19"/>
      <c r="AH777" s="19"/>
      <c r="AI777" s="19"/>
      <c r="AJ777" s="19"/>
      <c r="AK777" s="19"/>
      <c r="AL777" s="19"/>
      <c r="AM777" s="19"/>
      <c r="AN777" s="19"/>
      <c r="AO777" s="19"/>
      <c r="AP777" s="19"/>
      <c r="AQ777" s="19"/>
      <c r="AR777" s="19"/>
      <c r="AS777" s="19"/>
      <c r="AT777" s="19"/>
      <c r="AU777" s="19"/>
      <c r="AV777" s="19"/>
      <c r="AW777" s="19"/>
      <c r="AX777" s="19"/>
      <c r="GA777" s="54"/>
    </row>
    <row r="778" spans="1:183" s="18" customFormat="1">
      <c r="A778" s="51"/>
      <c r="B778" s="52"/>
      <c r="C778" s="52"/>
      <c r="D778" s="52"/>
      <c r="E778" s="53"/>
      <c r="F778" s="52"/>
      <c r="G778" s="52"/>
      <c r="H778" s="52"/>
      <c r="I778" s="53"/>
      <c r="J778" s="52"/>
      <c r="K778" s="52"/>
      <c r="L778" s="52"/>
      <c r="M778" s="52"/>
      <c r="N778" s="19"/>
      <c r="O778" s="19"/>
      <c r="P778" s="19"/>
      <c r="Q778" s="19"/>
      <c r="R778" s="19"/>
      <c r="S778" s="19"/>
      <c r="T778" s="19"/>
      <c r="U778" s="19"/>
      <c r="V778" s="19"/>
      <c r="W778" s="19"/>
      <c r="X778" s="19"/>
      <c r="Y778" s="19"/>
      <c r="Z778" s="19"/>
      <c r="AA778" s="19"/>
      <c r="AB778" s="19"/>
      <c r="AC778" s="19"/>
      <c r="AD778" s="19"/>
      <c r="AE778" s="19"/>
      <c r="AF778" s="19"/>
      <c r="AG778" s="19"/>
      <c r="AH778" s="19"/>
      <c r="AI778" s="19"/>
      <c r="AJ778" s="19"/>
      <c r="AK778" s="19"/>
      <c r="AL778" s="19"/>
      <c r="AM778" s="19"/>
      <c r="AN778" s="19"/>
      <c r="AO778" s="19"/>
      <c r="AP778" s="19"/>
      <c r="AQ778" s="19"/>
      <c r="AR778" s="19"/>
      <c r="AS778" s="19"/>
      <c r="AT778" s="19"/>
      <c r="AU778" s="19"/>
      <c r="AV778" s="19"/>
      <c r="AW778" s="19"/>
      <c r="AX778" s="19"/>
      <c r="GA778" s="54"/>
    </row>
    <row r="779" spans="1:183" s="18" customFormat="1">
      <c r="A779" s="51"/>
      <c r="B779" s="52"/>
      <c r="C779" s="52"/>
      <c r="D779" s="52"/>
      <c r="E779" s="53"/>
      <c r="F779" s="52"/>
      <c r="G779" s="52"/>
      <c r="H779" s="52"/>
      <c r="I779" s="53"/>
      <c r="J779" s="52"/>
      <c r="K779" s="52"/>
      <c r="L779" s="52"/>
      <c r="M779" s="52"/>
      <c r="N779" s="19"/>
      <c r="O779" s="19"/>
      <c r="P779" s="19"/>
      <c r="Q779" s="19"/>
      <c r="R779" s="19"/>
      <c r="S779" s="19"/>
      <c r="T779" s="19"/>
      <c r="U779" s="19"/>
      <c r="V779" s="19"/>
      <c r="W779" s="19"/>
      <c r="X779" s="19"/>
      <c r="Y779" s="19"/>
      <c r="Z779" s="19"/>
      <c r="AA779" s="19"/>
      <c r="AB779" s="19"/>
      <c r="AC779" s="19"/>
      <c r="AD779" s="19"/>
      <c r="AE779" s="19"/>
      <c r="AF779" s="19"/>
      <c r="AG779" s="19"/>
      <c r="AH779" s="19"/>
      <c r="AI779" s="19"/>
      <c r="AJ779" s="19"/>
      <c r="AK779" s="19"/>
      <c r="AL779" s="19"/>
      <c r="AM779" s="19"/>
      <c r="AN779" s="19"/>
      <c r="AO779" s="19"/>
      <c r="AP779" s="19"/>
      <c r="AQ779" s="19"/>
      <c r="AR779" s="19"/>
      <c r="AS779" s="19"/>
      <c r="AT779" s="19"/>
      <c r="AU779" s="19"/>
      <c r="AV779" s="19"/>
      <c r="AW779" s="19"/>
      <c r="AX779" s="19"/>
      <c r="GA779" s="54"/>
    </row>
    <row r="780" spans="1:183" s="18" customFormat="1">
      <c r="A780" s="51"/>
      <c r="B780" s="52"/>
      <c r="C780" s="52"/>
      <c r="D780" s="52"/>
      <c r="E780" s="53"/>
      <c r="F780" s="52"/>
      <c r="G780" s="52"/>
      <c r="H780" s="52"/>
      <c r="I780" s="53"/>
      <c r="J780" s="52"/>
      <c r="K780" s="52"/>
      <c r="L780" s="52"/>
      <c r="M780" s="52"/>
      <c r="N780" s="19"/>
      <c r="O780" s="19"/>
      <c r="P780" s="19"/>
      <c r="Q780" s="19"/>
      <c r="R780" s="19"/>
      <c r="S780" s="19"/>
      <c r="T780" s="19"/>
      <c r="U780" s="19"/>
      <c r="V780" s="19"/>
      <c r="W780" s="19"/>
      <c r="X780" s="19"/>
      <c r="Y780" s="19"/>
      <c r="Z780" s="19"/>
      <c r="AA780" s="19"/>
      <c r="AB780" s="19"/>
      <c r="AC780" s="19"/>
      <c r="AD780" s="19"/>
      <c r="AE780" s="19"/>
      <c r="AF780" s="19"/>
      <c r="AG780" s="19"/>
      <c r="AH780" s="19"/>
      <c r="AI780" s="19"/>
      <c r="AJ780" s="19"/>
      <c r="AK780" s="19"/>
      <c r="AL780" s="19"/>
      <c r="AM780" s="19"/>
      <c r="AN780" s="19"/>
      <c r="AO780" s="19"/>
      <c r="AP780" s="19"/>
      <c r="AQ780" s="19"/>
      <c r="AR780" s="19"/>
      <c r="AS780" s="19"/>
      <c r="AT780" s="19"/>
      <c r="AU780" s="19"/>
      <c r="AV780" s="19"/>
      <c r="AW780" s="19"/>
      <c r="AX780" s="19"/>
      <c r="GA780" s="54"/>
    </row>
    <row r="781" spans="1:183" s="18" customFormat="1">
      <c r="A781" s="51"/>
      <c r="B781" s="52"/>
      <c r="C781" s="52"/>
      <c r="D781" s="52"/>
      <c r="E781" s="53"/>
      <c r="F781" s="52"/>
      <c r="G781" s="52"/>
      <c r="H781" s="52"/>
      <c r="I781" s="53"/>
      <c r="J781" s="52"/>
      <c r="K781" s="52"/>
      <c r="L781" s="52"/>
      <c r="M781" s="52"/>
      <c r="N781" s="19"/>
      <c r="O781" s="19"/>
      <c r="P781" s="19"/>
      <c r="Q781" s="19"/>
      <c r="R781" s="19"/>
      <c r="S781" s="19"/>
      <c r="T781" s="19"/>
      <c r="U781" s="19"/>
      <c r="V781" s="19"/>
      <c r="W781" s="19"/>
      <c r="X781" s="19"/>
      <c r="Y781" s="19"/>
      <c r="Z781" s="19"/>
      <c r="AA781" s="19"/>
      <c r="AB781" s="19"/>
      <c r="AC781" s="19"/>
      <c r="AD781" s="19"/>
      <c r="AE781" s="19"/>
      <c r="AF781" s="19"/>
      <c r="AG781" s="19"/>
      <c r="AH781" s="19"/>
      <c r="AI781" s="19"/>
      <c r="AJ781" s="19"/>
      <c r="AK781" s="19"/>
      <c r="AL781" s="19"/>
      <c r="AM781" s="19"/>
      <c r="AN781" s="19"/>
      <c r="AO781" s="19"/>
      <c r="AP781" s="19"/>
      <c r="AQ781" s="19"/>
      <c r="AR781" s="19"/>
      <c r="AS781" s="19"/>
      <c r="AT781" s="19"/>
      <c r="AU781" s="19"/>
      <c r="AV781" s="19"/>
      <c r="AW781" s="19"/>
      <c r="AX781" s="19"/>
      <c r="GA781" s="54"/>
    </row>
    <row r="782" spans="1:183" s="18" customFormat="1">
      <c r="A782" s="51"/>
      <c r="B782" s="52"/>
      <c r="C782" s="52"/>
      <c r="D782" s="52"/>
      <c r="E782" s="53"/>
      <c r="F782" s="52"/>
      <c r="G782" s="52"/>
      <c r="H782" s="52"/>
      <c r="I782" s="53"/>
      <c r="J782" s="52"/>
      <c r="K782" s="52"/>
      <c r="L782" s="52"/>
      <c r="M782" s="52"/>
      <c r="N782" s="19"/>
      <c r="O782" s="19"/>
      <c r="P782" s="19"/>
      <c r="Q782" s="19"/>
      <c r="R782" s="19"/>
      <c r="S782" s="19"/>
      <c r="T782" s="19"/>
      <c r="U782" s="19"/>
      <c r="V782" s="19"/>
      <c r="W782" s="19"/>
      <c r="X782" s="19"/>
      <c r="Y782" s="19"/>
      <c r="Z782" s="19"/>
      <c r="AA782" s="19"/>
      <c r="AB782" s="19"/>
      <c r="AC782" s="19"/>
      <c r="AD782" s="19"/>
      <c r="AE782" s="19"/>
      <c r="AF782" s="19"/>
      <c r="AG782" s="19"/>
      <c r="AH782" s="19"/>
      <c r="AI782" s="19"/>
      <c r="AJ782" s="19"/>
      <c r="AK782" s="19"/>
      <c r="AL782" s="19"/>
      <c r="AM782" s="19"/>
      <c r="AN782" s="19"/>
      <c r="AO782" s="19"/>
      <c r="AP782" s="19"/>
      <c r="AQ782" s="19"/>
      <c r="AR782" s="19"/>
      <c r="AS782" s="19"/>
      <c r="AT782" s="19"/>
      <c r="AU782" s="19"/>
      <c r="AV782" s="19"/>
      <c r="AW782" s="19"/>
      <c r="AX782" s="19"/>
      <c r="GA782" s="54"/>
    </row>
    <row r="783" spans="1:183" s="18" customFormat="1">
      <c r="A783" s="51"/>
      <c r="B783" s="52"/>
      <c r="C783" s="52"/>
      <c r="D783" s="52"/>
      <c r="E783" s="53"/>
      <c r="F783" s="52"/>
      <c r="G783" s="52"/>
      <c r="H783" s="52"/>
      <c r="I783" s="53"/>
      <c r="J783" s="52"/>
      <c r="K783" s="52"/>
      <c r="L783" s="52"/>
      <c r="M783" s="52"/>
      <c r="N783" s="19"/>
      <c r="O783" s="19"/>
      <c r="P783" s="19"/>
      <c r="Q783" s="19"/>
      <c r="R783" s="19"/>
      <c r="S783" s="19"/>
      <c r="T783" s="19"/>
      <c r="U783" s="19"/>
      <c r="V783" s="19"/>
      <c r="W783" s="19"/>
      <c r="X783" s="19"/>
      <c r="Y783" s="19"/>
      <c r="Z783" s="19"/>
      <c r="AA783" s="19"/>
      <c r="AB783" s="19"/>
      <c r="AC783" s="19"/>
      <c r="AD783" s="19"/>
      <c r="AE783" s="19"/>
      <c r="AF783" s="19"/>
      <c r="AG783" s="19"/>
      <c r="AH783" s="19"/>
      <c r="AI783" s="19"/>
      <c r="AJ783" s="19"/>
      <c r="AK783" s="19"/>
      <c r="AL783" s="19"/>
      <c r="AM783" s="19"/>
      <c r="AN783" s="19"/>
      <c r="AO783" s="19"/>
      <c r="AP783" s="19"/>
      <c r="AQ783" s="19"/>
      <c r="AR783" s="19"/>
      <c r="AS783" s="19"/>
      <c r="AT783" s="19"/>
      <c r="AU783" s="19"/>
      <c r="AV783" s="19"/>
      <c r="AW783" s="19"/>
      <c r="AX783" s="19"/>
      <c r="GA783" s="54"/>
    </row>
    <row r="784" spans="1:183" s="18" customFormat="1">
      <c r="A784" s="51"/>
      <c r="B784" s="52"/>
      <c r="C784" s="52"/>
      <c r="D784" s="52"/>
      <c r="E784" s="53"/>
      <c r="F784" s="52"/>
      <c r="G784" s="52"/>
      <c r="H784" s="52"/>
      <c r="I784" s="53"/>
      <c r="J784" s="52"/>
      <c r="K784" s="52"/>
      <c r="L784" s="52"/>
      <c r="M784" s="52"/>
      <c r="N784" s="19"/>
      <c r="O784" s="19"/>
      <c r="P784" s="19"/>
      <c r="Q784" s="19"/>
      <c r="R784" s="19"/>
      <c r="S784" s="19"/>
      <c r="T784" s="19"/>
      <c r="U784" s="19"/>
      <c r="V784" s="19"/>
      <c r="W784" s="19"/>
      <c r="X784" s="19"/>
      <c r="Y784" s="19"/>
      <c r="Z784" s="19"/>
      <c r="AA784" s="19"/>
      <c r="AB784" s="19"/>
      <c r="AC784" s="19"/>
      <c r="AD784" s="19"/>
      <c r="AE784" s="19"/>
      <c r="AF784" s="19"/>
      <c r="AG784" s="19"/>
      <c r="AH784" s="19"/>
      <c r="AI784" s="19"/>
      <c r="AJ784" s="19"/>
      <c r="AK784" s="19"/>
      <c r="AL784" s="19"/>
      <c r="AM784" s="19"/>
      <c r="AN784" s="19"/>
      <c r="AO784" s="19"/>
      <c r="AP784" s="19"/>
      <c r="AQ784" s="19"/>
      <c r="AR784" s="19"/>
      <c r="AS784" s="19"/>
      <c r="AT784" s="19"/>
      <c r="AU784" s="19"/>
      <c r="AV784" s="19"/>
      <c r="AW784" s="19"/>
      <c r="AX784" s="19"/>
      <c r="GA784" s="54"/>
    </row>
    <row r="785" spans="1:183" s="18" customFormat="1">
      <c r="A785" s="51"/>
      <c r="B785" s="52"/>
      <c r="C785" s="52"/>
      <c r="D785" s="52"/>
      <c r="E785" s="53"/>
      <c r="F785" s="52"/>
      <c r="G785" s="52"/>
      <c r="H785" s="52"/>
      <c r="I785" s="53"/>
      <c r="J785" s="52"/>
      <c r="K785" s="52"/>
      <c r="L785" s="52"/>
      <c r="M785" s="52"/>
      <c r="N785" s="19"/>
      <c r="O785" s="19"/>
      <c r="P785" s="19"/>
      <c r="Q785" s="19"/>
      <c r="R785" s="19"/>
      <c r="S785" s="19"/>
      <c r="T785" s="19"/>
      <c r="U785" s="19"/>
      <c r="V785" s="19"/>
      <c r="W785" s="19"/>
      <c r="X785" s="19"/>
      <c r="Y785" s="19"/>
      <c r="Z785" s="19"/>
      <c r="AA785" s="19"/>
      <c r="AB785" s="19"/>
      <c r="AC785" s="19"/>
      <c r="AD785" s="19"/>
      <c r="AE785" s="19"/>
      <c r="AF785" s="19"/>
      <c r="AG785" s="19"/>
      <c r="AH785" s="19"/>
      <c r="AI785" s="19"/>
      <c r="AJ785" s="19"/>
      <c r="AK785" s="19"/>
      <c r="AL785" s="19"/>
      <c r="AM785" s="19"/>
      <c r="AN785" s="19"/>
      <c r="AO785" s="19"/>
      <c r="AP785" s="19"/>
      <c r="AQ785" s="19"/>
      <c r="AR785" s="19"/>
      <c r="AS785" s="19"/>
      <c r="AT785" s="19"/>
      <c r="AU785" s="19"/>
      <c r="AV785" s="19"/>
      <c r="AW785" s="19"/>
      <c r="AX785" s="19"/>
      <c r="GA785" s="54"/>
    </row>
    <row r="786" spans="1:183" s="18" customFormat="1">
      <c r="A786" s="51"/>
      <c r="B786" s="52"/>
      <c r="C786" s="52"/>
      <c r="D786" s="52"/>
      <c r="E786" s="53"/>
      <c r="F786" s="52"/>
      <c r="G786" s="52"/>
      <c r="H786" s="52"/>
      <c r="I786" s="53"/>
      <c r="J786" s="52"/>
      <c r="K786" s="52"/>
      <c r="L786" s="52"/>
      <c r="M786" s="52"/>
      <c r="N786" s="19"/>
      <c r="O786" s="19"/>
      <c r="P786" s="19"/>
      <c r="Q786" s="19"/>
      <c r="R786" s="19"/>
      <c r="S786" s="19"/>
      <c r="T786" s="19"/>
      <c r="U786" s="19"/>
      <c r="V786" s="19"/>
      <c r="W786" s="19"/>
      <c r="X786" s="19"/>
      <c r="Y786" s="19"/>
      <c r="Z786" s="19"/>
      <c r="AA786" s="19"/>
      <c r="AB786" s="19"/>
      <c r="AC786" s="19"/>
      <c r="AD786" s="19"/>
      <c r="AE786" s="19"/>
      <c r="AF786" s="19"/>
      <c r="AG786" s="19"/>
      <c r="AH786" s="19"/>
      <c r="AI786" s="19"/>
      <c r="AJ786" s="19"/>
      <c r="AK786" s="19"/>
      <c r="AL786" s="19"/>
      <c r="AM786" s="19"/>
      <c r="AN786" s="19"/>
      <c r="AO786" s="19"/>
      <c r="AP786" s="19"/>
      <c r="AQ786" s="19"/>
      <c r="AR786" s="19"/>
      <c r="AS786" s="19"/>
      <c r="AT786" s="19"/>
      <c r="AU786" s="19"/>
      <c r="AV786" s="19"/>
      <c r="AW786" s="19"/>
      <c r="AX786" s="19"/>
      <c r="GA786" s="54"/>
    </row>
    <row r="787" spans="1:183" s="18" customFormat="1">
      <c r="A787" s="51"/>
      <c r="B787" s="52"/>
      <c r="C787" s="52"/>
      <c r="D787" s="52"/>
      <c r="E787" s="53"/>
      <c r="F787" s="52"/>
      <c r="G787" s="52"/>
      <c r="H787" s="52"/>
      <c r="I787" s="53"/>
      <c r="J787" s="52"/>
      <c r="K787" s="52"/>
      <c r="L787" s="52"/>
      <c r="M787" s="52"/>
      <c r="N787" s="19"/>
      <c r="O787" s="19"/>
      <c r="P787" s="19"/>
      <c r="Q787" s="19"/>
      <c r="R787" s="19"/>
      <c r="S787" s="19"/>
      <c r="T787" s="19"/>
      <c r="U787" s="19"/>
      <c r="V787" s="19"/>
      <c r="W787" s="19"/>
      <c r="X787" s="19"/>
      <c r="Y787" s="19"/>
      <c r="Z787" s="19"/>
      <c r="AA787" s="19"/>
      <c r="AB787" s="19"/>
      <c r="AC787" s="19"/>
      <c r="AD787" s="19"/>
      <c r="AE787" s="19"/>
      <c r="AF787" s="19"/>
      <c r="AG787" s="19"/>
      <c r="AH787" s="19"/>
      <c r="AI787" s="19"/>
      <c r="AJ787" s="19"/>
      <c r="AK787" s="19"/>
      <c r="AL787" s="19"/>
      <c r="AM787" s="19"/>
      <c r="AN787" s="19"/>
      <c r="AO787" s="19"/>
      <c r="AP787" s="19"/>
      <c r="AQ787" s="19"/>
      <c r="AR787" s="19"/>
      <c r="AS787" s="19"/>
      <c r="AT787" s="19"/>
      <c r="AU787" s="19"/>
      <c r="AV787" s="19"/>
      <c r="AW787" s="19"/>
      <c r="AX787" s="19"/>
      <c r="GA787" s="54"/>
    </row>
    <row r="788" spans="1:183" s="18" customFormat="1">
      <c r="A788" s="51"/>
      <c r="B788" s="52"/>
      <c r="C788" s="52"/>
      <c r="D788" s="52"/>
      <c r="E788" s="53"/>
      <c r="F788" s="52"/>
      <c r="G788" s="52"/>
      <c r="H788" s="52"/>
      <c r="I788" s="53"/>
      <c r="J788" s="52"/>
      <c r="K788" s="52"/>
      <c r="L788" s="52"/>
      <c r="M788" s="52"/>
      <c r="N788" s="19"/>
      <c r="O788" s="19"/>
      <c r="P788" s="19"/>
      <c r="Q788" s="19"/>
      <c r="R788" s="19"/>
      <c r="S788" s="19"/>
      <c r="T788" s="19"/>
      <c r="U788" s="19"/>
      <c r="V788" s="19"/>
      <c r="W788" s="19"/>
      <c r="X788" s="19"/>
      <c r="Y788" s="19"/>
      <c r="Z788" s="19"/>
      <c r="AA788" s="19"/>
      <c r="AB788" s="19"/>
      <c r="AC788" s="19"/>
      <c r="AD788" s="19"/>
      <c r="AE788" s="19"/>
      <c r="AF788" s="19"/>
      <c r="AG788" s="19"/>
      <c r="AH788" s="19"/>
      <c r="AI788" s="19"/>
      <c r="AJ788" s="19"/>
      <c r="AK788" s="19"/>
      <c r="AL788" s="19"/>
      <c r="AM788" s="19"/>
      <c r="AN788" s="19"/>
      <c r="AO788" s="19"/>
      <c r="AP788" s="19"/>
      <c r="AQ788" s="19"/>
      <c r="AR788" s="19"/>
      <c r="AS788" s="19"/>
      <c r="AT788" s="19"/>
      <c r="AU788" s="19"/>
      <c r="AV788" s="19"/>
      <c r="AW788" s="19"/>
      <c r="AX788" s="19"/>
      <c r="GA788" s="54"/>
    </row>
    <row r="789" spans="1:183" s="18" customFormat="1">
      <c r="A789" s="51"/>
      <c r="B789" s="52"/>
      <c r="C789" s="52"/>
      <c r="D789" s="52"/>
      <c r="E789" s="53"/>
      <c r="F789" s="52"/>
      <c r="G789" s="52"/>
      <c r="H789" s="52"/>
      <c r="I789" s="53"/>
      <c r="J789" s="52"/>
      <c r="K789" s="52"/>
      <c r="L789" s="52"/>
      <c r="M789" s="52"/>
      <c r="N789" s="19"/>
      <c r="O789" s="19"/>
      <c r="P789" s="19"/>
      <c r="Q789" s="19"/>
      <c r="R789" s="19"/>
      <c r="S789" s="19"/>
      <c r="T789" s="19"/>
      <c r="U789" s="19"/>
      <c r="V789" s="19"/>
      <c r="W789" s="19"/>
      <c r="X789" s="19"/>
      <c r="Y789" s="19"/>
      <c r="Z789" s="19"/>
      <c r="AA789" s="19"/>
      <c r="AB789" s="19"/>
      <c r="AC789" s="19"/>
      <c r="AD789" s="19"/>
      <c r="AE789" s="19"/>
      <c r="AF789" s="19"/>
      <c r="AG789" s="19"/>
      <c r="AH789" s="19"/>
      <c r="AI789" s="19"/>
      <c r="AJ789" s="19"/>
      <c r="AK789" s="19"/>
      <c r="AL789" s="19"/>
      <c r="AM789" s="19"/>
      <c r="AN789" s="19"/>
      <c r="AO789" s="19"/>
      <c r="AP789" s="19"/>
      <c r="AQ789" s="19"/>
      <c r="AR789" s="19"/>
      <c r="AS789" s="19"/>
      <c r="AT789" s="19"/>
      <c r="AU789" s="19"/>
      <c r="AV789" s="19"/>
      <c r="AW789" s="19"/>
      <c r="AX789" s="19"/>
      <c r="GA789" s="54"/>
    </row>
    <row r="790" spans="1:183" s="18" customFormat="1">
      <c r="A790" s="51"/>
      <c r="B790" s="52"/>
      <c r="C790" s="52"/>
      <c r="D790" s="52"/>
      <c r="E790" s="53"/>
      <c r="F790" s="52"/>
      <c r="G790" s="52"/>
      <c r="H790" s="52"/>
      <c r="I790" s="53"/>
      <c r="J790" s="52"/>
      <c r="K790" s="52"/>
      <c r="L790" s="52"/>
      <c r="M790" s="52"/>
      <c r="N790" s="19"/>
      <c r="O790" s="19"/>
      <c r="P790" s="19"/>
      <c r="Q790" s="19"/>
      <c r="R790" s="19"/>
      <c r="S790" s="19"/>
      <c r="T790" s="19"/>
      <c r="U790" s="19"/>
      <c r="V790" s="19"/>
      <c r="W790" s="19"/>
      <c r="X790" s="19"/>
      <c r="Y790" s="19"/>
      <c r="Z790" s="19"/>
      <c r="AA790" s="19"/>
      <c r="AB790" s="19"/>
      <c r="AC790" s="19"/>
      <c r="AD790" s="19"/>
      <c r="AE790" s="19"/>
      <c r="AF790" s="19"/>
      <c r="AG790" s="19"/>
      <c r="AH790" s="19"/>
      <c r="AI790" s="19"/>
      <c r="AJ790" s="19"/>
      <c r="AK790" s="19"/>
      <c r="AL790" s="19"/>
      <c r="AM790" s="19"/>
      <c r="AN790" s="19"/>
      <c r="AO790" s="19"/>
      <c r="AP790" s="19"/>
      <c r="AQ790" s="19"/>
      <c r="AR790" s="19"/>
      <c r="AS790" s="19"/>
      <c r="AT790" s="19"/>
      <c r="AU790" s="19"/>
      <c r="AV790" s="19"/>
      <c r="AW790" s="19"/>
      <c r="AX790" s="19"/>
      <c r="GA790" s="54"/>
    </row>
    <row r="791" spans="1:183" s="18" customFormat="1">
      <c r="A791" s="51"/>
      <c r="B791" s="52"/>
      <c r="C791" s="52"/>
      <c r="D791" s="52"/>
      <c r="E791" s="53"/>
      <c r="F791" s="52"/>
      <c r="G791" s="52"/>
      <c r="H791" s="52"/>
      <c r="I791" s="53"/>
      <c r="J791" s="52"/>
      <c r="K791" s="52"/>
      <c r="L791" s="52"/>
      <c r="M791" s="52"/>
      <c r="N791" s="19"/>
      <c r="O791" s="19"/>
      <c r="P791" s="19"/>
      <c r="Q791" s="19"/>
      <c r="R791" s="19"/>
      <c r="S791" s="19"/>
      <c r="T791" s="19"/>
      <c r="U791" s="19"/>
      <c r="V791" s="19"/>
      <c r="W791" s="19"/>
      <c r="X791" s="19"/>
      <c r="Y791" s="19"/>
      <c r="Z791" s="19"/>
      <c r="AA791" s="19"/>
      <c r="AB791" s="19"/>
      <c r="AC791" s="19"/>
      <c r="AD791" s="19"/>
      <c r="AE791" s="19"/>
      <c r="AF791" s="19"/>
      <c r="AG791" s="19"/>
      <c r="AH791" s="19"/>
      <c r="AI791" s="19"/>
      <c r="AJ791" s="19"/>
      <c r="AK791" s="19"/>
      <c r="AL791" s="19"/>
      <c r="AM791" s="19"/>
      <c r="AN791" s="19"/>
      <c r="AO791" s="19"/>
      <c r="AP791" s="19"/>
      <c r="AQ791" s="19"/>
      <c r="AR791" s="19"/>
      <c r="AS791" s="19"/>
      <c r="AT791" s="19"/>
      <c r="AU791" s="19"/>
      <c r="AV791" s="19"/>
      <c r="AW791" s="19"/>
      <c r="AX791" s="19"/>
      <c r="GA791" s="54"/>
    </row>
    <row r="792" spans="1:183" s="18" customFormat="1">
      <c r="A792" s="51"/>
      <c r="B792" s="52"/>
      <c r="C792" s="52"/>
      <c r="D792" s="52"/>
      <c r="E792" s="53"/>
      <c r="F792" s="52"/>
      <c r="G792" s="52"/>
      <c r="H792" s="52"/>
      <c r="I792" s="53"/>
      <c r="J792" s="52"/>
      <c r="K792" s="52"/>
      <c r="L792" s="52"/>
      <c r="M792" s="52"/>
      <c r="N792" s="19"/>
      <c r="O792" s="19"/>
      <c r="P792" s="19"/>
      <c r="Q792" s="19"/>
      <c r="R792" s="19"/>
      <c r="S792" s="19"/>
      <c r="T792" s="19"/>
      <c r="U792" s="19"/>
      <c r="V792" s="19"/>
      <c r="W792" s="19"/>
      <c r="X792" s="19"/>
      <c r="Y792" s="19"/>
      <c r="Z792" s="19"/>
      <c r="AA792" s="19"/>
      <c r="AB792" s="19"/>
      <c r="AC792" s="19"/>
      <c r="AD792" s="19"/>
      <c r="AE792" s="19"/>
      <c r="AF792" s="19"/>
      <c r="AG792" s="19"/>
      <c r="AH792" s="19"/>
      <c r="AI792" s="19"/>
      <c r="AJ792" s="19"/>
      <c r="AK792" s="19"/>
      <c r="AL792" s="19"/>
      <c r="AM792" s="19"/>
      <c r="AN792" s="19"/>
      <c r="AO792" s="19"/>
      <c r="AP792" s="19"/>
      <c r="AQ792" s="19"/>
      <c r="AR792" s="19"/>
      <c r="AS792" s="19"/>
      <c r="AT792" s="19"/>
      <c r="AU792" s="19"/>
      <c r="AV792" s="19"/>
      <c r="AW792" s="19"/>
      <c r="AX792" s="19"/>
      <c r="GA792" s="54"/>
    </row>
    <row r="793" spans="1:183" s="18" customFormat="1">
      <c r="A793" s="51"/>
      <c r="B793" s="52"/>
      <c r="C793" s="52"/>
      <c r="D793" s="52"/>
      <c r="E793" s="53"/>
      <c r="F793" s="52"/>
      <c r="G793" s="52"/>
      <c r="H793" s="52"/>
      <c r="I793" s="53"/>
      <c r="J793" s="52"/>
      <c r="K793" s="52"/>
      <c r="L793" s="52"/>
      <c r="M793" s="52"/>
      <c r="N793" s="19"/>
      <c r="O793" s="19"/>
      <c r="P793" s="19"/>
      <c r="Q793" s="19"/>
      <c r="R793" s="19"/>
      <c r="S793" s="19"/>
      <c r="T793" s="19"/>
      <c r="U793" s="19"/>
      <c r="V793" s="19"/>
      <c r="W793" s="19"/>
      <c r="X793" s="19"/>
      <c r="Y793" s="19"/>
      <c r="Z793" s="19"/>
      <c r="AA793" s="19"/>
      <c r="AB793" s="19"/>
      <c r="AC793" s="19"/>
      <c r="AD793" s="19"/>
      <c r="AE793" s="19"/>
      <c r="AF793" s="19"/>
      <c r="AG793" s="19"/>
      <c r="AH793" s="19"/>
      <c r="AI793" s="19"/>
      <c r="AJ793" s="19"/>
      <c r="AK793" s="19"/>
      <c r="AL793" s="19"/>
      <c r="AM793" s="19"/>
      <c r="AN793" s="19"/>
      <c r="AO793" s="19"/>
      <c r="AP793" s="19"/>
      <c r="AQ793" s="19"/>
      <c r="AR793" s="19"/>
      <c r="AS793" s="19"/>
      <c r="AT793" s="19"/>
      <c r="AU793" s="19"/>
      <c r="AV793" s="19"/>
      <c r="AW793" s="19"/>
      <c r="AX793" s="19"/>
      <c r="GA793" s="54"/>
    </row>
    <row r="794" spans="1:183" s="18" customFormat="1">
      <c r="A794" s="51"/>
      <c r="B794" s="52"/>
      <c r="C794" s="52"/>
      <c r="D794" s="52"/>
      <c r="E794" s="53"/>
      <c r="F794" s="52"/>
      <c r="G794" s="52"/>
      <c r="H794" s="52"/>
      <c r="I794" s="53"/>
      <c r="J794" s="52"/>
      <c r="K794" s="52"/>
      <c r="L794" s="52"/>
      <c r="M794" s="52"/>
      <c r="N794" s="19"/>
      <c r="O794" s="19"/>
      <c r="P794" s="19"/>
      <c r="Q794" s="19"/>
      <c r="R794" s="19"/>
      <c r="S794" s="19"/>
      <c r="T794" s="19"/>
      <c r="U794" s="19"/>
      <c r="V794" s="19"/>
      <c r="W794" s="19"/>
      <c r="X794" s="19"/>
      <c r="Y794" s="19"/>
      <c r="Z794" s="19"/>
      <c r="AA794" s="19"/>
      <c r="AB794" s="19"/>
      <c r="AC794" s="19"/>
      <c r="AD794" s="19"/>
      <c r="AE794" s="19"/>
      <c r="AF794" s="19"/>
      <c r="AG794" s="19"/>
      <c r="AH794" s="19"/>
      <c r="AI794" s="19"/>
      <c r="AJ794" s="19"/>
      <c r="AK794" s="19"/>
      <c r="AL794" s="19"/>
      <c r="AM794" s="19"/>
      <c r="AN794" s="19"/>
      <c r="AO794" s="19"/>
      <c r="AP794" s="19"/>
      <c r="AQ794" s="19"/>
      <c r="AR794" s="19"/>
      <c r="AS794" s="19"/>
      <c r="AT794" s="19"/>
      <c r="AU794" s="19"/>
      <c r="AV794" s="19"/>
      <c r="AW794" s="19"/>
      <c r="AX794" s="19"/>
      <c r="GA794" s="54"/>
    </row>
    <row r="795" spans="1:183" s="18" customFormat="1">
      <c r="A795" s="51"/>
      <c r="B795" s="52"/>
      <c r="C795" s="52"/>
      <c r="D795" s="52"/>
      <c r="E795" s="53"/>
      <c r="F795" s="52"/>
      <c r="G795" s="52"/>
      <c r="H795" s="52"/>
      <c r="I795" s="53"/>
      <c r="J795" s="52"/>
      <c r="K795" s="52"/>
      <c r="L795" s="52"/>
      <c r="M795" s="52"/>
      <c r="N795" s="19"/>
      <c r="O795" s="19"/>
      <c r="P795" s="19"/>
      <c r="Q795" s="19"/>
      <c r="R795" s="19"/>
      <c r="S795" s="19"/>
      <c r="T795" s="19"/>
      <c r="U795" s="19"/>
      <c r="V795" s="19"/>
      <c r="W795" s="19"/>
      <c r="X795" s="19"/>
      <c r="Y795" s="19"/>
      <c r="Z795" s="19"/>
      <c r="AA795" s="19"/>
      <c r="AB795" s="19"/>
      <c r="AC795" s="19"/>
      <c r="AD795" s="19"/>
      <c r="AE795" s="19"/>
      <c r="AF795" s="19"/>
      <c r="AG795" s="19"/>
      <c r="AH795" s="19"/>
      <c r="AI795" s="19"/>
      <c r="AJ795" s="19"/>
      <c r="AK795" s="19"/>
      <c r="AL795" s="19"/>
      <c r="AM795" s="19"/>
      <c r="AN795" s="19"/>
      <c r="AO795" s="19"/>
      <c r="AP795" s="19"/>
      <c r="AQ795" s="19"/>
      <c r="AR795" s="19"/>
      <c r="AS795" s="19"/>
      <c r="AT795" s="19"/>
      <c r="AU795" s="19"/>
      <c r="AV795" s="19"/>
      <c r="AW795" s="19"/>
      <c r="AX795" s="19"/>
      <c r="GA795" s="54"/>
    </row>
    <row r="796" spans="1:183" s="18" customFormat="1">
      <c r="A796" s="51"/>
      <c r="B796" s="52"/>
      <c r="C796" s="52"/>
      <c r="D796" s="52"/>
      <c r="E796" s="53"/>
      <c r="F796" s="52"/>
      <c r="G796" s="52"/>
      <c r="H796" s="52"/>
      <c r="I796" s="53"/>
      <c r="J796" s="52"/>
      <c r="K796" s="52"/>
      <c r="L796" s="52"/>
      <c r="M796" s="52"/>
      <c r="N796" s="19"/>
      <c r="O796" s="19"/>
      <c r="P796" s="19"/>
      <c r="Q796" s="19"/>
      <c r="R796" s="19"/>
      <c r="S796" s="19"/>
      <c r="T796" s="19"/>
      <c r="U796" s="19"/>
      <c r="V796" s="19"/>
      <c r="W796" s="19"/>
      <c r="X796" s="19"/>
      <c r="Y796" s="19"/>
      <c r="Z796" s="19"/>
      <c r="AA796" s="19"/>
      <c r="AB796" s="19"/>
      <c r="AC796" s="19"/>
      <c r="AD796" s="19"/>
      <c r="AE796" s="19"/>
      <c r="AF796" s="19"/>
      <c r="AG796" s="19"/>
      <c r="AH796" s="19"/>
      <c r="AI796" s="19"/>
      <c r="AJ796" s="19"/>
      <c r="AK796" s="19"/>
      <c r="AL796" s="19"/>
      <c r="AM796" s="19"/>
      <c r="AN796" s="19"/>
      <c r="AO796" s="19"/>
      <c r="AP796" s="19"/>
      <c r="AQ796" s="19"/>
      <c r="AR796" s="19"/>
      <c r="AS796" s="19"/>
      <c r="AT796" s="19"/>
      <c r="AU796" s="19"/>
      <c r="AV796" s="19"/>
      <c r="AW796" s="19"/>
      <c r="AX796" s="19"/>
      <c r="GA796" s="54"/>
    </row>
    <row r="797" spans="1:183" s="18" customFormat="1">
      <c r="A797" s="51"/>
      <c r="B797" s="52"/>
      <c r="C797" s="52"/>
      <c r="D797" s="52"/>
      <c r="E797" s="53"/>
      <c r="F797" s="52"/>
      <c r="G797" s="52"/>
      <c r="H797" s="52"/>
      <c r="I797" s="53"/>
      <c r="J797" s="52"/>
      <c r="K797" s="52"/>
      <c r="L797" s="52"/>
      <c r="M797" s="52"/>
      <c r="N797" s="19"/>
      <c r="O797" s="19"/>
      <c r="P797" s="19"/>
      <c r="Q797" s="19"/>
      <c r="R797" s="19"/>
      <c r="S797" s="19"/>
      <c r="T797" s="19"/>
      <c r="U797" s="19"/>
      <c r="V797" s="19"/>
      <c r="W797" s="19"/>
      <c r="X797" s="19"/>
      <c r="Y797" s="19"/>
      <c r="Z797" s="19"/>
      <c r="AA797" s="19"/>
      <c r="AB797" s="19"/>
      <c r="AC797" s="19"/>
      <c r="AD797" s="19"/>
      <c r="AE797" s="19"/>
      <c r="AF797" s="19"/>
      <c r="AG797" s="19"/>
      <c r="AH797" s="19"/>
      <c r="AI797" s="19"/>
      <c r="AJ797" s="19"/>
      <c r="AK797" s="19"/>
      <c r="AL797" s="19"/>
      <c r="AM797" s="19"/>
      <c r="AN797" s="19"/>
      <c r="AO797" s="19"/>
      <c r="AP797" s="19"/>
      <c r="AQ797" s="19"/>
      <c r="AR797" s="19"/>
      <c r="AS797" s="19"/>
      <c r="AT797" s="19"/>
      <c r="AU797" s="19"/>
      <c r="AV797" s="19"/>
      <c r="AW797" s="19"/>
      <c r="AX797" s="19"/>
      <c r="GA797" s="54"/>
    </row>
    <row r="798" spans="1:183" s="18" customFormat="1">
      <c r="A798" s="51"/>
      <c r="B798" s="52"/>
      <c r="C798" s="52"/>
      <c r="D798" s="52"/>
      <c r="E798" s="53"/>
      <c r="F798" s="52"/>
      <c r="G798" s="52"/>
      <c r="H798" s="52"/>
      <c r="I798" s="53"/>
      <c r="J798" s="52"/>
      <c r="K798" s="52"/>
      <c r="L798" s="52"/>
      <c r="M798" s="52"/>
      <c r="N798" s="19"/>
      <c r="O798" s="19"/>
      <c r="P798" s="19"/>
      <c r="Q798" s="19"/>
      <c r="R798" s="19"/>
      <c r="S798" s="19"/>
      <c r="T798" s="19"/>
      <c r="U798" s="19"/>
      <c r="V798" s="19"/>
      <c r="W798" s="19"/>
      <c r="X798" s="19"/>
      <c r="Y798" s="19"/>
      <c r="Z798" s="19"/>
      <c r="AA798" s="19"/>
      <c r="AB798" s="19"/>
      <c r="AC798" s="19"/>
      <c r="AD798" s="19"/>
      <c r="AE798" s="19"/>
      <c r="AF798" s="19"/>
      <c r="AG798" s="19"/>
      <c r="AH798" s="19"/>
      <c r="AI798" s="19"/>
      <c r="AJ798" s="19"/>
      <c r="AK798" s="19"/>
      <c r="AL798" s="19"/>
      <c r="AM798" s="19"/>
      <c r="AN798" s="19"/>
      <c r="AO798" s="19"/>
      <c r="AP798" s="19"/>
      <c r="AQ798" s="19"/>
      <c r="AR798" s="19"/>
      <c r="AS798" s="19"/>
      <c r="AT798" s="19"/>
      <c r="AU798" s="19"/>
      <c r="AV798" s="19"/>
      <c r="AW798" s="19"/>
      <c r="AX798" s="19"/>
      <c r="GA798" s="54"/>
    </row>
    <row r="799" spans="1:183" s="18" customFormat="1">
      <c r="A799" s="51"/>
      <c r="B799" s="52"/>
      <c r="C799" s="52"/>
      <c r="D799" s="52"/>
      <c r="E799" s="53"/>
      <c r="F799" s="52"/>
      <c r="G799" s="52"/>
      <c r="H799" s="52"/>
      <c r="I799" s="53"/>
      <c r="J799" s="52"/>
      <c r="K799" s="52"/>
      <c r="L799" s="52"/>
      <c r="M799" s="52"/>
      <c r="N799" s="19"/>
      <c r="O799" s="19"/>
      <c r="P799" s="19"/>
      <c r="Q799" s="19"/>
      <c r="R799" s="19"/>
      <c r="S799" s="19"/>
      <c r="T799" s="19"/>
      <c r="U799" s="19"/>
      <c r="V799" s="19"/>
      <c r="W799" s="19"/>
      <c r="X799" s="19"/>
      <c r="Y799" s="19"/>
      <c r="Z799" s="19"/>
      <c r="AA799" s="19"/>
      <c r="AB799" s="19"/>
      <c r="AC799" s="19"/>
      <c r="AD799" s="19"/>
      <c r="AE799" s="19"/>
      <c r="AF799" s="19"/>
      <c r="AG799" s="19"/>
      <c r="AH799" s="19"/>
      <c r="AI799" s="19"/>
      <c r="AJ799" s="19"/>
      <c r="AK799" s="19"/>
      <c r="AL799" s="19"/>
      <c r="AM799" s="19"/>
      <c r="AN799" s="19"/>
      <c r="AO799" s="19"/>
      <c r="AP799" s="19"/>
      <c r="AQ799" s="19"/>
      <c r="AR799" s="19"/>
      <c r="AS799" s="19"/>
      <c r="AT799" s="19"/>
      <c r="AU799" s="19"/>
      <c r="AV799" s="19"/>
      <c r="AW799" s="19"/>
      <c r="AX799" s="19"/>
      <c r="GA799" s="54"/>
    </row>
    <row r="800" spans="1:183" s="18" customFormat="1">
      <c r="A800" s="51"/>
      <c r="B800" s="52"/>
      <c r="C800" s="52"/>
      <c r="D800" s="52"/>
      <c r="E800" s="53"/>
      <c r="F800" s="52"/>
      <c r="G800" s="52"/>
      <c r="H800" s="52"/>
      <c r="I800" s="53"/>
      <c r="J800" s="52"/>
      <c r="K800" s="52"/>
      <c r="L800" s="52"/>
      <c r="M800" s="52"/>
      <c r="N800" s="19"/>
      <c r="O800" s="19"/>
      <c r="P800" s="19"/>
      <c r="Q800" s="19"/>
      <c r="R800" s="19"/>
      <c r="S800" s="19"/>
      <c r="T800" s="19"/>
      <c r="U800" s="19"/>
      <c r="V800" s="19"/>
      <c r="W800" s="19"/>
      <c r="X800" s="19"/>
      <c r="Y800" s="19"/>
      <c r="Z800" s="19"/>
      <c r="AA800" s="19"/>
      <c r="AB800" s="19"/>
      <c r="AC800" s="19"/>
      <c r="AD800" s="19"/>
      <c r="AE800" s="19"/>
      <c r="AF800" s="19"/>
      <c r="AG800" s="19"/>
      <c r="AH800" s="19"/>
      <c r="AI800" s="19"/>
      <c r="AJ800" s="19"/>
      <c r="AK800" s="19"/>
      <c r="AL800" s="19"/>
      <c r="AM800" s="19"/>
      <c r="AN800" s="19"/>
      <c r="AO800" s="19"/>
      <c r="AP800" s="19"/>
      <c r="AQ800" s="19"/>
      <c r="AR800" s="19"/>
      <c r="AS800" s="19"/>
      <c r="AT800" s="19"/>
      <c r="AU800" s="19"/>
      <c r="AV800" s="19"/>
      <c r="AW800" s="19"/>
      <c r="AX800" s="19"/>
      <c r="GA800" s="54"/>
    </row>
    <row r="801" spans="1:183" s="18" customFormat="1">
      <c r="A801" s="51"/>
      <c r="B801" s="52"/>
      <c r="C801" s="52"/>
      <c r="D801" s="52"/>
      <c r="E801" s="53"/>
      <c r="F801" s="52"/>
      <c r="G801" s="52"/>
      <c r="H801" s="52"/>
      <c r="I801" s="53"/>
      <c r="J801" s="52"/>
      <c r="K801" s="52"/>
      <c r="L801" s="52"/>
      <c r="M801" s="52"/>
      <c r="N801" s="19"/>
      <c r="O801" s="19"/>
      <c r="P801" s="19"/>
      <c r="Q801" s="19"/>
      <c r="R801" s="19"/>
      <c r="S801" s="19"/>
      <c r="T801" s="19"/>
      <c r="U801" s="19"/>
      <c r="V801" s="19"/>
      <c r="W801" s="19"/>
      <c r="X801" s="19"/>
      <c r="Y801" s="19"/>
      <c r="Z801" s="19"/>
      <c r="AA801" s="19"/>
      <c r="AB801" s="19"/>
      <c r="AC801" s="19"/>
      <c r="AD801" s="19"/>
      <c r="AE801" s="19"/>
      <c r="AF801" s="19"/>
      <c r="AG801" s="19"/>
      <c r="AH801" s="19"/>
      <c r="AI801" s="19"/>
      <c r="AJ801" s="19"/>
      <c r="AK801" s="19"/>
      <c r="AL801" s="19"/>
      <c r="AM801" s="19"/>
      <c r="AN801" s="19"/>
      <c r="AO801" s="19"/>
      <c r="AP801" s="19"/>
      <c r="AQ801" s="19"/>
      <c r="AR801" s="19"/>
      <c r="AS801" s="19"/>
      <c r="AT801" s="19"/>
      <c r="AU801" s="19"/>
      <c r="AV801" s="19"/>
      <c r="AW801" s="19"/>
      <c r="AX801" s="19"/>
      <c r="GA801" s="54"/>
    </row>
    <row r="802" spans="1:183" s="18" customFormat="1">
      <c r="A802" s="51"/>
      <c r="B802" s="52"/>
      <c r="C802" s="52"/>
      <c r="D802" s="52"/>
      <c r="E802" s="53"/>
      <c r="F802" s="52"/>
      <c r="G802" s="52"/>
      <c r="H802" s="52"/>
      <c r="I802" s="53"/>
      <c r="J802" s="52"/>
      <c r="K802" s="52"/>
      <c r="L802" s="52"/>
      <c r="M802" s="52"/>
      <c r="N802" s="19"/>
      <c r="O802" s="19"/>
      <c r="P802" s="19"/>
      <c r="Q802" s="19"/>
      <c r="R802" s="19"/>
      <c r="S802" s="19"/>
      <c r="T802" s="19"/>
      <c r="U802" s="19"/>
      <c r="V802" s="19"/>
      <c r="W802" s="19"/>
      <c r="X802" s="19"/>
      <c r="Y802" s="19"/>
      <c r="Z802" s="19"/>
      <c r="AA802" s="19"/>
      <c r="AB802" s="19"/>
      <c r="AC802" s="19"/>
      <c r="AD802" s="19"/>
      <c r="AE802" s="19"/>
      <c r="AF802" s="19"/>
      <c r="AG802" s="19"/>
      <c r="AH802" s="19"/>
      <c r="AI802" s="19"/>
      <c r="AJ802" s="19"/>
      <c r="AK802" s="19"/>
      <c r="AL802" s="19"/>
      <c r="AM802" s="19"/>
      <c r="AN802" s="19"/>
      <c r="AO802" s="19"/>
      <c r="AP802" s="19"/>
      <c r="AQ802" s="19"/>
      <c r="AR802" s="19"/>
      <c r="AS802" s="19"/>
      <c r="AT802" s="19"/>
      <c r="AU802" s="19"/>
      <c r="AV802" s="19"/>
      <c r="AW802" s="19"/>
      <c r="AX802" s="19"/>
      <c r="GA802" s="54"/>
    </row>
    <row r="803" spans="1:183" s="18" customFormat="1">
      <c r="A803" s="51"/>
      <c r="B803" s="52"/>
      <c r="C803" s="52"/>
      <c r="D803" s="52"/>
      <c r="E803" s="53"/>
      <c r="F803" s="52"/>
      <c r="G803" s="52"/>
      <c r="H803" s="52"/>
      <c r="I803" s="53"/>
      <c r="J803" s="52"/>
      <c r="K803" s="52"/>
      <c r="L803" s="52"/>
      <c r="M803" s="52"/>
      <c r="N803" s="19"/>
      <c r="O803" s="19"/>
      <c r="P803" s="19"/>
      <c r="Q803" s="19"/>
      <c r="R803" s="19"/>
      <c r="S803" s="19"/>
      <c r="T803" s="19"/>
      <c r="U803" s="19"/>
      <c r="V803" s="19"/>
      <c r="W803" s="19"/>
      <c r="X803" s="19"/>
      <c r="Y803" s="19"/>
      <c r="Z803" s="19"/>
      <c r="AA803" s="19"/>
      <c r="AB803" s="19"/>
      <c r="AC803" s="19"/>
      <c r="AD803" s="19"/>
      <c r="AE803" s="19"/>
      <c r="AF803" s="19"/>
      <c r="AG803" s="19"/>
      <c r="AH803" s="19"/>
      <c r="AI803" s="19"/>
      <c r="AJ803" s="19"/>
      <c r="AK803" s="19"/>
      <c r="AL803" s="19"/>
      <c r="AM803" s="19"/>
      <c r="AN803" s="19"/>
      <c r="AO803" s="19"/>
      <c r="AP803" s="19"/>
      <c r="AQ803" s="19"/>
      <c r="AR803" s="19"/>
      <c r="AS803" s="19"/>
      <c r="AT803" s="19"/>
      <c r="AU803" s="19"/>
      <c r="AV803" s="19"/>
      <c r="AW803" s="19"/>
      <c r="AX803" s="19"/>
      <c r="GA803" s="54"/>
    </row>
    <row r="804" spans="1:183" s="18" customFormat="1">
      <c r="A804" s="51"/>
      <c r="B804" s="52"/>
      <c r="C804" s="52"/>
      <c r="D804" s="52"/>
      <c r="E804" s="53"/>
      <c r="F804" s="52"/>
      <c r="G804" s="52"/>
      <c r="H804" s="52"/>
      <c r="I804" s="53"/>
      <c r="J804" s="52"/>
      <c r="K804" s="52"/>
      <c r="L804" s="52"/>
      <c r="M804" s="52"/>
      <c r="N804" s="19"/>
      <c r="O804" s="19"/>
      <c r="P804" s="19"/>
      <c r="Q804" s="19"/>
      <c r="R804" s="19"/>
      <c r="S804" s="19"/>
      <c r="T804" s="19"/>
      <c r="U804" s="19"/>
      <c r="V804" s="19"/>
      <c r="W804" s="19"/>
      <c r="X804" s="19"/>
      <c r="Y804" s="19"/>
      <c r="Z804" s="19"/>
      <c r="AA804" s="19"/>
      <c r="AB804" s="19"/>
      <c r="AC804" s="19"/>
      <c r="AD804" s="19"/>
      <c r="AE804" s="19"/>
      <c r="AF804" s="19"/>
      <c r="AG804" s="19"/>
      <c r="AH804" s="19"/>
      <c r="AI804" s="19"/>
      <c r="AJ804" s="19"/>
      <c r="AK804" s="19"/>
      <c r="AL804" s="19"/>
      <c r="AM804" s="19"/>
      <c r="AN804" s="19"/>
      <c r="AO804" s="19"/>
      <c r="AP804" s="19"/>
      <c r="AQ804" s="19"/>
      <c r="AR804" s="19"/>
      <c r="AS804" s="19"/>
      <c r="AT804" s="19"/>
      <c r="AU804" s="19"/>
      <c r="AV804" s="19"/>
      <c r="AW804" s="19"/>
      <c r="AX804" s="19"/>
      <c r="GA804" s="54"/>
    </row>
    <row r="805" spans="1:183" s="18" customFormat="1">
      <c r="A805" s="51"/>
      <c r="B805" s="52"/>
      <c r="C805" s="52"/>
      <c r="D805" s="52"/>
      <c r="E805" s="53"/>
      <c r="F805" s="52"/>
      <c r="G805" s="52"/>
      <c r="H805" s="52"/>
      <c r="I805" s="53"/>
      <c r="J805" s="52"/>
      <c r="K805" s="52"/>
      <c r="L805" s="52"/>
      <c r="M805" s="52"/>
      <c r="N805" s="19"/>
      <c r="O805" s="19"/>
      <c r="P805" s="19"/>
      <c r="Q805" s="19"/>
      <c r="R805" s="19"/>
      <c r="S805" s="19"/>
      <c r="T805" s="19"/>
      <c r="U805" s="19"/>
      <c r="V805" s="19"/>
      <c r="W805" s="19"/>
      <c r="X805" s="19"/>
      <c r="Y805" s="19"/>
      <c r="Z805" s="19"/>
      <c r="AA805" s="19"/>
      <c r="AB805" s="19"/>
      <c r="AC805" s="19"/>
      <c r="AD805" s="19"/>
      <c r="AE805" s="19"/>
      <c r="AF805" s="19"/>
      <c r="AG805" s="19"/>
      <c r="AH805" s="19"/>
      <c r="AI805" s="19"/>
      <c r="AJ805" s="19"/>
      <c r="AK805" s="19"/>
      <c r="AL805" s="19"/>
      <c r="AM805" s="19"/>
      <c r="AN805" s="19"/>
      <c r="AO805" s="19"/>
      <c r="AP805" s="19"/>
      <c r="AQ805" s="19"/>
      <c r="AR805" s="19"/>
      <c r="AS805" s="19"/>
      <c r="AT805" s="19"/>
      <c r="AU805" s="19"/>
      <c r="AV805" s="19"/>
      <c r="AW805" s="19"/>
      <c r="AX805" s="19"/>
      <c r="GA805" s="54"/>
    </row>
    <row r="806" spans="1:183" s="18" customFormat="1">
      <c r="A806" s="51"/>
      <c r="B806" s="52"/>
      <c r="C806" s="52"/>
      <c r="D806" s="52"/>
      <c r="E806" s="53"/>
      <c r="F806" s="52"/>
      <c r="G806" s="52"/>
      <c r="H806" s="52"/>
      <c r="I806" s="53"/>
      <c r="J806" s="52"/>
      <c r="K806" s="52"/>
      <c r="L806" s="52"/>
      <c r="M806" s="52"/>
      <c r="N806" s="19"/>
      <c r="O806" s="19"/>
      <c r="P806" s="19"/>
      <c r="Q806" s="19"/>
      <c r="R806" s="19"/>
      <c r="S806" s="19"/>
      <c r="T806" s="19"/>
      <c r="U806" s="19"/>
      <c r="V806" s="19"/>
      <c r="W806" s="19"/>
      <c r="X806" s="19"/>
      <c r="Y806" s="19"/>
      <c r="Z806" s="19"/>
      <c r="AA806" s="19"/>
      <c r="AB806" s="19"/>
      <c r="AC806" s="19"/>
      <c r="AD806" s="19"/>
      <c r="AE806" s="19"/>
      <c r="AF806" s="19"/>
      <c r="AG806" s="19"/>
      <c r="AH806" s="19"/>
      <c r="AI806" s="19"/>
      <c r="AJ806" s="19"/>
      <c r="AK806" s="19"/>
      <c r="AL806" s="19"/>
      <c r="AM806" s="19"/>
      <c r="AN806" s="19"/>
      <c r="AO806" s="19"/>
      <c r="AP806" s="19"/>
      <c r="AQ806" s="19"/>
      <c r="AR806" s="19"/>
      <c r="AS806" s="19"/>
      <c r="AT806" s="19"/>
      <c r="AU806" s="19"/>
      <c r="AV806" s="19"/>
      <c r="AW806" s="19"/>
      <c r="AX806" s="19"/>
      <c r="GA806" s="54"/>
    </row>
    <row r="807" spans="1:183" s="18" customFormat="1">
      <c r="A807" s="51"/>
      <c r="B807" s="52"/>
      <c r="C807" s="52"/>
      <c r="D807" s="52"/>
      <c r="E807" s="53"/>
      <c r="F807" s="52"/>
      <c r="G807" s="52"/>
      <c r="H807" s="52"/>
      <c r="I807" s="53"/>
      <c r="J807" s="52"/>
      <c r="K807" s="52"/>
      <c r="L807" s="52"/>
      <c r="M807" s="52"/>
      <c r="N807" s="19"/>
      <c r="O807" s="19"/>
      <c r="P807" s="19"/>
      <c r="Q807" s="19"/>
      <c r="R807" s="19"/>
      <c r="S807" s="19"/>
      <c r="T807" s="19"/>
      <c r="U807" s="19"/>
      <c r="V807" s="19"/>
      <c r="W807" s="19"/>
      <c r="X807" s="19"/>
      <c r="Y807" s="19"/>
      <c r="Z807" s="19"/>
      <c r="AA807" s="19"/>
      <c r="AB807" s="19"/>
      <c r="AC807" s="19"/>
      <c r="AD807" s="19"/>
      <c r="AE807" s="19"/>
      <c r="AF807" s="19"/>
      <c r="AG807" s="19"/>
      <c r="AH807" s="19"/>
      <c r="AI807" s="19"/>
      <c r="AJ807" s="19"/>
      <c r="AK807" s="19"/>
      <c r="AL807" s="19"/>
      <c r="AM807" s="19"/>
      <c r="AN807" s="19"/>
      <c r="AO807" s="19"/>
      <c r="AP807" s="19"/>
      <c r="AQ807" s="19"/>
      <c r="AR807" s="19"/>
      <c r="AS807" s="19"/>
      <c r="AT807" s="19"/>
      <c r="AU807" s="19"/>
      <c r="AV807" s="19"/>
      <c r="AW807" s="19"/>
      <c r="AX807" s="19"/>
      <c r="GA807" s="54"/>
    </row>
    <row r="808" spans="1:183" s="18" customFormat="1">
      <c r="A808" s="51"/>
      <c r="B808" s="52"/>
      <c r="C808" s="52"/>
      <c r="D808" s="52"/>
      <c r="E808" s="53"/>
      <c r="F808" s="52"/>
      <c r="G808" s="52"/>
      <c r="H808" s="52"/>
      <c r="I808" s="53"/>
      <c r="J808" s="52"/>
      <c r="K808" s="52"/>
      <c r="L808" s="52"/>
      <c r="M808" s="52"/>
      <c r="N808" s="19"/>
      <c r="O808" s="19"/>
      <c r="P808" s="19"/>
      <c r="Q808" s="19"/>
      <c r="R808" s="19"/>
      <c r="S808" s="19"/>
      <c r="T808" s="19"/>
      <c r="U808" s="19"/>
      <c r="V808" s="19"/>
      <c r="W808" s="19"/>
      <c r="X808" s="19"/>
      <c r="Y808" s="19"/>
      <c r="Z808" s="19"/>
      <c r="AA808" s="19"/>
      <c r="AB808" s="19"/>
      <c r="AC808" s="19"/>
      <c r="AD808" s="19"/>
      <c r="AE808" s="19"/>
      <c r="AF808" s="19"/>
      <c r="AG808" s="19"/>
      <c r="AH808" s="19"/>
      <c r="AI808" s="19"/>
      <c r="AJ808" s="19"/>
      <c r="AK808" s="19"/>
      <c r="AL808" s="19"/>
      <c r="AM808" s="19"/>
      <c r="AN808" s="19"/>
      <c r="AO808" s="19"/>
      <c r="AP808" s="19"/>
      <c r="AQ808" s="19"/>
      <c r="AR808" s="19"/>
      <c r="AS808" s="19"/>
      <c r="AT808" s="19"/>
      <c r="AU808" s="19"/>
      <c r="AV808" s="19"/>
      <c r="AW808" s="19"/>
      <c r="AX808" s="19"/>
      <c r="GA808" s="54"/>
    </row>
    <row r="809" spans="1:183" s="18" customFormat="1">
      <c r="A809" s="51"/>
      <c r="B809" s="52"/>
      <c r="C809" s="52"/>
      <c r="D809" s="52"/>
      <c r="E809" s="53"/>
      <c r="F809" s="52"/>
      <c r="G809" s="52"/>
      <c r="H809" s="52"/>
      <c r="I809" s="53"/>
      <c r="J809" s="52"/>
      <c r="K809" s="52"/>
      <c r="L809" s="52"/>
      <c r="M809" s="52"/>
      <c r="N809" s="19"/>
      <c r="O809" s="19"/>
      <c r="P809" s="19"/>
      <c r="Q809" s="19"/>
      <c r="R809" s="19"/>
      <c r="S809" s="19"/>
      <c r="T809" s="19"/>
      <c r="U809" s="19"/>
      <c r="V809" s="19"/>
      <c r="W809" s="19"/>
      <c r="X809" s="19"/>
      <c r="Y809" s="19"/>
      <c r="Z809" s="19"/>
      <c r="AA809" s="19"/>
      <c r="AB809" s="19"/>
      <c r="AC809" s="19"/>
      <c r="AD809" s="19"/>
      <c r="AE809" s="19"/>
      <c r="AF809" s="19"/>
      <c r="AG809" s="19"/>
      <c r="AH809" s="19"/>
      <c r="AI809" s="19"/>
      <c r="AJ809" s="19"/>
      <c r="AK809" s="19"/>
      <c r="AL809" s="19"/>
      <c r="AM809" s="19"/>
      <c r="AN809" s="19"/>
      <c r="AO809" s="19"/>
      <c r="AP809" s="19"/>
      <c r="AQ809" s="19"/>
      <c r="AR809" s="19"/>
      <c r="AS809" s="19"/>
      <c r="AT809" s="19"/>
      <c r="AU809" s="19"/>
      <c r="AV809" s="19"/>
      <c r="AW809" s="19"/>
      <c r="AX809" s="19"/>
      <c r="GA809" s="54"/>
    </row>
    <row r="810" spans="1:183" s="18" customFormat="1">
      <c r="A810" s="51"/>
      <c r="B810" s="52"/>
      <c r="C810" s="52"/>
      <c r="D810" s="52"/>
      <c r="E810" s="53"/>
      <c r="F810" s="52"/>
      <c r="G810" s="52"/>
      <c r="H810" s="52"/>
      <c r="I810" s="53"/>
      <c r="J810" s="52"/>
      <c r="K810" s="52"/>
      <c r="L810" s="52"/>
      <c r="M810" s="52"/>
      <c r="N810" s="19"/>
      <c r="O810" s="19"/>
      <c r="P810" s="19"/>
      <c r="Q810" s="19"/>
      <c r="R810" s="19"/>
      <c r="S810" s="19"/>
      <c r="T810" s="19"/>
      <c r="U810" s="19"/>
      <c r="V810" s="19"/>
      <c r="W810" s="19"/>
      <c r="X810" s="19"/>
      <c r="Y810" s="19"/>
      <c r="Z810" s="19"/>
      <c r="AA810" s="19"/>
      <c r="AB810" s="19"/>
      <c r="AC810" s="19"/>
      <c r="AD810" s="19"/>
      <c r="AE810" s="19"/>
      <c r="AF810" s="19"/>
      <c r="AG810" s="19"/>
      <c r="AH810" s="19"/>
      <c r="AI810" s="19"/>
      <c r="AJ810" s="19"/>
      <c r="AK810" s="19"/>
      <c r="AL810" s="19"/>
      <c r="AM810" s="19"/>
      <c r="AN810" s="19"/>
      <c r="AO810" s="19"/>
      <c r="AP810" s="19"/>
      <c r="AQ810" s="19"/>
      <c r="AR810" s="19"/>
      <c r="AS810" s="19"/>
      <c r="AT810" s="19"/>
      <c r="AU810" s="19"/>
      <c r="AV810" s="19"/>
      <c r="AW810" s="19"/>
      <c r="AX810" s="19"/>
      <c r="GA810" s="54"/>
    </row>
    <row r="811" spans="1:183" s="18" customFormat="1">
      <c r="A811" s="51"/>
      <c r="B811" s="52"/>
      <c r="C811" s="52"/>
      <c r="D811" s="52"/>
      <c r="E811" s="53"/>
      <c r="F811" s="52"/>
      <c r="G811" s="52"/>
      <c r="H811" s="52"/>
      <c r="I811" s="53"/>
      <c r="J811" s="52"/>
      <c r="K811" s="52"/>
      <c r="L811" s="52"/>
      <c r="M811" s="52"/>
      <c r="N811" s="19"/>
      <c r="O811" s="19"/>
      <c r="P811" s="19"/>
      <c r="Q811" s="19"/>
      <c r="R811" s="19"/>
      <c r="S811" s="19"/>
      <c r="T811" s="19"/>
      <c r="U811" s="19"/>
      <c r="V811" s="19"/>
      <c r="W811" s="19"/>
      <c r="X811" s="19"/>
      <c r="Y811" s="19"/>
      <c r="Z811" s="19"/>
      <c r="AA811" s="19"/>
      <c r="AB811" s="19"/>
      <c r="AC811" s="19"/>
      <c r="AD811" s="19"/>
      <c r="AE811" s="19"/>
      <c r="AF811" s="19"/>
      <c r="AG811" s="19"/>
      <c r="AH811" s="19"/>
      <c r="AI811" s="19"/>
      <c r="AJ811" s="19"/>
      <c r="AK811" s="19"/>
      <c r="AL811" s="19"/>
      <c r="AM811" s="19"/>
      <c r="AN811" s="19"/>
      <c r="AO811" s="19"/>
      <c r="AP811" s="19"/>
      <c r="AQ811" s="19"/>
      <c r="AR811" s="19"/>
      <c r="AS811" s="19"/>
      <c r="AT811" s="19"/>
      <c r="AU811" s="19"/>
      <c r="AV811" s="19"/>
      <c r="AW811" s="19"/>
      <c r="AX811" s="19"/>
      <c r="GA811" s="54"/>
    </row>
    <row r="812" spans="1:183" s="18" customFormat="1">
      <c r="A812" s="51"/>
      <c r="B812" s="52"/>
      <c r="C812" s="52"/>
      <c r="D812" s="52"/>
      <c r="E812" s="53"/>
      <c r="F812" s="52"/>
      <c r="G812" s="52"/>
      <c r="H812" s="52"/>
      <c r="I812" s="53"/>
      <c r="J812" s="52"/>
      <c r="K812" s="52"/>
      <c r="L812" s="52"/>
      <c r="M812" s="52"/>
      <c r="N812" s="19"/>
      <c r="O812" s="19"/>
      <c r="P812" s="19"/>
      <c r="Q812" s="19"/>
      <c r="R812" s="19"/>
      <c r="S812" s="19"/>
      <c r="T812" s="19"/>
      <c r="U812" s="19"/>
      <c r="V812" s="19"/>
      <c r="W812" s="19"/>
      <c r="X812" s="19"/>
      <c r="Y812" s="19"/>
      <c r="Z812" s="19"/>
      <c r="AA812" s="19"/>
      <c r="AB812" s="19"/>
      <c r="AC812" s="19"/>
      <c r="AD812" s="19"/>
      <c r="AE812" s="19"/>
      <c r="AF812" s="19"/>
      <c r="AG812" s="19"/>
      <c r="AH812" s="19"/>
      <c r="AI812" s="19"/>
      <c r="AJ812" s="19"/>
      <c r="AK812" s="19"/>
      <c r="AL812" s="19"/>
      <c r="AM812" s="19"/>
      <c r="AN812" s="19"/>
      <c r="AO812" s="19"/>
      <c r="AP812" s="19"/>
      <c r="AQ812" s="19"/>
      <c r="AR812" s="19"/>
      <c r="AS812" s="19"/>
      <c r="AT812" s="19"/>
      <c r="AU812" s="19"/>
      <c r="AV812" s="19"/>
      <c r="AW812" s="19"/>
      <c r="AX812" s="19"/>
      <c r="GA812" s="54"/>
    </row>
    <row r="813" spans="1:183" s="18" customFormat="1">
      <c r="A813" s="51"/>
      <c r="B813" s="52"/>
      <c r="C813" s="52"/>
      <c r="D813" s="52"/>
      <c r="E813" s="53"/>
      <c r="F813" s="52"/>
      <c r="G813" s="52"/>
      <c r="H813" s="52"/>
      <c r="I813" s="53"/>
      <c r="J813" s="52"/>
      <c r="K813" s="52"/>
      <c r="L813" s="52"/>
      <c r="M813" s="52"/>
      <c r="N813" s="19"/>
      <c r="O813" s="19"/>
      <c r="P813" s="19"/>
      <c r="Q813" s="19"/>
      <c r="R813" s="19"/>
      <c r="S813" s="19"/>
      <c r="T813" s="19"/>
      <c r="U813" s="19"/>
      <c r="V813" s="19"/>
      <c r="W813" s="19"/>
      <c r="X813" s="19"/>
      <c r="Y813" s="19"/>
      <c r="Z813" s="19"/>
      <c r="AA813" s="19"/>
      <c r="AB813" s="19"/>
      <c r="AC813" s="19"/>
      <c r="AD813" s="19"/>
      <c r="AE813" s="19"/>
      <c r="AF813" s="19"/>
      <c r="AG813" s="19"/>
      <c r="AH813" s="19"/>
      <c r="AI813" s="19"/>
      <c r="AJ813" s="19"/>
      <c r="AK813" s="19"/>
      <c r="AL813" s="19"/>
      <c r="AM813" s="19"/>
      <c r="AN813" s="19"/>
      <c r="AO813" s="19"/>
      <c r="AP813" s="19"/>
      <c r="AQ813" s="19"/>
      <c r="AR813" s="19"/>
      <c r="AS813" s="19"/>
      <c r="AT813" s="19"/>
      <c r="AU813" s="19"/>
      <c r="AV813" s="19"/>
      <c r="AW813" s="19"/>
      <c r="AX813" s="19"/>
      <c r="GA813" s="54"/>
    </row>
    <row r="814" spans="1:183" s="18" customFormat="1">
      <c r="A814" s="51"/>
      <c r="B814" s="52"/>
      <c r="C814" s="52"/>
      <c r="D814" s="52"/>
      <c r="E814" s="53"/>
      <c r="F814" s="52"/>
      <c r="G814" s="52"/>
      <c r="H814" s="52"/>
      <c r="I814" s="53"/>
      <c r="J814" s="52"/>
      <c r="K814" s="52"/>
      <c r="L814" s="52"/>
      <c r="M814" s="52"/>
      <c r="N814" s="19"/>
      <c r="O814" s="19"/>
      <c r="P814" s="19"/>
      <c r="Q814" s="19"/>
      <c r="R814" s="19"/>
      <c r="S814" s="19"/>
      <c r="T814" s="19"/>
      <c r="U814" s="19"/>
      <c r="V814" s="19"/>
      <c r="W814" s="19"/>
      <c r="X814" s="19"/>
      <c r="Y814" s="19"/>
      <c r="Z814" s="19"/>
      <c r="AA814" s="19"/>
      <c r="AB814" s="19"/>
      <c r="AC814" s="19"/>
      <c r="AD814" s="19"/>
      <c r="AE814" s="19"/>
      <c r="AF814" s="19"/>
      <c r="AG814" s="19"/>
      <c r="AH814" s="19"/>
      <c r="AI814" s="19"/>
      <c r="AJ814" s="19"/>
      <c r="AK814" s="19"/>
      <c r="AL814" s="19"/>
      <c r="AM814" s="19"/>
      <c r="AN814" s="19"/>
      <c r="AO814" s="19"/>
      <c r="AP814" s="19"/>
      <c r="AQ814" s="19"/>
      <c r="AR814" s="19"/>
      <c r="AS814" s="19"/>
      <c r="AT814" s="19"/>
      <c r="AU814" s="19"/>
      <c r="AV814" s="19"/>
      <c r="AW814" s="19"/>
      <c r="AX814" s="19"/>
      <c r="GA814" s="54"/>
    </row>
    <row r="815" spans="1:183" s="18" customFormat="1">
      <c r="A815" s="51"/>
      <c r="B815" s="52"/>
      <c r="C815" s="52"/>
      <c r="D815" s="52"/>
      <c r="E815" s="53"/>
      <c r="F815" s="52"/>
      <c r="G815" s="52"/>
      <c r="H815" s="52"/>
      <c r="I815" s="53"/>
      <c r="J815" s="52"/>
      <c r="K815" s="52"/>
      <c r="L815" s="52"/>
      <c r="M815" s="52"/>
      <c r="N815" s="19"/>
      <c r="O815" s="19"/>
      <c r="P815" s="19"/>
      <c r="Q815" s="19"/>
      <c r="R815" s="19"/>
      <c r="S815" s="19"/>
      <c r="T815" s="19"/>
      <c r="U815" s="19"/>
      <c r="V815" s="19"/>
      <c r="W815" s="19"/>
      <c r="X815" s="19"/>
      <c r="Y815" s="19"/>
      <c r="Z815" s="19"/>
      <c r="AA815" s="19"/>
      <c r="AB815" s="19"/>
      <c r="AC815" s="19"/>
      <c r="AD815" s="19"/>
      <c r="AE815" s="19"/>
      <c r="AF815" s="19"/>
      <c r="AG815" s="19"/>
      <c r="AH815" s="19"/>
      <c r="AI815" s="19"/>
      <c r="AJ815" s="19"/>
      <c r="AK815" s="19"/>
      <c r="AL815" s="19"/>
      <c r="AM815" s="19"/>
      <c r="AN815" s="19"/>
      <c r="AO815" s="19"/>
      <c r="AP815" s="19"/>
      <c r="AQ815" s="19"/>
      <c r="AR815" s="19"/>
      <c r="AS815" s="19"/>
      <c r="AT815" s="19"/>
      <c r="AU815" s="19"/>
      <c r="AV815" s="19"/>
      <c r="AW815" s="19"/>
      <c r="AX815" s="19"/>
      <c r="GA815" s="54"/>
    </row>
    <row r="816" spans="1:183" s="18" customFormat="1">
      <c r="A816" s="51"/>
      <c r="B816" s="52"/>
      <c r="C816" s="52"/>
      <c r="D816" s="52"/>
      <c r="E816" s="53"/>
      <c r="F816" s="52"/>
      <c r="G816" s="52"/>
      <c r="H816" s="52"/>
      <c r="I816" s="53"/>
      <c r="J816" s="52"/>
      <c r="K816" s="52"/>
      <c r="L816" s="52"/>
      <c r="M816" s="52"/>
      <c r="N816" s="19"/>
      <c r="O816" s="19"/>
      <c r="P816" s="19"/>
      <c r="Q816" s="19"/>
      <c r="R816" s="19"/>
      <c r="S816" s="19"/>
      <c r="T816" s="19"/>
      <c r="U816" s="19"/>
      <c r="V816" s="19"/>
      <c r="W816" s="19"/>
      <c r="X816" s="19"/>
      <c r="Y816" s="19"/>
      <c r="Z816" s="19"/>
      <c r="AA816" s="19"/>
      <c r="AB816" s="19"/>
      <c r="AC816" s="19"/>
      <c r="AD816" s="19"/>
      <c r="AE816" s="19"/>
      <c r="AF816" s="19"/>
      <c r="AG816" s="19"/>
      <c r="AH816" s="19"/>
      <c r="AI816" s="19"/>
      <c r="AJ816" s="19"/>
      <c r="AK816" s="19"/>
      <c r="AL816" s="19"/>
      <c r="AM816" s="19"/>
      <c r="AN816" s="19"/>
      <c r="AO816" s="19"/>
      <c r="AP816" s="19"/>
      <c r="AQ816" s="19"/>
      <c r="AR816" s="19"/>
      <c r="AS816" s="19"/>
      <c r="AT816" s="19"/>
      <c r="AU816" s="19"/>
      <c r="AV816" s="19"/>
      <c r="AW816" s="19"/>
      <c r="AX816" s="19"/>
      <c r="GA816" s="54"/>
    </row>
    <row r="817" spans="1:183" s="18" customFormat="1">
      <c r="A817" s="51"/>
      <c r="B817" s="52"/>
      <c r="C817" s="52"/>
      <c r="D817" s="52"/>
      <c r="E817" s="53"/>
      <c r="F817" s="52"/>
      <c r="G817" s="52"/>
      <c r="H817" s="52"/>
      <c r="I817" s="53"/>
      <c r="J817" s="52"/>
      <c r="K817" s="52"/>
      <c r="L817" s="52"/>
      <c r="M817" s="52"/>
      <c r="N817" s="19"/>
      <c r="O817" s="19"/>
      <c r="P817" s="19"/>
      <c r="Q817" s="19"/>
      <c r="R817" s="19"/>
      <c r="S817" s="19"/>
      <c r="T817" s="19"/>
      <c r="U817" s="19"/>
      <c r="V817" s="19"/>
      <c r="W817" s="19"/>
      <c r="X817" s="19"/>
      <c r="Y817" s="19"/>
      <c r="Z817" s="19"/>
      <c r="AA817" s="19"/>
      <c r="AB817" s="19"/>
      <c r="AC817" s="19"/>
      <c r="AD817" s="19"/>
      <c r="AE817" s="19"/>
      <c r="AF817" s="19"/>
      <c r="AG817" s="19"/>
      <c r="AH817" s="19"/>
      <c r="AI817" s="19"/>
      <c r="AJ817" s="19"/>
      <c r="AK817" s="19"/>
      <c r="AL817" s="19"/>
      <c r="AM817" s="19"/>
      <c r="AN817" s="19"/>
      <c r="AO817" s="19"/>
      <c r="AP817" s="19"/>
      <c r="AQ817" s="19"/>
      <c r="AR817" s="19"/>
      <c r="AS817" s="19"/>
      <c r="AT817" s="19"/>
      <c r="AU817" s="19"/>
      <c r="AV817" s="19"/>
      <c r="AW817" s="19"/>
      <c r="AX817" s="19"/>
      <c r="GA817" s="54"/>
    </row>
    <row r="818" spans="1:183" s="18" customFormat="1">
      <c r="A818" s="51"/>
      <c r="B818" s="52"/>
      <c r="C818" s="52"/>
      <c r="D818" s="52"/>
      <c r="E818" s="53"/>
      <c r="F818" s="52"/>
      <c r="G818" s="52"/>
      <c r="H818" s="52"/>
      <c r="I818" s="53"/>
      <c r="J818" s="52"/>
      <c r="K818" s="52"/>
      <c r="L818" s="52"/>
      <c r="M818" s="52"/>
      <c r="N818" s="19"/>
      <c r="O818" s="19"/>
      <c r="P818" s="19"/>
      <c r="Q818" s="19"/>
      <c r="R818" s="19"/>
      <c r="S818" s="19"/>
      <c r="T818" s="19"/>
      <c r="U818" s="19"/>
      <c r="V818" s="19"/>
      <c r="W818" s="19"/>
      <c r="X818" s="19"/>
      <c r="Y818" s="19"/>
      <c r="Z818" s="19"/>
      <c r="AA818" s="19"/>
      <c r="AB818" s="19"/>
      <c r="AC818" s="19"/>
      <c r="AD818" s="19"/>
      <c r="AE818" s="19"/>
      <c r="AF818" s="19"/>
      <c r="AG818" s="19"/>
      <c r="AH818" s="19"/>
      <c r="AI818" s="19"/>
      <c r="AJ818" s="19"/>
      <c r="AK818" s="19"/>
      <c r="AL818" s="19"/>
      <c r="AM818" s="19"/>
      <c r="AN818" s="19"/>
      <c r="AO818" s="19"/>
      <c r="AP818" s="19"/>
      <c r="AQ818" s="19"/>
      <c r="AR818" s="19"/>
      <c r="AS818" s="19"/>
      <c r="AT818" s="19"/>
      <c r="AU818" s="19"/>
      <c r="AV818" s="19"/>
      <c r="AW818" s="19"/>
      <c r="AX818" s="19"/>
      <c r="GA818" s="54"/>
    </row>
    <row r="819" spans="1:183" s="18" customFormat="1">
      <c r="A819" s="51"/>
      <c r="B819" s="52"/>
      <c r="C819" s="52"/>
      <c r="D819" s="52"/>
      <c r="E819" s="53"/>
      <c r="F819" s="52"/>
      <c r="G819" s="52"/>
      <c r="H819" s="52"/>
      <c r="I819" s="53"/>
      <c r="J819" s="52"/>
      <c r="K819" s="52"/>
      <c r="L819" s="52"/>
      <c r="M819" s="52"/>
      <c r="N819" s="19"/>
      <c r="O819" s="19"/>
      <c r="P819" s="19"/>
      <c r="Q819" s="19"/>
      <c r="R819" s="19"/>
      <c r="S819" s="19"/>
      <c r="T819" s="19"/>
      <c r="U819" s="19"/>
      <c r="V819" s="19"/>
      <c r="W819" s="19"/>
      <c r="X819" s="19"/>
      <c r="Y819" s="19"/>
      <c r="Z819" s="19"/>
      <c r="AA819" s="19"/>
      <c r="AB819" s="19"/>
      <c r="AC819" s="19"/>
      <c r="AD819" s="19"/>
      <c r="AE819" s="19"/>
      <c r="AF819" s="19"/>
      <c r="AG819" s="19"/>
      <c r="AH819" s="19"/>
      <c r="AI819" s="19"/>
      <c r="AJ819" s="19"/>
      <c r="AK819" s="19"/>
      <c r="AL819" s="19"/>
      <c r="AM819" s="19"/>
      <c r="AN819" s="19"/>
      <c r="AO819" s="19"/>
      <c r="AP819" s="19"/>
      <c r="AQ819" s="19"/>
      <c r="AR819" s="19"/>
      <c r="AS819" s="19"/>
      <c r="AT819" s="19"/>
      <c r="AU819" s="19"/>
      <c r="AV819" s="19"/>
      <c r="AW819" s="19"/>
      <c r="AX819" s="19"/>
      <c r="GA819" s="54"/>
    </row>
    <row r="820" spans="1:183" s="18" customFormat="1">
      <c r="A820" s="51"/>
      <c r="B820" s="52"/>
      <c r="C820" s="52"/>
      <c r="D820" s="52"/>
      <c r="E820" s="53"/>
      <c r="F820" s="52"/>
      <c r="G820" s="52"/>
      <c r="H820" s="52"/>
      <c r="I820" s="53"/>
      <c r="J820" s="52"/>
      <c r="K820" s="52"/>
      <c r="L820" s="52"/>
      <c r="M820" s="52"/>
      <c r="N820" s="19"/>
      <c r="O820" s="19"/>
      <c r="P820" s="19"/>
      <c r="Q820" s="19"/>
      <c r="R820" s="19"/>
      <c r="S820" s="19"/>
      <c r="T820" s="19"/>
      <c r="U820" s="19"/>
      <c r="V820" s="19"/>
      <c r="W820" s="19"/>
      <c r="X820" s="19"/>
      <c r="Y820" s="19"/>
      <c r="Z820" s="19"/>
      <c r="AA820" s="19"/>
      <c r="AB820" s="19"/>
      <c r="AC820" s="19"/>
      <c r="AD820" s="19"/>
      <c r="AE820" s="19"/>
      <c r="AF820" s="19"/>
      <c r="AG820" s="19"/>
      <c r="AH820" s="19"/>
      <c r="AI820" s="19"/>
      <c r="AJ820" s="19"/>
      <c r="AK820" s="19"/>
      <c r="AL820" s="19"/>
      <c r="AM820" s="19"/>
      <c r="AN820" s="19"/>
      <c r="AO820" s="19"/>
      <c r="AP820" s="19"/>
      <c r="AQ820" s="19"/>
      <c r="AR820" s="19"/>
      <c r="AS820" s="19"/>
      <c r="AT820" s="19"/>
      <c r="AU820" s="19"/>
      <c r="AV820" s="19"/>
      <c r="AW820" s="19"/>
      <c r="AX820" s="19"/>
      <c r="GA820" s="54"/>
    </row>
    <row r="821" spans="1:183" s="18" customFormat="1">
      <c r="A821" s="51"/>
      <c r="B821" s="52"/>
      <c r="C821" s="52"/>
      <c r="D821" s="52"/>
      <c r="E821" s="53"/>
      <c r="F821" s="52"/>
      <c r="G821" s="52"/>
      <c r="H821" s="52"/>
      <c r="I821" s="53"/>
      <c r="J821" s="52"/>
      <c r="K821" s="52"/>
      <c r="L821" s="52"/>
      <c r="M821" s="52"/>
      <c r="N821" s="19"/>
      <c r="O821" s="19"/>
      <c r="P821" s="19"/>
      <c r="Q821" s="19"/>
      <c r="R821" s="19"/>
      <c r="S821" s="19"/>
      <c r="T821" s="19"/>
      <c r="U821" s="19"/>
      <c r="V821" s="19"/>
      <c r="W821" s="19"/>
      <c r="X821" s="19"/>
      <c r="Y821" s="19"/>
      <c r="Z821" s="19"/>
      <c r="AA821" s="19"/>
      <c r="AB821" s="19"/>
      <c r="AC821" s="19"/>
      <c r="AD821" s="19"/>
      <c r="AE821" s="19"/>
      <c r="AF821" s="19"/>
      <c r="AG821" s="19"/>
      <c r="AH821" s="19"/>
      <c r="AI821" s="19"/>
      <c r="AJ821" s="19"/>
      <c r="AK821" s="19"/>
      <c r="AL821" s="19"/>
      <c r="AM821" s="19"/>
      <c r="AN821" s="19"/>
      <c r="AO821" s="19"/>
      <c r="AP821" s="19"/>
      <c r="AQ821" s="19"/>
      <c r="AR821" s="19"/>
      <c r="AS821" s="19"/>
      <c r="AT821" s="19"/>
      <c r="AU821" s="19"/>
      <c r="AV821" s="19"/>
      <c r="AW821" s="19"/>
      <c r="AX821" s="19"/>
      <c r="GA821" s="54"/>
    </row>
    <row r="822" spans="1:183" s="18" customFormat="1">
      <c r="A822" s="51"/>
      <c r="B822" s="52"/>
      <c r="C822" s="52"/>
      <c r="D822" s="52"/>
      <c r="E822" s="53"/>
      <c r="F822" s="52"/>
      <c r="G822" s="52"/>
      <c r="H822" s="52"/>
      <c r="I822" s="53"/>
      <c r="J822" s="52"/>
      <c r="K822" s="52"/>
      <c r="L822" s="52"/>
      <c r="M822" s="52"/>
      <c r="N822" s="19"/>
      <c r="O822" s="19"/>
      <c r="P822" s="19"/>
      <c r="Q822" s="19"/>
      <c r="R822" s="19"/>
      <c r="S822" s="19"/>
      <c r="T822" s="19"/>
      <c r="U822" s="19"/>
      <c r="V822" s="19"/>
      <c r="W822" s="19"/>
      <c r="X822" s="19"/>
      <c r="Y822" s="19"/>
      <c r="Z822" s="19"/>
      <c r="AA822" s="19"/>
      <c r="AB822" s="19"/>
      <c r="AC822" s="19"/>
      <c r="AD822" s="19"/>
      <c r="AE822" s="19"/>
      <c r="AF822" s="19"/>
      <c r="AG822" s="19"/>
      <c r="AH822" s="19"/>
      <c r="AI822" s="19"/>
      <c r="AJ822" s="19"/>
      <c r="AK822" s="19"/>
      <c r="AL822" s="19"/>
      <c r="AM822" s="19"/>
      <c r="AN822" s="19"/>
      <c r="AO822" s="19"/>
      <c r="AP822" s="19"/>
      <c r="AQ822" s="19"/>
      <c r="AR822" s="19"/>
      <c r="AS822" s="19"/>
      <c r="AT822" s="19"/>
      <c r="AU822" s="19"/>
      <c r="AV822" s="19"/>
      <c r="AW822" s="19"/>
      <c r="AX822" s="19"/>
      <c r="GA822" s="54"/>
    </row>
    <row r="823" spans="1:183" s="18" customFormat="1">
      <c r="A823" s="51"/>
      <c r="B823" s="52"/>
      <c r="C823" s="52"/>
      <c r="D823" s="52"/>
      <c r="E823" s="53"/>
      <c r="F823" s="52"/>
      <c r="G823" s="52"/>
      <c r="H823" s="52"/>
      <c r="I823" s="53"/>
      <c r="J823" s="52"/>
      <c r="K823" s="52"/>
      <c r="L823" s="52"/>
      <c r="M823" s="52"/>
      <c r="N823" s="19"/>
      <c r="O823" s="19"/>
      <c r="P823" s="19"/>
      <c r="Q823" s="19"/>
      <c r="R823" s="19"/>
      <c r="S823" s="19"/>
      <c r="T823" s="19"/>
      <c r="U823" s="19"/>
      <c r="V823" s="19"/>
      <c r="W823" s="19"/>
      <c r="X823" s="19"/>
      <c r="Y823" s="19"/>
      <c r="Z823" s="19"/>
      <c r="AA823" s="19"/>
      <c r="AB823" s="19"/>
      <c r="AC823" s="19"/>
      <c r="AD823" s="19"/>
      <c r="AE823" s="19"/>
      <c r="AF823" s="19"/>
      <c r="AG823" s="19"/>
      <c r="AH823" s="19"/>
      <c r="AI823" s="19"/>
      <c r="AJ823" s="19"/>
      <c r="AK823" s="19"/>
      <c r="AL823" s="19"/>
      <c r="AM823" s="19"/>
      <c r="AN823" s="19"/>
      <c r="AO823" s="19"/>
      <c r="AP823" s="19"/>
      <c r="AQ823" s="19"/>
      <c r="AR823" s="19"/>
      <c r="AS823" s="19"/>
      <c r="AT823" s="19"/>
      <c r="AU823" s="19"/>
      <c r="AV823" s="19"/>
      <c r="AW823" s="19"/>
      <c r="AX823" s="19"/>
      <c r="GA823" s="54"/>
    </row>
    <row r="824" spans="1:183" s="18" customFormat="1">
      <c r="A824" s="51"/>
      <c r="B824" s="52"/>
      <c r="C824" s="52"/>
      <c r="D824" s="52"/>
      <c r="E824" s="53"/>
      <c r="F824" s="52"/>
      <c r="G824" s="52"/>
      <c r="H824" s="52"/>
      <c r="I824" s="53"/>
      <c r="J824" s="52"/>
      <c r="K824" s="52"/>
      <c r="L824" s="52"/>
      <c r="M824" s="52"/>
      <c r="N824" s="19"/>
      <c r="O824" s="19"/>
      <c r="P824" s="19"/>
      <c r="Q824" s="19"/>
      <c r="R824" s="19"/>
      <c r="S824" s="19"/>
      <c r="T824" s="19"/>
      <c r="U824" s="19"/>
      <c r="V824" s="19"/>
      <c r="W824" s="19"/>
      <c r="X824" s="19"/>
      <c r="Y824" s="19"/>
      <c r="Z824" s="19"/>
      <c r="AA824" s="19"/>
      <c r="AB824" s="19"/>
      <c r="AC824" s="19"/>
      <c r="AD824" s="19"/>
      <c r="AE824" s="19"/>
      <c r="AF824" s="19"/>
      <c r="AG824" s="19"/>
      <c r="AH824" s="19"/>
      <c r="AI824" s="19"/>
      <c r="AJ824" s="19"/>
      <c r="AK824" s="19"/>
      <c r="AL824" s="19"/>
      <c r="AM824" s="19"/>
      <c r="AN824" s="19"/>
      <c r="AO824" s="19"/>
      <c r="AP824" s="19"/>
      <c r="AQ824" s="19"/>
      <c r="AR824" s="19"/>
      <c r="AS824" s="19"/>
      <c r="AT824" s="19"/>
      <c r="AU824" s="19"/>
      <c r="AV824" s="19"/>
      <c r="AW824" s="19"/>
      <c r="AX824" s="19"/>
      <c r="GA824" s="54"/>
    </row>
    <row r="825" spans="1:183" s="18" customFormat="1">
      <c r="A825" s="51"/>
      <c r="B825" s="52"/>
      <c r="C825" s="52"/>
      <c r="D825" s="52"/>
      <c r="E825" s="53"/>
      <c r="F825" s="52"/>
      <c r="G825" s="52"/>
      <c r="H825" s="52"/>
      <c r="I825" s="53"/>
      <c r="J825" s="52"/>
      <c r="K825" s="52"/>
      <c r="L825" s="52"/>
      <c r="M825" s="52"/>
      <c r="N825" s="19"/>
      <c r="O825" s="19"/>
      <c r="P825" s="19"/>
      <c r="Q825" s="19"/>
      <c r="R825" s="19"/>
      <c r="S825" s="19"/>
      <c r="T825" s="19"/>
      <c r="U825" s="19"/>
      <c r="V825" s="19"/>
      <c r="W825" s="19"/>
      <c r="X825" s="19"/>
      <c r="Y825" s="19"/>
      <c r="Z825" s="19"/>
      <c r="AA825" s="19"/>
      <c r="AB825" s="19"/>
      <c r="AC825" s="19"/>
      <c r="AD825" s="19"/>
      <c r="AE825" s="19"/>
      <c r="AF825" s="19"/>
      <c r="AG825" s="19"/>
      <c r="AH825" s="19"/>
      <c r="AI825" s="19"/>
      <c r="AJ825" s="19"/>
      <c r="AK825" s="19"/>
      <c r="AL825" s="19"/>
      <c r="AM825" s="19"/>
      <c r="AN825" s="19"/>
      <c r="AO825" s="19"/>
      <c r="AP825" s="19"/>
      <c r="AQ825" s="19"/>
      <c r="AR825" s="19"/>
      <c r="AS825" s="19"/>
      <c r="AT825" s="19"/>
      <c r="AU825" s="19"/>
      <c r="AV825" s="19"/>
      <c r="AW825" s="19"/>
      <c r="AX825" s="19"/>
      <c r="GA825" s="54"/>
    </row>
    <row r="826" spans="1:183" s="18" customFormat="1">
      <c r="A826" s="51"/>
      <c r="B826" s="52"/>
      <c r="C826" s="52"/>
      <c r="D826" s="52"/>
      <c r="E826" s="53"/>
      <c r="F826" s="52"/>
      <c r="G826" s="52"/>
      <c r="H826" s="52"/>
      <c r="I826" s="53"/>
      <c r="J826" s="52"/>
      <c r="K826" s="52"/>
      <c r="L826" s="52"/>
      <c r="M826" s="52"/>
      <c r="N826" s="19"/>
      <c r="O826" s="19"/>
      <c r="P826" s="19"/>
      <c r="Q826" s="19"/>
      <c r="R826" s="19"/>
      <c r="S826" s="19"/>
      <c r="T826" s="19"/>
      <c r="U826" s="19"/>
      <c r="V826" s="19"/>
      <c r="W826" s="19"/>
      <c r="X826" s="19"/>
      <c r="Y826" s="19"/>
      <c r="Z826" s="19"/>
      <c r="AA826" s="19"/>
      <c r="AB826" s="19"/>
      <c r="AC826" s="19"/>
      <c r="AD826" s="19"/>
      <c r="AE826" s="19"/>
      <c r="AF826" s="19"/>
      <c r="AG826" s="19"/>
      <c r="AH826" s="19"/>
      <c r="AI826" s="19"/>
      <c r="AJ826" s="19"/>
      <c r="AK826" s="19"/>
      <c r="AL826" s="19"/>
      <c r="AM826" s="19"/>
      <c r="AN826" s="19"/>
      <c r="AO826" s="19"/>
      <c r="AP826" s="19"/>
      <c r="AQ826" s="19"/>
      <c r="AR826" s="19"/>
      <c r="AS826" s="19"/>
      <c r="AT826" s="19"/>
      <c r="AU826" s="19"/>
      <c r="AV826" s="19"/>
      <c r="AW826" s="19"/>
      <c r="AX826" s="19"/>
      <c r="GA826" s="54"/>
    </row>
    <row r="827" spans="1:183" s="18" customFormat="1">
      <c r="A827" s="51"/>
      <c r="B827" s="52"/>
      <c r="C827" s="52"/>
      <c r="D827" s="52"/>
      <c r="E827" s="53"/>
      <c r="F827" s="52"/>
      <c r="G827" s="52"/>
      <c r="H827" s="52"/>
      <c r="I827" s="53"/>
      <c r="J827" s="52"/>
      <c r="K827" s="52"/>
      <c r="L827" s="52"/>
      <c r="M827" s="52"/>
      <c r="N827" s="19"/>
      <c r="O827" s="19"/>
      <c r="P827" s="19"/>
      <c r="Q827" s="19"/>
      <c r="R827" s="19"/>
      <c r="S827" s="19"/>
      <c r="T827" s="19"/>
      <c r="U827" s="19"/>
      <c r="V827" s="19"/>
      <c r="W827" s="19"/>
      <c r="X827" s="19"/>
      <c r="Y827" s="19"/>
      <c r="Z827" s="19"/>
      <c r="AA827" s="19"/>
      <c r="AB827" s="19"/>
      <c r="AC827" s="19"/>
      <c r="AD827" s="19"/>
      <c r="AE827" s="19"/>
      <c r="AF827" s="19"/>
      <c r="AG827" s="19"/>
      <c r="AH827" s="19"/>
      <c r="AI827" s="19"/>
      <c r="AJ827" s="19"/>
      <c r="AK827" s="19"/>
      <c r="AL827" s="19"/>
      <c r="AM827" s="19"/>
      <c r="AN827" s="19"/>
      <c r="AO827" s="19"/>
      <c r="AP827" s="19"/>
      <c r="AQ827" s="19"/>
      <c r="AR827" s="19"/>
      <c r="AS827" s="19"/>
      <c r="AT827" s="19"/>
      <c r="AU827" s="19"/>
      <c r="AV827" s="19"/>
      <c r="AW827" s="19"/>
      <c r="AX827" s="19"/>
      <c r="GA827" s="54"/>
    </row>
    <row r="828" spans="1:183" s="18" customFormat="1">
      <c r="A828" s="51"/>
      <c r="B828" s="52"/>
      <c r="C828" s="52"/>
      <c r="D828" s="52"/>
      <c r="E828" s="53"/>
      <c r="F828" s="52"/>
      <c r="G828" s="52"/>
      <c r="H828" s="52"/>
      <c r="I828" s="53"/>
      <c r="J828" s="52"/>
      <c r="K828" s="52"/>
      <c r="L828" s="52"/>
      <c r="M828" s="52"/>
      <c r="N828" s="19"/>
      <c r="O828" s="19"/>
      <c r="P828" s="19"/>
      <c r="Q828" s="19"/>
      <c r="R828" s="19"/>
      <c r="S828" s="19"/>
      <c r="T828" s="19"/>
      <c r="U828" s="19"/>
      <c r="V828" s="19"/>
      <c r="W828" s="19"/>
      <c r="X828" s="19"/>
      <c r="Y828" s="19"/>
      <c r="Z828" s="19"/>
      <c r="AA828" s="19"/>
      <c r="AB828" s="19"/>
      <c r="AC828" s="19"/>
      <c r="AD828" s="19"/>
      <c r="AE828" s="19"/>
      <c r="AF828" s="19"/>
      <c r="AG828" s="19"/>
      <c r="AH828" s="19"/>
      <c r="AI828" s="19"/>
      <c r="AJ828" s="19"/>
      <c r="AK828" s="19"/>
      <c r="AL828" s="19"/>
      <c r="AM828" s="19"/>
      <c r="AN828" s="19"/>
      <c r="AO828" s="19"/>
      <c r="AP828" s="19"/>
      <c r="AQ828" s="19"/>
      <c r="AR828" s="19"/>
      <c r="AS828" s="19"/>
      <c r="AT828" s="19"/>
      <c r="AU828" s="19"/>
      <c r="AV828" s="19"/>
      <c r="AW828" s="19"/>
      <c r="AX828" s="19"/>
      <c r="GA828" s="54"/>
    </row>
    <row r="829" spans="1:183" s="18" customFormat="1">
      <c r="A829" s="51"/>
      <c r="B829" s="52"/>
      <c r="C829" s="52"/>
      <c r="D829" s="52"/>
      <c r="E829" s="53"/>
      <c r="F829" s="52"/>
      <c r="G829" s="52"/>
      <c r="H829" s="52"/>
      <c r="I829" s="53"/>
      <c r="J829" s="52"/>
      <c r="K829" s="52"/>
      <c r="L829" s="52"/>
      <c r="M829" s="52"/>
      <c r="N829" s="19"/>
      <c r="O829" s="19"/>
      <c r="P829" s="19"/>
      <c r="Q829" s="19"/>
      <c r="R829" s="19"/>
      <c r="S829" s="19"/>
      <c r="T829" s="19"/>
      <c r="U829" s="19"/>
      <c r="V829" s="19"/>
      <c r="W829" s="19"/>
      <c r="X829" s="19"/>
      <c r="Y829" s="19"/>
      <c r="Z829" s="19"/>
      <c r="AA829" s="19"/>
      <c r="AB829" s="19"/>
      <c r="AC829" s="19"/>
      <c r="AD829" s="19"/>
      <c r="AE829" s="19"/>
      <c r="AF829" s="19"/>
      <c r="AG829" s="19"/>
      <c r="AH829" s="19"/>
      <c r="AI829" s="19"/>
      <c r="AJ829" s="19"/>
      <c r="AK829" s="19"/>
      <c r="AL829" s="19"/>
      <c r="AM829" s="19"/>
      <c r="AN829" s="19"/>
      <c r="AO829" s="19"/>
      <c r="AP829" s="19"/>
      <c r="AQ829" s="19"/>
      <c r="AR829" s="19"/>
      <c r="AS829" s="19"/>
      <c r="AT829" s="19"/>
      <c r="AU829" s="19"/>
      <c r="AV829" s="19"/>
      <c r="AW829" s="19"/>
      <c r="AX829" s="19"/>
      <c r="GA829" s="54"/>
    </row>
    <row r="830" spans="1:183" s="18" customFormat="1">
      <c r="A830" s="51"/>
      <c r="B830" s="52"/>
      <c r="C830" s="52"/>
      <c r="D830" s="52"/>
      <c r="E830" s="53"/>
      <c r="F830" s="52"/>
      <c r="G830" s="52"/>
      <c r="H830" s="52"/>
      <c r="I830" s="53"/>
      <c r="J830" s="52"/>
      <c r="K830" s="52"/>
      <c r="L830" s="52"/>
      <c r="M830" s="52"/>
      <c r="N830" s="19"/>
      <c r="O830" s="19"/>
      <c r="P830" s="19"/>
      <c r="Q830" s="19"/>
      <c r="R830" s="19"/>
      <c r="S830" s="19"/>
      <c r="T830" s="19"/>
      <c r="U830" s="19"/>
      <c r="V830" s="19"/>
      <c r="W830" s="19"/>
      <c r="X830" s="19"/>
      <c r="Y830" s="19"/>
      <c r="Z830" s="19"/>
      <c r="AA830" s="19"/>
      <c r="AB830" s="19"/>
      <c r="AC830" s="19"/>
      <c r="AD830" s="19"/>
      <c r="AE830" s="19"/>
      <c r="AF830" s="19"/>
      <c r="AG830" s="19"/>
      <c r="AH830" s="19"/>
      <c r="AI830" s="19"/>
      <c r="AJ830" s="19"/>
      <c r="AK830" s="19"/>
      <c r="AL830" s="19"/>
      <c r="AM830" s="19"/>
      <c r="AN830" s="19"/>
      <c r="AO830" s="19"/>
      <c r="AP830" s="19"/>
      <c r="AQ830" s="19"/>
      <c r="AR830" s="19"/>
      <c r="AS830" s="19"/>
      <c r="AT830" s="19"/>
      <c r="AU830" s="19"/>
      <c r="AV830" s="19"/>
      <c r="AW830" s="19"/>
      <c r="AX830" s="19"/>
      <c r="GA830" s="54"/>
    </row>
    <row r="831" spans="1:183" s="18" customFormat="1">
      <c r="A831" s="51"/>
      <c r="B831" s="52"/>
      <c r="C831" s="52"/>
      <c r="D831" s="52"/>
      <c r="E831" s="53"/>
      <c r="F831" s="52"/>
      <c r="G831" s="52"/>
      <c r="H831" s="52"/>
      <c r="I831" s="53"/>
      <c r="J831" s="52"/>
      <c r="K831" s="52"/>
      <c r="L831" s="52"/>
      <c r="M831" s="52"/>
      <c r="N831" s="19"/>
      <c r="O831" s="19"/>
      <c r="P831" s="19"/>
      <c r="Q831" s="19"/>
      <c r="R831" s="19"/>
      <c r="S831" s="19"/>
      <c r="T831" s="19"/>
      <c r="U831" s="19"/>
      <c r="V831" s="19"/>
      <c r="W831" s="19"/>
      <c r="X831" s="19"/>
      <c r="Y831" s="19"/>
      <c r="Z831" s="19"/>
      <c r="AA831" s="19"/>
      <c r="AB831" s="19"/>
      <c r="AC831" s="19"/>
      <c r="AD831" s="19"/>
      <c r="AE831" s="19"/>
      <c r="AF831" s="19"/>
      <c r="AG831" s="19"/>
      <c r="AH831" s="19"/>
      <c r="AI831" s="19"/>
      <c r="AJ831" s="19"/>
      <c r="AK831" s="19"/>
      <c r="AL831" s="19"/>
      <c r="AM831" s="19"/>
      <c r="AN831" s="19"/>
      <c r="AO831" s="19"/>
      <c r="AP831" s="19"/>
      <c r="AQ831" s="19"/>
      <c r="AR831" s="19"/>
      <c r="AS831" s="19"/>
      <c r="AT831" s="19"/>
      <c r="AU831" s="19"/>
      <c r="AV831" s="19"/>
      <c r="AW831" s="19"/>
      <c r="AX831" s="19"/>
      <c r="GA831" s="54"/>
    </row>
    <row r="832" spans="1:183" s="18" customFormat="1">
      <c r="A832" s="51"/>
      <c r="B832" s="52"/>
      <c r="C832" s="52"/>
      <c r="D832" s="52"/>
      <c r="E832" s="53"/>
      <c r="F832" s="52"/>
      <c r="G832" s="52"/>
      <c r="H832" s="52"/>
      <c r="I832" s="53"/>
      <c r="J832" s="52"/>
      <c r="K832" s="52"/>
      <c r="L832" s="52"/>
      <c r="M832" s="52"/>
      <c r="N832" s="19"/>
      <c r="O832" s="19"/>
      <c r="P832" s="19"/>
      <c r="Q832" s="19"/>
      <c r="R832" s="19"/>
      <c r="S832" s="19"/>
      <c r="T832" s="19"/>
      <c r="U832" s="19"/>
      <c r="V832" s="19"/>
      <c r="W832" s="19"/>
      <c r="X832" s="19"/>
      <c r="Y832" s="19"/>
      <c r="Z832" s="19"/>
      <c r="AA832" s="19"/>
      <c r="AB832" s="19"/>
      <c r="AC832" s="19"/>
      <c r="AD832" s="19"/>
      <c r="AE832" s="19"/>
      <c r="AF832" s="19"/>
      <c r="AG832" s="19"/>
      <c r="AH832" s="19"/>
      <c r="AI832" s="19"/>
      <c r="AJ832" s="19"/>
      <c r="AK832" s="19"/>
      <c r="AL832" s="19"/>
      <c r="AM832" s="19"/>
      <c r="AN832" s="19"/>
      <c r="AO832" s="19"/>
      <c r="AP832" s="19"/>
      <c r="AQ832" s="19"/>
      <c r="AR832" s="19"/>
      <c r="AS832" s="19"/>
      <c r="AT832" s="19"/>
      <c r="AU832" s="19"/>
      <c r="AV832" s="19"/>
      <c r="AW832" s="19"/>
      <c r="AX832" s="19"/>
      <c r="GA832" s="54"/>
    </row>
    <row r="833" spans="1:183" s="18" customFormat="1">
      <c r="A833" s="51"/>
      <c r="B833" s="52"/>
      <c r="C833" s="52"/>
      <c r="D833" s="52"/>
      <c r="E833" s="53"/>
      <c r="F833" s="52"/>
      <c r="G833" s="52"/>
      <c r="H833" s="52"/>
      <c r="I833" s="53"/>
      <c r="J833" s="52"/>
      <c r="K833" s="52"/>
      <c r="L833" s="52"/>
      <c r="M833" s="52"/>
      <c r="N833" s="19"/>
      <c r="O833" s="19"/>
      <c r="P833" s="19"/>
      <c r="Q833" s="19"/>
      <c r="R833" s="19"/>
      <c r="S833" s="19"/>
      <c r="T833" s="19"/>
      <c r="U833" s="19"/>
      <c r="V833" s="19"/>
      <c r="W833" s="19"/>
      <c r="X833" s="19"/>
      <c r="Y833" s="19"/>
      <c r="Z833" s="19"/>
      <c r="AA833" s="19"/>
      <c r="AB833" s="19"/>
      <c r="AC833" s="19"/>
      <c r="AD833" s="19"/>
      <c r="AE833" s="19"/>
      <c r="AF833" s="19"/>
      <c r="AG833" s="19"/>
      <c r="AH833" s="19"/>
      <c r="AI833" s="19"/>
      <c r="AJ833" s="19"/>
      <c r="AK833" s="19"/>
      <c r="AL833" s="19"/>
      <c r="AM833" s="19"/>
      <c r="AN833" s="19"/>
      <c r="AO833" s="19"/>
      <c r="AP833" s="19"/>
      <c r="AQ833" s="19"/>
      <c r="AR833" s="19"/>
      <c r="AS833" s="19"/>
      <c r="AT833" s="19"/>
      <c r="AU833" s="19"/>
      <c r="AV833" s="19"/>
      <c r="AW833" s="19"/>
      <c r="AX833" s="19"/>
      <c r="GA833" s="54"/>
    </row>
    <row r="834" spans="1:183" s="18" customFormat="1">
      <c r="A834" s="51"/>
      <c r="B834" s="52"/>
      <c r="C834" s="52"/>
      <c r="D834" s="52"/>
      <c r="E834" s="53"/>
      <c r="F834" s="52"/>
      <c r="G834" s="52"/>
      <c r="H834" s="52"/>
      <c r="I834" s="53"/>
      <c r="J834" s="52"/>
      <c r="K834" s="52"/>
      <c r="L834" s="52"/>
      <c r="M834" s="52"/>
      <c r="N834" s="19"/>
      <c r="O834" s="19"/>
      <c r="P834" s="19"/>
      <c r="Q834" s="19"/>
      <c r="R834" s="19"/>
      <c r="S834" s="19"/>
      <c r="T834" s="19"/>
      <c r="U834" s="19"/>
      <c r="V834" s="19"/>
      <c r="W834" s="19"/>
      <c r="X834" s="19"/>
      <c r="Y834" s="19"/>
      <c r="Z834" s="19"/>
      <c r="AA834" s="19"/>
      <c r="AB834" s="19"/>
      <c r="AC834" s="19"/>
      <c r="AD834" s="19"/>
      <c r="AE834" s="19"/>
      <c r="AF834" s="19"/>
      <c r="AG834" s="19"/>
      <c r="AH834" s="19"/>
      <c r="AI834" s="19"/>
      <c r="AJ834" s="19"/>
      <c r="AK834" s="19"/>
      <c r="AL834" s="19"/>
      <c r="AM834" s="19"/>
      <c r="AN834" s="19"/>
      <c r="AO834" s="19"/>
      <c r="AP834" s="19"/>
      <c r="AQ834" s="19"/>
      <c r="AR834" s="19"/>
      <c r="AS834" s="19"/>
      <c r="AT834" s="19"/>
      <c r="AU834" s="19"/>
      <c r="AV834" s="19"/>
      <c r="AW834" s="19"/>
      <c r="AX834" s="19"/>
      <c r="GA834" s="54"/>
    </row>
    <row r="835" spans="1:183" s="18" customFormat="1">
      <c r="A835" s="51"/>
      <c r="B835" s="52"/>
      <c r="C835" s="52"/>
      <c r="D835" s="52"/>
      <c r="E835" s="53"/>
      <c r="F835" s="52"/>
      <c r="G835" s="52"/>
      <c r="H835" s="52"/>
      <c r="I835" s="53"/>
      <c r="J835" s="52"/>
      <c r="K835" s="52"/>
      <c r="L835" s="52"/>
      <c r="M835" s="52"/>
      <c r="N835" s="19"/>
      <c r="O835" s="19"/>
      <c r="P835" s="19"/>
      <c r="Q835" s="19"/>
      <c r="R835" s="19"/>
      <c r="S835" s="19"/>
      <c r="T835" s="19"/>
      <c r="U835" s="19"/>
      <c r="V835" s="19"/>
      <c r="W835" s="19"/>
      <c r="X835" s="19"/>
      <c r="Y835" s="19"/>
      <c r="Z835" s="19"/>
      <c r="AA835" s="19"/>
      <c r="AB835" s="19"/>
      <c r="AC835" s="19"/>
      <c r="AD835" s="19"/>
      <c r="AE835" s="19"/>
      <c r="AF835" s="19"/>
      <c r="AG835" s="19"/>
      <c r="AH835" s="19"/>
      <c r="AI835" s="19"/>
      <c r="AJ835" s="19"/>
      <c r="AK835" s="19"/>
      <c r="AL835" s="19"/>
      <c r="AM835" s="19"/>
      <c r="AN835" s="19"/>
      <c r="AO835" s="19"/>
      <c r="AP835" s="19"/>
      <c r="AQ835" s="19"/>
      <c r="AR835" s="19"/>
      <c r="AS835" s="19"/>
      <c r="AT835" s="19"/>
      <c r="AU835" s="19"/>
      <c r="AV835" s="19"/>
      <c r="AW835" s="19"/>
      <c r="AX835" s="19"/>
      <c r="GA835" s="54"/>
    </row>
    <row r="836" spans="1:183" s="18" customFormat="1">
      <c r="A836" s="51"/>
      <c r="B836" s="52"/>
      <c r="C836" s="52"/>
      <c r="D836" s="52"/>
      <c r="E836" s="53"/>
      <c r="F836" s="52"/>
      <c r="G836" s="52"/>
      <c r="H836" s="52"/>
      <c r="I836" s="53"/>
      <c r="J836" s="52"/>
      <c r="K836" s="52"/>
      <c r="L836" s="52"/>
      <c r="M836" s="52"/>
      <c r="N836" s="19"/>
      <c r="O836" s="19"/>
      <c r="P836" s="19"/>
      <c r="Q836" s="19"/>
      <c r="R836" s="19"/>
      <c r="S836" s="19"/>
      <c r="T836" s="19"/>
      <c r="U836" s="19"/>
      <c r="V836" s="19"/>
      <c r="W836" s="19"/>
      <c r="X836" s="19"/>
      <c r="Y836" s="19"/>
      <c r="Z836" s="19"/>
      <c r="AA836" s="19"/>
      <c r="AB836" s="19"/>
      <c r="AC836" s="19"/>
      <c r="AD836" s="19"/>
      <c r="AE836" s="19"/>
      <c r="AF836" s="19"/>
      <c r="AG836" s="19"/>
      <c r="AH836" s="19"/>
      <c r="AI836" s="19"/>
      <c r="AJ836" s="19"/>
      <c r="AK836" s="19"/>
      <c r="AL836" s="19"/>
      <c r="AM836" s="19"/>
      <c r="AN836" s="19"/>
      <c r="AO836" s="19"/>
      <c r="AP836" s="19"/>
      <c r="AQ836" s="19"/>
      <c r="AR836" s="19"/>
      <c r="AS836" s="19"/>
      <c r="AT836" s="19"/>
      <c r="AU836" s="19"/>
      <c r="AV836" s="19"/>
      <c r="AW836" s="19"/>
      <c r="AX836" s="19"/>
      <c r="GA836" s="54"/>
    </row>
    <row r="837" spans="1:183" s="18" customFormat="1">
      <c r="A837" s="51"/>
      <c r="B837" s="52"/>
      <c r="C837" s="52"/>
      <c r="D837" s="52"/>
      <c r="E837" s="53"/>
      <c r="F837" s="52"/>
      <c r="G837" s="52"/>
      <c r="H837" s="52"/>
      <c r="I837" s="53"/>
      <c r="J837" s="52"/>
      <c r="K837" s="52"/>
      <c r="L837" s="52"/>
      <c r="M837" s="52"/>
      <c r="N837" s="19"/>
      <c r="O837" s="19"/>
      <c r="P837" s="19"/>
      <c r="Q837" s="19"/>
      <c r="R837" s="19"/>
      <c r="S837" s="19"/>
      <c r="T837" s="19"/>
      <c r="U837" s="19"/>
      <c r="V837" s="19"/>
      <c r="W837" s="19"/>
      <c r="X837" s="19"/>
      <c r="Y837" s="19"/>
      <c r="Z837" s="19"/>
      <c r="AA837" s="19"/>
      <c r="AB837" s="19"/>
      <c r="AC837" s="19"/>
      <c r="AD837" s="19"/>
      <c r="AE837" s="19"/>
      <c r="AF837" s="19"/>
      <c r="AG837" s="19"/>
      <c r="AH837" s="19"/>
      <c r="AI837" s="19"/>
      <c r="AJ837" s="19"/>
      <c r="AK837" s="19"/>
      <c r="AL837" s="19"/>
      <c r="AM837" s="19"/>
      <c r="AN837" s="19"/>
      <c r="AO837" s="19"/>
      <c r="AP837" s="19"/>
      <c r="AQ837" s="19"/>
      <c r="AR837" s="19"/>
      <c r="AS837" s="19"/>
      <c r="AT837" s="19"/>
      <c r="AU837" s="19"/>
      <c r="AV837" s="19"/>
      <c r="AW837" s="19"/>
      <c r="AX837" s="19"/>
      <c r="GA837" s="54"/>
    </row>
    <row r="838" spans="1:183" s="18" customFormat="1">
      <c r="A838" s="51"/>
      <c r="B838" s="52"/>
      <c r="C838" s="52"/>
      <c r="D838" s="52"/>
      <c r="E838" s="53"/>
      <c r="F838" s="52"/>
      <c r="G838" s="52"/>
      <c r="H838" s="52"/>
      <c r="I838" s="53"/>
      <c r="J838" s="52"/>
      <c r="K838" s="52"/>
      <c r="L838" s="52"/>
      <c r="M838" s="52"/>
      <c r="N838" s="19"/>
      <c r="O838" s="19"/>
      <c r="P838" s="19"/>
      <c r="Q838" s="19"/>
      <c r="R838" s="19"/>
      <c r="S838" s="19"/>
      <c r="T838" s="19"/>
      <c r="U838" s="19"/>
      <c r="V838" s="19"/>
      <c r="W838" s="19"/>
      <c r="X838" s="19"/>
      <c r="Y838" s="19"/>
      <c r="Z838" s="19"/>
      <c r="AA838" s="19"/>
      <c r="AB838" s="19"/>
      <c r="AC838" s="19"/>
      <c r="AD838" s="19"/>
      <c r="AE838" s="19"/>
      <c r="AF838" s="19"/>
      <c r="AG838" s="19"/>
      <c r="AH838" s="19"/>
      <c r="AI838" s="19"/>
      <c r="AJ838" s="19"/>
      <c r="AK838" s="19"/>
      <c r="AL838" s="19"/>
      <c r="AM838" s="19"/>
      <c r="AN838" s="19"/>
      <c r="AO838" s="19"/>
      <c r="AP838" s="19"/>
      <c r="AQ838" s="19"/>
      <c r="AR838" s="19"/>
      <c r="AS838" s="19"/>
      <c r="AT838" s="19"/>
      <c r="AU838" s="19"/>
      <c r="AV838" s="19"/>
      <c r="AW838" s="19"/>
      <c r="AX838" s="19"/>
      <c r="GA838" s="54"/>
    </row>
    <row r="839" spans="1:183" s="18" customFormat="1">
      <c r="A839" s="51"/>
      <c r="B839" s="52"/>
      <c r="C839" s="52"/>
      <c r="D839" s="52"/>
      <c r="E839" s="53"/>
      <c r="F839" s="52"/>
      <c r="G839" s="52"/>
      <c r="H839" s="52"/>
      <c r="I839" s="53"/>
      <c r="J839" s="52"/>
      <c r="K839" s="52"/>
      <c r="L839" s="52"/>
      <c r="M839" s="52"/>
      <c r="N839" s="19"/>
      <c r="O839" s="19"/>
      <c r="P839" s="19"/>
      <c r="Q839" s="19"/>
      <c r="R839" s="19"/>
      <c r="S839" s="19"/>
      <c r="T839" s="19"/>
      <c r="U839" s="19"/>
      <c r="V839" s="19"/>
      <c r="W839" s="19"/>
      <c r="X839" s="19"/>
      <c r="Y839" s="19"/>
      <c r="Z839" s="19"/>
      <c r="AA839" s="19"/>
      <c r="AB839" s="19"/>
      <c r="AC839" s="19"/>
      <c r="AD839" s="19"/>
      <c r="AE839" s="19"/>
      <c r="AF839" s="19"/>
      <c r="AG839" s="19"/>
      <c r="AH839" s="19"/>
      <c r="AI839" s="19"/>
      <c r="AJ839" s="19"/>
      <c r="AK839" s="19"/>
      <c r="AL839" s="19"/>
      <c r="AM839" s="19"/>
      <c r="AN839" s="19"/>
      <c r="AO839" s="19"/>
      <c r="AP839" s="19"/>
      <c r="AQ839" s="19"/>
      <c r="AR839" s="19"/>
      <c r="AS839" s="19"/>
      <c r="AT839" s="19"/>
      <c r="AU839" s="19"/>
      <c r="AV839" s="19"/>
      <c r="AW839" s="19"/>
      <c r="AX839" s="19"/>
      <c r="GA839" s="54"/>
    </row>
    <row r="840" spans="1:183" s="18" customFormat="1">
      <c r="A840" s="51"/>
      <c r="B840" s="52"/>
      <c r="C840" s="52"/>
      <c r="D840" s="52"/>
      <c r="E840" s="53"/>
      <c r="F840" s="52"/>
      <c r="G840" s="52"/>
      <c r="H840" s="52"/>
      <c r="I840" s="53"/>
      <c r="J840" s="52"/>
      <c r="K840" s="52"/>
      <c r="L840" s="52"/>
      <c r="M840" s="52"/>
      <c r="N840" s="19"/>
      <c r="O840" s="19"/>
      <c r="P840" s="19"/>
      <c r="Q840" s="19"/>
      <c r="R840" s="19"/>
      <c r="S840" s="19"/>
      <c r="T840" s="19"/>
      <c r="U840" s="19"/>
      <c r="V840" s="19"/>
      <c r="W840" s="19"/>
      <c r="X840" s="19"/>
      <c r="Y840" s="19"/>
      <c r="Z840" s="19"/>
      <c r="AA840" s="19"/>
      <c r="AB840" s="19"/>
      <c r="AC840" s="19"/>
      <c r="AD840" s="19"/>
      <c r="AE840" s="19"/>
      <c r="AF840" s="19"/>
      <c r="AG840" s="19"/>
      <c r="AH840" s="19"/>
      <c r="AI840" s="19"/>
      <c r="AJ840" s="19"/>
      <c r="AK840" s="19"/>
      <c r="AL840" s="19"/>
      <c r="AM840" s="19"/>
      <c r="AN840" s="19"/>
      <c r="AO840" s="19"/>
      <c r="AP840" s="19"/>
      <c r="AQ840" s="19"/>
      <c r="AR840" s="19"/>
      <c r="AS840" s="19"/>
      <c r="AT840" s="19"/>
      <c r="AU840" s="19"/>
      <c r="AV840" s="19"/>
      <c r="AW840" s="19"/>
      <c r="AX840" s="19"/>
      <c r="GA840" s="54"/>
    </row>
    <row r="841" spans="1:183" s="18" customFormat="1">
      <c r="A841" s="51"/>
      <c r="B841" s="52"/>
      <c r="C841" s="52"/>
      <c r="D841" s="52"/>
      <c r="E841" s="53"/>
      <c r="F841" s="52"/>
      <c r="G841" s="52"/>
      <c r="H841" s="52"/>
      <c r="I841" s="53"/>
      <c r="J841" s="52"/>
      <c r="K841" s="52"/>
      <c r="L841" s="52"/>
      <c r="M841" s="52"/>
      <c r="N841" s="19"/>
      <c r="O841" s="19"/>
      <c r="P841" s="19"/>
      <c r="Q841" s="19"/>
      <c r="R841" s="19"/>
      <c r="S841" s="19"/>
      <c r="T841" s="19"/>
      <c r="U841" s="19"/>
      <c r="V841" s="19"/>
      <c r="W841" s="19"/>
      <c r="X841" s="19"/>
      <c r="Y841" s="19"/>
      <c r="Z841" s="19"/>
      <c r="AA841" s="19"/>
      <c r="AB841" s="19"/>
      <c r="AC841" s="19"/>
      <c r="AD841" s="19"/>
      <c r="AE841" s="19"/>
      <c r="AF841" s="19"/>
      <c r="AG841" s="19"/>
      <c r="AH841" s="19"/>
      <c r="AI841" s="19"/>
      <c r="AJ841" s="19"/>
      <c r="AK841" s="19"/>
      <c r="AL841" s="19"/>
      <c r="AM841" s="19"/>
      <c r="AN841" s="19"/>
      <c r="AO841" s="19"/>
      <c r="AP841" s="19"/>
      <c r="AQ841" s="19"/>
      <c r="AR841" s="19"/>
      <c r="AS841" s="19"/>
      <c r="AT841" s="19"/>
      <c r="AU841" s="19"/>
      <c r="AV841" s="19"/>
      <c r="AW841" s="19"/>
      <c r="AX841" s="19"/>
      <c r="GA841" s="54"/>
    </row>
    <row r="842" spans="1:183" s="18" customFormat="1">
      <c r="A842" s="51"/>
      <c r="B842" s="52"/>
      <c r="C842" s="52"/>
      <c r="D842" s="52"/>
      <c r="E842" s="53"/>
      <c r="F842" s="52"/>
      <c r="G842" s="52"/>
      <c r="H842" s="52"/>
      <c r="I842" s="53"/>
      <c r="J842" s="52"/>
      <c r="K842" s="52"/>
      <c r="L842" s="52"/>
      <c r="M842" s="52"/>
      <c r="N842" s="19"/>
      <c r="O842" s="19"/>
      <c r="P842" s="19"/>
      <c r="Q842" s="19"/>
      <c r="R842" s="19"/>
      <c r="S842" s="19"/>
      <c r="T842" s="19"/>
      <c r="U842" s="19"/>
      <c r="V842" s="19"/>
      <c r="W842" s="19"/>
      <c r="X842" s="19"/>
      <c r="Y842" s="19"/>
      <c r="Z842" s="19"/>
      <c r="AA842" s="19"/>
      <c r="AB842" s="19"/>
      <c r="AC842" s="19"/>
      <c r="AD842" s="19"/>
      <c r="AE842" s="19"/>
      <c r="AF842" s="19"/>
      <c r="AG842" s="19"/>
      <c r="AH842" s="19"/>
      <c r="AI842" s="19"/>
      <c r="AJ842" s="19"/>
      <c r="AK842" s="19"/>
      <c r="AL842" s="19"/>
      <c r="AM842" s="19"/>
      <c r="AN842" s="19"/>
      <c r="AO842" s="19"/>
      <c r="AP842" s="19"/>
      <c r="AQ842" s="19"/>
      <c r="AR842" s="19"/>
      <c r="AS842" s="19"/>
      <c r="AT842" s="19"/>
      <c r="AU842" s="19"/>
      <c r="AV842" s="19"/>
      <c r="AW842" s="19"/>
      <c r="AX842" s="19"/>
      <c r="GA842" s="54"/>
    </row>
    <row r="843" spans="1:183" s="18" customFormat="1">
      <c r="A843" s="51"/>
      <c r="B843" s="52"/>
      <c r="C843" s="52"/>
      <c r="D843" s="52"/>
      <c r="E843" s="53"/>
      <c r="F843" s="52"/>
      <c r="G843" s="52"/>
      <c r="H843" s="52"/>
      <c r="I843" s="53"/>
      <c r="J843" s="52"/>
      <c r="K843" s="52"/>
      <c r="L843" s="52"/>
      <c r="M843" s="52"/>
      <c r="N843" s="19"/>
      <c r="O843" s="19"/>
      <c r="P843" s="19"/>
      <c r="Q843" s="19"/>
      <c r="R843" s="19"/>
      <c r="S843" s="19"/>
      <c r="T843" s="19"/>
      <c r="U843" s="19"/>
      <c r="V843" s="19"/>
      <c r="W843" s="19"/>
      <c r="X843" s="19"/>
      <c r="Y843" s="19"/>
      <c r="Z843" s="19"/>
      <c r="AA843" s="19"/>
      <c r="AB843" s="19"/>
      <c r="AC843" s="19"/>
      <c r="AD843" s="19"/>
      <c r="AE843" s="19"/>
      <c r="AF843" s="19"/>
      <c r="AG843" s="19"/>
      <c r="AH843" s="19"/>
      <c r="AI843" s="19"/>
      <c r="AJ843" s="19"/>
      <c r="AK843" s="19"/>
      <c r="AL843" s="19"/>
      <c r="AM843" s="19"/>
      <c r="AN843" s="19"/>
      <c r="AO843" s="19"/>
      <c r="AP843" s="19"/>
      <c r="AQ843" s="19"/>
      <c r="AR843" s="19"/>
      <c r="AS843" s="19"/>
      <c r="AT843" s="19"/>
      <c r="AU843" s="19"/>
      <c r="AV843" s="19"/>
      <c r="AW843" s="19"/>
      <c r="AX843" s="19"/>
      <c r="GA843" s="54"/>
    </row>
    <row r="844" spans="1:183" s="18" customFormat="1">
      <c r="A844" s="51"/>
      <c r="B844" s="52"/>
      <c r="C844" s="52"/>
      <c r="D844" s="52"/>
      <c r="E844" s="53"/>
      <c r="F844" s="52"/>
      <c r="G844" s="52"/>
      <c r="H844" s="52"/>
      <c r="I844" s="53"/>
      <c r="J844" s="52"/>
      <c r="K844" s="52"/>
      <c r="L844" s="52"/>
      <c r="M844" s="52"/>
      <c r="N844" s="19"/>
      <c r="O844" s="19"/>
      <c r="P844" s="19"/>
      <c r="Q844" s="19"/>
      <c r="R844" s="19"/>
      <c r="S844" s="19"/>
      <c r="T844" s="19"/>
      <c r="U844" s="19"/>
      <c r="V844" s="19"/>
      <c r="W844" s="19"/>
      <c r="X844" s="19"/>
      <c r="Y844" s="19"/>
      <c r="Z844" s="19"/>
      <c r="AA844" s="19"/>
      <c r="AB844" s="19"/>
      <c r="AC844" s="19"/>
      <c r="AD844" s="19"/>
      <c r="AE844" s="19"/>
      <c r="AF844" s="19"/>
      <c r="AG844" s="19"/>
      <c r="AH844" s="19"/>
      <c r="AI844" s="19"/>
      <c r="AJ844" s="19"/>
      <c r="AK844" s="19"/>
      <c r="AL844" s="19"/>
      <c r="AM844" s="19"/>
      <c r="AN844" s="19"/>
      <c r="AO844" s="19"/>
      <c r="AP844" s="19"/>
      <c r="AQ844" s="19"/>
      <c r="AR844" s="19"/>
      <c r="AS844" s="19"/>
      <c r="AT844" s="19"/>
      <c r="AU844" s="19"/>
      <c r="AV844" s="19"/>
      <c r="AW844" s="19"/>
      <c r="AX844" s="19"/>
      <c r="GA844" s="54"/>
    </row>
    <row r="845" spans="1:183" s="18" customFormat="1">
      <c r="A845" s="51"/>
      <c r="B845" s="52"/>
      <c r="C845" s="52"/>
      <c r="D845" s="52"/>
      <c r="E845" s="53"/>
      <c r="F845" s="52"/>
      <c r="G845" s="52"/>
      <c r="H845" s="52"/>
      <c r="I845" s="53"/>
      <c r="J845" s="52"/>
      <c r="K845" s="52"/>
      <c r="L845" s="52"/>
      <c r="M845" s="52"/>
      <c r="N845" s="19"/>
      <c r="O845" s="19"/>
      <c r="P845" s="19"/>
      <c r="Q845" s="19"/>
      <c r="R845" s="19"/>
      <c r="S845" s="19"/>
      <c r="T845" s="19"/>
      <c r="U845" s="19"/>
      <c r="V845" s="19"/>
      <c r="W845" s="19"/>
      <c r="X845" s="19"/>
      <c r="Y845" s="19"/>
      <c r="Z845" s="19"/>
      <c r="AA845" s="19"/>
      <c r="AB845" s="19"/>
      <c r="AC845" s="19"/>
      <c r="AD845" s="19"/>
      <c r="AE845" s="19"/>
      <c r="AF845" s="19"/>
      <c r="AG845" s="19"/>
      <c r="AH845" s="19"/>
      <c r="AI845" s="19"/>
      <c r="AJ845" s="19"/>
      <c r="AK845" s="19"/>
      <c r="AL845" s="19"/>
      <c r="AM845" s="19"/>
      <c r="AN845" s="19"/>
      <c r="AO845" s="19"/>
      <c r="AP845" s="19"/>
      <c r="AQ845" s="19"/>
      <c r="AR845" s="19"/>
      <c r="AS845" s="19"/>
      <c r="AT845" s="19"/>
      <c r="AU845" s="19"/>
      <c r="AV845" s="19"/>
      <c r="AW845" s="19"/>
      <c r="AX845" s="19"/>
      <c r="GA845" s="54"/>
    </row>
    <row r="846" spans="1:183" s="18" customFormat="1">
      <c r="A846" s="51"/>
      <c r="B846" s="52"/>
      <c r="C846" s="52"/>
      <c r="D846" s="52"/>
      <c r="E846" s="53"/>
      <c r="F846" s="52"/>
      <c r="G846" s="52"/>
      <c r="H846" s="52"/>
      <c r="I846" s="53"/>
      <c r="J846" s="52"/>
      <c r="K846" s="52"/>
      <c r="L846" s="52"/>
      <c r="M846" s="52"/>
      <c r="N846" s="19"/>
      <c r="O846" s="19"/>
      <c r="P846" s="19"/>
      <c r="Q846" s="19"/>
      <c r="R846" s="19"/>
      <c r="S846" s="19"/>
      <c r="T846" s="19"/>
      <c r="U846" s="19"/>
      <c r="V846" s="19"/>
      <c r="W846" s="19"/>
      <c r="X846" s="19"/>
      <c r="Y846" s="19"/>
      <c r="Z846" s="19"/>
      <c r="AA846" s="19"/>
      <c r="AB846" s="19"/>
      <c r="AC846" s="19"/>
      <c r="AD846" s="19"/>
      <c r="AE846" s="19"/>
      <c r="AF846" s="19"/>
      <c r="AG846" s="19"/>
      <c r="AH846" s="19"/>
      <c r="AI846" s="19"/>
      <c r="AJ846" s="19"/>
      <c r="AK846" s="19"/>
      <c r="AL846" s="19"/>
      <c r="AM846" s="19"/>
      <c r="AN846" s="19"/>
      <c r="AO846" s="19"/>
      <c r="AP846" s="19"/>
      <c r="AQ846" s="19"/>
      <c r="AR846" s="19"/>
      <c r="AS846" s="19"/>
      <c r="AT846" s="19"/>
      <c r="AU846" s="19"/>
      <c r="AV846" s="19"/>
      <c r="AW846" s="19"/>
      <c r="AX846" s="19"/>
      <c r="GA846" s="54"/>
    </row>
    <row r="847" spans="1:183" s="18" customFormat="1">
      <c r="A847" s="51"/>
      <c r="B847" s="52"/>
      <c r="C847" s="52"/>
      <c r="D847" s="52"/>
      <c r="E847" s="53"/>
      <c r="F847" s="52"/>
      <c r="G847" s="52"/>
      <c r="H847" s="52"/>
      <c r="I847" s="53"/>
      <c r="J847" s="52"/>
      <c r="K847" s="52"/>
      <c r="L847" s="52"/>
      <c r="M847" s="52"/>
      <c r="N847" s="19"/>
      <c r="O847" s="19"/>
      <c r="P847" s="19"/>
      <c r="Q847" s="19"/>
      <c r="R847" s="19"/>
      <c r="S847" s="19"/>
      <c r="T847" s="19"/>
      <c r="U847" s="19"/>
      <c r="V847" s="19"/>
      <c r="W847" s="19"/>
      <c r="X847" s="19"/>
      <c r="Y847" s="19"/>
      <c r="Z847" s="19"/>
      <c r="AA847" s="19"/>
      <c r="AB847" s="19"/>
      <c r="AC847" s="19"/>
      <c r="AD847" s="19"/>
      <c r="AE847" s="19"/>
      <c r="AF847" s="19"/>
      <c r="AG847" s="19"/>
      <c r="AH847" s="19"/>
      <c r="AI847" s="19"/>
      <c r="AJ847" s="19"/>
      <c r="AK847" s="19"/>
      <c r="AL847" s="19"/>
      <c r="AM847" s="19"/>
      <c r="AN847" s="19"/>
      <c r="AO847" s="19"/>
      <c r="AP847" s="19"/>
      <c r="AQ847" s="19"/>
      <c r="AR847" s="19"/>
      <c r="AS847" s="19"/>
      <c r="AT847" s="19"/>
      <c r="AU847" s="19"/>
      <c r="AV847" s="19"/>
      <c r="AW847" s="19"/>
      <c r="AX847" s="19"/>
      <c r="GA847" s="54"/>
    </row>
    <row r="848" spans="1:183" s="18" customFormat="1">
      <c r="A848" s="51"/>
      <c r="B848" s="52"/>
      <c r="C848" s="52"/>
      <c r="D848" s="52"/>
      <c r="E848" s="53"/>
      <c r="F848" s="52"/>
      <c r="G848" s="52"/>
      <c r="H848" s="52"/>
      <c r="I848" s="53"/>
      <c r="J848" s="52"/>
      <c r="K848" s="52"/>
      <c r="L848" s="52"/>
      <c r="M848" s="52"/>
      <c r="N848" s="19"/>
      <c r="O848" s="19"/>
      <c r="P848" s="19"/>
      <c r="Q848" s="19"/>
      <c r="R848" s="19"/>
      <c r="S848" s="19"/>
      <c r="T848" s="19"/>
      <c r="U848" s="19"/>
      <c r="V848" s="19"/>
      <c r="W848" s="19"/>
      <c r="X848" s="19"/>
      <c r="Y848" s="19"/>
      <c r="Z848" s="19"/>
      <c r="AA848" s="19"/>
      <c r="AB848" s="19"/>
      <c r="AC848" s="19"/>
      <c r="AD848" s="19"/>
      <c r="AE848" s="19"/>
      <c r="AF848" s="19"/>
      <c r="AG848" s="19"/>
      <c r="AH848" s="19"/>
      <c r="AI848" s="19"/>
      <c r="AJ848" s="19"/>
      <c r="AK848" s="19"/>
      <c r="AL848" s="19"/>
      <c r="AM848" s="19"/>
      <c r="AN848" s="19"/>
      <c r="AO848" s="19"/>
      <c r="AP848" s="19"/>
      <c r="AQ848" s="19"/>
      <c r="AR848" s="19"/>
      <c r="AS848" s="19"/>
      <c r="AT848" s="19"/>
      <c r="AU848" s="19"/>
      <c r="AV848" s="19"/>
      <c r="AW848" s="19"/>
      <c r="AX848" s="19"/>
      <c r="GA848" s="54"/>
    </row>
    <row r="849" spans="1:183" s="18" customFormat="1">
      <c r="A849" s="51"/>
      <c r="B849" s="52"/>
      <c r="C849" s="52"/>
      <c r="D849" s="52"/>
      <c r="E849" s="53"/>
      <c r="F849" s="52"/>
      <c r="G849" s="52"/>
      <c r="H849" s="52"/>
      <c r="I849" s="53"/>
      <c r="J849" s="52"/>
      <c r="K849" s="52"/>
      <c r="L849" s="52"/>
      <c r="M849" s="52"/>
      <c r="N849" s="19"/>
      <c r="O849" s="19"/>
      <c r="P849" s="19"/>
      <c r="Q849" s="19"/>
      <c r="R849" s="19"/>
      <c r="S849" s="19"/>
      <c r="T849" s="19"/>
      <c r="U849" s="19"/>
      <c r="V849" s="19"/>
      <c r="W849" s="19"/>
      <c r="X849" s="19"/>
      <c r="Y849" s="19"/>
      <c r="Z849" s="19"/>
      <c r="AA849" s="19"/>
      <c r="AB849" s="19"/>
      <c r="AC849" s="19"/>
      <c r="AD849" s="19"/>
      <c r="AE849" s="19"/>
      <c r="AF849" s="19"/>
      <c r="AG849" s="19"/>
      <c r="AH849" s="19"/>
      <c r="AI849" s="19"/>
      <c r="AJ849" s="19"/>
      <c r="AK849" s="19"/>
      <c r="AL849" s="19"/>
      <c r="AM849" s="19"/>
      <c r="AN849" s="19"/>
      <c r="AO849" s="19"/>
      <c r="AP849" s="19"/>
      <c r="AQ849" s="19"/>
      <c r="AR849" s="19"/>
      <c r="AS849" s="19"/>
      <c r="AT849" s="19"/>
      <c r="AU849" s="19"/>
      <c r="AV849" s="19"/>
      <c r="AW849" s="19"/>
      <c r="AX849" s="19"/>
      <c r="GA849" s="54"/>
    </row>
    <row r="850" spans="1:183" s="18" customFormat="1">
      <c r="A850" s="51"/>
      <c r="B850" s="52"/>
      <c r="C850" s="52"/>
      <c r="D850" s="52"/>
      <c r="E850" s="53"/>
      <c r="F850" s="52"/>
      <c r="G850" s="52"/>
      <c r="H850" s="52"/>
      <c r="I850" s="53"/>
      <c r="J850" s="52"/>
      <c r="K850" s="52"/>
      <c r="L850" s="52"/>
      <c r="M850" s="52"/>
      <c r="N850" s="19"/>
      <c r="O850" s="19"/>
      <c r="P850" s="19"/>
      <c r="Q850" s="19"/>
      <c r="R850" s="19"/>
      <c r="S850" s="19"/>
      <c r="T850" s="19"/>
      <c r="U850" s="19"/>
      <c r="V850" s="19"/>
      <c r="W850" s="19"/>
      <c r="X850" s="19"/>
      <c r="Y850" s="19"/>
      <c r="Z850" s="19"/>
      <c r="AA850" s="19"/>
      <c r="AB850" s="19"/>
      <c r="AC850" s="19"/>
      <c r="AD850" s="19"/>
      <c r="AE850" s="19"/>
      <c r="AF850" s="19"/>
      <c r="AG850" s="19"/>
      <c r="AH850" s="19"/>
      <c r="AI850" s="19"/>
      <c r="AJ850" s="19"/>
      <c r="AK850" s="19"/>
      <c r="AL850" s="19"/>
      <c r="AM850" s="19"/>
      <c r="AN850" s="19"/>
      <c r="AO850" s="19"/>
      <c r="AP850" s="19"/>
      <c r="AQ850" s="19"/>
      <c r="AR850" s="19"/>
      <c r="AS850" s="19"/>
      <c r="AT850" s="19"/>
      <c r="AU850" s="19"/>
      <c r="AV850" s="19"/>
      <c r="AW850" s="19"/>
      <c r="AX850" s="19"/>
      <c r="GA850" s="54"/>
    </row>
    <row r="851" spans="1:183" s="18" customFormat="1">
      <c r="A851" s="51"/>
      <c r="B851" s="52"/>
      <c r="C851" s="52"/>
      <c r="D851" s="52"/>
      <c r="E851" s="53"/>
      <c r="F851" s="52"/>
      <c r="G851" s="52"/>
      <c r="H851" s="52"/>
      <c r="I851" s="53"/>
      <c r="J851" s="52"/>
      <c r="K851" s="52"/>
      <c r="L851" s="52"/>
      <c r="M851" s="52"/>
      <c r="N851" s="19"/>
      <c r="O851" s="19"/>
      <c r="P851" s="19"/>
      <c r="Q851" s="19"/>
      <c r="R851" s="19"/>
      <c r="S851" s="19"/>
      <c r="T851" s="19"/>
      <c r="U851" s="19"/>
      <c r="V851" s="19"/>
      <c r="W851" s="19"/>
      <c r="X851" s="19"/>
      <c r="Y851" s="19"/>
      <c r="Z851" s="19"/>
      <c r="AA851" s="19"/>
      <c r="AB851" s="19"/>
      <c r="AC851" s="19"/>
      <c r="AD851" s="19"/>
      <c r="AE851" s="19"/>
      <c r="AF851" s="19"/>
      <c r="AG851" s="19"/>
      <c r="AH851" s="19"/>
      <c r="AI851" s="19"/>
      <c r="AJ851" s="19"/>
      <c r="AK851" s="19"/>
      <c r="AL851" s="19"/>
      <c r="AM851" s="19"/>
      <c r="AN851" s="19"/>
      <c r="AO851" s="19"/>
      <c r="AP851" s="19"/>
      <c r="AQ851" s="19"/>
      <c r="AR851" s="19"/>
      <c r="AS851" s="19"/>
      <c r="AT851" s="19"/>
      <c r="AU851" s="19"/>
      <c r="AV851" s="19"/>
      <c r="AW851" s="19"/>
      <c r="AX851" s="19"/>
      <c r="GA851" s="54"/>
    </row>
    <row r="852" spans="1:183" s="18" customFormat="1">
      <c r="A852" s="51"/>
      <c r="B852" s="52"/>
      <c r="C852" s="52"/>
      <c r="D852" s="52"/>
      <c r="E852" s="53"/>
      <c r="F852" s="52"/>
      <c r="G852" s="52"/>
      <c r="H852" s="52"/>
      <c r="I852" s="53"/>
      <c r="J852" s="52"/>
      <c r="K852" s="52"/>
      <c r="L852" s="52"/>
      <c r="M852" s="52"/>
      <c r="N852" s="19"/>
      <c r="O852" s="19"/>
      <c r="P852" s="19"/>
      <c r="Q852" s="19"/>
      <c r="R852" s="19"/>
      <c r="S852" s="19"/>
      <c r="T852" s="19"/>
      <c r="U852" s="19"/>
      <c r="V852" s="19"/>
      <c r="W852" s="19"/>
      <c r="X852" s="19"/>
      <c r="Y852" s="19"/>
      <c r="Z852" s="19"/>
      <c r="AA852" s="19"/>
      <c r="AB852" s="19"/>
      <c r="AC852" s="19"/>
      <c r="AD852" s="19"/>
      <c r="AE852" s="19"/>
      <c r="AF852" s="19"/>
      <c r="AG852" s="19"/>
      <c r="AH852" s="19"/>
      <c r="AI852" s="19"/>
      <c r="AJ852" s="19"/>
      <c r="AK852" s="19"/>
      <c r="AL852" s="19"/>
      <c r="AM852" s="19"/>
      <c r="AN852" s="19"/>
      <c r="AO852" s="19"/>
      <c r="AP852" s="19"/>
      <c r="AQ852" s="19"/>
      <c r="AR852" s="19"/>
      <c r="AS852" s="19"/>
      <c r="AT852" s="19"/>
      <c r="AU852" s="19"/>
      <c r="AV852" s="19"/>
      <c r="AW852" s="19"/>
      <c r="AX852" s="19"/>
      <c r="GA852" s="54"/>
    </row>
    <row r="853" spans="1:183" s="18" customFormat="1">
      <c r="A853" s="51"/>
      <c r="B853" s="52"/>
      <c r="C853" s="52"/>
      <c r="D853" s="52"/>
      <c r="E853" s="53"/>
      <c r="F853" s="52"/>
      <c r="G853" s="52"/>
      <c r="H853" s="52"/>
      <c r="I853" s="53"/>
      <c r="J853" s="52"/>
      <c r="K853" s="52"/>
      <c r="L853" s="52"/>
      <c r="M853" s="52"/>
      <c r="N853" s="19"/>
      <c r="O853" s="19"/>
      <c r="P853" s="19"/>
      <c r="Q853" s="19"/>
      <c r="R853" s="19"/>
      <c r="S853" s="19"/>
      <c r="T853" s="19"/>
      <c r="U853" s="19"/>
      <c r="V853" s="19"/>
      <c r="W853" s="19"/>
      <c r="X853" s="19"/>
      <c r="Y853" s="19"/>
      <c r="Z853" s="19"/>
      <c r="AA853" s="19"/>
      <c r="AB853" s="19"/>
      <c r="AC853" s="19"/>
      <c r="AD853" s="19"/>
      <c r="AE853" s="19"/>
      <c r="AF853" s="19"/>
      <c r="AG853" s="19"/>
      <c r="AH853" s="19"/>
      <c r="AI853" s="19"/>
      <c r="AJ853" s="19"/>
      <c r="AK853" s="19"/>
      <c r="AL853" s="19"/>
      <c r="AM853" s="19"/>
      <c r="AN853" s="19"/>
      <c r="AO853" s="19"/>
      <c r="AP853" s="19"/>
      <c r="AQ853" s="19"/>
      <c r="AR853" s="19"/>
      <c r="AS853" s="19"/>
      <c r="AT853" s="19"/>
      <c r="AU853" s="19"/>
      <c r="AV853" s="19"/>
      <c r="AW853" s="19"/>
      <c r="AX853" s="19"/>
      <c r="GA853" s="54"/>
    </row>
    <row r="854" spans="1:183" s="18" customFormat="1">
      <c r="A854" s="51"/>
      <c r="B854" s="52"/>
      <c r="C854" s="52"/>
      <c r="D854" s="52"/>
      <c r="E854" s="53"/>
      <c r="F854" s="52"/>
      <c r="G854" s="52"/>
      <c r="H854" s="52"/>
      <c r="I854" s="53"/>
      <c r="J854" s="52"/>
      <c r="K854" s="52"/>
      <c r="L854" s="52"/>
      <c r="M854" s="52"/>
      <c r="N854" s="19"/>
      <c r="O854" s="19"/>
      <c r="P854" s="19"/>
      <c r="Q854" s="19"/>
      <c r="R854" s="19"/>
      <c r="S854" s="19"/>
      <c r="T854" s="19"/>
      <c r="U854" s="19"/>
      <c r="V854" s="19"/>
      <c r="W854" s="19"/>
      <c r="X854" s="19"/>
      <c r="Y854" s="19"/>
      <c r="Z854" s="19"/>
      <c r="AA854" s="19"/>
      <c r="AB854" s="19"/>
      <c r="AC854" s="19"/>
      <c r="AD854" s="19"/>
      <c r="AE854" s="19"/>
      <c r="AF854" s="19"/>
      <c r="AG854" s="19"/>
      <c r="AH854" s="19"/>
      <c r="AI854" s="19"/>
      <c r="AJ854" s="19"/>
      <c r="AK854" s="19"/>
      <c r="AL854" s="19"/>
      <c r="AM854" s="19"/>
      <c r="AN854" s="19"/>
      <c r="AO854" s="19"/>
      <c r="AP854" s="19"/>
      <c r="AQ854" s="19"/>
      <c r="AR854" s="19"/>
      <c r="AS854" s="19"/>
      <c r="AT854" s="19"/>
      <c r="AU854" s="19"/>
      <c r="AV854" s="19"/>
      <c r="AW854" s="19"/>
      <c r="AX854" s="19"/>
      <c r="GA854" s="54"/>
    </row>
    <row r="855" spans="1:183" s="18" customFormat="1">
      <c r="A855" s="51"/>
      <c r="B855" s="52"/>
      <c r="C855" s="52"/>
      <c r="D855" s="52"/>
      <c r="E855" s="53"/>
      <c r="F855" s="52"/>
      <c r="G855" s="52"/>
      <c r="H855" s="52"/>
      <c r="I855" s="53"/>
      <c r="J855" s="52"/>
      <c r="K855" s="52"/>
      <c r="L855" s="52"/>
      <c r="M855" s="52"/>
      <c r="N855" s="19"/>
      <c r="O855" s="19"/>
      <c r="P855" s="19"/>
      <c r="Q855" s="19"/>
      <c r="R855" s="19"/>
      <c r="S855" s="19"/>
      <c r="T855" s="19"/>
      <c r="U855" s="19"/>
      <c r="V855" s="19"/>
      <c r="W855" s="19"/>
      <c r="X855" s="19"/>
      <c r="Y855" s="19"/>
      <c r="Z855" s="19"/>
      <c r="AA855" s="19"/>
      <c r="AB855" s="19"/>
      <c r="AC855" s="19"/>
      <c r="AD855" s="19"/>
      <c r="AE855" s="19"/>
      <c r="AF855" s="19"/>
      <c r="AG855" s="19"/>
      <c r="AH855" s="19"/>
      <c r="AI855" s="19"/>
      <c r="AJ855" s="19"/>
      <c r="AK855" s="19"/>
      <c r="AL855" s="19"/>
      <c r="AM855" s="19"/>
      <c r="AN855" s="19"/>
      <c r="AO855" s="19"/>
      <c r="AP855" s="19"/>
      <c r="AQ855" s="19"/>
      <c r="AR855" s="19"/>
      <c r="AS855" s="19"/>
      <c r="AT855" s="19"/>
      <c r="AU855" s="19"/>
      <c r="AV855" s="19"/>
      <c r="AW855" s="19"/>
      <c r="AX855" s="19"/>
      <c r="GA855" s="54"/>
    </row>
    <row r="856" spans="1:183" s="18" customFormat="1">
      <c r="A856" s="51"/>
      <c r="B856" s="52"/>
      <c r="C856" s="52"/>
      <c r="D856" s="52"/>
      <c r="E856" s="53"/>
      <c r="F856" s="52"/>
      <c r="G856" s="52"/>
      <c r="H856" s="52"/>
      <c r="I856" s="53"/>
      <c r="J856" s="52"/>
      <c r="K856" s="52"/>
      <c r="L856" s="52"/>
      <c r="M856" s="52"/>
      <c r="N856" s="19"/>
      <c r="O856" s="19"/>
      <c r="P856" s="19"/>
      <c r="Q856" s="19"/>
      <c r="R856" s="19"/>
      <c r="S856" s="19"/>
      <c r="T856" s="19"/>
      <c r="U856" s="19"/>
      <c r="V856" s="19"/>
      <c r="W856" s="19"/>
      <c r="X856" s="19"/>
      <c r="Y856" s="19"/>
      <c r="Z856" s="19"/>
      <c r="AA856" s="19"/>
      <c r="AB856" s="19"/>
      <c r="AC856" s="19"/>
      <c r="AD856" s="19"/>
      <c r="AE856" s="19"/>
      <c r="AF856" s="19"/>
      <c r="AG856" s="19"/>
      <c r="AH856" s="19"/>
      <c r="AI856" s="19"/>
      <c r="AJ856" s="19"/>
      <c r="AK856" s="19"/>
      <c r="AL856" s="19"/>
      <c r="AM856" s="19"/>
      <c r="AN856" s="19"/>
      <c r="AO856" s="19"/>
      <c r="AP856" s="19"/>
      <c r="AQ856" s="19"/>
      <c r="AR856" s="19"/>
      <c r="AS856" s="19"/>
      <c r="AT856" s="19"/>
      <c r="AU856" s="19"/>
      <c r="AV856" s="19"/>
      <c r="AW856" s="19"/>
      <c r="AX856" s="19"/>
      <c r="GA856" s="54"/>
    </row>
    <row r="857" spans="1:183" s="18" customFormat="1">
      <c r="A857" s="51"/>
      <c r="B857" s="52"/>
      <c r="C857" s="52"/>
      <c r="D857" s="52"/>
      <c r="E857" s="53"/>
      <c r="F857" s="52"/>
      <c r="G857" s="52"/>
      <c r="H857" s="52"/>
      <c r="I857" s="53"/>
      <c r="J857" s="52"/>
      <c r="K857" s="52"/>
      <c r="L857" s="52"/>
      <c r="M857" s="52"/>
      <c r="N857" s="19"/>
      <c r="O857" s="19"/>
      <c r="P857" s="19"/>
      <c r="Q857" s="19"/>
      <c r="R857" s="19"/>
      <c r="S857" s="19"/>
      <c r="T857" s="19"/>
      <c r="U857" s="19"/>
      <c r="V857" s="19"/>
      <c r="W857" s="19"/>
      <c r="X857" s="19"/>
      <c r="Y857" s="19"/>
      <c r="Z857" s="19"/>
      <c r="AA857" s="19"/>
      <c r="AB857" s="19"/>
      <c r="AC857" s="19"/>
      <c r="AD857" s="19"/>
      <c r="AE857" s="19"/>
      <c r="AF857" s="19"/>
      <c r="AG857" s="19"/>
      <c r="AH857" s="19"/>
      <c r="AI857" s="19"/>
      <c r="AJ857" s="19"/>
      <c r="AK857" s="19"/>
      <c r="AL857" s="19"/>
      <c r="AM857" s="19"/>
      <c r="AN857" s="19"/>
      <c r="AO857" s="19"/>
      <c r="AP857" s="19"/>
      <c r="AQ857" s="19"/>
      <c r="AR857" s="19"/>
      <c r="AS857" s="19"/>
      <c r="AT857" s="19"/>
      <c r="AU857" s="19"/>
      <c r="AV857" s="19"/>
      <c r="AW857" s="19"/>
      <c r="AX857" s="19"/>
      <c r="GA857" s="54"/>
    </row>
    <row r="858" spans="1:183" s="18" customFormat="1">
      <c r="A858" s="51"/>
      <c r="B858" s="52"/>
      <c r="C858" s="52"/>
      <c r="D858" s="52"/>
      <c r="E858" s="53"/>
      <c r="F858" s="52"/>
      <c r="G858" s="52"/>
      <c r="H858" s="52"/>
      <c r="I858" s="53"/>
      <c r="J858" s="52"/>
      <c r="K858" s="52"/>
      <c r="L858" s="52"/>
      <c r="M858" s="52"/>
      <c r="N858" s="19"/>
      <c r="O858" s="19"/>
      <c r="P858" s="19"/>
      <c r="Q858" s="19"/>
      <c r="R858" s="19"/>
      <c r="S858" s="19"/>
      <c r="T858" s="19"/>
      <c r="U858" s="19"/>
      <c r="V858" s="19"/>
      <c r="W858" s="19"/>
      <c r="X858" s="19"/>
      <c r="Y858" s="19"/>
      <c r="Z858" s="19"/>
      <c r="AA858" s="19"/>
      <c r="AB858" s="19"/>
      <c r="AC858" s="19"/>
      <c r="AD858" s="19"/>
      <c r="AE858" s="19"/>
      <c r="AF858" s="19"/>
      <c r="AG858" s="19"/>
      <c r="AH858" s="19"/>
      <c r="AI858" s="19"/>
      <c r="AJ858" s="19"/>
      <c r="AK858" s="19"/>
      <c r="AL858" s="19"/>
      <c r="AM858" s="19"/>
      <c r="AN858" s="19"/>
      <c r="AO858" s="19"/>
      <c r="AP858" s="19"/>
      <c r="AQ858" s="19"/>
      <c r="AR858" s="19"/>
      <c r="AS858" s="19"/>
      <c r="AT858" s="19"/>
      <c r="AU858" s="19"/>
      <c r="AV858" s="19"/>
      <c r="AW858" s="19"/>
      <c r="AX858" s="19"/>
      <c r="GA858" s="54"/>
    </row>
    <row r="859" spans="1:183" s="18" customFormat="1">
      <c r="A859" s="51"/>
      <c r="B859" s="52"/>
      <c r="C859" s="52"/>
      <c r="D859" s="52"/>
      <c r="E859" s="53"/>
      <c r="F859" s="52"/>
      <c r="G859" s="52"/>
      <c r="H859" s="52"/>
      <c r="I859" s="53"/>
      <c r="J859" s="52"/>
      <c r="K859" s="52"/>
      <c r="L859" s="52"/>
      <c r="M859" s="52"/>
      <c r="N859" s="19"/>
      <c r="O859" s="19"/>
      <c r="P859" s="19"/>
      <c r="Q859" s="19"/>
      <c r="R859" s="19"/>
      <c r="S859" s="19"/>
      <c r="T859" s="19"/>
      <c r="U859" s="19"/>
      <c r="V859" s="19"/>
      <c r="W859" s="19"/>
      <c r="X859" s="19"/>
      <c r="Y859" s="19"/>
      <c r="Z859" s="19"/>
      <c r="AA859" s="19"/>
      <c r="AB859" s="19"/>
      <c r="AC859" s="19"/>
      <c r="AD859" s="19"/>
      <c r="AE859" s="19"/>
      <c r="AF859" s="19"/>
      <c r="AG859" s="19"/>
      <c r="AH859" s="19"/>
      <c r="AI859" s="19"/>
      <c r="AJ859" s="19"/>
      <c r="AK859" s="19"/>
      <c r="AL859" s="19"/>
      <c r="AM859" s="19"/>
      <c r="AN859" s="19"/>
      <c r="AO859" s="19"/>
      <c r="AP859" s="19"/>
      <c r="AQ859" s="19"/>
      <c r="AR859" s="19"/>
      <c r="AS859" s="19"/>
      <c r="AT859" s="19"/>
      <c r="AU859" s="19"/>
      <c r="AV859" s="19"/>
      <c r="AW859" s="19"/>
      <c r="AX859" s="19"/>
      <c r="GA859" s="54"/>
    </row>
    <row r="860" spans="1:183" s="18" customFormat="1">
      <c r="A860" s="51"/>
      <c r="B860" s="52"/>
      <c r="C860" s="52"/>
      <c r="D860" s="52"/>
      <c r="E860" s="53"/>
      <c r="F860" s="52"/>
      <c r="G860" s="52"/>
      <c r="H860" s="52"/>
      <c r="I860" s="53"/>
      <c r="J860" s="52"/>
      <c r="K860" s="52"/>
      <c r="L860" s="52"/>
      <c r="M860" s="52"/>
      <c r="N860" s="19"/>
      <c r="O860" s="19"/>
      <c r="P860" s="19"/>
      <c r="Q860" s="19"/>
      <c r="R860" s="19"/>
      <c r="S860" s="19"/>
      <c r="T860" s="19"/>
      <c r="U860" s="19"/>
      <c r="V860" s="19"/>
      <c r="W860" s="19"/>
      <c r="X860" s="19"/>
      <c r="Y860" s="19"/>
      <c r="Z860" s="19"/>
      <c r="AA860" s="19"/>
      <c r="AB860" s="19"/>
      <c r="AC860" s="19"/>
      <c r="AD860" s="19"/>
      <c r="AE860" s="19"/>
      <c r="AF860" s="19"/>
      <c r="AG860" s="19"/>
      <c r="AH860" s="19"/>
      <c r="AI860" s="19"/>
      <c r="AJ860" s="19"/>
      <c r="AK860" s="19"/>
      <c r="AL860" s="19"/>
      <c r="AM860" s="19"/>
      <c r="AN860" s="19"/>
      <c r="AO860" s="19"/>
      <c r="AP860" s="19"/>
      <c r="AQ860" s="19"/>
      <c r="AR860" s="19"/>
      <c r="AS860" s="19"/>
      <c r="AT860" s="19"/>
      <c r="AU860" s="19"/>
      <c r="AV860" s="19"/>
      <c r="AW860" s="19"/>
      <c r="AX860" s="19"/>
      <c r="GA860" s="54"/>
    </row>
    <row r="861" spans="1:183" s="18" customFormat="1">
      <c r="A861" s="51"/>
      <c r="B861" s="52"/>
      <c r="C861" s="52"/>
      <c r="D861" s="52"/>
      <c r="E861" s="53"/>
      <c r="F861" s="52"/>
      <c r="G861" s="52"/>
      <c r="H861" s="52"/>
      <c r="I861" s="53"/>
      <c r="J861" s="52"/>
      <c r="K861" s="52"/>
      <c r="L861" s="52"/>
      <c r="M861" s="52"/>
      <c r="N861" s="19"/>
      <c r="O861" s="19"/>
      <c r="P861" s="19"/>
      <c r="Q861" s="19"/>
      <c r="R861" s="19"/>
      <c r="S861" s="19"/>
      <c r="T861" s="19"/>
      <c r="U861" s="19"/>
      <c r="V861" s="19"/>
      <c r="W861" s="19"/>
      <c r="X861" s="19"/>
      <c r="Y861" s="19"/>
      <c r="Z861" s="19"/>
      <c r="AA861" s="19"/>
      <c r="AB861" s="19"/>
      <c r="AC861" s="19"/>
      <c r="AD861" s="19"/>
      <c r="AE861" s="19"/>
      <c r="AF861" s="19"/>
      <c r="AG861" s="19"/>
      <c r="AH861" s="19"/>
      <c r="AI861" s="19"/>
      <c r="AJ861" s="19"/>
      <c r="AK861" s="19"/>
      <c r="AL861" s="19"/>
      <c r="AM861" s="19"/>
      <c r="AN861" s="19"/>
      <c r="AO861" s="19"/>
      <c r="AP861" s="19"/>
      <c r="AQ861" s="19"/>
      <c r="AR861" s="19"/>
      <c r="AS861" s="19"/>
      <c r="AT861" s="19"/>
      <c r="AU861" s="19"/>
      <c r="AV861" s="19"/>
      <c r="AW861" s="19"/>
      <c r="AX861" s="19"/>
      <c r="GA861" s="54"/>
    </row>
    <row r="862" spans="1:183" s="18" customFormat="1">
      <c r="A862" s="51"/>
      <c r="B862" s="52"/>
      <c r="C862" s="52"/>
      <c r="D862" s="52"/>
      <c r="E862" s="53"/>
      <c r="F862" s="52"/>
      <c r="G862" s="52"/>
      <c r="H862" s="52"/>
      <c r="I862" s="53"/>
      <c r="J862" s="52"/>
      <c r="K862" s="52"/>
      <c r="L862" s="52"/>
      <c r="M862" s="52"/>
      <c r="N862" s="19"/>
      <c r="O862" s="19"/>
      <c r="P862" s="19"/>
      <c r="Q862" s="19"/>
      <c r="R862" s="19"/>
      <c r="S862" s="19"/>
      <c r="T862" s="19"/>
      <c r="U862" s="19"/>
      <c r="V862" s="19"/>
      <c r="W862" s="19"/>
      <c r="X862" s="19"/>
      <c r="Y862" s="19"/>
      <c r="Z862" s="19"/>
      <c r="AA862" s="19"/>
      <c r="AB862" s="19"/>
      <c r="AC862" s="19"/>
      <c r="AD862" s="19"/>
      <c r="AE862" s="19"/>
      <c r="AF862" s="19"/>
      <c r="AG862" s="19"/>
      <c r="AH862" s="19"/>
      <c r="AI862" s="19"/>
      <c r="AJ862" s="19"/>
      <c r="AK862" s="19"/>
      <c r="AL862" s="19"/>
      <c r="AM862" s="19"/>
      <c r="AN862" s="19"/>
      <c r="AO862" s="19"/>
      <c r="AP862" s="19"/>
      <c r="AQ862" s="19"/>
      <c r="AR862" s="19"/>
      <c r="AS862" s="19"/>
      <c r="AT862" s="19"/>
      <c r="AU862" s="19"/>
      <c r="AV862" s="19"/>
      <c r="AW862" s="19"/>
      <c r="AX862" s="19"/>
      <c r="GA862" s="54"/>
    </row>
    <row r="863" spans="1:183" s="18" customFormat="1">
      <c r="A863" s="51"/>
      <c r="B863" s="52"/>
      <c r="C863" s="52"/>
      <c r="D863" s="52"/>
      <c r="E863" s="53"/>
      <c r="F863" s="52"/>
      <c r="G863" s="52"/>
      <c r="H863" s="52"/>
      <c r="I863" s="53"/>
      <c r="J863" s="52"/>
      <c r="K863" s="52"/>
      <c r="L863" s="52"/>
      <c r="M863" s="52"/>
      <c r="N863" s="19"/>
      <c r="O863" s="19"/>
      <c r="P863" s="19"/>
      <c r="Q863" s="19"/>
      <c r="R863" s="19"/>
      <c r="S863" s="19"/>
      <c r="T863" s="19"/>
      <c r="U863" s="19"/>
      <c r="V863" s="19"/>
      <c r="W863" s="19"/>
      <c r="X863" s="19"/>
      <c r="Y863" s="19"/>
      <c r="Z863" s="19"/>
      <c r="AA863" s="19"/>
      <c r="AB863" s="19"/>
      <c r="AC863" s="19"/>
      <c r="AD863" s="19"/>
      <c r="AE863" s="19"/>
      <c r="AF863" s="19"/>
      <c r="AG863" s="19"/>
      <c r="AH863" s="19"/>
      <c r="AI863" s="19"/>
      <c r="AJ863" s="19"/>
      <c r="AK863" s="19"/>
      <c r="AL863" s="19"/>
      <c r="AM863" s="19"/>
      <c r="AN863" s="19"/>
      <c r="AO863" s="19"/>
      <c r="AP863" s="19"/>
      <c r="AQ863" s="19"/>
      <c r="AR863" s="19"/>
      <c r="AS863" s="19"/>
      <c r="AT863" s="19"/>
      <c r="AU863" s="19"/>
      <c r="AV863" s="19"/>
      <c r="AW863" s="19"/>
      <c r="AX863" s="19"/>
      <c r="GA863" s="54"/>
    </row>
    <row r="864" spans="1:183" s="18" customFormat="1">
      <c r="A864" s="51"/>
      <c r="B864" s="52"/>
      <c r="C864" s="52"/>
      <c r="D864" s="52"/>
      <c r="E864" s="53"/>
      <c r="F864" s="52"/>
      <c r="G864" s="52"/>
      <c r="H864" s="52"/>
      <c r="I864" s="53"/>
      <c r="J864" s="52"/>
      <c r="K864" s="52"/>
      <c r="L864" s="52"/>
      <c r="M864" s="52"/>
      <c r="N864" s="19"/>
      <c r="O864" s="19"/>
      <c r="P864" s="19"/>
      <c r="Q864" s="19"/>
      <c r="R864" s="19"/>
      <c r="S864" s="19"/>
      <c r="T864" s="19"/>
      <c r="U864" s="19"/>
      <c r="V864" s="19"/>
      <c r="W864" s="19"/>
      <c r="X864" s="19"/>
      <c r="Y864" s="19"/>
      <c r="Z864" s="19"/>
      <c r="AA864" s="19"/>
      <c r="AB864" s="19"/>
      <c r="AC864" s="19"/>
      <c r="AD864" s="19"/>
      <c r="AE864" s="19"/>
      <c r="AF864" s="19"/>
      <c r="AG864" s="19"/>
      <c r="AH864" s="19"/>
      <c r="AI864" s="19"/>
      <c r="AJ864" s="19"/>
      <c r="AK864" s="19"/>
      <c r="AL864" s="19"/>
      <c r="AM864" s="19"/>
      <c r="AN864" s="19"/>
      <c r="AO864" s="19"/>
      <c r="AP864" s="19"/>
      <c r="AQ864" s="19"/>
      <c r="AR864" s="19"/>
      <c r="AS864" s="19"/>
      <c r="AT864" s="19"/>
      <c r="AU864" s="19"/>
      <c r="AV864" s="19"/>
      <c r="AW864" s="19"/>
      <c r="AX864" s="19"/>
      <c r="GA864" s="54"/>
    </row>
    <row r="865" spans="1:183" s="18" customFormat="1">
      <c r="A865" s="51"/>
      <c r="B865" s="52"/>
      <c r="C865" s="52"/>
      <c r="D865" s="52"/>
      <c r="E865" s="53"/>
      <c r="F865" s="52"/>
      <c r="G865" s="52"/>
      <c r="H865" s="52"/>
      <c r="I865" s="53"/>
      <c r="J865" s="52"/>
      <c r="K865" s="52"/>
      <c r="L865" s="52"/>
      <c r="M865" s="52"/>
      <c r="N865" s="19"/>
      <c r="O865" s="19"/>
      <c r="P865" s="19"/>
      <c r="Q865" s="19"/>
      <c r="R865" s="19"/>
      <c r="S865" s="19"/>
      <c r="T865" s="19"/>
      <c r="U865" s="19"/>
      <c r="V865" s="19"/>
      <c r="W865" s="19"/>
      <c r="X865" s="19"/>
      <c r="Y865" s="19"/>
      <c r="Z865" s="19"/>
      <c r="AA865" s="19"/>
      <c r="AB865" s="19"/>
      <c r="AC865" s="19"/>
      <c r="AD865" s="19"/>
      <c r="AE865" s="19"/>
      <c r="AF865" s="19"/>
      <c r="AG865" s="19"/>
      <c r="AH865" s="19"/>
      <c r="AI865" s="19"/>
      <c r="AJ865" s="19"/>
      <c r="AK865" s="19"/>
      <c r="AL865" s="19"/>
      <c r="AM865" s="19"/>
      <c r="AN865" s="19"/>
      <c r="AO865" s="19"/>
      <c r="AP865" s="19"/>
      <c r="AQ865" s="19"/>
      <c r="AR865" s="19"/>
      <c r="AS865" s="19"/>
      <c r="AT865" s="19"/>
      <c r="AU865" s="19"/>
      <c r="AV865" s="19"/>
      <c r="AW865" s="19"/>
      <c r="AX865" s="19"/>
      <c r="GA865" s="54"/>
    </row>
    <row r="866" spans="1:183" s="18" customFormat="1">
      <c r="A866" s="51"/>
      <c r="B866" s="52"/>
      <c r="C866" s="52"/>
      <c r="D866" s="52"/>
      <c r="E866" s="53"/>
      <c r="F866" s="52"/>
      <c r="G866" s="52"/>
      <c r="H866" s="52"/>
      <c r="I866" s="53"/>
      <c r="J866" s="52"/>
      <c r="K866" s="52"/>
      <c r="L866" s="52"/>
      <c r="M866" s="52"/>
      <c r="N866" s="19"/>
      <c r="O866" s="19"/>
      <c r="P866" s="19"/>
      <c r="Q866" s="19"/>
      <c r="R866" s="19"/>
      <c r="S866" s="19"/>
      <c r="T866" s="19"/>
      <c r="U866" s="19"/>
      <c r="V866" s="19"/>
      <c r="W866" s="19"/>
      <c r="X866" s="19"/>
      <c r="Y866" s="19"/>
      <c r="Z866" s="19"/>
      <c r="AA866" s="19"/>
      <c r="AB866" s="19"/>
      <c r="AC866" s="19"/>
      <c r="AD866" s="19"/>
      <c r="AE866" s="19"/>
      <c r="AF866" s="19"/>
      <c r="AG866" s="19"/>
      <c r="AH866" s="19"/>
      <c r="AI866" s="19"/>
      <c r="AJ866" s="19"/>
      <c r="AK866" s="19"/>
      <c r="AL866" s="19"/>
      <c r="AM866" s="19"/>
      <c r="AN866" s="19"/>
      <c r="AO866" s="19"/>
      <c r="AP866" s="19"/>
      <c r="AQ866" s="19"/>
      <c r="AR866" s="19"/>
      <c r="AS866" s="19"/>
      <c r="AT866" s="19"/>
      <c r="AU866" s="19"/>
      <c r="AV866" s="19"/>
      <c r="AW866" s="19"/>
      <c r="AX866" s="19"/>
      <c r="GA866" s="54"/>
    </row>
    <row r="867" spans="1:183" s="18" customFormat="1">
      <c r="A867" s="51"/>
      <c r="B867" s="52"/>
      <c r="C867" s="52"/>
      <c r="D867" s="52"/>
      <c r="E867" s="53"/>
      <c r="F867" s="52"/>
      <c r="G867" s="52"/>
      <c r="H867" s="52"/>
      <c r="I867" s="53"/>
      <c r="J867" s="52"/>
      <c r="K867" s="52"/>
      <c r="L867" s="52"/>
      <c r="M867" s="52"/>
      <c r="N867" s="19"/>
      <c r="O867" s="19"/>
      <c r="P867" s="19"/>
      <c r="Q867" s="19"/>
      <c r="R867" s="19"/>
      <c r="S867" s="19"/>
      <c r="T867" s="19"/>
      <c r="U867" s="19"/>
      <c r="V867" s="19"/>
      <c r="W867" s="19"/>
      <c r="X867" s="19"/>
      <c r="Y867" s="19"/>
      <c r="Z867" s="19"/>
      <c r="AA867" s="19"/>
      <c r="AB867" s="19"/>
      <c r="AC867" s="19"/>
      <c r="AD867" s="19"/>
      <c r="AE867" s="19"/>
      <c r="AF867" s="19"/>
      <c r="AG867" s="19"/>
      <c r="AH867" s="19"/>
      <c r="AI867" s="19"/>
      <c r="AJ867" s="19"/>
      <c r="AK867" s="19"/>
      <c r="AL867" s="19"/>
      <c r="AM867" s="19"/>
      <c r="AN867" s="19"/>
      <c r="AO867" s="19"/>
      <c r="AP867" s="19"/>
      <c r="AQ867" s="19"/>
      <c r="AR867" s="19"/>
      <c r="AS867" s="19"/>
      <c r="AT867" s="19"/>
      <c r="AU867" s="19"/>
      <c r="AV867" s="19"/>
      <c r="AW867" s="19"/>
      <c r="AX867" s="19"/>
      <c r="GA867" s="54"/>
    </row>
    <row r="868" spans="1:183" s="18" customFormat="1">
      <c r="A868" s="51"/>
      <c r="B868" s="52"/>
      <c r="C868" s="52"/>
      <c r="D868" s="52"/>
      <c r="E868" s="53"/>
      <c r="F868" s="52"/>
      <c r="G868" s="52"/>
      <c r="H868" s="52"/>
      <c r="I868" s="53"/>
      <c r="J868" s="52"/>
      <c r="K868" s="52"/>
      <c r="L868" s="52"/>
      <c r="M868" s="52"/>
      <c r="N868" s="19"/>
      <c r="O868" s="19"/>
      <c r="P868" s="19"/>
      <c r="Q868" s="19"/>
      <c r="R868" s="19"/>
      <c r="S868" s="19"/>
      <c r="T868" s="19"/>
      <c r="U868" s="19"/>
      <c r="V868" s="19"/>
      <c r="W868" s="19"/>
      <c r="X868" s="19"/>
      <c r="Y868" s="19"/>
      <c r="Z868" s="19"/>
      <c r="AA868" s="19"/>
      <c r="AB868" s="19"/>
      <c r="AC868" s="19"/>
      <c r="AD868" s="19"/>
      <c r="AE868" s="19"/>
      <c r="AF868" s="19"/>
      <c r="AG868" s="19"/>
      <c r="AH868" s="19"/>
      <c r="AI868" s="19"/>
      <c r="AJ868" s="19"/>
      <c r="AK868" s="19"/>
      <c r="AL868" s="19"/>
      <c r="AM868" s="19"/>
      <c r="AN868" s="19"/>
      <c r="AO868" s="19"/>
      <c r="AP868" s="19"/>
      <c r="AQ868" s="19"/>
      <c r="AR868" s="19"/>
      <c r="AS868" s="19"/>
      <c r="AT868" s="19"/>
      <c r="AU868" s="19"/>
      <c r="AV868" s="19"/>
      <c r="AW868" s="19"/>
      <c r="AX868" s="19"/>
      <c r="GA868" s="54"/>
    </row>
    <row r="869" spans="1:183" s="18" customFormat="1">
      <c r="A869" s="51"/>
      <c r="B869" s="52"/>
      <c r="C869" s="52"/>
      <c r="D869" s="52"/>
      <c r="E869" s="53"/>
      <c r="F869" s="52"/>
      <c r="G869" s="52"/>
      <c r="H869" s="52"/>
      <c r="I869" s="53"/>
      <c r="J869" s="52"/>
      <c r="K869" s="52"/>
      <c r="L869" s="52"/>
      <c r="M869" s="52"/>
      <c r="N869" s="19"/>
      <c r="O869" s="19"/>
      <c r="P869" s="19"/>
      <c r="Q869" s="19"/>
      <c r="R869" s="19"/>
      <c r="S869" s="19"/>
      <c r="T869" s="19"/>
      <c r="U869" s="19"/>
      <c r="V869" s="19"/>
      <c r="W869" s="19"/>
      <c r="X869" s="19"/>
      <c r="Y869" s="19"/>
      <c r="Z869" s="19"/>
      <c r="AA869" s="19"/>
      <c r="AB869" s="19"/>
      <c r="AC869" s="19"/>
      <c r="AD869" s="19"/>
      <c r="AE869" s="19"/>
      <c r="AF869" s="19"/>
      <c r="AG869" s="19"/>
      <c r="AH869" s="19"/>
      <c r="AI869" s="19"/>
      <c r="AJ869" s="19"/>
      <c r="AK869" s="19"/>
      <c r="AL869" s="19"/>
      <c r="AM869" s="19"/>
      <c r="AN869" s="19"/>
      <c r="AO869" s="19"/>
      <c r="AP869" s="19"/>
      <c r="AQ869" s="19"/>
      <c r="AR869" s="19"/>
      <c r="AS869" s="19"/>
      <c r="AT869" s="19"/>
      <c r="AU869" s="19"/>
      <c r="AV869" s="19"/>
      <c r="AW869" s="19"/>
      <c r="AX869" s="19"/>
      <c r="GA869" s="54"/>
    </row>
    <row r="870" spans="1:183" s="18" customFormat="1">
      <c r="A870" s="51"/>
      <c r="B870" s="52"/>
      <c r="C870" s="52"/>
      <c r="D870" s="52"/>
      <c r="E870" s="53"/>
      <c r="F870" s="52"/>
      <c r="G870" s="52"/>
      <c r="H870" s="52"/>
      <c r="I870" s="53"/>
      <c r="J870" s="52"/>
      <c r="K870" s="52"/>
      <c r="L870" s="52"/>
      <c r="M870" s="52"/>
      <c r="N870" s="19"/>
      <c r="O870" s="19"/>
      <c r="P870" s="19"/>
      <c r="Q870" s="19"/>
      <c r="R870" s="19"/>
      <c r="S870" s="19"/>
      <c r="T870" s="19"/>
      <c r="U870" s="19"/>
      <c r="V870" s="19"/>
      <c r="W870" s="19"/>
      <c r="X870" s="19"/>
      <c r="Y870" s="19"/>
      <c r="Z870" s="19"/>
      <c r="AA870" s="19"/>
      <c r="AB870" s="19"/>
      <c r="AC870" s="19"/>
      <c r="AD870" s="19"/>
      <c r="AE870" s="19"/>
      <c r="AF870" s="19"/>
      <c r="AG870" s="19"/>
      <c r="AH870" s="19"/>
      <c r="AI870" s="19"/>
      <c r="AJ870" s="19"/>
      <c r="AK870" s="19"/>
      <c r="AL870" s="19"/>
      <c r="AM870" s="19"/>
      <c r="AN870" s="19"/>
      <c r="AO870" s="19"/>
      <c r="AP870" s="19"/>
      <c r="AQ870" s="19"/>
      <c r="AR870" s="19"/>
      <c r="AS870" s="19"/>
      <c r="AT870" s="19"/>
      <c r="AU870" s="19"/>
      <c r="AV870" s="19"/>
      <c r="AW870" s="19"/>
      <c r="AX870" s="19"/>
      <c r="GA870" s="54"/>
    </row>
    <row r="871" spans="1:183" s="18" customFormat="1">
      <c r="A871" s="51"/>
      <c r="B871" s="52"/>
      <c r="C871" s="52"/>
      <c r="D871" s="52"/>
      <c r="E871" s="53"/>
      <c r="F871" s="52"/>
      <c r="G871" s="52"/>
      <c r="H871" s="52"/>
      <c r="I871" s="53"/>
      <c r="J871" s="52"/>
      <c r="K871" s="52"/>
      <c r="L871" s="52"/>
      <c r="M871" s="52"/>
      <c r="N871" s="19"/>
      <c r="O871" s="19"/>
      <c r="P871" s="19"/>
      <c r="Q871" s="19"/>
      <c r="R871" s="19"/>
      <c r="S871" s="19"/>
      <c r="T871" s="19"/>
      <c r="U871" s="19"/>
      <c r="V871" s="19"/>
      <c r="W871" s="19"/>
      <c r="X871" s="19"/>
      <c r="Y871" s="19"/>
      <c r="Z871" s="19"/>
      <c r="AA871" s="19"/>
      <c r="AB871" s="19"/>
      <c r="AC871" s="19"/>
      <c r="AD871" s="19"/>
      <c r="AE871" s="19"/>
      <c r="AF871" s="19"/>
      <c r="AG871" s="19"/>
      <c r="AH871" s="19"/>
      <c r="AI871" s="19"/>
      <c r="AJ871" s="19"/>
      <c r="AK871" s="19"/>
      <c r="AL871" s="19"/>
      <c r="AM871" s="19"/>
      <c r="AN871" s="19"/>
      <c r="AO871" s="19"/>
      <c r="AP871" s="19"/>
      <c r="AQ871" s="19"/>
      <c r="AR871" s="19"/>
      <c r="AS871" s="19"/>
      <c r="AT871" s="19"/>
      <c r="AU871" s="19"/>
      <c r="AV871" s="19"/>
      <c r="AW871" s="19"/>
      <c r="AX871" s="19"/>
      <c r="GA871" s="54"/>
    </row>
    <row r="872" spans="1:183" s="18" customFormat="1">
      <c r="A872" s="51"/>
      <c r="B872" s="52"/>
      <c r="C872" s="52"/>
      <c r="D872" s="52"/>
      <c r="E872" s="53"/>
      <c r="F872" s="52"/>
      <c r="G872" s="52"/>
      <c r="H872" s="52"/>
      <c r="I872" s="53"/>
      <c r="J872" s="52"/>
      <c r="K872" s="52"/>
      <c r="L872" s="52"/>
      <c r="M872" s="52"/>
      <c r="N872" s="19"/>
      <c r="O872" s="19"/>
      <c r="P872" s="19"/>
      <c r="Q872" s="19"/>
      <c r="R872" s="19"/>
      <c r="S872" s="19"/>
      <c r="T872" s="19"/>
      <c r="U872" s="19"/>
      <c r="V872" s="19"/>
      <c r="W872" s="19"/>
      <c r="X872" s="19"/>
      <c r="Y872" s="19"/>
      <c r="Z872" s="19"/>
      <c r="AA872" s="19"/>
      <c r="AB872" s="19"/>
      <c r="AC872" s="19"/>
      <c r="AD872" s="19"/>
      <c r="AE872" s="19"/>
      <c r="AF872" s="19"/>
      <c r="AG872" s="19"/>
      <c r="AH872" s="19"/>
      <c r="AI872" s="19"/>
      <c r="AJ872" s="19"/>
      <c r="AK872" s="19"/>
      <c r="AL872" s="19"/>
      <c r="AM872" s="19"/>
      <c r="AN872" s="19"/>
      <c r="AO872" s="19"/>
      <c r="AP872" s="19"/>
      <c r="AQ872" s="19"/>
      <c r="AR872" s="19"/>
      <c r="AS872" s="19"/>
      <c r="AT872" s="19"/>
      <c r="AU872" s="19"/>
      <c r="AV872" s="19"/>
      <c r="AW872" s="19"/>
      <c r="AX872" s="19"/>
      <c r="GA872" s="54"/>
    </row>
    <row r="873" spans="1:183" s="18" customFormat="1">
      <c r="A873" s="51"/>
      <c r="B873" s="52"/>
      <c r="C873" s="52"/>
      <c r="D873" s="52"/>
      <c r="E873" s="53"/>
      <c r="F873" s="52"/>
      <c r="G873" s="52"/>
      <c r="H873" s="52"/>
      <c r="I873" s="53"/>
      <c r="J873" s="52"/>
      <c r="K873" s="52"/>
      <c r="L873" s="52"/>
      <c r="M873" s="52"/>
      <c r="N873" s="19"/>
      <c r="O873" s="19"/>
      <c r="P873" s="19"/>
      <c r="Q873" s="19"/>
      <c r="R873" s="19"/>
      <c r="S873" s="19"/>
      <c r="T873" s="19"/>
      <c r="U873" s="19"/>
      <c r="V873" s="19"/>
      <c r="W873" s="19"/>
      <c r="X873" s="19"/>
      <c r="Y873" s="19"/>
      <c r="Z873" s="19"/>
      <c r="AA873" s="19"/>
      <c r="AB873" s="19"/>
      <c r="AC873" s="19"/>
      <c r="AD873" s="19"/>
      <c r="AE873" s="19"/>
      <c r="AF873" s="19"/>
      <c r="AG873" s="19"/>
      <c r="AH873" s="19"/>
      <c r="AI873" s="19"/>
      <c r="AJ873" s="19"/>
      <c r="AK873" s="19"/>
      <c r="AL873" s="19"/>
      <c r="AM873" s="19"/>
      <c r="AN873" s="19"/>
      <c r="AO873" s="19"/>
      <c r="AP873" s="19"/>
      <c r="AQ873" s="19"/>
      <c r="AR873" s="19"/>
      <c r="AS873" s="19"/>
      <c r="AT873" s="19"/>
      <c r="AU873" s="19"/>
      <c r="AV873" s="19"/>
      <c r="AW873" s="19"/>
      <c r="AX873" s="19"/>
      <c r="GA873" s="54"/>
    </row>
    <row r="874" spans="1:183" s="18" customFormat="1">
      <c r="A874" s="51"/>
      <c r="B874" s="52"/>
      <c r="C874" s="52"/>
      <c r="D874" s="52"/>
      <c r="E874" s="53"/>
      <c r="F874" s="52"/>
      <c r="G874" s="52"/>
      <c r="H874" s="52"/>
      <c r="I874" s="53"/>
      <c r="J874" s="52"/>
      <c r="K874" s="52"/>
      <c r="L874" s="52"/>
      <c r="M874" s="52"/>
      <c r="N874" s="19"/>
      <c r="O874" s="19"/>
      <c r="P874" s="19"/>
      <c r="Q874" s="19"/>
      <c r="R874" s="19"/>
      <c r="S874" s="19"/>
      <c r="T874" s="19"/>
      <c r="U874" s="19"/>
      <c r="V874" s="19"/>
      <c r="W874" s="19"/>
      <c r="X874" s="19"/>
      <c r="Y874" s="19"/>
      <c r="Z874" s="19"/>
      <c r="AA874" s="19"/>
      <c r="AB874" s="19"/>
      <c r="AC874" s="19"/>
      <c r="AD874" s="19"/>
      <c r="AE874" s="19"/>
      <c r="AF874" s="19"/>
      <c r="AG874" s="19"/>
      <c r="AH874" s="19"/>
      <c r="AI874" s="19"/>
      <c r="AJ874" s="19"/>
      <c r="AK874" s="19"/>
      <c r="AL874" s="19"/>
      <c r="AM874" s="19"/>
      <c r="AN874" s="19"/>
      <c r="AO874" s="19"/>
      <c r="AP874" s="19"/>
      <c r="AQ874" s="19"/>
      <c r="AR874" s="19"/>
      <c r="AS874" s="19"/>
      <c r="AT874" s="19"/>
      <c r="AU874" s="19"/>
      <c r="AV874" s="19"/>
      <c r="AW874" s="19"/>
      <c r="AX874" s="19"/>
      <c r="GA874" s="54"/>
    </row>
    <row r="875" spans="1:183" s="18" customFormat="1">
      <c r="A875" s="51"/>
      <c r="B875" s="52"/>
      <c r="C875" s="52"/>
      <c r="D875" s="52"/>
      <c r="E875" s="53"/>
      <c r="F875" s="52"/>
      <c r="G875" s="52"/>
      <c r="H875" s="52"/>
      <c r="I875" s="53"/>
      <c r="J875" s="52"/>
      <c r="K875" s="52"/>
      <c r="L875" s="52"/>
      <c r="M875" s="52"/>
      <c r="N875" s="19"/>
      <c r="O875" s="19"/>
      <c r="P875" s="19"/>
      <c r="Q875" s="19"/>
      <c r="R875" s="19"/>
      <c r="S875" s="19"/>
      <c r="T875" s="19"/>
      <c r="U875" s="19"/>
      <c r="V875" s="19"/>
      <c r="W875" s="19"/>
      <c r="X875" s="19"/>
      <c r="Y875" s="19"/>
      <c r="Z875" s="19"/>
      <c r="AA875" s="19"/>
      <c r="AB875" s="19"/>
      <c r="AC875" s="19"/>
      <c r="AD875" s="19"/>
      <c r="AE875" s="19"/>
      <c r="AF875" s="19"/>
      <c r="AG875" s="19"/>
      <c r="AH875" s="19"/>
      <c r="AI875" s="19"/>
      <c r="AJ875" s="19"/>
      <c r="AK875" s="19"/>
      <c r="AL875" s="19"/>
      <c r="AM875" s="19"/>
      <c r="AN875" s="19"/>
      <c r="AO875" s="19"/>
      <c r="AP875" s="19"/>
      <c r="AQ875" s="19"/>
      <c r="AR875" s="19"/>
      <c r="AS875" s="19"/>
      <c r="AT875" s="19"/>
      <c r="AU875" s="19"/>
      <c r="AV875" s="19"/>
      <c r="AW875" s="19"/>
      <c r="AX875" s="19"/>
      <c r="GA875" s="54"/>
    </row>
    <row r="876" spans="1:183" s="18" customFormat="1">
      <c r="A876" s="51"/>
      <c r="B876" s="52"/>
      <c r="C876" s="52"/>
      <c r="D876" s="52"/>
      <c r="E876" s="53"/>
      <c r="F876" s="52"/>
      <c r="G876" s="52"/>
      <c r="H876" s="52"/>
      <c r="I876" s="53"/>
      <c r="J876" s="52"/>
      <c r="K876" s="52"/>
      <c r="L876" s="52"/>
      <c r="M876" s="52"/>
      <c r="N876" s="19"/>
      <c r="O876" s="19"/>
      <c r="P876" s="19"/>
      <c r="Q876" s="19"/>
      <c r="R876" s="19"/>
      <c r="S876" s="19"/>
      <c r="T876" s="19"/>
      <c r="U876" s="19"/>
      <c r="V876" s="19"/>
      <c r="W876" s="19"/>
      <c r="X876" s="19"/>
      <c r="Y876" s="19"/>
      <c r="Z876" s="19"/>
      <c r="AA876" s="19"/>
      <c r="AB876" s="19"/>
      <c r="AC876" s="19"/>
      <c r="AD876" s="19"/>
      <c r="AE876" s="19"/>
      <c r="AF876" s="19"/>
      <c r="AG876" s="19"/>
      <c r="AH876" s="19"/>
      <c r="AI876" s="19"/>
      <c r="AJ876" s="19"/>
      <c r="AK876" s="19"/>
      <c r="AL876" s="19"/>
      <c r="AM876" s="19"/>
      <c r="AN876" s="19"/>
      <c r="AO876" s="19"/>
      <c r="AP876" s="19"/>
      <c r="AQ876" s="19"/>
      <c r="AR876" s="19"/>
      <c r="AS876" s="19"/>
      <c r="AT876" s="19"/>
      <c r="AU876" s="19"/>
      <c r="AV876" s="19"/>
      <c r="AW876" s="19"/>
      <c r="AX876" s="19"/>
      <c r="GA876" s="54"/>
    </row>
    <row r="877" spans="1:183" s="18" customFormat="1">
      <c r="A877" s="51"/>
      <c r="B877" s="52"/>
      <c r="C877" s="52"/>
      <c r="D877" s="52"/>
      <c r="E877" s="53"/>
      <c r="F877" s="52"/>
      <c r="G877" s="52"/>
      <c r="H877" s="52"/>
      <c r="I877" s="53"/>
      <c r="J877" s="52"/>
      <c r="K877" s="52"/>
      <c r="L877" s="52"/>
      <c r="M877" s="52"/>
      <c r="N877" s="19"/>
      <c r="O877" s="19"/>
      <c r="P877" s="19"/>
      <c r="Q877" s="19"/>
      <c r="R877" s="19"/>
      <c r="S877" s="19"/>
      <c r="T877" s="19"/>
      <c r="U877" s="19"/>
      <c r="V877" s="19"/>
      <c r="W877" s="19"/>
      <c r="X877" s="19"/>
      <c r="Y877" s="19"/>
      <c r="Z877" s="19"/>
      <c r="AA877" s="19"/>
      <c r="AB877" s="19"/>
      <c r="AC877" s="19"/>
      <c r="AD877" s="19"/>
      <c r="AE877" s="19"/>
      <c r="AF877" s="19"/>
      <c r="AG877" s="19"/>
      <c r="AH877" s="19"/>
      <c r="AI877" s="19"/>
      <c r="AJ877" s="19"/>
      <c r="AK877" s="19"/>
      <c r="AL877" s="19"/>
      <c r="AM877" s="19"/>
      <c r="AN877" s="19"/>
      <c r="AO877" s="19"/>
      <c r="AP877" s="19"/>
      <c r="AQ877" s="19"/>
      <c r="AR877" s="19"/>
      <c r="AS877" s="19"/>
      <c r="AT877" s="19"/>
      <c r="AU877" s="19"/>
      <c r="AV877" s="19"/>
      <c r="AW877" s="19"/>
      <c r="AX877" s="19"/>
      <c r="GA877" s="54"/>
    </row>
    <row r="878" spans="1:183" s="18" customFormat="1">
      <c r="A878" s="51"/>
      <c r="B878" s="52"/>
      <c r="C878" s="52"/>
      <c r="D878" s="52"/>
      <c r="E878" s="53"/>
      <c r="F878" s="52"/>
      <c r="G878" s="52"/>
      <c r="H878" s="52"/>
      <c r="I878" s="53"/>
      <c r="J878" s="52"/>
      <c r="K878" s="52"/>
      <c r="L878" s="52"/>
      <c r="M878" s="52"/>
      <c r="N878" s="19"/>
      <c r="O878" s="19"/>
      <c r="P878" s="19"/>
      <c r="Q878" s="19"/>
      <c r="R878" s="19"/>
      <c r="S878" s="19"/>
      <c r="T878" s="19"/>
      <c r="U878" s="19"/>
      <c r="V878" s="19"/>
      <c r="W878" s="19"/>
      <c r="X878" s="19"/>
      <c r="Y878" s="19"/>
      <c r="Z878" s="19"/>
      <c r="AA878" s="19"/>
      <c r="AB878" s="19"/>
      <c r="AC878" s="19"/>
      <c r="AD878" s="19"/>
      <c r="AE878" s="19"/>
      <c r="AF878" s="19"/>
      <c r="AG878" s="19"/>
      <c r="AH878" s="19"/>
      <c r="AI878" s="19"/>
      <c r="AJ878" s="19"/>
      <c r="AK878" s="19"/>
      <c r="AL878" s="19"/>
      <c r="AM878" s="19"/>
      <c r="AN878" s="19"/>
      <c r="AO878" s="19"/>
      <c r="AP878" s="19"/>
      <c r="AQ878" s="19"/>
      <c r="AR878" s="19"/>
      <c r="AS878" s="19"/>
      <c r="AT878" s="19"/>
      <c r="AU878" s="19"/>
      <c r="AV878" s="19"/>
      <c r="AW878" s="19"/>
      <c r="AX878" s="19"/>
      <c r="GA878" s="54"/>
    </row>
    <row r="879" spans="1:183" s="18" customFormat="1">
      <c r="A879" s="51"/>
      <c r="B879" s="52"/>
      <c r="C879" s="52"/>
      <c r="D879" s="52"/>
      <c r="E879" s="53"/>
      <c r="F879" s="52"/>
      <c r="G879" s="52"/>
      <c r="H879" s="52"/>
      <c r="I879" s="53"/>
      <c r="J879" s="52"/>
      <c r="K879" s="52"/>
      <c r="L879" s="52"/>
      <c r="M879" s="52"/>
      <c r="N879" s="19"/>
      <c r="O879" s="19"/>
      <c r="P879" s="19"/>
      <c r="Q879" s="19"/>
      <c r="R879" s="19"/>
      <c r="S879" s="19"/>
      <c r="T879" s="19"/>
      <c r="U879" s="19"/>
      <c r="V879" s="19"/>
      <c r="W879" s="19"/>
      <c r="X879" s="19"/>
      <c r="Y879" s="19"/>
      <c r="Z879" s="19"/>
      <c r="AA879" s="19"/>
      <c r="AB879" s="19"/>
      <c r="AC879" s="19"/>
      <c r="AD879" s="19"/>
      <c r="AE879" s="19"/>
      <c r="AF879" s="19"/>
      <c r="AG879" s="19"/>
      <c r="AH879" s="19"/>
      <c r="AI879" s="19"/>
      <c r="AJ879" s="19"/>
      <c r="AK879" s="19"/>
      <c r="AL879" s="19"/>
      <c r="AM879" s="19"/>
      <c r="AN879" s="19"/>
      <c r="AO879" s="19"/>
      <c r="AP879" s="19"/>
      <c r="AQ879" s="19"/>
      <c r="AR879" s="19"/>
      <c r="AS879" s="19"/>
      <c r="AT879" s="19"/>
      <c r="AU879" s="19"/>
      <c r="AV879" s="19"/>
      <c r="AW879" s="19"/>
      <c r="AX879" s="19"/>
      <c r="GA879" s="54"/>
    </row>
    <row r="880" spans="1:183" s="18" customFormat="1">
      <c r="A880" s="51"/>
      <c r="B880" s="52"/>
      <c r="C880" s="52"/>
      <c r="D880" s="52"/>
      <c r="E880" s="53"/>
      <c r="F880" s="52"/>
      <c r="G880" s="52"/>
      <c r="H880" s="52"/>
      <c r="I880" s="53"/>
      <c r="J880" s="52"/>
      <c r="K880" s="52"/>
      <c r="L880" s="52"/>
      <c r="M880" s="52"/>
      <c r="N880" s="19"/>
      <c r="O880" s="19"/>
      <c r="P880" s="19"/>
      <c r="Q880" s="19"/>
      <c r="R880" s="19"/>
      <c r="S880" s="19"/>
      <c r="T880" s="19"/>
      <c r="U880" s="19"/>
      <c r="V880" s="19"/>
      <c r="W880" s="19"/>
      <c r="X880" s="19"/>
      <c r="Y880" s="19"/>
      <c r="Z880" s="19"/>
      <c r="AA880" s="19"/>
      <c r="AB880" s="19"/>
      <c r="AC880" s="19"/>
      <c r="AD880" s="19"/>
      <c r="AE880" s="19"/>
      <c r="AF880" s="19"/>
      <c r="AG880" s="19"/>
      <c r="AH880" s="19"/>
      <c r="AI880" s="19"/>
      <c r="AJ880" s="19"/>
      <c r="AK880" s="19"/>
      <c r="AL880" s="19"/>
      <c r="AM880" s="19"/>
      <c r="AN880" s="19"/>
      <c r="AO880" s="19"/>
      <c r="AP880" s="19"/>
      <c r="AQ880" s="19"/>
      <c r="AR880" s="19"/>
      <c r="AS880" s="19"/>
      <c r="AT880" s="19"/>
      <c r="AU880" s="19"/>
      <c r="AV880" s="19"/>
      <c r="AW880" s="19"/>
      <c r="AX880" s="19"/>
      <c r="GA880" s="54"/>
    </row>
    <row r="881" spans="1:183" s="18" customFormat="1">
      <c r="A881" s="51"/>
      <c r="B881" s="52"/>
      <c r="C881" s="52"/>
      <c r="D881" s="52"/>
      <c r="E881" s="53"/>
      <c r="F881" s="52"/>
      <c r="G881" s="52"/>
      <c r="H881" s="52"/>
      <c r="I881" s="53"/>
      <c r="J881" s="52"/>
      <c r="K881" s="52"/>
      <c r="L881" s="52"/>
      <c r="M881" s="52"/>
      <c r="N881" s="19"/>
      <c r="O881" s="19"/>
      <c r="P881" s="19"/>
      <c r="Q881" s="19"/>
      <c r="R881" s="19"/>
      <c r="S881" s="19"/>
      <c r="T881" s="19"/>
      <c r="U881" s="19"/>
      <c r="V881" s="19"/>
      <c r="W881" s="19"/>
      <c r="X881" s="19"/>
      <c r="Y881" s="19"/>
      <c r="Z881" s="19"/>
      <c r="AA881" s="19"/>
      <c r="AB881" s="19"/>
      <c r="AC881" s="19"/>
      <c r="AD881" s="19"/>
      <c r="AE881" s="19"/>
      <c r="AF881" s="19"/>
      <c r="AG881" s="19"/>
      <c r="AH881" s="19"/>
      <c r="AI881" s="19"/>
      <c r="AJ881" s="19"/>
      <c r="AK881" s="19"/>
      <c r="AL881" s="19"/>
      <c r="AM881" s="19"/>
      <c r="AN881" s="19"/>
      <c r="AO881" s="19"/>
      <c r="AP881" s="19"/>
      <c r="AQ881" s="19"/>
      <c r="AR881" s="19"/>
      <c r="AS881" s="19"/>
      <c r="AT881" s="19"/>
      <c r="AU881" s="19"/>
      <c r="AV881" s="19"/>
      <c r="AW881" s="19"/>
      <c r="AX881" s="19"/>
      <c r="GA881" s="54"/>
    </row>
    <row r="882" spans="1:183" s="18" customFormat="1">
      <c r="A882" s="51"/>
      <c r="B882" s="52"/>
      <c r="C882" s="52"/>
      <c r="D882" s="52"/>
      <c r="E882" s="53"/>
      <c r="F882" s="52"/>
      <c r="G882" s="52"/>
      <c r="H882" s="52"/>
      <c r="I882" s="53"/>
      <c r="J882" s="52"/>
      <c r="K882" s="52"/>
      <c r="L882" s="52"/>
      <c r="M882" s="52"/>
      <c r="N882" s="19"/>
      <c r="O882" s="19"/>
      <c r="P882" s="19"/>
      <c r="Q882" s="19"/>
      <c r="R882" s="19"/>
      <c r="S882" s="19"/>
      <c r="T882" s="19"/>
      <c r="U882" s="19"/>
      <c r="V882" s="19"/>
      <c r="W882" s="19"/>
      <c r="X882" s="19"/>
      <c r="Y882" s="19"/>
      <c r="Z882" s="19"/>
      <c r="AA882" s="19"/>
      <c r="AB882" s="19"/>
      <c r="AC882" s="19"/>
      <c r="AD882" s="19"/>
      <c r="AE882" s="19"/>
      <c r="AF882" s="19"/>
      <c r="AG882" s="19"/>
      <c r="AH882" s="19"/>
      <c r="AI882" s="19"/>
      <c r="AJ882" s="19"/>
      <c r="AK882" s="19"/>
      <c r="AL882" s="19"/>
      <c r="AM882" s="19"/>
      <c r="AN882" s="19"/>
      <c r="AO882" s="19"/>
      <c r="AP882" s="19"/>
      <c r="AQ882" s="19"/>
      <c r="AR882" s="19"/>
      <c r="AS882" s="19"/>
      <c r="AT882" s="19"/>
      <c r="AU882" s="19"/>
      <c r="AV882" s="19"/>
      <c r="AW882" s="19"/>
      <c r="AX882" s="19"/>
      <c r="GA882" s="54"/>
    </row>
    <row r="883" spans="1:183" s="18" customFormat="1">
      <c r="A883" s="51"/>
      <c r="B883" s="52"/>
      <c r="C883" s="52"/>
      <c r="D883" s="52"/>
      <c r="E883" s="53"/>
      <c r="F883" s="52"/>
      <c r="G883" s="52"/>
      <c r="H883" s="52"/>
      <c r="I883" s="53"/>
      <c r="J883" s="52"/>
      <c r="K883" s="52"/>
      <c r="L883" s="52"/>
      <c r="M883" s="52"/>
      <c r="N883" s="19"/>
      <c r="O883" s="19"/>
      <c r="P883" s="19"/>
      <c r="Q883" s="19"/>
      <c r="R883" s="19"/>
      <c r="S883" s="19"/>
      <c r="T883" s="19"/>
      <c r="U883" s="19"/>
      <c r="V883" s="19"/>
      <c r="W883" s="19"/>
      <c r="X883" s="19"/>
      <c r="Y883" s="19"/>
      <c r="Z883" s="19"/>
      <c r="AA883" s="19"/>
      <c r="AB883" s="19"/>
      <c r="AC883" s="19"/>
      <c r="AD883" s="19"/>
      <c r="AE883" s="19"/>
      <c r="AF883" s="19"/>
      <c r="AG883" s="19"/>
      <c r="AH883" s="19"/>
      <c r="AI883" s="19"/>
      <c r="AJ883" s="19"/>
      <c r="AK883" s="19"/>
      <c r="AL883" s="19"/>
      <c r="AM883" s="19"/>
      <c r="AN883" s="19"/>
      <c r="AO883" s="19"/>
      <c r="AP883" s="19"/>
      <c r="AQ883" s="19"/>
      <c r="AR883" s="19"/>
      <c r="AS883" s="19"/>
      <c r="AT883" s="19"/>
      <c r="AU883" s="19"/>
      <c r="AV883" s="19"/>
      <c r="AW883" s="19"/>
      <c r="AX883" s="19"/>
      <c r="GA883" s="54"/>
    </row>
    <row r="884" spans="1:183" s="18" customFormat="1">
      <c r="A884" s="51"/>
      <c r="B884" s="52"/>
      <c r="C884" s="52"/>
      <c r="D884" s="52"/>
      <c r="E884" s="53"/>
      <c r="F884" s="52"/>
      <c r="G884" s="52"/>
      <c r="H884" s="52"/>
      <c r="I884" s="53"/>
      <c r="J884" s="52"/>
      <c r="K884" s="52"/>
      <c r="L884" s="52"/>
      <c r="M884" s="52"/>
      <c r="N884" s="19"/>
      <c r="O884" s="19"/>
      <c r="P884" s="19"/>
      <c r="Q884" s="19"/>
      <c r="R884" s="19"/>
      <c r="S884" s="19"/>
      <c r="T884" s="19"/>
      <c r="U884" s="19"/>
      <c r="V884" s="19"/>
      <c r="W884" s="19"/>
      <c r="X884" s="19"/>
      <c r="Y884" s="19"/>
      <c r="Z884" s="19"/>
      <c r="AA884" s="19"/>
      <c r="AB884" s="19"/>
      <c r="AC884" s="19"/>
      <c r="AD884" s="19"/>
      <c r="AE884" s="19"/>
      <c r="AF884" s="19"/>
      <c r="AG884" s="19"/>
      <c r="AH884" s="19"/>
      <c r="AI884" s="19"/>
      <c r="AJ884" s="19"/>
      <c r="AK884" s="19"/>
      <c r="AL884" s="19"/>
      <c r="AM884" s="19"/>
      <c r="AN884" s="19"/>
      <c r="AO884" s="19"/>
      <c r="AP884" s="19"/>
      <c r="AQ884" s="19"/>
      <c r="AR884" s="19"/>
      <c r="AS884" s="19"/>
      <c r="AT884" s="19"/>
      <c r="AU884" s="19"/>
      <c r="AV884" s="19"/>
      <c r="AW884" s="19"/>
      <c r="AX884" s="19"/>
      <c r="GA884" s="54"/>
    </row>
    <row r="885" spans="1:183" s="18" customFormat="1">
      <c r="A885" s="51"/>
      <c r="B885" s="52"/>
      <c r="C885" s="52"/>
      <c r="D885" s="52"/>
      <c r="E885" s="53"/>
      <c r="F885" s="52"/>
      <c r="G885" s="52"/>
      <c r="H885" s="52"/>
      <c r="I885" s="53"/>
      <c r="J885" s="52"/>
      <c r="K885" s="52"/>
      <c r="L885" s="52"/>
      <c r="M885" s="52"/>
      <c r="N885" s="19"/>
      <c r="O885" s="19"/>
      <c r="P885" s="19"/>
      <c r="Q885" s="19"/>
      <c r="R885" s="19"/>
      <c r="S885" s="19"/>
      <c r="T885" s="19"/>
      <c r="U885" s="19"/>
      <c r="V885" s="19"/>
      <c r="W885" s="19"/>
      <c r="X885" s="19"/>
      <c r="Y885" s="19"/>
      <c r="Z885" s="19"/>
      <c r="AA885" s="19"/>
      <c r="AB885" s="19"/>
      <c r="AC885" s="19"/>
      <c r="AD885" s="19"/>
      <c r="AE885" s="19"/>
      <c r="AF885" s="19"/>
      <c r="AG885" s="19"/>
      <c r="AH885" s="19"/>
      <c r="AI885" s="19"/>
      <c r="AJ885" s="19"/>
      <c r="AK885" s="19"/>
      <c r="AL885" s="19"/>
      <c r="AM885" s="19"/>
      <c r="AN885" s="19"/>
      <c r="AO885" s="19"/>
      <c r="AP885" s="19"/>
      <c r="AQ885" s="19"/>
      <c r="AR885" s="19"/>
      <c r="AS885" s="19"/>
      <c r="AT885" s="19"/>
      <c r="AU885" s="19"/>
      <c r="AV885" s="19"/>
      <c r="AW885" s="19"/>
      <c r="AX885" s="19"/>
      <c r="GA885" s="54"/>
    </row>
    <row r="886" spans="1:183" s="18" customFormat="1">
      <c r="A886" s="51"/>
      <c r="B886" s="52"/>
      <c r="C886" s="52"/>
      <c r="D886" s="52"/>
      <c r="E886" s="53"/>
      <c r="F886" s="52"/>
      <c r="G886" s="52"/>
      <c r="H886" s="52"/>
      <c r="I886" s="53"/>
      <c r="J886" s="52"/>
      <c r="K886" s="52"/>
      <c r="L886" s="52"/>
      <c r="M886" s="52"/>
      <c r="N886" s="19"/>
      <c r="O886" s="19"/>
      <c r="P886" s="19"/>
      <c r="Q886" s="19"/>
      <c r="R886" s="19"/>
      <c r="S886" s="19"/>
      <c r="T886" s="19"/>
      <c r="U886" s="19"/>
      <c r="V886" s="19"/>
      <c r="W886" s="19"/>
      <c r="X886" s="19"/>
      <c r="Y886" s="19"/>
      <c r="Z886" s="19"/>
      <c r="AA886" s="19"/>
      <c r="AB886" s="19"/>
      <c r="AC886" s="19"/>
      <c r="AD886" s="19"/>
      <c r="AE886" s="19"/>
      <c r="AF886" s="19"/>
      <c r="AG886" s="19"/>
      <c r="AH886" s="19"/>
      <c r="AI886" s="19"/>
      <c r="AJ886" s="19"/>
      <c r="AK886" s="19"/>
      <c r="AL886" s="19"/>
      <c r="AM886" s="19"/>
      <c r="AN886" s="19"/>
      <c r="AO886" s="19"/>
      <c r="AP886" s="19"/>
      <c r="AQ886" s="19"/>
      <c r="AR886" s="19"/>
      <c r="AS886" s="19"/>
      <c r="AT886" s="19"/>
      <c r="AU886" s="19"/>
      <c r="AV886" s="19"/>
      <c r="AW886" s="19"/>
      <c r="AX886" s="19"/>
      <c r="GA886" s="54"/>
    </row>
    <row r="887" spans="1:183" s="18" customFormat="1">
      <c r="A887" s="51"/>
      <c r="B887" s="52"/>
      <c r="C887" s="52"/>
      <c r="D887" s="52"/>
      <c r="E887" s="53"/>
      <c r="F887" s="52"/>
      <c r="G887" s="52"/>
      <c r="H887" s="52"/>
      <c r="I887" s="53"/>
      <c r="J887" s="52"/>
      <c r="K887" s="52"/>
      <c r="L887" s="52"/>
      <c r="M887" s="52"/>
      <c r="N887" s="19"/>
      <c r="O887" s="19"/>
      <c r="P887" s="19"/>
      <c r="Q887" s="19"/>
      <c r="R887" s="19"/>
      <c r="S887" s="19"/>
      <c r="T887" s="19"/>
      <c r="U887" s="19"/>
      <c r="V887" s="19"/>
      <c r="W887" s="19"/>
      <c r="X887" s="19"/>
      <c r="Y887" s="19"/>
      <c r="Z887" s="19"/>
      <c r="AA887" s="19"/>
      <c r="AB887" s="19"/>
      <c r="AC887" s="19"/>
      <c r="AD887" s="19"/>
      <c r="AE887" s="19"/>
      <c r="AF887" s="19"/>
      <c r="AG887" s="19"/>
      <c r="AH887" s="19"/>
      <c r="AI887" s="19"/>
      <c r="AJ887" s="19"/>
      <c r="AK887" s="19"/>
      <c r="AL887" s="19"/>
      <c r="AM887" s="19"/>
      <c r="AN887" s="19"/>
      <c r="AO887" s="19"/>
      <c r="AP887" s="19"/>
      <c r="AQ887" s="19"/>
      <c r="AR887" s="19"/>
      <c r="AS887" s="19"/>
      <c r="AT887" s="19"/>
      <c r="AU887" s="19"/>
      <c r="AV887" s="19"/>
      <c r="AW887" s="19"/>
      <c r="AX887" s="19"/>
      <c r="GA887" s="54"/>
    </row>
    <row r="888" spans="1:183" s="18" customFormat="1">
      <c r="A888" s="51"/>
      <c r="B888" s="52"/>
      <c r="C888" s="52"/>
      <c r="D888" s="52"/>
      <c r="E888" s="53"/>
      <c r="F888" s="52"/>
      <c r="G888" s="52"/>
      <c r="H888" s="52"/>
      <c r="I888" s="53"/>
      <c r="J888" s="52"/>
      <c r="K888" s="52"/>
      <c r="L888" s="52"/>
      <c r="M888" s="52"/>
      <c r="N888" s="19"/>
      <c r="O888" s="19"/>
      <c r="P888" s="19"/>
      <c r="Q888" s="19"/>
      <c r="R888" s="19"/>
      <c r="S888" s="19"/>
      <c r="T888" s="19"/>
      <c r="U888" s="19"/>
      <c r="V888" s="19"/>
      <c r="W888" s="19"/>
      <c r="X888" s="19"/>
      <c r="Y888" s="19"/>
      <c r="Z888" s="19"/>
      <c r="AA888" s="19"/>
      <c r="AB888" s="19"/>
      <c r="AC888" s="19"/>
      <c r="AD888" s="19"/>
      <c r="AE888" s="19"/>
      <c r="AF888" s="19"/>
      <c r="AG888" s="19"/>
      <c r="AH888" s="19"/>
      <c r="AI888" s="19"/>
      <c r="AJ888" s="19"/>
      <c r="AK888" s="19"/>
      <c r="AL888" s="19"/>
      <c r="AM888" s="19"/>
      <c r="AN888" s="19"/>
      <c r="AO888" s="19"/>
      <c r="AP888" s="19"/>
      <c r="AQ888" s="19"/>
      <c r="AR888" s="19"/>
      <c r="AS888" s="19"/>
      <c r="AT888" s="19"/>
      <c r="AU888" s="19"/>
      <c r="AV888" s="19"/>
      <c r="AW888" s="19"/>
      <c r="AX888" s="19"/>
      <c r="GA888" s="54"/>
    </row>
    <row r="889" spans="1:183" s="18" customFormat="1">
      <c r="A889" s="51"/>
      <c r="B889" s="52"/>
      <c r="C889" s="52"/>
      <c r="D889" s="52"/>
      <c r="E889" s="53"/>
      <c r="F889" s="52"/>
      <c r="G889" s="52"/>
      <c r="H889" s="52"/>
      <c r="I889" s="53"/>
      <c r="J889" s="52"/>
      <c r="K889" s="52"/>
      <c r="L889" s="52"/>
      <c r="M889" s="52"/>
      <c r="N889" s="19"/>
      <c r="O889" s="19"/>
      <c r="P889" s="19"/>
      <c r="Q889" s="19"/>
      <c r="R889" s="19"/>
      <c r="S889" s="19"/>
      <c r="T889" s="19"/>
      <c r="U889" s="19"/>
      <c r="V889" s="19"/>
      <c r="W889" s="19"/>
      <c r="X889" s="19"/>
      <c r="Y889" s="19"/>
      <c r="Z889" s="19"/>
      <c r="AA889" s="19"/>
      <c r="AB889" s="19"/>
      <c r="AC889" s="19"/>
      <c r="AD889" s="19"/>
      <c r="AE889" s="19"/>
      <c r="AF889" s="19"/>
      <c r="AG889" s="19"/>
      <c r="AH889" s="19"/>
      <c r="AI889" s="19"/>
      <c r="AJ889" s="19"/>
      <c r="AK889" s="19"/>
      <c r="AL889" s="19"/>
      <c r="AM889" s="19"/>
      <c r="AN889" s="19"/>
      <c r="AO889" s="19"/>
      <c r="AP889" s="19"/>
      <c r="AQ889" s="19"/>
      <c r="AR889" s="19"/>
      <c r="AS889" s="19"/>
      <c r="AT889" s="19"/>
      <c r="AU889" s="19"/>
      <c r="AV889" s="19"/>
      <c r="AW889" s="19"/>
      <c r="AX889" s="19"/>
      <c r="GA889" s="54"/>
    </row>
    <row r="890" spans="1:183" s="18" customFormat="1">
      <c r="A890" s="51"/>
      <c r="B890" s="52"/>
      <c r="C890" s="52"/>
      <c r="D890" s="52"/>
      <c r="E890" s="53"/>
      <c r="F890" s="52"/>
      <c r="G890" s="52"/>
      <c r="H890" s="52"/>
      <c r="I890" s="53"/>
      <c r="J890" s="52"/>
      <c r="K890" s="52"/>
      <c r="L890" s="52"/>
      <c r="M890" s="52"/>
      <c r="N890" s="19"/>
      <c r="O890" s="19"/>
      <c r="P890" s="19"/>
      <c r="Q890" s="19"/>
      <c r="R890" s="19"/>
      <c r="S890" s="19"/>
      <c r="T890" s="19"/>
      <c r="U890" s="19"/>
      <c r="V890" s="19"/>
      <c r="W890" s="19"/>
      <c r="X890" s="19"/>
      <c r="Y890" s="19"/>
      <c r="Z890" s="19"/>
      <c r="AA890" s="19"/>
      <c r="AB890" s="19"/>
      <c r="AC890" s="19"/>
      <c r="AD890" s="19"/>
      <c r="AE890" s="19"/>
      <c r="AF890" s="19"/>
      <c r="AG890" s="19"/>
      <c r="AH890" s="19"/>
      <c r="AI890" s="19"/>
      <c r="AJ890" s="19"/>
      <c r="AK890" s="19"/>
      <c r="AL890" s="19"/>
      <c r="AM890" s="19"/>
      <c r="AN890" s="19"/>
      <c r="AO890" s="19"/>
      <c r="AP890" s="19"/>
      <c r="AQ890" s="19"/>
      <c r="AR890" s="19"/>
      <c r="AS890" s="19"/>
      <c r="AT890" s="19"/>
      <c r="AU890" s="19"/>
      <c r="AV890" s="19"/>
      <c r="AW890" s="19"/>
      <c r="AX890" s="19"/>
      <c r="GA890" s="54"/>
    </row>
    <row r="891" spans="1:183" s="18" customFormat="1">
      <c r="A891" s="51"/>
      <c r="B891" s="52"/>
      <c r="C891" s="52"/>
      <c r="D891" s="52"/>
      <c r="E891" s="53"/>
      <c r="F891" s="52"/>
      <c r="G891" s="52"/>
      <c r="H891" s="52"/>
      <c r="I891" s="53"/>
      <c r="J891" s="52"/>
      <c r="K891" s="52"/>
      <c r="L891" s="52"/>
      <c r="M891" s="52"/>
      <c r="N891" s="19"/>
      <c r="O891" s="19"/>
      <c r="P891" s="19"/>
      <c r="Q891" s="19"/>
      <c r="R891" s="19"/>
      <c r="S891" s="19"/>
      <c r="T891" s="19"/>
      <c r="U891" s="19"/>
      <c r="V891" s="19"/>
      <c r="W891" s="19"/>
      <c r="X891" s="19"/>
      <c r="Y891" s="19"/>
      <c r="Z891" s="19"/>
      <c r="AA891" s="19"/>
      <c r="AB891" s="19"/>
      <c r="AC891" s="19"/>
      <c r="AD891" s="19"/>
      <c r="AE891" s="19"/>
      <c r="AF891" s="19"/>
      <c r="AG891" s="19"/>
      <c r="AH891" s="19"/>
      <c r="AI891" s="19"/>
      <c r="AJ891" s="19"/>
      <c r="AK891" s="19"/>
      <c r="AL891" s="19"/>
      <c r="AM891" s="19"/>
      <c r="AN891" s="19"/>
      <c r="AO891" s="19"/>
      <c r="AP891" s="19"/>
      <c r="AQ891" s="19"/>
      <c r="AR891" s="19"/>
      <c r="AS891" s="19"/>
      <c r="AT891" s="19"/>
      <c r="AU891" s="19"/>
      <c r="AV891" s="19"/>
      <c r="AW891" s="19"/>
      <c r="AX891" s="19"/>
      <c r="GA891" s="54"/>
    </row>
    <row r="892" spans="1:183" s="18" customFormat="1">
      <c r="A892" s="51"/>
      <c r="B892" s="52"/>
      <c r="C892" s="52"/>
      <c r="D892" s="52"/>
      <c r="E892" s="53"/>
      <c r="F892" s="52"/>
      <c r="G892" s="52"/>
      <c r="H892" s="52"/>
      <c r="I892" s="53"/>
      <c r="J892" s="52"/>
      <c r="K892" s="52"/>
      <c r="L892" s="52"/>
      <c r="M892" s="52"/>
      <c r="N892" s="19"/>
      <c r="O892" s="19"/>
      <c r="P892" s="19"/>
      <c r="Q892" s="19"/>
      <c r="R892" s="19"/>
      <c r="S892" s="19"/>
      <c r="T892" s="19"/>
      <c r="U892" s="19"/>
      <c r="V892" s="19"/>
      <c r="W892" s="19"/>
      <c r="X892" s="19"/>
      <c r="Y892" s="19"/>
      <c r="Z892" s="19"/>
      <c r="AA892" s="19"/>
      <c r="AB892" s="19"/>
      <c r="AC892" s="19"/>
      <c r="AD892" s="19"/>
      <c r="AE892" s="19"/>
      <c r="AF892" s="19"/>
      <c r="AG892" s="19"/>
      <c r="AH892" s="19"/>
      <c r="AI892" s="19"/>
      <c r="AJ892" s="19"/>
      <c r="AK892" s="19"/>
      <c r="AL892" s="19"/>
      <c r="AM892" s="19"/>
      <c r="AN892" s="19"/>
      <c r="AO892" s="19"/>
      <c r="AP892" s="19"/>
      <c r="AQ892" s="19"/>
      <c r="AR892" s="19"/>
      <c r="AS892" s="19"/>
      <c r="AT892" s="19"/>
      <c r="AU892" s="19"/>
      <c r="AV892" s="19"/>
      <c r="AW892" s="19"/>
      <c r="AX892" s="19"/>
      <c r="GA892" s="54"/>
    </row>
    <row r="893" spans="1:183" s="18" customFormat="1">
      <c r="A893" s="51"/>
      <c r="B893" s="52"/>
      <c r="C893" s="52"/>
      <c r="D893" s="52"/>
      <c r="E893" s="53"/>
      <c r="F893" s="52"/>
      <c r="G893" s="52"/>
      <c r="H893" s="52"/>
      <c r="I893" s="53"/>
      <c r="J893" s="52"/>
      <c r="K893" s="52"/>
      <c r="L893" s="52"/>
      <c r="M893" s="52"/>
      <c r="N893" s="19"/>
      <c r="O893" s="19"/>
      <c r="P893" s="19"/>
      <c r="Q893" s="19"/>
      <c r="R893" s="19"/>
      <c r="S893" s="19"/>
      <c r="T893" s="19"/>
      <c r="U893" s="19"/>
      <c r="V893" s="19"/>
      <c r="W893" s="19"/>
      <c r="X893" s="19"/>
      <c r="Y893" s="19"/>
      <c r="Z893" s="19"/>
      <c r="AA893" s="19"/>
      <c r="AB893" s="19"/>
      <c r="AC893" s="19"/>
      <c r="AD893" s="19"/>
      <c r="AE893" s="19"/>
      <c r="AF893" s="19"/>
      <c r="AG893" s="19"/>
      <c r="AH893" s="19"/>
      <c r="AI893" s="19"/>
      <c r="AJ893" s="19"/>
      <c r="AK893" s="19"/>
      <c r="AL893" s="19"/>
      <c r="AM893" s="19"/>
      <c r="AN893" s="19"/>
      <c r="AO893" s="19"/>
      <c r="AP893" s="19"/>
      <c r="AQ893" s="19"/>
      <c r="AR893" s="19"/>
      <c r="AS893" s="19"/>
      <c r="AT893" s="19"/>
      <c r="AU893" s="19"/>
      <c r="AV893" s="19"/>
      <c r="AW893" s="19"/>
      <c r="AX893" s="19"/>
      <c r="GA893" s="54"/>
    </row>
    <row r="894" spans="1:183" s="18" customFormat="1">
      <c r="A894" s="51"/>
      <c r="B894" s="52"/>
      <c r="C894" s="52"/>
      <c r="D894" s="52"/>
      <c r="E894" s="53"/>
      <c r="F894" s="52"/>
      <c r="G894" s="52"/>
      <c r="H894" s="52"/>
      <c r="I894" s="53"/>
      <c r="J894" s="52"/>
      <c r="K894" s="52"/>
      <c r="L894" s="52"/>
      <c r="M894" s="52"/>
      <c r="N894" s="19"/>
      <c r="O894" s="19"/>
      <c r="P894" s="19"/>
      <c r="Q894" s="19"/>
      <c r="R894" s="19"/>
      <c r="S894" s="19"/>
      <c r="T894" s="19"/>
      <c r="U894" s="19"/>
      <c r="V894" s="19"/>
      <c r="W894" s="19"/>
      <c r="X894" s="19"/>
      <c r="Y894" s="19"/>
      <c r="Z894" s="19"/>
      <c r="AA894" s="19"/>
      <c r="AB894" s="19"/>
      <c r="AC894" s="19"/>
      <c r="AD894" s="19"/>
      <c r="AE894" s="19"/>
      <c r="AF894" s="19"/>
      <c r="AG894" s="19"/>
      <c r="AH894" s="19"/>
      <c r="AI894" s="19"/>
      <c r="AJ894" s="19"/>
      <c r="AK894" s="19"/>
      <c r="AL894" s="19"/>
      <c r="AM894" s="19"/>
      <c r="AN894" s="19"/>
      <c r="AO894" s="19"/>
      <c r="AP894" s="19"/>
      <c r="AQ894" s="19"/>
      <c r="AR894" s="19"/>
      <c r="AS894" s="19"/>
      <c r="AT894" s="19"/>
      <c r="AU894" s="19"/>
      <c r="AV894" s="19"/>
      <c r="AW894" s="19"/>
      <c r="AX894" s="19"/>
      <c r="GA894" s="54"/>
    </row>
    <row r="895" spans="1:183" s="18" customFormat="1">
      <c r="A895" s="51"/>
      <c r="B895" s="52"/>
      <c r="C895" s="52"/>
      <c r="D895" s="52"/>
      <c r="E895" s="53"/>
      <c r="F895" s="52"/>
      <c r="G895" s="52"/>
      <c r="H895" s="52"/>
      <c r="I895" s="53"/>
      <c r="J895" s="52"/>
      <c r="K895" s="52"/>
      <c r="L895" s="52"/>
      <c r="M895" s="52"/>
      <c r="N895" s="19"/>
      <c r="O895" s="19"/>
      <c r="P895" s="19"/>
      <c r="Q895" s="19"/>
      <c r="R895" s="19"/>
      <c r="S895" s="19"/>
      <c r="T895" s="19"/>
      <c r="U895" s="19"/>
      <c r="V895" s="19"/>
      <c r="W895" s="19"/>
      <c r="X895" s="19"/>
      <c r="Y895" s="19"/>
      <c r="Z895" s="19"/>
      <c r="AA895" s="19"/>
      <c r="AB895" s="19"/>
      <c r="AC895" s="19"/>
      <c r="AD895" s="19"/>
      <c r="AE895" s="19"/>
      <c r="AF895" s="19"/>
      <c r="AG895" s="19"/>
      <c r="AH895" s="19"/>
      <c r="AI895" s="19"/>
      <c r="AJ895" s="19"/>
      <c r="AK895" s="19"/>
      <c r="AL895" s="19"/>
      <c r="AM895" s="19"/>
      <c r="AN895" s="19"/>
      <c r="AO895" s="19"/>
      <c r="AP895" s="19"/>
      <c r="AQ895" s="19"/>
      <c r="AR895" s="19"/>
      <c r="AS895" s="19"/>
      <c r="AT895" s="19"/>
      <c r="AU895" s="19"/>
      <c r="AV895" s="19"/>
      <c r="AW895" s="19"/>
      <c r="AX895" s="19"/>
      <c r="GA895" s="54"/>
    </row>
    <row r="896" spans="1:183" s="18" customFormat="1">
      <c r="A896" s="51"/>
      <c r="B896" s="52"/>
      <c r="C896" s="52"/>
      <c r="D896" s="52"/>
      <c r="E896" s="53"/>
      <c r="F896" s="52"/>
      <c r="G896" s="52"/>
      <c r="H896" s="52"/>
      <c r="I896" s="53"/>
      <c r="J896" s="52"/>
      <c r="K896" s="52"/>
      <c r="L896" s="52"/>
      <c r="M896" s="52"/>
      <c r="N896" s="19"/>
      <c r="O896" s="19"/>
      <c r="P896" s="19"/>
      <c r="Q896" s="19"/>
      <c r="R896" s="19"/>
      <c r="S896" s="19"/>
      <c r="T896" s="19"/>
      <c r="U896" s="19"/>
      <c r="V896" s="19"/>
      <c r="W896" s="19"/>
      <c r="X896" s="19"/>
      <c r="Y896" s="19"/>
      <c r="Z896" s="19"/>
      <c r="AA896" s="19"/>
      <c r="AB896" s="19"/>
      <c r="AC896" s="19"/>
      <c r="AD896" s="19"/>
      <c r="AE896" s="19"/>
      <c r="AF896" s="19"/>
      <c r="AG896" s="19"/>
      <c r="AH896" s="19"/>
      <c r="AI896" s="19"/>
      <c r="AJ896" s="19"/>
      <c r="AK896" s="19"/>
      <c r="AL896" s="19"/>
      <c r="AM896" s="19"/>
      <c r="AN896" s="19"/>
      <c r="AO896" s="19"/>
      <c r="AP896" s="19"/>
      <c r="AQ896" s="19"/>
      <c r="AR896" s="19"/>
      <c r="AS896" s="19"/>
      <c r="AT896" s="19"/>
      <c r="AU896" s="19"/>
      <c r="AV896" s="19"/>
      <c r="AW896" s="19"/>
      <c r="AX896" s="19"/>
      <c r="GA896" s="54"/>
    </row>
    <row r="897" spans="1:183" s="18" customFormat="1">
      <c r="A897" s="51"/>
      <c r="B897" s="52"/>
      <c r="C897" s="52"/>
      <c r="D897" s="52"/>
      <c r="E897" s="53"/>
      <c r="F897" s="52"/>
      <c r="G897" s="52"/>
      <c r="H897" s="52"/>
      <c r="I897" s="53"/>
      <c r="J897" s="52"/>
      <c r="K897" s="52"/>
      <c r="L897" s="52"/>
      <c r="M897" s="52"/>
      <c r="N897" s="19"/>
      <c r="O897" s="19"/>
      <c r="P897" s="19"/>
      <c r="Q897" s="19"/>
      <c r="R897" s="19"/>
      <c r="S897" s="19"/>
      <c r="T897" s="19"/>
      <c r="U897" s="19"/>
      <c r="V897" s="19"/>
      <c r="W897" s="19"/>
      <c r="X897" s="19"/>
      <c r="Y897" s="19"/>
      <c r="Z897" s="19"/>
      <c r="AA897" s="19"/>
      <c r="AB897" s="19"/>
      <c r="AC897" s="19"/>
      <c r="AD897" s="19"/>
      <c r="AE897" s="19"/>
      <c r="AF897" s="19"/>
      <c r="AG897" s="19"/>
      <c r="AH897" s="19"/>
      <c r="AI897" s="19"/>
      <c r="AJ897" s="19"/>
      <c r="AK897" s="19"/>
      <c r="AL897" s="19"/>
      <c r="AM897" s="19"/>
      <c r="AN897" s="19"/>
      <c r="AO897" s="19"/>
      <c r="AP897" s="19"/>
      <c r="AQ897" s="19"/>
      <c r="AR897" s="19"/>
      <c r="AS897" s="19"/>
      <c r="AT897" s="19"/>
      <c r="AU897" s="19"/>
      <c r="AV897" s="19"/>
      <c r="AW897" s="19"/>
      <c r="AX897" s="19"/>
      <c r="GA897" s="54"/>
    </row>
    <row r="898" spans="1:183" s="18" customFormat="1">
      <c r="A898" s="51"/>
      <c r="B898" s="52"/>
      <c r="C898" s="52"/>
      <c r="D898" s="52"/>
      <c r="E898" s="53"/>
      <c r="F898" s="52"/>
      <c r="G898" s="52"/>
      <c r="H898" s="52"/>
      <c r="I898" s="53"/>
      <c r="J898" s="52"/>
      <c r="K898" s="52"/>
      <c r="L898" s="52"/>
      <c r="M898" s="52"/>
      <c r="N898" s="19"/>
      <c r="O898" s="19"/>
      <c r="P898" s="19"/>
      <c r="Q898" s="19"/>
      <c r="R898" s="19"/>
      <c r="S898" s="19"/>
      <c r="T898" s="19"/>
      <c r="U898" s="19"/>
      <c r="V898" s="19"/>
      <c r="W898" s="19"/>
      <c r="X898" s="19"/>
      <c r="Y898" s="19"/>
      <c r="Z898" s="19"/>
      <c r="AA898" s="19"/>
      <c r="AB898" s="19"/>
      <c r="AC898" s="19"/>
      <c r="AD898" s="19"/>
      <c r="AE898" s="19"/>
      <c r="AF898" s="19"/>
      <c r="AG898" s="19"/>
      <c r="AH898" s="19"/>
      <c r="AI898" s="19"/>
      <c r="AJ898" s="19"/>
      <c r="AK898" s="19"/>
      <c r="AL898" s="19"/>
      <c r="AM898" s="19"/>
      <c r="AN898" s="19"/>
      <c r="AO898" s="19"/>
      <c r="AP898" s="19"/>
      <c r="AQ898" s="19"/>
      <c r="AR898" s="19"/>
      <c r="AS898" s="19"/>
      <c r="AT898" s="19"/>
      <c r="AU898" s="19"/>
      <c r="AV898" s="19"/>
      <c r="AW898" s="19"/>
      <c r="AX898" s="19"/>
      <c r="GA898" s="54"/>
    </row>
    <row r="899" spans="1:183" s="18" customFormat="1">
      <c r="A899" s="51"/>
      <c r="B899" s="52"/>
      <c r="C899" s="52"/>
      <c r="D899" s="52"/>
      <c r="E899" s="53"/>
      <c r="F899" s="52"/>
      <c r="G899" s="52"/>
      <c r="H899" s="52"/>
      <c r="I899" s="53"/>
      <c r="J899" s="52"/>
      <c r="K899" s="52"/>
      <c r="L899" s="52"/>
      <c r="M899" s="52"/>
      <c r="N899" s="19"/>
      <c r="O899" s="19"/>
      <c r="P899" s="19"/>
      <c r="Q899" s="19"/>
      <c r="R899" s="19"/>
      <c r="S899" s="19"/>
      <c r="T899" s="19"/>
      <c r="U899" s="19"/>
      <c r="V899" s="19"/>
      <c r="W899" s="19"/>
      <c r="X899" s="19"/>
      <c r="Y899" s="19"/>
      <c r="Z899" s="19"/>
      <c r="AA899" s="19"/>
      <c r="AB899" s="19"/>
      <c r="AC899" s="19"/>
      <c r="AD899" s="19"/>
      <c r="AE899" s="19"/>
      <c r="AF899" s="19"/>
      <c r="AG899" s="19"/>
      <c r="AH899" s="19"/>
      <c r="AI899" s="19"/>
      <c r="AJ899" s="19"/>
      <c r="AK899" s="19"/>
      <c r="AL899" s="19"/>
      <c r="AM899" s="19"/>
      <c r="AN899" s="19"/>
      <c r="AO899" s="19"/>
      <c r="AP899" s="19"/>
      <c r="AQ899" s="19"/>
      <c r="AR899" s="19"/>
      <c r="AS899" s="19"/>
      <c r="AT899" s="19"/>
      <c r="AU899" s="19"/>
      <c r="AV899" s="19"/>
      <c r="AW899" s="19"/>
      <c r="AX899" s="19"/>
      <c r="GA899" s="54"/>
    </row>
    <row r="900" spans="1:183" s="18" customFormat="1">
      <c r="A900" s="51"/>
      <c r="B900" s="52"/>
      <c r="C900" s="52"/>
      <c r="D900" s="52"/>
      <c r="E900" s="53"/>
      <c r="F900" s="52"/>
      <c r="G900" s="52"/>
      <c r="H900" s="52"/>
      <c r="I900" s="53"/>
      <c r="J900" s="52"/>
      <c r="K900" s="52"/>
      <c r="L900" s="52"/>
      <c r="M900" s="52"/>
      <c r="N900" s="19"/>
      <c r="O900" s="19"/>
      <c r="P900" s="19"/>
      <c r="Q900" s="19"/>
      <c r="R900" s="19"/>
      <c r="S900" s="19"/>
      <c r="T900" s="19"/>
      <c r="U900" s="19"/>
      <c r="V900" s="19"/>
      <c r="W900" s="19"/>
      <c r="X900" s="19"/>
      <c r="Y900" s="19"/>
      <c r="Z900" s="19"/>
      <c r="AA900" s="19"/>
      <c r="AB900" s="19"/>
      <c r="AC900" s="19"/>
      <c r="AD900" s="19"/>
      <c r="AE900" s="19"/>
      <c r="AF900" s="19"/>
      <c r="AG900" s="19"/>
      <c r="AH900" s="19"/>
      <c r="AI900" s="19"/>
      <c r="AJ900" s="19"/>
      <c r="AK900" s="19"/>
      <c r="AL900" s="19"/>
      <c r="AM900" s="19"/>
      <c r="AN900" s="19"/>
      <c r="AO900" s="19"/>
      <c r="AP900" s="19"/>
      <c r="AQ900" s="19"/>
      <c r="AR900" s="19"/>
      <c r="AS900" s="19"/>
      <c r="AT900" s="19"/>
      <c r="AU900" s="19"/>
      <c r="AV900" s="19"/>
      <c r="AW900" s="19"/>
      <c r="AX900" s="19"/>
      <c r="GA900" s="54"/>
    </row>
    <row r="901" spans="1:183" s="18" customFormat="1">
      <c r="A901" s="51"/>
      <c r="B901" s="52"/>
      <c r="C901" s="52"/>
      <c r="D901" s="52"/>
      <c r="E901" s="53"/>
      <c r="F901" s="52"/>
      <c r="G901" s="52"/>
      <c r="H901" s="52"/>
      <c r="I901" s="53"/>
      <c r="J901" s="52"/>
      <c r="K901" s="52"/>
      <c r="L901" s="52"/>
      <c r="M901" s="52"/>
      <c r="N901" s="19"/>
      <c r="O901" s="19"/>
      <c r="P901" s="19"/>
      <c r="Q901" s="19"/>
      <c r="R901" s="19"/>
      <c r="S901" s="19"/>
      <c r="T901" s="19"/>
      <c r="U901" s="19"/>
      <c r="V901" s="19"/>
      <c r="W901" s="19"/>
      <c r="X901" s="19"/>
      <c r="Y901" s="19"/>
      <c r="Z901" s="19"/>
      <c r="AA901" s="19"/>
      <c r="AB901" s="19"/>
      <c r="AC901" s="19"/>
      <c r="AD901" s="19"/>
      <c r="AE901" s="19"/>
      <c r="AF901" s="19"/>
      <c r="AG901" s="19"/>
      <c r="AH901" s="19"/>
      <c r="AI901" s="19"/>
      <c r="AJ901" s="19"/>
      <c r="AK901" s="19"/>
      <c r="AL901" s="19"/>
      <c r="AM901" s="19"/>
      <c r="AN901" s="19"/>
      <c r="AO901" s="19"/>
      <c r="AP901" s="19"/>
      <c r="AQ901" s="19"/>
      <c r="AR901" s="19"/>
      <c r="AS901" s="19"/>
      <c r="AT901" s="19"/>
      <c r="AU901" s="19"/>
      <c r="AV901" s="19"/>
      <c r="AW901" s="19"/>
      <c r="AX901" s="19"/>
      <c r="GA901" s="54"/>
    </row>
    <row r="902" spans="1:183" s="18" customFormat="1">
      <c r="A902" s="51"/>
      <c r="B902" s="52"/>
      <c r="C902" s="52"/>
      <c r="D902" s="52"/>
      <c r="E902" s="53"/>
      <c r="F902" s="52"/>
      <c r="G902" s="52"/>
      <c r="H902" s="52"/>
      <c r="I902" s="53"/>
      <c r="J902" s="52"/>
      <c r="K902" s="52"/>
      <c r="L902" s="52"/>
      <c r="M902" s="52"/>
      <c r="N902" s="19"/>
      <c r="O902" s="19"/>
      <c r="P902" s="19"/>
      <c r="Q902" s="19"/>
      <c r="R902" s="19"/>
      <c r="S902" s="19"/>
      <c r="T902" s="19"/>
      <c r="U902" s="19"/>
      <c r="V902" s="19"/>
      <c r="W902" s="19"/>
      <c r="X902" s="19"/>
      <c r="Y902" s="19"/>
      <c r="Z902" s="19"/>
      <c r="AA902" s="19"/>
      <c r="AB902" s="19"/>
      <c r="AC902" s="19"/>
      <c r="AD902" s="19"/>
      <c r="AE902" s="19"/>
      <c r="AF902" s="19"/>
      <c r="AG902" s="19"/>
      <c r="AH902" s="19"/>
      <c r="AI902" s="19"/>
      <c r="AJ902" s="19"/>
      <c r="AK902" s="19"/>
      <c r="AL902" s="19"/>
      <c r="AM902" s="19"/>
      <c r="AN902" s="19"/>
      <c r="AO902" s="19"/>
      <c r="AP902" s="19"/>
      <c r="AQ902" s="19"/>
      <c r="AR902" s="19"/>
      <c r="AS902" s="19"/>
      <c r="AT902" s="19"/>
      <c r="AU902" s="19"/>
      <c r="AV902" s="19"/>
      <c r="AW902" s="19"/>
      <c r="AX902" s="19"/>
      <c r="GA902" s="54"/>
    </row>
    <row r="903" spans="1:183" s="18" customFormat="1">
      <c r="A903" s="51"/>
      <c r="B903" s="52"/>
      <c r="C903" s="52"/>
      <c r="D903" s="52"/>
      <c r="E903" s="53"/>
      <c r="F903" s="52"/>
      <c r="G903" s="52"/>
      <c r="H903" s="52"/>
      <c r="I903" s="53"/>
      <c r="J903" s="52"/>
      <c r="K903" s="52"/>
      <c r="L903" s="52"/>
      <c r="M903" s="52"/>
      <c r="N903" s="19"/>
      <c r="O903" s="19"/>
      <c r="P903" s="19"/>
      <c r="Q903" s="19"/>
      <c r="R903" s="19"/>
      <c r="S903" s="19"/>
      <c r="T903" s="19"/>
      <c r="U903" s="19"/>
      <c r="V903" s="19"/>
      <c r="W903" s="19"/>
      <c r="X903" s="19"/>
      <c r="Y903" s="19"/>
      <c r="Z903" s="19"/>
      <c r="AA903" s="19"/>
      <c r="AB903" s="19"/>
      <c r="AC903" s="19"/>
      <c r="AD903" s="19"/>
      <c r="AE903" s="19"/>
      <c r="AF903" s="19"/>
      <c r="AG903" s="19"/>
      <c r="AH903" s="19"/>
      <c r="AI903" s="19"/>
      <c r="AJ903" s="19"/>
      <c r="AK903" s="19"/>
      <c r="AL903" s="19"/>
      <c r="AM903" s="19"/>
      <c r="AN903" s="19"/>
      <c r="AO903" s="19"/>
      <c r="AP903" s="19"/>
      <c r="AQ903" s="19"/>
      <c r="AR903" s="19"/>
      <c r="AS903" s="19"/>
      <c r="AT903" s="19"/>
      <c r="AU903" s="19"/>
      <c r="AV903" s="19"/>
      <c r="AW903" s="19"/>
      <c r="AX903" s="19"/>
      <c r="GA903" s="54"/>
    </row>
    <row r="904" spans="1:183" s="18" customFormat="1">
      <c r="A904" s="51"/>
      <c r="B904" s="52"/>
      <c r="C904" s="52"/>
      <c r="D904" s="52"/>
      <c r="E904" s="53"/>
      <c r="F904" s="52"/>
      <c r="G904" s="52"/>
      <c r="H904" s="52"/>
      <c r="I904" s="53"/>
      <c r="J904" s="52"/>
      <c r="K904" s="52"/>
      <c r="L904" s="52"/>
      <c r="M904" s="52"/>
      <c r="N904" s="19"/>
      <c r="O904" s="19"/>
      <c r="P904" s="19"/>
      <c r="Q904" s="19"/>
      <c r="R904" s="19"/>
      <c r="S904" s="19"/>
      <c r="T904" s="19"/>
      <c r="U904" s="19"/>
      <c r="V904" s="19"/>
      <c r="W904" s="19"/>
      <c r="X904" s="19"/>
      <c r="Y904" s="19"/>
      <c r="Z904" s="19"/>
      <c r="AA904" s="19"/>
      <c r="AB904" s="19"/>
      <c r="AC904" s="19"/>
      <c r="AD904" s="19"/>
      <c r="AE904" s="19"/>
      <c r="AF904" s="19"/>
      <c r="AG904" s="19"/>
      <c r="AH904" s="19"/>
      <c r="AI904" s="19"/>
      <c r="AJ904" s="19"/>
      <c r="AK904" s="19"/>
      <c r="AL904" s="19"/>
      <c r="AM904" s="19"/>
      <c r="AN904" s="19"/>
      <c r="AO904" s="19"/>
      <c r="AP904" s="19"/>
      <c r="AQ904" s="19"/>
      <c r="AR904" s="19"/>
      <c r="AS904" s="19"/>
      <c r="AT904" s="19"/>
      <c r="AU904" s="19"/>
      <c r="AV904" s="19"/>
      <c r="AW904" s="19"/>
      <c r="AX904" s="19"/>
      <c r="GA904" s="54"/>
    </row>
    <row r="905" spans="1:183" s="18" customFormat="1">
      <c r="A905" s="51"/>
      <c r="B905" s="52"/>
      <c r="C905" s="52"/>
      <c r="D905" s="52"/>
      <c r="E905" s="53"/>
      <c r="F905" s="52"/>
      <c r="G905" s="52"/>
      <c r="H905" s="52"/>
      <c r="I905" s="53"/>
      <c r="J905" s="52"/>
      <c r="K905" s="52"/>
      <c r="L905" s="52"/>
      <c r="M905" s="52"/>
      <c r="N905" s="19"/>
      <c r="O905" s="19"/>
      <c r="P905" s="19"/>
      <c r="Q905" s="19"/>
      <c r="R905" s="19"/>
      <c r="S905" s="19"/>
      <c r="T905" s="19"/>
      <c r="U905" s="19"/>
      <c r="V905" s="19"/>
      <c r="W905" s="19"/>
      <c r="X905" s="19"/>
      <c r="Y905" s="19"/>
      <c r="Z905" s="19"/>
      <c r="AA905" s="19"/>
      <c r="AB905" s="19"/>
      <c r="AC905" s="19"/>
      <c r="AD905" s="19"/>
      <c r="AE905" s="19"/>
      <c r="AF905" s="19"/>
      <c r="AG905" s="19"/>
      <c r="AH905" s="19"/>
      <c r="AI905" s="19"/>
      <c r="AJ905" s="19"/>
      <c r="AK905" s="19"/>
      <c r="AL905" s="19"/>
      <c r="AM905" s="19"/>
      <c r="AN905" s="19"/>
      <c r="AO905" s="19"/>
      <c r="AP905" s="19"/>
      <c r="AQ905" s="19"/>
      <c r="AR905" s="19"/>
      <c r="AS905" s="19"/>
      <c r="AT905" s="19"/>
      <c r="AU905" s="19"/>
      <c r="AV905" s="19"/>
      <c r="AW905" s="19"/>
      <c r="AX905" s="19"/>
      <c r="GA905" s="54"/>
    </row>
    <row r="906" spans="1:183" s="18" customFormat="1">
      <c r="A906" s="51"/>
      <c r="B906" s="52"/>
      <c r="C906" s="52"/>
      <c r="D906" s="52"/>
      <c r="E906" s="53"/>
      <c r="F906" s="52"/>
      <c r="G906" s="52"/>
      <c r="H906" s="52"/>
      <c r="I906" s="53"/>
      <c r="J906" s="52"/>
      <c r="K906" s="52"/>
      <c r="L906" s="52"/>
      <c r="M906" s="52"/>
      <c r="N906" s="19"/>
      <c r="O906" s="19"/>
      <c r="P906" s="19"/>
      <c r="Q906" s="19"/>
      <c r="R906" s="19"/>
      <c r="S906" s="19"/>
      <c r="T906" s="19"/>
      <c r="U906" s="19"/>
      <c r="V906" s="19"/>
      <c r="W906" s="19"/>
      <c r="X906" s="19"/>
      <c r="Y906" s="19"/>
      <c r="Z906" s="19"/>
      <c r="AA906" s="19"/>
      <c r="AB906" s="19"/>
      <c r="AC906" s="19"/>
      <c r="AD906" s="19"/>
      <c r="AE906" s="19"/>
      <c r="AF906" s="19"/>
      <c r="AG906" s="19"/>
      <c r="AH906" s="19"/>
      <c r="AI906" s="19"/>
      <c r="AJ906" s="19"/>
      <c r="AK906" s="19"/>
      <c r="AL906" s="19"/>
      <c r="AM906" s="19"/>
      <c r="AN906" s="19"/>
      <c r="AO906" s="19"/>
      <c r="AP906" s="19"/>
      <c r="AQ906" s="19"/>
      <c r="AR906" s="19"/>
      <c r="AS906" s="19"/>
      <c r="AT906" s="19"/>
      <c r="AU906" s="19"/>
      <c r="AV906" s="19"/>
      <c r="AW906" s="19"/>
      <c r="AX906" s="19"/>
      <c r="GA906" s="54"/>
    </row>
    <row r="907" spans="1:183" s="18" customFormat="1">
      <c r="A907" s="51"/>
      <c r="B907" s="52"/>
      <c r="C907" s="52"/>
      <c r="D907" s="52"/>
      <c r="E907" s="53"/>
      <c r="F907" s="52"/>
      <c r="G907" s="52"/>
      <c r="H907" s="52"/>
      <c r="I907" s="53"/>
      <c r="J907" s="52"/>
      <c r="K907" s="52"/>
      <c r="L907" s="52"/>
      <c r="M907" s="52"/>
      <c r="N907" s="19"/>
      <c r="O907" s="19"/>
      <c r="P907" s="19"/>
      <c r="Q907" s="19"/>
      <c r="R907" s="19"/>
      <c r="S907" s="19"/>
      <c r="T907" s="19"/>
      <c r="U907" s="19"/>
      <c r="V907" s="19"/>
      <c r="W907" s="19"/>
      <c r="X907" s="19"/>
      <c r="Y907" s="19"/>
      <c r="Z907" s="19"/>
      <c r="AA907" s="19"/>
      <c r="AB907" s="19"/>
      <c r="AC907" s="19"/>
      <c r="AD907" s="19"/>
      <c r="AE907" s="19"/>
      <c r="AF907" s="19"/>
      <c r="AG907" s="19"/>
      <c r="AH907" s="19"/>
      <c r="AI907" s="19"/>
      <c r="AJ907" s="19"/>
      <c r="AK907" s="19"/>
      <c r="AL907" s="19"/>
      <c r="AM907" s="19"/>
      <c r="AN907" s="19"/>
      <c r="AO907" s="19"/>
      <c r="AP907" s="19"/>
      <c r="AQ907" s="19"/>
      <c r="AR907" s="19"/>
      <c r="AS907" s="19"/>
      <c r="AT907" s="19"/>
      <c r="AU907" s="19"/>
      <c r="AV907" s="19"/>
      <c r="AW907" s="19"/>
      <c r="AX907" s="19"/>
      <c r="GA907" s="54"/>
    </row>
    <row r="908" spans="1:183" s="18" customFormat="1">
      <c r="A908" s="51"/>
      <c r="B908" s="52"/>
      <c r="C908" s="52"/>
      <c r="D908" s="52"/>
      <c r="E908" s="53"/>
      <c r="F908" s="52"/>
      <c r="G908" s="52"/>
      <c r="H908" s="52"/>
      <c r="I908" s="53"/>
      <c r="J908" s="52"/>
      <c r="K908" s="52"/>
      <c r="L908" s="52"/>
      <c r="M908" s="52"/>
      <c r="N908" s="19"/>
      <c r="O908" s="19"/>
      <c r="P908" s="19"/>
      <c r="Q908" s="19"/>
      <c r="R908" s="19"/>
      <c r="S908" s="19"/>
      <c r="T908" s="19"/>
      <c r="U908" s="19"/>
      <c r="V908" s="19"/>
      <c r="W908" s="19"/>
      <c r="X908" s="19"/>
      <c r="Y908" s="19"/>
      <c r="Z908" s="19"/>
      <c r="AA908" s="19"/>
      <c r="AB908" s="19"/>
      <c r="AC908" s="19"/>
      <c r="AD908" s="19"/>
      <c r="AE908" s="19"/>
      <c r="AF908" s="19"/>
      <c r="AG908" s="19"/>
      <c r="AH908" s="19"/>
      <c r="AI908" s="19"/>
      <c r="AJ908" s="19"/>
      <c r="AK908" s="19"/>
      <c r="AL908" s="19"/>
      <c r="AM908" s="19"/>
      <c r="AN908" s="19"/>
      <c r="AO908" s="19"/>
      <c r="AP908" s="19"/>
      <c r="AQ908" s="19"/>
      <c r="AR908" s="19"/>
      <c r="AS908" s="19"/>
      <c r="AT908" s="19"/>
      <c r="AU908" s="19"/>
      <c r="AV908" s="19"/>
      <c r="AW908" s="19"/>
      <c r="AX908" s="19"/>
      <c r="GA908" s="54"/>
    </row>
    <row r="909" spans="1:183" s="18" customFormat="1">
      <c r="A909" s="51"/>
      <c r="B909" s="52"/>
      <c r="C909" s="52"/>
      <c r="D909" s="52"/>
      <c r="E909" s="53"/>
      <c r="F909" s="52"/>
      <c r="G909" s="52"/>
      <c r="H909" s="52"/>
      <c r="I909" s="53"/>
      <c r="J909" s="52"/>
      <c r="K909" s="52"/>
      <c r="L909" s="52"/>
      <c r="M909" s="52"/>
      <c r="N909" s="19"/>
      <c r="O909" s="19"/>
      <c r="P909" s="19"/>
      <c r="Q909" s="19"/>
      <c r="R909" s="19"/>
      <c r="S909" s="19"/>
      <c r="T909" s="19"/>
      <c r="U909" s="19"/>
      <c r="V909" s="19"/>
      <c r="W909" s="19"/>
      <c r="X909" s="19"/>
      <c r="Y909" s="19"/>
      <c r="Z909" s="19"/>
      <c r="AA909" s="19"/>
      <c r="AB909" s="19"/>
      <c r="AC909" s="19"/>
      <c r="AD909" s="19"/>
      <c r="AE909" s="19"/>
      <c r="AF909" s="19"/>
      <c r="AG909" s="19"/>
      <c r="AH909" s="19"/>
      <c r="AI909" s="19"/>
      <c r="AJ909" s="19"/>
      <c r="AK909" s="19"/>
      <c r="AL909" s="19"/>
      <c r="AM909" s="19"/>
      <c r="AN909" s="19"/>
      <c r="AO909" s="19"/>
      <c r="AP909" s="19"/>
      <c r="AQ909" s="19"/>
      <c r="AR909" s="19"/>
      <c r="AS909" s="19"/>
      <c r="AT909" s="19"/>
      <c r="AU909" s="19"/>
      <c r="AV909" s="19"/>
      <c r="AW909" s="19"/>
      <c r="AX909" s="19"/>
      <c r="GA909" s="54"/>
    </row>
    <row r="910" spans="1:183" s="18" customFormat="1">
      <c r="A910" s="51"/>
      <c r="B910" s="52"/>
      <c r="C910" s="52"/>
      <c r="D910" s="52"/>
      <c r="E910" s="53"/>
      <c r="F910" s="52"/>
      <c r="G910" s="52"/>
      <c r="H910" s="52"/>
      <c r="I910" s="53"/>
      <c r="J910" s="52"/>
      <c r="K910" s="52"/>
      <c r="L910" s="52"/>
      <c r="M910" s="52"/>
      <c r="N910" s="19"/>
      <c r="O910" s="19"/>
      <c r="P910" s="19"/>
      <c r="Q910" s="19"/>
      <c r="R910" s="19"/>
      <c r="S910" s="19"/>
      <c r="T910" s="19"/>
      <c r="U910" s="19"/>
      <c r="V910" s="19"/>
      <c r="W910" s="19"/>
      <c r="X910" s="19"/>
      <c r="Y910" s="19"/>
      <c r="Z910" s="19"/>
      <c r="AA910" s="19"/>
      <c r="AB910" s="19"/>
      <c r="AC910" s="19"/>
      <c r="AD910" s="19"/>
      <c r="AE910" s="19"/>
      <c r="AF910" s="19"/>
      <c r="AG910" s="19"/>
      <c r="AH910" s="19"/>
      <c r="AI910" s="19"/>
      <c r="AJ910" s="19"/>
      <c r="AK910" s="19"/>
      <c r="AL910" s="19"/>
      <c r="AM910" s="19"/>
      <c r="AN910" s="19"/>
      <c r="AO910" s="19"/>
      <c r="AP910" s="19"/>
      <c r="AQ910" s="19"/>
      <c r="AR910" s="19"/>
      <c r="AS910" s="19"/>
      <c r="AT910" s="19"/>
      <c r="AU910" s="19"/>
      <c r="AV910" s="19"/>
      <c r="AW910" s="19"/>
      <c r="AX910" s="19"/>
      <c r="GA910" s="54"/>
    </row>
    <row r="911" spans="1:183" s="18" customFormat="1">
      <c r="A911" s="51"/>
      <c r="B911" s="52"/>
      <c r="C911" s="52"/>
      <c r="D911" s="52"/>
      <c r="E911" s="53"/>
      <c r="F911" s="52"/>
      <c r="G911" s="52"/>
      <c r="H911" s="52"/>
      <c r="I911" s="53"/>
      <c r="J911" s="52"/>
      <c r="K911" s="52"/>
      <c r="L911" s="52"/>
      <c r="M911" s="52"/>
      <c r="N911" s="19"/>
      <c r="O911" s="19"/>
      <c r="P911" s="19"/>
      <c r="Q911" s="19"/>
      <c r="R911" s="19"/>
      <c r="S911" s="19"/>
      <c r="T911" s="19"/>
      <c r="U911" s="19"/>
      <c r="V911" s="19"/>
      <c r="W911" s="19"/>
      <c r="X911" s="19"/>
      <c r="Y911" s="19"/>
      <c r="Z911" s="19"/>
      <c r="AA911" s="19"/>
      <c r="AB911" s="19"/>
      <c r="AC911" s="19"/>
      <c r="AD911" s="19"/>
      <c r="AE911" s="19"/>
      <c r="AF911" s="19"/>
      <c r="AG911" s="19"/>
      <c r="AH911" s="19"/>
      <c r="AI911" s="19"/>
      <c r="AJ911" s="19"/>
      <c r="AK911" s="19"/>
      <c r="AL911" s="19"/>
      <c r="AM911" s="19"/>
      <c r="AN911" s="19"/>
      <c r="AO911" s="19"/>
      <c r="AP911" s="19"/>
      <c r="AQ911" s="19"/>
      <c r="AR911" s="19"/>
      <c r="AS911" s="19"/>
      <c r="AT911" s="19"/>
      <c r="AU911" s="19"/>
      <c r="AV911" s="19"/>
      <c r="AW911" s="19"/>
      <c r="AX911" s="19"/>
      <c r="GA911" s="54"/>
    </row>
    <row r="912" spans="1:183" s="18" customFormat="1">
      <c r="A912" s="51"/>
      <c r="B912" s="52"/>
      <c r="C912" s="52"/>
      <c r="D912" s="52"/>
      <c r="E912" s="53"/>
      <c r="F912" s="52"/>
      <c r="G912" s="52"/>
      <c r="H912" s="52"/>
      <c r="I912" s="53"/>
      <c r="J912" s="52"/>
      <c r="K912" s="52"/>
      <c r="L912" s="52"/>
      <c r="M912" s="52"/>
      <c r="N912" s="19"/>
      <c r="O912" s="19"/>
      <c r="P912" s="19"/>
      <c r="Q912" s="19"/>
      <c r="R912" s="19"/>
      <c r="S912" s="19"/>
      <c r="T912" s="19"/>
      <c r="U912" s="19"/>
      <c r="V912" s="19"/>
      <c r="W912" s="19"/>
      <c r="X912" s="19"/>
      <c r="Y912" s="19"/>
      <c r="Z912" s="19"/>
      <c r="AA912" s="19"/>
      <c r="AB912" s="19"/>
      <c r="AC912" s="19"/>
      <c r="AD912" s="19"/>
      <c r="AE912" s="19"/>
      <c r="AF912" s="19"/>
      <c r="AG912" s="19"/>
      <c r="AH912" s="19"/>
      <c r="AI912" s="19"/>
      <c r="AJ912" s="19"/>
      <c r="AK912" s="19"/>
      <c r="AL912" s="19"/>
      <c r="AM912" s="19"/>
      <c r="AN912" s="19"/>
      <c r="AO912" s="19"/>
      <c r="AP912" s="19"/>
      <c r="AQ912" s="19"/>
      <c r="AR912" s="19"/>
      <c r="AS912" s="19"/>
      <c r="AT912" s="19"/>
      <c r="AU912" s="19"/>
      <c r="AV912" s="19"/>
      <c r="AW912" s="19"/>
      <c r="AX912" s="19"/>
      <c r="GA912" s="54"/>
    </row>
    <row r="913" spans="1:183" s="18" customFormat="1">
      <c r="A913" s="51"/>
      <c r="B913" s="52"/>
      <c r="C913" s="52"/>
      <c r="D913" s="52"/>
      <c r="E913" s="53"/>
      <c r="F913" s="52"/>
      <c r="G913" s="52"/>
      <c r="H913" s="52"/>
      <c r="I913" s="53"/>
      <c r="J913" s="52"/>
      <c r="K913" s="52"/>
      <c r="L913" s="52"/>
      <c r="M913" s="52"/>
      <c r="N913" s="19"/>
      <c r="O913" s="19"/>
      <c r="P913" s="19"/>
      <c r="Q913" s="19"/>
      <c r="R913" s="19"/>
      <c r="S913" s="19"/>
      <c r="T913" s="19"/>
      <c r="U913" s="19"/>
      <c r="V913" s="19"/>
      <c r="W913" s="19"/>
      <c r="X913" s="19"/>
      <c r="Y913" s="19"/>
      <c r="Z913" s="19"/>
      <c r="AA913" s="19"/>
      <c r="AB913" s="19"/>
      <c r="AC913" s="19"/>
      <c r="AD913" s="19"/>
      <c r="AE913" s="19"/>
      <c r="AF913" s="19"/>
      <c r="AG913" s="19"/>
      <c r="AH913" s="19"/>
      <c r="AI913" s="19"/>
      <c r="AJ913" s="19"/>
      <c r="AK913" s="19"/>
      <c r="AL913" s="19"/>
      <c r="AM913" s="19"/>
      <c r="AN913" s="19"/>
      <c r="AO913" s="19"/>
      <c r="AP913" s="19"/>
      <c r="AQ913" s="19"/>
      <c r="AR913" s="19"/>
      <c r="AS913" s="19"/>
      <c r="AT913" s="19"/>
      <c r="AU913" s="19"/>
      <c r="AV913" s="19"/>
      <c r="AW913" s="19"/>
      <c r="AX913" s="19"/>
      <c r="GA913" s="54"/>
    </row>
    <row r="914" spans="1:183" s="18" customFormat="1">
      <c r="A914" s="51"/>
      <c r="B914" s="52"/>
      <c r="C914" s="52"/>
      <c r="D914" s="52"/>
      <c r="E914" s="53"/>
      <c r="F914" s="52"/>
      <c r="G914" s="52"/>
      <c r="H914" s="52"/>
      <c r="I914" s="53"/>
      <c r="J914" s="52"/>
      <c r="K914" s="52"/>
      <c r="L914" s="52"/>
      <c r="M914" s="52"/>
      <c r="N914" s="19"/>
      <c r="O914" s="19"/>
      <c r="P914" s="19"/>
      <c r="Q914" s="19"/>
      <c r="R914" s="19"/>
      <c r="S914" s="19"/>
      <c r="T914" s="19"/>
      <c r="U914" s="19"/>
      <c r="V914" s="19"/>
      <c r="W914" s="19"/>
      <c r="X914" s="19"/>
      <c r="Y914" s="19"/>
      <c r="Z914" s="19"/>
      <c r="AA914" s="19"/>
      <c r="AB914" s="19"/>
      <c r="AC914" s="19"/>
      <c r="AD914" s="19"/>
      <c r="AE914" s="19"/>
      <c r="AF914" s="19"/>
      <c r="AG914" s="19"/>
      <c r="AH914" s="19"/>
      <c r="AI914" s="19"/>
      <c r="AJ914" s="19"/>
      <c r="AK914" s="19"/>
      <c r="AL914" s="19"/>
      <c r="AM914" s="19"/>
      <c r="AN914" s="19"/>
      <c r="AO914" s="19"/>
      <c r="AP914" s="19"/>
      <c r="AQ914" s="19"/>
      <c r="AR914" s="19"/>
      <c r="AS914" s="19"/>
      <c r="AT914" s="19"/>
      <c r="AU914" s="19"/>
      <c r="AV914" s="19"/>
      <c r="AW914" s="19"/>
      <c r="AX914" s="19"/>
      <c r="GA914" s="54"/>
    </row>
    <row r="915" spans="1:183" s="18" customFormat="1">
      <c r="A915" s="51"/>
      <c r="B915" s="52"/>
      <c r="C915" s="52"/>
      <c r="D915" s="52"/>
      <c r="E915" s="53"/>
      <c r="F915" s="52"/>
      <c r="G915" s="52"/>
      <c r="H915" s="52"/>
      <c r="I915" s="53"/>
      <c r="J915" s="52"/>
      <c r="K915" s="52"/>
      <c r="L915" s="52"/>
      <c r="M915" s="52"/>
      <c r="N915" s="19"/>
      <c r="O915" s="19"/>
      <c r="P915" s="19"/>
      <c r="Q915" s="19"/>
      <c r="R915" s="19"/>
      <c r="S915" s="19"/>
      <c r="T915" s="19"/>
      <c r="U915" s="19"/>
      <c r="V915" s="19"/>
      <c r="W915" s="19"/>
      <c r="X915" s="19"/>
      <c r="Y915" s="19"/>
      <c r="Z915" s="19"/>
      <c r="AA915" s="19"/>
      <c r="AB915" s="19"/>
      <c r="AC915" s="19"/>
      <c r="AD915" s="19"/>
      <c r="AE915" s="19"/>
      <c r="AF915" s="19"/>
      <c r="AG915" s="19"/>
      <c r="AH915" s="19"/>
      <c r="AI915" s="19"/>
      <c r="AJ915" s="19"/>
      <c r="AK915" s="19"/>
      <c r="AL915" s="19"/>
      <c r="AM915" s="19"/>
      <c r="AN915" s="19"/>
      <c r="AO915" s="19"/>
      <c r="AP915" s="19"/>
      <c r="AQ915" s="19"/>
      <c r="AR915" s="19"/>
      <c r="AS915" s="19"/>
      <c r="AT915" s="19"/>
      <c r="AU915" s="19"/>
      <c r="AV915" s="19"/>
      <c r="AW915" s="19"/>
      <c r="AX915" s="19"/>
      <c r="GA915" s="54"/>
    </row>
    <row r="916" spans="1:183" s="18" customFormat="1">
      <c r="A916" s="51"/>
      <c r="B916" s="52"/>
      <c r="C916" s="52"/>
      <c r="D916" s="52"/>
      <c r="E916" s="53"/>
      <c r="F916" s="52"/>
      <c r="G916" s="52"/>
      <c r="H916" s="52"/>
      <c r="I916" s="53"/>
      <c r="J916" s="52"/>
      <c r="K916" s="52"/>
      <c r="L916" s="52"/>
      <c r="M916" s="52"/>
      <c r="N916" s="19"/>
      <c r="O916" s="19"/>
      <c r="P916" s="19"/>
      <c r="Q916" s="19"/>
      <c r="R916" s="19"/>
      <c r="S916" s="19"/>
      <c r="T916" s="19"/>
      <c r="U916" s="19"/>
      <c r="V916" s="19"/>
      <c r="W916" s="19"/>
      <c r="X916" s="19"/>
      <c r="Y916" s="19"/>
      <c r="Z916" s="19"/>
      <c r="AA916" s="19"/>
      <c r="AB916" s="19"/>
      <c r="AC916" s="19"/>
      <c r="AD916" s="19"/>
      <c r="AE916" s="19"/>
      <c r="AF916" s="19"/>
      <c r="AG916" s="19"/>
      <c r="AH916" s="19"/>
      <c r="AI916" s="19"/>
      <c r="AJ916" s="19"/>
      <c r="AK916" s="19"/>
      <c r="AL916" s="19"/>
      <c r="AM916" s="19"/>
      <c r="AN916" s="19"/>
      <c r="AO916" s="19"/>
      <c r="AP916" s="19"/>
      <c r="AQ916" s="19"/>
      <c r="AR916" s="19"/>
      <c r="AS916" s="19"/>
      <c r="AT916" s="19"/>
      <c r="AU916" s="19"/>
      <c r="AV916" s="19"/>
      <c r="AW916" s="19"/>
      <c r="AX916" s="19"/>
      <c r="GA916" s="54"/>
    </row>
    <row r="917" spans="1:183" s="18" customFormat="1">
      <c r="A917" s="51"/>
      <c r="B917" s="52"/>
      <c r="C917" s="52"/>
      <c r="D917" s="52"/>
      <c r="E917" s="53"/>
      <c r="F917" s="52"/>
      <c r="G917" s="52"/>
      <c r="H917" s="52"/>
      <c r="I917" s="53"/>
      <c r="J917" s="52"/>
      <c r="K917" s="52"/>
      <c r="L917" s="52"/>
      <c r="M917" s="52"/>
      <c r="N917" s="19"/>
      <c r="O917" s="19"/>
      <c r="P917" s="19"/>
      <c r="Q917" s="19"/>
      <c r="R917" s="19"/>
      <c r="S917" s="19"/>
      <c r="T917" s="19"/>
      <c r="U917" s="19"/>
      <c r="V917" s="19"/>
      <c r="W917" s="19"/>
      <c r="X917" s="19"/>
      <c r="Y917" s="19"/>
      <c r="Z917" s="19"/>
      <c r="AA917" s="19"/>
      <c r="AB917" s="19"/>
      <c r="AC917" s="19"/>
      <c r="AD917" s="19"/>
      <c r="AE917" s="19"/>
      <c r="AF917" s="19"/>
      <c r="AG917" s="19"/>
      <c r="AH917" s="19"/>
      <c r="AI917" s="19"/>
      <c r="AJ917" s="19"/>
      <c r="AK917" s="19"/>
      <c r="AL917" s="19"/>
      <c r="AM917" s="19"/>
      <c r="AN917" s="19"/>
      <c r="AO917" s="19"/>
      <c r="AP917" s="19"/>
      <c r="AQ917" s="19"/>
      <c r="AR917" s="19"/>
      <c r="AS917" s="19"/>
      <c r="AT917" s="19"/>
      <c r="AU917" s="19"/>
      <c r="AV917" s="19"/>
      <c r="AW917" s="19"/>
      <c r="AX917" s="19"/>
      <c r="GA917" s="54"/>
    </row>
    <row r="918" spans="1:183" s="18" customFormat="1">
      <c r="A918" s="51"/>
      <c r="B918" s="52"/>
      <c r="C918" s="52"/>
      <c r="D918" s="52"/>
      <c r="E918" s="53"/>
      <c r="F918" s="52"/>
      <c r="G918" s="52"/>
      <c r="H918" s="52"/>
      <c r="I918" s="53"/>
      <c r="J918" s="52"/>
      <c r="K918" s="52"/>
      <c r="L918" s="52"/>
      <c r="M918" s="52"/>
      <c r="N918" s="19"/>
      <c r="O918" s="19"/>
      <c r="P918" s="19"/>
      <c r="Q918" s="19"/>
      <c r="R918" s="19"/>
      <c r="S918" s="19"/>
      <c r="T918" s="19"/>
      <c r="U918" s="19"/>
      <c r="V918" s="19"/>
      <c r="W918" s="19"/>
      <c r="X918" s="19"/>
      <c r="Y918" s="19"/>
      <c r="Z918" s="19"/>
      <c r="AA918" s="19"/>
      <c r="AB918" s="19"/>
      <c r="AC918" s="19"/>
      <c r="AD918" s="19"/>
      <c r="AE918" s="19"/>
      <c r="AF918" s="19"/>
      <c r="AG918" s="19"/>
      <c r="AH918" s="19"/>
      <c r="AI918" s="19"/>
      <c r="AJ918" s="19"/>
      <c r="AK918" s="19"/>
      <c r="AL918" s="19"/>
      <c r="AM918" s="19"/>
      <c r="AN918" s="19"/>
      <c r="AO918" s="19"/>
      <c r="AP918" s="19"/>
      <c r="AQ918" s="19"/>
      <c r="AR918" s="19"/>
      <c r="AS918" s="19"/>
      <c r="AT918" s="19"/>
      <c r="AU918" s="19"/>
      <c r="AV918" s="19"/>
      <c r="AW918" s="19"/>
      <c r="AX918" s="19"/>
      <c r="GA918" s="54"/>
    </row>
    <row r="919" spans="1:183" s="18" customFormat="1">
      <c r="A919" s="51"/>
      <c r="B919" s="52"/>
      <c r="C919" s="52"/>
      <c r="D919" s="52"/>
      <c r="E919" s="53"/>
      <c r="F919" s="52"/>
      <c r="G919" s="52"/>
      <c r="H919" s="52"/>
      <c r="I919" s="53"/>
      <c r="J919" s="52"/>
      <c r="K919" s="52"/>
      <c r="L919" s="52"/>
      <c r="M919" s="52"/>
      <c r="N919" s="19"/>
      <c r="O919" s="19"/>
      <c r="P919" s="19"/>
      <c r="Q919" s="19"/>
      <c r="R919" s="19"/>
      <c r="S919" s="19"/>
      <c r="T919" s="19"/>
      <c r="U919" s="19"/>
      <c r="V919" s="19"/>
      <c r="W919" s="19"/>
      <c r="X919" s="19"/>
      <c r="Y919" s="19"/>
      <c r="Z919" s="19"/>
      <c r="AA919" s="19"/>
      <c r="AB919" s="19"/>
      <c r="AC919" s="19"/>
      <c r="AD919" s="19"/>
      <c r="AE919" s="19"/>
      <c r="AF919" s="19"/>
      <c r="AG919" s="19"/>
      <c r="AH919" s="19"/>
      <c r="AI919" s="19"/>
      <c r="AJ919" s="19"/>
      <c r="AK919" s="19"/>
      <c r="AL919" s="19"/>
      <c r="AM919" s="19"/>
      <c r="AN919" s="19"/>
      <c r="AO919" s="19"/>
      <c r="AP919" s="19"/>
      <c r="AQ919" s="19"/>
      <c r="AR919" s="19"/>
      <c r="AS919" s="19"/>
      <c r="AT919" s="19"/>
      <c r="AU919" s="19"/>
      <c r="AV919" s="19"/>
      <c r="AW919" s="19"/>
      <c r="AX919" s="19"/>
      <c r="GA919" s="54"/>
    </row>
    <row r="920" spans="1:183" s="18" customFormat="1">
      <c r="A920" s="51"/>
      <c r="B920" s="52"/>
      <c r="C920" s="52"/>
      <c r="D920" s="52"/>
      <c r="E920" s="53"/>
      <c r="F920" s="52"/>
      <c r="G920" s="52"/>
      <c r="H920" s="52"/>
      <c r="I920" s="53"/>
      <c r="J920" s="52"/>
      <c r="K920" s="52"/>
      <c r="L920" s="52"/>
      <c r="M920" s="52"/>
      <c r="N920" s="19"/>
      <c r="O920" s="19"/>
      <c r="P920" s="19"/>
      <c r="Q920" s="19"/>
      <c r="R920" s="19"/>
      <c r="S920" s="19"/>
      <c r="T920" s="19"/>
      <c r="U920" s="19"/>
      <c r="V920" s="19"/>
      <c r="W920" s="19"/>
      <c r="X920" s="19"/>
      <c r="Y920" s="19"/>
      <c r="Z920" s="19"/>
      <c r="AA920" s="19"/>
      <c r="AB920" s="19"/>
      <c r="AC920" s="19"/>
      <c r="AD920" s="19"/>
      <c r="AE920" s="19"/>
      <c r="AF920" s="19"/>
      <c r="AG920" s="19"/>
      <c r="AH920" s="19"/>
      <c r="AI920" s="19"/>
      <c r="AJ920" s="19"/>
      <c r="AK920" s="19"/>
      <c r="AL920" s="19"/>
      <c r="AM920" s="19"/>
      <c r="AN920" s="19"/>
      <c r="AO920" s="19"/>
      <c r="AP920" s="19"/>
      <c r="AQ920" s="19"/>
      <c r="AR920" s="19"/>
      <c r="AS920" s="19"/>
      <c r="AT920" s="19"/>
      <c r="AU920" s="19"/>
      <c r="AV920" s="19"/>
      <c r="AW920" s="19"/>
      <c r="AX920" s="19"/>
      <c r="GA920" s="54"/>
    </row>
    <row r="921" spans="1:183" s="18" customFormat="1">
      <c r="A921" s="51"/>
      <c r="B921" s="52"/>
      <c r="C921" s="52"/>
      <c r="D921" s="52"/>
      <c r="E921" s="53"/>
      <c r="F921" s="52"/>
      <c r="G921" s="52"/>
      <c r="H921" s="52"/>
      <c r="I921" s="53"/>
      <c r="J921" s="52"/>
      <c r="K921" s="52"/>
      <c r="L921" s="52"/>
      <c r="M921" s="52"/>
      <c r="N921" s="19"/>
      <c r="O921" s="19"/>
      <c r="P921" s="19"/>
      <c r="Q921" s="19"/>
      <c r="R921" s="19"/>
      <c r="S921" s="19"/>
      <c r="T921" s="19"/>
      <c r="U921" s="19"/>
      <c r="V921" s="19"/>
      <c r="W921" s="19"/>
      <c r="X921" s="19"/>
      <c r="Y921" s="19"/>
      <c r="Z921" s="19"/>
      <c r="AA921" s="19"/>
      <c r="AB921" s="19"/>
      <c r="AC921" s="19"/>
      <c r="AD921" s="19"/>
      <c r="AE921" s="19"/>
      <c r="AF921" s="19"/>
      <c r="AG921" s="19"/>
      <c r="AH921" s="19"/>
      <c r="AI921" s="19"/>
      <c r="AJ921" s="19"/>
      <c r="AK921" s="19"/>
      <c r="AL921" s="19"/>
      <c r="AM921" s="19"/>
      <c r="AN921" s="19"/>
      <c r="AO921" s="19"/>
      <c r="AP921" s="19"/>
      <c r="AQ921" s="19"/>
      <c r="AR921" s="19"/>
      <c r="AS921" s="19"/>
      <c r="AT921" s="19"/>
      <c r="AU921" s="19"/>
      <c r="AV921" s="19"/>
      <c r="AW921" s="19"/>
      <c r="AX921" s="19"/>
      <c r="GA921" s="54"/>
    </row>
    <row r="922" spans="1:183" s="18" customFormat="1">
      <c r="A922" s="51"/>
      <c r="B922" s="52"/>
      <c r="C922" s="52"/>
      <c r="D922" s="52"/>
      <c r="E922" s="53"/>
      <c r="F922" s="52"/>
      <c r="G922" s="52"/>
      <c r="H922" s="52"/>
      <c r="I922" s="53"/>
      <c r="J922" s="52"/>
      <c r="K922" s="52"/>
      <c r="L922" s="52"/>
      <c r="M922" s="52"/>
      <c r="N922" s="19"/>
      <c r="O922" s="19"/>
      <c r="P922" s="19"/>
      <c r="Q922" s="19"/>
      <c r="R922" s="19"/>
      <c r="S922" s="19"/>
      <c r="T922" s="19"/>
      <c r="U922" s="19"/>
      <c r="V922" s="19"/>
      <c r="W922" s="19"/>
      <c r="X922" s="19"/>
      <c r="Y922" s="19"/>
      <c r="Z922" s="19"/>
      <c r="AA922" s="19"/>
      <c r="AB922" s="19"/>
      <c r="AC922" s="19"/>
      <c r="AD922" s="19"/>
      <c r="AE922" s="19"/>
      <c r="AF922" s="19"/>
      <c r="AG922" s="19"/>
      <c r="AH922" s="19"/>
      <c r="AI922" s="19"/>
      <c r="AJ922" s="19"/>
      <c r="AK922" s="19"/>
      <c r="AL922" s="19"/>
      <c r="AM922" s="19"/>
      <c r="AN922" s="19"/>
      <c r="AO922" s="19"/>
      <c r="AP922" s="19"/>
      <c r="AQ922" s="19"/>
      <c r="AR922" s="19"/>
      <c r="AS922" s="19"/>
      <c r="AT922" s="19"/>
      <c r="AU922" s="19"/>
      <c r="AV922" s="19"/>
      <c r="AW922" s="19"/>
      <c r="AX922" s="19"/>
      <c r="GA922" s="54"/>
    </row>
    <row r="923" spans="1:183" s="18" customFormat="1">
      <c r="A923" s="51"/>
      <c r="B923" s="52"/>
      <c r="C923" s="52"/>
      <c r="D923" s="52"/>
      <c r="E923" s="53"/>
      <c r="F923" s="52"/>
      <c r="G923" s="52"/>
      <c r="H923" s="52"/>
      <c r="I923" s="53"/>
      <c r="J923" s="52"/>
      <c r="K923" s="52"/>
      <c r="L923" s="52"/>
      <c r="M923" s="52"/>
      <c r="N923" s="19"/>
      <c r="O923" s="19"/>
      <c r="P923" s="19"/>
      <c r="Q923" s="19"/>
      <c r="R923" s="19"/>
      <c r="S923" s="19"/>
      <c r="T923" s="19"/>
      <c r="U923" s="19"/>
      <c r="V923" s="19"/>
      <c r="W923" s="19"/>
      <c r="X923" s="19"/>
      <c r="Y923" s="19"/>
      <c r="Z923" s="19"/>
      <c r="AA923" s="19"/>
      <c r="AB923" s="19"/>
      <c r="AC923" s="19"/>
      <c r="AD923" s="19"/>
      <c r="AE923" s="19"/>
      <c r="AF923" s="19"/>
      <c r="AG923" s="19"/>
      <c r="AH923" s="19"/>
      <c r="AI923" s="19"/>
      <c r="AJ923" s="19"/>
      <c r="AK923" s="19"/>
      <c r="AL923" s="19"/>
      <c r="AM923" s="19"/>
      <c r="AN923" s="19"/>
      <c r="AO923" s="19"/>
      <c r="AP923" s="19"/>
      <c r="AQ923" s="19"/>
      <c r="AR923" s="19"/>
      <c r="AS923" s="19"/>
      <c r="AT923" s="19"/>
      <c r="AU923" s="19"/>
      <c r="AV923" s="19"/>
      <c r="AW923" s="19"/>
      <c r="AX923" s="19"/>
      <c r="GA923" s="54"/>
    </row>
    <row r="924" spans="1:183" s="18" customFormat="1">
      <c r="A924" s="51"/>
      <c r="B924" s="52"/>
      <c r="C924" s="52"/>
      <c r="D924" s="52"/>
      <c r="E924" s="53"/>
      <c r="F924" s="52"/>
      <c r="G924" s="52"/>
      <c r="H924" s="52"/>
      <c r="I924" s="53"/>
      <c r="J924" s="52"/>
      <c r="K924" s="52"/>
      <c r="L924" s="52"/>
      <c r="M924" s="52"/>
      <c r="N924" s="19"/>
      <c r="O924" s="19"/>
      <c r="P924" s="19"/>
      <c r="Q924" s="19"/>
      <c r="R924" s="19"/>
      <c r="S924" s="19"/>
      <c r="T924" s="19"/>
      <c r="U924" s="19"/>
      <c r="V924" s="19"/>
      <c r="W924" s="19"/>
      <c r="X924" s="19"/>
      <c r="Y924" s="19"/>
      <c r="Z924" s="19"/>
      <c r="AA924" s="19"/>
      <c r="AB924" s="19"/>
      <c r="AC924" s="19"/>
      <c r="AD924" s="19"/>
      <c r="AE924" s="19"/>
      <c r="AF924" s="19"/>
      <c r="AG924" s="19"/>
      <c r="AH924" s="19"/>
      <c r="AI924" s="19"/>
      <c r="AJ924" s="19"/>
      <c r="AK924" s="19"/>
      <c r="AL924" s="19"/>
      <c r="AM924" s="19"/>
      <c r="AN924" s="19"/>
      <c r="AO924" s="19"/>
      <c r="AP924" s="19"/>
      <c r="AQ924" s="19"/>
      <c r="AR924" s="19"/>
      <c r="AS924" s="19"/>
      <c r="AT924" s="19"/>
      <c r="AU924" s="19"/>
      <c r="AV924" s="19"/>
      <c r="AW924" s="19"/>
      <c r="AX924" s="19"/>
      <c r="GA924" s="54"/>
    </row>
    <row r="925" spans="1:183" s="18" customFormat="1">
      <c r="A925" s="51"/>
      <c r="B925" s="52"/>
      <c r="C925" s="52"/>
      <c r="D925" s="52"/>
      <c r="E925" s="53"/>
      <c r="F925" s="52"/>
      <c r="G925" s="52"/>
      <c r="H925" s="52"/>
      <c r="I925" s="53"/>
      <c r="J925" s="52"/>
      <c r="K925" s="52"/>
      <c r="L925" s="52"/>
      <c r="M925" s="52"/>
      <c r="N925" s="19"/>
      <c r="O925" s="19"/>
      <c r="P925" s="19"/>
      <c r="Q925" s="19"/>
      <c r="R925" s="19"/>
      <c r="S925" s="19"/>
      <c r="T925" s="19"/>
      <c r="U925" s="19"/>
      <c r="V925" s="19"/>
      <c r="W925" s="19"/>
      <c r="X925" s="19"/>
      <c r="Y925" s="19"/>
      <c r="Z925" s="19"/>
      <c r="AA925" s="19"/>
      <c r="AB925" s="19"/>
      <c r="AC925" s="19"/>
      <c r="AD925" s="19"/>
      <c r="AE925" s="19"/>
      <c r="AF925" s="19"/>
      <c r="AG925" s="19"/>
      <c r="AH925" s="19"/>
      <c r="AI925" s="19"/>
      <c r="AJ925" s="19"/>
      <c r="AK925" s="19"/>
      <c r="AL925" s="19"/>
      <c r="AM925" s="19"/>
      <c r="AN925" s="19"/>
      <c r="AO925" s="19"/>
      <c r="AP925" s="19"/>
      <c r="AQ925" s="19"/>
      <c r="AR925" s="19"/>
      <c r="AS925" s="19"/>
      <c r="AT925" s="19"/>
      <c r="AU925" s="19"/>
      <c r="AV925" s="19"/>
      <c r="AW925" s="19"/>
      <c r="AX925" s="19"/>
      <c r="GA925" s="54"/>
    </row>
    <row r="926" spans="1:183" s="18" customFormat="1">
      <c r="A926" s="51"/>
      <c r="B926" s="52"/>
      <c r="C926" s="52"/>
      <c r="D926" s="52"/>
      <c r="E926" s="53"/>
      <c r="F926" s="52"/>
      <c r="G926" s="52"/>
      <c r="H926" s="52"/>
      <c r="I926" s="53"/>
      <c r="J926" s="52"/>
      <c r="K926" s="52"/>
      <c r="L926" s="52"/>
      <c r="M926" s="52"/>
      <c r="N926" s="19"/>
      <c r="O926" s="19"/>
      <c r="P926" s="19"/>
      <c r="Q926" s="19"/>
      <c r="R926" s="19"/>
      <c r="S926" s="19"/>
      <c r="T926" s="19"/>
      <c r="U926" s="19"/>
      <c r="V926" s="19"/>
      <c r="W926" s="19"/>
      <c r="X926" s="19"/>
      <c r="Y926" s="19"/>
      <c r="Z926" s="19"/>
      <c r="AA926" s="19"/>
      <c r="AB926" s="19"/>
      <c r="AC926" s="19"/>
      <c r="AD926" s="19"/>
      <c r="AE926" s="19"/>
      <c r="AF926" s="19"/>
      <c r="AG926" s="19"/>
      <c r="AH926" s="19"/>
      <c r="AI926" s="19"/>
      <c r="AJ926" s="19"/>
      <c r="AK926" s="19"/>
      <c r="AL926" s="19"/>
      <c r="AM926" s="19"/>
      <c r="AN926" s="19"/>
      <c r="AO926" s="19"/>
      <c r="AP926" s="19"/>
      <c r="AQ926" s="19"/>
      <c r="AR926" s="19"/>
      <c r="AS926" s="19"/>
      <c r="AT926" s="19"/>
      <c r="AU926" s="19"/>
      <c r="AV926" s="19"/>
      <c r="AW926" s="19"/>
      <c r="AX926" s="19"/>
      <c r="GA926" s="54"/>
    </row>
    <row r="927" spans="1:183" s="18" customFormat="1">
      <c r="A927" s="51"/>
      <c r="B927" s="52"/>
      <c r="C927" s="52"/>
      <c r="D927" s="52"/>
      <c r="E927" s="53"/>
      <c r="F927" s="52"/>
      <c r="G927" s="52"/>
      <c r="H927" s="52"/>
      <c r="I927" s="53"/>
      <c r="J927" s="52"/>
      <c r="K927" s="52"/>
      <c r="L927" s="52"/>
      <c r="M927" s="52"/>
      <c r="N927" s="19"/>
      <c r="O927" s="19"/>
      <c r="P927" s="19"/>
      <c r="Q927" s="19"/>
      <c r="R927" s="19"/>
      <c r="S927" s="19"/>
      <c r="T927" s="19"/>
      <c r="U927" s="19"/>
      <c r="V927" s="19"/>
      <c r="W927" s="19"/>
      <c r="X927" s="19"/>
      <c r="Y927" s="19"/>
      <c r="Z927" s="19"/>
      <c r="AA927" s="19"/>
      <c r="AB927" s="19"/>
      <c r="AC927" s="19"/>
      <c r="AD927" s="19"/>
      <c r="AE927" s="19"/>
      <c r="AF927" s="19"/>
      <c r="AG927" s="19"/>
      <c r="AH927" s="19"/>
      <c r="AI927" s="19"/>
      <c r="AJ927" s="19"/>
      <c r="AK927" s="19"/>
      <c r="AL927" s="19"/>
      <c r="AM927" s="19"/>
      <c r="AN927" s="19"/>
      <c r="AO927" s="19"/>
      <c r="AP927" s="19"/>
      <c r="AQ927" s="19"/>
      <c r="AR927" s="19"/>
      <c r="AS927" s="19"/>
      <c r="AT927" s="19"/>
      <c r="AU927" s="19"/>
      <c r="AV927" s="19"/>
      <c r="AW927" s="19"/>
      <c r="AX927" s="19"/>
      <c r="GA927" s="54"/>
    </row>
    <row r="928" spans="1:183" s="18" customFormat="1">
      <c r="A928" s="51"/>
      <c r="B928" s="52"/>
      <c r="C928" s="52"/>
      <c r="D928" s="52"/>
      <c r="E928" s="53"/>
      <c r="F928" s="52"/>
      <c r="G928" s="52"/>
      <c r="H928" s="52"/>
      <c r="I928" s="53"/>
      <c r="J928" s="52"/>
      <c r="K928" s="52"/>
      <c r="L928" s="52"/>
      <c r="M928" s="52"/>
      <c r="N928" s="19"/>
      <c r="O928" s="19"/>
      <c r="P928" s="19"/>
      <c r="Q928" s="19"/>
      <c r="R928" s="19"/>
      <c r="S928" s="19"/>
      <c r="T928" s="19"/>
      <c r="U928" s="19"/>
      <c r="V928" s="19"/>
      <c r="W928" s="19"/>
      <c r="X928" s="19"/>
      <c r="Y928" s="19"/>
      <c r="Z928" s="19"/>
      <c r="AA928" s="19"/>
      <c r="AB928" s="19"/>
      <c r="AC928" s="19"/>
      <c r="AD928" s="19"/>
      <c r="AE928" s="19"/>
      <c r="AF928" s="19"/>
      <c r="AG928" s="19"/>
      <c r="AH928" s="19"/>
      <c r="AI928" s="19"/>
      <c r="AJ928" s="19"/>
      <c r="AK928" s="19"/>
      <c r="AL928" s="19"/>
      <c r="AM928" s="19"/>
      <c r="AN928" s="19"/>
      <c r="AO928" s="19"/>
      <c r="AP928" s="19"/>
      <c r="AQ928" s="19"/>
      <c r="AR928" s="19"/>
      <c r="AS928" s="19"/>
      <c r="AT928" s="19"/>
      <c r="AU928" s="19"/>
      <c r="AV928" s="19"/>
      <c r="AW928" s="19"/>
      <c r="AX928" s="19"/>
      <c r="GA928" s="54"/>
    </row>
    <row r="929" spans="1:183" s="18" customFormat="1">
      <c r="A929" s="51"/>
      <c r="B929" s="52"/>
      <c r="C929" s="52"/>
      <c r="D929" s="52"/>
      <c r="E929" s="53"/>
      <c r="F929" s="52"/>
      <c r="G929" s="52"/>
      <c r="H929" s="52"/>
      <c r="I929" s="53"/>
      <c r="J929" s="52"/>
      <c r="K929" s="52"/>
      <c r="L929" s="52"/>
      <c r="M929" s="52"/>
      <c r="N929" s="19"/>
      <c r="O929" s="19"/>
      <c r="P929" s="19"/>
      <c r="Q929" s="19"/>
      <c r="R929" s="19"/>
      <c r="S929" s="19"/>
      <c r="T929" s="19"/>
      <c r="U929" s="19"/>
      <c r="V929" s="19"/>
      <c r="W929" s="19"/>
      <c r="X929" s="19"/>
      <c r="Y929" s="19"/>
      <c r="Z929" s="19"/>
      <c r="AA929" s="19"/>
      <c r="AB929" s="19"/>
      <c r="AC929" s="19"/>
      <c r="AD929" s="19"/>
      <c r="AE929" s="19"/>
      <c r="AF929" s="19"/>
      <c r="AG929" s="19"/>
      <c r="AH929" s="19"/>
      <c r="AI929" s="19"/>
      <c r="AJ929" s="19"/>
      <c r="AK929" s="19"/>
      <c r="AL929" s="19"/>
      <c r="AM929" s="19"/>
      <c r="AN929" s="19"/>
      <c r="AO929" s="19"/>
      <c r="AP929" s="19"/>
      <c r="AQ929" s="19"/>
      <c r="AR929" s="19"/>
      <c r="AS929" s="19"/>
      <c r="AT929" s="19"/>
      <c r="AU929" s="19"/>
      <c r="AV929" s="19"/>
      <c r="AW929" s="19"/>
      <c r="AX929" s="19"/>
      <c r="GA929" s="54"/>
    </row>
    <row r="930" spans="1:183" s="18" customFormat="1">
      <c r="A930" s="51"/>
      <c r="B930" s="52"/>
      <c r="C930" s="52"/>
      <c r="D930" s="52"/>
      <c r="E930" s="53"/>
      <c r="F930" s="52"/>
      <c r="G930" s="52"/>
      <c r="H930" s="52"/>
      <c r="I930" s="53"/>
      <c r="J930" s="52"/>
      <c r="K930" s="52"/>
      <c r="L930" s="52"/>
      <c r="M930" s="52"/>
      <c r="N930" s="19"/>
      <c r="O930" s="19"/>
      <c r="P930" s="19"/>
      <c r="Q930" s="19"/>
      <c r="R930" s="19"/>
      <c r="S930" s="19"/>
      <c r="T930" s="19"/>
      <c r="U930" s="19"/>
      <c r="V930" s="19"/>
      <c r="W930" s="19"/>
      <c r="X930" s="19"/>
      <c r="Y930" s="19"/>
      <c r="Z930" s="19"/>
      <c r="AA930" s="19"/>
      <c r="AB930" s="19"/>
      <c r="AC930" s="19"/>
      <c r="AD930" s="19"/>
      <c r="AE930" s="19"/>
      <c r="AF930" s="19"/>
      <c r="AG930" s="19"/>
      <c r="AH930" s="19"/>
      <c r="AI930" s="19"/>
      <c r="AJ930" s="19"/>
      <c r="AK930" s="19"/>
      <c r="AL930" s="19"/>
      <c r="AM930" s="19"/>
      <c r="AN930" s="19"/>
      <c r="AO930" s="19"/>
      <c r="AP930" s="19"/>
      <c r="AQ930" s="19"/>
      <c r="AR930" s="19"/>
      <c r="AS930" s="19"/>
      <c r="AT930" s="19"/>
      <c r="AU930" s="19"/>
      <c r="AV930" s="19"/>
      <c r="AW930" s="19"/>
      <c r="AX930" s="19"/>
      <c r="GA930" s="54"/>
    </row>
    <row r="931" spans="1:183" s="18" customFormat="1">
      <c r="A931" s="51"/>
      <c r="B931" s="52"/>
      <c r="C931" s="52"/>
      <c r="D931" s="52"/>
      <c r="E931" s="53"/>
      <c r="F931" s="52"/>
      <c r="G931" s="52"/>
      <c r="H931" s="52"/>
      <c r="I931" s="53"/>
      <c r="J931" s="52"/>
      <c r="K931" s="52"/>
      <c r="L931" s="52"/>
      <c r="M931" s="52"/>
      <c r="N931" s="19"/>
      <c r="O931" s="19"/>
      <c r="P931" s="19"/>
      <c r="Q931" s="19"/>
      <c r="R931" s="19"/>
      <c r="S931" s="19"/>
      <c r="T931" s="19"/>
      <c r="U931" s="19"/>
      <c r="V931" s="19"/>
      <c r="W931" s="19"/>
      <c r="X931" s="19"/>
      <c r="Y931" s="19"/>
      <c r="Z931" s="19"/>
      <c r="AA931" s="19"/>
      <c r="AB931" s="19"/>
      <c r="AC931" s="19"/>
      <c r="AD931" s="19"/>
      <c r="AE931" s="19"/>
      <c r="AF931" s="19"/>
      <c r="AG931" s="19"/>
      <c r="AH931" s="19"/>
      <c r="AI931" s="19"/>
      <c r="AJ931" s="19"/>
      <c r="AK931" s="19"/>
      <c r="AL931" s="19"/>
      <c r="AM931" s="19"/>
      <c r="AN931" s="19"/>
      <c r="AO931" s="19"/>
      <c r="AP931" s="19"/>
      <c r="AQ931" s="19"/>
      <c r="AR931" s="19"/>
      <c r="AS931" s="19"/>
      <c r="AT931" s="19"/>
      <c r="AU931" s="19"/>
      <c r="AV931" s="19"/>
      <c r="AW931" s="19"/>
      <c r="AX931" s="19"/>
      <c r="GA931" s="54"/>
    </row>
    <row r="932" spans="1:183" s="18" customFormat="1">
      <c r="A932" s="51"/>
      <c r="B932" s="52"/>
      <c r="C932" s="52"/>
      <c r="D932" s="52"/>
      <c r="E932" s="53"/>
      <c r="F932" s="52"/>
      <c r="G932" s="52"/>
      <c r="H932" s="52"/>
      <c r="I932" s="53"/>
      <c r="J932" s="52"/>
      <c r="K932" s="52"/>
      <c r="L932" s="52"/>
      <c r="M932" s="52"/>
      <c r="N932" s="19"/>
      <c r="O932" s="19"/>
      <c r="P932" s="19"/>
      <c r="Q932" s="19"/>
      <c r="R932" s="19"/>
      <c r="S932" s="19"/>
      <c r="T932" s="19"/>
      <c r="U932" s="19"/>
      <c r="V932" s="19"/>
      <c r="W932" s="19"/>
      <c r="X932" s="19"/>
      <c r="Y932" s="19"/>
      <c r="Z932" s="19"/>
      <c r="AA932" s="19"/>
      <c r="AB932" s="19"/>
      <c r="AC932" s="19"/>
      <c r="AD932" s="19"/>
      <c r="AE932" s="19"/>
      <c r="AF932" s="19"/>
      <c r="AG932" s="19"/>
      <c r="AH932" s="19"/>
      <c r="AI932" s="19"/>
      <c r="AJ932" s="19"/>
      <c r="AK932" s="19"/>
      <c r="AL932" s="19"/>
      <c r="AM932" s="19"/>
      <c r="AN932" s="19"/>
      <c r="AO932" s="19"/>
      <c r="AP932" s="19"/>
      <c r="AQ932" s="19"/>
      <c r="AR932" s="19"/>
      <c r="AS932" s="19"/>
      <c r="AT932" s="19"/>
      <c r="AU932" s="19"/>
      <c r="AV932" s="19"/>
      <c r="AW932" s="19"/>
      <c r="AX932" s="19"/>
      <c r="GA932" s="54"/>
    </row>
    <row r="933" spans="1:183" s="18" customFormat="1">
      <c r="A933" s="51"/>
      <c r="B933" s="52"/>
      <c r="C933" s="52"/>
      <c r="D933" s="52"/>
      <c r="E933" s="53"/>
      <c r="F933" s="52"/>
      <c r="G933" s="52"/>
      <c r="H933" s="52"/>
      <c r="I933" s="53"/>
      <c r="J933" s="52"/>
      <c r="K933" s="52"/>
      <c r="L933" s="52"/>
      <c r="M933" s="52"/>
      <c r="N933" s="19"/>
      <c r="O933" s="19"/>
      <c r="P933" s="19"/>
      <c r="Q933" s="19"/>
      <c r="R933" s="19"/>
      <c r="S933" s="19"/>
      <c r="T933" s="19"/>
      <c r="U933" s="19"/>
      <c r="V933" s="19"/>
      <c r="W933" s="19"/>
      <c r="X933" s="19"/>
      <c r="Y933" s="19"/>
      <c r="Z933" s="19"/>
      <c r="AA933" s="19"/>
      <c r="AB933" s="19"/>
      <c r="AC933" s="19"/>
      <c r="AD933" s="19"/>
      <c r="AE933" s="19"/>
      <c r="AF933" s="19"/>
      <c r="AG933" s="19"/>
      <c r="AH933" s="19"/>
      <c r="AI933" s="19"/>
      <c r="AJ933" s="19"/>
      <c r="AK933" s="19"/>
      <c r="AL933" s="19"/>
      <c r="AM933" s="19"/>
      <c r="AN933" s="19"/>
      <c r="AO933" s="19"/>
      <c r="AP933" s="19"/>
      <c r="AQ933" s="19"/>
      <c r="AR933" s="19"/>
      <c r="AS933" s="19"/>
      <c r="AT933" s="19"/>
      <c r="AU933" s="19"/>
      <c r="AV933" s="19"/>
      <c r="AW933" s="19"/>
      <c r="AX933" s="19"/>
      <c r="GA933" s="54"/>
    </row>
    <row r="934" spans="1:183" s="18" customFormat="1">
      <c r="A934" s="51"/>
      <c r="B934" s="52"/>
      <c r="C934" s="52"/>
      <c r="D934" s="52"/>
      <c r="E934" s="53"/>
      <c r="F934" s="52"/>
      <c r="G934" s="52"/>
      <c r="H934" s="52"/>
      <c r="I934" s="53"/>
      <c r="J934" s="52"/>
      <c r="K934" s="52"/>
      <c r="L934" s="52"/>
      <c r="M934" s="52"/>
      <c r="N934" s="19"/>
      <c r="O934" s="19"/>
      <c r="P934" s="19"/>
      <c r="Q934" s="19"/>
      <c r="R934" s="19"/>
      <c r="S934" s="19"/>
      <c r="T934" s="19"/>
      <c r="U934" s="19"/>
      <c r="V934" s="19"/>
      <c r="W934" s="19"/>
      <c r="X934" s="19"/>
      <c r="Y934" s="19"/>
      <c r="Z934" s="19"/>
      <c r="AA934" s="19"/>
      <c r="AB934" s="19"/>
      <c r="AC934" s="19"/>
      <c r="AD934" s="19"/>
      <c r="AE934" s="19"/>
      <c r="AF934" s="19"/>
      <c r="AG934" s="19"/>
      <c r="AH934" s="19"/>
      <c r="AI934" s="19"/>
      <c r="AJ934" s="19"/>
      <c r="AK934" s="19"/>
      <c r="AL934" s="19"/>
      <c r="AM934" s="19"/>
      <c r="AN934" s="19"/>
      <c r="AO934" s="19"/>
      <c r="AP934" s="19"/>
      <c r="AQ934" s="19"/>
      <c r="AR934" s="19"/>
      <c r="AS934" s="19"/>
      <c r="AT934" s="19"/>
      <c r="AU934" s="19"/>
      <c r="AV934" s="19"/>
      <c r="AW934" s="19"/>
      <c r="AX934" s="19"/>
      <c r="GA934" s="54"/>
    </row>
    <row r="935" spans="1:183" s="18" customFormat="1">
      <c r="A935" s="51"/>
      <c r="B935" s="52"/>
      <c r="C935" s="52"/>
      <c r="D935" s="52"/>
      <c r="E935" s="53"/>
      <c r="F935" s="52"/>
      <c r="G935" s="52"/>
      <c r="H935" s="52"/>
      <c r="I935" s="53"/>
      <c r="J935" s="52"/>
      <c r="K935" s="52"/>
      <c r="L935" s="52"/>
      <c r="M935" s="52"/>
      <c r="N935" s="19"/>
      <c r="O935" s="19"/>
      <c r="P935" s="19"/>
      <c r="Q935" s="19"/>
      <c r="R935" s="19"/>
      <c r="S935" s="19"/>
      <c r="T935" s="19"/>
      <c r="U935" s="19"/>
      <c r="V935" s="19"/>
      <c r="W935" s="19"/>
      <c r="X935" s="19"/>
      <c r="Y935" s="19"/>
      <c r="Z935" s="19"/>
      <c r="AA935" s="19"/>
      <c r="AB935" s="19"/>
      <c r="AC935" s="19"/>
      <c r="AD935" s="19"/>
      <c r="AE935" s="19"/>
      <c r="AF935" s="19"/>
      <c r="AG935" s="19"/>
      <c r="AH935" s="19"/>
      <c r="AI935" s="19"/>
      <c r="AJ935" s="19"/>
      <c r="AK935" s="19"/>
      <c r="AL935" s="19"/>
      <c r="AM935" s="19"/>
      <c r="AN935" s="19"/>
      <c r="AO935" s="19"/>
      <c r="AP935" s="19"/>
      <c r="AQ935" s="19"/>
      <c r="AR935" s="19"/>
      <c r="AS935" s="19"/>
      <c r="AT935" s="19"/>
      <c r="AU935" s="19"/>
      <c r="AV935" s="19"/>
      <c r="AW935" s="19"/>
      <c r="AX935" s="19"/>
      <c r="GA935" s="54"/>
    </row>
    <row r="936" spans="1:183" s="18" customFormat="1">
      <c r="A936" s="51"/>
      <c r="B936" s="52"/>
      <c r="C936" s="52"/>
      <c r="D936" s="52"/>
      <c r="E936" s="53"/>
      <c r="F936" s="52"/>
      <c r="G936" s="52"/>
      <c r="H936" s="52"/>
      <c r="I936" s="53"/>
      <c r="J936" s="52"/>
      <c r="K936" s="52"/>
      <c r="L936" s="52"/>
      <c r="M936" s="52"/>
      <c r="N936" s="19"/>
      <c r="O936" s="19"/>
      <c r="P936" s="19"/>
      <c r="Q936" s="19"/>
      <c r="R936" s="19"/>
      <c r="S936" s="19"/>
      <c r="T936" s="19"/>
      <c r="U936" s="19"/>
      <c r="V936" s="19"/>
      <c r="W936" s="19"/>
      <c r="X936" s="19"/>
      <c r="Y936" s="19"/>
      <c r="Z936" s="19"/>
      <c r="AA936" s="19"/>
      <c r="AB936" s="19"/>
      <c r="AC936" s="19"/>
      <c r="AD936" s="19"/>
      <c r="AE936" s="19"/>
      <c r="AF936" s="19"/>
      <c r="AG936" s="19"/>
      <c r="AH936" s="19"/>
      <c r="AI936" s="19"/>
      <c r="AJ936" s="19"/>
      <c r="AK936" s="19"/>
      <c r="AL936" s="19"/>
      <c r="AM936" s="19"/>
      <c r="AN936" s="19"/>
      <c r="AO936" s="19"/>
      <c r="AP936" s="19"/>
      <c r="AQ936" s="19"/>
      <c r="AR936" s="19"/>
      <c r="AS936" s="19"/>
      <c r="AT936" s="19"/>
      <c r="AU936" s="19"/>
      <c r="AV936" s="19"/>
      <c r="AW936" s="19"/>
      <c r="AX936" s="19"/>
      <c r="GA936" s="54"/>
    </row>
    <row r="937" spans="1:183" s="18" customFormat="1">
      <c r="A937" s="51"/>
      <c r="B937" s="52"/>
      <c r="C937" s="52"/>
      <c r="D937" s="52"/>
      <c r="E937" s="53"/>
      <c r="F937" s="52"/>
      <c r="G937" s="52"/>
      <c r="H937" s="52"/>
      <c r="I937" s="53"/>
      <c r="J937" s="52"/>
      <c r="K937" s="52"/>
      <c r="L937" s="52"/>
      <c r="M937" s="52"/>
      <c r="N937" s="19"/>
      <c r="O937" s="19"/>
      <c r="P937" s="19"/>
      <c r="Q937" s="19"/>
      <c r="R937" s="19"/>
      <c r="S937" s="19"/>
      <c r="T937" s="19"/>
      <c r="U937" s="19"/>
      <c r="V937" s="19"/>
      <c r="W937" s="19"/>
      <c r="X937" s="19"/>
      <c r="Y937" s="19"/>
      <c r="Z937" s="19"/>
      <c r="AA937" s="19"/>
      <c r="AB937" s="19"/>
      <c r="AC937" s="19"/>
      <c r="AD937" s="19"/>
      <c r="AE937" s="19"/>
      <c r="AF937" s="19"/>
      <c r="AG937" s="19"/>
      <c r="AH937" s="19"/>
      <c r="AI937" s="19"/>
      <c r="AJ937" s="19"/>
      <c r="AK937" s="19"/>
      <c r="AL937" s="19"/>
      <c r="AM937" s="19"/>
      <c r="AN937" s="19"/>
      <c r="AO937" s="19"/>
      <c r="AP937" s="19"/>
      <c r="AQ937" s="19"/>
      <c r="AR937" s="19"/>
      <c r="AS937" s="19"/>
      <c r="AT937" s="19"/>
      <c r="AU937" s="19"/>
      <c r="AV937" s="19"/>
      <c r="AW937" s="19"/>
      <c r="AX937" s="19"/>
      <c r="GA937" s="54"/>
    </row>
    <row r="938" spans="1:183" s="18" customFormat="1">
      <c r="A938" s="51"/>
      <c r="B938" s="52"/>
      <c r="C938" s="52"/>
      <c r="D938" s="52"/>
      <c r="E938" s="53"/>
      <c r="F938" s="52"/>
      <c r="G938" s="52"/>
      <c r="H938" s="52"/>
      <c r="I938" s="53"/>
      <c r="J938" s="52"/>
      <c r="K938" s="52"/>
      <c r="L938" s="52"/>
      <c r="M938" s="52"/>
      <c r="N938" s="19"/>
      <c r="O938" s="19"/>
      <c r="P938" s="19"/>
      <c r="Q938" s="19"/>
      <c r="R938" s="19"/>
      <c r="S938" s="19"/>
      <c r="T938" s="19"/>
      <c r="U938" s="19"/>
      <c r="V938" s="19"/>
      <c r="W938" s="19"/>
      <c r="X938" s="19"/>
      <c r="Y938" s="19"/>
      <c r="Z938" s="19"/>
      <c r="AA938" s="19"/>
      <c r="AB938" s="19"/>
      <c r="AC938" s="19"/>
      <c r="AD938" s="19"/>
      <c r="AE938" s="19"/>
      <c r="AF938" s="19"/>
      <c r="AG938" s="19"/>
      <c r="AH938" s="19"/>
      <c r="AI938" s="19"/>
      <c r="AJ938" s="19"/>
      <c r="AK938" s="19"/>
      <c r="AL938" s="19"/>
      <c r="AM938" s="19"/>
      <c r="AN938" s="19"/>
      <c r="AO938" s="19"/>
      <c r="AP938" s="19"/>
      <c r="AQ938" s="19"/>
      <c r="AR938" s="19"/>
      <c r="AS938" s="19"/>
      <c r="AT938" s="19"/>
      <c r="AU938" s="19"/>
      <c r="AV938" s="19"/>
      <c r="AW938" s="19"/>
      <c r="AX938" s="19"/>
      <c r="GA938" s="54"/>
    </row>
    <row r="939" spans="1:183" s="18" customFormat="1">
      <c r="A939" s="51"/>
      <c r="B939" s="52"/>
      <c r="C939" s="52"/>
      <c r="D939" s="52"/>
      <c r="E939" s="53"/>
      <c r="F939" s="52"/>
      <c r="G939" s="52"/>
      <c r="H939" s="52"/>
      <c r="I939" s="53"/>
      <c r="J939" s="52"/>
      <c r="K939" s="52"/>
      <c r="L939" s="52"/>
      <c r="M939" s="52"/>
      <c r="N939" s="19"/>
      <c r="O939" s="19"/>
      <c r="P939" s="19"/>
      <c r="Q939" s="19"/>
      <c r="R939" s="19"/>
      <c r="S939" s="19"/>
      <c r="T939" s="19"/>
      <c r="U939" s="19"/>
      <c r="V939" s="19"/>
      <c r="W939" s="19"/>
      <c r="X939" s="19"/>
      <c r="Y939" s="19"/>
      <c r="Z939" s="19"/>
      <c r="AA939" s="19"/>
      <c r="AB939" s="19"/>
      <c r="AC939" s="19"/>
      <c r="AD939" s="19"/>
      <c r="AE939" s="19"/>
      <c r="AF939" s="19"/>
      <c r="AG939" s="19"/>
      <c r="AH939" s="19"/>
      <c r="AI939" s="19"/>
      <c r="AJ939" s="19"/>
      <c r="AK939" s="19"/>
      <c r="AL939" s="19"/>
      <c r="AM939" s="19"/>
      <c r="AN939" s="19"/>
      <c r="AO939" s="19"/>
      <c r="AP939" s="19"/>
      <c r="AQ939" s="19"/>
      <c r="AR939" s="19"/>
      <c r="AS939" s="19"/>
      <c r="AT939" s="19"/>
      <c r="AU939" s="19"/>
      <c r="AV939" s="19"/>
      <c r="AW939" s="19"/>
      <c r="AX939" s="19"/>
      <c r="GA939" s="54"/>
    </row>
    <row r="940" spans="1:183" s="18" customFormat="1">
      <c r="A940" s="51"/>
      <c r="B940" s="52"/>
      <c r="C940" s="52"/>
      <c r="D940" s="52"/>
      <c r="E940" s="53"/>
      <c r="F940" s="52"/>
      <c r="G940" s="52"/>
      <c r="H940" s="52"/>
      <c r="I940" s="53"/>
      <c r="J940" s="52"/>
      <c r="K940" s="52"/>
      <c r="L940" s="52"/>
      <c r="M940" s="52"/>
      <c r="N940" s="19"/>
      <c r="O940" s="19"/>
      <c r="P940" s="19"/>
      <c r="Q940" s="19"/>
      <c r="R940" s="19"/>
      <c r="S940" s="19"/>
      <c r="T940" s="19"/>
      <c r="U940" s="19"/>
      <c r="V940" s="19"/>
      <c r="W940" s="19"/>
      <c r="X940" s="19"/>
      <c r="Y940" s="19"/>
      <c r="Z940" s="19"/>
      <c r="AA940" s="19"/>
      <c r="AB940" s="19"/>
      <c r="AC940" s="19"/>
      <c r="AD940" s="19"/>
      <c r="AE940" s="19"/>
      <c r="AF940" s="19"/>
      <c r="AG940" s="19"/>
      <c r="AH940" s="19"/>
      <c r="AI940" s="19"/>
      <c r="AJ940" s="19"/>
      <c r="AK940" s="19"/>
      <c r="AL940" s="19"/>
      <c r="AM940" s="19"/>
      <c r="AN940" s="19"/>
      <c r="AO940" s="19"/>
      <c r="AP940" s="19"/>
      <c r="AQ940" s="19"/>
      <c r="AR940" s="19"/>
      <c r="AS940" s="19"/>
      <c r="AT940" s="19"/>
      <c r="AU940" s="19"/>
      <c r="AV940" s="19"/>
      <c r="AW940" s="19"/>
      <c r="AX940" s="19"/>
      <c r="GA940" s="54"/>
    </row>
    <row r="941" spans="1:183" s="18" customFormat="1">
      <c r="A941" s="51"/>
      <c r="B941" s="52"/>
      <c r="C941" s="52"/>
      <c r="D941" s="52"/>
      <c r="E941" s="53"/>
      <c r="F941" s="52"/>
      <c r="G941" s="52"/>
      <c r="H941" s="52"/>
      <c r="I941" s="53"/>
      <c r="J941" s="52"/>
      <c r="K941" s="52"/>
      <c r="L941" s="52"/>
      <c r="M941" s="52"/>
      <c r="N941" s="19"/>
      <c r="O941" s="19"/>
      <c r="P941" s="19"/>
      <c r="Q941" s="19"/>
      <c r="R941" s="19"/>
      <c r="S941" s="19"/>
      <c r="T941" s="19"/>
      <c r="U941" s="19"/>
      <c r="V941" s="19"/>
      <c r="W941" s="19"/>
      <c r="X941" s="19"/>
      <c r="Y941" s="19"/>
      <c r="Z941" s="19"/>
      <c r="AA941" s="19"/>
      <c r="AB941" s="19"/>
      <c r="AC941" s="19"/>
      <c r="AD941" s="19"/>
      <c r="AE941" s="19"/>
      <c r="AF941" s="19"/>
      <c r="AG941" s="19"/>
      <c r="AH941" s="19"/>
      <c r="AI941" s="19"/>
      <c r="AJ941" s="19"/>
      <c r="AK941" s="19"/>
      <c r="AL941" s="19"/>
      <c r="AM941" s="19"/>
      <c r="AN941" s="19"/>
      <c r="AO941" s="19"/>
      <c r="AP941" s="19"/>
      <c r="AQ941" s="19"/>
      <c r="AR941" s="19"/>
      <c r="AS941" s="19"/>
      <c r="AT941" s="19"/>
      <c r="AU941" s="19"/>
      <c r="AV941" s="19"/>
      <c r="AW941" s="19"/>
      <c r="AX941" s="19"/>
      <c r="GA941" s="54"/>
    </row>
    <row r="942" spans="1:183" s="18" customFormat="1">
      <c r="A942" s="51"/>
      <c r="B942" s="52"/>
      <c r="C942" s="52"/>
      <c r="D942" s="52"/>
      <c r="E942" s="53"/>
      <c r="F942" s="52"/>
      <c r="G942" s="52"/>
      <c r="H942" s="52"/>
      <c r="I942" s="53"/>
      <c r="J942" s="52"/>
      <c r="K942" s="52"/>
      <c r="L942" s="52"/>
      <c r="M942" s="52"/>
      <c r="N942" s="19"/>
      <c r="O942" s="19"/>
      <c r="P942" s="19"/>
      <c r="Q942" s="19"/>
      <c r="R942" s="19"/>
      <c r="S942" s="19"/>
      <c r="T942" s="19"/>
      <c r="U942" s="19"/>
      <c r="V942" s="19"/>
      <c r="W942" s="19"/>
      <c r="X942" s="19"/>
      <c r="Y942" s="19"/>
      <c r="Z942" s="19"/>
      <c r="AA942" s="19"/>
      <c r="AB942" s="19"/>
      <c r="AC942" s="19"/>
      <c r="AD942" s="19"/>
      <c r="AE942" s="19"/>
      <c r="AF942" s="19"/>
      <c r="AG942" s="19"/>
      <c r="AH942" s="19"/>
      <c r="AI942" s="19"/>
      <c r="AJ942" s="19"/>
      <c r="AK942" s="19"/>
      <c r="AL942" s="19"/>
      <c r="AM942" s="19"/>
      <c r="AN942" s="19"/>
      <c r="AO942" s="19"/>
      <c r="AP942" s="19"/>
      <c r="AQ942" s="19"/>
      <c r="AR942" s="19"/>
      <c r="AS942" s="19"/>
      <c r="AT942" s="19"/>
      <c r="AU942" s="19"/>
      <c r="AV942" s="19"/>
      <c r="AW942" s="19"/>
      <c r="AX942" s="19"/>
      <c r="GA942" s="54"/>
    </row>
    <row r="943" spans="1:183" s="18" customFormat="1">
      <c r="A943" s="51"/>
      <c r="B943" s="52"/>
      <c r="C943" s="52"/>
      <c r="D943" s="52"/>
      <c r="E943" s="53"/>
      <c r="F943" s="52"/>
      <c r="G943" s="52"/>
      <c r="H943" s="52"/>
      <c r="I943" s="53"/>
      <c r="J943" s="52"/>
      <c r="K943" s="52"/>
      <c r="L943" s="52"/>
      <c r="M943" s="52"/>
      <c r="N943" s="19"/>
      <c r="O943" s="19"/>
      <c r="P943" s="19"/>
      <c r="Q943" s="19"/>
      <c r="R943" s="19"/>
      <c r="S943" s="19"/>
      <c r="T943" s="19"/>
      <c r="U943" s="19"/>
      <c r="V943" s="19"/>
      <c r="W943" s="19"/>
      <c r="X943" s="19"/>
      <c r="Y943" s="19"/>
      <c r="Z943" s="19"/>
      <c r="AA943" s="19"/>
      <c r="AB943" s="19"/>
      <c r="AC943" s="19"/>
      <c r="AD943" s="19"/>
      <c r="AE943" s="19"/>
      <c r="AF943" s="19"/>
      <c r="AG943" s="19"/>
      <c r="AH943" s="19"/>
      <c r="AI943" s="19"/>
      <c r="AJ943" s="19"/>
      <c r="AK943" s="19"/>
      <c r="AL943" s="19"/>
      <c r="AM943" s="19"/>
      <c r="AN943" s="19"/>
      <c r="AO943" s="19"/>
      <c r="AP943" s="19"/>
      <c r="AQ943" s="19"/>
      <c r="AR943" s="19"/>
      <c r="AS943" s="19"/>
      <c r="AT943" s="19"/>
      <c r="AU943" s="19"/>
      <c r="AV943" s="19"/>
      <c r="AW943" s="19"/>
      <c r="AX943" s="19"/>
      <c r="GA943" s="54"/>
    </row>
    <row r="944" spans="1:183" s="18" customFormat="1">
      <c r="A944" s="51"/>
      <c r="B944" s="52"/>
      <c r="C944" s="52"/>
      <c r="D944" s="52"/>
      <c r="E944" s="53"/>
      <c r="F944" s="52"/>
      <c r="G944" s="52"/>
      <c r="H944" s="52"/>
      <c r="I944" s="53"/>
      <c r="J944" s="52"/>
      <c r="K944" s="52"/>
      <c r="L944" s="52"/>
      <c r="M944" s="52"/>
      <c r="N944" s="19"/>
      <c r="O944" s="19"/>
      <c r="P944" s="19"/>
      <c r="Q944" s="19"/>
      <c r="R944" s="19"/>
      <c r="S944" s="19"/>
      <c r="T944" s="19"/>
      <c r="U944" s="19"/>
      <c r="V944" s="19"/>
      <c r="W944" s="19"/>
      <c r="X944" s="19"/>
      <c r="Y944" s="19"/>
      <c r="Z944" s="19"/>
      <c r="AA944" s="19"/>
      <c r="AB944" s="19"/>
      <c r="AC944" s="19"/>
      <c r="AD944" s="19"/>
      <c r="AE944" s="19"/>
      <c r="AF944" s="19"/>
      <c r="AG944" s="19"/>
      <c r="AH944" s="19"/>
      <c r="AI944" s="19"/>
      <c r="AJ944" s="19"/>
      <c r="AK944" s="19"/>
      <c r="AL944" s="19"/>
      <c r="AM944" s="19"/>
      <c r="AN944" s="19"/>
      <c r="AO944" s="19"/>
      <c r="AP944" s="19"/>
      <c r="AQ944" s="19"/>
      <c r="AR944" s="19"/>
      <c r="AS944" s="19"/>
      <c r="AT944" s="19"/>
      <c r="AU944" s="19"/>
      <c r="AV944" s="19"/>
      <c r="AW944" s="19"/>
      <c r="AX944" s="19"/>
      <c r="GA944" s="54"/>
    </row>
    <row r="945" spans="1:183" s="18" customFormat="1">
      <c r="A945" s="51"/>
      <c r="B945" s="52"/>
      <c r="C945" s="52"/>
      <c r="D945" s="52"/>
      <c r="E945" s="53"/>
      <c r="F945" s="52"/>
      <c r="G945" s="52"/>
      <c r="H945" s="52"/>
      <c r="I945" s="53"/>
      <c r="J945" s="52"/>
      <c r="K945" s="52"/>
      <c r="L945" s="52"/>
      <c r="M945" s="52"/>
      <c r="N945" s="19"/>
      <c r="O945" s="19"/>
      <c r="P945" s="19"/>
      <c r="Q945" s="19"/>
      <c r="R945" s="19"/>
      <c r="S945" s="19"/>
      <c r="T945" s="19"/>
      <c r="U945" s="19"/>
      <c r="V945" s="19"/>
      <c r="W945" s="19"/>
      <c r="X945" s="19"/>
      <c r="Y945" s="19"/>
      <c r="Z945" s="19"/>
      <c r="AA945" s="19"/>
      <c r="AB945" s="19"/>
      <c r="AC945" s="19"/>
      <c r="AD945" s="19"/>
      <c r="AE945" s="19"/>
      <c r="AF945" s="19"/>
      <c r="AG945" s="19"/>
      <c r="AH945" s="19"/>
      <c r="AI945" s="19"/>
      <c r="AJ945" s="19"/>
      <c r="AK945" s="19"/>
      <c r="AL945" s="19"/>
      <c r="AM945" s="19"/>
      <c r="AN945" s="19"/>
      <c r="AO945" s="19"/>
      <c r="AP945" s="19"/>
      <c r="AQ945" s="19"/>
      <c r="AR945" s="19"/>
      <c r="AS945" s="19"/>
      <c r="AT945" s="19"/>
      <c r="AU945" s="19"/>
      <c r="AV945" s="19"/>
      <c r="AW945" s="19"/>
      <c r="AX945" s="19"/>
      <c r="GA945" s="54"/>
    </row>
    <row r="946" spans="1:183" s="18" customFormat="1">
      <c r="A946" s="51"/>
      <c r="B946" s="52"/>
      <c r="C946" s="52"/>
      <c r="D946" s="52"/>
      <c r="E946" s="53"/>
      <c r="F946" s="52"/>
      <c r="G946" s="52"/>
      <c r="H946" s="52"/>
      <c r="I946" s="53"/>
      <c r="J946" s="52"/>
      <c r="K946" s="52"/>
      <c r="L946" s="52"/>
      <c r="M946" s="52"/>
      <c r="N946" s="19"/>
      <c r="O946" s="19"/>
      <c r="P946" s="19"/>
      <c r="Q946" s="19"/>
      <c r="R946" s="19"/>
      <c r="S946" s="19"/>
      <c r="T946" s="19"/>
      <c r="U946" s="19"/>
      <c r="V946" s="19"/>
      <c r="W946" s="19"/>
      <c r="X946" s="19"/>
      <c r="Y946" s="19"/>
      <c r="Z946" s="19"/>
      <c r="AA946" s="19"/>
      <c r="AB946" s="19"/>
      <c r="AC946" s="19"/>
      <c r="AD946" s="19"/>
      <c r="AE946" s="19"/>
      <c r="AF946" s="19"/>
      <c r="AG946" s="19"/>
      <c r="AH946" s="19"/>
      <c r="AI946" s="19"/>
      <c r="AJ946" s="19"/>
      <c r="AK946" s="19"/>
      <c r="AL946" s="19"/>
      <c r="AM946" s="19"/>
      <c r="AN946" s="19"/>
      <c r="AO946" s="19"/>
      <c r="AP946" s="19"/>
      <c r="AQ946" s="19"/>
      <c r="AR946" s="19"/>
      <c r="AS946" s="19"/>
      <c r="AT946" s="19"/>
      <c r="AU946" s="19"/>
      <c r="AV946" s="19"/>
      <c r="AW946" s="19"/>
      <c r="AX946" s="19"/>
      <c r="GA946" s="54"/>
    </row>
    <row r="947" spans="1:183" s="18" customFormat="1">
      <c r="A947" s="51"/>
      <c r="B947" s="52"/>
      <c r="C947" s="52"/>
      <c r="D947" s="52"/>
      <c r="E947" s="53"/>
      <c r="F947" s="52"/>
      <c r="G947" s="52"/>
      <c r="H947" s="52"/>
      <c r="I947" s="53"/>
      <c r="J947" s="52"/>
      <c r="K947" s="52"/>
      <c r="L947" s="52"/>
      <c r="M947" s="52"/>
      <c r="N947" s="19"/>
      <c r="O947" s="19"/>
      <c r="P947" s="19"/>
      <c r="Q947" s="19"/>
      <c r="R947" s="19"/>
      <c r="S947" s="19"/>
      <c r="T947" s="19"/>
      <c r="U947" s="19"/>
      <c r="V947" s="19"/>
      <c r="W947" s="19"/>
      <c r="X947" s="19"/>
      <c r="Y947" s="19"/>
      <c r="Z947" s="19"/>
      <c r="AA947" s="19"/>
      <c r="AB947" s="19"/>
      <c r="AC947" s="19"/>
      <c r="AD947" s="19"/>
      <c r="AE947" s="19"/>
      <c r="AF947" s="19"/>
      <c r="AG947" s="19"/>
      <c r="AH947" s="19"/>
      <c r="AI947" s="19"/>
      <c r="AJ947" s="19"/>
      <c r="AK947" s="19"/>
      <c r="AL947" s="19"/>
      <c r="AM947" s="19"/>
      <c r="AN947" s="19"/>
      <c r="AO947" s="19"/>
      <c r="AP947" s="19"/>
      <c r="AQ947" s="19"/>
      <c r="AR947" s="19"/>
      <c r="AS947" s="19"/>
      <c r="AT947" s="19"/>
      <c r="AU947" s="19"/>
      <c r="AV947" s="19"/>
      <c r="AW947" s="19"/>
      <c r="AX947" s="19"/>
      <c r="GA947" s="54"/>
    </row>
    <row r="948" spans="1:183" s="18" customFormat="1">
      <c r="A948" s="51"/>
      <c r="B948" s="52"/>
      <c r="C948" s="52"/>
      <c r="D948" s="52"/>
      <c r="E948" s="53"/>
      <c r="F948" s="52"/>
      <c r="G948" s="52"/>
      <c r="H948" s="52"/>
      <c r="I948" s="53"/>
      <c r="J948" s="52"/>
      <c r="K948" s="52"/>
      <c r="L948" s="52"/>
      <c r="M948" s="52"/>
      <c r="N948" s="19"/>
      <c r="O948" s="19"/>
      <c r="P948" s="19"/>
      <c r="Q948" s="19"/>
      <c r="R948" s="19"/>
      <c r="S948" s="19"/>
      <c r="T948" s="19"/>
      <c r="U948" s="19"/>
      <c r="V948" s="19"/>
      <c r="W948" s="19"/>
      <c r="X948" s="19"/>
      <c r="Y948" s="19"/>
      <c r="Z948" s="19"/>
      <c r="AA948" s="19"/>
      <c r="AB948" s="19"/>
      <c r="AC948" s="19"/>
      <c r="AD948" s="19"/>
      <c r="AE948" s="19"/>
      <c r="AF948" s="19"/>
      <c r="AG948" s="19"/>
      <c r="AH948" s="19"/>
      <c r="AI948" s="19"/>
      <c r="AJ948" s="19"/>
      <c r="AK948" s="19"/>
      <c r="AL948" s="19"/>
      <c r="AM948" s="19"/>
      <c r="AN948" s="19"/>
      <c r="AO948" s="19"/>
      <c r="AP948" s="19"/>
      <c r="AQ948" s="19"/>
      <c r="AR948" s="19"/>
      <c r="AS948" s="19"/>
      <c r="AT948" s="19"/>
      <c r="AU948" s="19"/>
      <c r="AV948" s="19"/>
      <c r="AW948" s="19"/>
      <c r="AX948" s="19"/>
      <c r="GA948" s="54"/>
    </row>
    <row r="949" spans="1:183" s="18" customFormat="1">
      <c r="A949" s="51"/>
      <c r="B949" s="52"/>
      <c r="C949" s="52"/>
      <c r="D949" s="52"/>
      <c r="E949" s="53"/>
      <c r="F949" s="52"/>
      <c r="G949" s="52"/>
      <c r="H949" s="52"/>
      <c r="I949" s="53"/>
      <c r="J949" s="52"/>
      <c r="K949" s="52"/>
      <c r="L949" s="52"/>
      <c r="M949" s="52"/>
      <c r="N949" s="19"/>
      <c r="O949" s="19"/>
      <c r="P949" s="19"/>
      <c r="Q949" s="19"/>
      <c r="R949" s="19"/>
      <c r="S949" s="19"/>
      <c r="T949" s="19"/>
      <c r="U949" s="19"/>
      <c r="V949" s="19"/>
      <c r="W949" s="19"/>
      <c r="X949" s="19"/>
      <c r="Y949" s="19"/>
      <c r="Z949" s="19"/>
      <c r="AA949" s="19"/>
      <c r="AB949" s="19"/>
      <c r="AC949" s="19"/>
      <c r="AD949" s="19"/>
      <c r="AE949" s="19"/>
      <c r="AF949" s="19"/>
      <c r="AG949" s="19"/>
      <c r="AH949" s="19"/>
      <c r="AI949" s="19"/>
      <c r="AJ949" s="19"/>
      <c r="AK949" s="19"/>
      <c r="AL949" s="19"/>
      <c r="AM949" s="19"/>
      <c r="AN949" s="19"/>
      <c r="AO949" s="19"/>
      <c r="AP949" s="19"/>
      <c r="AQ949" s="19"/>
      <c r="AR949" s="19"/>
      <c r="AS949" s="19"/>
      <c r="AT949" s="19"/>
      <c r="AU949" s="19"/>
      <c r="AV949" s="19"/>
      <c r="AW949" s="19"/>
      <c r="AX949" s="19"/>
      <c r="GA949" s="54"/>
    </row>
    <row r="950" spans="1:183" s="18" customFormat="1">
      <c r="A950" s="51"/>
      <c r="B950" s="52"/>
      <c r="C950" s="52"/>
      <c r="D950" s="52"/>
      <c r="E950" s="53"/>
      <c r="F950" s="52"/>
      <c r="G950" s="52"/>
      <c r="H950" s="52"/>
      <c r="I950" s="53"/>
      <c r="J950" s="52"/>
      <c r="K950" s="52"/>
      <c r="L950" s="52"/>
      <c r="M950" s="52"/>
      <c r="N950" s="19"/>
      <c r="O950" s="19"/>
      <c r="P950" s="19"/>
      <c r="Q950" s="19"/>
      <c r="R950" s="19"/>
      <c r="S950" s="19"/>
      <c r="T950" s="19"/>
      <c r="U950" s="19"/>
      <c r="V950" s="19"/>
      <c r="W950" s="19"/>
      <c r="X950" s="19"/>
      <c r="Y950" s="19"/>
      <c r="Z950" s="19"/>
      <c r="AA950" s="19"/>
      <c r="AB950" s="19"/>
      <c r="AC950" s="19"/>
      <c r="AD950" s="19"/>
      <c r="AE950" s="19"/>
      <c r="AF950" s="19"/>
      <c r="AG950" s="19"/>
      <c r="AH950" s="19"/>
      <c r="AI950" s="19"/>
      <c r="AJ950" s="19"/>
      <c r="AK950" s="19"/>
      <c r="AL950" s="19"/>
      <c r="AM950" s="19"/>
      <c r="AN950" s="19"/>
      <c r="AO950" s="19"/>
      <c r="AP950" s="19"/>
      <c r="AQ950" s="19"/>
      <c r="AR950" s="19"/>
      <c r="AS950" s="19"/>
      <c r="AT950" s="19"/>
      <c r="AU950" s="19"/>
      <c r="AV950" s="19"/>
      <c r="AW950" s="19"/>
      <c r="AX950" s="19"/>
      <c r="GA950" s="54"/>
    </row>
    <row r="951" spans="1:183" s="18" customFormat="1">
      <c r="A951" s="51"/>
      <c r="B951" s="52"/>
      <c r="C951" s="52"/>
      <c r="D951" s="52"/>
      <c r="E951" s="53"/>
      <c r="F951" s="52"/>
      <c r="G951" s="52"/>
      <c r="H951" s="52"/>
      <c r="I951" s="53"/>
      <c r="J951" s="52"/>
      <c r="K951" s="52"/>
      <c r="L951" s="52"/>
      <c r="M951" s="52"/>
      <c r="N951" s="19"/>
      <c r="O951" s="19"/>
      <c r="P951" s="19"/>
      <c r="Q951" s="19"/>
      <c r="R951" s="19"/>
      <c r="S951" s="19"/>
      <c r="T951" s="19"/>
      <c r="U951" s="19"/>
      <c r="V951" s="19"/>
      <c r="W951" s="19"/>
      <c r="X951" s="19"/>
      <c r="Y951" s="19"/>
      <c r="Z951" s="19"/>
      <c r="AA951" s="19"/>
      <c r="AB951" s="19"/>
      <c r="AC951" s="19"/>
      <c r="AD951" s="19"/>
      <c r="AE951" s="19"/>
      <c r="AF951" s="19"/>
      <c r="AG951" s="19"/>
      <c r="AH951" s="19"/>
      <c r="AI951" s="19"/>
      <c r="AJ951" s="19"/>
      <c r="AK951" s="19"/>
      <c r="AL951" s="19"/>
      <c r="AM951" s="19"/>
      <c r="AN951" s="19"/>
      <c r="AO951" s="19"/>
      <c r="AP951" s="19"/>
      <c r="AQ951" s="19"/>
      <c r="AR951" s="19"/>
      <c r="AS951" s="19"/>
      <c r="AT951" s="19"/>
      <c r="AU951" s="19"/>
      <c r="AV951" s="19"/>
      <c r="AW951" s="19"/>
      <c r="AX951" s="19"/>
      <c r="GA951" s="54"/>
    </row>
    <row r="952" spans="1:183" s="18" customFormat="1">
      <c r="A952" s="51"/>
      <c r="B952" s="52"/>
      <c r="C952" s="52"/>
      <c r="D952" s="52"/>
      <c r="E952" s="53"/>
      <c r="F952" s="52"/>
      <c r="G952" s="52"/>
      <c r="H952" s="52"/>
      <c r="I952" s="53"/>
      <c r="J952" s="52"/>
      <c r="K952" s="52"/>
      <c r="L952" s="52"/>
      <c r="M952" s="52"/>
      <c r="N952" s="19"/>
      <c r="O952" s="19"/>
      <c r="P952" s="19"/>
      <c r="Q952" s="19"/>
      <c r="R952" s="19"/>
      <c r="S952" s="19"/>
      <c r="T952" s="19"/>
      <c r="U952" s="19"/>
      <c r="V952" s="19"/>
      <c r="W952" s="19"/>
      <c r="X952" s="19"/>
      <c r="Y952" s="19"/>
      <c r="Z952" s="19"/>
      <c r="AA952" s="19"/>
      <c r="AB952" s="19"/>
      <c r="AC952" s="19"/>
      <c r="AD952" s="19"/>
      <c r="AE952" s="19"/>
      <c r="AF952" s="19"/>
      <c r="AG952" s="19"/>
      <c r="AH952" s="19"/>
      <c r="AI952" s="19"/>
      <c r="AJ952" s="19"/>
      <c r="AK952" s="19"/>
      <c r="AL952" s="19"/>
      <c r="AM952" s="19"/>
      <c r="AN952" s="19"/>
      <c r="AO952" s="19"/>
      <c r="AP952" s="19"/>
      <c r="AQ952" s="19"/>
      <c r="AR952" s="19"/>
      <c r="AS952" s="19"/>
      <c r="AT952" s="19"/>
      <c r="AU952" s="19"/>
      <c r="AV952" s="19"/>
      <c r="AW952" s="19"/>
      <c r="AX952" s="19"/>
      <c r="GA952" s="54"/>
    </row>
    <row r="953" spans="1:183" s="18" customFormat="1">
      <c r="A953" s="51"/>
      <c r="B953" s="52"/>
      <c r="C953" s="52"/>
      <c r="D953" s="52"/>
      <c r="E953" s="53"/>
      <c r="F953" s="52"/>
      <c r="G953" s="52"/>
      <c r="H953" s="52"/>
      <c r="I953" s="53"/>
      <c r="J953" s="52"/>
      <c r="K953" s="52"/>
      <c r="L953" s="52"/>
      <c r="M953" s="52"/>
      <c r="N953" s="19"/>
      <c r="O953" s="19"/>
      <c r="P953" s="19"/>
      <c r="Q953" s="19"/>
      <c r="R953" s="19"/>
      <c r="S953" s="19"/>
      <c r="T953" s="19"/>
      <c r="U953" s="19"/>
      <c r="V953" s="19"/>
      <c r="W953" s="19"/>
      <c r="X953" s="19"/>
      <c r="Y953" s="19"/>
      <c r="Z953" s="19"/>
      <c r="AA953" s="19"/>
      <c r="AB953" s="19"/>
      <c r="AC953" s="19"/>
      <c r="AD953" s="19"/>
      <c r="AE953" s="19"/>
      <c r="AF953" s="19"/>
      <c r="AG953" s="19"/>
      <c r="AH953" s="19"/>
      <c r="AI953" s="19"/>
      <c r="AJ953" s="19"/>
      <c r="AK953" s="19"/>
      <c r="AL953" s="19"/>
      <c r="AM953" s="19"/>
      <c r="AN953" s="19"/>
      <c r="AO953" s="19"/>
      <c r="AP953" s="19"/>
      <c r="AQ953" s="19"/>
      <c r="AR953" s="19"/>
      <c r="AS953" s="19"/>
      <c r="AT953" s="19"/>
      <c r="AU953" s="19"/>
      <c r="AV953" s="19"/>
      <c r="AW953" s="19"/>
      <c r="AX953" s="19"/>
      <c r="GA953" s="54"/>
    </row>
    <row r="954" spans="1:183" s="18" customFormat="1">
      <c r="A954" s="51"/>
      <c r="B954" s="52"/>
      <c r="C954" s="52"/>
      <c r="D954" s="52"/>
      <c r="E954" s="53"/>
      <c r="F954" s="52"/>
      <c r="G954" s="52"/>
      <c r="H954" s="52"/>
      <c r="I954" s="53"/>
      <c r="J954" s="52"/>
      <c r="K954" s="52"/>
      <c r="L954" s="52"/>
      <c r="M954" s="52"/>
      <c r="N954" s="19"/>
      <c r="O954" s="19"/>
      <c r="P954" s="19"/>
      <c r="Q954" s="19"/>
      <c r="R954" s="19"/>
      <c r="S954" s="19"/>
      <c r="T954" s="19"/>
      <c r="U954" s="19"/>
      <c r="V954" s="19"/>
      <c r="W954" s="19"/>
      <c r="X954" s="19"/>
      <c r="Y954" s="19"/>
      <c r="Z954" s="19"/>
      <c r="AA954" s="19"/>
      <c r="AB954" s="19"/>
      <c r="AC954" s="19"/>
      <c r="AD954" s="19"/>
      <c r="AE954" s="19"/>
      <c r="AF954" s="19"/>
      <c r="AG954" s="19"/>
      <c r="AH954" s="19"/>
      <c r="AI954" s="19"/>
      <c r="AJ954" s="19"/>
      <c r="AK954" s="19"/>
      <c r="AL954" s="19"/>
      <c r="AM954" s="19"/>
      <c r="AN954" s="19"/>
      <c r="AO954" s="19"/>
      <c r="AP954" s="19"/>
      <c r="AQ954" s="19"/>
      <c r="AR954" s="19"/>
      <c r="AS954" s="19"/>
      <c r="AT954" s="19"/>
      <c r="AU954" s="19"/>
      <c r="AV954" s="19"/>
      <c r="AW954" s="19"/>
      <c r="AX954" s="19"/>
      <c r="GA954" s="54"/>
    </row>
    <row r="955" spans="1:183" s="18" customFormat="1">
      <c r="A955" s="51"/>
      <c r="B955" s="52"/>
      <c r="C955" s="52"/>
      <c r="D955" s="52"/>
      <c r="E955" s="53"/>
      <c r="F955" s="52"/>
      <c r="G955" s="52"/>
      <c r="H955" s="52"/>
      <c r="I955" s="53"/>
      <c r="J955" s="52"/>
      <c r="K955" s="52"/>
      <c r="L955" s="52"/>
      <c r="M955" s="52"/>
      <c r="N955" s="19"/>
      <c r="O955" s="19"/>
      <c r="P955" s="19"/>
      <c r="Q955" s="19"/>
      <c r="R955" s="19"/>
      <c r="S955" s="19"/>
      <c r="T955" s="19"/>
      <c r="U955" s="19"/>
      <c r="V955" s="19"/>
      <c r="W955" s="19"/>
      <c r="X955" s="19"/>
      <c r="Y955" s="19"/>
      <c r="Z955" s="19"/>
      <c r="AA955" s="19"/>
      <c r="AB955" s="19"/>
      <c r="AC955" s="19"/>
      <c r="AD955" s="19"/>
      <c r="AE955" s="19"/>
      <c r="AF955" s="19"/>
      <c r="AG955" s="19"/>
      <c r="AH955" s="19"/>
      <c r="AI955" s="19"/>
      <c r="AJ955" s="19"/>
      <c r="AK955" s="19"/>
      <c r="AL955" s="19"/>
      <c r="AM955" s="19"/>
      <c r="AN955" s="19"/>
      <c r="AO955" s="19"/>
      <c r="AP955" s="19"/>
      <c r="AQ955" s="19"/>
      <c r="AR955" s="19"/>
      <c r="AS955" s="19"/>
      <c r="AT955" s="19"/>
      <c r="AU955" s="19"/>
      <c r="AV955" s="19"/>
      <c r="AW955" s="19"/>
      <c r="AX955" s="19"/>
      <c r="GA955" s="54"/>
    </row>
    <row r="956" spans="1:183" s="18" customFormat="1">
      <c r="A956" s="51"/>
      <c r="B956" s="52"/>
      <c r="C956" s="52"/>
      <c r="D956" s="52"/>
      <c r="E956" s="53"/>
      <c r="F956" s="52"/>
      <c r="G956" s="52"/>
      <c r="H956" s="52"/>
      <c r="I956" s="53"/>
      <c r="J956" s="52"/>
      <c r="K956" s="52"/>
      <c r="L956" s="52"/>
      <c r="M956" s="52"/>
      <c r="N956" s="19"/>
      <c r="O956" s="19"/>
      <c r="P956" s="19"/>
      <c r="Q956" s="19"/>
      <c r="R956" s="19"/>
      <c r="S956" s="19"/>
      <c r="T956" s="19"/>
      <c r="U956" s="19"/>
      <c r="V956" s="19"/>
      <c r="W956" s="19"/>
      <c r="X956" s="19"/>
      <c r="Y956" s="19"/>
      <c r="Z956" s="19"/>
      <c r="AA956" s="19"/>
      <c r="AB956" s="19"/>
      <c r="AC956" s="19"/>
      <c r="AD956" s="19"/>
      <c r="AE956" s="19"/>
      <c r="AF956" s="19"/>
      <c r="AG956" s="19"/>
      <c r="AH956" s="19"/>
      <c r="AI956" s="19"/>
      <c r="AJ956" s="19"/>
      <c r="AK956" s="19"/>
      <c r="AL956" s="19"/>
      <c r="AM956" s="19"/>
      <c r="AN956" s="19"/>
      <c r="AO956" s="19"/>
      <c r="AP956" s="19"/>
      <c r="AQ956" s="19"/>
      <c r="AR956" s="19"/>
      <c r="AS956" s="19"/>
      <c r="AT956" s="19"/>
      <c r="AU956" s="19"/>
      <c r="AV956" s="19"/>
      <c r="AW956" s="19"/>
      <c r="AX956" s="19"/>
      <c r="GA956" s="54"/>
    </row>
    <row r="957" spans="1:183" s="18" customFormat="1">
      <c r="A957" s="51"/>
      <c r="B957" s="52"/>
      <c r="C957" s="52"/>
      <c r="D957" s="52"/>
      <c r="E957" s="53"/>
      <c r="F957" s="52"/>
      <c r="G957" s="52"/>
      <c r="H957" s="52"/>
      <c r="I957" s="53"/>
      <c r="J957" s="52"/>
      <c r="K957" s="52"/>
      <c r="L957" s="52"/>
      <c r="M957" s="52"/>
      <c r="N957" s="19"/>
      <c r="O957" s="19"/>
      <c r="P957" s="19"/>
      <c r="Q957" s="19"/>
      <c r="R957" s="19"/>
      <c r="S957" s="19"/>
      <c r="T957" s="19"/>
      <c r="U957" s="19"/>
      <c r="V957" s="19"/>
      <c r="W957" s="19"/>
      <c r="X957" s="19"/>
      <c r="Y957" s="19"/>
      <c r="Z957" s="19"/>
      <c r="AA957" s="19"/>
      <c r="AB957" s="19"/>
      <c r="AC957" s="19"/>
      <c r="AD957" s="19"/>
      <c r="AE957" s="19"/>
      <c r="AF957" s="19"/>
      <c r="AG957" s="19"/>
      <c r="AH957" s="19"/>
      <c r="AI957" s="19"/>
      <c r="AJ957" s="19"/>
      <c r="AK957" s="19"/>
      <c r="AL957" s="19"/>
      <c r="AM957" s="19"/>
      <c r="AN957" s="19"/>
      <c r="AO957" s="19"/>
      <c r="AP957" s="19"/>
      <c r="AQ957" s="19"/>
      <c r="AR957" s="19"/>
      <c r="AS957" s="19"/>
      <c r="AT957" s="19"/>
      <c r="AU957" s="19"/>
      <c r="AV957" s="19"/>
      <c r="AW957" s="19"/>
      <c r="AX957" s="19"/>
      <c r="GA957" s="54"/>
    </row>
    <row r="958" spans="1:183" s="18" customFormat="1">
      <c r="A958" s="51"/>
      <c r="B958" s="52"/>
      <c r="C958" s="52"/>
      <c r="D958" s="52"/>
      <c r="E958" s="53"/>
      <c r="F958" s="52"/>
      <c r="G958" s="52"/>
      <c r="H958" s="52"/>
      <c r="I958" s="53"/>
      <c r="J958" s="52"/>
      <c r="K958" s="52"/>
      <c r="L958" s="52"/>
      <c r="M958" s="52"/>
      <c r="N958" s="19"/>
      <c r="O958" s="19"/>
      <c r="P958" s="19"/>
      <c r="Q958" s="19"/>
      <c r="R958" s="19"/>
      <c r="S958" s="19"/>
      <c r="T958" s="19"/>
      <c r="U958" s="19"/>
      <c r="V958" s="19"/>
      <c r="W958" s="19"/>
      <c r="X958" s="19"/>
      <c r="Y958" s="19"/>
      <c r="Z958" s="19"/>
      <c r="AA958" s="19"/>
      <c r="AB958" s="19"/>
      <c r="AC958" s="19"/>
      <c r="AD958" s="19"/>
      <c r="AE958" s="19"/>
      <c r="AF958" s="19"/>
      <c r="AG958" s="19"/>
      <c r="AH958" s="19"/>
      <c r="AI958" s="19"/>
      <c r="AJ958" s="19"/>
      <c r="AK958" s="19"/>
      <c r="AL958" s="19"/>
      <c r="AM958" s="19"/>
      <c r="AN958" s="19"/>
      <c r="AO958" s="19"/>
      <c r="AP958" s="19"/>
      <c r="AQ958" s="19"/>
      <c r="AR958" s="19"/>
      <c r="AS958" s="19"/>
      <c r="AT958" s="19"/>
      <c r="AU958" s="19"/>
      <c r="AV958" s="19"/>
      <c r="AW958" s="19"/>
      <c r="AX958" s="19"/>
      <c r="GA958" s="54"/>
    </row>
    <row r="959" spans="1:183" s="18" customFormat="1">
      <c r="A959" s="51"/>
      <c r="B959" s="52"/>
      <c r="C959" s="52"/>
      <c r="D959" s="52"/>
      <c r="E959" s="53"/>
      <c r="F959" s="52"/>
      <c r="G959" s="52"/>
      <c r="H959" s="52"/>
      <c r="I959" s="53"/>
      <c r="J959" s="52"/>
      <c r="K959" s="52"/>
      <c r="L959" s="52"/>
      <c r="M959" s="52"/>
      <c r="N959" s="19"/>
      <c r="O959" s="19"/>
      <c r="P959" s="19"/>
      <c r="Q959" s="19"/>
      <c r="R959" s="19"/>
      <c r="S959" s="19"/>
      <c r="T959" s="19"/>
      <c r="U959" s="19"/>
      <c r="V959" s="19"/>
      <c r="W959" s="19"/>
      <c r="X959" s="19"/>
      <c r="Y959" s="19"/>
      <c r="Z959" s="19"/>
      <c r="AA959" s="19"/>
      <c r="AB959" s="19"/>
      <c r="AC959" s="19"/>
      <c r="AD959" s="19"/>
      <c r="AE959" s="19"/>
      <c r="AF959" s="19"/>
      <c r="AG959" s="19"/>
      <c r="AH959" s="19"/>
      <c r="AI959" s="19"/>
      <c r="AJ959" s="19"/>
      <c r="AK959" s="19"/>
      <c r="AL959" s="19"/>
      <c r="AM959" s="19"/>
      <c r="AN959" s="19"/>
      <c r="AO959" s="19"/>
      <c r="AP959" s="19"/>
      <c r="AQ959" s="19"/>
      <c r="AR959" s="19"/>
      <c r="AS959" s="19"/>
      <c r="AT959" s="19"/>
      <c r="AU959" s="19"/>
      <c r="AV959" s="19"/>
      <c r="AW959" s="19"/>
      <c r="AX959" s="19"/>
      <c r="GA959" s="54"/>
    </row>
    <row r="960" spans="1:183" s="18" customFormat="1">
      <c r="A960" s="51"/>
      <c r="B960" s="52"/>
      <c r="C960" s="52"/>
      <c r="D960" s="52"/>
      <c r="E960" s="53"/>
      <c r="F960" s="52"/>
      <c r="G960" s="52"/>
      <c r="H960" s="52"/>
      <c r="I960" s="53"/>
      <c r="J960" s="52"/>
      <c r="K960" s="52"/>
      <c r="L960" s="52"/>
      <c r="M960" s="52"/>
      <c r="N960" s="19"/>
      <c r="O960" s="19"/>
      <c r="P960" s="19"/>
      <c r="Q960" s="19"/>
      <c r="R960" s="19"/>
      <c r="S960" s="19"/>
      <c r="T960" s="19"/>
      <c r="U960" s="19"/>
      <c r="V960" s="19"/>
      <c r="W960" s="19"/>
      <c r="X960" s="19"/>
      <c r="Y960" s="19"/>
      <c r="Z960" s="19"/>
      <c r="AA960" s="19"/>
      <c r="AB960" s="19"/>
      <c r="AC960" s="19"/>
      <c r="AD960" s="19"/>
      <c r="AE960" s="19"/>
      <c r="AF960" s="19"/>
      <c r="AG960" s="19"/>
      <c r="AH960" s="19"/>
      <c r="AI960" s="19"/>
      <c r="AJ960" s="19"/>
      <c r="AK960" s="19"/>
      <c r="AL960" s="19"/>
      <c r="AM960" s="19"/>
      <c r="AN960" s="19"/>
      <c r="AO960" s="19"/>
      <c r="AP960" s="19"/>
      <c r="AQ960" s="19"/>
      <c r="AR960" s="19"/>
      <c r="AS960" s="19"/>
      <c r="AT960" s="19"/>
      <c r="AU960" s="19"/>
      <c r="AV960" s="19"/>
      <c r="AW960" s="19"/>
      <c r="AX960" s="19"/>
      <c r="GA960" s="54"/>
    </row>
    <row r="961" spans="1:183" s="18" customFormat="1">
      <c r="A961" s="51"/>
      <c r="B961" s="52"/>
      <c r="C961" s="52"/>
      <c r="D961" s="52"/>
      <c r="E961" s="53"/>
      <c r="F961" s="52"/>
      <c r="G961" s="52"/>
      <c r="H961" s="52"/>
      <c r="I961" s="53"/>
      <c r="J961" s="52"/>
      <c r="K961" s="52"/>
      <c r="L961" s="52"/>
      <c r="M961" s="52"/>
      <c r="N961" s="19"/>
      <c r="O961" s="19"/>
      <c r="P961" s="19"/>
      <c r="Q961" s="19"/>
      <c r="R961" s="19"/>
      <c r="S961" s="19"/>
      <c r="T961" s="19"/>
      <c r="U961" s="19"/>
      <c r="V961" s="19"/>
      <c r="W961" s="19"/>
      <c r="X961" s="19"/>
      <c r="Y961" s="19"/>
      <c r="Z961" s="19"/>
      <c r="AA961" s="19"/>
      <c r="AB961" s="19"/>
      <c r="AC961" s="19"/>
      <c r="AD961" s="19"/>
      <c r="AE961" s="19"/>
      <c r="AF961" s="19"/>
      <c r="AG961" s="19"/>
      <c r="AH961" s="19"/>
      <c r="AI961" s="19"/>
      <c r="AJ961" s="19"/>
      <c r="AK961" s="19"/>
      <c r="AL961" s="19"/>
      <c r="AM961" s="19"/>
      <c r="AN961" s="19"/>
      <c r="AO961" s="19"/>
      <c r="AP961" s="19"/>
      <c r="AQ961" s="19"/>
      <c r="AR961" s="19"/>
      <c r="AS961" s="19"/>
      <c r="AT961" s="19"/>
      <c r="AU961" s="19"/>
      <c r="AV961" s="19"/>
      <c r="AW961" s="19"/>
      <c r="AX961" s="19"/>
      <c r="GA961" s="54"/>
    </row>
    <row r="962" spans="1:183" s="18" customFormat="1">
      <c r="A962" s="51"/>
      <c r="B962" s="52"/>
      <c r="C962" s="52"/>
      <c r="D962" s="52"/>
      <c r="E962" s="53"/>
      <c r="F962" s="52"/>
      <c r="G962" s="52"/>
      <c r="H962" s="52"/>
      <c r="I962" s="53"/>
      <c r="J962" s="52"/>
      <c r="K962" s="52"/>
      <c r="L962" s="52"/>
      <c r="M962" s="52"/>
      <c r="N962" s="19"/>
      <c r="O962" s="19"/>
      <c r="P962" s="19"/>
      <c r="Q962" s="19"/>
      <c r="R962" s="19"/>
      <c r="S962" s="19"/>
      <c r="T962" s="19"/>
      <c r="U962" s="19"/>
      <c r="V962" s="19"/>
      <c r="W962" s="19"/>
      <c r="X962" s="19"/>
      <c r="Y962" s="19"/>
      <c r="Z962" s="19"/>
      <c r="AA962" s="19"/>
      <c r="AB962" s="19"/>
      <c r="AC962" s="19"/>
      <c r="AD962" s="19"/>
      <c r="AE962" s="19"/>
      <c r="AF962" s="19"/>
      <c r="AG962" s="19"/>
      <c r="AH962" s="19"/>
      <c r="AI962" s="19"/>
      <c r="AJ962" s="19"/>
      <c r="AK962" s="19"/>
      <c r="AL962" s="19"/>
      <c r="AM962" s="19"/>
      <c r="AN962" s="19"/>
      <c r="AO962" s="19"/>
      <c r="AP962" s="19"/>
      <c r="AQ962" s="19"/>
      <c r="AR962" s="19"/>
      <c r="AS962" s="19"/>
      <c r="AT962" s="19"/>
      <c r="AU962" s="19"/>
      <c r="AV962" s="19"/>
      <c r="AW962" s="19"/>
      <c r="AX962" s="19"/>
      <c r="GA962" s="54"/>
    </row>
    <row r="963" spans="1:183" s="18" customFormat="1">
      <c r="A963" s="51"/>
      <c r="B963" s="52"/>
      <c r="C963" s="52"/>
      <c r="D963" s="52"/>
      <c r="E963" s="53"/>
      <c r="F963" s="52"/>
      <c r="G963" s="52"/>
      <c r="H963" s="52"/>
      <c r="I963" s="53"/>
      <c r="J963" s="52"/>
      <c r="K963" s="52"/>
      <c r="L963" s="52"/>
      <c r="M963" s="52"/>
      <c r="N963" s="19"/>
      <c r="O963" s="19"/>
      <c r="P963" s="19"/>
      <c r="Q963" s="19"/>
      <c r="R963" s="19"/>
      <c r="S963" s="19"/>
      <c r="T963" s="19"/>
      <c r="U963" s="19"/>
      <c r="V963" s="19"/>
      <c r="W963" s="19"/>
      <c r="X963" s="19"/>
      <c r="Y963" s="19"/>
      <c r="Z963" s="19"/>
      <c r="AA963" s="19"/>
      <c r="AB963" s="19"/>
      <c r="AC963" s="19"/>
      <c r="AD963" s="19"/>
      <c r="AE963" s="19"/>
      <c r="AF963" s="19"/>
      <c r="AG963" s="19"/>
      <c r="AH963" s="19"/>
      <c r="AI963" s="19"/>
      <c r="AJ963" s="19"/>
      <c r="AK963" s="19"/>
      <c r="AL963" s="19"/>
      <c r="AM963" s="19"/>
      <c r="AN963" s="19"/>
      <c r="AO963" s="19"/>
      <c r="AP963" s="19"/>
      <c r="AQ963" s="19"/>
      <c r="AR963" s="19"/>
      <c r="AS963" s="19"/>
      <c r="AT963" s="19"/>
      <c r="AU963" s="19"/>
      <c r="AV963" s="19"/>
      <c r="AW963" s="19"/>
      <c r="AX963" s="19"/>
      <c r="GA963" s="54"/>
    </row>
    <row r="964" spans="1:183" s="18" customFormat="1">
      <c r="A964" s="51"/>
      <c r="B964" s="52"/>
      <c r="C964" s="52"/>
      <c r="D964" s="52"/>
      <c r="E964" s="53"/>
      <c r="F964" s="52"/>
      <c r="G964" s="52"/>
      <c r="H964" s="52"/>
      <c r="I964" s="53"/>
      <c r="J964" s="52"/>
      <c r="K964" s="52"/>
      <c r="L964" s="52"/>
      <c r="M964" s="52"/>
      <c r="N964" s="19"/>
      <c r="O964" s="19"/>
      <c r="P964" s="19"/>
      <c r="Q964" s="19"/>
      <c r="R964" s="19"/>
      <c r="S964" s="19"/>
      <c r="T964" s="19"/>
      <c r="U964" s="19"/>
      <c r="V964" s="19"/>
      <c r="W964" s="19"/>
      <c r="X964" s="19"/>
      <c r="Y964" s="19"/>
      <c r="Z964" s="19"/>
      <c r="AA964" s="19"/>
      <c r="AB964" s="19"/>
      <c r="AC964" s="19"/>
      <c r="AD964" s="19"/>
      <c r="AE964" s="19"/>
      <c r="AF964" s="19"/>
      <c r="AG964" s="19"/>
      <c r="AH964" s="19"/>
      <c r="AI964" s="19"/>
      <c r="AJ964" s="19"/>
      <c r="AK964" s="19"/>
      <c r="AL964" s="19"/>
      <c r="AM964" s="19"/>
      <c r="AN964" s="19"/>
      <c r="AO964" s="19"/>
      <c r="AP964" s="19"/>
      <c r="AQ964" s="19"/>
      <c r="AR964" s="19"/>
      <c r="AS964" s="19"/>
      <c r="AT964" s="19"/>
      <c r="AU964" s="19"/>
      <c r="AV964" s="19"/>
      <c r="AW964" s="19"/>
      <c r="AX964" s="19"/>
      <c r="GA964" s="54"/>
    </row>
    <row r="965" spans="1:183" s="18" customFormat="1">
      <c r="A965" s="51"/>
      <c r="B965" s="52"/>
      <c r="C965" s="52"/>
      <c r="D965" s="52"/>
      <c r="E965" s="53"/>
      <c r="F965" s="52"/>
      <c r="G965" s="52"/>
      <c r="H965" s="52"/>
      <c r="I965" s="53"/>
      <c r="J965" s="52"/>
      <c r="K965" s="52"/>
      <c r="L965" s="52"/>
      <c r="M965" s="52"/>
      <c r="N965" s="19"/>
      <c r="O965" s="19"/>
      <c r="P965" s="19"/>
      <c r="Q965" s="19"/>
      <c r="R965" s="19"/>
      <c r="S965" s="19"/>
      <c r="T965" s="19"/>
      <c r="U965" s="19"/>
      <c r="V965" s="19"/>
      <c r="W965" s="19"/>
      <c r="X965" s="19"/>
      <c r="Y965" s="19"/>
      <c r="Z965" s="19"/>
      <c r="AA965" s="19"/>
      <c r="AB965" s="19"/>
      <c r="AC965" s="19"/>
      <c r="AD965" s="19"/>
      <c r="AE965" s="19"/>
      <c r="AF965" s="19"/>
      <c r="AG965" s="19"/>
      <c r="AH965" s="19"/>
      <c r="AI965" s="19"/>
      <c r="AJ965" s="19"/>
      <c r="AK965" s="19"/>
      <c r="AL965" s="19"/>
      <c r="AM965" s="19"/>
      <c r="AN965" s="19"/>
      <c r="AO965" s="19"/>
      <c r="AP965" s="19"/>
      <c r="AQ965" s="19"/>
      <c r="AR965" s="19"/>
      <c r="AS965" s="19"/>
      <c r="AT965" s="19"/>
      <c r="AU965" s="19"/>
      <c r="AV965" s="19"/>
      <c r="AW965" s="19"/>
      <c r="AX965" s="19"/>
      <c r="GA965" s="54"/>
    </row>
    <row r="966" spans="1:183" s="18" customFormat="1">
      <c r="A966" s="51"/>
      <c r="B966" s="52"/>
      <c r="C966" s="52"/>
      <c r="D966" s="52"/>
      <c r="E966" s="53"/>
      <c r="F966" s="52"/>
      <c r="G966" s="52"/>
      <c r="H966" s="52"/>
      <c r="I966" s="53"/>
      <c r="J966" s="52"/>
      <c r="K966" s="52"/>
      <c r="L966" s="52"/>
      <c r="M966" s="52"/>
      <c r="N966" s="19"/>
      <c r="O966" s="19"/>
      <c r="P966" s="19"/>
      <c r="Q966" s="19"/>
      <c r="R966" s="19"/>
      <c r="S966" s="19"/>
      <c r="T966" s="19"/>
      <c r="U966" s="19"/>
      <c r="V966" s="19"/>
      <c r="W966" s="19"/>
      <c r="X966" s="19"/>
      <c r="Y966" s="19"/>
      <c r="Z966" s="19"/>
      <c r="AA966" s="19"/>
      <c r="AB966" s="19"/>
      <c r="AC966" s="19"/>
      <c r="AD966" s="19"/>
      <c r="AE966" s="19"/>
      <c r="AF966" s="19"/>
      <c r="AG966" s="19"/>
      <c r="AH966" s="19"/>
      <c r="AI966" s="19"/>
      <c r="AJ966" s="19"/>
      <c r="AK966" s="19"/>
      <c r="AL966" s="19"/>
      <c r="AM966" s="19"/>
      <c r="AN966" s="19"/>
      <c r="AO966" s="19"/>
      <c r="AP966" s="19"/>
      <c r="AQ966" s="19"/>
      <c r="AR966" s="19"/>
      <c r="AS966" s="19"/>
      <c r="AT966" s="19"/>
      <c r="AU966" s="19"/>
      <c r="AV966" s="19"/>
      <c r="AW966" s="19"/>
      <c r="AX966" s="19"/>
      <c r="GA966" s="54"/>
    </row>
    <row r="967" spans="1:183" s="18" customFormat="1">
      <c r="A967" s="51"/>
      <c r="B967" s="52"/>
      <c r="C967" s="52"/>
      <c r="D967" s="52"/>
      <c r="E967" s="53"/>
      <c r="F967" s="52"/>
      <c r="G967" s="52"/>
      <c r="H967" s="52"/>
      <c r="I967" s="53"/>
      <c r="J967" s="52"/>
      <c r="K967" s="52"/>
      <c r="L967" s="52"/>
      <c r="M967" s="52"/>
      <c r="N967" s="19"/>
      <c r="O967" s="19"/>
      <c r="P967" s="19"/>
      <c r="Q967" s="19"/>
      <c r="R967" s="19"/>
      <c r="S967" s="19"/>
      <c r="T967" s="19"/>
      <c r="U967" s="19"/>
      <c r="V967" s="19"/>
      <c r="W967" s="19"/>
      <c r="X967" s="19"/>
      <c r="Y967" s="19"/>
      <c r="Z967" s="19"/>
      <c r="AA967" s="19"/>
      <c r="AB967" s="19"/>
      <c r="AC967" s="19"/>
      <c r="AD967" s="19"/>
      <c r="AE967" s="19"/>
      <c r="AF967" s="19"/>
      <c r="AG967" s="19"/>
      <c r="AH967" s="19"/>
      <c r="AI967" s="19"/>
      <c r="AJ967" s="19"/>
      <c r="AK967" s="19"/>
      <c r="AL967" s="19"/>
      <c r="AM967" s="19"/>
      <c r="AN967" s="19"/>
      <c r="AO967" s="19"/>
      <c r="AP967" s="19"/>
      <c r="AQ967" s="19"/>
      <c r="AR967" s="19"/>
      <c r="AS967" s="19"/>
      <c r="AT967" s="19"/>
      <c r="AU967" s="19"/>
      <c r="AV967" s="19"/>
      <c r="AW967" s="19"/>
      <c r="AX967" s="19"/>
      <c r="GA967" s="54"/>
    </row>
    <row r="968" spans="1:183" s="18" customFormat="1">
      <c r="A968" s="51"/>
      <c r="B968" s="52"/>
      <c r="C968" s="52"/>
      <c r="D968" s="52"/>
      <c r="E968" s="53"/>
      <c r="F968" s="52"/>
      <c r="G968" s="52"/>
      <c r="H968" s="52"/>
      <c r="I968" s="53"/>
      <c r="J968" s="52"/>
      <c r="K968" s="52"/>
      <c r="L968" s="52"/>
      <c r="M968" s="52"/>
      <c r="N968" s="19"/>
      <c r="O968" s="19"/>
      <c r="P968" s="19"/>
      <c r="Q968" s="19"/>
      <c r="R968" s="19"/>
      <c r="S968" s="19"/>
      <c r="T968" s="19"/>
      <c r="U968" s="19"/>
      <c r="V968" s="19"/>
      <c r="W968" s="19"/>
      <c r="X968" s="19"/>
      <c r="Y968" s="19"/>
      <c r="Z968" s="19"/>
      <c r="AA968" s="19"/>
      <c r="AB968" s="19"/>
      <c r="AC968" s="19"/>
      <c r="AD968" s="19"/>
      <c r="AE968" s="19"/>
      <c r="AF968" s="19"/>
      <c r="AG968" s="19"/>
      <c r="AH968" s="19"/>
      <c r="AI968" s="19"/>
      <c r="AJ968" s="19"/>
      <c r="AK968" s="19"/>
      <c r="AL968" s="19"/>
      <c r="AM968" s="19"/>
      <c r="AN968" s="19"/>
      <c r="AO968" s="19"/>
      <c r="AP968" s="19"/>
      <c r="AQ968" s="19"/>
      <c r="AR968" s="19"/>
      <c r="AS968" s="19"/>
      <c r="AT968" s="19"/>
      <c r="AU968" s="19"/>
      <c r="AV968" s="19"/>
      <c r="AW968" s="19"/>
      <c r="AX968" s="19"/>
      <c r="GA968" s="54"/>
    </row>
    <row r="969" spans="1:183" s="18" customFormat="1">
      <c r="A969" s="51"/>
      <c r="B969" s="52"/>
      <c r="C969" s="52"/>
      <c r="D969" s="52"/>
      <c r="E969" s="53"/>
      <c r="F969" s="52"/>
      <c r="G969" s="52"/>
      <c r="H969" s="52"/>
      <c r="I969" s="53"/>
      <c r="J969" s="52"/>
      <c r="K969" s="52"/>
      <c r="L969" s="52"/>
      <c r="M969" s="52"/>
      <c r="N969" s="19"/>
      <c r="O969" s="19"/>
      <c r="P969" s="19"/>
      <c r="Q969" s="19"/>
      <c r="R969" s="19"/>
      <c r="S969" s="19"/>
      <c r="T969" s="19"/>
      <c r="U969" s="19"/>
      <c r="V969" s="19"/>
      <c r="W969" s="19"/>
      <c r="X969" s="19"/>
      <c r="Y969" s="19"/>
      <c r="Z969" s="19"/>
      <c r="AA969" s="19"/>
      <c r="AB969" s="19"/>
      <c r="AC969" s="19"/>
      <c r="AD969" s="19"/>
      <c r="AE969" s="19"/>
      <c r="AF969" s="19"/>
      <c r="AG969" s="19"/>
      <c r="AH969" s="19"/>
      <c r="AI969" s="19"/>
      <c r="AJ969" s="19"/>
      <c r="AK969" s="19"/>
      <c r="AL969" s="19"/>
      <c r="AM969" s="19"/>
      <c r="AN969" s="19"/>
      <c r="AO969" s="19"/>
      <c r="AP969" s="19"/>
      <c r="AQ969" s="19"/>
      <c r="AR969" s="19"/>
      <c r="AS969" s="19"/>
      <c r="AT969" s="19"/>
      <c r="AU969" s="19"/>
      <c r="AV969" s="19"/>
      <c r="AW969" s="19"/>
      <c r="AX969" s="19"/>
      <c r="GA969" s="54"/>
    </row>
    <row r="970" spans="1:183" s="18" customFormat="1">
      <c r="A970" s="51"/>
      <c r="B970" s="52"/>
      <c r="C970" s="52"/>
      <c r="D970" s="52"/>
      <c r="E970" s="53"/>
      <c r="F970" s="52"/>
      <c r="G970" s="52"/>
      <c r="H970" s="52"/>
      <c r="I970" s="53"/>
      <c r="J970" s="52"/>
      <c r="K970" s="52"/>
      <c r="L970" s="52"/>
      <c r="M970" s="52"/>
      <c r="N970" s="19"/>
      <c r="O970" s="19"/>
      <c r="P970" s="19"/>
      <c r="Q970" s="19"/>
      <c r="R970" s="19"/>
      <c r="S970" s="19"/>
      <c r="T970" s="19"/>
      <c r="U970" s="19"/>
      <c r="V970" s="19"/>
      <c r="W970" s="19"/>
      <c r="X970" s="19"/>
      <c r="Y970" s="19"/>
      <c r="Z970" s="19"/>
      <c r="AA970" s="19"/>
      <c r="AB970" s="19"/>
      <c r="AC970" s="19"/>
      <c r="AD970" s="19"/>
      <c r="AE970" s="19"/>
      <c r="AF970" s="19"/>
      <c r="AG970" s="19"/>
      <c r="AH970" s="19"/>
      <c r="AI970" s="19"/>
      <c r="AJ970" s="19"/>
      <c r="AK970" s="19"/>
      <c r="AL970" s="19"/>
      <c r="AM970" s="19"/>
      <c r="AN970" s="19"/>
      <c r="AO970" s="19"/>
      <c r="AP970" s="19"/>
      <c r="AQ970" s="19"/>
      <c r="AR970" s="19"/>
      <c r="AS970" s="19"/>
      <c r="AT970" s="19"/>
      <c r="AU970" s="19"/>
      <c r="AV970" s="19"/>
      <c r="AW970" s="19"/>
      <c r="AX970" s="19"/>
      <c r="GA970" s="54"/>
    </row>
    <row r="971" spans="1:183" s="18" customFormat="1">
      <c r="A971" s="51"/>
      <c r="B971" s="52"/>
      <c r="C971" s="52"/>
      <c r="D971" s="52"/>
      <c r="E971" s="53"/>
      <c r="F971" s="52"/>
      <c r="G971" s="52"/>
      <c r="H971" s="52"/>
      <c r="I971" s="53"/>
      <c r="J971" s="52"/>
      <c r="K971" s="52"/>
      <c r="L971" s="52"/>
      <c r="M971" s="52"/>
      <c r="N971" s="19"/>
      <c r="O971" s="19"/>
      <c r="P971" s="19"/>
      <c r="Q971" s="19"/>
      <c r="R971" s="19"/>
      <c r="S971" s="19"/>
      <c r="T971" s="19"/>
      <c r="U971" s="19"/>
      <c r="V971" s="19"/>
      <c r="W971" s="19"/>
      <c r="X971" s="19"/>
      <c r="Y971" s="19"/>
      <c r="Z971" s="19"/>
      <c r="AA971" s="19"/>
      <c r="AB971" s="19"/>
      <c r="AC971" s="19"/>
      <c r="AD971" s="19"/>
      <c r="AE971" s="19"/>
      <c r="AF971" s="19"/>
      <c r="AG971" s="19"/>
      <c r="AH971" s="19"/>
      <c r="AI971" s="19"/>
      <c r="AJ971" s="19"/>
      <c r="AK971" s="19"/>
      <c r="AL971" s="19"/>
      <c r="AM971" s="19"/>
      <c r="AN971" s="19"/>
      <c r="AO971" s="19"/>
      <c r="AP971" s="19"/>
      <c r="AQ971" s="19"/>
      <c r="AR971" s="19"/>
      <c r="AS971" s="19"/>
      <c r="AT971" s="19"/>
      <c r="AU971" s="19"/>
      <c r="AV971" s="19"/>
      <c r="AW971" s="19"/>
      <c r="AX971" s="19"/>
      <c r="GA971" s="54"/>
    </row>
    <row r="972" spans="1:183" s="18" customFormat="1">
      <c r="A972" s="51"/>
      <c r="B972" s="52"/>
      <c r="C972" s="52"/>
      <c r="D972" s="52"/>
      <c r="E972" s="53"/>
      <c r="F972" s="52"/>
      <c r="G972" s="52"/>
      <c r="H972" s="52"/>
      <c r="I972" s="53"/>
      <c r="J972" s="52"/>
      <c r="K972" s="52"/>
      <c r="L972" s="52"/>
      <c r="M972" s="52"/>
      <c r="N972" s="19"/>
      <c r="O972" s="19"/>
      <c r="P972" s="19"/>
      <c r="Q972" s="19"/>
      <c r="R972" s="19"/>
      <c r="S972" s="19"/>
      <c r="T972" s="19"/>
      <c r="U972" s="19"/>
      <c r="V972" s="19"/>
      <c r="W972" s="19"/>
      <c r="X972" s="19"/>
      <c r="Y972" s="19"/>
      <c r="Z972" s="19"/>
      <c r="AA972" s="19"/>
      <c r="AB972" s="19"/>
      <c r="AC972" s="19"/>
      <c r="AD972" s="19"/>
      <c r="AE972" s="19"/>
      <c r="AF972" s="19"/>
      <c r="AG972" s="19"/>
      <c r="AH972" s="19"/>
      <c r="AI972" s="19"/>
      <c r="AJ972" s="19"/>
      <c r="AK972" s="19"/>
      <c r="AL972" s="19"/>
      <c r="AM972" s="19"/>
      <c r="AN972" s="19"/>
      <c r="AO972" s="19"/>
      <c r="AP972" s="19"/>
      <c r="AQ972" s="19"/>
      <c r="AR972" s="19"/>
      <c r="AS972" s="19"/>
      <c r="AT972" s="19"/>
      <c r="AU972" s="19"/>
      <c r="AV972" s="19"/>
      <c r="AW972" s="19"/>
      <c r="AX972" s="19"/>
      <c r="GA972" s="54"/>
    </row>
    <row r="973" spans="1:183" s="18" customFormat="1">
      <c r="A973" s="51"/>
      <c r="B973" s="52"/>
      <c r="C973" s="52"/>
      <c r="D973" s="52"/>
      <c r="E973" s="53"/>
      <c r="F973" s="52"/>
      <c r="G973" s="52"/>
      <c r="H973" s="52"/>
      <c r="I973" s="53"/>
      <c r="J973" s="52"/>
      <c r="K973" s="52"/>
      <c r="L973" s="52"/>
      <c r="M973" s="52"/>
      <c r="N973" s="19"/>
      <c r="O973" s="19"/>
      <c r="P973" s="19"/>
      <c r="Q973" s="19"/>
      <c r="R973" s="19"/>
      <c r="S973" s="19"/>
      <c r="T973" s="19"/>
      <c r="U973" s="19"/>
      <c r="V973" s="19"/>
      <c r="W973" s="19"/>
      <c r="X973" s="19"/>
      <c r="Y973" s="19"/>
      <c r="Z973" s="19"/>
      <c r="AA973" s="19"/>
      <c r="AB973" s="19"/>
      <c r="AC973" s="19"/>
      <c r="AD973" s="19"/>
      <c r="AE973" s="19"/>
      <c r="AF973" s="19"/>
      <c r="AG973" s="19"/>
      <c r="AH973" s="19"/>
      <c r="AI973" s="19"/>
      <c r="AJ973" s="19"/>
      <c r="AK973" s="19"/>
      <c r="AL973" s="19"/>
      <c r="AM973" s="19"/>
      <c r="AN973" s="19"/>
      <c r="AO973" s="19"/>
      <c r="AP973" s="19"/>
      <c r="AQ973" s="19"/>
      <c r="AR973" s="19"/>
      <c r="AS973" s="19"/>
      <c r="AT973" s="19"/>
      <c r="AU973" s="19"/>
      <c r="AV973" s="19"/>
      <c r="AW973" s="19"/>
      <c r="AX973" s="19"/>
      <c r="GA973" s="54"/>
    </row>
    <row r="974" spans="1:183" s="18" customFormat="1">
      <c r="A974" s="51"/>
      <c r="B974" s="52"/>
      <c r="C974" s="52"/>
      <c r="D974" s="52"/>
      <c r="E974" s="53"/>
      <c r="F974" s="52"/>
      <c r="G974" s="52"/>
      <c r="H974" s="52"/>
      <c r="I974" s="53"/>
      <c r="J974" s="52"/>
      <c r="K974" s="52"/>
      <c r="L974" s="52"/>
      <c r="M974" s="52"/>
      <c r="N974" s="19"/>
      <c r="O974" s="19"/>
      <c r="P974" s="19"/>
      <c r="Q974" s="19"/>
      <c r="R974" s="19"/>
      <c r="S974" s="19"/>
      <c r="T974" s="19"/>
      <c r="U974" s="19"/>
      <c r="V974" s="19"/>
      <c r="W974" s="19"/>
      <c r="X974" s="19"/>
      <c r="Y974" s="19"/>
      <c r="Z974" s="19"/>
      <c r="AA974" s="19"/>
      <c r="AB974" s="19"/>
      <c r="AC974" s="19"/>
      <c r="AD974" s="19"/>
      <c r="AE974" s="19"/>
      <c r="AF974" s="19"/>
      <c r="AG974" s="19"/>
      <c r="AH974" s="19"/>
      <c r="AI974" s="19"/>
      <c r="AJ974" s="19"/>
      <c r="AK974" s="19"/>
      <c r="AL974" s="19"/>
      <c r="AM974" s="19"/>
      <c r="AN974" s="19"/>
      <c r="AO974" s="19"/>
      <c r="AP974" s="19"/>
      <c r="AQ974" s="19"/>
      <c r="AR974" s="19"/>
      <c r="AS974" s="19"/>
      <c r="AT974" s="19"/>
      <c r="AU974" s="19"/>
      <c r="AV974" s="19"/>
      <c r="AW974" s="19"/>
      <c r="AX974" s="19"/>
      <c r="GA974" s="54"/>
    </row>
    <row r="975" spans="1:183" s="18" customFormat="1">
      <c r="A975" s="51"/>
      <c r="B975" s="52"/>
      <c r="C975" s="52"/>
      <c r="D975" s="52"/>
      <c r="E975" s="53"/>
      <c r="F975" s="52"/>
      <c r="G975" s="52"/>
      <c r="H975" s="52"/>
      <c r="I975" s="53"/>
      <c r="J975" s="52"/>
      <c r="K975" s="52"/>
      <c r="L975" s="52"/>
      <c r="M975" s="52"/>
      <c r="N975" s="19"/>
      <c r="O975" s="19"/>
      <c r="P975" s="19"/>
      <c r="Q975" s="19"/>
      <c r="R975" s="19"/>
      <c r="S975" s="19"/>
      <c r="T975" s="19"/>
      <c r="U975" s="19"/>
      <c r="V975" s="19"/>
      <c r="W975" s="19"/>
      <c r="X975" s="19"/>
      <c r="Y975" s="19"/>
      <c r="Z975" s="19"/>
      <c r="AA975" s="19"/>
      <c r="AB975" s="19"/>
      <c r="AC975" s="19"/>
      <c r="AD975" s="19"/>
      <c r="AE975" s="19"/>
      <c r="AF975" s="19"/>
      <c r="AG975" s="19"/>
      <c r="AH975" s="19"/>
      <c r="AI975" s="19"/>
      <c r="AJ975" s="19"/>
      <c r="AK975" s="19"/>
      <c r="AL975" s="19"/>
      <c r="AM975" s="19"/>
      <c r="AN975" s="19"/>
      <c r="AO975" s="19"/>
      <c r="AP975" s="19"/>
      <c r="AQ975" s="19"/>
      <c r="AR975" s="19"/>
      <c r="AS975" s="19"/>
      <c r="AT975" s="19"/>
      <c r="AU975" s="19"/>
      <c r="AV975" s="19"/>
      <c r="AW975" s="19"/>
      <c r="AX975" s="19"/>
      <c r="GA975" s="54"/>
    </row>
    <row r="976" spans="1:183" s="18" customFormat="1">
      <c r="A976" s="51"/>
      <c r="B976" s="52"/>
      <c r="C976" s="52"/>
      <c r="D976" s="52"/>
      <c r="E976" s="53"/>
      <c r="F976" s="52"/>
      <c r="G976" s="52"/>
      <c r="H976" s="52"/>
      <c r="I976" s="53"/>
      <c r="J976" s="52"/>
      <c r="K976" s="52"/>
      <c r="L976" s="52"/>
      <c r="M976" s="52"/>
      <c r="N976" s="19"/>
      <c r="O976" s="19"/>
      <c r="P976" s="19"/>
      <c r="Q976" s="19"/>
      <c r="R976" s="19"/>
      <c r="S976" s="19"/>
      <c r="T976" s="19"/>
      <c r="U976" s="19"/>
      <c r="V976" s="19"/>
      <c r="W976" s="19"/>
      <c r="X976" s="19"/>
      <c r="Y976" s="19"/>
      <c r="Z976" s="19"/>
      <c r="AA976" s="19"/>
      <c r="AB976" s="19"/>
      <c r="AC976" s="19"/>
      <c r="AD976" s="19"/>
      <c r="AE976" s="19"/>
      <c r="AF976" s="19"/>
      <c r="AG976" s="19"/>
      <c r="AH976" s="19"/>
      <c r="AI976" s="19"/>
      <c r="AJ976" s="19"/>
      <c r="AK976" s="19"/>
      <c r="AL976" s="19"/>
      <c r="AM976" s="19"/>
      <c r="AN976" s="19"/>
      <c r="AO976" s="19"/>
      <c r="AP976" s="19"/>
      <c r="AQ976" s="19"/>
      <c r="AR976" s="19"/>
      <c r="AS976" s="19"/>
      <c r="AT976" s="19"/>
      <c r="AU976" s="19"/>
      <c r="AV976" s="19"/>
      <c r="AW976" s="19"/>
      <c r="AX976" s="19"/>
      <c r="GA976" s="54"/>
    </row>
    <row r="977" spans="1:183" s="18" customFormat="1">
      <c r="A977" s="51"/>
      <c r="B977" s="52"/>
      <c r="C977" s="52"/>
      <c r="D977" s="52"/>
      <c r="E977" s="53"/>
      <c r="F977" s="52"/>
      <c r="G977" s="52"/>
      <c r="H977" s="52"/>
      <c r="I977" s="53"/>
      <c r="J977" s="52"/>
      <c r="K977" s="52"/>
      <c r="L977" s="52"/>
      <c r="M977" s="52"/>
      <c r="N977" s="19"/>
      <c r="O977" s="19"/>
      <c r="P977" s="19"/>
      <c r="Q977" s="19"/>
      <c r="R977" s="19"/>
      <c r="S977" s="19"/>
      <c r="T977" s="19"/>
      <c r="U977" s="19"/>
      <c r="V977" s="19"/>
      <c r="W977" s="19"/>
      <c r="X977" s="19"/>
      <c r="Y977" s="19"/>
      <c r="Z977" s="19"/>
      <c r="AA977" s="19"/>
      <c r="AB977" s="19"/>
      <c r="AC977" s="19"/>
      <c r="AD977" s="19"/>
      <c r="AE977" s="19"/>
      <c r="AF977" s="19"/>
      <c r="AG977" s="19"/>
      <c r="AH977" s="19"/>
      <c r="AI977" s="19"/>
      <c r="AJ977" s="19"/>
      <c r="AK977" s="19"/>
      <c r="AL977" s="19"/>
      <c r="AM977" s="19"/>
      <c r="AN977" s="19"/>
      <c r="AO977" s="19"/>
      <c r="AP977" s="19"/>
      <c r="AQ977" s="19"/>
      <c r="AR977" s="19"/>
      <c r="AS977" s="19"/>
      <c r="AT977" s="19"/>
      <c r="AU977" s="19"/>
      <c r="AV977" s="19"/>
      <c r="AW977" s="19"/>
      <c r="AX977" s="19"/>
      <c r="GA977" s="54"/>
    </row>
    <row r="978" spans="1:183" s="18" customFormat="1">
      <c r="A978" s="51"/>
      <c r="B978" s="52"/>
      <c r="C978" s="52"/>
      <c r="D978" s="52"/>
      <c r="E978" s="53"/>
      <c r="F978" s="52"/>
      <c r="G978" s="52"/>
      <c r="H978" s="52"/>
      <c r="I978" s="53"/>
      <c r="J978" s="52"/>
      <c r="K978" s="52"/>
      <c r="L978" s="52"/>
      <c r="M978" s="52"/>
      <c r="N978" s="19"/>
      <c r="O978" s="19"/>
      <c r="P978" s="19"/>
      <c r="Q978" s="19"/>
      <c r="R978" s="19"/>
      <c r="S978" s="19"/>
      <c r="T978" s="19"/>
      <c r="U978" s="19"/>
      <c r="V978" s="19"/>
      <c r="W978" s="19"/>
      <c r="X978" s="19"/>
      <c r="Y978" s="19"/>
      <c r="Z978" s="19"/>
      <c r="AA978" s="19"/>
      <c r="AB978" s="19"/>
      <c r="AC978" s="19"/>
      <c r="AD978" s="19"/>
      <c r="AE978" s="19"/>
      <c r="AF978" s="19"/>
      <c r="AG978" s="19"/>
      <c r="AH978" s="19"/>
      <c r="AI978" s="19"/>
      <c r="AJ978" s="19"/>
      <c r="AK978" s="19"/>
      <c r="AL978" s="19"/>
      <c r="AM978" s="19"/>
      <c r="AN978" s="19"/>
      <c r="AO978" s="19"/>
      <c r="AP978" s="19"/>
      <c r="AQ978" s="19"/>
      <c r="AR978" s="19"/>
      <c r="AS978" s="19"/>
      <c r="AT978" s="19"/>
      <c r="AU978" s="19"/>
      <c r="AV978" s="19"/>
      <c r="AW978" s="19"/>
      <c r="AX978" s="19"/>
      <c r="GA978" s="54"/>
    </row>
    <row r="979" spans="1:183" s="18" customFormat="1">
      <c r="A979" s="51"/>
      <c r="B979" s="52"/>
      <c r="C979" s="52"/>
      <c r="D979" s="52"/>
      <c r="E979" s="53"/>
      <c r="F979" s="52"/>
      <c r="G979" s="52"/>
      <c r="H979" s="52"/>
      <c r="I979" s="53"/>
      <c r="J979" s="52"/>
      <c r="K979" s="52"/>
      <c r="L979" s="52"/>
      <c r="M979" s="52"/>
      <c r="N979" s="19"/>
      <c r="O979" s="19"/>
      <c r="P979" s="19"/>
      <c r="Q979" s="19"/>
      <c r="R979" s="19"/>
      <c r="S979" s="19"/>
      <c r="T979" s="19"/>
      <c r="U979" s="19"/>
      <c r="V979" s="19"/>
      <c r="W979" s="19"/>
      <c r="X979" s="19"/>
      <c r="Y979" s="19"/>
      <c r="Z979" s="19"/>
      <c r="AA979" s="19"/>
      <c r="AB979" s="19"/>
      <c r="AC979" s="19"/>
      <c r="AD979" s="19"/>
      <c r="AE979" s="19"/>
      <c r="AF979" s="19"/>
      <c r="AG979" s="19"/>
      <c r="AH979" s="19"/>
      <c r="AI979" s="19"/>
      <c r="AJ979" s="19"/>
      <c r="AK979" s="19"/>
      <c r="AL979" s="19"/>
      <c r="AM979" s="19"/>
      <c r="AN979" s="19"/>
      <c r="AO979" s="19"/>
      <c r="AP979" s="19"/>
      <c r="AQ979" s="19"/>
      <c r="AR979" s="19"/>
      <c r="AS979" s="19"/>
      <c r="AT979" s="19"/>
      <c r="AU979" s="19"/>
      <c r="AV979" s="19"/>
      <c r="AW979" s="19"/>
      <c r="AX979" s="19"/>
      <c r="GA979" s="54"/>
    </row>
    <row r="980" spans="1:183" s="18" customFormat="1">
      <c r="A980" s="51"/>
      <c r="B980" s="52"/>
      <c r="C980" s="52"/>
      <c r="D980" s="52"/>
      <c r="E980" s="53"/>
      <c r="F980" s="52"/>
      <c r="G980" s="52"/>
      <c r="H980" s="52"/>
      <c r="I980" s="53"/>
      <c r="J980" s="52"/>
      <c r="K980" s="52"/>
      <c r="L980" s="52"/>
      <c r="M980" s="52"/>
      <c r="N980" s="19"/>
      <c r="O980" s="19"/>
      <c r="P980" s="19"/>
      <c r="Q980" s="19"/>
      <c r="R980" s="19"/>
      <c r="S980" s="19"/>
      <c r="T980" s="19"/>
      <c r="U980" s="19"/>
      <c r="V980" s="19"/>
      <c r="W980" s="19"/>
      <c r="X980" s="19"/>
      <c r="Y980" s="19"/>
      <c r="Z980" s="19"/>
      <c r="AA980" s="19"/>
      <c r="AB980" s="19"/>
      <c r="AC980" s="19"/>
      <c r="AD980" s="19"/>
      <c r="AE980" s="19"/>
      <c r="AF980" s="19"/>
      <c r="AG980" s="19"/>
      <c r="AH980" s="19"/>
      <c r="AI980" s="19"/>
      <c r="AJ980" s="19"/>
      <c r="AK980" s="19"/>
      <c r="AL980" s="19"/>
      <c r="AM980" s="19"/>
      <c r="AN980" s="19"/>
      <c r="AO980" s="19"/>
      <c r="AP980" s="19"/>
      <c r="AQ980" s="19"/>
      <c r="AR980" s="19"/>
      <c r="AS980" s="19"/>
      <c r="AT980" s="19"/>
      <c r="AU980" s="19"/>
      <c r="AV980" s="19"/>
      <c r="AW980" s="19"/>
      <c r="AX980" s="19"/>
      <c r="GA980" s="54"/>
    </row>
    <row r="981" spans="1:183" s="18" customFormat="1">
      <c r="A981" s="51"/>
      <c r="B981" s="52"/>
      <c r="C981" s="52"/>
      <c r="D981" s="52"/>
      <c r="E981" s="53"/>
      <c r="F981" s="52"/>
      <c r="G981" s="52"/>
      <c r="H981" s="52"/>
      <c r="I981" s="53"/>
      <c r="J981" s="52"/>
      <c r="K981" s="52"/>
      <c r="L981" s="52"/>
      <c r="M981" s="52"/>
      <c r="N981" s="19"/>
      <c r="O981" s="19"/>
      <c r="P981" s="19"/>
      <c r="Q981" s="19"/>
      <c r="R981" s="19"/>
      <c r="S981" s="19"/>
      <c r="T981" s="19"/>
      <c r="U981" s="19"/>
      <c r="V981" s="19"/>
      <c r="W981" s="19"/>
      <c r="X981" s="19"/>
      <c r="Y981" s="19"/>
      <c r="Z981" s="19"/>
      <c r="AA981" s="19"/>
      <c r="AB981" s="19"/>
      <c r="AC981" s="19"/>
      <c r="AD981" s="19"/>
      <c r="AE981" s="19"/>
      <c r="AF981" s="19"/>
      <c r="AG981" s="19"/>
      <c r="AH981" s="19"/>
      <c r="AI981" s="19"/>
      <c r="AJ981" s="19"/>
      <c r="AK981" s="19"/>
      <c r="AL981" s="19"/>
      <c r="AM981" s="19"/>
      <c r="AN981" s="19"/>
      <c r="AO981" s="19"/>
      <c r="AP981" s="19"/>
      <c r="AQ981" s="19"/>
      <c r="AR981" s="19"/>
      <c r="AS981" s="19"/>
      <c r="AT981" s="19"/>
      <c r="AU981" s="19"/>
      <c r="AV981" s="19"/>
      <c r="AW981" s="19"/>
      <c r="AX981" s="19"/>
      <c r="GA981" s="54"/>
    </row>
    <row r="982" spans="1:183" s="18" customFormat="1">
      <c r="A982" s="51"/>
      <c r="B982" s="52"/>
      <c r="C982" s="52"/>
      <c r="D982" s="52"/>
      <c r="E982" s="53"/>
      <c r="F982" s="52"/>
      <c r="G982" s="52"/>
      <c r="H982" s="52"/>
      <c r="I982" s="53"/>
      <c r="J982" s="52"/>
      <c r="K982" s="52"/>
      <c r="L982" s="52"/>
      <c r="M982" s="52"/>
      <c r="N982" s="19"/>
      <c r="O982" s="19"/>
      <c r="P982" s="19"/>
      <c r="Q982" s="19"/>
      <c r="R982" s="19"/>
      <c r="S982" s="19"/>
      <c r="T982" s="19"/>
      <c r="U982" s="19"/>
      <c r="V982" s="19"/>
      <c r="W982" s="19"/>
      <c r="X982" s="19"/>
      <c r="Y982" s="19"/>
      <c r="Z982" s="19"/>
      <c r="AA982" s="19"/>
      <c r="AB982" s="19"/>
      <c r="AC982" s="19"/>
      <c r="AD982" s="19"/>
      <c r="AE982" s="19"/>
      <c r="AF982" s="19"/>
      <c r="AG982" s="19"/>
      <c r="AH982" s="19"/>
      <c r="AI982" s="19"/>
      <c r="AJ982" s="19"/>
      <c r="AK982" s="19"/>
      <c r="AL982" s="19"/>
      <c r="AM982" s="19"/>
      <c r="AN982" s="19"/>
      <c r="AO982" s="19"/>
      <c r="AP982" s="19"/>
      <c r="AQ982" s="19"/>
      <c r="AR982" s="19"/>
      <c r="AS982" s="19"/>
      <c r="AT982" s="19"/>
      <c r="AU982" s="19"/>
      <c r="AV982" s="19"/>
      <c r="AW982" s="19"/>
      <c r="AX982" s="19"/>
      <c r="GA982" s="54"/>
    </row>
    <row r="983" spans="1:183" s="18" customFormat="1">
      <c r="A983" s="51"/>
      <c r="B983" s="52"/>
      <c r="C983" s="52"/>
      <c r="D983" s="52"/>
      <c r="E983" s="53"/>
      <c r="F983" s="52"/>
      <c r="G983" s="52"/>
      <c r="H983" s="52"/>
      <c r="I983" s="53"/>
      <c r="J983" s="52"/>
      <c r="K983" s="52"/>
      <c r="L983" s="52"/>
      <c r="M983" s="52"/>
      <c r="N983" s="19"/>
      <c r="O983" s="19"/>
      <c r="P983" s="19"/>
      <c r="Q983" s="19"/>
      <c r="R983" s="19"/>
      <c r="S983" s="19"/>
      <c r="T983" s="19"/>
      <c r="U983" s="19"/>
      <c r="V983" s="19"/>
      <c r="W983" s="19"/>
      <c r="X983" s="19"/>
      <c r="Y983" s="19"/>
      <c r="Z983" s="19"/>
      <c r="AA983" s="19"/>
      <c r="AB983" s="19"/>
      <c r="AC983" s="19"/>
      <c r="AD983" s="19"/>
      <c r="AE983" s="19"/>
      <c r="AF983" s="19"/>
      <c r="AG983" s="19"/>
      <c r="AH983" s="19"/>
      <c r="AI983" s="19"/>
      <c r="AJ983" s="19"/>
      <c r="AK983" s="19"/>
      <c r="AL983" s="19"/>
      <c r="AM983" s="19"/>
      <c r="AN983" s="19"/>
      <c r="AO983" s="19"/>
      <c r="AP983" s="19"/>
      <c r="AQ983" s="19"/>
      <c r="AR983" s="19"/>
      <c r="AS983" s="19"/>
      <c r="AT983" s="19"/>
      <c r="AU983" s="19"/>
      <c r="AV983" s="19"/>
      <c r="AW983" s="19"/>
      <c r="AX983" s="19"/>
      <c r="GA983" s="54"/>
    </row>
    <row r="984" spans="1:183" s="18" customFormat="1">
      <c r="A984" s="51"/>
      <c r="B984" s="52"/>
      <c r="C984" s="52"/>
      <c r="D984" s="52"/>
      <c r="E984" s="53"/>
      <c r="F984" s="52"/>
      <c r="G984" s="52"/>
      <c r="H984" s="52"/>
      <c r="I984" s="53"/>
      <c r="J984" s="52"/>
      <c r="K984" s="52"/>
      <c r="L984" s="52"/>
      <c r="M984" s="52"/>
      <c r="N984" s="19"/>
      <c r="O984" s="19"/>
      <c r="P984" s="19"/>
      <c r="Q984" s="19"/>
      <c r="R984" s="19"/>
      <c r="S984" s="19"/>
      <c r="T984" s="19"/>
      <c r="U984" s="19"/>
      <c r="V984" s="19"/>
      <c r="W984" s="19"/>
      <c r="X984" s="19"/>
      <c r="Y984" s="19"/>
      <c r="Z984" s="19"/>
      <c r="AA984" s="19"/>
      <c r="AB984" s="19"/>
      <c r="AC984" s="19"/>
      <c r="AD984" s="19"/>
      <c r="AE984" s="19"/>
      <c r="AF984" s="19"/>
      <c r="AG984" s="19"/>
      <c r="AH984" s="19"/>
      <c r="AI984" s="19"/>
      <c r="AJ984" s="19"/>
      <c r="AK984" s="19"/>
      <c r="AL984" s="19"/>
      <c r="AM984" s="19"/>
      <c r="AN984" s="19"/>
      <c r="AO984" s="19"/>
      <c r="AP984" s="19"/>
      <c r="AQ984" s="19"/>
      <c r="AR984" s="19"/>
      <c r="AS984" s="19"/>
      <c r="AT984" s="19"/>
      <c r="AU984" s="19"/>
      <c r="AV984" s="19"/>
      <c r="AW984" s="19"/>
      <c r="AX984" s="19"/>
      <c r="GA984" s="54"/>
    </row>
    <row r="985" spans="1:183" s="18" customFormat="1">
      <c r="A985" s="51"/>
      <c r="B985" s="52"/>
      <c r="C985" s="52"/>
      <c r="D985" s="52"/>
      <c r="E985" s="53"/>
      <c r="F985" s="52"/>
      <c r="G985" s="52"/>
      <c r="H985" s="52"/>
      <c r="I985" s="53"/>
      <c r="J985" s="52"/>
      <c r="K985" s="52"/>
      <c r="L985" s="52"/>
      <c r="M985" s="52"/>
      <c r="N985" s="19"/>
      <c r="O985" s="19"/>
      <c r="P985" s="19"/>
      <c r="Q985" s="19"/>
      <c r="R985" s="19"/>
      <c r="S985" s="19"/>
      <c r="T985" s="19"/>
      <c r="U985" s="19"/>
      <c r="V985" s="19"/>
      <c r="W985" s="19"/>
      <c r="X985" s="19"/>
      <c r="Y985" s="19"/>
      <c r="Z985" s="19"/>
      <c r="AA985" s="19"/>
      <c r="AB985" s="19"/>
      <c r="AC985" s="19"/>
      <c r="AD985" s="19"/>
      <c r="AE985" s="19"/>
      <c r="AF985" s="19"/>
      <c r="AG985" s="19"/>
      <c r="AH985" s="19"/>
      <c r="AI985" s="19"/>
      <c r="AJ985" s="19"/>
      <c r="AK985" s="19"/>
      <c r="AL985" s="19"/>
      <c r="AM985" s="19"/>
      <c r="AN985" s="19"/>
      <c r="AO985" s="19"/>
      <c r="AP985" s="19"/>
      <c r="AQ985" s="19"/>
      <c r="AR985" s="19"/>
      <c r="AS985" s="19"/>
      <c r="AT985" s="19"/>
      <c r="AU985" s="19"/>
      <c r="AV985" s="19"/>
      <c r="AW985" s="19"/>
      <c r="AX985" s="19"/>
      <c r="GA985" s="54"/>
    </row>
    <row r="986" spans="1:183" s="18" customFormat="1">
      <c r="A986" s="51"/>
      <c r="B986" s="52"/>
      <c r="C986" s="52"/>
      <c r="D986" s="52"/>
      <c r="E986" s="53"/>
      <c r="F986" s="52"/>
      <c r="G986" s="52"/>
      <c r="H986" s="52"/>
      <c r="I986" s="53"/>
      <c r="J986" s="52"/>
      <c r="K986" s="52"/>
      <c r="L986" s="52"/>
      <c r="M986" s="52"/>
      <c r="N986" s="19"/>
      <c r="O986" s="19"/>
      <c r="P986" s="19"/>
      <c r="Q986" s="19"/>
      <c r="R986" s="19"/>
      <c r="S986" s="19"/>
      <c r="T986" s="19"/>
      <c r="U986" s="19"/>
      <c r="V986" s="19"/>
      <c r="W986" s="19"/>
      <c r="X986" s="19"/>
      <c r="Y986" s="19"/>
      <c r="Z986" s="19"/>
      <c r="AA986" s="19"/>
      <c r="AB986" s="19"/>
      <c r="AC986" s="19"/>
      <c r="AD986" s="19"/>
      <c r="AE986" s="19"/>
      <c r="AF986" s="19"/>
      <c r="AG986" s="19"/>
      <c r="AH986" s="19"/>
      <c r="AI986" s="19"/>
      <c r="AJ986" s="19"/>
      <c r="AK986" s="19"/>
      <c r="AL986" s="19"/>
      <c r="AM986" s="19"/>
      <c r="AN986" s="19"/>
      <c r="AO986" s="19"/>
      <c r="AP986" s="19"/>
      <c r="AQ986" s="19"/>
      <c r="AR986" s="19"/>
      <c r="AS986" s="19"/>
      <c r="AT986" s="19"/>
      <c r="AU986" s="19"/>
      <c r="AV986" s="19"/>
      <c r="AW986" s="19"/>
      <c r="AX986" s="19"/>
      <c r="GA986" s="54"/>
    </row>
    <row r="987" spans="1:183" s="18" customFormat="1">
      <c r="A987" s="51"/>
      <c r="B987" s="52"/>
      <c r="C987" s="52"/>
      <c r="D987" s="52"/>
      <c r="E987" s="53"/>
      <c r="F987" s="52"/>
      <c r="G987" s="52"/>
      <c r="H987" s="52"/>
      <c r="I987" s="53"/>
      <c r="J987" s="52"/>
      <c r="K987" s="52"/>
      <c r="L987" s="52"/>
      <c r="M987" s="52"/>
      <c r="N987" s="19"/>
      <c r="O987" s="19"/>
      <c r="P987" s="19"/>
      <c r="Q987" s="19"/>
      <c r="R987" s="19"/>
      <c r="S987" s="19"/>
      <c r="T987" s="19"/>
      <c r="U987" s="19"/>
      <c r="V987" s="19"/>
      <c r="W987" s="19"/>
      <c r="X987" s="19"/>
      <c r="Y987" s="19"/>
      <c r="Z987" s="19"/>
      <c r="AA987" s="19"/>
      <c r="AB987" s="19"/>
      <c r="AC987" s="19"/>
      <c r="AD987" s="19"/>
      <c r="AE987" s="19"/>
      <c r="AF987" s="19"/>
      <c r="AG987" s="19"/>
      <c r="AH987" s="19"/>
      <c r="AI987" s="19"/>
      <c r="AJ987" s="19"/>
      <c r="AK987" s="19"/>
      <c r="AL987" s="19"/>
      <c r="AM987" s="19"/>
      <c r="AN987" s="19"/>
      <c r="AO987" s="19"/>
      <c r="AP987" s="19"/>
      <c r="AQ987" s="19"/>
      <c r="AR987" s="19"/>
      <c r="AS987" s="19"/>
      <c r="AT987" s="19"/>
      <c r="AU987" s="19"/>
      <c r="AV987" s="19"/>
      <c r="AW987" s="19"/>
      <c r="AX987" s="19"/>
      <c r="GA987" s="54"/>
    </row>
    <row r="988" spans="1:183" s="18" customFormat="1">
      <c r="A988" s="51"/>
      <c r="B988" s="52"/>
      <c r="C988" s="52"/>
      <c r="D988" s="52"/>
      <c r="E988" s="53"/>
      <c r="F988" s="52"/>
      <c r="G988" s="52"/>
      <c r="H988" s="52"/>
      <c r="I988" s="53"/>
      <c r="J988" s="52"/>
      <c r="K988" s="52"/>
      <c r="L988" s="52"/>
      <c r="M988" s="52"/>
      <c r="N988" s="19"/>
      <c r="O988" s="19"/>
      <c r="P988" s="19"/>
      <c r="Q988" s="19"/>
      <c r="R988" s="19"/>
      <c r="S988" s="19"/>
      <c r="T988" s="19"/>
      <c r="U988" s="19"/>
      <c r="V988" s="19"/>
      <c r="W988" s="19"/>
      <c r="X988" s="19"/>
      <c r="Y988" s="19"/>
      <c r="Z988" s="19"/>
      <c r="AA988" s="19"/>
      <c r="AB988" s="19"/>
      <c r="AC988" s="19"/>
      <c r="AD988" s="19"/>
      <c r="AE988" s="19"/>
      <c r="AF988" s="19"/>
      <c r="AG988" s="19"/>
      <c r="AH988" s="19"/>
      <c r="AI988" s="19"/>
      <c r="AJ988" s="19"/>
      <c r="AK988" s="19"/>
      <c r="AL988" s="19"/>
      <c r="AM988" s="19"/>
      <c r="AN988" s="19"/>
      <c r="AO988" s="19"/>
      <c r="AP988" s="19"/>
      <c r="AQ988" s="19"/>
      <c r="AR988" s="19"/>
      <c r="AS988" s="19"/>
      <c r="AT988" s="19"/>
      <c r="AU988" s="19"/>
      <c r="AV988" s="19"/>
      <c r="AW988" s="19"/>
      <c r="AX988" s="19"/>
      <c r="GA988" s="54"/>
    </row>
    <row r="989" spans="1:183" s="18" customFormat="1">
      <c r="A989" s="51"/>
      <c r="B989" s="52"/>
      <c r="C989" s="52"/>
      <c r="D989" s="52"/>
      <c r="E989" s="53"/>
      <c r="F989" s="52"/>
      <c r="G989" s="52"/>
      <c r="H989" s="52"/>
      <c r="I989" s="53"/>
      <c r="J989" s="52"/>
      <c r="K989" s="52"/>
      <c r="L989" s="52"/>
      <c r="M989" s="52"/>
      <c r="N989" s="19"/>
      <c r="O989" s="19"/>
      <c r="P989" s="19"/>
      <c r="Q989" s="19"/>
      <c r="R989" s="19"/>
      <c r="S989" s="19"/>
      <c r="T989" s="19"/>
      <c r="U989" s="19"/>
      <c r="V989" s="19"/>
      <c r="W989" s="19"/>
      <c r="X989" s="19"/>
      <c r="Y989" s="19"/>
      <c r="Z989" s="19"/>
      <c r="AA989" s="19"/>
      <c r="AB989" s="19"/>
      <c r="AC989" s="19"/>
      <c r="AD989" s="19"/>
      <c r="AE989" s="19"/>
      <c r="AF989" s="19"/>
      <c r="AG989" s="19"/>
      <c r="AH989" s="19"/>
      <c r="AI989" s="19"/>
      <c r="AJ989" s="19"/>
      <c r="AK989" s="19"/>
      <c r="AL989" s="19"/>
      <c r="AM989" s="19"/>
      <c r="AN989" s="19"/>
      <c r="AO989" s="19"/>
      <c r="AP989" s="19"/>
      <c r="AQ989" s="19"/>
      <c r="AR989" s="19"/>
      <c r="AS989" s="19"/>
      <c r="AT989" s="19"/>
      <c r="AU989" s="19"/>
      <c r="AV989" s="19"/>
      <c r="AW989" s="19"/>
      <c r="AX989" s="19"/>
      <c r="GA989" s="54"/>
    </row>
    <row r="990" spans="1:183" s="18" customFormat="1">
      <c r="A990" s="51"/>
      <c r="B990" s="52"/>
      <c r="C990" s="52"/>
      <c r="D990" s="52"/>
      <c r="E990" s="53"/>
      <c r="F990" s="52"/>
      <c r="G990" s="52"/>
      <c r="H990" s="52"/>
      <c r="I990" s="53"/>
      <c r="J990" s="52"/>
      <c r="K990" s="52"/>
      <c r="L990" s="52"/>
      <c r="M990" s="52"/>
      <c r="N990" s="19"/>
      <c r="O990" s="19"/>
      <c r="P990" s="19"/>
      <c r="Q990" s="19"/>
      <c r="R990" s="19"/>
      <c r="S990" s="19"/>
      <c r="T990" s="19"/>
      <c r="U990" s="19"/>
      <c r="V990" s="19"/>
      <c r="W990" s="19"/>
      <c r="X990" s="19"/>
      <c r="Y990" s="19"/>
      <c r="Z990" s="19"/>
      <c r="AA990" s="19"/>
      <c r="AB990" s="19"/>
      <c r="AC990" s="19"/>
      <c r="AD990" s="19"/>
      <c r="AE990" s="19"/>
      <c r="AF990" s="19"/>
      <c r="AG990" s="19"/>
      <c r="AH990" s="19"/>
      <c r="AI990" s="19"/>
      <c r="AJ990" s="19"/>
      <c r="AK990" s="19"/>
      <c r="AL990" s="19"/>
      <c r="AM990" s="19"/>
      <c r="AN990" s="19"/>
      <c r="AO990" s="19"/>
      <c r="AP990" s="19"/>
      <c r="AQ990" s="19"/>
      <c r="AR990" s="19"/>
      <c r="AS990" s="19"/>
      <c r="AT990" s="19"/>
      <c r="AU990" s="19"/>
      <c r="AV990" s="19"/>
      <c r="AW990" s="19"/>
      <c r="AX990" s="19"/>
      <c r="GA990" s="54"/>
    </row>
    <row r="991" spans="1:183" s="18" customFormat="1">
      <c r="A991" s="51"/>
      <c r="B991" s="52"/>
      <c r="C991" s="52"/>
      <c r="D991" s="52"/>
      <c r="E991" s="53"/>
      <c r="F991" s="52"/>
      <c r="G991" s="52"/>
      <c r="H991" s="52"/>
      <c r="I991" s="53"/>
      <c r="J991" s="52"/>
      <c r="K991" s="52"/>
      <c r="L991" s="52"/>
      <c r="M991" s="52"/>
      <c r="N991" s="19"/>
      <c r="O991" s="19"/>
      <c r="P991" s="19"/>
      <c r="Q991" s="19"/>
      <c r="R991" s="19"/>
      <c r="S991" s="19"/>
      <c r="T991" s="19"/>
      <c r="U991" s="19"/>
      <c r="V991" s="19"/>
      <c r="W991" s="19"/>
      <c r="X991" s="19"/>
      <c r="Y991" s="19"/>
      <c r="Z991" s="19"/>
      <c r="AA991" s="19"/>
      <c r="AB991" s="19"/>
      <c r="AC991" s="19"/>
      <c r="AD991" s="19"/>
      <c r="AE991" s="19"/>
      <c r="AF991" s="19"/>
      <c r="AG991" s="19"/>
      <c r="AH991" s="19"/>
      <c r="AI991" s="19"/>
      <c r="AJ991" s="19"/>
      <c r="AK991" s="19"/>
      <c r="AL991" s="19"/>
      <c r="AM991" s="19"/>
      <c r="AN991" s="19"/>
      <c r="AO991" s="19"/>
      <c r="AP991" s="19"/>
      <c r="AQ991" s="19"/>
      <c r="AR991" s="19"/>
      <c r="AS991" s="19"/>
      <c r="AT991" s="19"/>
      <c r="AU991" s="19"/>
      <c r="AV991" s="19"/>
      <c r="AW991" s="19"/>
      <c r="AX991" s="19"/>
      <c r="GA991" s="54"/>
    </row>
    <row r="992" spans="1:183" s="18" customFormat="1">
      <c r="A992" s="51"/>
      <c r="B992" s="52"/>
      <c r="C992" s="52"/>
      <c r="D992" s="52"/>
      <c r="E992" s="53"/>
      <c r="F992" s="52"/>
      <c r="G992" s="52"/>
      <c r="H992" s="52"/>
      <c r="I992" s="53"/>
      <c r="J992" s="52"/>
      <c r="K992" s="52"/>
      <c r="L992" s="52"/>
      <c r="M992" s="52"/>
      <c r="N992" s="19"/>
      <c r="O992" s="19"/>
      <c r="P992" s="19"/>
      <c r="Q992" s="19"/>
      <c r="R992" s="19"/>
      <c r="S992" s="19"/>
      <c r="T992" s="19"/>
      <c r="U992" s="19"/>
      <c r="V992" s="19"/>
      <c r="W992" s="19"/>
      <c r="X992" s="19"/>
      <c r="Y992" s="19"/>
      <c r="Z992" s="19"/>
      <c r="AA992" s="19"/>
      <c r="AB992" s="19"/>
      <c r="AC992" s="19"/>
      <c r="AD992" s="19"/>
      <c r="AE992" s="19"/>
      <c r="AF992" s="19"/>
      <c r="AG992" s="19"/>
      <c r="AH992" s="19"/>
      <c r="AI992" s="19"/>
      <c r="AJ992" s="19"/>
      <c r="AK992" s="19"/>
      <c r="AL992" s="19"/>
      <c r="AM992" s="19"/>
      <c r="AN992" s="19"/>
      <c r="AO992" s="19"/>
      <c r="AP992" s="19"/>
      <c r="AQ992" s="19"/>
      <c r="AR992" s="19"/>
      <c r="AS992" s="19"/>
      <c r="AT992" s="19"/>
      <c r="AU992" s="19"/>
      <c r="AV992" s="19"/>
      <c r="AW992" s="19"/>
      <c r="AX992" s="19"/>
      <c r="GA992" s="54"/>
    </row>
    <row r="993" spans="1:183" s="18" customFormat="1">
      <c r="A993" s="51"/>
      <c r="B993" s="52"/>
      <c r="C993" s="52"/>
      <c r="D993" s="52"/>
      <c r="E993" s="53"/>
      <c r="F993" s="52"/>
      <c r="G993" s="52"/>
      <c r="H993" s="52"/>
      <c r="I993" s="53"/>
      <c r="J993" s="52"/>
      <c r="K993" s="52"/>
      <c r="L993" s="52"/>
      <c r="M993" s="52"/>
      <c r="N993" s="19"/>
      <c r="O993" s="19"/>
      <c r="P993" s="19"/>
      <c r="Q993" s="19"/>
      <c r="R993" s="19"/>
      <c r="S993" s="19"/>
      <c r="T993" s="19"/>
      <c r="U993" s="19"/>
      <c r="V993" s="19"/>
      <c r="W993" s="19"/>
      <c r="X993" s="19"/>
      <c r="Y993" s="19"/>
      <c r="Z993" s="19"/>
      <c r="AA993" s="19"/>
      <c r="AB993" s="19"/>
      <c r="AC993" s="19"/>
      <c r="AD993" s="19"/>
      <c r="AE993" s="19"/>
      <c r="AF993" s="19"/>
      <c r="AG993" s="19"/>
      <c r="AH993" s="19"/>
      <c r="AI993" s="19"/>
      <c r="AJ993" s="19"/>
      <c r="AK993" s="19"/>
      <c r="AL993" s="19"/>
      <c r="AM993" s="19"/>
      <c r="AN993" s="19"/>
      <c r="AO993" s="19"/>
      <c r="AP993" s="19"/>
      <c r="AQ993" s="19"/>
      <c r="AR993" s="19"/>
      <c r="AS993" s="19"/>
      <c r="AT993" s="19"/>
      <c r="AU993" s="19"/>
      <c r="AV993" s="19"/>
      <c r="AW993" s="19"/>
      <c r="AX993" s="19"/>
      <c r="GA993" s="54"/>
    </row>
    <row r="994" spans="1:183" s="18" customFormat="1">
      <c r="A994" s="51"/>
      <c r="B994" s="52"/>
      <c r="C994" s="52"/>
      <c r="D994" s="52"/>
      <c r="E994" s="53"/>
      <c r="F994" s="52"/>
      <c r="G994" s="52"/>
      <c r="H994" s="52"/>
      <c r="I994" s="53"/>
      <c r="J994" s="52"/>
      <c r="K994" s="52"/>
      <c r="L994" s="52"/>
      <c r="M994" s="52"/>
      <c r="N994" s="19"/>
      <c r="O994" s="19"/>
      <c r="P994" s="19"/>
      <c r="Q994" s="19"/>
      <c r="R994" s="19"/>
      <c r="S994" s="19"/>
      <c r="T994" s="19"/>
      <c r="U994" s="19"/>
      <c r="V994" s="19"/>
      <c r="W994" s="19"/>
      <c r="X994" s="19"/>
      <c r="Y994" s="19"/>
      <c r="Z994" s="19"/>
      <c r="AA994" s="19"/>
      <c r="AB994" s="19"/>
      <c r="AC994" s="19"/>
      <c r="AD994" s="19"/>
      <c r="AE994" s="19"/>
      <c r="AF994" s="19"/>
      <c r="AG994" s="19"/>
      <c r="AH994" s="19"/>
      <c r="AI994" s="19"/>
      <c r="AJ994" s="19"/>
      <c r="AK994" s="19"/>
      <c r="AL994" s="19"/>
      <c r="AM994" s="19"/>
      <c r="AN994" s="19"/>
      <c r="AO994" s="19"/>
      <c r="AP994" s="19"/>
      <c r="AQ994" s="19"/>
      <c r="AR994" s="19"/>
      <c r="AS994" s="19"/>
      <c r="AT994" s="19"/>
      <c r="AU994" s="19"/>
      <c r="AV994" s="19"/>
      <c r="AW994" s="19"/>
      <c r="AX994" s="19"/>
      <c r="GA994" s="54"/>
    </row>
    <row r="995" spans="1:183" s="18" customFormat="1">
      <c r="A995" s="51"/>
      <c r="B995" s="52"/>
      <c r="C995" s="52"/>
      <c r="D995" s="52"/>
      <c r="E995" s="53"/>
      <c r="F995" s="52"/>
      <c r="G995" s="52"/>
      <c r="H995" s="52"/>
      <c r="I995" s="53"/>
      <c r="J995" s="52"/>
      <c r="K995" s="52"/>
      <c r="L995" s="52"/>
      <c r="M995" s="52"/>
      <c r="N995" s="19"/>
      <c r="O995" s="19"/>
      <c r="P995" s="19"/>
      <c r="Q995" s="19"/>
      <c r="R995" s="19"/>
      <c r="S995" s="19"/>
      <c r="T995" s="19"/>
      <c r="U995" s="19"/>
      <c r="V995" s="19"/>
      <c r="W995" s="19"/>
      <c r="X995" s="19"/>
      <c r="Y995" s="19"/>
      <c r="Z995" s="19"/>
      <c r="AA995" s="19"/>
      <c r="AB995" s="19"/>
      <c r="AC995" s="19"/>
      <c r="AD995" s="19"/>
      <c r="AE995" s="19"/>
      <c r="AF995" s="19"/>
      <c r="AG995" s="19"/>
      <c r="AH995" s="19"/>
      <c r="AI995" s="19"/>
      <c r="AJ995" s="19"/>
      <c r="AK995" s="19"/>
      <c r="AL995" s="19"/>
      <c r="AM995" s="19"/>
      <c r="AN995" s="19"/>
      <c r="AO995" s="19"/>
      <c r="AP995" s="19"/>
      <c r="AQ995" s="19"/>
      <c r="AR995" s="19"/>
      <c r="AS995" s="19"/>
      <c r="AT995" s="19"/>
      <c r="AU995" s="19"/>
      <c r="AV995" s="19"/>
      <c r="AW995" s="19"/>
      <c r="AX995" s="19"/>
      <c r="GA995" s="54"/>
    </row>
    <row r="996" spans="1:183" s="18" customFormat="1">
      <c r="A996" s="51"/>
      <c r="B996" s="52"/>
      <c r="C996" s="52"/>
      <c r="D996" s="52"/>
      <c r="E996" s="53"/>
      <c r="F996" s="52"/>
      <c r="G996" s="52"/>
      <c r="H996" s="52"/>
      <c r="I996" s="53"/>
      <c r="J996" s="52"/>
      <c r="K996" s="52"/>
      <c r="L996" s="52"/>
      <c r="M996" s="52"/>
      <c r="N996" s="19"/>
      <c r="O996" s="19"/>
      <c r="P996" s="19"/>
      <c r="Q996" s="19"/>
      <c r="R996" s="19"/>
      <c r="S996" s="19"/>
      <c r="T996" s="19"/>
      <c r="U996" s="19"/>
      <c r="V996" s="19"/>
      <c r="W996" s="19"/>
      <c r="X996" s="19"/>
      <c r="Y996" s="19"/>
      <c r="Z996" s="19"/>
      <c r="AA996" s="19"/>
      <c r="AB996" s="19"/>
      <c r="AC996" s="19"/>
      <c r="AD996" s="19"/>
      <c r="AE996" s="19"/>
      <c r="AF996" s="19"/>
      <c r="AG996" s="19"/>
      <c r="AH996" s="19"/>
      <c r="AI996" s="19"/>
      <c r="AJ996" s="19"/>
      <c r="AK996" s="19"/>
      <c r="AL996" s="19"/>
      <c r="AM996" s="19"/>
      <c r="AN996" s="19"/>
      <c r="AO996" s="19"/>
      <c r="AP996" s="19"/>
      <c r="AQ996" s="19"/>
      <c r="AR996" s="19"/>
      <c r="AS996" s="19"/>
      <c r="AT996" s="19"/>
      <c r="AU996" s="19"/>
      <c r="AV996" s="19"/>
      <c r="AW996" s="19"/>
      <c r="AX996" s="19"/>
      <c r="GA996" s="54"/>
    </row>
    <row r="997" spans="1:183" s="18" customFormat="1">
      <c r="A997" s="51"/>
      <c r="B997" s="52"/>
      <c r="C997" s="52"/>
      <c r="D997" s="52"/>
      <c r="E997" s="53"/>
      <c r="F997" s="52"/>
      <c r="G997" s="52"/>
      <c r="H997" s="52"/>
      <c r="I997" s="53"/>
      <c r="J997" s="52"/>
      <c r="K997" s="52"/>
      <c r="L997" s="52"/>
      <c r="M997" s="52"/>
      <c r="N997" s="19"/>
      <c r="O997" s="19"/>
      <c r="P997" s="19"/>
      <c r="Q997" s="19"/>
      <c r="R997" s="19"/>
      <c r="S997" s="19"/>
      <c r="T997" s="19"/>
      <c r="U997" s="19"/>
      <c r="V997" s="19"/>
      <c r="W997" s="19"/>
      <c r="X997" s="19"/>
      <c r="Y997" s="19"/>
      <c r="Z997" s="19"/>
      <c r="AA997" s="19"/>
      <c r="AB997" s="19"/>
      <c r="AC997" s="19"/>
      <c r="AD997" s="19"/>
      <c r="AE997" s="19"/>
      <c r="AF997" s="19"/>
      <c r="AG997" s="19"/>
      <c r="AH997" s="19"/>
      <c r="AI997" s="19"/>
      <c r="AJ997" s="19"/>
      <c r="AK997" s="19"/>
      <c r="AL997" s="19"/>
      <c r="AM997" s="19"/>
      <c r="AN997" s="19"/>
      <c r="AO997" s="19"/>
      <c r="AP997" s="19"/>
      <c r="AQ997" s="19"/>
      <c r="AR997" s="19"/>
      <c r="AS997" s="19"/>
      <c r="AT997" s="19"/>
      <c r="AU997" s="19"/>
      <c r="AV997" s="19"/>
      <c r="AW997" s="19"/>
      <c r="AX997" s="19"/>
      <c r="GA997" s="54"/>
    </row>
    <row r="998" spans="1:183" s="18" customFormat="1">
      <c r="A998" s="51"/>
      <c r="B998" s="52"/>
      <c r="C998" s="52"/>
      <c r="D998" s="52"/>
      <c r="E998" s="53"/>
      <c r="F998" s="52"/>
      <c r="G998" s="52"/>
      <c r="H998" s="52"/>
      <c r="I998" s="53"/>
      <c r="J998" s="52"/>
      <c r="K998" s="52"/>
      <c r="L998" s="52"/>
      <c r="M998" s="52"/>
      <c r="N998" s="19"/>
      <c r="O998" s="19"/>
      <c r="P998" s="19"/>
      <c r="Q998" s="19"/>
      <c r="R998" s="19"/>
      <c r="S998" s="19"/>
      <c r="T998" s="19"/>
      <c r="U998" s="19"/>
      <c r="V998" s="19"/>
      <c r="W998" s="19"/>
      <c r="X998" s="19"/>
      <c r="Y998" s="19"/>
      <c r="Z998" s="19"/>
      <c r="AA998" s="19"/>
      <c r="AB998" s="19"/>
      <c r="AC998" s="19"/>
      <c r="AD998" s="19"/>
      <c r="AE998" s="19"/>
      <c r="AF998" s="19"/>
      <c r="AG998" s="19"/>
      <c r="AH998" s="19"/>
      <c r="AI998" s="19"/>
      <c r="AJ998" s="19"/>
      <c r="AK998" s="19"/>
      <c r="AL998" s="19"/>
      <c r="AM998" s="19"/>
      <c r="AN998" s="19"/>
      <c r="AO998" s="19"/>
      <c r="AP998" s="19"/>
      <c r="AQ998" s="19"/>
      <c r="AR998" s="19"/>
      <c r="AS998" s="19"/>
      <c r="AT998" s="19"/>
      <c r="AU998" s="19"/>
      <c r="AV998" s="19"/>
      <c r="AW998" s="19"/>
      <c r="AX998" s="19"/>
      <c r="GA998" s="54"/>
    </row>
    <row r="999" spans="1:183" s="18" customFormat="1">
      <c r="A999" s="51"/>
      <c r="B999" s="52"/>
      <c r="C999" s="52"/>
      <c r="D999" s="52"/>
      <c r="E999" s="53"/>
      <c r="F999" s="52"/>
      <c r="G999" s="52"/>
      <c r="H999" s="52"/>
      <c r="I999" s="53"/>
      <c r="J999" s="52"/>
      <c r="K999" s="52"/>
      <c r="L999" s="52"/>
      <c r="M999" s="52"/>
      <c r="N999" s="19"/>
      <c r="O999" s="19"/>
      <c r="P999" s="19"/>
      <c r="Q999" s="19"/>
      <c r="R999" s="19"/>
      <c r="S999" s="19"/>
      <c r="T999" s="19"/>
      <c r="U999" s="19"/>
      <c r="V999" s="19"/>
      <c r="W999" s="19"/>
      <c r="X999" s="19"/>
      <c r="Y999" s="19"/>
      <c r="Z999" s="19"/>
      <c r="AA999" s="19"/>
      <c r="AB999" s="19"/>
      <c r="AC999" s="19"/>
      <c r="AD999" s="19"/>
      <c r="AE999" s="19"/>
      <c r="AF999" s="19"/>
      <c r="AG999" s="19"/>
      <c r="AH999" s="19"/>
      <c r="AI999" s="19"/>
      <c r="AJ999" s="19"/>
      <c r="AK999" s="19"/>
      <c r="AL999" s="19"/>
      <c r="AM999" s="19"/>
      <c r="AN999" s="19"/>
      <c r="AO999" s="19"/>
      <c r="AP999" s="19"/>
      <c r="AQ999" s="19"/>
      <c r="AR999" s="19"/>
      <c r="AS999" s="19"/>
      <c r="AT999" s="19"/>
      <c r="AU999" s="19"/>
      <c r="AV999" s="19"/>
      <c r="AW999" s="19"/>
      <c r="AX999" s="19"/>
      <c r="GA999" s="54"/>
    </row>
    <row r="1000" spans="1:183" s="18" customFormat="1">
      <c r="A1000" s="51"/>
      <c r="B1000" s="52"/>
      <c r="C1000" s="52"/>
      <c r="D1000" s="52"/>
      <c r="E1000" s="53"/>
      <c r="F1000" s="52"/>
      <c r="G1000" s="52"/>
      <c r="H1000" s="52"/>
      <c r="I1000" s="53"/>
      <c r="J1000" s="52"/>
      <c r="K1000" s="52"/>
      <c r="L1000" s="52"/>
      <c r="M1000" s="52"/>
      <c r="N1000" s="19"/>
      <c r="O1000" s="19"/>
      <c r="P1000" s="19"/>
      <c r="Q1000" s="19"/>
      <c r="R1000" s="19"/>
      <c r="S1000" s="19"/>
      <c r="T1000" s="19"/>
      <c r="U1000" s="19"/>
      <c r="V1000" s="19"/>
      <c r="W1000" s="19"/>
      <c r="X1000" s="19"/>
      <c r="Y1000" s="19"/>
      <c r="Z1000" s="19"/>
      <c r="AA1000" s="19"/>
      <c r="AB1000" s="19"/>
      <c r="AC1000" s="19"/>
      <c r="AD1000" s="19"/>
      <c r="AE1000" s="19"/>
      <c r="AF1000" s="19"/>
      <c r="AG1000" s="19"/>
      <c r="AH1000" s="19"/>
      <c r="AI1000" s="19"/>
      <c r="AJ1000" s="19"/>
      <c r="AK1000" s="19"/>
      <c r="AL1000" s="19"/>
      <c r="AM1000" s="19"/>
      <c r="AN1000" s="19"/>
      <c r="AO1000" s="19"/>
      <c r="AP1000" s="19"/>
      <c r="AQ1000" s="19"/>
      <c r="AR1000" s="19"/>
      <c r="AS1000" s="19"/>
      <c r="AT1000" s="19"/>
      <c r="AU1000" s="19"/>
      <c r="AV1000" s="19"/>
      <c r="AW1000" s="19"/>
      <c r="AX1000" s="19"/>
      <c r="GA1000" s="54"/>
    </row>
    <row r="1001" spans="1:183" s="18" customFormat="1">
      <c r="A1001" s="51"/>
      <c r="B1001" s="52"/>
      <c r="C1001" s="52"/>
      <c r="D1001" s="52"/>
      <c r="E1001" s="53"/>
      <c r="F1001" s="52"/>
      <c r="G1001" s="52"/>
      <c r="H1001" s="52"/>
      <c r="I1001" s="53"/>
      <c r="J1001" s="52"/>
      <c r="K1001" s="52"/>
      <c r="L1001" s="52"/>
      <c r="M1001" s="52"/>
      <c r="N1001" s="19"/>
      <c r="O1001" s="19"/>
      <c r="P1001" s="19"/>
      <c r="Q1001" s="19"/>
      <c r="R1001" s="19"/>
      <c r="S1001" s="19"/>
      <c r="T1001" s="19"/>
      <c r="U1001" s="19"/>
      <c r="V1001" s="19"/>
      <c r="W1001" s="19"/>
      <c r="X1001" s="19"/>
      <c r="Y1001" s="19"/>
      <c r="Z1001" s="19"/>
      <c r="AA1001" s="19"/>
      <c r="AB1001" s="19"/>
      <c r="AC1001" s="19"/>
      <c r="AD1001" s="19"/>
      <c r="AE1001" s="19"/>
      <c r="AF1001" s="19"/>
      <c r="AG1001" s="19"/>
      <c r="AH1001" s="19"/>
      <c r="AI1001" s="19"/>
      <c r="AJ1001" s="19"/>
      <c r="AK1001" s="19"/>
      <c r="AL1001" s="19"/>
      <c r="AM1001" s="19"/>
      <c r="AN1001" s="19"/>
      <c r="AO1001" s="19"/>
      <c r="AP1001" s="19"/>
      <c r="AQ1001" s="19"/>
      <c r="AR1001" s="19"/>
      <c r="AS1001" s="19"/>
      <c r="AT1001" s="19"/>
      <c r="AU1001" s="19"/>
      <c r="AV1001" s="19"/>
      <c r="AW1001" s="19"/>
      <c r="AX1001" s="19"/>
      <c r="GA1001" s="54"/>
    </row>
    <row r="1002" spans="1:183" s="18" customFormat="1">
      <c r="A1002" s="51"/>
      <c r="B1002" s="52"/>
      <c r="C1002" s="52"/>
      <c r="D1002" s="52"/>
      <c r="E1002" s="53"/>
      <c r="F1002" s="52"/>
      <c r="G1002" s="52"/>
      <c r="H1002" s="52"/>
      <c r="I1002" s="53"/>
      <c r="J1002" s="52"/>
      <c r="K1002" s="52"/>
      <c r="L1002" s="52"/>
      <c r="M1002" s="52"/>
      <c r="N1002" s="19"/>
      <c r="O1002" s="19"/>
      <c r="P1002" s="19"/>
      <c r="Q1002" s="19"/>
      <c r="R1002" s="19"/>
      <c r="S1002" s="19"/>
      <c r="T1002" s="19"/>
      <c r="U1002" s="19"/>
      <c r="V1002" s="19"/>
      <c r="W1002" s="19"/>
      <c r="X1002" s="19"/>
      <c r="Y1002" s="19"/>
      <c r="Z1002" s="19"/>
      <c r="AA1002" s="19"/>
      <c r="AB1002" s="19"/>
      <c r="AC1002" s="19"/>
      <c r="AD1002" s="19"/>
      <c r="AE1002" s="19"/>
      <c r="AF1002" s="19"/>
      <c r="AG1002" s="19"/>
      <c r="AH1002" s="19"/>
      <c r="AI1002" s="19"/>
      <c r="AJ1002" s="19"/>
      <c r="AK1002" s="19"/>
      <c r="AL1002" s="19"/>
      <c r="AM1002" s="19"/>
      <c r="AN1002" s="19"/>
      <c r="AO1002" s="19"/>
      <c r="AP1002" s="19"/>
      <c r="AQ1002" s="19"/>
      <c r="AR1002" s="19"/>
      <c r="AS1002" s="19"/>
      <c r="AT1002" s="19"/>
      <c r="AU1002" s="19"/>
      <c r="AV1002" s="19"/>
      <c r="AW1002" s="19"/>
      <c r="AX1002" s="19"/>
      <c r="GA1002" s="54"/>
    </row>
    <row r="1003" spans="1:183" s="18" customFormat="1">
      <c r="A1003" s="51"/>
      <c r="B1003" s="52"/>
      <c r="C1003" s="52"/>
      <c r="D1003" s="52"/>
      <c r="E1003" s="53"/>
      <c r="F1003" s="52"/>
      <c r="G1003" s="52"/>
      <c r="H1003" s="52"/>
      <c r="I1003" s="53"/>
      <c r="J1003" s="52"/>
      <c r="K1003" s="52"/>
      <c r="L1003" s="52"/>
      <c r="M1003" s="52"/>
      <c r="N1003" s="19"/>
      <c r="O1003" s="19"/>
      <c r="P1003" s="19"/>
      <c r="Q1003" s="19"/>
      <c r="R1003" s="19"/>
      <c r="S1003" s="19"/>
      <c r="T1003" s="19"/>
      <c r="U1003" s="19"/>
      <c r="V1003" s="19"/>
      <c r="W1003" s="19"/>
      <c r="X1003" s="19"/>
      <c r="Y1003" s="19"/>
      <c r="Z1003" s="19"/>
      <c r="AA1003" s="19"/>
      <c r="AB1003" s="19"/>
      <c r="AC1003" s="19"/>
      <c r="AD1003" s="19"/>
      <c r="AE1003" s="19"/>
      <c r="AF1003" s="19"/>
      <c r="AG1003" s="19"/>
      <c r="AH1003" s="19"/>
      <c r="AI1003" s="19"/>
      <c r="AJ1003" s="19"/>
      <c r="AK1003" s="19"/>
      <c r="AL1003" s="19"/>
      <c r="AM1003" s="19"/>
      <c r="AN1003" s="19"/>
      <c r="AO1003" s="19"/>
      <c r="AP1003" s="19"/>
      <c r="AQ1003" s="19"/>
      <c r="AR1003" s="19"/>
      <c r="AS1003" s="19"/>
      <c r="AT1003" s="19"/>
      <c r="AU1003" s="19"/>
      <c r="AV1003" s="19"/>
      <c r="AW1003" s="19"/>
      <c r="AX1003" s="19"/>
      <c r="GA1003" s="54"/>
    </row>
    <row r="1004" spans="1:183" s="18" customFormat="1">
      <c r="A1004" s="51"/>
      <c r="B1004" s="52"/>
      <c r="C1004" s="52"/>
      <c r="D1004" s="52"/>
      <c r="E1004" s="53"/>
      <c r="F1004" s="52"/>
      <c r="G1004" s="52"/>
      <c r="H1004" s="52"/>
      <c r="I1004" s="53"/>
      <c r="J1004" s="52"/>
      <c r="K1004" s="52"/>
      <c r="L1004" s="52"/>
      <c r="M1004" s="52"/>
      <c r="N1004" s="19"/>
      <c r="O1004" s="19"/>
      <c r="P1004" s="19"/>
      <c r="Q1004" s="19"/>
      <c r="R1004" s="19"/>
      <c r="S1004" s="19"/>
      <c r="T1004" s="19"/>
      <c r="U1004" s="19"/>
      <c r="V1004" s="19"/>
      <c r="W1004" s="19"/>
      <c r="X1004" s="19"/>
      <c r="Y1004" s="19"/>
      <c r="Z1004" s="19"/>
      <c r="AA1004" s="19"/>
      <c r="AB1004" s="19"/>
      <c r="AC1004" s="19"/>
      <c r="AD1004" s="19"/>
      <c r="AE1004" s="19"/>
      <c r="AF1004" s="19"/>
      <c r="AG1004" s="19"/>
      <c r="AH1004" s="19"/>
      <c r="AI1004" s="19"/>
      <c r="AJ1004" s="19"/>
      <c r="AK1004" s="19"/>
      <c r="AL1004" s="19"/>
      <c r="AM1004" s="19"/>
      <c r="AN1004" s="19"/>
      <c r="AO1004" s="19"/>
      <c r="AP1004" s="19"/>
      <c r="AQ1004" s="19"/>
      <c r="AR1004" s="19"/>
      <c r="AS1004" s="19"/>
      <c r="AT1004" s="19"/>
      <c r="AU1004" s="19"/>
      <c r="AV1004" s="19"/>
      <c r="AW1004" s="19"/>
      <c r="AX1004" s="19"/>
      <c r="GA1004" s="54"/>
    </row>
    <row r="1005" spans="1:183" s="18" customFormat="1">
      <c r="A1005" s="51"/>
      <c r="B1005" s="52"/>
      <c r="C1005" s="52"/>
      <c r="D1005" s="52"/>
      <c r="E1005" s="53"/>
      <c r="F1005" s="52"/>
      <c r="G1005" s="52"/>
      <c r="H1005" s="52"/>
      <c r="I1005" s="53"/>
      <c r="J1005" s="52"/>
      <c r="K1005" s="52"/>
      <c r="L1005" s="52"/>
      <c r="M1005" s="52"/>
      <c r="N1005" s="19"/>
      <c r="O1005" s="19"/>
      <c r="P1005" s="19"/>
      <c r="Q1005" s="19"/>
      <c r="R1005" s="19"/>
      <c r="S1005" s="19"/>
      <c r="T1005" s="19"/>
      <c r="U1005" s="19"/>
      <c r="V1005" s="19"/>
      <c r="W1005" s="19"/>
      <c r="X1005" s="19"/>
      <c r="Y1005" s="19"/>
      <c r="Z1005" s="19"/>
      <c r="AA1005" s="19"/>
      <c r="AB1005" s="19"/>
      <c r="AC1005" s="19"/>
      <c r="AD1005" s="19"/>
      <c r="AE1005" s="19"/>
      <c r="AF1005" s="19"/>
      <c r="AG1005" s="19"/>
      <c r="AH1005" s="19"/>
      <c r="AI1005" s="19"/>
      <c r="AJ1005" s="19"/>
      <c r="AK1005" s="19"/>
      <c r="AL1005" s="19"/>
      <c r="AM1005" s="19"/>
      <c r="AN1005" s="19"/>
      <c r="AO1005" s="19"/>
      <c r="AP1005" s="19"/>
      <c r="AQ1005" s="19"/>
      <c r="AR1005" s="19"/>
      <c r="AS1005" s="19"/>
      <c r="AT1005" s="19"/>
      <c r="AU1005" s="19"/>
      <c r="AV1005" s="19"/>
      <c r="AW1005" s="19"/>
      <c r="AX1005" s="19"/>
      <c r="GA1005" s="54"/>
    </row>
    <row r="1006" spans="1:183" s="18" customFormat="1">
      <c r="A1006" s="51"/>
      <c r="B1006" s="52"/>
      <c r="C1006" s="52"/>
      <c r="D1006" s="52"/>
      <c r="E1006" s="53"/>
      <c r="F1006" s="52"/>
      <c r="G1006" s="52"/>
      <c r="H1006" s="52"/>
      <c r="I1006" s="53"/>
      <c r="J1006" s="52"/>
      <c r="K1006" s="52"/>
      <c r="L1006" s="52"/>
      <c r="M1006" s="52"/>
      <c r="N1006" s="19"/>
      <c r="O1006" s="19"/>
      <c r="P1006" s="19"/>
      <c r="Q1006" s="19"/>
      <c r="R1006" s="19"/>
      <c r="S1006" s="19"/>
      <c r="T1006" s="19"/>
      <c r="U1006" s="19"/>
      <c r="V1006" s="19"/>
      <c r="W1006" s="19"/>
      <c r="X1006" s="19"/>
      <c r="Y1006" s="19"/>
      <c r="Z1006" s="19"/>
      <c r="AA1006" s="19"/>
      <c r="AB1006" s="19"/>
      <c r="AC1006" s="19"/>
      <c r="AD1006" s="19"/>
      <c r="AE1006" s="19"/>
      <c r="AF1006" s="19"/>
      <c r="AG1006" s="19"/>
      <c r="AH1006" s="19"/>
      <c r="AI1006" s="19"/>
      <c r="AJ1006" s="19"/>
      <c r="AK1006" s="19"/>
      <c r="AL1006" s="19"/>
      <c r="AM1006" s="19"/>
      <c r="AN1006" s="19"/>
      <c r="AO1006" s="19"/>
      <c r="AP1006" s="19"/>
      <c r="AQ1006" s="19"/>
      <c r="AR1006" s="19"/>
      <c r="AS1006" s="19"/>
      <c r="AT1006" s="19"/>
      <c r="AU1006" s="19"/>
      <c r="AV1006" s="19"/>
      <c r="AW1006" s="19"/>
      <c r="AX1006" s="19"/>
      <c r="GA1006" s="54"/>
    </row>
    <row r="1007" spans="1:183" s="18" customFormat="1">
      <c r="A1007" s="51"/>
      <c r="B1007" s="52"/>
      <c r="C1007" s="52"/>
      <c r="D1007" s="52"/>
      <c r="E1007" s="53"/>
      <c r="F1007" s="52"/>
      <c r="G1007" s="52"/>
      <c r="H1007" s="52"/>
      <c r="I1007" s="53"/>
      <c r="J1007" s="52"/>
      <c r="K1007" s="52"/>
      <c r="L1007" s="52"/>
      <c r="M1007" s="52"/>
      <c r="N1007" s="19"/>
      <c r="O1007" s="19"/>
      <c r="P1007" s="19"/>
      <c r="Q1007" s="19"/>
      <c r="R1007" s="19"/>
      <c r="S1007" s="19"/>
      <c r="T1007" s="19"/>
      <c r="U1007" s="19"/>
      <c r="V1007" s="19"/>
      <c r="W1007" s="19"/>
      <c r="X1007" s="19"/>
      <c r="Y1007" s="19"/>
      <c r="Z1007" s="19"/>
      <c r="AA1007" s="19"/>
      <c r="AB1007" s="19"/>
      <c r="AC1007" s="19"/>
      <c r="AD1007" s="19"/>
      <c r="AE1007" s="19"/>
      <c r="AF1007" s="19"/>
      <c r="AG1007" s="19"/>
      <c r="AH1007" s="19"/>
      <c r="AI1007" s="19"/>
      <c r="AJ1007" s="19"/>
      <c r="AK1007" s="19"/>
      <c r="AL1007" s="19"/>
      <c r="AM1007" s="19"/>
      <c r="AN1007" s="19"/>
      <c r="AO1007" s="19"/>
      <c r="AP1007" s="19"/>
      <c r="AQ1007" s="19"/>
      <c r="AR1007" s="19"/>
      <c r="AS1007" s="19"/>
      <c r="AT1007" s="19"/>
      <c r="AU1007" s="19"/>
      <c r="AV1007" s="19"/>
      <c r="AW1007" s="19"/>
      <c r="AX1007" s="19"/>
      <c r="GA1007" s="54"/>
    </row>
    <row r="1008" spans="1:183" s="18" customFormat="1">
      <c r="A1008" s="51"/>
      <c r="B1008" s="52"/>
      <c r="C1008" s="52"/>
      <c r="D1008" s="52"/>
      <c r="E1008" s="53"/>
      <c r="F1008" s="52"/>
      <c r="G1008" s="52"/>
      <c r="H1008" s="52"/>
      <c r="I1008" s="53"/>
      <c r="J1008" s="52"/>
      <c r="K1008" s="52"/>
      <c r="L1008" s="52"/>
      <c r="M1008" s="52"/>
      <c r="N1008" s="19"/>
      <c r="O1008" s="19"/>
      <c r="P1008" s="19"/>
      <c r="Q1008" s="19"/>
      <c r="R1008" s="19"/>
      <c r="S1008" s="19"/>
      <c r="T1008" s="19"/>
      <c r="U1008" s="19"/>
      <c r="V1008" s="19"/>
      <c r="W1008" s="19"/>
      <c r="X1008" s="19"/>
      <c r="Y1008" s="19"/>
      <c r="Z1008" s="19"/>
      <c r="AA1008" s="19"/>
      <c r="AB1008" s="19"/>
      <c r="AC1008" s="19"/>
      <c r="AD1008" s="19"/>
      <c r="AE1008" s="19"/>
      <c r="AF1008" s="19"/>
      <c r="AG1008" s="19"/>
      <c r="AH1008" s="19"/>
      <c r="AI1008" s="19"/>
      <c r="AJ1008" s="19"/>
      <c r="AK1008" s="19"/>
      <c r="AL1008" s="19"/>
      <c r="AM1008" s="19"/>
      <c r="AN1008" s="19"/>
      <c r="AO1008" s="19"/>
      <c r="AP1008" s="19"/>
      <c r="AQ1008" s="19"/>
      <c r="AR1008" s="19"/>
      <c r="AS1008" s="19"/>
      <c r="AT1008" s="19"/>
      <c r="AU1008" s="19"/>
      <c r="AV1008" s="19"/>
      <c r="AW1008" s="19"/>
      <c r="AX1008" s="19"/>
      <c r="GA1008" s="54"/>
    </row>
    <row r="1009" spans="1:183" s="18" customFormat="1">
      <c r="A1009" s="51"/>
      <c r="B1009" s="52"/>
      <c r="C1009" s="52"/>
      <c r="D1009" s="52"/>
      <c r="E1009" s="53"/>
      <c r="F1009" s="52"/>
      <c r="G1009" s="52"/>
      <c r="H1009" s="52"/>
      <c r="I1009" s="53"/>
      <c r="J1009" s="52"/>
      <c r="K1009" s="52"/>
      <c r="L1009" s="52"/>
      <c r="M1009" s="52"/>
      <c r="N1009" s="19"/>
      <c r="O1009" s="19"/>
      <c r="P1009" s="19"/>
      <c r="Q1009" s="19"/>
      <c r="R1009" s="19"/>
      <c r="S1009" s="19"/>
      <c r="T1009" s="19"/>
      <c r="U1009" s="19"/>
      <c r="V1009" s="19"/>
      <c r="W1009" s="19"/>
      <c r="X1009" s="19"/>
      <c r="Y1009" s="19"/>
      <c r="Z1009" s="19"/>
      <c r="AA1009" s="19"/>
      <c r="AB1009" s="19"/>
      <c r="AC1009" s="19"/>
      <c r="AD1009" s="19"/>
      <c r="AE1009" s="19"/>
      <c r="AF1009" s="19"/>
      <c r="AG1009" s="19"/>
      <c r="AH1009" s="19"/>
      <c r="AI1009" s="19"/>
      <c r="AJ1009" s="19"/>
      <c r="AK1009" s="19"/>
      <c r="AL1009" s="19"/>
      <c r="AM1009" s="19"/>
      <c r="AN1009" s="19"/>
      <c r="AO1009" s="19"/>
      <c r="AP1009" s="19"/>
      <c r="AQ1009" s="19"/>
      <c r="AR1009" s="19"/>
      <c r="AS1009" s="19"/>
      <c r="AT1009" s="19"/>
      <c r="AU1009" s="19"/>
      <c r="AV1009" s="19"/>
      <c r="AW1009" s="19"/>
      <c r="AX1009" s="19"/>
      <c r="GA1009" s="54"/>
    </row>
    <row r="1010" spans="1:183" s="18" customFormat="1">
      <c r="A1010" s="51"/>
      <c r="B1010" s="52"/>
      <c r="C1010" s="52"/>
      <c r="D1010" s="52"/>
      <c r="E1010" s="53"/>
      <c r="F1010" s="52"/>
      <c r="G1010" s="52"/>
      <c r="H1010" s="52"/>
      <c r="I1010" s="53"/>
      <c r="J1010" s="52"/>
      <c r="K1010" s="52"/>
      <c r="L1010" s="52"/>
      <c r="M1010" s="52"/>
      <c r="N1010" s="19"/>
      <c r="O1010" s="19"/>
      <c r="P1010" s="19"/>
      <c r="Q1010" s="19"/>
      <c r="R1010" s="19"/>
      <c r="S1010" s="19"/>
      <c r="T1010" s="19"/>
      <c r="U1010" s="19"/>
      <c r="V1010" s="19"/>
      <c r="W1010" s="19"/>
      <c r="X1010" s="19"/>
      <c r="Y1010" s="19"/>
      <c r="Z1010" s="19"/>
      <c r="AA1010" s="19"/>
      <c r="AB1010" s="19"/>
      <c r="AC1010" s="19"/>
      <c r="AD1010" s="19"/>
      <c r="AE1010" s="19"/>
      <c r="AF1010" s="19"/>
      <c r="AG1010" s="19"/>
      <c r="AH1010" s="19"/>
      <c r="AI1010" s="19"/>
      <c r="AJ1010" s="19"/>
      <c r="AK1010" s="19"/>
      <c r="AL1010" s="19"/>
      <c r="AM1010" s="19"/>
      <c r="AN1010" s="19"/>
      <c r="AO1010" s="19"/>
      <c r="AP1010" s="19"/>
      <c r="AQ1010" s="19"/>
      <c r="AR1010" s="19"/>
      <c r="AS1010" s="19"/>
      <c r="AT1010" s="19"/>
      <c r="AU1010" s="19"/>
      <c r="AV1010" s="19"/>
      <c r="AW1010" s="19"/>
      <c r="AX1010" s="19"/>
      <c r="GA1010" s="54"/>
    </row>
    <row r="1011" spans="1:183" s="18" customFormat="1">
      <c r="A1011" s="51"/>
      <c r="B1011" s="52"/>
      <c r="C1011" s="52"/>
      <c r="D1011" s="52"/>
      <c r="E1011" s="53"/>
      <c r="F1011" s="52"/>
      <c r="G1011" s="52"/>
      <c r="H1011" s="52"/>
      <c r="I1011" s="53"/>
      <c r="J1011" s="52"/>
      <c r="K1011" s="52"/>
      <c r="L1011" s="52"/>
      <c r="M1011" s="52"/>
      <c r="N1011" s="19"/>
      <c r="O1011" s="19"/>
      <c r="P1011" s="19"/>
      <c r="Q1011" s="19"/>
      <c r="R1011" s="19"/>
      <c r="S1011" s="19"/>
      <c r="T1011" s="19"/>
      <c r="U1011" s="19"/>
      <c r="V1011" s="19"/>
      <c r="W1011" s="19"/>
      <c r="X1011" s="19"/>
      <c r="Y1011" s="19"/>
      <c r="Z1011" s="19"/>
      <c r="AA1011" s="19"/>
      <c r="AB1011" s="19"/>
      <c r="AC1011" s="19"/>
      <c r="AD1011" s="19"/>
      <c r="AE1011" s="19"/>
      <c r="AF1011" s="19"/>
      <c r="AG1011" s="19"/>
      <c r="AH1011" s="19"/>
      <c r="AI1011" s="19"/>
      <c r="AJ1011" s="19"/>
      <c r="AK1011" s="19"/>
      <c r="AL1011" s="19"/>
      <c r="AM1011" s="19"/>
      <c r="AN1011" s="19"/>
      <c r="AO1011" s="19"/>
      <c r="AP1011" s="19"/>
      <c r="AQ1011" s="19"/>
      <c r="AR1011" s="19"/>
      <c r="AS1011" s="19"/>
      <c r="AT1011" s="19"/>
      <c r="AU1011" s="19"/>
      <c r="AV1011" s="19"/>
      <c r="AW1011" s="19"/>
      <c r="AX1011" s="19"/>
      <c r="GA1011" s="54"/>
    </row>
    <row r="1012" spans="1:183" s="18" customFormat="1">
      <c r="A1012" s="51"/>
      <c r="B1012" s="52"/>
      <c r="C1012" s="52"/>
      <c r="D1012" s="52"/>
      <c r="E1012" s="53"/>
      <c r="F1012" s="52"/>
      <c r="G1012" s="52"/>
      <c r="H1012" s="52"/>
      <c r="I1012" s="53"/>
      <c r="J1012" s="52"/>
      <c r="K1012" s="52"/>
      <c r="L1012" s="52"/>
      <c r="M1012" s="52"/>
      <c r="N1012" s="19"/>
      <c r="O1012" s="19"/>
      <c r="P1012" s="19"/>
      <c r="Q1012" s="19"/>
      <c r="R1012" s="19"/>
      <c r="S1012" s="19"/>
      <c r="T1012" s="19"/>
      <c r="U1012" s="19"/>
      <c r="V1012" s="19"/>
      <c r="W1012" s="19"/>
      <c r="X1012" s="19"/>
      <c r="Y1012" s="19"/>
      <c r="Z1012" s="19"/>
      <c r="AA1012" s="19"/>
      <c r="AB1012" s="19"/>
      <c r="AC1012" s="19"/>
      <c r="AD1012" s="19"/>
      <c r="AE1012" s="19"/>
      <c r="AF1012" s="19"/>
      <c r="AG1012" s="19"/>
      <c r="AH1012" s="19"/>
      <c r="AI1012" s="19"/>
      <c r="AJ1012" s="19"/>
      <c r="AK1012" s="19"/>
      <c r="AL1012" s="19"/>
      <c r="AM1012" s="19"/>
      <c r="AN1012" s="19"/>
      <c r="AO1012" s="19"/>
      <c r="AP1012" s="19"/>
      <c r="AQ1012" s="19"/>
      <c r="AR1012" s="19"/>
      <c r="AS1012" s="19"/>
      <c r="AT1012" s="19"/>
      <c r="AU1012" s="19"/>
      <c r="AV1012" s="19"/>
      <c r="AW1012" s="19"/>
      <c r="AX1012" s="19"/>
      <c r="GA1012" s="54"/>
    </row>
    <row r="1013" spans="1:183" s="18" customFormat="1">
      <c r="A1013" s="51"/>
      <c r="B1013" s="52"/>
      <c r="C1013" s="52"/>
      <c r="D1013" s="52"/>
      <c r="E1013" s="53"/>
      <c r="F1013" s="52"/>
      <c r="G1013" s="52"/>
      <c r="H1013" s="52"/>
      <c r="I1013" s="53"/>
      <c r="J1013" s="52"/>
      <c r="K1013" s="52"/>
      <c r="L1013" s="52"/>
      <c r="M1013" s="52"/>
      <c r="N1013" s="19"/>
      <c r="O1013" s="19"/>
      <c r="P1013" s="19"/>
      <c r="Q1013" s="19"/>
      <c r="R1013" s="19"/>
      <c r="S1013" s="19"/>
      <c r="T1013" s="19"/>
      <c r="U1013" s="19"/>
      <c r="V1013" s="19"/>
      <c r="W1013" s="19"/>
      <c r="X1013" s="19"/>
      <c r="Y1013" s="19"/>
      <c r="Z1013" s="19"/>
      <c r="AA1013" s="19"/>
      <c r="AB1013" s="19"/>
      <c r="AC1013" s="19"/>
      <c r="AD1013" s="19"/>
      <c r="AE1013" s="19"/>
      <c r="AF1013" s="19"/>
      <c r="AG1013" s="19"/>
      <c r="AH1013" s="19"/>
      <c r="AI1013" s="19"/>
      <c r="AJ1013" s="19"/>
      <c r="AK1013" s="19"/>
      <c r="AL1013" s="19"/>
      <c r="AM1013" s="19"/>
      <c r="AN1013" s="19"/>
      <c r="AO1013" s="19"/>
      <c r="AP1013" s="19"/>
      <c r="AQ1013" s="19"/>
      <c r="AR1013" s="19"/>
      <c r="AS1013" s="19"/>
      <c r="AT1013" s="19"/>
      <c r="AU1013" s="19"/>
      <c r="AV1013" s="19"/>
      <c r="AW1013" s="19"/>
      <c r="AX1013" s="19"/>
      <c r="GA1013" s="54"/>
    </row>
    <row r="1014" spans="1:183" s="18" customFormat="1">
      <c r="A1014" s="51"/>
      <c r="B1014" s="52"/>
      <c r="C1014" s="52"/>
      <c r="D1014" s="52"/>
      <c r="E1014" s="53"/>
      <c r="F1014" s="52"/>
      <c r="G1014" s="52"/>
      <c r="H1014" s="52"/>
      <c r="I1014" s="53"/>
      <c r="J1014" s="52"/>
      <c r="K1014" s="52"/>
      <c r="L1014" s="52"/>
      <c r="M1014" s="52"/>
      <c r="N1014" s="19"/>
      <c r="O1014" s="19"/>
      <c r="P1014" s="19"/>
      <c r="Q1014" s="19"/>
      <c r="R1014" s="19"/>
      <c r="S1014" s="19"/>
      <c r="T1014" s="19"/>
      <c r="U1014" s="19"/>
      <c r="V1014" s="19"/>
      <c r="W1014" s="19"/>
      <c r="X1014" s="19"/>
      <c r="Y1014" s="19"/>
      <c r="Z1014" s="19"/>
      <c r="AA1014" s="19"/>
      <c r="AB1014" s="19"/>
      <c r="AC1014" s="19"/>
      <c r="AD1014" s="19"/>
      <c r="AE1014" s="19"/>
      <c r="AF1014" s="19"/>
      <c r="AG1014" s="19"/>
      <c r="AH1014" s="19"/>
      <c r="AI1014" s="19"/>
      <c r="AJ1014" s="19"/>
      <c r="AK1014" s="19"/>
      <c r="AL1014" s="19"/>
      <c r="AM1014" s="19"/>
      <c r="AN1014" s="19"/>
      <c r="AO1014" s="19"/>
      <c r="AP1014" s="19"/>
      <c r="AQ1014" s="19"/>
      <c r="AR1014" s="19"/>
      <c r="AS1014" s="19"/>
      <c r="AT1014" s="19"/>
      <c r="AU1014" s="19"/>
      <c r="AV1014" s="19"/>
      <c r="AW1014" s="19"/>
      <c r="AX1014" s="19"/>
      <c r="GA1014" s="54"/>
    </row>
    <row r="1015" spans="1:183" s="18" customFormat="1">
      <c r="A1015" s="51"/>
      <c r="B1015" s="52"/>
      <c r="C1015" s="52"/>
      <c r="D1015" s="52"/>
      <c r="E1015" s="53"/>
      <c r="F1015" s="52"/>
      <c r="G1015" s="52"/>
      <c r="H1015" s="52"/>
      <c r="I1015" s="53"/>
      <c r="J1015" s="52"/>
      <c r="K1015" s="52"/>
      <c r="L1015" s="52"/>
      <c r="M1015" s="52"/>
      <c r="N1015" s="19"/>
      <c r="O1015" s="19"/>
      <c r="P1015" s="19"/>
      <c r="Q1015" s="19"/>
      <c r="R1015" s="19"/>
      <c r="S1015" s="19"/>
      <c r="T1015" s="19"/>
      <c r="U1015" s="19"/>
      <c r="V1015" s="19"/>
      <c r="W1015" s="19"/>
      <c r="X1015" s="19"/>
      <c r="Y1015" s="19"/>
      <c r="Z1015" s="19"/>
      <c r="AA1015" s="19"/>
      <c r="AB1015" s="19"/>
      <c r="AC1015" s="19"/>
      <c r="AD1015" s="19"/>
      <c r="AE1015" s="19"/>
      <c r="AF1015" s="19"/>
      <c r="AG1015" s="19"/>
      <c r="AH1015" s="19"/>
      <c r="AI1015" s="19"/>
      <c r="AJ1015" s="19"/>
      <c r="AK1015" s="19"/>
      <c r="AL1015" s="19"/>
      <c r="AM1015" s="19"/>
      <c r="AN1015" s="19"/>
      <c r="AO1015" s="19"/>
      <c r="AP1015" s="19"/>
      <c r="AQ1015" s="19"/>
      <c r="AR1015" s="19"/>
      <c r="AS1015" s="19"/>
      <c r="AT1015" s="19"/>
      <c r="AU1015" s="19"/>
      <c r="AV1015" s="19"/>
      <c r="AW1015" s="19"/>
      <c r="AX1015" s="19"/>
      <c r="GA1015" s="54"/>
    </row>
    <row r="1016" spans="1:183" s="18" customFormat="1">
      <c r="A1016" s="51"/>
      <c r="B1016" s="52"/>
      <c r="C1016" s="52"/>
      <c r="D1016" s="52"/>
      <c r="E1016" s="53"/>
      <c r="F1016" s="52"/>
      <c r="G1016" s="52"/>
      <c r="H1016" s="52"/>
      <c r="I1016" s="53"/>
      <c r="J1016" s="52"/>
      <c r="K1016" s="52"/>
      <c r="L1016" s="52"/>
      <c r="M1016" s="52"/>
      <c r="N1016" s="19"/>
      <c r="O1016" s="19"/>
      <c r="P1016" s="19"/>
      <c r="Q1016" s="19"/>
      <c r="R1016" s="19"/>
      <c r="S1016" s="19"/>
      <c r="T1016" s="19"/>
      <c r="U1016" s="19"/>
      <c r="V1016" s="19"/>
      <c r="W1016" s="19"/>
      <c r="X1016" s="19"/>
      <c r="Y1016" s="19"/>
      <c r="Z1016" s="19"/>
      <c r="AA1016" s="19"/>
      <c r="AB1016" s="19"/>
      <c r="AC1016" s="19"/>
      <c r="AD1016" s="19"/>
      <c r="AE1016" s="19"/>
      <c r="AF1016" s="19"/>
      <c r="AG1016" s="19"/>
      <c r="AH1016" s="19"/>
      <c r="AI1016" s="19"/>
      <c r="AJ1016" s="19"/>
      <c r="AK1016" s="19"/>
      <c r="AL1016" s="19"/>
      <c r="AM1016" s="19"/>
      <c r="AN1016" s="19"/>
      <c r="AO1016" s="19"/>
      <c r="AP1016" s="19"/>
      <c r="AQ1016" s="19"/>
      <c r="AR1016" s="19"/>
      <c r="AS1016" s="19"/>
      <c r="AT1016" s="19"/>
      <c r="AU1016" s="19"/>
      <c r="AV1016" s="19"/>
      <c r="AW1016" s="19"/>
      <c r="AX1016" s="19"/>
      <c r="GA1016" s="54"/>
    </row>
    <row r="1017" spans="1:183" s="18" customFormat="1">
      <c r="A1017" s="51"/>
      <c r="B1017" s="52"/>
      <c r="C1017" s="52"/>
      <c r="D1017" s="52"/>
      <c r="E1017" s="53"/>
      <c r="F1017" s="52"/>
      <c r="G1017" s="52"/>
      <c r="H1017" s="52"/>
      <c r="I1017" s="53"/>
      <c r="J1017" s="52"/>
      <c r="K1017" s="52"/>
      <c r="L1017" s="52"/>
      <c r="M1017" s="52"/>
      <c r="N1017" s="19"/>
      <c r="O1017" s="19"/>
      <c r="P1017" s="19"/>
      <c r="Q1017" s="19"/>
      <c r="R1017" s="19"/>
      <c r="S1017" s="19"/>
      <c r="T1017" s="19"/>
      <c r="U1017" s="19"/>
      <c r="V1017" s="19"/>
      <c r="W1017" s="19"/>
      <c r="X1017" s="19"/>
      <c r="Y1017" s="19"/>
      <c r="Z1017" s="19"/>
      <c r="AA1017" s="19"/>
      <c r="AB1017" s="19"/>
      <c r="AC1017" s="19"/>
      <c r="AD1017" s="19"/>
      <c r="AE1017" s="19"/>
      <c r="AF1017" s="19"/>
      <c r="AG1017" s="19"/>
      <c r="AH1017" s="19"/>
      <c r="AI1017" s="19"/>
      <c r="AJ1017" s="19"/>
      <c r="AK1017" s="19"/>
      <c r="AL1017" s="19"/>
      <c r="AM1017" s="19"/>
      <c r="AN1017" s="19"/>
      <c r="AO1017" s="19"/>
      <c r="AP1017" s="19"/>
      <c r="AQ1017" s="19"/>
      <c r="AR1017" s="19"/>
      <c r="AS1017" s="19"/>
      <c r="AT1017" s="19"/>
      <c r="AU1017" s="19"/>
      <c r="AV1017" s="19"/>
      <c r="AW1017" s="19"/>
      <c r="AX1017" s="19"/>
      <c r="GA1017" s="54"/>
    </row>
    <row r="1018" spans="1:183" s="18" customFormat="1">
      <c r="A1018" s="51"/>
      <c r="B1018" s="52"/>
      <c r="C1018" s="52"/>
      <c r="D1018" s="52"/>
      <c r="E1018" s="53"/>
      <c r="F1018" s="52"/>
      <c r="G1018" s="52"/>
      <c r="H1018" s="52"/>
      <c r="I1018" s="53"/>
      <c r="J1018" s="52"/>
      <c r="K1018" s="52"/>
      <c r="L1018" s="52"/>
      <c r="M1018" s="52"/>
      <c r="N1018" s="19"/>
      <c r="O1018" s="19"/>
      <c r="P1018" s="19"/>
      <c r="Q1018" s="19"/>
      <c r="R1018" s="19"/>
      <c r="S1018" s="19"/>
      <c r="T1018" s="19"/>
      <c r="U1018" s="19"/>
      <c r="V1018" s="19"/>
      <c r="W1018" s="19"/>
      <c r="X1018" s="19"/>
      <c r="Y1018" s="19"/>
      <c r="Z1018" s="19"/>
      <c r="AA1018" s="19"/>
      <c r="AB1018" s="19"/>
      <c r="AC1018" s="19"/>
      <c r="AD1018" s="19"/>
      <c r="AE1018" s="19"/>
      <c r="AF1018" s="19"/>
      <c r="AG1018" s="19"/>
      <c r="AH1018" s="19"/>
      <c r="AI1018" s="19"/>
      <c r="AJ1018" s="19"/>
      <c r="AK1018" s="19"/>
      <c r="AL1018" s="19"/>
      <c r="AM1018" s="19"/>
      <c r="AN1018" s="19"/>
      <c r="AO1018" s="19"/>
      <c r="AP1018" s="19"/>
      <c r="AQ1018" s="19"/>
      <c r="AR1018" s="19"/>
      <c r="AS1018" s="19"/>
      <c r="AT1018" s="19"/>
      <c r="AU1018" s="19"/>
      <c r="AV1018" s="19"/>
      <c r="AW1018" s="19"/>
      <c r="AX1018" s="19"/>
      <c r="GA1018" s="54"/>
    </row>
    <row r="1019" spans="1:183" s="18" customFormat="1">
      <c r="A1019" s="51"/>
      <c r="B1019" s="52"/>
      <c r="C1019" s="52"/>
      <c r="D1019" s="52"/>
      <c r="E1019" s="53"/>
      <c r="F1019" s="52"/>
      <c r="G1019" s="52"/>
      <c r="H1019" s="52"/>
      <c r="I1019" s="53"/>
      <c r="J1019" s="52"/>
      <c r="K1019" s="52"/>
      <c r="L1019" s="52"/>
      <c r="M1019" s="52"/>
      <c r="N1019" s="19"/>
      <c r="O1019" s="19"/>
      <c r="P1019" s="19"/>
      <c r="Q1019" s="19"/>
      <c r="R1019" s="19"/>
      <c r="S1019" s="19"/>
      <c r="T1019" s="19"/>
      <c r="U1019" s="19"/>
      <c r="V1019" s="19"/>
      <c r="W1019" s="19"/>
      <c r="X1019" s="19"/>
      <c r="Y1019" s="19"/>
      <c r="Z1019" s="19"/>
      <c r="AA1019" s="19"/>
      <c r="AB1019" s="19"/>
      <c r="AC1019" s="19"/>
      <c r="AD1019" s="19"/>
      <c r="AE1019" s="19"/>
      <c r="AF1019" s="19"/>
      <c r="AG1019" s="19"/>
      <c r="AH1019" s="19"/>
      <c r="AI1019" s="19"/>
      <c r="AJ1019" s="19"/>
      <c r="AK1019" s="19"/>
      <c r="AL1019" s="19"/>
      <c r="AM1019" s="19"/>
      <c r="AN1019" s="19"/>
      <c r="AO1019" s="19"/>
      <c r="AP1019" s="19"/>
      <c r="AQ1019" s="19"/>
      <c r="AR1019" s="19"/>
      <c r="AS1019" s="19"/>
      <c r="AT1019" s="19"/>
      <c r="AU1019" s="19"/>
      <c r="AV1019" s="19"/>
      <c r="AW1019" s="19"/>
      <c r="AX1019" s="19"/>
      <c r="GA1019" s="54"/>
    </row>
    <row r="1020" spans="1:183" s="18" customFormat="1">
      <c r="A1020" s="51"/>
      <c r="B1020" s="52"/>
      <c r="C1020" s="52"/>
      <c r="D1020" s="52"/>
      <c r="E1020" s="53"/>
      <c r="F1020" s="52"/>
      <c r="G1020" s="52"/>
      <c r="H1020" s="52"/>
      <c r="I1020" s="53"/>
      <c r="J1020" s="52"/>
      <c r="K1020" s="52"/>
      <c r="L1020" s="52"/>
      <c r="M1020" s="52"/>
      <c r="N1020" s="19"/>
      <c r="O1020" s="19"/>
      <c r="P1020" s="19"/>
      <c r="Q1020" s="19"/>
      <c r="R1020" s="19"/>
      <c r="S1020" s="19"/>
      <c r="T1020" s="19"/>
      <c r="U1020" s="19"/>
      <c r="V1020" s="19"/>
      <c r="W1020" s="19"/>
      <c r="X1020" s="19"/>
      <c r="Y1020" s="19"/>
      <c r="Z1020" s="19"/>
      <c r="AA1020" s="19"/>
      <c r="AB1020" s="19"/>
      <c r="AC1020" s="19"/>
      <c r="AD1020" s="19"/>
      <c r="AE1020" s="19"/>
      <c r="AF1020" s="19"/>
      <c r="AG1020" s="19"/>
      <c r="AH1020" s="19"/>
      <c r="AI1020" s="19"/>
      <c r="AJ1020" s="19"/>
      <c r="AK1020" s="19"/>
      <c r="AL1020" s="19"/>
      <c r="AM1020" s="19"/>
      <c r="AN1020" s="19"/>
      <c r="AO1020" s="19"/>
      <c r="AP1020" s="19"/>
      <c r="AQ1020" s="19"/>
      <c r="AR1020" s="19"/>
      <c r="AS1020" s="19"/>
      <c r="AT1020" s="19"/>
      <c r="AU1020" s="19"/>
      <c r="AV1020" s="19"/>
      <c r="AW1020" s="19"/>
      <c r="AX1020" s="19"/>
      <c r="GA1020" s="54"/>
    </row>
    <row r="1021" spans="1:183" s="18" customFormat="1">
      <c r="A1021" s="51"/>
      <c r="B1021" s="52"/>
      <c r="C1021" s="52"/>
      <c r="D1021" s="52"/>
      <c r="E1021" s="53"/>
      <c r="F1021" s="52"/>
      <c r="G1021" s="52"/>
      <c r="H1021" s="52"/>
      <c r="I1021" s="53"/>
      <c r="J1021" s="52"/>
      <c r="K1021" s="52"/>
      <c r="L1021" s="52"/>
      <c r="M1021" s="52"/>
      <c r="N1021" s="19"/>
      <c r="O1021" s="19"/>
      <c r="P1021" s="19"/>
      <c r="Q1021" s="19"/>
      <c r="R1021" s="19"/>
      <c r="S1021" s="19"/>
      <c r="T1021" s="19"/>
      <c r="U1021" s="19"/>
      <c r="V1021" s="19"/>
      <c r="W1021" s="19"/>
      <c r="X1021" s="19"/>
      <c r="Y1021" s="19"/>
      <c r="Z1021" s="19"/>
      <c r="AA1021" s="19"/>
      <c r="AB1021" s="19"/>
      <c r="AC1021" s="19"/>
      <c r="AD1021" s="19"/>
      <c r="AE1021" s="19"/>
      <c r="AF1021" s="19"/>
      <c r="AG1021" s="19"/>
      <c r="AH1021" s="19"/>
      <c r="AI1021" s="19"/>
      <c r="AJ1021" s="19"/>
      <c r="AK1021" s="19"/>
      <c r="AL1021" s="19"/>
      <c r="AM1021" s="19"/>
      <c r="AN1021" s="19"/>
      <c r="AO1021" s="19"/>
      <c r="AP1021" s="19"/>
      <c r="AQ1021" s="19"/>
      <c r="AR1021" s="19"/>
      <c r="AS1021" s="19"/>
      <c r="AT1021" s="19"/>
      <c r="AU1021" s="19"/>
      <c r="AV1021" s="19"/>
      <c r="AW1021" s="19"/>
      <c r="AX1021" s="19"/>
      <c r="GA1021" s="54"/>
    </row>
    <row r="1022" spans="1:183" s="18" customFormat="1">
      <c r="A1022" s="51"/>
      <c r="B1022" s="52"/>
      <c r="C1022" s="52"/>
      <c r="D1022" s="52"/>
      <c r="E1022" s="53"/>
      <c r="F1022" s="52"/>
      <c r="G1022" s="52"/>
      <c r="H1022" s="52"/>
      <c r="I1022" s="53"/>
      <c r="J1022" s="52"/>
      <c r="K1022" s="52"/>
      <c r="L1022" s="52"/>
      <c r="M1022" s="52"/>
      <c r="N1022" s="19"/>
      <c r="O1022" s="19"/>
      <c r="P1022" s="19"/>
      <c r="Q1022" s="19"/>
      <c r="R1022" s="19"/>
      <c r="S1022" s="19"/>
      <c r="T1022" s="19"/>
      <c r="U1022" s="19"/>
      <c r="V1022" s="19"/>
      <c r="W1022" s="19"/>
      <c r="X1022" s="19"/>
      <c r="Y1022" s="19"/>
      <c r="Z1022" s="19"/>
      <c r="AA1022" s="19"/>
      <c r="AB1022" s="19"/>
      <c r="AC1022" s="19"/>
      <c r="AD1022" s="19"/>
      <c r="AE1022" s="19"/>
      <c r="AF1022" s="19"/>
      <c r="AG1022" s="19"/>
      <c r="AH1022" s="19"/>
      <c r="AI1022" s="19"/>
      <c r="AJ1022" s="19"/>
      <c r="AK1022" s="19"/>
      <c r="AL1022" s="19"/>
      <c r="AM1022" s="19"/>
      <c r="AN1022" s="19"/>
      <c r="AO1022" s="19"/>
      <c r="AP1022" s="19"/>
      <c r="AQ1022" s="19"/>
      <c r="AR1022" s="19"/>
      <c r="AS1022" s="19"/>
      <c r="AT1022" s="19"/>
      <c r="AU1022" s="19"/>
      <c r="AV1022" s="19"/>
      <c r="AW1022" s="19"/>
      <c r="AX1022" s="19"/>
      <c r="GA1022" s="54"/>
    </row>
    <row r="1023" spans="1:183" s="18" customFormat="1">
      <c r="A1023" s="51"/>
      <c r="B1023" s="52"/>
      <c r="C1023" s="52"/>
      <c r="D1023" s="52"/>
      <c r="E1023" s="53"/>
      <c r="F1023" s="52"/>
      <c r="G1023" s="52"/>
      <c r="H1023" s="52"/>
      <c r="I1023" s="53"/>
      <c r="J1023" s="52"/>
      <c r="K1023" s="52"/>
      <c r="L1023" s="52"/>
      <c r="M1023" s="52"/>
      <c r="N1023" s="19"/>
      <c r="O1023" s="19"/>
      <c r="P1023" s="19"/>
      <c r="Q1023" s="19"/>
      <c r="R1023" s="19"/>
      <c r="S1023" s="19"/>
      <c r="T1023" s="19"/>
      <c r="U1023" s="19"/>
      <c r="V1023" s="19"/>
      <c r="W1023" s="19"/>
      <c r="X1023" s="19"/>
      <c r="Y1023" s="19"/>
      <c r="Z1023" s="19"/>
      <c r="AA1023" s="19"/>
      <c r="AB1023" s="19"/>
      <c r="AC1023" s="19"/>
      <c r="AD1023" s="19"/>
      <c r="AE1023" s="19"/>
      <c r="AF1023" s="19"/>
      <c r="AG1023" s="19"/>
      <c r="AH1023" s="19"/>
      <c r="AI1023" s="19"/>
      <c r="AJ1023" s="19"/>
      <c r="AK1023" s="19"/>
      <c r="AL1023" s="19"/>
      <c r="AM1023" s="19"/>
      <c r="AN1023" s="19"/>
      <c r="AO1023" s="19"/>
      <c r="AP1023" s="19"/>
      <c r="AQ1023" s="19"/>
      <c r="AR1023" s="19"/>
      <c r="AS1023" s="19"/>
      <c r="AT1023" s="19"/>
      <c r="AU1023" s="19"/>
      <c r="AV1023" s="19"/>
      <c r="AW1023" s="19"/>
      <c r="AX1023" s="19"/>
      <c r="GA1023" s="54"/>
    </row>
    <row r="1024" spans="1:183" s="18" customFormat="1">
      <c r="A1024" s="51"/>
      <c r="B1024" s="52"/>
      <c r="C1024" s="52"/>
      <c r="D1024" s="52"/>
      <c r="E1024" s="53"/>
      <c r="F1024" s="52"/>
      <c r="G1024" s="52"/>
      <c r="H1024" s="52"/>
      <c r="I1024" s="53"/>
      <c r="J1024" s="52"/>
      <c r="K1024" s="52"/>
      <c r="L1024" s="52"/>
      <c r="M1024" s="52"/>
      <c r="N1024" s="19"/>
      <c r="O1024" s="19"/>
      <c r="P1024" s="19"/>
      <c r="Q1024" s="19"/>
      <c r="R1024" s="19"/>
      <c r="S1024" s="19"/>
      <c r="T1024" s="19"/>
      <c r="U1024" s="19"/>
      <c r="V1024" s="19"/>
      <c r="W1024" s="19"/>
      <c r="X1024" s="19"/>
      <c r="Y1024" s="19"/>
      <c r="Z1024" s="19"/>
      <c r="AA1024" s="19"/>
      <c r="AB1024" s="19"/>
      <c r="AC1024" s="19"/>
      <c r="AD1024" s="19"/>
      <c r="AE1024" s="19"/>
      <c r="AF1024" s="19"/>
      <c r="AG1024" s="19"/>
      <c r="AH1024" s="19"/>
      <c r="AI1024" s="19"/>
      <c r="AJ1024" s="19"/>
      <c r="AK1024" s="19"/>
      <c r="AL1024" s="19"/>
      <c r="AM1024" s="19"/>
      <c r="AN1024" s="19"/>
      <c r="AO1024" s="19"/>
      <c r="AP1024" s="19"/>
      <c r="AQ1024" s="19"/>
      <c r="AR1024" s="19"/>
      <c r="AS1024" s="19"/>
      <c r="AT1024" s="19"/>
      <c r="AU1024" s="19"/>
      <c r="AV1024" s="19"/>
      <c r="AW1024" s="19"/>
      <c r="AX1024" s="19"/>
      <c r="GA1024" s="54"/>
    </row>
    <row r="1025" spans="1:183" s="18" customFormat="1">
      <c r="A1025" s="51"/>
      <c r="B1025" s="52"/>
      <c r="C1025" s="52"/>
      <c r="D1025" s="52"/>
      <c r="E1025" s="53"/>
      <c r="F1025" s="52"/>
      <c r="G1025" s="52"/>
      <c r="H1025" s="52"/>
      <c r="I1025" s="53"/>
      <c r="J1025" s="52"/>
      <c r="K1025" s="52"/>
      <c r="L1025" s="52"/>
      <c r="M1025" s="52"/>
      <c r="N1025" s="19"/>
      <c r="O1025" s="19"/>
      <c r="P1025" s="19"/>
      <c r="Q1025" s="19"/>
      <c r="R1025" s="19"/>
      <c r="S1025" s="19"/>
      <c r="T1025" s="19"/>
      <c r="U1025" s="19"/>
      <c r="V1025" s="19"/>
      <c r="W1025" s="19"/>
      <c r="X1025" s="19"/>
      <c r="Y1025" s="19"/>
      <c r="Z1025" s="19"/>
      <c r="AA1025" s="19"/>
      <c r="AB1025" s="19"/>
      <c r="AC1025" s="19"/>
      <c r="AD1025" s="19"/>
      <c r="AE1025" s="19"/>
      <c r="AF1025" s="19"/>
      <c r="AG1025" s="19"/>
      <c r="AH1025" s="19"/>
      <c r="AI1025" s="19"/>
      <c r="AJ1025" s="19"/>
      <c r="AK1025" s="19"/>
      <c r="AL1025" s="19"/>
      <c r="AM1025" s="19"/>
      <c r="AN1025" s="19"/>
      <c r="AO1025" s="19"/>
      <c r="AP1025" s="19"/>
      <c r="AQ1025" s="19"/>
      <c r="AR1025" s="19"/>
      <c r="AS1025" s="19"/>
      <c r="AT1025" s="19"/>
      <c r="AU1025" s="19"/>
      <c r="AV1025" s="19"/>
      <c r="AW1025" s="19"/>
      <c r="AX1025" s="19"/>
      <c r="GA1025" s="54"/>
    </row>
    <row r="1026" spans="1:183" s="18" customFormat="1">
      <c r="A1026" s="51"/>
      <c r="B1026" s="52"/>
      <c r="C1026" s="52"/>
      <c r="D1026" s="52"/>
      <c r="E1026" s="53"/>
      <c r="F1026" s="52"/>
      <c r="G1026" s="52"/>
      <c r="H1026" s="52"/>
      <c r="I1026" s="53"/>
      <c r="J1026" s="52"/>
      <c r="K1026" s="52"/>
      <c r="L1026" s="52"/>
      <c r="M1026" s="52"/>
      <c r="N1026" s="19"/>
      <c r="O1026" s="19"/>
      <c r="P1026" s="19"/>
      <c r="Q1026" s="19"/>
      <c r="R1026" s="19"/>
      <c r="S1026" s="19"/>
      <c r="T1026" s="19"/>
      <c r="U1026" s="19"/>
      <c r="V1026" s="19"/>
      <c r="W1026" s="19"/>
      <c r="X1026" s="19"/>
      <c r="Y1026" s="19"/>
      <c r="Z1026" s="19"/>
      <c r="AA1026" s="19"/>
      <c r="AB1026" s="19"/>
      <c r="AC1026" s="19"/>
      <c r="AD1026" s="19"/>
      <c r="AE1026" s="19"/>
      <c r="AF1026" s="19"/>
      <c r="AG1026" s="19"/>
      <c r="AH1026" s="19"/>
      <c r="AI1026" s="19"/>
      <c r="AJ1026" s="19"/>
      <c r="AK1026" s="19"/>
      <c r="AL1026" s="19"/>
      <c r="AM1026" s="19"/>
      <c r="AN1026" s="19"/>
      <c r="AO1026" s="19"/>
      <c r="AP1026" s="19"/>
      <c r="AQ1026" s="19"/>
      <c r="AR1026" s="19"/>
      <c r="AS1026" s="19"/>
      <c r="AT1026" s="19"/>
      <c r="AU1026" s="19"/>
      <c r="AV1026" s="19"/>
      <c r="AW1026" s="19"/>
      <c r="AX1026" s="19"/>
      <c r="GA1026" s="54"/>
    </row>
    <row r="1027" spans="1:183" s="18" customFormat="1">
      <c r="A1027" s="51"/>
      <c r="B1027" s="52"/>
      <c r="C1027" s="52"/>
      <c r="D1027" s="52"/>
      <c r="E1027" s="53"/>
      <c r="F1027" s="52"/>
      <c r="G1027" s="52"/>
      <c r="H1027" s="52"/>
      <c r="I1027" s="53"/>
      <c r="J1027" s="52"/>
      <c r="K1027" s="52"/>
      <c r="L1027" s="52"/>
      <c r="M1027" s="52"/>
      <c r="N1027" s="19"/>
      <c r="O1027" s="19"/>
      <c r="P1027" s="19"/>
      <c r="Q1027" s="19"/>
      <c r="R1027" s="19"/>
      <c r="S1027" s="19"/>
      <c r="T1027" s="19"/>
      <c r="U1027" s="19"/>
      <c r="V1027" s="19"/>
      <c r="W1027" s="19"/>
      <c r="X1027" s="19"/>
      <c r="Y1027" s="19"/>
      <c r="Z1027" s="19"/>
      <c r="AA1027" s="19"/>
      <c r="AB1027" s="19"/>
      <c r="AC1027" s="19"/>
      <c r="AD1027" s="19"/>
      <c r="AE1027" s="19"/>
      <c r="AF1027" s="19"/>
      <c r="AG1027" s="19"/>
      <c r="AH1027" s="19"/>
      <c r="AI1027" s="19"/>
      <c r="AJ1027" s="19"/>
      <c r="AK1027" s="19"/>
      <c r="AL1027" s="19"/>
      <c r="AM1027" s="19"/>
      <c r="AN1027" s="19"/>
      <c r="AO1027" s="19"/>
      <c r="AP1027" s="19"/>
      <c r="AQ1027" s="19"/>
      <c r="AR1027" s="19"/>
      <c r="AS1027" s="19"/>
      <c r="AT1027" s="19"/>
      <c r="AU1027" s="19"/>
      <c r="AV1027" s="19"/>
      <c r="AW1027" s="19"/>
      <c r="AX1027" s="19"/>
      <c r="GA1027" s="54"/>
    </row>
    <row r="1028" spans="1:183" s="18" customFormat="1">
      <c r="A1028" s="51"/>
      <c r="B1028" s="52"/>
      <c r="C1028" s="52"/>
      <c r="D1028" s="52"/>
      <c r="E1028" s="53"/>
      <c r="F1028" s="52"/>
      <c r="G1028" s="52"/>
      <c r="H1028" s="52"/>
      <c r="I1028" s="53"/>
      <c r="J1028" s="52"/>
      <c r="K1028" s="52"/>
      <c r="L1028" s="52"/>
      <c r="M1028" s="52"/>
      <c r="N1028" s="19"/>
      <c r="O1028" s="19"/>
      <c r="P1028" s="19"/>
      <c r="Q1028" s="19"/>
      <c r="R1028" s="19"/>
      <c r="S1028" s="19"/>
      <c r="T1028" s="19"/>
      <c r="U1028" s="19"/>
      <c r="V1028" s="19"/>
      <c r="W1028" s="19"/>
      <c r="X1028" s="19"/>
      <c r="Y1028" s="19"/>
      <c r="Z1028" s="19"/>
      <c r="AA1028" s="19"/>
      <c r="AB1028" s="19"/>
      <c r="AC1028" s="19"/>
      <c r="AD1028" s="19"/>
      <c r="AE1028" s="19"/>
      <c r="AF1028" s="19"/>
      <c r="AG1028" s="19"/>
      <c r="AH1028" s="19"/>
      <c r="AI1028" s="19"/>
      <c r="AJ1028" s="19"/>
      <c r="AK1028" s="19"/>
      <c r="AL1028" s="19"/>
      <c r="AM1028" s="19"/>
      <c r="AN1028" s="19"/>
      <c r="AO1028" s="19"/>
      <c r="AP1028" s="19"/>
      <c r="AQ1028" s="19"/>
      <c r="AR1028" s="19"/>
      <c r="AS1028" s="19"/>
      <c r="AT1028" s="19"/>
      <c r="AU1028" s="19"/>
      <c r="AV1028" s="19"/>
      <c r="AW1028" s="19"/>
      <c r="AX1028" s="19"/>
      <c r="GA1028" s="54"/>
    </row>
    <row r="1029" spans="1:183" s="18" customFormat="1">
      <c r="A1029" s="51"/>
      <c r="B1029" s="52"/>
      <c r="C1029" s="52"/>
      <c r="D1029" s="52"/>
      <c r="E1029" s="53"/>
      <c r="F1029" s="52"/>
      <c r="G1029" s="52"/>
      <c r="H1029" s="52"/>
      <c r="I1029" s="53"/>
      <c r="J1029" s="52"/>
      <c r="K1029" s="52"/>
      <c r="L1029" s="52"/>
      <c r="M1029" s="52"/>
      <c r="N1029" s="19"/>
      <c r="O1029" s="19"/>
      <c r="P1029" s="19"/>
      <c r="Q1029" s="19"/>
      <c r="R1029" s="19"/>
      <c r="S1029" s="19"/>
      <c r="T1029" s="19"/>
      <c r="U1029" s="19"/>
      <c r="V1029" s="19"/>
      <c r="W1029" s="19"/>
      <c r="X1029" s="19"/>
      <c r="Y1029" s="19"/>
      <c r="Z1029" s="19"/>
      <c r="AA1029" s="19"/>
      <c r="AB1029" s="19"/>
      <c r="AC1029" s="19"/>
      <c r="AD1029" s="19"/>
      <c r="AE1029" s="19"/>
      <c r="AF1029" s="19"/>
      <c r="AG1029" s="19"/>
      <c r="AH1029" s="19"/>
      <c r="AI1029" s="19"/>
      <c r="AJ1029" s="19"/>
      <c r="AK1029" s="19"/>
      <c r="AL1029" s="19"/>
      <c r="AM1029" s="19"/>
      <c r="AN1029" s="19"/>
      <c r="AO1029" s="19"/>
      <c r="AP1029" s="19"/>
      <c r="AQ1029" s="19"/>
      <c r="AR1029" s="19"/>
      <c r="AS1029" s="19"/>
      <c r="AT1029" s="19"/>
      <c r="AU1029" s="19"/>
      <c r="AV1029" s="19"/>
      <c r="AW1029" s="19"/>
      <c r="AX1029" s="19"/>
      <c r="GA1029" s="54"/>
    </row>
    <row r="1030" spans="1:183" s="18" customFormat="1">
      <c r="A1030" s="51"/>
      <c r="B1030" s="52"/>
      <c r="C1030" s="52"/>
      <c r="D1030" s="52"/>
      <c r="E1030" s="53"/>
      <c r="F1030" s="52"/>
      <c r="G1030" s="52"/>
      <c r="H1030" s="52"/>
      <c r="I1030" s="53"/>
      <c r="J1030" s="52"/>
      <c r="K1030" s="52"/>
      <c r="L1030" s="52"/>
      <c r="M1030" s="52"/>
      <c r="N1030" s="19"/>
      <c r="O1030" s="19"/>
      <c r="P1030" s="19"/>
      <c r="Q1030" s="19"/>
      <c r="R1030" s="19"/>
      <c r="S1030" s="19"/>
      <c r="T1030" s="19"/>
      <c r="U1030" s="19"/>
      <c r="V1030" s="19"/>
      <c r="W1030" s="19"/>
      <c r="X1030" s="19"/>
      <c r="Y1030" s="19"/>
      <c r="Z1030" s="19"/>
      <c r="AA1030" s="19"/>
      <c r="AB1030" s="19"/>
      <c r="AC1030" s="19"/>
      <c r="AD1030" s="19"/>
      <c r="AE1030" s="19"/>
      <c r="AF1030" s="19"/>
      <c r="AG1030" s="19"/>
      <c r="AH1030" s="19"/>
      <c r="AI1030" s="19"/>
      <c r="AJ1030" s="19"/>
      <c r="AK1030" s="19"/>
      <c r="AL1030" s="19"/>
      <c r="AM1030" s="19"/>
      <c r="AN1030" s="19"/>
      <c r="AO1030" s="19"/>
      <c r="AP1030" s="19"/>
      <c r="AQ1030" s="19"/>
      <c r="AR1030" s="19"/>
      <c r="AS1030" s="19"/>
      <c r="AT1030" s="19"/>
      <c r="AU1030" s="19"/>
      <c r="AV1030" s="19"/>
      <c r="AW1030" s="19"/>
      <c r="AX1030" s="19"/>
      <c r="GA1030" s="54"/>
    </row>
    <row r="1031" spans="1:183" s="18" customFormat="1">
      <c r="A1031" s="51"/>
      <c r="B1031" s="52"/>
      <c r="C1031" s="52"/>
      <c r="D1031" s="52"/>
      <c r="E1031" s="53"/>
      <c r="F1031" s="52"/>
      <c r="G1031" s="52"/>
      <c r="H1031" s="52"/>
      <c r="I1031" s="53"/>
      <c r="J1031" s="52"/>
      <c r="K1031" s="52"/>
      <c r="L1031" s="52"/>
      <c r="M1031" s="52"/>
      <c r="N1031" s="19"/>
      <c r="O1031" s="19"/>
      <c r="P1031" s="19"/>
      <c r="Q1031" s="19"/>
      <c r="R1031" s="19"/>
      <c r="S1031" s="19"/>
      <c r="T1031" s="19"/>
      <c r="U1031" s="19"/>
      <c r="V1031" s="19"/>
      <c r="W1031" s="19"/>
      <c r="X1031" s="19"/>
      <c r="Y1031" s="19"/>
      <c r="Z1031" s="19"/>
      <c r="AA1031" s="19"/>
      <c r="AB1031" s="19"/>
      <c r="AC1031" s="19"/>
      <c r="AD1031" s="19"/>
      <c r="AE1031" s="19"/>
      <c r="AF1031" s="19"/>
      <c r="AG1031" s="19"/>
      <c r="AH1031" s="19"/>
      <c r="AI1031" s="19"/>
      <c r="AJ1031" s="19"/>
      <c r="AK1031" s="19"/>
      <c r="AL1031" s="19"/>
      <c r="AM1031" s="19"/>
      <c r="AN1031" s="19"/>
      <c r="AO1031" s="19"/>
      <c r="AP1031" s="19"/>
      <c r="AQ1031" s="19"/>
      <c r="AR1031" s="19"/>
      <c r="AS1031" s="19"/>
      <c r="AT1031" s="19"/>
      <c r="AU1031" s="19"/>
      <c r="AV1031" s="19"/>
      <c r="AW1031" s="19"/>
      <c r="AX1031" s="19"/>
      <c r="GA1031" s="54"/>
    </row>
    <row r="1032" spans="1:183" s="18" customFormat="1">
      <c r="A1032" s="51"/>
      <c r="B1032" s="52"/>
      <c r="C1032" s="52"/>
      <c r="D1032" s="52"/>
      <c r="E1032" s="53"/>
      <c r="F1032" s="52"/>
      <c r="G1032" s="52"/>
      <c r="H1032" s="52"/>
      <c r="I1032" s="53"/>
      <c r="J1032" s="52"/>
      <c r="K1032" s="52"/>
      <c r="L1032" s="52"/>
      <c r="M1032" s="52"/>
      <c r="N1032" s="19"/>
      <c r="O1032" s="19"/>
      <c r="P1032" s="19"/>
      <c r="Q1032" s="19"/>
      <c r="R1032" s="19"/>
      <c r="S1032" s="19"/>
      <c r="T1032" s="19"/>
      <c r="U1032" s="19"/>
      <c r="V1032" s="19"/>
      <c r="W1032" s="19"/>
      <c r="X1032" s="19"/>
      <c r="Y1032" s="19"/>
      <c r="Z1032" s="19"/>
      <c r="AA1032" s="19"/>
      <c r="AB1032" s="19"/>
      <c r="AC1032" s="19"/>
      <c r="AD1032" s="19"/>
      <c r="AE1032" s="19"/>
      <c r="AF1032" s="19"/>
      <c r="AG1032" s="19"/>
      <c r="AH1032" s="19"/>
      <c r="AI1032" s="19"/>
      <c r="AJ1032" s="19"/>
      <c r="AK1032" s="19"/>
      <c r="AL1032" s="19"/>
      <c r="AM1032" s="19"/>
      <c r="AN1032" s="19"/>
      <c r="AO1032" s="19"/>
      <c r="AP1032" s="19"/>
      <c r="AQ1032" s="19"/>
      <c r="AR1032" s="19"/>
      <c r="AS1032" s="19"/>
      <c r="AT1032" s="19"/>
      <c r="AU1032" s="19"/>
      <c r="AV1032" s="19"/>
      <c r="AW1032" s="19"/>
      <c r="AX1032" s="19"/>
      <c r="GA1032" s="54"/>
    </row>
    <row r="1033" spans="1:183" s="18" customFormat="1">
      <c r="A1033" s="51"/>
      <c r="B1033" s="52"/>
      <c r="C1033" s="52"/>
      <c r="D1033" s="52"/>
      <c r="E1033" s="53"/>
      <c r="F1033" s="52"/>
      <c r="G1033" s="52"/>
      <c r="H1033" s="52"/>
      <c r="I1033" s="53"/>
      <c r="J1033" s="52"/>
      <c r="K1033" s="52"/>
      <c r="L1033" s="52"/>
      <c r="M1033" s="52"/>
      <c r="N1033" s="19"/>
      <c r="O1033" s="19"/>
      <c r="P1033" s="19"/>
      <c r="Q1033" s="19"/>
      <c r="R1033" s="19"/>
      <c r="S1033" s="19"/>
      <c r="T1033" s="19"/>
      <c r="U1033" s="19"/>
      <c r="V1033" s="19"/>
      <c r="W1033" s="19"/>
      <c r="X1033" s="19"/>
      <c r="Y1033" s="19"/>
      <c r="Z1033" s="19"/>
      <c r="AA1033" s="19"/>
      <c r="AB1033" s="19"/>
      <c r="AC1033" s="19"/>
      <c r="AD1033" s="19"/>
      <c r="AE1033" s="19"/>
      <c r="AF1033" s="19"/>
      <c r="AG1033" s="19"/>
      <c r="AH1033" s="19"/>
      <c r="AI1033" s="19"/>
      <c r="AJ1033" s="19"/>
      <c r="AK1033" s="19"/>
      <c r="AL1033" s="19"/>
      <c r="AM1033" s="19"/>
      <c r="AN1033" s="19"/>
      <c r="AO1033" s="19"/>
      <c r="AP1033" s="19"/>
      <c r="AQ1033" s="19"/>
      <c r="AR1033" s="19"/>
      <c r="AS1033" s="19"/>
      <c r="AT1033" s="19"/>
      <c r="AU1033" s="19"/>
      <c r="AV1033" s="19"/>
      <c r="AW1033" s="19"/>
      <c r="AX1033" s="19"/>
      <c r="GA1033" s="54"/>
    </row>
    <row r="1034" spans="1:183" s="18" customFormat="1">
      <c r="A1034" s="51"/>
      <c r="B1034" s="52"/>
      <c r="C1034" s="52"/>
      <c r="D1034" s="52"/>
      <c r="E1034" s="53"/>
      <c r="F1034" s="52"/>
      <c r="G1034" s="52"/>
      <c r="H1034" s="52"/>
      <c r="I1034" s="53"/>
      <c r="J1034" s="52"/>
      <c r="K1034" s="52"/>
      <c r="L1034" s="52"/>
      <c r="M1034" s="52"/>
      <c r="N1034" s="19"/>
      <c r="O1034" s="19"/>
      <c r="P1034" s="19"/>
      <c r="Q1034" s="19"/>
      <c r="R1034" s="19"/>
      <c r="S1034" s="19"/>
      <c r="T1034" s="19"/>
      <c r="U1034" s="19"/>
      <c r="V1034" s="19"/>
      <c r="W1034" s="19"/>
      <c r="X1034" s="19"/>
      <c r="Y1034" s="19"/>
      <c r="Z1034" s="19"/>
      <c r="AA1034" s="19"/>
      <c r="AB1034" s="19"/>
      <c r="AC1034" s="19"/>
      <c r="AD1034" s="19"/>
      <c r="AE1034" s="19"/>
      <c r="AF1034" s="19"/>
      <c r="AG1034" s="19"/>
      <c r="AH1034" s="19"/>
      <c r="AI1034" s="19"/>
      <c r="AJ1034" s="19"/>
      <c r="AK1034" s="19"/>
      <c r="AL1034" s="19"/>
      <c r="AM1034" s="19"/>
      <c r="AN1034" s="19"/>
      <c r="AO1034" s="19"/>
      <c r="AP1034" s="19"/>
      <c r="AQ1034" s="19"/>
      <c r="AR1034" s="19"/>
      <c r="AS1034" s="19"/>
      <c r="AT1034" s="19"/>
      <c r="AU1034" s="19"/>
      <c r="AV1034" s="19"/>
      <c r="AW1034" s="19"/>
      <c r="AX1034" s="19"/>
      <c r="GA1034" s="54"/>
    </row>
    <row r="1035" spans="1:183" s="18" customFormat="1">
      <c r="A1035" s="51"/>
      <c r="B1035" s="52"/>
      <c r="C1035" s="52"/>
      <c r="D1035" s="52"/>
      <c r="E1035" s="53"/>
      <c r="F1035" s="52"/>
      <c r="G1035" s="52"/>
      <c r="H1035" s="52"/>
      <c r="I1035" s="53"/>
      <c r="J1035" s="52"/>
      <c r="K1035" s="52"/>
      <c r="L1035" s="52"/>
      <c r="M1035" s="52"/>
      <c r="N1035" s="19"/>
      <c r="O1035" s="19"/>
      <c r="P1035" s="19"/>
      <c r="Q1035" s="19"/>
      <c r="R1035" s="19"/>
      <c r="S1035" s="19"/>
      <c r="T1035" s="19"/>
      <c r="U1035" s="19"/>
      <c r="V1035" s="19"/>
      <c r="W1035" s="19"/>
      <c r="X1035" s="19"/>
      <c r="Y1035" s="19"/>
      <c r="Z1035" s="19"/>
      <c r="AA1035" s="19"/>
      <c r="AB1035" s="19"/>
      <c r="AC1035" s="19"/>
      <c r="AD1035" s="19"/>
      <c r="AE1035" s="19"/>
      <c r="AF1035" s="19"/>
      <c r="AG1035" s="19"/>
      <c r="AH1035" s="19"/>
      <c r="AI1035" s="19"/>
      <c r="AJ1035" s="19"/>
      <c r="AK1035" s="19"/>
      <c r="AL1035" s="19"/>
      <c r="AM1035" s="19"/>
      <c r="AN1035" s="19"/>
      <c r="AO1035" s="19"/>
      <c r="AP1035" s="19"/>
      <c r="AQ1035" s="19"/>
      <c r="AR1035" s="19"/>
      <c r="AS1035" s="19"/>
      <c r="AT1035" s="19"/>
      <c r="AU1035" s="19"/>
      <c r="AV1035" s="19"/>
      <c r="AW1035" s="19"/>
      <c r="AX1035" s="19"/>
      <c r="GA1035" s="54"/>
    </row>
    <row r="1036" spans="1:183" s="18" customFormat="1">
      <c r="A1036" s="51"/>
      <c r="B1036" s="52"/>
      <c r="C1036" s="52"/>
      <c r="D1036" s="52"/>
      <c r="E1036" s="53"/>
      <c r="F1036" s="52"/>
      <c r="G1036" s="52"/>
      <c r="H1036" s="52"/>
      <c r="I1036" s="53"/>
      <c r="J1036" s="52"/>
      <c r="K1036" s="52"/>
      <c r="L1036" s="52"/>
      <c r="M1036" s="52"/>
      <c r="N1036" s="19"/>
      <c r="O1036" s="19"/>
      <c r="P1036" s="19"/>
      <c r="Q1036" s="19"/>
      <c r="R1036" s="19"/>
      <c r="S1036" s="19"/>
      <c r="T1036" s="19"/>
      <c r="U1036" s="19"/>
      <c r="V1036" s="19"/>
      <c r="W1036" s="19"/>
      <c r="X1036" s="19"/>
      <c r="Y1036" s="19"/>
      <c r="Z1036" s="19"/>
      <c r="AA1036" s="19"/>
      <c r="AB1036" s="19"/>
      <c r="AC1036" s="19"/>
      <c r="AD1036" s="19"/>
      <c r="AE1036" s="19"/>
      <c r="AF1036" s="19"/>
      <c r="AG1036" s="19"/>
      <c r="AH1036" s="19"/>
      <c r="AI1036" s="19"/>
      <c r="AJ1036" s="19"/>
      <c r="AK1036" s="19"/>
      <c r="AL1036" s="19"/>
      <c r="AM1036" s="19"/>
      <c r="AN1036" s="19"/>
      <c r="AO1036" s="19"/>
      <c r="AP1036" s="19"/>
      <c r="AQ1036" s="19"/>
      <c r="AR1036" s="19"/>
      <c r="AS1036" s="19"/>
      <c r="AT1036" s="19"/>
      <c r="AU1036" s="19"/>
      <c r="AV1036" s="19"/>
      <c r="AW1036" s="19"/>
      <c r="AX1036" s="19"/>
      <c r="GA1036" s="54"/>
    </row>
    <row r="1037" spans="1:183" s="18" customFormat="1">
      <c r="A1037" s="51"/>
      <c r="B1037" s="52"/>
      <c r="C1037" s="52"/>
      <c r="D1037" s="52"/>
      <c r="E1037" s="53"/>
      <c r="F1037" s="52"/>
      <c r="G1037" s="52"/>
      <c r="H1037" s="52"/>
      <c r="I1037" s="53"/>
      <c r="J1037" s="52"/>
      <c r="K1037" s="52"/>
      <c r="L1037" s="52"/>
      <c r="M1037" s="52"/>
      <c r="N1037" s="19"/>
      <c r="O1037" s="19"/>
      <c r="P1037" s="19"/>
      <c r="Q1037" s="19"/>
      <c r="R1037" s="19"/>
      <c r="S1037" s="19"/>
      <c r="T1037" s="19"/>
      <c r="U1037" s="19"/>
      <c r="V1037" s="19"/>
      <c r="W1037" s="19"/>
      <c r="X1037" s="19"/>
      <c r="Y1037" s="19"/>
      <c r="Z1037" s="19"/>
      <c r="AA1037" s="19"/>
      <c r="AB1037" s="19"/>
      <c r="AC1037" s="19"/>
      <c r="AD1037" s="19"/>
      <c r="AE1037" s="19"/>
      <c r="AF1037" s="19"/>
      <c r="AG1037" s="19"/>
      <c r="AH1037" s="19"/>
      <c r="AI1037" s="19"/>
      <c r="AJ1037" s="19"/>
      <c r="AK1037" s="19"/>
      <c r="AL1037" s="19"/>
      <c r="AM1037" s="19"/>
      <c r="AN1037" s="19"/>
      <c r="AO1037" s="19"/>
      <c r="AP1037" s="19"/>
      <c r="AQ1037" s="19"/>
      <c r="AR1037" s="19"/>
      <c r="AS1037" s="19"/>
      <c r="AT1037" s="19"/>
      <c r="AU1037" s="19"/>
      <c r="AV1037" s="19"/>
      <c r="AW1037" s="19"/>
      <c r="AX1037" s="19"/>
      <c r="GA1037" s="54"/>
    </row>
    <row r="1038" spans="1:183" s="18" customFormat="1">
      <c r="A1038" s="51"/>
      <c r="B1038" s="52"/>
      <c r="C1038" s="52"/>
      <c r="D1038" s="52"/>
      <c r="E1038" s="53"/>
      <c r="F1038" s="52"/>
      <c r="G1038" s="52"/>
      <c r="H1038" s="52"/>
      <c r="I1038" s="53"/>
      <c r="J1038" s="52"/>
      <c r="K1038" s="52"/>
      <c r="L1038" s="52"/>
      <c r="M1038" s="52"/>
      <c r="N1038" s="19"/>
      <c r="O1038" s="19"/>
      <c r="P1038" s="19"/>
      <c r="Q1038" s="19"/>
      <c r="R1038" s="19"/>
      <c r="S1038" s="19"/>
      <c r="T1038" s="19"/>
      <c r="U1038" s="19"/>
      <c r="V1038" s="19"/>
      <c r="W1038" s="19"/>
      <c r="X1038" s="19"/>
      <c r="Y1038" s="19"/>
      <c r="Z1038" s="19"/>
      <c r="AA1038" s="19"/>
      <c r="AB1038" s="19"/>
      <c r="AC1038" s="19"/>
      <c r="AD1038" s="19"/>
      <c r="AE1038" s="19"/>
      <c r="AF1038" s="19"/>
      <c r="AG1038" s="19"/>
      <c r="AH1038" s="19"/>
      <c r="AI1038" s="19"/>
      <c r="AJ1038" s="19"/>
      <c r="AK1038" s="19"/>
      <c r="AL1038" s="19"/>
      <c r="AM1038" s="19"/>
      <c r="AN1038" s="19"/>
      <c r="AO1038" s="19"/>
      <c r="AP1038" s="19"/>
      <c r="AQ1038" s="19"/>
      <c r="AR1038" s="19"/>
      <c r="AS1038" s="19"/>
      <c r="AT1038" s="19"/>
      <c r="AU1038" s="19"/>
      <c r="AV1038" s="19"/>
      <c r="AW1038" s="19"/>
      <c r="AX1038" s="19"/>
      <c r="GA1038" s="54"/>
    </row>
    <row r="1039" spans="1:183" s="18" customFormat="1">
      <c r="A1039" s="51"/>
      <c r="B1039" s="52"/>
      <c r="C1039" s="52"/>
      <c r="D1039" s="52"/>
      <c r="E1039" s="53"/>
      <c r="F1039" s="52"/>
      <c r="G1039" s="52"/>
      <c r="H1039" s="52"/>
      <c r="I1039" s="53"/>
      <c r="J1039" s="52"/>
      <c r="K1039" s="52"/>
      <c r="L1039" s="52"/>
      <c r="M1039" s="52"/>
      <c r="N1039" s="19"/>
      <c r="O1039" s="19"/>
      <c r="P1039" s="19"/>
      <c r="Q1039" s="19"/>
      <c r="R1039" s="19"/>
      <c r="S1039" s="19"/>
      <c r="T1039" s="19"/>
      <c r="U1039" s="19"/>
      <c r="V1039" s="19"/>
      <c r="W1039" s="19"/>
      <c r="X1039" s="19"/>
      <c r="Y1039" s="19"/>
      <c r="Z1039" s="19"/>
      <c r="AA1039" s="19"/>
      <c r="AB1039" s="19"/>
      <c r="AC1039" s="19"/>
      <c r="AD1039" s="19"/>
      <c r="AE1039" s="19"/>
      <c r="AF1039" s="19"/>
      <c r="AG1039" s="19"/>
      <c r="AH1039" s="19"/>
      <c r="AI1039" s="19"/>
      <c r="AJ1039" s="19"/>
      <c r="AK1039" s="19"/>
      <c r="AL1039" s="19"/>
      <c r="AM1039" s="19"/>
      <c r="AN1039" s="19"/>
      <c r="AO1039" s="19"/>
      <c r="AP1039" s="19"/>
      <c r="AQ1039" s="19"/>
      <c r="AR1039" s="19"/>
      <c r="AS1039" s="19"/>
      <c r="AT1039" s="19"/>
      <c r="AU1039" s="19"/>
      <c r="AV1039" s="19"/>
      <c r="AW1039" s="19"/>
      <c r="AX1039" s="19"/>
      <c r="GA1039" s="54"/>
    </row>
    <row r="1040" spans="1:183" s="18" customFormat="1">
      <c r="A1040" s="51"/>
      <c r="B1040" s="52"/>
      <c r="C1040" s="52"/>
      <c r="D1040" s="52"/>
      <c r="E1040" s="53"/>
      <c r="F1040" s="52"/>
      <c r="G1040" s="52"/>
      <c r="H1040" s="52"/>
      <c r="I1040" s="53"/>
      <c r="J1040" s="52"/>
      <c r="K1040" s="52"/>
      <c r="L1040" s="52"/>
      <c r="M1040" s="52"/>
      <c r="N1040" s="19"/>
      <c r="O1040" s="19"/>
      <c r="P1040" s="19"/>
      <c r="Q1040" s="19"/>
      <c r="R1040" s="19"/>
      <c r="S1040" s="19"/>
      <c r="T1040" s="19"/>
      <c r="U1040" s="19"/>
      <c r="V1040" s="19"/>
      <c r="W1040" s="19"/>
      <c r="X1040" s="19"/>
      <c r="Y1040" s="19"/>
      <c r="Z1040" s="19"/>
      <c r="AA1040" s="19"/>
      <c r="AB1040" s="19"/>
      <c r="AC1040" s="19"/>
      <c r="AD1040" s="19"/>
      <c r="AE1040" s="19"/>
      <c r="AF1040" s="19"/>
      <c r="AG1040" s="19"/>
      <c r="AH1040" s="19"/>
      <c r="AI1040" s="19"/>
      <c r="AJ1040" s="19"/>
      <c r="AK1040" s="19"/>
      <c r="AL1040" s="19"/>
      <c r="AM1040" s="19"/>
      <c r="AN1040" s="19"/>
      <c r="AO1040" s="19"/>
      <c r="AP1040" s="19"/>
      <c r="AQ1040" s="19"/>
      <c r="AR1040" s="19"/>
      <c r="AS1040" s="19"/>
      <c r="AT1040" s="19"/>
      <c r="AU1040" s="19"/>
      <c r="AV1040" s="19"/>
      <c r="AW1040" s="19"/>
      <c r="AX1040" s="19"/>
      <c r="GA1040" s="54"/>
    </row>
    <row r="1041" spans="1:183" s="18" customFormat="1">
      <c r="A1041" s="51"/>
      <c r="B1041" s="52"/>
      <c r="C1041" s="52"/>
      <c r="D1041" s="52"/>
      <c r="E1041" s="53"/>
      <c r="F1041" s="52"/>
      <c r="G1041" s="52"/>
      <c r="H1041" s="52"/>
      <c r="I1041" s="53"/>
      <c r="J1041" s="52"/>
      <c r="K1041" s="52"/>
      <c r="L1041" s="52"/>
      <c r="M1041" s="52"/>
      <c r="N1041" s="19"/>
      <c r="O1041" s="19"/>
      <c r="P1041" s="19"/>
      <c r="Q1041" s="19"/>
      <c r="R1041" s="19"/>
      <c r="S1041" s="19"/>
      <c r="T1041" s="19"/>
      <c r="U1041" s="19"/>
      <c r="V1041" s="19"/>
      <c r="W1041" s="19"/>
      <c r="X1041" s="19"/>
      <c r="Y1041" s="19"/>
      <c r="Z1041" s="19"/>
      <c r="AA1041" s="19"/>
      <c r="AB1041" s="19"/>
      <c r="AC1041" s="19"/>
      <c r="AD1041" s="19"/>
      <c r="AE1041" s="19"/>
      <c r="AF1041" s="19"/>
      <c r="AG1041" s="19"/>
      <c r="AH1041" s="19"/>
      <c r="AI1041" s="19"/>
      <c r="AJ1041" s="19"/>
      <c r="AK1041" s="19"/>
      <c r="AL1041" s="19"/>
      <c r="AM1041" s="19"/>
      <c r="AN1041" s="19"/>
      <c r="AO1041" s="19"/>
      <c r="AP1041" s="19"/>
      <c r="AQ1041" s="19"/>
      <c r="AR1041" s="19"/>
      <c r="AS1041" s="19"/>
      <c r="AT1041" s="19"/>
      <c r="AU1041" s="19"/>
      <c r="AV1041" s="19"/>
      <c r="AW1041" s="19"/>
      <c r="AX1041" s="19"/>
      <c r="GA1041" s="54"/>
    </row>
    <row r="1042" spans="1:183" s="18" customFormat="1">
      <c r="A1042" s="51"/>
      <c r="B1042" s="52"/>
      <c r="C1042" s="52"/>
      <c r="D1042" s="52"/>
      <c r="E1042" s="53"/>
      <c r="F1042" s="52"/>
      <c r="G1042" s="52"/>
      <c r="H1042" s="52"/>
      <c r="I1042" s="53"/>
      <c r="J1042" s="52"/>
      <c r="K1042" s="52"/>
      <c r="L1042" s="52"/>
      <c r="M1042" s="52"/>
      <c r="N1042" s="19"/>
      <c r="O1042" s="19"/>
      <c r="P1042" s="19"/>
      <c r="Q1042" s="19"/>
      <c r="R1042" s="19"/>
      <c r="S1042" s="19"/>
      <c r="T1042" s="19"/>
      <c r="U1042" s="19"/>
      <c r="V1042" s="19"/>
      <c r="W1042" s="19"/>
      <c r="X1042" s="19"/>
      <c r="Y1042" s="19"/>
      <c r="Z1042" s="19"/>
      <c r="AA1042" s="19"/>
      <c r="AB1042" s="19"/>
      <c r="AC1042" s="19"/>
      <c r="AD1042" s="19"/>
      <c r="AE1042" s="19"/>
      <c r="AF1042" s="19"/>
      <c r="AG1042" s="19"/>
      <c r="AH1042" s="19"/>
      <c r="AI1042" s="19"/>
      <c r="AJ1042" s="19"/>
      <c r="AK1042" s="19"/>
      <c r="AL1042" s="19"/>
      <c r="AM1042" s="19"/>
      <c r="AN1042" s="19"/>
      <c r="AO1042" s="19"/>
      <c r="AP1042" s="19"/>
      <c r="AQ1042" s="19"/>
      <c r="AR1042" s="19"/>
      <c r="AS1042" s="19"/>
      <c r="AT1042" s="19"/>
      <c r="AU1042" s="19"/>
      <c r="AV1042" s="19"/>
      <c r="AW1042" s="19"/>
      <c r="AX1042" s="19"/>
      <c r="GA1042" s="54"/>
    </row>
    <row r="1043" spans="1:183" s="18" customFormat="1">
      <c r="A1043" s="51"/>
      <c r="B1043" s="52"/>
      <c r="C1043" s="52"/>
      <c r="D1043" s="52"/>
      <c r="E1043" s="53"/>
      <c r="F1043" s="52"/>
      <c r="G1043" s="52"/>
      <c r="H1043" s="52"/>
      <c r="I1043" s="53"/>
      <c r="J1043" s="52"/>
      <c r="K1043" s="52"/>
      <c r="L1043" s="52"/>
      <c r="M1043" s="52"/>
      <c r="N1043" s="19"/>
      <c r="O1043" s="19"/>
      <c r="P1043" s="19"/>
      <c r="Q1043" s="19"/>
      <c r="R1043" s="19"/>
      <c r="S1043" s="19"/>
      <c r="T1043" s="19"/>
      <c r="U1043" s="19"/>
      <c r="V1043" s="19"/>
      <c r="W1043" s="19"/>
      <c r="X1043" s="19"/>
      <c r="Y1043" s="19"/>
      <c r="Z1043" s="19"/>
      <c r="AA1043" s="19"/>
      <c r="AB1043" s="19"/>
      <c r="AC1043" s="19"/>
      <c r="AD1043" s="19"/>
      <c r="AE1043" s="19"/>
      <c r="AF1043" s="19"/>
      <c r="AG1043" s="19"/>
      <c r="AH1043" s="19"/>
      <c r="AI1043" s="19"/>
      <c r="AJ1043" s="19"/>
      <c r="AK1043" s="19"/>
      <c r="AL1043" s="19"/>
      <c r="AM1043" s="19"/>
      <c r="AN1043" s="19"/>
      <c r="AO1043" s="19"/>
      <c r="AP1043" s="19"/>
      <c r="AQ1043" s="19"/>
      <c r="AR1043" s="19"/>
      <c r="AS1043" s="19"/>
      <c r="AT1043" s="19"/>
      <c r="AU1043" s="19"/>
      <c r="AV1043" s="19"/>
      <c r="AW1043" s="19"/>
      <c r="AX1043" s="19"/>
      <c r="GA1043" s="54"/>
    </row>
    <row r="1044" spans="1:183" s="18" customFormat="1">
      <c r="A1044" s="51"/>
      <c r="B1044" s="52"/>
      <c r="C1044" s="52"/>
      <c r="D1044" s="52"/>
      <c r="E1044" s="53"/>
      <c r="F1044" s="52"/>
      <c r="G1044" s="52"/>
      <c r="H1044" s="52"/>
      <c r="I1044" s="53"/>
      <c r="J1044" s="52"/>
      <c r="K1044" s="52"/>
      <c r="L1044" s="52"/>
      <c r="M1044" s="52"/>
      <c r="N1044" s="19"/>
      <c r="O1044" s="19"/>
      <c r="P1044" s="19"/>
      <c r="Q1044" s="19"/>
      <c r="R1044" s="19"/>
      <c r="S1044" s="19"/>
      <c r="T1044" s="19"/>
      <c r="U1044" s="19"/>
      <c r="V1044" s="19"/>
      <c r="W1044" s="19"/>
      <c r="X1044" s="19"/>
      <c r="Y1044" s="19"/>
      <c r="Z1044" s="19"/>
      <c r="AA1044" s="19"/>
      <c r="AB1044" s="19"/>
      <c r="AC1044" s="19"/>
      <c r="AD1044" s="19"/>
      <c r="AE1044" s="19"/>
      <c r="AF1044" s="19"/>
      <c r="AG1044" s="19"/>
      <c r="AH1044" s="19"/>
      <c r="AI1044" s="19"/>
      <c r="AJ1044" s="19"/>
      <c r="AK1044" s="19"/>
      <c r="AL1044" s="19"/>
      <c r="AM1044" s="19"/>
      <c r="AN1044" s="19"/>
      <c r="AO1044" s="19"/>
      <c r="AP1044" s="19"/>
      <c r="AQ1044" s="19"/>
      <c r="AR1044" s="19"/>
      <c r="AS1044" s="19"/>
      <c r="AT1044" s="19"/>
      <c r="AU1044" s="19"/>
      <c r="AV1044" s="19"/>
      <c r="AW1044" s="19"/>
      <c r="AX1044" s="19"/>
      <c r="GA1044" s="54"/>
    </row>
    <row r="1045" spans="1:183" s="18" customFormat="1">
      <c r="A1045" s="51"/>
      <c r="B1045" s="52"/>
      <c r="C1045" s="52"/>
      <c r="D1045" s="52"/>
      <c r="E1045" s="53"/>
      <c r="F1045" s="52"/>
      <c r="G1045" s="52"/>
      <c r="H1045" s="52"/>
      <c r="I1045" s="53"/>
      <c r="J1045" s="52"/>
      <c r="K1045" s="52"/>
      <c r="L1045" s="52"/>
      <c r="M1045" s="52"/>
      <c r="N1045" s="19"/>
      <c r="O1045" s="19"/>
      <c r="P1045" s="19"/>
      <c r="Q1045" s="19"/>
      <c r="R1045" s="19"/>
      <c r="S1045" s="19"/>
      <c r="T1045" s="19"/>
      <c r="U1045" s="19"/>
      <c r="V1045" s="19"/>
      <c r="W1045" s="19"/>
      <c r="X1045" s="19"/>
      <c r="Y1045" s="19"/>
      <c r="Z1045" s="19"/>
      <c r="AA1045" s="19"/>
      <c r="AB1045" s="19"/>
      <c r="AC1045" s="19"/>
      <c r="AD1045" s="19"/>
      <c r="AE1045" s="19"/>
      <c r="AF1045" s="19"/>
      <c r="AG1045" s="19"/>
      <c r="AH1045" s="19"/>
      <c r="AI1045" s="19"/>
      <c r="AJ1045" s="19"/>
      <c r="AK1045" s="19"/>
      <c r="AL1045" s="19"/>
      <c r="AM1045" s="19"/>
      <c r="AN1045" s="19"/>
      <c r="AO1045" s="19"/>
      <c r="AP1045" s="19"/>
      <c r="AQ1045" s="19"/>
      <c r="AR1045" s="19"/>
      <c r="AS1045" s="19"/>
      <c r="AT1045" s="19"/>
      <c r="AU1045" s="19"/>
      <c r="AV1045" s="19"/>
      <c r="AW1045" s="19"/>
      <c r="AX1045" s="19"/>
      <c r="GA1045" s="54"/>
    </row>
    <row r="1046" spans="1:183" s="18" customFormat="1">
      <c r="A1046" s="51"/>
      <c r="B1046" s="52"/>
      <c r="C1046" s="52"/>
      <c r="D1046" s="52"/>
      <c r="E1046" s="53"/>
      <c r="F1046" s="52"/>
      <c r="G1046" s="52"/>
      <c r="H1046" s="52"/>
      <c r="I1046" s="53"/>
      <c r="J1046" s="52"/>
      <c r="K1046" s="52"/>
      <c r="L1046" s="52"/>
      <c r="M1046" s="52"/>
      <c r="N1046" s="19"/>
      <c r="O1046" s="19"/>
      <c r="P1046" s="19"/>
      <c r="Q1046" s="19"/>
      <c r="R1046" s="19"/>
      <c r="S1046" s="19"/>
      <c r="T1046" s="19"/>
      <c r="U1046" s="19"/>
      <c r="V1046" s="19"/>
      <c r="W1046" s="19"/>
      <c r="X1046" s="19"/>
      <c r="Y1046" s="19"/>
      <c r="Z1046" s="19"/>
      <c r="AA1046" s="19"/>
      <c r="AB1046" s="19"/>
      <c r="AC1046" s="19"/>
      <c r="AD1046" s="19"/>
      <c r="AE1046" s="19"/>
      <c r="AF1046" s="19"/>
      <c r="AG1046" s="19"/>
      <c r="AH1046" s="19"/>
      <c r="AI1046" s="19"/>
      <c r="AJ1046" s="19"/>
      <c r="AK1046" s="19"/>
      <c r="AL1046" s="19"/>
      <c r="AM1046" s="19"/>
      <c r="AN1046" s="19"/>
      <c r="AO1046" s="19"/>
      <c r="AP1046" s="19"/>
      <c r="AQ1046" s="19"/>
      <c r="AR1046" s="19"/>
      <c r="AS1046" s="19"/>
      <c r="AT1046" s="19"/>
      <c r="AU1046" s="19"/>
      <c r="AV1046" s="19"/>
      <c r="AW1046" s="19"/>
      <c r="AX1046" s="19"/>
      <c r="GA1046" s="54"/>
    </row>
    <row r="1047" spans="1:183" s="18" customFormat="1">
      <c r="A1047" s="51"/>
      <c r="B1047" s="52"/>
      <c r="C1047" s="52"/>
      <c r="D1047" s="52"/>
      <c r="E1047" s="53"/>
      <c r="F1047" s="52"/>
      <c r="G1047" s="52"/>
      <c r="H1047" s="52"/>
      <c r="I1047" s="53"/>
      <c r="J1047" s="52"/>
      <c r="K1047" s="52"/>
      <c r="L1047" s="52"/>
      <c r="M1047" s="52"/>
      <c r="N1047" s="19"/>
      <c r="O1047" s="19"/>
      <c r="P1047" s="19"/>
      <c r="Q1047" s="19"/>
      <c r="R1047" s="19"/>
      <c r="S1047" s="19"/>
      <c r="T1047" s="19"/>
      <c r="U1047" s="19"/>
      <c r="V1047" s="19"/>
      <c r="W1047" s="19"/>
      <c r="X1047" s="19"/>
      <c r="Y1047" s="19"/>
      <c r="Z1047" s="19"/>
      <c r="AA1047" s="19"/>
      <c r="AB1047" s="19"/>
      <c r="AC1047" s="19"/>
      <c r="AD1047" s="19"/>
      <c r="AE1047" s="19"/>
      <c r="AF1047" s="19"/>
      <c r="AG1047" s="19"/>
      <c r="AH1047" s="19"/>
      <c r="AI1047" s="19"/>
      <c r="AJ1047" s="19"/>
      <c r="AK1047" s="19"/>
      <c r="AL1047" s="19"/>
      <c r="AM1047" s="19"/>
      <c r="AN1047" s="19"/>
      <c r="AO1047" s="19"/>
      <c r="AP1047" s="19"/>
      <c r="AQ1047" s="19"/>
      <c r="AR1047" s="19"/>
      <c r="AS1047" s="19"/>
      <c r="AT1047" s="19"/>
      <c r="AU1047" s="19"/>
      <c r="AV1047" s="19"/>
      <c r="AW1047" s="19"/>
      <c r="AX1047" s="19"/>
      <c r="GA1047" s="54"/>
    </row>
    <row r="1048" spans="1:183" s="18" customFormat="1">
      <c r="A1048" s="51"/>
      <c r="B1048" s="52"/>
      <c r="C1048" s="52"/>
      <c r="D1048" s="52"/>
      <c r="E1048" s="53"/>
      <c r="F1048" s="52"/>
      <c r="G1048" s="52"/>
      <c r="H1048" s="52"/>
      <c r="I1048" s="53"/>
      <c r="J1048" s="52"/>
      <c r="K1048" s="52"/>
      <c r="L1048" s="52"/>
      <c r="M1048" s="52"/>
      <c r="N1048" s="19"/>
      <c r="O1048" s="19"/>
      <c r="P1048" s="19"/>
      <c r="Q1048" s="19"/>
      <c r="R1048" s="19"/>
      <c r="S1048" s="19"/>
      <c r="T1048" s="19"/>
      <c r="U1048" s="19"/>
      <c r="V1048" s="19"/>
      <c r="W1048" s="19"/>
      <c r="X1048" s="19"/>
      <c r="Y1048" s="19"/>
      <c r="Z1048" s="19"/>
      <c r="AA1048" s="19"/>
      <c r="AB1048" s="19"/>
      <c r="AC1048" s="19"/>
      <c r="AD1048" s="19"/>
      <c r="AE1048" s="19"/>
      <c r="AF1048" s="19"/>
      <c r="AG1048" s="19"/>
      <c r="AH1048" s="19"/>
      <c r="AI1048" s="19"/>
      <c r="AJ1048" s="19"/>
      <c r="AK1048" s="19"/>
      <c r="AL1048" s="19"/>
      <c r="AM1048" s="19"/>
      <c r="AN1048" s="19"/>
      <c r="AO1048" s="19"/>
      <c r="AP1048" s="19"/>
      <c r="AQ1048" s="19"/>
      <c r="AR1048" s="19"/>
      <c r="AS1048" s="19"/>
      <c r="AT1048" s="19"/>
      <c r="AU1048" s="19"/>
      <c r="AV1048" s="19"/>
      <c r="AW1048" s="19"/>
      <c r="AX1048" s="19"/>
      <c r="GA1048" s="54"/>
    </row>
    <row r="1049" spans="1:183" s="18" customFormat="1">
      <c r="A1049" s="51"/>
      <c r="B1049" s="52"/>
      <c r="C1049" s="52"/>
      <c r="D1049" s="52"/>
      <c r="E1049" s="53"/>
      <c r="F1049" s="52"/>
      <c r="G1049" s="52"/>
      <c r="H1049" s="52"/>
      <c r="I1049" s="53"/>
      <c r="J1049" s="52"/>
      <c r="K1049" s="52"/>
      <c r="L1049" s="52"/>
      <c r="M1049" s="52"/>
      <c r="N1049" s="19"/>
      <c r="O1049" s="19"/>
      <c r="P1049" s="19"/>
      <c r="Q1049" s="19"/>
      <c r="R1049" s="19"/>
      <c r="S1049" s="19"/>
      <c r="T1049" s="19"/>
      <c r="U1049" s="19"/>
      <c r="V1049" s="19"/>
      <c r="W1049" s="19"/>
      <c r="X1049" s="19"/>
      <c r="Y1049" s="19"/>
      <c r="Z1049" s="19"/>
      <c r="AA1049" s="19"/>
      <c r="AB1049" s="19"/>
      <c r="AC1049" s="19"/>
      <c r="AD1049" s="19"/>
      <c r="AE1049" s="19"/>
      <c r="AF1049" s="19"/>
      <c r="AG1049" s="19"/>
      <c r="AH1049" s="19"/>
      <c r="AI1049" s="19"/>
      <c r="AJ1049" s="19"/>
      <c r="AK1049" s="19"/>
      <c r="AL1049" s="19"/>
      <c r="AM1049" s="19"/>
      <c r="AN1049" s="19"/>
      <c r="AO1049" s="19"/>
      <c r="AP1049" s="19"/>
      <c r="AQ1049" s="19"/>
      <c r="AR1049" s="19"/>
      <c r="AS1049" s="19"/>
      <c r="AT1049" s="19"/>
      <c r="AU1049" s="19"/>
      <c r="AV1049" s="19"/>
      <c r="AW1049" s="19"/>
      <c r="AX1049" s="19"/>
      <c r="GA1049" s="54"/>
    </row>
    <row r="1050" spans="1:183" s="18" customFormat="1">
      <c r="A1050" s="51"/>
      <c r="B1050" s="52"/>
      <c r="C1050" s="52"/>
      <c r="D1050" s="52"/>
      <c r="E1050" s="53"/>
      <c r="F1050" s="52"/>
      <c r="G1050" s="52"/>
      <c r="H1050" s="52"/>
      <c r="I1050" s="53"/>
      <c r="J1050" s="52"/>
      <c r="K1050" s="52"/>
      <c r="L1050" s="52"/>
      <c r="M1050" s="52"/>
      <c r="N1050" s="19"/>
      <c r="O1050" s="19"/>
      <c r="P1050" s="19"/>
      <c r="Q1050" s="19"/>
      <c r="R1050" s="19"/>
      <c r="S1050" s="19"/>
      <c r="T1050" s="19"/>
      <c r="U1050" s="19"/>
      <c r="V1050" s="19"/>
      <c r="W1050" s="19"/>
      <c r="X1050" s="19"/>
      <c r="Y1050" s="19"/>
      <c r="Z1050" s="19"/>
      <c r="AA1050" s="19"/>
      <c r="AB1050" s="19"/>
      <c r="AC1050" s="19"/>
      <c r="AD1050" s="19"/>
      <c r="AE1050" s="19"/>
      <c r="AF1050" s="19"/>
      <c r="AG1050" s="19"/>
      <c r="AH1050" s="19"/>
      <c r="AI1050" s="19"/>
      <c r="AJ1050" s="19"/>
      <c r="AK1050" s="19"/>
      <c r="AL1050" s="19"/>
      <c r="AM1050" s="19"/>
      <c r="AN1050" s="19"/>
      <c r="AO1050" s="19"/>
      <c r="AP1050" s="19"/>
      <c r="AQ1050" s="19"/>
      <c r="AR1050" s="19"/>
      <c r="AS1050" s="19"/>
      <c r="AT1050" s="19"/>
      <c r="AU1050" s="19"/>
      <c r="AV1050" s="19"/>
      <c r="AW1050" s="19"/>
      <c r="AX1050" s="19"/>
      <c r="GA1050" s="54"/>
    </row>
    <row r="1051" spans="1:183" s="18" customFormat="1">
      <c r="A1051" s="51"/>
      <c r="B1051" s="52"/>
      <c r="C1051" s="52"/>
      <c r="D1051" s="52"/>
      <c r="E1051" s="53"/>
      <c r="F1051" s="52"/>
      <c r="G1051" s="52"/>
      <c r="H1051" s="52"/>
      <c r="I1051" s="53"/>
      <c r="J1051" s="52"/>
      <c r="K1051" s="52"/>
      <c r="L1051" s="52"/>
      <c r="M1051" s="52"/>
      <c r="N1051" s="19"/>
      <c r="O1051" s="19"/>
      <c r="P1051" s="19"/>
      <c r="Q1051" s="19"/>
      <c r="R1051" s="19"/>
      <c r="S1051" s="19"/>
      <c r="T1051" s="19"/>
      <c r="U1051" s="19"/>
      <c r="V1051" s="19"/>
      <c r="W1051" s="19"/>
      <c r="X1051" s="19"/>
      <c r="Y1051" s="19"/>
      <c r="Z1051" s="19"/>
      <c r="AA1051" s="19"/>
      <c r="AB1051" s="19"/>
      <c r="AC1051" s="19"/>
      <c r="AD1051" s="19"/>
      <c r="AE1051" s="19"/>
      <c r="AF1051" s="19"/>
      <c r="AG1051" s="19"/>
      <c r="AH1051" s="19"/>
      <c r="AI1051" s="19"/>
      <c r="AJ1051" s="19"/>
      <c r="AK1051" s="19"/>
      <c r="AL1051" s="19"/>
      <c r="AM1051" s="19"/>
      <c r="AN1051" s="19"/>
      <c r="AO1051" s="19"/>
      <c r="AP1051" s="19"/>
      <c r="AQ1051" s="19"/>
      <c r="AR1051" s="19"/>
      <c r="AS1051" s="19"/>
      <c r="AT1051" s="19"/>
      <c r="AU1051" s="19"/>
      <c r="AV1051" s="19"/>
      <c r="AW1051" s="19"/>
      <c r="AX1051" s="19"/>
      <c r="GA1051" s="54"/>
    </row>
    <row r="1052" spans="1:183" s="18" customFormat="1">
      <c r="A1052" s="51"/>
      <c r="B1052" s="52"/>
      <c r="C1052" s="52"/>
      <c r="D1052" s="52"/>
      <c r="E1052" s="53"/>
      <c r="F1052" s="52"/>
      <c r="G1052" s="52"/>
      <c r="H1052" s="52"/>
      <c r="I1052" s="53"/>
      <c r="J1052" s="52"/>
      <c r="K1052" s="52"/>
      <c r="L1052" s="52"/>
      <c r="M1052" s="52"/>
      <c r="N1052" s="19"/>
      <c r="O1052" s="19"/>
      <c r="P1052" s="19"/>
      <c r="Q1052" s="19"/>
      <c r="R1052" s="19"/>
      <c r="S1052" s="19"/>
      <c r="T1052" s="19"/>
      <c r="U1052" s="19"/>
      <c r="V1052" s="19"/>
      <c r="W1052" s="19"/>
      <c r="X1052" s="19"/>
      <c r="Y1052" s="19"/>
      <c r="Z1052" s="19"/>
      <c r="AA1052" s="19"/>
      <c r="AB1052" s="19"/>
      <c r="AC1052" s="19"/>
      <c r="AD1052" s="19"/>
      <c r="AE1052" s="19"/>
      <c r="AF1052" s="19"/>
      <c r="AG1052" s="19"/>
      <c r="AH1052" s="19"/>
      <c r="AI1052" s="19"/>
      <c r="AJ1052" s="19"/>
      <c r="AK1052" s="19"/>
      <c r="AL1052" s="19"/>
      <c r="AM1052" s="19"/>
      <c r="AN1052" s="19"/>
      <c r="AO1052" s="19"/>
      <c r="AP1052" s="19"/>
      <c r="AQ1052" s="19"/>
      <c r="AR1052" s="19"/>
      <c r="AS1052" s="19"/>
      <c r="AT1052" s="19"/>
      <c r="AU1052" s="19"/>
      <c r="AV1052" s="19"/>
      <c r="AW1052" s="19"/>
      <c r="AX1052" s="19"/>
      <c r="GA1052" s="54"/>
    </row>
    <row r="1053" spans="1:183" s="18" customFormat="1">
      <c r="A1053" s="51"/>
      <c r="B1053" s="52"/>
      <c r="C1053" s="52"/>
      <c r="D1053" s="52"/>
      <c r="E1053" s="53"/>
      <c r="F1053" s="52"/>
      <c r="G1053" s="52"/>
      <c r="H1053" s="52"/>
      <c r="I1053" s="53"/>
      <c r="J1053" s="52"/>
      <c r="K1053" s="52"/>
      <c r="L1053" s="52"/>
      <c r="M1053" s="52"/>
      <c r="N1053" s="19"/>
      <c r="O1053" s="19"/>
      <c r="P1053" s="19"/>
      <c r="Q1053" s="19"/>
      <c r="R1053" s="19"/>
      <c r="S1053" s="19"/>
      <c r="T1053" s="19"/>
      <c r="U1053" s="19"/>
      <c r="V1053" s="19"/>
      <c r="W1053" s="19"/>
      <c r="X1053" s="19"/>
      <c r="Y1053" s="19"/>
      <c r="Z1053" s="19"/>
      <c r="AA1053" s="19"/>
      <c r="AB1053" s="19"/>
      <c r="AC1053" s="19"/>
      <c r="AD1053" s="19"/>
      <c r="AE1053" s="19"/>
      <c r="AF1053" s="19"/>
      <c r="AG1053" s="19"/>
      <c r="AH1053" s="19"/>
      <c r="AI1053" s="19"/>
      <c r="AJ1053" s="19"/>
      <c r="AK1053" s="19"/>
      <c r="AL1053" s="19"/>
      <c r="AM1053" s="19"/>
      <c r="AN1053" s="19"/>
      <c r="AO1053" s="19"/>
      <c r="AP1053" s="19"/>
      <c r="AQ1053" s="19"/>
      <c r="AR1053" s="19"/>
      <c r="AS1053" s="19"/>
      <c r="AT1053" s="19"/>
      <c r="AU1053" s="19"/>
      <c r="AV1053" s="19"/>
      <c r="AW1053" s="19"/>
      <c r="AX1053" s="19"/>
      <c r="GA1053" s="54"/>
    </row>
    <row r="1054" spans="1:183" s="18" customFormat="1">
      <c r="A1054" s="51"/>
      <c r="B1054" s="52"/>
      <c r="C1054" s="52"/>
      <c r="D1054" s="52"/>
      <c r="E1054" s="53"/>
      <c r="F1054" s="52"/>
      <c r="G1054" s="52"/>
      <c r="H1054" s="52"/>
      <c r="I1054" s="53"/>
      <c r="J1054" s="52"/>
      <c r="K1054" s="52"/>
      <c r="L1054" s="52"/>
      <c r="M1054" s="52"/>
      <c r="N1054" s="19"/>
      <c r="O1054" s="19"/>
      <c r="P1054" s="19"/>
      <c r="Q1054" s="19"/>
      <c r="R1054" s="19"/>
      <c r="S1054" s="19"/>
      <c r="T1054" s="19"/>
      <c r="U1054" s="19"/>
      <c r="V1054" s="19"/>
      <c r="W1054" s="19"/>
      <c r="X1054" s="19"/>
      <c r="Y1054" s="19"/>
      <c r="Z1054" s="19"/>
      <c r="AA1054" s="19"/>
      <c r="AB1054" s="19"/>
      <c r="AC1054" s="19"/>
      <c r="AD1054" s="19"/>
      <c r="AE1054" s="19"/>
      <c r="AF1054" s="19"/>
      <c r="AG1054" s="19"/>
      <c r="AH1054" s="19"/>
      <c r="AI1054" s="19"/>
      <c r="AJ1054" s="19"/>
      <c r="AK1054" s="19"/>
      <c r="AL1054" s="19"/>
      <c r="AM1054" s="19"/>
      <c r="AN1054" s="19"/>
      <c r="AO1054" s="19"/>
      <c r="AP1054" s="19"/>
      <c r="AQ1054" s="19"/>
      <c r="AR1054" s="19"/>
      <c r="AS1054" s="19"/>
      <c r="AT1054" s="19"/>
      <c r="AU1054" s="19"/>
      <c r="AV1054" s="19"/>
      <c r="AW1054" s="19"/>
      <c r="AX1054" s="19"/>
      <c r="GA1054" s="54"/>
    </row>
    <row r="1055" spans="1:183" s="18" customFormat="1">
      <c r="A1055" s="51"/>
      <c r="B1055" s="52"/>
      <c r="C1055" s="52"/>
      <c r="D1055" s="52"/>
      <c r="E1055" s="53"/>
      <c r="F1055" s="52"/>
      <c r="G1055" s="52"/>
      <c r="H1055" s="52"/>
      <c r="I1055" s="53"/>
      <c r="J1055" s="52"/>
      <c r="K1055" s="52"/>
      <c r="L1055" s="52"/>
      <c r="M1055" s="52"/>
      <c r="N1055" s="19"/>
      <c r="O1055" s="19"/>
      <c r="P1055" s="19"/>
      <c r="Q1055" s="19"/>
      <c r="R1055" s="19"/>
      <c r="S1055" s="19"/>
      <c r="T1055" s="19"/>
      <c r="U1055" s="19"/>
      <c r="V1055" s="19"/>
      <c r="W1055" s="19"/>
      <c r="X1055" s="19"/>
      <c r="Y1055" s="19"/>
      <c r="Z1055" s="19"/>
      <c r="AA1055" s="19"/>
      <c r="AB1055" s="19"/>
      <c r="AC1055" s="19"/>
      <c r="AD1055" s="19"/>
      <c r="AE1055" s="19"/>
      <c r="AF1055" s="19"/>
      <c r="AG1055" s="19"/>
      <c r="AH1055" s="19"/>
      <c r="AI1055" s="19"/>
      <c r="AJ1055" s="19"/>
      <c r="AK1055" s="19"/>
      <c r="AL1055" s="19"/>
      <c r="AM1055" s="19"/>
      <c r="AN1055" s="19"/>
      <c r="AO1055" s="19"/>
      <c r="AP1055" s="19"/>
      <c r="AQ1055" s="19"/>
      <c r="AR1055" s="19"/>
      <c r="AS1055" s="19"/>
      <c r="AT1055" s="19"/>
      <c r="AU1055" s="19"/>
      <c r="AV1055" s="19"/>
      <c r="AW1055" s="19"/>
      <c r="AX1055" s="19"/>
      <c r="GA1055" s="54"/>
    </row>
    <row r="1056" spans="1:183" s="18" customFormat="1">
      <c r="A1056" s="51"/>
      <c r="B1056" s="52"/>
      <c r="C1056" s="52"/>
      <c r="D1056" s="52"/>
      <c r="E1056" s="53"/>
      <c r="F1056" s="52"/>
      <c r="G1056" s="52"/>
      <c r="H1056" s="52"/>
      <c r="I1056" s="53"/>
      <c r="J1056" s="52"/>
      <c r="K1056" s="52"/>
      <c r="L1056" s="52"/>
      <c r="M1056" s="52"/>
      <c r="N1056" s="19"/>
      <c r="O1056" s="19"/>
      <c r="P1056" s="19"/>
      <c r="Q1056" s="19"/>
      <c r="R1056" s="19"/>
      <c r="S1056" s="19"/>
      <c r="T1056" s="19"/>
      <c r="U1056" s="19"/>
      <c r="V1056" s="19"/>
      <c r="W1056" s="19"/>
      <c r="X1056" s="19"/>
      <c r="Y1056" s="19"/>
      <c r="Z1056" s="19"/>
      <c r="AA1056" s="19"/>
      <c r="AB1056" s="19"/>
      <c r="AC1056" s="19"/>
      <c r="AD1056" s="19"/>
      <c r="AE1056" s="19"/>
      <c r="AF1056" s="19"/>
      <c r="AG1056" s="19"/>
      <c r="AH1056" s="19"/>
      <c r="AI1056" s="19"/>
      <c r="AJ1056" s="19"/>
      <c r="AK1056" s="19"/>
      <c r="AL1056" s="19"/>
      <c r="AM1056" s="19"/>
      <c r="AN1056" s="19"/>
      <c r="AO1056" s="19"/>
      <c r="AP1056" s="19"/>
      <c r="AQ1056" s="19"/>
      <c r="AR1056" s="19"/>
      <c r="AS1056" s="19"/>
      <c r="AT1056" s="19"/>
      <c r="AU1056" s="19"/>
      <c r="AV1056" s="19"/>
      <c r="AW1056" s="19"/>
      <c r="AX1056" s="19"/>
      <c r="GA1056" s="54"/>
    </row>
    <row r="1057" spans="1:183" s="18" customFormat="1">
      <c r="A1057" s="51"/>
      <c r="B1057" s="52"/>
      <c r="C1057" s="52"/>
      <c r="D1057" s="52"/>
      <c r="E1057" s="53"/>
      <c r="F1057" s="52"/>
      <c r="G1057" s="52"/>
      <c r="H1057" s="52"/>
      <c r="I1057" s="53"/>
      <c r="J1057" s="52"/>
      <c r="K1057" s="52"/>
      <c r="L1057" s="52"/>
      <c r="M1057" s="52"/>
      <c r="N1057" s="19"/>
      <c r="O1057" s="19"/>
      <c r="P1057" s="19"/>
      <c r="Q1057" s="19"/>
      <c r="R1057" s="19"/>
      <c r="S1057" s="19"/>
      <c r="T1057" s="19"/>
      <c r="U1057" s="19"/>
      <c r="V1057" s="19"/>
      <c r="W1057" s="19"/>
      <c r="X1057" s="19"/>
      <c r="Y1057" s="19"/>
      <c r="Z1057" s="19"/>
      <c r="AA1057" s="19"/>
      <c r="AB1057" s="19"/>
      <c r="AC1057" s="19"/>
      <c r="AD1057" s="19"/>
      <c r="AE1057" s="19"/>
      <c r="AF1057" s="19"/>
      <c r="AG1057" s="19"/>
      <c r="AH1057" s="19"/>
      <c r="AI1057" s="19"/>
      <c r="AJ1057" s="19"/>
      <c r="AK1057" s="19"/>
      <c r="AL1057" s="19"/>
      <c r="AM1057" s="19"/>
      <c r="AN1057" s="19"/>
      <c r="AO1057" s="19"/>
      <c r="AP1057" s="19"/>
      <c r="AQ1057" s="19"/>
      <c r="AR1057" s="19"/>
      <c r="AS1057" s="19"/>
      <c r="AT1057" s="19"/>
      <c r="AU1057" s="19"/>
      <c r="AV1057" s="19"/>
      <c r="AW1057" s="19"/>
      <c r="AX1057" s="19"/>
      <c r="GA1057" s="54"/>
    </row>
    <row r="1058" spans="1:183" s="18" customFormat="1">
      <c r="A1058" s="51"/>
      <c r="B1058" s="52"/>
      <c r="C1058" s="52"/>
      <c r="D1058" s="52"/>
      <c r="E1058" s="53"/>
      <c r="F1058" s="52"/>
      <c r="G1058" s="52"/>
      <c r="H1058" s="52"/>
      <c r="I1058" s="53"/>
      <c r="J1058" s="52"/>
      <c r="K1058" s="52"/>
      <c r="L1058" s="52"/>
      <c r="M1058" s="52"/>
      <c r="N1058" s="19"/>
      <c r="O1058" s="19"/>
      <c r="P1058" s="19"/>
      <c r="Q1058" s="19"/>
      <c r="R1058" s="19"/>
      <c r="S1058" s="19"/>
      <c r="T1058" s="19"/>
      <c r="U1058" s="19"/>
      <c r="V1058" s="19"/>
      <c r="W1058" s="19"/>
      <c r="X1058" s="19"/>
      <c r="Y1058" s="19"/>
      <c r="Z1058" s="19"/>
      <c r="AA1058" s="19"/>
      <c r="AB1058" s="19"/>
      <c r="AC1058" s="19"/>
      <c r="AD1058" s="19"/>
      <c r="AE1058" s="19"/>
      <c r="AF1058" s="19"/>
      <c r="AG1058" s="19"/>
      <c r="AH1058" s="19"/>
      <c r="AI1058" s="19"/>
      <c r="AJ1058" s="19"/>
      <c r="AK1058" s="19"/>
      <c r="AL1058" s="19"/>
      <c r="AM1058" s="19"/>
      <c r="AN1058" s="19"/>
      <c r="AO1058" s="19"/>
      <c r="AP1058" s="19"/>
      <c r="AQ1058" s="19"/>
      <c r="AR1058" s="19"/>
      <c r="AS1058" s="19"/>
      <c r="AT1058" s="19"/>
      <c r="AU1058" s="19"/>
      <c r="AV1058" s="19"/>
      <c r="AW1058" s="19"/>
      <c r="AX1058" s="19"/>
      <c r="GA1058" s="54"/>
    </row>
    <row r="1059" spans="1:183" s="18" customFormat="1">
      <c r="A1059" s="51"/>
      <c r="B1059" s="52"/>
      <c r="C1059" s="52"/>
      <c r="D1059" s="52"/>
      <c r="E1059" s="53"/>
      <c r="F1059" s="52"/>
      <c r="G1059" s="52"/>
      <c r="H1059" s="52"/>
      <c r="I1059" s="53"/>
      <c r="J1059" s="52"/>
      <c r="K1059" s="52"/>
      <c r="L1059" s="52"/>
      <c r="M1059" s="52"/>
      <c r="N1059" s="19"/>
      <c r="O1059" s="19"/>
      <c r="P1059" s="19"/>
      <c r="Q1059" s="19"/>
      <c r="R1059" s="19"/>
      <c r="S1059" s="19"/>
      <c r="T1059" s="19"/>
      <c r="U1059" s="19"/>
      <c r="V1059" s="19"/>
      <c r="W1059" s="19"/>
      <c r="X1059" s="19"/>
      <c r="Y1059" s="19"/>
      <c r="Z1059" s="19"/>
      <c r="AA1059" s="19"/>
      <c r="AB1059" s="19"/>
      <c r="AC1059" s="19"/>
      <c r="AD1059" s="19"/>
      <c r="AE1059" s="19"/>
      <c r="AF1059" s="19"/>
      <c r="AG1059" s="19"/>
      <c r="AH1059" s="19"/>
      <c r="AI1059" s="19"/>
      <c r="AJ1059" s="19"/>
      <c r="AK1059" s="19"/>
      <c r="AL1059" s="19"/>
      <c r="AM1059" s="19"/>
      <c r="AN1059" s="19"/>
      <c r="AO1059" s="19"/>
      <c r="AP1059" s="19"/>
      <c r="AQ1059" s="19"/>
      <c r="AR1059" s="19"/>
      <c r="AS1059" s="19"/>
      <c r="AT1059" s="19"/>
      <c r="AU1059" s="19"/>
      <c r="AV1059" s="19"/>
      <c r="AW1059" s="19"/>
      <c r="AX1059" s="19"/>
      <c r="GA1059" s="54"/>
    </row>
    <row r="1060" spans="1:183" s="18" customFormat="1">
      <c r="A1060" s="51"/>
      <c r="B1060" s="52"/>
      <c r="C1060" s="52"/>
      <c r="D1060" s="52"/>
      <c r="E1060" s="53"/>
      <c r="F1060" s="52"/>
      <c r="G1060" s="52"/>
      <c r="H1060" s="52"/>
      <c r="I1060" s="53"/>
      <c r="J1060" s="52"/>
      <c r="K1060" s="52"/>
      <c r="L1060" s="52"/>
      <c r="M1060" s="52"/>
      <c r="N1060" s="19"/>
      <c r="O1060" s="19"/>
      <c r="P1060" s="19"/>
      <c r="Q1060" s="19"/>
      <c r="R1060" s="19"/>
      <c r="S1060" s="19"/>
      <c r="T1060" s="19"/>
      <c r="U1060" s="19"/>
      <c r="V1060" s="19"/>
      <c r="W1060" s="19"/>
      <c r="X1060" s="19"/>
      <c r="Y1060" s="19"/>
      <c r="Z1060" s="19"/>
      <c r="AA1060" s="19"/>
      <c r="AB1060" s="19"/>
      <c r="AC1060" s="19"/>
      <c r="AD1060" s="19"/>
      <c r="AE1060" s="19"/>
      <c r="AF1060" s="19"/>
      <c r="AG1060" s="19"/>
      <c r="AH1060" s="19"/>
      <c r="AI1060" s="19"/>
      <c r="AJ1060" s="19"/>
      <c r="AK1060" s="19"/>
      <c r="AL1060" s="19"/>
      <c r="AM1060" s="19"/>
      <c r="AN1060" s="19"/>
      <c r="AO1060" s="19"/>
      <c r="AP1060" s="19"/>
      <c r="AQ1060" s="19"/>
      <c r="AR1060" s="19"/>
      <c r="AS1060" s="19"/>
      <c r="AT1060" s="19"/>
      <c r="AU1060" s="19"/>
      <c r="AV1060" s="19"/>
      <c r="AW1060" s="19"/>
      <c r="AX1060" s="19"/>
      <c r="GA1060" s="54"/>
    </row>
    <row r="1061" spans="1:183" s="18" customFormat="1">
      <c r="A1061" s="51"/>
      <c r="B1061" s="52"/>
      <c r="C1061" s="52"/>
      <c r="D1061" s="52"/>
      <c r="E1061" s="53"/>
      <c r="F1061" s="52"/>
      <c r="G1061" s="52"/>
      <c r="H1061" s="52"/>
      <c r="I1061" s="53"/>
      <c r="J1061" s="52"/>
      <c r="K1061" s="52"/>
      <c r="L1061" s="52"/>
      <c r="M1061" s="52"/>
      <c r="N1061" s="19"/>
      <c r="O1061" s="19"/>
      <c r="P1061" s="19"/>
      <c r="Q1061" s="19"/>
      <c r="R1061" s="19"/>
      <c r="S1061" s="19"/>
      <c r="T1061" s="19"/>
      <c r="U1061" s="19"/>
      <c r="V1061" s="19"/>
      <c r="W1061" s="19"/>
      <c r="X1061" s="19"/>
      <c r="Y1061" s="19"/>
      <c r="Z1061" s="19"/>
      <c r="AA1061" s="19"/>
      <c r="AB1061" s="19"/>
      <c r="AC1061" s="19"/>
      <c r="AD1061" s="19"/>
      <c r="AE1061" s="19"/>
      <c r="AF1061" s="19"/>
      <c r="AG1061" s="19"/>
      <c r="AH1061" s="19"/>
      <c r="AI1061" s="19"/>
      <c r="AJ1061" s="19"/>
      <c r="AK1061" s="19"/>
      <c r="AL1061" s="19"/>
      <c r="AM1061" s="19"/>
      <c r="AN1061" s="19"/>
      <c r="AO1061" s="19"/>
      <c r="AP1061" s="19"/>
      <c r="AQ1061" s="19"/>
      <c r="AR1061" s="19"/>
      <c r="AS1061" s="19"/>
      <c r="AT1061" s="19"/>
      <c r="AU1061" s="19"/>
      <c r="AV1061" s="19"/>
      <c r="AW1061" s="19"/>
      <c r="AX1061" s="19"/>
      <c r="GA1061" s="54"/>
    </row>
    <row r="1062" spans="1:183" s="18" customFormat="1">
      <c r="A1062" s="51"/>
      <c r="B1062" s="52"/>
      <c r="C1062" s="52"/>
      <c r="D1062" s="52"/>
      <c r="E1062" s="53"/>
      <c r="F1062" s="52"/>
      <c r="G1062" s="52"/>
      <c r="H1062" s="52"/>
      <c r="I1062" s="53"/>
      <c r="J1062" s="52"/>
      <c r="K1062" s="52"/>
      <c r="L1062" s="52"/>
      <c r="M1062" s="52"/>
      <c r="N1062" s="19"/>
      <c r="O1062" s="19"/>
      <c r="P1062" s="19"/>
      <c r="Q1062" s="19"/>
      <c r="R1062" s="19"/>
      <c r="S1062" s="19"/>
      <c r="T1062" s="19"/>
      <c r="U1062" s="19"/>
      <c r="V1062" s="19"/>
      <c r="W1062" s="19"/>
      <c r="X1062" s="19"/>
      <c r="Y1062" s="19"/>
      <c r="Z1062" s="19"/>
      <c r="AA1062" s="19"/>
      <c r="AB1062" s="19"/>
      <c r="AC1062" s="19"/>
      <c r="AD1062" s="19"/>
      <c r="AE1062" s="19"/>
      <c r="AF1062" s="19"/>
      <c r="AG1062" s="19"/>
      <c r="AH1062" s="19"/>
      <c r="AI1062" s="19"/>
      <c r="AJ1062" s="19"/>
      <c r="AK1062" s="19"/>
      <c r="AL1062" s="19"/>
      <c r="AM1062" s="19"/>
      <c r="AN1062" s="19"/>
      <c r="AO1062" s="19"/>
      <c r="AP1062" s="19"/>
      <c r="AQ1062" s="19"/>
      <c r="AR1062" s="19"/>
      <c r="AS1062" s="19"/>
      <c r="AT1062" s="19"/>
      <c r="AU1062" s="19"/>
      <c r="AV1062" s="19"/>
      <c r="AW1062" s="19"/>
      <c r="AX1062" s="19"/>
      <c r="GA1062" s="54"/>
    </row>
    <row r="1063" spans="1:183" s="18" customFormat="1">
      <c r="A1063" s="51"/>
      <c r="B1063" s="52"/>
      <c r="C1063" s="52"/>
      <c r="D1063" s="52"/>
      <c r="E1063" s="53"/>
      <c r="F1063" s="52"/>
      <c r="G1063" s="52"/>
      <c r="H1063" s="52"/>
      <c r="I1063" s="53"/>
      <c r="J1063" s="52"/>
      <c r="K1063" s="52"/>
      <c r="L1063" s="52"/>
      <c r="M1063" s="52"/>
      <c r="N1063" s="19"/>
      <c r="O1063" s="19"/>
      <c r="P1063" s="19"/>
      <c r="Q1063" s="19"/>
      <c r="R1063" s="19"/>
      <c r="S1063" s="19"/>
      <c r="T1063" s="19"/>
      <c r="U1063" s="19"/>
      <c r="V1063" s="19"/>
      <c r="W1063" s="19"/>
      <c r="X1063" s="19"/>
      <c r="Y1063" s="19"/>
      <c r="Z1063" s="19"/>
      <c r="AA1063" s="19"/>
      <c r="AB1063" s="19"/>
      <c r="AC1063" s="19"/>
      <c r="AD1063" s="19"/>
      <c r="AE1063" s="19"/>
      <c r="AF1063" s="19"/>
      <c r="AG1063" s="19"/>
      <c r="AH1063" s="19"/>
      <c r="AI1063" s="19"/>
      <c r="AJ1063" s="19"/>
      <c r="AK1063" s="19"/>
      <c r="AL1063" s="19"/>
      <c r="AM1063" s="19"/>
      <c r="AN1063" s="19"/>
      <c r="AO1063" s="19"/>
      <c r="AP1063" s="19"/>
      <c r="AQ1063" s="19"/>
      <c r="AR1063" s="19"/>
      <c r="AS1063" s="19"/>
      <c r="AT1063" s="19"/>
      <c r="AU1063" s="19"/>
      <c r="AV1063" s="19"/>
      <c r="AW1063" s="19"/>
      <c r="AX1063" s="19"/>
      <c r="GA1063" s="54"/>
    </row>
    <row r="1064" spans="1:183" s="18" customFormat="1">
      <c r="A1064" s="51"/>
      <c r="B1064" s="52"/>
      <c r="C1064" s="52"/>
      <c r="D1064" s="52"/>
      <c r="E1064" s="53"/>
      <c r="F1064" s="52"/>
      <c r="G1064" s="52"/>
      <c r="H1064" s="52"/>
      <c r="I1064" s="53"/>
      <c r="J1064" s="52"/>
      <c r="K1064" s="52"/>
      <c r="L1064" s="52"/>
      <c r="M1064" s="52"/>
      <c r="N1064" s="19"/>
      <c r="O1064" s="19"/>
      <c r="P1064" s="19"/>
      <c r="Q1064" s="19"/>
      <c r="R1064" s="19"/>
      <c r="S1064" s="19"/>
      <c r="T1064" s="19"/>
      <c r="U1064" s="19"/>
      <c r="V1064" s="19"/>
      <c r="W1064" s="19"/>
      <c r="X1064" s="19"/>
      <c r="Y1064" s="19"/>
      <c r="Z1064" s="19"/>
      <c r="AA1064" s="19"/>
      <c r="AB1064" s="19"/>
      <c r="AC1064" s="19"/>
      <c r="AD1064" s="19"/>
      <c r="AE1064" s="19"/>
      <c r="AF1064" s="19"/>
      <c r="AG1064" s="19"/>
      <c r="AH1064" s="19"/>
      <c r="AI1064" s="19"/>
      <c r="AJ1064" s="19"/>
      <c r="AK1064" s="19"/>
      <c r="AL1064" s="19"/>
      <c r="AM1064" s="19"/>
      <c r="AN1064" s="19"/>
      <c r="AO1064" s="19"/>
      <c r="AP1064" s="19"/>
      <c r="AQ1064" s="19"/>
      <c r="AR1064" s="19"/>
      <c r="AS1064" s="19"/>
      <c r="AT1064" s="19"/>
      <c r="AU1064" s="19"/>
      <c r="AV1064" s="19"/>
      <c r="AW1064" s="19"/>
      <c r="AX1064" s="19"/>
      <c r="GA1064" s="54"/>
    </row>
    <row r="1065" spans="1:183" s="18" customFormat="1">
      <c r="A1065" s="51"/>
      <c r="B1065" s="52"/>
      <c r="C1065" s="52"/>
      <c r="D1065" s="52"/>
      <c r="E1065" s="53"/>
      <c r="F1065" s="52"/>
      <c r="G1065" s="52"/>
      <c r="H1065" s="52"/>
      <c r="I1065" s="53"/>
      <c r="J1065" s="52"/>
      <c r="K1065" s="52"/>
      <c r="L1065" s="52"/>
      <c r="M1065" s="52"/>
      <c r="N1065" s="19"/>
      <c r="O1065" s="19"/>
      <c r="P1065" s="19"/>
      <c r="Q1065" s="19"/>
      <c r="R1065" s="19"/>
      <c r="S1065" s="19"/>
      <c r="T1065" s="19"/>
      <c r="U1065" s="19"/>
      <c r="V1065" s="19"/>
      <c r="W1065" s="19"/>
      <c r="X1065" s="19"/>
      <c r="Y1065" s="19"/>
      <c r="Z1065" s="19"/>
      <c r="AA1065" s="19"/>
      <c r="AB1065" s="19"/>
      <c r="AC1065" s="19"/>
      <c r="AD1065" s="19"/>
      <c r="AE1065" s="19"/>
      <c r="AF1065" s="19"/>
      <c r="AG1065" s="19"/>
      <c r="AH1065" s="19"/>
      <c r="AI1065" s="19"/>
      <c r="AJ1065" s="19"/>
      <c r="AK1065" s="19"/>
      <c r="AL1065" s="19"/>
      <c r="AM1065" s="19"/>
      <c r="AN1065" s="19"/>
      <c r="AO1065" s="19"/>
      <c r="AP1065" s="19"/>
      <c r="AQ1065" s="19"/>
      <c r="AR1065" s="19"/>
      <c r="AS1065" s="19"/>
      <c r="AT1065" s="19"/>
      <c r="AU1065" s="19"/>
      <c r="AV1065" s="19"/>
      <c r="AW1065" s="19"/>
      <c r="AX1065" s="19"/>
      <c r="GA1065" s="54"/>
    </row>
    <row r="1066" spans="1:183" s="18" customFormat="1">
      <c r="A1066" s="51"/>
      <c r="B1066" s="52"/>
      <c r="C1066" s="52"/>
      <c r="D1066" s="52"/>
      <c r="E1066" s="53"/>
      <c r="F1066" s="52"/>
      <c r="G1066" s="52"/>
      <c r="H1066" s="52"/>
      <c r="I1066" s="53"/>
      <c r="J1066" s="52"/>
      <c r="K1066" s="52"/>
      <c r="L1066" s="52"/>
      <c r="M1066" s="52"/>
      <c r="N1066" s="19"/>
      <c r="O1066" s="19"/>
      <c r="P1066" s="19"/>
      <c r="Q1066" s="19"/>
      <c r="R1066" s="19"/>
      <c r="S1066" s="19"/>
      <c r="T1066" s="19"/>
      <c r="U1066" s="19"/>
      <c r="V1066" s="19"/>
      <c r="W1066" s="19"/>
      <c r="X1066" s="19"/>
      <c r="Y1066" s="19"/>
      <c r="Z1066" s="19"/>
      <c r="AA1066" s="19"/>
      <c r="AB1066" s="19"/>
      <c r="AC1066" s="19"/>
      <c r="AD1066" s="19"/>
      <c r="AE1066" s="19"/>
      <c r="AF1066" s="19"/>
      <c r="AG1066" s="19"/>
      <c r="AH1066" s="19"/>
      <c r="AI1066" s="19"/>
      <c r="AJ1066" s="19"/>
      <c r="AK1066" s="19"/>
      <c r="AL1066" s="19"/>
      <c r="AM1066" s="19"/>
      <c r="AN1066" s="19"/>
      <c r="AO1066" s="19"/>
      <c r="AP1066" s="19"/>
      <c r="AQ1066" s="19"/>
      <c r="AR1066" s="19"/>
      <c r="AS1066" s="19"/>
      <c r="AT1066" s="19"/>
      <c r="AU1066" s="19"/>
      <c r="AV1066" s="19"/>
      <c r="AW1066" s="19"/>
      <c r="AX1066" s="19"/>
      <c r="GA1066" s="54"/>
    </row>
    <row r="1067" spans="1:183" s="18" customFormat="1">
      <c r="A1067" s="51"/>
      <c r="B1067" s="52"/>
      <c r="C1067" s="52"/>
      <c r="D1067" s="52"/>
      <c r="E1067" s="53"/>
      <c r="F1067" s="52"/>
      <c r="G1067" s="52"/>
      <c r="H1067" s="52"/>
      <c r="I1067" s="53"/>
      <c r="J1067" s="52"/>
      <c r="K1067" s="52"/>
      <c r="L1067" s="52"/>
      <c r="M1067" s="52"/>
      <c r="N1067" s="19"/>
      <c r="O1067" s="19"/>
      <c r="P1067" s="19"/>
      <c r="Q1067" s="19"/>
      <c r="R1067" s="19"/>
      <c r="S1067" s="19"/>
      <c r="T1067" s="19"/>
      <c r="U1067" s="19"/>
      <c r="V1067" s="19"/>
      <c r="W1067" s="19"/>
      <c r="X1067" s="19"/>
      <c r="Y1067" s="19"/>
      <c r="Z1067" s="19"/>
      <c r="AA1067" s="19"/>
      <c r="AB1067" s="19"/>
      <c r="AC1067" s="19"/>
      <c r="AD1067" s="19"/>
      <c r="AE1067" s="19"/>
      <c r="AF1067" s="19"/>
      <c r="AG1067" s="19"/>
      <c r="AH1067" s="19"/>
      <c r="AI1067" s="19"/>
      <c r="AJ1067" s="19"/>
      <c r="AK1067" s="19"/>
      <c r="AL1067" s="19"/>
      <c r="AM1067" s="19"/>
      <c r="AN1067" s="19"/>
      <c r="AO1067" s="19"/>
      <c r="AP1067" s="19"/>
      <c r="AQ1067" s="19"/>
      <c r="AR1067" s="19"/>
      <c r="AS1067" s="19"/>
      <c r="AT1067" s="19"/>
      <c r="AU1067" s="19"/>
      <c r="AV1067" s="19"/>
      <c r="AW1067" s="19"/>
      <c r="AX1067" s="19"/>
      <c r="GA1067" s="54"/>
    </row>
    <row r="1068" spans="1:183" s="18" customFormat="1">
      <c r="A1068" s="51"/>
      <c r="B1068" s="52"/>
      <c r="C1068" s="52"/>
      <c r="D1068" s="52"/>
      <c r="E1068" s="53"/>
      <c r="F1068" s="52"/>
      <c r="G1068" s="52"/>
      <c r="H1068" s="52"/>
      <c r="I1068" s="53"/>
      <c r="J1068" s="52"/>
      <c r="K1068" s="52"/>
      <c r="L1068" s="52"/>
      <c r="M1068" s="52"/>
      <c r="N1068" s="19"/>
      <c r="O1068" s="19"/>
      <c r="P1068" s="19"/>
      <c r="Q1068" s="19"/>
      <c r="R1068" s="19"/>
      <c r="S1068" s="19"/>
      <c r="T1068" s="19"/>
      <c r="U1068" s="19"/>
      <c r="V1068" s="19"/>
      <c r="W1068" s="19"/>
      <c r="X1068" s="19"/>
      <c r="Y1068" s="19"/>
      <c r="Z1068" s="19"/>
      <c r="AA1068" s="19"/>
      <c r="AB1068" s="19"/>
      <c r="AC1068" s="19"/>
      <c r="AD1068" s="19"/>
      <c r="AE1068" s="19"/>
      <c r="AF1068" s="19"/>
      <c r="AG1068" s="19"/>
      <c r="AH1068" s="19"/>
      <c r="AI1068" s="19"/>
      <c r="AJ1068" s="19"/>
      <c r="AK1068" s="19"/>
      <c r="AL1068" s="19"/>
      <c r="AM1068" s="19"/>
      <c r="AN1068" s="19"/>
      <c r="AO1068" s="19"/>
      <c r="AP1068" s="19"/>
      <c r="AQ1068" s="19"/>
      <c r="AR1068" s="19"/>
      <c r="AS1068" s="19"/>
      <c r="AT1068" s="19"/>
      <c r="AU1068" s="19"/>
      <c r="AV1068" s="19"/>
      <c r="AW1068" s="19"/>
      <c r="AX1068" s="19"/>
      <c r="GA1068" s="54"/>
    </row>
    <row r="1069" spans="1:183" s="18" customFormat="1">
      <c r="A1069" s="51"/>
      <c r="B1069" s="52"/>
      <c r="C1069" s="52"/>
      <c r="D1069" s="52"/>
      <c r="E1069" s="53"/>
      <c r="F1069" s="52"/>
      <c r="G1069" s="52"/>
      <c r="H1069" s="52"/>
      <c r="I1069" s="53"/>
      <c r="J1069" s="52"/>
      <c r="K1069" s="52"/>
      <c r="L1069" s="52"/>
      <c r="M1069" s="52"/>
      <c r="N1069" s="19"/>
      <c r="O1069" s="19"/>
      <c r="P1069" s="19"/>
      <c r="Q1069" s="19"/>
      <c r="R1069" s="19"/>
      <c r="S1069" s="19"/>
      <c r="T1069" s="19"/>
      <c r="U1069" s="19"/>
      <c r="V1069" s="19"/>
      <c r="W1069" s="19"/>
      <c r="X1069" s="19"/>
      <c r="Y1069" s="19"/>
      <c r="Z1069" s="19"/>
      <c r="AA1069" s="19"/>
      <c r="AB1069" s="19"/>
      <c r="AC1069" s="19"/>
      <c r="AD1069" s="19"/>
      <c r="AE1069" s="19"/>
      <c r="AF1069" s="19"/>
      <c r="AG1069" s="19"/>
      <c r="AH1069" s="19"/>
      <c r="AI1069" s="19"/>
      <c r="AJ1069" s="19"/>
      <c r="AK1069" s="19"/>
      <c r="AL1069" s="19"/>
      <c r="AM1069" s="19"/>
      <c r="AN1069" s="19"/>
      <c r="AO1069" s="19"/>
      <c r="AP1069" s="19"/>
      <c r="AQ1069" s="19"/>
      <c r="AR1069" s="19"/>
      <c r="AS1069" s="19"/>
      <c r="AT1069" s="19"/>
      <c r="AU1069" s="19"/>
      <c r="AV1069" s="19"/>
      <c r="AW1069" s="19"/>
      <c r="AX1069" s="19"/>
      <c r="GA1069" s="54"/>
    </row>
    <row r="1070" spans="1:183" s="18" customFormat="1">
      <c r="A1070" s="51"/>
      <c r="B1070" s="52"/>
      <c r="C1070" s="52"/>
      <c r="D1070" s="52"/>
      <c r="E1070" s="53"/>
      <c r="F1070" s="52"/>
      <c r="G1070" s="52"/>
      <c r="H1070" s="52"/>
      <c r="I1070" s="53"/>
      <c r="J1070" s="52"/>
      <c r="K1070" s="52"/>
      <c r="L1070" s="52"/>
      <c r="M1070" s="52"/>
      <c r="N1070" s="19"/>
      <c r="O1070" s="19"/>
      <c r="P1070" s="19"/>
      <c r="Q1070" s="19"/>
      <c r="R1070" s="19"/>
      <c r="S1070" s="19"/>
      <c r="T1070" s="19"/>
      <c r="U1070" s="19"/>
      <c r="V1070" s="19"/>
      <c r="W1070" s="19"/>
      <c r="X1070" s="19"/>
      <c r="Y1070" s="19"/>
      <c r="Z1070" s="19"/>
      <c r="AA1070" s="19"/>
      <c r="AB1070" s="19"/>
      <c r="AC1070" s="19"/>
      <c r="AD1070" s="19"/>
      <c r="AE1070" s="19"/>
      <c r="AF1070" s="19"/>
      <c r="AG1070" s="19"/>
      <c r="AH1070" s="19"/>
      <c r="AI1070" s="19"/>
      <c r="AJ1070" s="19"/>
      <c r="AK1070" s="19"/>
      <c r="AL1070" s="19"/>
      <c r="AM1070" s="19"/>
      <c r="AN1070" s="19"/>
      <c r="AO1070" s="19"/>
      <c r="AP1070" s="19"/>
      <c r="AQ1070" s="19"/>
      <c r="AR1070" s="19"/>
      <c r="AS1070" s="19"/>
      <c r="AT1070" s="19"/>
      <c r="AU1070" s="19"/>
      <c r="AV1070" s="19"/>
      <c r="AW1070" s="19"/>
      <c r="AX1070" s="19"/>
      <c r="GA1070" s="54"/>
    </row>
    <row r="1071" spans="1:183" s="18" customFormat="1">
      <c r="A1071" s="51"/>
      <c r="B1071" s="52"/>
      <c r="C1071" s="52"/>
      <c r="D1071" s="52"/>
      <c r="E1071" s="53"/>
      <c r="F1071" s="52"/>
      <c r="G1071" s="52"/>
      <c r="H1071" s="52"/>
      <c r="I1071" s="53"/>
      <c r="J1071" s="52"/>
      <c r="K1071" s="52"/>
      <c r="L1071" s="52"/>
      <c r="M1071" s="52"/>
      <c r="N1071" s="19"/>
      <c r="O1071" s="19"/>
      <c r="P1071" s="19"/>
      <c r="Q1071" s="19"/>
      <c r="R1071" s="19"/>
      <c r="S1071" s="19"/>
      <c r="T1071" s="19"/>
      <c r="U1071" s="19"/>
      <c r="V1071" s="19"/>
      <c r="W1071" s="19"/>
      <c r="X1071" s="19"/>
      <c r="Y1071" s="19"/>
      <c r="Z1071" s="19"/>
      <c r="AA1071" s="19"/>
      <c r="AB1071" s="19"/>
      <c r="AC1071" s="19"/>
      <c r="AD1071" s="19"/>
      <c r="AE1071" s="19"/>
      <c r="AF1071" s="19"/>
      <c r="AG1071" s="19"/>
      <c r="AH1071" s="19"/>
      <c r="AI1071" s="19"/>
      <c r="AJ1071" s="19"/>
      <c r="AK1071" s="19"/>
      <c r="AL1071" s="19"/>
      <c r="AM1071" s="19"/>
      <c r="AN1071" s="19"/>
      <c r="AO1071" s="19"/>
      <c r="AP1071" s="19"/>
      <c r="AQ1071" s="19"/>
      <c r="AR1071" s="19"/>
      <c r="AS1071" s="19"/>
      <c r="AT1071" s="19"/>
      <c r="AU1071" s="19"/>
      <c r="AV1071" s="19"/>
      <c r="AW1071" s="19"/>
      <c r="AX1071" s="19"/>
      <c r="GA1071" s="54"/>
    </row>
    <row r="1072" spans="1:183" s="18" customFormat="1">
      <c r="A1072" s="51"/>
      <c r="B1072" s="52"/>
      <c r="C1072" s="52"/>
      <c r="D1072" s="52"/>
      <c r="E1072" s="53"/>
      <c r="F1072" s="52"/>
      <c r="G1072" s="52"/>
      <c r="H1072" s="52"/>
      <c r="I1072" s="53"/>
      <c r="J1072" s="52"/>
      <c r="K1072" s="52"/>
      <c r="L1072" s="52"/>
      <c r="M1072" s="52"/>
      <c r="N1072" s="19"/>
      <c r="O1072" s="19"/>
      <c r="P1072" s="19"/>
      <c r="Q1072" s="19"/>
      <c r="R1072" s="19"/>
      <c r="S1072" s="19"/>
      <c r="T1072" s="19"/>
      <c r="U1072" s="19"/>
      <c r="V1072" s="19"/>
      <c r="W1072" s="19"/>
      <c r="X1072" s="19"/>
      <c r="Y1072" s="19"/>
      <c r="Z1072" s="19"/>
      <c r="AA1072" s="19"/>
      <c r="AB1072" s="19"/>
      <c r="AC1072" s="19"/>
      <c r="AD1072" s="19"/>
      <c r="AE1072" s="19"/>
      <c r="AF1072" s="19"/>
      <c r="AG1072" s="19"/>
      <c r="AH1072" s="19"/>
      <c r="AI1072" s="19"/>
      <c r="AJ1072" s="19"/>
      <c r="AK1072" s="19"/>
      <c r="AL1072" s="19"/>
      <c r="AM1072" s="19"/>
      <c r="AN1072" s="19"/>
      <c r="AO1072" s="19"/>
      <c r="AP1072" s="19"/>
      <c r="AQ1072" s="19"/>
      <c r="AR1072" s="19"/>
      <c r="AS1072" s="19"/>
      <c r="AT1072" s="19"/>
      <c r="AU1072" s="19"/>
      <c r="AV1072" s="19"/>
      <c r="AW1072" s="19"/>
      <c r="AX1072" s="19"/>
      <c r="GA1072" s="54"/>
    </row>
    <row r="1073" spans="1:183" s="18" customFormat="1">
      <c r="A1073" s="51"/>
      <c r="B1073" s="52"/>
      <c r="C1073" s="52"/>
      <c r="D1073" s="52"/>
      <c r="E1073" s="53"/>
      <c r="F1073" s="52"/>
      <c r="G1073" s="52"/>
      <c r="H1073" s="52"/>
      <c r="I1073" s="53"/>
      <c r="J1073" s="52"/>
      <c r="K1073" s="52"/>
      <c r="L1073" s="52"/>
      <c r="M1073" s="52"/>
      <c r="N1073" s="19"/>
      <c r="O1073" s="19"/>
      <c r="P1073" s="19"/>
      <c r="Q1073" s="19"/>
      <c r="R1073" s="19"/>
      <c r="S1073" s="19"/>
      <c r="T1073" s="19"/>
      <c r="U1073" s="19"/>
      <c r="V1073" s="19"/>
      <c r="W1073" s="19"/>
      <c r="X1073" s="19"/>
      <c r="Y1073" s="19"/>
      <c r="Z1073" s="19"/>
      <c r="AA1073" s="19"/>
      <c r="AB1073" s="19"/>
      <c r="AC1073" s="19"/>
      <c r="AD1073" s="19"/>
      <c r="AE1073" s="19"/>
      <c r="AF1073" s="19"/>
      <c r="AG1073" s="19"/>
      <c r="AH1073" s="19"/>
      <c r="AI1073" s="19"/>
      <c r="AJ1073" s="19"/>
      <c r="AK1073" s="19"/>
      <c r="AL1073" s="19"/>
      <c r="AM1073" s="19"/>
      <c r="AN1073" s="19"/>
      <c r="AO1073" s="19"/>
      <c r="AP1073" s="19"/>
      <c r="AQ1073" s="19"/>
      <c r="AR1073" s="19"/>
      <c r="AS1073" s="19"/>
      <c r="AT1073" s="19"/>
      <c r="AU1073" s="19"/>
      <c r="AV1073" s="19"/>
      <c r="AW1073" s="19"/>
      <c r="AX1073" s="19"/>
      <c r="GA1073" s="54"/>
    </row>
    <row r="1074" spans="1:183" s="18" customFormat="1">
      <c r="A1074" s="51"/>
      <c r="B1074" s="52"/>
      <c r="C1074" s="52"/>
      <c r="D1074" s="52"/>
      <c r="E1074" s="53"/>
      <c r="F1074" s="52"/>
      <c r="G1074" s="52"/>
      <c r="H1074" s="52"/>
      <c r="I1074" s="53"/>
      <c r="J1074" s="52"/>
      <c r="K1074" s="52"/>
      <c r="L1074" s="52"/>
      <c r="M1074" s="52"/>
      <c r="N1074" s="19"/>
      <c r="O1074" s="19"/>
      <c r="P1074" s="19"/>
      <c r="Q1074" s="19"/>
      <c r="R1074" s="19"/>
      <c r="S1074" s="19"/>
      <c r="T1074" s="19"/>
      <c r="U1074" s="19"/>
      <c r="V1074" s="19"/>
      <c r="W1074" s="19"/>
      <c r="X1074" s="19"/>
      <c r="Y1074" s="19"/>
      <c r="Z1074" s="19"/>
      <c r="AA1074" s="19"/>
      <c r="AB1074" s="19"/>
      <c r="AC1074" s="19"/>
      <c r="AD1074" s="19"/>
      <c r="AE1074" s="19"/>
      <c r="AF1074" s="19"/>
      <c r="AG1074" s="19"/>
      <c r="AH1074" s="19"/>
      <c r="AI1074" s="19"/>
      <c r="AJ1074" s="19"/>
      <c r="AK1074" s="19"/>
      <c r="AL1074" s="19"/>
      <c r="AM1074" s="19"/>
      <c r="AN1074" s="19"/>
      <c r="AO1074" s="19"/>
      <c r="AP1074" s="19"/>
      <c r="AQ1074" s="19"/>
      <c r="AR1074" s="19"/>
      <c r="AS1074" s="19"/>
      <c r="AT1074" s="19"/>
      <c r="AU1074" s="19"/>
      <c r="AV1074" s="19"/>
      <c r="AW1074" s="19"/>
      <c r="AX1074" s="19"/>
      <c r="GA1074" s="54"/>
    </row>
    <row r="1075" spans="1:183" s="18" customFormat="1">
      <c r="A1075" s="51"/>
      <c r="B1075" s="52"/>
      <c r="C1075" s="52"/>
      <c r="D1075" s="52"/>
      <c r="E1075" s="53"/>
      <c r="F1075" s="52"/>
      <c r="G1075" s="52"/>
      <c r="H1075" s="52"/>
      <c r="I1075" s="53"/>
      <c r="J1075" s="52"/>
      <c r="K1075" s="52"/>
      <c r="L1075" s="52"/>
      <c r="M1075" s="52"/>
      <c r="N1075" s="19"/>
      <c r="O1075" s="19"/>
      <c r="P1075" s="19"/>
      <c r="Q1075" s="19"/>
      <c r="R1075" s="19"/>
      <c r="S1075" s="19"/>
      <c r="T1075" s="19"/>
      <c r="U1075" s="19"/>
      <c r="V1075" s="19"/>
      <c r="W1075" s="19"/>
      <c r="X1075" s="19"/>
      <c r="Y1075" s="19"/>
      <c r="Z1075" s="19"/>
      <c r="AA1075" s="19"/>
      <c r="AB1075" s="19"/>
      <c r="AC1075" s="19"/>
      <c r="AD1075" s="19"/>
      <c r="AE1075" s="19"/>
      <c r="AF1075" s="19"/>
      <c r="AG1075" s="19"/>
      <c r="AH1075" s="19"/>
      <c r="AI1075" s="19"/>
      <c r="AJ1075" s="19"/>
      <c r="AK1075" s="19"/>
      <c r="AL1075" s="19"/>
      <c r="AM1075" s="19"/>
      <c r="AN1075" s="19"/>
      <c r="AO1075" s="19"/>
      <c r="AP1075" s="19"/>
      <c r="AQ1075" s="19"/>
      <c r="AR1075" s="19"/>
      <c r="AS1075" s="19"/>
      <c r="AT1075" s="19"/>
      <c r="AU1075" s="19"/>
      <c r="AV1075" s="19"/>
      <c r="AW1075" s="19"/>
      <c r="AX1075" s="19"/>
      <c r="GA1075" s="54"/>
    </row>
    <row r="1076" spans="1:183" s="18" customFormat="1">
      <c r="A1076" s="51"/>
      <c r="B1076" s="52"/>
      <c r="C1076" s="52"/>
      <c r="D1076" s="52"/>
      <c r="E1076" s="53"/>
      <c r="F1076" s="52"/>
      <c r="G1076" s="52"/>
      <c r="H1076" s="52"/>
      <c r="I1076" s="53"/>
      <c r="J1076" s="52"/>
      <c r="K1076" s="52"/>
      <c r="L1076" s="52"/>
      <c r="M1076" s="52"/>
      <c r="N1076" s="19"/>
      <c r="O1076" s="19"/>
      <c r="P1076" s="19"/>
      <c r="Q1076" s="19"/>
      <c r="R1076" s="19"/>
      <c r="S1076" s="19"/>
      <c r="T1076" s="19"/>
      <c r="U1076" s="19"/>
      <c r="V1076" s="19"/>
      <c r="W1076" s="19"/>
      <c r="X1076" s="19"/>
      <c r="Y1076" s="19"/>
      <c r="Z1076" s="19"/>
      <c r="AA1076" s="19"/>
      <c r="AB1076" s="19"/>
      <c r="AC1076" s="19"/>
      <c r="AD1076" s="19"/>
      <c r="AE1076" s="19"/>
      <c r="AF1076" s="19"/>
      <c r="AG1076" s="19"/>
      <c r="AH1076" s="19"/>
      <c r="AI1076" s="19"/>
      <c r="AJ1076" s="19"/>
      <c r="AK1076" s="19"/>
      <c r="AL1076" s="19"/>
      <c r="AM1076" s="19"/>
      <c r="AN1076" s="19"/>
      <c r="AO1076" s="19"/>
      <c r="AP1076" s="19"/>
      <c r="AQ1076" s="19"/>
      <c r="AR1076" s="19"/>
      <c r="AS1076" s="19"/>
      <c r="AT1076" s="19"/>
      <c r="AU1076" s="19"/>
      <c r="AV1076" s="19"/>
      <c r="AW1076" s="19"/>
      <c r="AX1076" s="19"/>
      <c r="GA1076" s="54"/>
    </row>
    <row r="1077" spans="1:183" s="18" customFormat="1">
      <c r="A1077" s="51"/>
      <c r="B1077" s="52"/>
      <c r="C1077" s="52"/>
      <c r="D1077" s="52"/>
      <c r="E1077" s="53"/>
      <c r="F1077" s="52"/>
      <c r="G1077" s="52"/>
      <c r="H1077" s="52"/>
      <c r="I1077" s="53"/>
      <c r="J1077" s="52"/>
      <c r="K1077" s="52"/>
      <c r="L1077" s="52"/>
      <c r="M1077" s="52"/>
      <c r="N1077" s="19"/>
      <c r="O1077" s="19"/>
      <c r="P1077" s="19"/>
      <c r="Q1077" s="19"/>
      <c r="R1077" s="19"/>
      <c r="S1077" s="19"/>
      <c r="T1077" s="19"/>
      <c r="U1077" s="19"/>
      <c r="V1077" s="19"/>
      <c r="W1077" s="19"/>
      <c r="X1077" s="19"/>
      <c r="Y1077" s="19"/>
      <c r="Z1077" s="19"/>
      <c r="AA1077" s="19"/>
      <c r="AB1077" s="19"/>
      <c r="AC1077" s="19"/>
      <c r="AD1077" s="19"/>
      <c r="AE1077" s="19"/>
      <c r="AF1077" s="19"/>
      <c r="AG1077" s="19"/>
      <c r="AH1077" s="19"/>
      <c r="AI1077" s="19"/>
      <c r="AJ1077" s="19"/>
      <c r="AK1077" s="19"/>
      <c r="AL1077" s="19"/>
      <c r="AM1077" s="19"/>
      <c r="AN1077" s="19"/>
      <c r="AO1077" s="19"/>
      <c r="AP1077" s="19"/>
      <c r="AQ1077" s="19"/>
      <c r="AR1077" s="19"/>
      <c r="AS1077" s="19"/>
      <c r="AT1077" s="19"/>
      <c r="AU1077" s="19"/>
      <c r="AV1077" s="19"/>
      <c r="AW1077" s="19"/>
      <c r="AX1077" s="19"/>
      <c r="GA1077" s="54"/>
    </row>
    <row r="1078" spans="1:183" s="18" customFormat="1">
      <c r="A1078" s="51"/>
      <c r="B1078" s="52"/>
      <c r="C1078" s="52"/>
      <c r="D1078" s="52"/>
      <c r="E1078" s="53"/>
      <c r="F1078" s="52"/>
      <c r="G1078" s="52"/>
      <c r="H1078" s="52"/>
      <c r="I1078" s="53"/>
      <c r="J1078" s="52"/>
      <c r="K1078" s="52"/>
      <c r="L1078" s="52"/>
      <c r="M1078" s="52"/>
      <c r="N1078" s="19"/>
      <c r="O1078" s="19"/>
      <c r="P1078" s="19"/>
      <c r="Q1078" s="19"/>
      <c r="R1078" s="19"/>
      <c r="S1078" s="19"/>
      <c r="T1078" s="19"/>
      <c r="U1078" s="19"/>
      <c r="V1078" s="19"/>
      <c r="W1078" s="19"/>
      <c r="X1078" s="19"/>
      <c r="Y1078" s="19"/>
      <c r="Z1078" s="19"/>
      <c r="AA1078" s="19"/>
      <c r="AB1078" s="19"/>
      <c r="AC1078" s="19"/>
      <c r="AD1078" s="19"/>
      <c r="AE1078" s="19"/>
      <c r="AF1078" s="19"/>
      <c r="AG1078" s="19"/>
      <c r="AH1078" s="19"/>
      <c r="AI1078" s="19"/>
      <c r="AJ1078" s="19"/>
      <c r="AK1078" s="19"/>
      <c r="AL1078" s="19"/>
      <c r="AM1078" s="19"/>
      <c r="AN1078" s="19"/>
      <c r="AO1078" s="19"/>
      <c r="AP1078" s="19"/>
      <c r="AQ1078" s="19"/>
      <c r="AR1078" s="19"/>
      <c r="AS1078" s="19"/>
      <c r="AT1078" s="19"/>
      <c r="AU1078" s="19"/>
      <c r="AV1078" s="19"/>
      <c r="AW1078" s="19"/>
      <c r="AX1078" s="19"/>
      <c r="GA1078" s="54"/>
    </row>
    <row r="1079" spans="1:183" s="18" customFormat="1">
      <c r="A1079" s="51"/>
      <c r="B1079" s="52"/>
      <c r="C1079" s="52"/>
      <c r="D1079" s="52"/>
      <c r="E1079" s="53"/>
      <c r="F1079" s="52"/>
      <c r="G1079" s="52"/>
      <c r="H1079" s="52"/>
      <c r="I1079" s="53"/>
      <c r="J1079" s="52"/>
      <c r="K1079" s="52"/>
      <c r="L1079" s="52"/>
      <c r="M1079" s="52"/>
      <c r="N1079" s="19"/>
      <c r="O1079" s="19"/>
      <c r="P1079" s="19"/>
      <c r="Q1079" s="19"/>
      <c r="R1079" s="19"/>
      <c r="S1079" s="19"/>
      <c r="T1079" s="19"/>
      <c r="U1079" s="19"/>
      <c r="V1079" s="19"/>
      <c r="W1079" s="19"/>
      <c r="X1079" s="19"/>
      <c r="Y1079" s="19"/>
      <c r="Z1079" s="19"/>
      <c r="AA1079" s="19"/>
      <c r="AB1079" s="19"/>
      <c r="AC1079" s="19"/>
      <c r="AD1079" s="19"/>
      <c r="AE1079" s="19"/>
      <c r="AF1079" s="19"/>
      <c r="AG1079" s="19"/>
      <c r="AH1079" s="19"/>
      <c r="AI1079" s="19"/>
      <c r="AJ1079" s="19"/>
      <c r="AK1079" s="19"/>
      <c r="AL1079" s="19"/>
      <c r="AM1079" s="19"/>
      <c r="AN1079" s="19"/>
      <c r="AO1079" s="19"/>
      <c r="AP1079" s="19"/>
      <c r="AQ1079" s="19"/>
      <c r="AR1079" s="19"/>
      <c r="AS1079" s="19"/>
      <c r="AT1079" s="19"/>
      <c r="AU1079" s="19"/>
      <c r="AV1079" s="19"/>
      <c r="AW1079" s="19"/>
      <c r="AX1079" s="19"/>
      <c r="GA1079" s="54"/>
    </row>
    <row r="1080" spans="1:183" s="18" customFormat="1">
      <c r="A1080" s="51"/>
      <c r="B1080" s="52"/>
      <c r="C1080" s="52"/>
      <c r="D1080" s="52"/>
      <c r="E1080" s="53"/>
      <c r="F1080" s="52"/>
      <c r="G1080" s="52"/>
      <c r="H1080" s="52"/>
      <c r="I1080" s="53"/>
      <c r="J1080" s="52"/>
      <c r="K1080" s="52"/>
      <c r="L1080" s="52"/>
      <c r="M1080" s="52"/>
      <c r="N1080" s="19"/>
      <c r="O1080" s="19"/>
      <c r="P1080" s="19"/>
      <c r="Q1080" s="19"/>
      <c r="R1080" s="19"/>
      <c r="S1080" s="19"/>
      <c r="T1080" s="19"/>
      <c r="U1080" s="19"/>
      <c r="V1080" s="19"/>
      <c r="W1080" s="19"/>
      <c r="X1080" s="19"/>
      <c r="Y1080" s="19"/>
      <c r="Z1080" s="19"/>
      <c r="AA1080" s="19"/>
      <c r="AB1080" s="19"/>
      <c r="AC1080" s="19"/>
      <c r="AD1080" s="19"/>
      <c r="AE1080" s="19"/>
      <c r="AF1080" s="19"/>
      <c r="AG1080" s="19"/>
      <c r="AH1080" s="19"/>
      <c r="AI1080" s="19"/>
      <c r="AJ1080" s="19"/>
      <c r="AK1080" s="19"/>
      <c r="AL1080" s="19"/>
      <c r="AM1080" s="19"/>
      <c r="AN1080" s="19"/>
      <c r="AO1080" s="19"/>
      <c r="AP1080" s="19"/>
      <c r="AQ1080" s="19"/>
      <c r="AR1080" s="19"/>
      <c r="AS1080" s="19"/>
      <c r="AT1080" s="19"/>
      <c r="AU1080" s="19"/>
      <c r="AV1080" s="19"/>
      <c r="AW1080" s="19"/>
      <c r="AX1080" s="19"/>
      <c r="GA1080" s="54"/>
    </row>
    <row r="1081" spans="1:183" s="18" customFormat="1">
      <c r="A1081" s="51"/>
      <c r="B1081" s="52"/>
      <c r="C1081" s="52"/>
      <c r="D1081" s="52"/>
      <c r="E1081" s="53"/>
      <c r="F1081" s="52"/>
      <c r="G1081" s="52"/>
      <c r="H1081" s="52"/>
      <c r="I1081" s="53"/>
      <c r="J1081" s="52"/>
      <c r="K1081" s="52"/>
      <c r="L1081" s="52"/>
      <c r="M1081" s="52"/>
      <c r="N1081" s="19"/>
      <c r="O1081" s="19"/>
      <c r="P1081" s="19"/>
      <c r="Q1081" s="19"/>
      <c r="R1081" s="19"/>
      <c r="S1081" s="19"/>
      <c r="T1081" s="19"/>
      <c r="U1081" s="19"/>
      <c r="V1081" s="19"/>
      <c r="W1081" s="19"/>
      <c r="X1081" s="19"/>
      <c r="Y1081" s="19"/>
      <c r="Z1081" s="19"/>
      <c r="AA1081" s="19"/>
      <c r="AB1081" s="19"/>
      <c r="AC1081" s="19"/>
      <c r="AD1081" s="19"/>
      <c r="AE1081" s="19"/>
      <c r="AF1081" s="19"/>
      <c r="AG1081" s="19"/>
      <c r="AH1081" s="19"/>
      <c r="AI1081" s="19"/>
      <c r="AJ1081" s="19"/>
      <c r="AK1081" s="19"/>
      <c r="AL1081" s="19"/>
      <c r="AM1081" s="19"/>
      <c r="AN1081" s="19"/>
      <c r="AO1081" s="19"/>
      <c r="AP1081" s="19"/>
      <c r="AQ1081" s="19"/>
      <c r="AR1081" s="19"/>
      <c r="AS1081" s="19"/>
      <c r="AT1081" s="19"/>
      <c r="AU1081" s="19"/>
      <c r="AV1081" s="19"/>
      <c r="AW1081" s="19"/>
      <c r="AX1081" s="19"/>
      <c r="GA1081" s="54"/>
    </row>
    <row r="1082" spans="1:183" s="18" customFormat="1">
      <c r="A1082" s="51"/>
      <c r="B1082" s="52"/>
      <c r="C1082" s="52"/>
      <c r="D1082" s="52"/>
      <c r="E1082" s="53"/>
      <c r="F1082" s="52"/>
      <c r="G1082" s="52"/>
      <c r="H1082" s="52"/>
      <c r="I1082" s="53"/>
      <c r="J1082" s="52"/>
      <c r="K1082" s="52"/>
      <c r="L1082" s="52"/>
      <c r="M1082" s="52"/>
      <c r="N1082" s="19"/>
      <c r="O1082" s="19"/>
      <c r="P1082" s="19"/>
      <c r="Q1082" s="19"/>
      <c r="R1082" s="19"/>
      <c r="S1082" s="19"/>
      <c r="T1082" s="19"/>
      <c r="U1082" s="19"/>
      <c r="V1082" s="19"/>
      <c r="W1082" s="19"/>
      <c r="X1082" s="19"/>
      <c r="Y1082" s="19"/>
      <c r="Z1082" s="19"/>
      <c r="AA1082" s="19"/>
      <c r="AB1082" s="19"/>
      <c r="AC1082" s="19"/>
      <c r="AD1082" s="19"/>
      <c r="AE1082" s="19"/>
      <c r="AF1082" s="19"/>
      <c r="AG1082" s="19"/>
      <c r="AH1082" s="19"/>
      <c r="AI1082" s="19"/>
      <c r="AJ1082" s="19"/>
      <c r="AK1082" s="19"/>
      <c r="AL1082" s="19"/>
      <c r="AM1082" s="19"/>
      <c r="AN1082" s="19"/>
      <c r="AO1082" s="19"/>
      <c r="AP1082" s="19"/>
      <c r="AQ1082" s="19"/>
      <c r="AR1082" s="19"/>
      <c r="AS1082" s="19"/>
      <c r="AT1082" s="19"/>
      <c r="AU1082" s="19"/>
      <c r="AV1082" s="19"/>
      <c r="AW1082" s="19"/>
      <c r="AX1082" s="19"/>
      <c r="GA1082" s="54"/>
    </row>
    <row r="1083" spans="1:183" s="18" customFormat="1">
      <c r="A1083" s="51"/>
      <c r="B1083" s="52"/>
      <c r="C1083" s="52"/>
      <c r="D1083" s="52"/>
      <c r="E1083" s="53"/>
      <c r="F1083" s="52"/>
      <c r="G1083" s="52"/>
      <c r="H1083" s="52"/>
      <c r="I1083" s="53"/>
      <c r="J1083" s="52"/>
      <c r="K1083" s="52"/>
      <c r="L1083" s="52"/>
      <c r="M1083" s="52"/>
      <c r="N1083" s="19"/>
      <c r="O1083" s="19"/>
      <c r="P1083" s="19"/>
      <c r="Q1083" s="19"/>
      <c r="R1083" s="19"/>
      <c r="S1083" s="19"/>
      <c r="T1083" s="19"/>
      <c r="U1083" s="19"/>
      <c r="V1083" s="19"/>
      <c r="W1083" s="19"/>
      <c r="X1083" s="19"/>
      <c r="Y1083" s="19"/>
      <c r="Z1083" s="19"/>
      <c r="AA1083" s="19"/>
      <c r="AB1083" s="19"/>
      <c r="AC1083" s="19"/>
      <c r="AD1083" s="19"/>
      <c r="AE1083" s="19"/>
      <c r="AF1083" s="19"/>
      <c r="AG1083" s="19"/>
      <c r="AH1083" s="19"/>
      <c r="AI1083" s="19"/>
      <c r="AJ1083" s="19"/>
      <c r="AK1083" s="19"/>
      <c r="AL1083" s="19"/>
      <c r="AM1083" s="19"/>
      <c r="AN1083" s="19"/>
      <c r="AO1083" s="19"/>
      <c r="AP1083" s="19"/>
      <c r="AQ1083" s="19"/>
      <c r="AR1083" s="19"/>
      <c r="AS1083" s="19"/>
      <c r="AT1083" s="19"/>
      <c r="AU1083" s="19"/>
      <c r="AV1083" s="19"/>
      <c r="AW1083" s="19"/>
      <c r="AX1083" s="19"/>
      <c r="GA1083" s="54"/>
    </row>
    <row r="1084" spans="1:183" s="18" customFormat="1">
      <c r="A1084" s="51"/>
      <c r="B1084" s="52"/>
      <c r="C1084" s="52"/>
      <c r="D1084" s="52"/>
      <c r="E1084" s="53"/>
      <c r="F1084" s="52"/>
      <c r="G1084" s="52"/>
      <c r="H1084" s="52"/>
      <c r="I1084" s="53"/>
      <c r="J1084" s="52"/>
      <c r="K1084" s="52"/>
      <c r="L1084" s="52"/>
      <c r="M1084" s="52"/>
      <c r="N1084" s="19"/>
      <c r="O1084" s="19"/>
      <c r="P1084" s="19"/>
      <c r="Q1084" s="19"/>
      <c r="R1084" s="19"/>
      <c r="S1084" s="19"/>
      <c r="T1084" s="19"/>
      <c r="U1084" s="19"/>
      <c r="V1084" s="19"/>
      <c r="W1084" s="19"/>
      <c r="X1084" s="19"/>
      <c r="Y1084" s="19"/>
      <c r="Z1084" s="19"/>
      <c r="AA1084" s="19"/>
      <c r="AB1084" s="19"/>
      <c r="AC1084" s="19"/>
      <c r="AD1084" s="19"/>
      <c r="AE1084" s="19"/>
      <c r="AF1084" s="19"/>
      <c r="AG1084" s="19"/>
      <c r="AH1084" s="19"/>
      <c r="AI1084" s="19"/>
      <c r="AJ1084" s="19"/>
      <c r="AK1084" s="19"/>
      <c r="AL1084" s="19"/>
      <c r="AM1084" s="19"/>
      <c r="AN1084" s="19"/>
      <c r="AO1084" s="19"/>
      <c r="AP1084" s="19"/>
      <c r="AQ1084" s="19"/>
      <c r="AR1084" s="19"/>
      <c r="AS1084" s="19"/>
      <c r="AT1084" s="19"/>
      <c r="AU1084" s="19"/>
      <c r="AV1084" s="19"/>
      <c r="AW1084" s="19"/>
      <c r="AX1084" s="19"/>
      <c r="GA1084" s="54"/>
    </row>
    <row r="1085" spans="1:183" s="18" customFormat="1">
      <c r="A1085" s="51"/>
      <c r="B1085" s="52"/>
      <c r="C1085" s="52"/>
      <c r="D1085" s="52"/>
      <c r="E1085" s="53"/>
      <c r="F1085" s="52"/>
      <c r="G1085" s="52"/>
      <c r="H1085" s="52"/>
      <c r="I1085" s="53"/>
      <c r="J1085" s="52"/>
      <c r="K1085" s="52"/>
      <c r="L1085" s="52"/>
      <c r="M1085" s="52"/>
      <c r="N1085" s="19"/>
      <c r="O1085" s="19"/>
      <c r="P1085" s="19"/>
      <c r="Q1085" s="19"/>
      <c r="R1085" s="19"/>
      <c r="S1085" s="19"/>
      <c r="T1085" s="19"/>
      <c r="U1085" s="19"/>
      <c r="V1085" s="19"/>
      <c r="W1085" s="19"/>
      <c r="X1085" s="19"/>
      <c r="Y1085" s="19"/>
      <c r="Z1085" s="19"/>
      <c r="AA1085" s="19"/>
      <c r="AB1085" s="19"/>
      <c r="AC1085" s="19"/>
      <c r="AD1085" s="19"/>
      <c r="AE1085" s="19"/>
      <c r="AF1085" s="19"/>
      <c r="AG1085" s="19"/>
      <c r="AH1085" s="19"/>
      <c r="AI1085" s="19"/>
      <c r="AJ1085" s="19"/>
      <c r="AK1085" s="19"/>
      <c r="AL1085" s="19"/>
      <c r="AM1085" s="19"/>
      <c r="AN1085" s="19"/>
      <c r="AO1085" s="19"/>
      <c r="AP1085" s="19"/>
      <c r="AQ1085" s="19"/>
      <c r="AR1085" s="19"/>
      <c r="AS1085" s="19"/>
      <c r="AT1085" s="19"/>
      <c r="AU1085" s="19"/>
      <c r="AV1085" s="19"/>
      <c r="AW1085" s="19"/>
      <c r="AX1085" s="19"/>
      <c r="GA1085" s="54"/>
    </row>
    <row r="1086" spans="1:183" s="18" customFormat="1">
      <c r="A1086" s="51"/>
      <c r="B1086" s="52"/>
      <c r="C1086" s="52"/>
      <c r="D1086" s="52"/>
      <c r="E1086" s="53"/>
      <c r="F1086" s="52"/>
      <c r="G1086" s="52"/>
      <c r="H1086" s="52"/>
      <c r="I1086" s="53"/>
      <c r="J1086" s="52"/>
      <c r="K1086" s="52"/>
      <c r="L1086" s="52"/>
      <c r="M1086" s="52"/>
      <c r="N1086" s="19"/>
      <c r="O1086" s="19"/>
      <c r="P1086" s="19"/>
      <c r="Q1086" s="19"/>
      <c r="R1086" s="19"/>
      <c r="S1086" s="19"/>
      <c r="T1086" s="19"/>
      <c r="U1086" s="19"/>
      <c r="V1086" s="19"/>
      <c r="W1086" s="19"/>
      <c r="X1086" s="19"/>
      <c r="Y1086" s="19"/>
      <c r="Z1086" s="19"/>
      <c r="AA1086" s="19"/>
      <c r="AB1086" s="19"/>
      <c r="AC1086" s="19"/>
      <c r="AD1086" s="19"/>
      <c r="AE1086" s="19"/>
      <c r="AF1086" s="19"/>
      <c r="AG1086" s="19"/>
      <c r="AH1086" s="19"/>
      <c r="AI1086" s="19"/>
      <c r="AJ1086" s="19"/>
      <c r="AK1086" s="19"/>
      <c r="AL1086" s="19"/>
      <c r="AM1086" s="19"/>
      <c r="AN1086" s="19"/>
      <c r="AO1086" s="19"/>
      <c r="AP1086" s="19"/>
      <c r="AQ1086" s="19"/>
      <c r="AR1086" s="19"/>
      <c r="AS1086" s="19"/>
      <c r="AT1086" s="19"/>
      <c r="AU1086" s="19"/>
      <c r="AV1086" s="19"/>
      <c r="AW1086" s="19"/>
      <c r="AX1086" s="19"/>
      <c r="GA1086" s="54"/>
    </row>
    <row r="1087" spans="1:183" s="18" customFormat="1">
      <c r="A1087" s="51"/>
      <c r="B1087" s="52"/>
      <c r="C1087" s="52"/>
      <c r="D1087" s="52"/>
      <c r="E1087" s="53"/>
      <c r="F1087" s="52"/>
      <c r="G1087" s="52"/>
      <c r="H1087" s="52"/>
      <c r="I1087" s="53"/>
      <c r="J1087" s="52"/>
      <c r="K1087" s="52"/>
      <c r="L1087" s="52"/>
      <c r="M1087" s="52"/>
      <c r="N1087" s="19"/>
      <c r="O1087" s="19"/>
      <c r="P1087" s="19"/>
      <c r="Q1087" s="19"/>
      <c r="R1087" s="19"/>
      <c r="S1087" s="19"/>
      <c r="T1087" s="19"/>
      <c r="U1087" s="19"/>
      <c r="V1087" s="19"/>
      <c r="W1087" s="19"/>
      <c r="X1087" s="19"/>
      <c r="Y1087" s="19"/>
      <c r="Z1087" s="19"/>
      <c r="AA1087" s="19"/>
      <c r="AB1087" s="19"/>
      <c r="AC1087" s="19"/>
      <c r="AD1087" s="19"/>
      <c r="AE1087" s="19"/>
      <c r="AF1087" s="19"/>
      <c r="AG1087" s="19"/>
      <c r="AH1087" s="19"/>
      <c r="AI1087" s="19"/>
      <c r="AJ1087" s="19"/>
      <c r="AK1087" s="19"/>
      <c r="AL1087" s="19"/>
      <c r="AM1087" s="19"/>
      <c r="AN1087" s="19"/>
      <c r="AO1087" s="19"/>
      <c r="AP1087" s="19"/>
      <c r="AQ1087" s="19"/>
      <c r="AR1087" s="19"/>
      <c r="AS1087" s="19"/>
      <c r="AT1087" s="19"/>
      <c r="AU1087" s="19"/>
      <c r="AV1087" s="19"/>
      <c r="AW1087" s="19"/>
      <c r="AX1087" s="19"/>
      <c r="GA1087" s="54"/>
    </row>
    <row r="1088" spans="1:183" s="18" customFormat="1">
      <c r="A1088" s="51"/>
      <c r="B1088" s="52"/>
      <c r="C1088" s="52"/>
      <c r="D1088" s="52"/>
      <c r="E1088" s="53"/>
      <c r="F1088" s="52"/>
      <c r="G1088" s="52"/>
      <c r="H1088" s="52"/>
      <c r="I1088" s="53"/>
      <c r="J1088" s="52"/>
      <c r="K1088" s="52"/>
      <c r="L1088" s="52"/>
      <c r="M1088" s="52"/>
      <c r="N1088" s="19"/>
      <c r="O1088" s="19"/>
      <c r="P1088" s="19"/>
      <c r="Q1088" s="19"/>
      <c r="R1088" s="19"/>
      <c r="S1088" s="19"/>
      <c r="T1088" s="19"/>
      <c r="U1088" s="19"/>
      <c r="V1088" s="19"/>
      <c r="W1088" s="19"/>
      <c r="X1088" s="19"/>
      <c r="Y1088" s="19"/>
      <c r="Z1088" s="19"/>
      <c r="AA1088" s="19"/>
      <c r="AB1088" s="19"/>
      <c r="AC1088" s="19"/>
      <c r="AD1088" s="19"/>
      <c r="AE1088" s="19"/>
      <c r="AF1088" s="19"/>
      <c r="AG1088" s="19"/>
      <c r="AH1088" s="19"/>
      <c r="AI1088" s="19"/>
      <c r="AJ1088" s="19"/>
      <c r="AK1088" s="19"/>
      <c r="AL1088" s="19"/>
      <c r="AM1088" s="19"/>
      <c r="AN1088" s="19"/>
      <c r="AO1088" s="19"/>
      <c r="AP1088" s="19"/>
      <c r="AQ1088" s="19"/>
      <c r="AR1088" s="19"/>
      <c r="AS1088" s="19"/>
      <c r="AT1088" s="19"/>
      <c r="AU1088" s="19"/>
      <c r="AV1088" s="19"/>
      <c r="AW1088" s="19"/>
      <c r="AX1088" s="19"/>
      <c r="GA1088" s="54"/>
    </row>
    <row r="1089" spans="1:183" s="18" customFormat="1">
      <c r="A1089" s="51"/>
      <c r="B1089" s="52"/>
      <c r="C1089" s="52"/>
      <c r="D1089" s="52"/>
      <c r="E1089" s="53"/>
      <c r="F1089" s="52"/>
      <c r="G1089" s="52"/>
      <c r="H1089" s="52"/>
      <c r="I1089" s="53"/>
      <c r="J1089" s="52"/>
      <c r="K1089" s="52"/>
      <c r="L1089" s="52"/>
      <c r="M1089" s="52"/>
      <c r="N1089" s="19"/>
      <c r="O1089" s="19"/>
      <c r="P1089" s="19"/>
      <c r="Q1089" s="19"/>
      <c r="R1089" s="19"/>
      <c r="S1089" s="19"/>
      <c r="T1089" s="19"/>
      <c r="U1089" s="19"/>
      <c r="V1089" s="19"/>
      <c r="W1089" s="19"/>
      <c r="X1089" s="19"/>
      <c r="Y1089" s="19"/>
      <c r="Z1089" s="19"/>
      <c r="AA1089" s="19"/>
      <c r="AB1089" s="19"/>
      <c r="AC1089" s="19"/>
      <c r="AD1089" s="19"/>
      <c r="AE1089" s="19"/>
      <c r="AF1089" s="19"/>
      <c r="AG1089" s="19"/>
      <c r="AH1089" s="19"/>
      <c r="AI1089" s="19"/>
      <c r="AJ1089" s="19"/>
      <c r="AK1089" s="19"/>
      <c r="AL1089" s="19"/>
      <c r="AM1089" s="19"/>
      <c r="AN1089" s="19"/>
      <c r="AO1089" s="19"/>
      <c r="AP1089" s="19"/>
      <c r="AQ1089" s="19"/>
      <c r="AR1089" s="19"/>
      <c r="AS1089" s="19"/>
      <c r="AT1089" s="19"/>
      <c r="AU1089" s="19"/>
      <c r="AV1089" s="19"/>
      <c r="AW1089" s="19"/>
      <c r="AX1089" s="19"/>
      <c r="GA1089" s="54"/>
    </row>
    <row r="1090" spans="1:183" s="18" customFormat="1">
      <c r="A1090" s="51"/>
      <c r="B1090" s="52"/>
      <c r="C1090" s="52"/>
      <c r="D1090" s="52"/>
      <c r="E1090" s="53"/>
      <c r="F1090" s="52"/>
      <c r="G1090" s="52"/>
      <c r="H1090" s="52"/>
      <c r="I1090" s="53"/>
      <c r="J1090" s="52"/>
      <c r="K1090" s="52"/>
      <c r="L1090" s="52"/>
      <c r="M1090" s="52"/>
      <c r="N1090" s="19"/>
      <c r="O1090" s="19"/>
      <c r="P1090" s="19"/>
      <c r="Q1090" s="19"/>
      <c r="R1090" s="19"/>
      <c r="S1090" s="19"/>
      <c r="T1090" s="19"/>
      <c r="U1090" s="19"/>
      <c r="V1090" s="19"/>
      <c r="W1090" s="19"/>
      <c r="X1090" s="19"/>
      <c r="Y1090" s="19"/>
      <c r="Z1090" s="19"/>
      <c r="AA1090" s="19"/>
      <c r="AB1090" s="19"/>
      <c r="AC1090" s="19"/>
      <c r="AD1090" s="19"/>
      <c r="AE1090" s="19"/>
      <c r="AF1090" s="19"/>
      <c r="AG1090" s="19"/>
      <c r="AH1090" s="19"/>
      <c r="AI1090" s="19"/>
      <c r="AJ1090" s="19"/>
      <c r="AK1090" s="19"/>
      <c r="AL1090" s="19"/>
      <c r="AM1090" s="19"/>
      <c r="AN1090" s="19"/>
      <c r="AO1090" s="19"/>
      <c r="AP1090" s="19"/>
      <c r="AQ1090" s="19"/>
      <c r="AR1090" s="19"/>
      <c r="AS1090" s="19"/>
      <c r="AT1090" s="19"/>
      <c r="AU1090" s="19"/>
      <c r="AV1090" s="19"/>
      <c r="AW1090" s="19"/>
      <c r="AX1090" s="19"/>
      <c r="GA1090" s="54"/>
    </row>
    <row r="1091" spans="1:183" s="18" customFormat="1">
      <c r="A1091" s="51"/>
      <c r="B1091" s="52"/>
      <c r="C1091" s="52"/>
      <c r="D1091" s="52"/>
      <c r="E1091" s="53"/>
      <c r="F1091" s="52"/>
      <c r="G1091" s="52"/>
      <c r="H1091" s="52"/>
      <c r="I1091" s="53"/>
      <c r="J1091" s="52"/>
      <c r="K1091" s="52"/>
      <c r="L1091" s="52"/>
      <c r="M1091" s="52"/>
      <c r="N1091" s="19"/>
      <c r="O1091" s="19"/>
      <c r="P1091" s="19"/>
      <c r="Q1091" s="19"/>
      <c r="R1091" s="19"/>
      <c r="S1091" s="19"/>
      <c r="T1091" s="19"/>
      <c r="U1091" s="19"/>
      <c r="V1091" s="19"/>
      <c r="W1091" s="19"/>
      <c r="X1091" s="19"/>
      <c r="Y1091" s="19"/>
      <c r="Z1091" s="19"/>
      <c r="AA1091" s="19"/>
      <c r="AB1091" s="19"/>
      <c r="AC1091" s="19"/>
      <c r="AD1091" s="19"/>
      <c r="AE1091" s="19"/>
      <c r="AF1091" s="19"/>
      <c r="AG1091" s="19"/>
      <c r="AH1091" s="19"/>
      <c r="AI1091" s="19"/>
      <c r="AJ1091" s="19"/>
      <c r="AK1091" s="19"/>
      <c r="AL1091" s="19"/>
      <c r="AM1091" s="19"/>
      <c r="AN1091" s="19"/>
      <c r="AO1091" s="19"/>
      <c r="AP1091" s="19"/>
      <c r="AQ1091" s="19"/>
      <c r="AR1091" s="19"/>
      <c r="AS1091" s="19"/>
      <c r="AT1091" s="19"/>
      <c r="AU1091" s="19"/>
      <c r="AV1091" s="19"/>
      <c r="AW1091" s="19"/>
      <c r="AX1091" s="19"/>
      <c r="GA1091" s="54"/>
    </row>
    <row r="1092" spans="1:183" s="18" customFormat="1">
      <c r="A1092" s="51"/>
      <c r="B1092" s="52"/>
      <c r="C1092" s="52"/>
      <c r="D1092" s="52"/>
      <c r="E1092" s="53"/>
      <c r="F1092" s="52"/>
      <c r="G1092" s="52"/>
      <c r="H1092" s="52"/>
      <c r="I1092" s="53"/>
      <c r="J1092" s="52"/>
      <c r="K1092" s="52"/>
      <c r="L1092" s="52"/>
      <c r="M1092" s="52"/>
      <c r="N1092" s="19"/>
      <c r="O1092" s="19"/>
      <c r="P1092" s="19"/>
      <c r="Q1092" s="19"/>
      <c r="R1092" s="19"/>
      <c r="S1092" s="19"/>
      <c r="T1092" s="19"/>
      <c r="U1092" s="19"/>
      <c r="V1092" s="19"/>
      <c r="W1092" s="19"/>
      <c r="X1092" s="19"/>
      <c r="Y1092" s="19"/>
      <c r="Z1092" s="19"/>
      <c r="AA1092" s="19"/>
      <c r="AB1092" s="19"/>
      <c r="AC1092" s="19"/>
      <c r="AD1092" s="19"/>
      <c r="AE1092" s="19"/>
      <c r="AF1092" s="19"/>
      <c r="AG1092" s="19"/>
      <c r="AH1092" s="19"/>
      <c r="AI1092" s="19"/>
      <c r="AJ1092" s="19"/>
      <c r="AK1092" s="19"/>
      <c r="AL1092" s="19"/>
      <c r="AM1092" s="19"/>
      <c r="AN1092" s="19"/>
      <c r="AO1092" s="19"/>
      <c r="AP1092" s="19"/>
      <c r="AQ1092" s="19"/>
      <c r="AR1092" s="19"/>
      <c r="AS1092" s="19"/>
      <c r="AT1092" s="19"/>
      <c r="AU1092" s="19"/>
      <c r="AV1092" s="19"/>
      <c r="AW1092" s="19"/>
      <c r="AX1092" s="19"/>
      <c r="GA1092" s="54"/>
    </row>
    <row r="1093" spans="1:183" s="18" customFormat="1">
      <c r="A1093" s="51"/>
      <c r="B1093" s="52"/>
      <c r="C1093" s="52"/>
      <c r="D1093" s="52"/>
      <c r="E1093" s="53"/>
      <c r="F1093" s="52"/>
      <c r="G1093" s="52"/>
      <c r="H1093" s="52"/>
      <c r="I1093" s="53"/>
      <c r="J1093" s="52"/>
      <c r="K1093" s="52"/>
      <c r="L1093" s="52"/>
      <c r="M1093" s="52"/>
      <c r="N1093" s="19"/>
      <c r="O1093" s="19"/>
      <c r="P1093" s="19"/>
      <c r="Q1093" s="19"/>
      <c r="R1093" s="19"/>
      <c r="S1093" s="19"/>
      <c r="T1093" s="19"/>
      <c r="U1093" s="19"/>
      <c r="V1093" s="19"/>
      <c r="W1093" s="19"/>
      <c r="X1093" s="19"/>
      <c r="Y1093" s="19"/>
      <c r="Z1093" s="19"/>
      <c r="AA1093" s="19"/>
      <c r="AB1093" s="19"/>
      <c r="AC1093" s="19"/>
      <c r="AD1093" s="19"/>
      <c r="AE1093" s="19"/>
      <c r="AF1093" s="19"/>
      <c r="AG1093" s="19"/>
      <c r="AH1093" s="19"/>
      <c r="AI1093" s="19"/>
      <c r="AJ1093" s="19"/>
      <c r="AK1093" s="19"/>
      <c r="AL1093" s="19"/>
      <c r="AM1093" s="19"/>
      <c r="AN1093" s="19"/>
      <c r="AO1093" s="19"/>
      <c r="AP1093" s="19"/>
      <c r="AQ1093" s="19"/>
      <c r="AR1093" s="19"/>
      <c r="AS1093" s="19"/>
      <c r="AT1093" s="19"/>
      <c r="AU1093" s="19"/>
      <c r="AV1093" s="19"/>
      <c r="AW1093" s="19"/>
      <c r="AX1093" s="19"/>
      <c r="GA1093" s="54"/>
    </row>
    <row r="1094" spans="1:183" s="18" customFormat="1">
      <c r="A1094" s="51"/>
      <c r="B1094" s="52"/>
      <c r="C1094" s="52"/>
      <c r="D1094" s="52"/>
      <c r="E1094" s="53"/>
      <c r="F1094" s="52"/>
      <c r="G1094" s="52"/>
      <c r="H1094" s="52"/>
      <c r="I1094" s="53"/>
      <c r="J1094" s="52"/>
      <c r="K1094" s="52"/>
      <c r="L1094" s="52"/>
      <c r="M1094" s="52"/>
      <c r="N1094" s="19"/>
      <c r="O1094" s="19"/>
      <c r="P1094" s="19"/>
      <c r="Q1094" s="19"/>
      <c r="R1094" s="19"/>
      <c r="S1094" s="19"/>
      <c r="T1094" s="19"/>
      <c r="U1094" s="19"/>
      <c r="V1094" s="19"/>
      <c r="W1094" s="19"/>
      <c r="X1094" s="19"/>
      <c r="Y1094" s="19"/>
      <c r="Z1094" s="19"/>
      <c r="AA1094" s="19"/>
      <c r="AB1094" s="19"/>
      <c r="AC1094" s="19"/>
      <c r="AD1094" s="19"/>
      <c r="AE1094" s="19"/>
      <c r="AF1094" s="19"/>
      <c r="AG1094" s="19"/>
      <c r="AH1094" s="19"/>
      <c r="AI1094" s="19"/>
      <c r="AJ1094" s="19"/>
      <c r="AK1094" s="19"/>
      <c r="AL1094" s="19"/>
      <c r="AM1094" s="19"/>
      <c r="AN1094" s="19"/>
      <c r="AO1094" s="19"/>
      <c r="AP1094" s="19"/>
      <c r="AQ1094" s="19"/>
      <c r="AR1094" s="19"/>
      <c r="AS1094" s="19"/>
      <c r="AT1094" s="19"/>
      <c r="AU1094" s="19"/>
      <c r="AV1094" s="19"/>
      <c r="AW1094" s="19"/>
      <c r="AX1094" s="19"/>
      <c r="GA1094" s="54"/>
    </row>
    <row r="1095" spans="1:183" s="18" customFormat="1">
      <c r="A1095" s="51"/>
      <c r="B1095" s="52"/>
      <c r="C1095" s="52"/>
      <c r="D1095" s="52"/>
      <c r="E1095" s="53"/>
      <c r="F1095" s="52"/>
      <c r="G1095" s="52"/>
      <c r="H1095" s="52"/>
      <c r="I1095" s="53"/>
      <c r="J1095" s="52"/>
      <c r="K1095" s="52"/>
      <c r="L1095" s="52"/>
      <c r="M1095" s="52"/>
      <c r="N1095" s="19"/>
      <c r="O1095" s="19"/>
      <c r="P1095" s="19"/>
      <c r="Q1095" s="19"/>
      <c r="R1095" s="19"/>
      <c r="S1095" s="19"/>
      <c r="T1095" s="19"/>
      <c r="U1095" s="19"/>
      <c r="V1095" s="19"/>
      <c r="W1095" s="19"/>
      <c r="X1095" s="19"/>
      <c r="Y1095" s="19"/>
      <c r="Z1095" s="19"/>
      <c r="AA1095" s="19"/>
      <c r="AB1095" s="19"/>
      <c r="AC1095" s="19"/>
      <c r="AD1095" s="19"/>
      <c r="AE1095" s="19"/>
      <c r="AF1095" s="19"/>
      <c r="AG1095" s="19"/>
      <c r="AH1095" s="19"/>
      <c r="AI1095" s="19"/>
      <c r="AJ1095" s="19"/>
      <c r="AK1095" s="19"/>
      <c r="AL1095" s="19"/>
      <c r="AM1095" s="19"/>
      <c r="AN1095" s="19"/>
      <c r="AO1095" s="19"/>
      <c r="AP1095" s="19"/>
      <c r="AQ1095" s="19"/>
      <c r="AR1095" s="19"/>
      <c r="AS1095" s="19"/>
      <c r="AT1095" s="19"/>
      <c r="AU1095" s="19"/>
      <c r="AV1095" s="19"/>
      <c r="AW1095" s="19"/>
      <c r="AX1095" s="19"/>
      <c r="GA1095" s="54"/>
    </row>
    <row r="1096" spans="1:183" s="18" customFormat="1">
      <c r="A1096" s="51"/>
      <c r="B1096" s="52"/>
      <c r="C1096" s="52"/>
      <c r="D1096" s="52"/>
      <c r="E1096" s="53"/>
      <c r="F1096" s="52"/>
      <c r="G1096" s="52"/>
      <c r="H1096" s="52"/>
      <c r="I1096" s="53"/>
      <c r="J1096" s="52"/>
      <c r="K1096" s="52"/>
      <c r="L1096" s="52"/>
      <c r="M1096" s="52"/>
      <c r="N1096" s="19"/>
      <c r="O1096" s="19"/>
      <c r="P1096" s="19"/>
      <c r="Q1096" s="19"/>
      <c r="R1096" s="19"/>
      <c r="S1096" s="19"/>
      <c r="T1096" s="19"/>
      <c r="U1096" s="19"/>
      <c r="V1096" s="19"/>
      <c r="W1096" s="19"/>
      <c r="X1096" s="19"/>
      <c r="Y1096" s="19"/>
      <c r="Z1096" s="19"/>
      <c r="AA1096" s="19"/>
      <c r="AB1096" s="19"/>
      <c r="AC1096" s="19"/>
      <c r="AD1096" s="19"/>
      <c r="AE1096" s="19"/>
      <c r="AF1096" s="19"/>
      <c r="AG1096" s="19"/>
      <c r="AH1096" s="19"/>
      <c r="AI1096" s="19"/>
      <c r="AJ1096" s="19"/>
      <c r="AK1096" s="19"/>
      <c r="AL1096" s="19"/>
      <c r="AM1096" s="19"/>
      <c r="AN1096" s="19"/>
      <c r="AO1096" s="19"/>
      <c r="AP1096" s="19"/>
      <c r="AQ1096" s="19"/>
      <c r="AR1096" s="19"/>
      <c r="AS1096" s="19"/>
      <c r="AT1096" s="19"/>
      <c r="AU1096" s="19"/>
      <c r="AV1096" s="19"/>
      <c r="AW1096" s="19"/>
      <c r="AX1096" s="19"/>
      <c r="GA1096" s="54"/>
    </row>
    <row r="1097" spans="1:183" s="18" customFormat="1">
      <c r="A1097" s="51"/>
      <c r="B1097" s="52"/>
      <c r="C1097" s="52"/>
      <c r="D1097" s="52"/>
      <c r="E1097" s="53"/>
      <c r="F1097" s="52"/>
      <c r="G1097" s="52"/>
      <c r="H1097" s="52"/>
      <c r="I1097" s="53"/>
      <c r="J1097" s="52"/>
      <c r="K1097" s="52"/>
      <c r="L1097" s="52"/>
      <c r="M1097" s="52"/>
      <c r="N1097" s="19"/>
      <c r="O1097" s="19"/>
      <c r="P1097" s="19"/>
      <c r="Q1097" s="19"/>
      <c r="R1097" s="19"/>
      <c r="S1097" s="19"/>
      <c r="T1097" s="19"/>
      <c r="U1097" s="19"/>
      <c r="V1097" s="19"/>
      <c r="W1097" s="19"/>
      <c r="X1097" s="19"/>
      <c r="Y1097" s="19"/>
      <c r="Z1097" s="19"/>
      <c r="AA1097" s="19"/>
      <c r="AB1097" s="19"/>
      <c r="AC1097" s="19"/>
      <c r="AD1097" s="19"/>
      <c r="AE1097" s="19"/>
      <c r="AF1097" s="19"/>
      <c r="AG1097" s="19"/>
      <c r="AH1097" s="19"/>
      <c r="AI1097" s="19"/>
      <c r="AJ1097" s="19"/>
      <c r="AK1097" s="19"/>
      <c r="AL1097" s="19"/>
      <c r="AM1097" s="19"/>
      <c r="AN1097" s="19"/>
      <c r="AO1097" s="19"/>
      <c r="AP1097" s="19"/>
      <c r="AQ1097" s="19"/>
      <c r="AR1097" s="19"/>
      <c r="AS1097" s="19"/>
      <c r="AT1097" s="19"/>
      <c r="AU1097" s="19"/>
      <c r="AV1097" s="19"/>
      <c r="AW1097" s="19"/>
      <c r="AX1097" s="19"/>
      <c r="GA1097" s="54"/>
    </row>
    <row r="1098" spans="1:183" s="18" customFormat="1">
      <c r="A1098" s="51"/>
      <c r="B1098" s="52"/>
      <c r="C1098" s="52"/>
      <c r="D1098" s="52"/>
      <c r="E1098" s="53"/>
      <c r="F1098" s="52"/>
      <c r="G1098" s="52"/>
      <c r="H1098" s="52"/>
      <c r="I1098" s="53"/>
      <c r="J1098" s="52"/>
      <c r="K1098" s="52"/>
      <c r="L1098" s="52"/>
      <c r="M1098" s="52"/>
      <c r="N1098" s="19"/>
      <c r="O1098" s="19"/>
      <c r="P1098" s="19"/>
      <c r="Q1098" s="19"/>
      <c r="R1098" s="19"/>
      <c r="S1098" s="19"/>
      <c r="T1098" s="19"/>
      <c r="U1098" s="19"/>
      <c r="V1098" s="19"/>
      <c r="W1098" s="19"/>
      <c r="X1098" s="19"/>
      <c r="Y1098" s="19"/>
      <c r="Z1098" s="19"/>
      <c r="AA1098" s="19"/>
      <c r="AB1098" s="19"/>
      <c r="AC1098" s="19"/>
      <c r="AD1098" s="19"/>
      <c r="AE1098" s="19"/>
      <c r="AF1098" s="19"/>
      <c r="AG1098" s="19"/>
      <c r="AH1098" s="19"/>
      <c r="AI1098" s="19"/>
      <c r="AJ1098" s="19"/>
      <c r="AK1098" s="19"/>
      <c r="AL1098" s="19"/>
      <c r="AM1098" s="19"/>
      <c r="AN1098" s="19"/>
      <c r="AO1098" s="19"/>
      <c r="AP1098" s="19"/>
      <c r="AQ1098" s="19"/>
      <c r="AR1098" s="19"/>
      <c r="AS1098" s="19"/>
      <c r="AT1098" s="19"/>
      <c r="AU1098" s="19"/>
      <c r="AV1098" s="19"/>
      <c r="AW1098" s="19"/>
      <c r="AX1098" s="19"/>
      <c r="GA1098" s="54"/>
    </row>
    <row r="1099" spans="1:183" s="18" customFormat="1">
      <c r="A1099" s="51"/>
      <c r="B1099" s="52"/>
      <c r="C1099" s="52"/>
      <c r="D1099" s="52"/>
      <c r="E1099" s="53"/>
      <c r="F1099" s="52"/>
      <c r="G1099" s="52"/>
      <c r="H1099" s="52"/>
      <c r="I1099" s="53"/>
      <c r="J1099" s="52"/>
      <c r="K1099" s="52"/>
      <c r="L1099" s="52"/>
      <c r="M1099" s="52"/>
      <c r="N1099" s="19"/>
      <c r="O1099" s="19"/>
      <c r="P1099" s="19"/>
      <c r="Q1099" s="19"/>
      <c r="R1099" s="19"/>
      <c r="S1099" s="19"/>
      <c r="T1099" s="19"/>
      <c r="U1099" s="19"/>
      <c r="V1099" s="19"/>
      <c r="W1099" s="19"/>
      <c r="X1099" s="19"/>
      <c r="Y1099" s="19"/>
      <c r="Z1099" s="19"/>
      <c r="AA1099" s="19"/>
      <c r="AB1099" s="19"/>
      <c r="AC1099" s="19"/>
      <c r="AD1099" s="19"/>
      <c r="AE1099" s="19"/>
      <c r="AF1099" s="19"/>
      <c r="AG1099" s="19"/>
      <c r="AH1099" s="19"/>
      <c r="AI1099" s="19"/>
      <c r="AJ1099" s="19"/>
      <c r="AK1099" s="19"/>
      <c r="AL1099" s="19"/>
      <c r="AM1099" s="19"/>
      <c r="AN1099" s="19"/>
      <c r="AO1099" s="19"/>
      <c r="AP1099" s="19"/>
      <c r="AQ1099" s="19"/>
      <c r="AR1099" s="19"/>
      <c r="AS1099" s="19"/>
      <c r="AT1099" s="19"/>
      <c r="AU1099" s="19"/>
      <c r="AV1099" s="19"/>
      <c r="AW1099" s="19"/>
      <c r="AX1099" s="19"/>
      <c r="GA1099" s="54"/>
    </row>
    <row r="1100" spans="1:183" s="18" customFormat="1">
      <c r="A1100" s="51"/>
      <c r="B1100" s="52"/>
      <c r="C1100" s="52"/>
      <c r="D1100" s="52"/>
      <c r="E1100" s="53"/>
      <c r="F1100" s="52"/>
      <c r="G1100" s="52"/>
      <c r="H1100" s="52"/>
      <c r="I1100" s="53"/>
      <c r="J1100" s="52"/>
      <c r="K1100" s="52"/>
      <c r="L1100" s="52"/>
      <c r="M1100" s="52"/>
      <c r="N1100" s="19"/>
      <c r="O1100" s="19"/>
      <c r="P1100" s="19"/>
      <c r="Q1100" s="19"/>
      <c r="R1100" s="19"/>
      <c r="S1100" s="19"/>
      <c r="T1100" s="19"/>
      <c r="U1100" s="19"/>
      <c r="V1100" s="19"/>
      <c r="W1100" s="19"/>
      <c r="X1100" s="19"/>
      <c r="Y1100" s="19"/>
      <c r="Z1100" s="19"/>
      <c r="AA1100" s="19"/>
      <c r="AB1100" s="19"/>
      <c r="AC1100" s="19"/>
      <c r="AD1100" s="19"/>
      <c r="AE1100" s="19"/>
      <c r="AF1100" s="19"/>
      <c r="AG1100" s="19"/>
      <c r="AH1100" s="19"/>
      <c r="AI1100" s="19"/>
      <c r="AJ1100" s="19"/>
      <c r="AK1100" s="19"/>
      <c r="AL1100" s="19"/>
      <c r="AM1100" s="19"/>
      <c r="AN1100" s="19"/>
      <c r="AO1100" s="19"/>
      <c r="AP1100" s="19"/>
      <c r="AQ1100" s="19"/>
      <c r="AR1100" s="19"/>
      <c r="AS1100" s="19"/>
      <c r="AT1100" s="19"/>
      <c r="AU1100" s="19"/>
      <c r="AV1100" s="19"/>
      <c r="AW1100" s="19"/>
      <c r="AX1100" s="19"/>
      <c r="GA1100" s="54"/>
    </row>
    <row r="1101" spans="1:183" s="18" customFormat="1">
      <c r="A1101" s="51"/>
      <c r="B1101" s="52"/>
      <c r="C1101" s="52"/>
      <c r="D1101" s="52"/>
      <c r="E1101" s="53"/>
      <c r="F1101" s="52"/>
      <c r="G1101" s="52"/>
      <c r="H1101" s="52"/>
      <c r="I1101" s="53"/>
      <c r="J1101" s="52"/>
      <c r="K1101" s="52"/>
      <c r="L1101" s="52"/>
      <c r="M1101" s="52"/>
      <c r="N1101" s="19"/>
      <c r="O1101" s="19"/>
      <c r="P1101" s="19"/>
      <c r="Q1101" s="19"/>
      <c r="R1101" s="19"/>
      <c r="S1101" s="19"/>
      <c r="T1101" s="19"/>
      <c r="U1101" s="19"/>
      <c r="V1101" s="19"/>
      <c r="W1101" s="19"/>
      <c r="X1101" s="19"/>
      <c r="Y1101" s="19"/>
      <c r="Z1101" s="19"/>
      <c r="AA1101" s="19"/>
      <c r="AB1101" s="19"/>
      <c r="AC1101" s="19"/>
      <c r="AD1101" s="19"/>
      <c r="AE1101" s="19"/>
      <c r="AF1101" s="19"/>
      <c r="AG1101" s="19"/>
      <c r="AH1101" s="19"/>
      <c r="AI1101" s="19"/>
      <c r="AJ1101" s="19"/>
      <c r="AK1101" s="19"/>
      <c r="AL1101" s="19"/>
      <c r="AM1101" s="19"/>
      <c r="AN1101" s="19"/>
      <c r="AO1101" s="19"/>
      <c r="AP1101" s="19"/>
      <c r="AQ1101" s="19"/>
      <c r="AR1101" s="19"/>
      <c r="AS1101" s="19"/>
      <c r="AT1101" s="19"/>
      <c r="AU1101" s="19"/>
      <c r="AV1101" s="19"/>
      <c r="AW1101" s="19"/>
      <c r="AX1101" s="19"/>
      <c r="GA1101" s="54"/>
    </row>
    <row r="1102" spans="1:183" s="18" customFormat="1">
      <c r="A1102" s="51"/>
      <c r="B1102" s="52"/>
      <c r="C1102" s="52"/>
      <c r="D1102" s="52"/>
      <c r="E1102" s="53"/>
      <c r="F1102" s="52"/>
      <c r="G1102" s="52"/>
      <c r="H1102" s="52"/>
      <c r="I1102" s="53"/>
      <c r="J1102" s="52"/>
      <c r="K1102" s="52"/>
      <c r="L1102" s="52"/>
      <c r="M1102" s="52"/>
      <c r="N1102" s="19"/>
      <c r="O1102" s="19"/>
      <c r="P1102" s="19"/>
      <c r="Q1102" s="19"/>
      <c r="R1102" s="19"/>
      <c r="S1102" s="19"/>
      <c r="T1102" s="19"/>
      <c r="U1102" s="19"/>
      <c r="V1102" s="19"/>
      <c r="W1102" s="19"/>
      <c r="X1102" s="19"/>
      <c r="Y1102" s="19"/>
      <c r="Z1102" s="19"/>
      <c r="AA1102" s="19"/>
      <c r="AB1102" s="19"/>
      <c r="AC1102" s="19"/>
      <c r="AD1102" s="19"/>
      <c r="AE1102" s="19"/>
      <c r="AF1102" s="19"/>
      <c r="AG1102" s="19"/>
      <c r="AH1102" s="19"/>
      <c r="AI1102" s="19"/>
      <c r="AJ1102" s="19"/>
      <c r="AK1102" s="19"/>
      <c r="AL1102" s="19"/>
      <c r="AM1102" s="19"/>
      <c r="AN1102" s="19"/>
      <c r="AO1102" s="19"/>
      <c r="AP1102" s="19"/>
      <c r="AQ1102" s="19"/>
      <c r="AR1102" s="19"/>
      <c r="AS1102" s="19"/>
      <c r="AT1102" s="19"/>
      <c r="AU1102" s="19"/>
      <c r="AV1102" s="19"/>
      <c r="AW1102" s="19"/>
      <c r="AX1102" s="19"/>
      <c r="GA1102" s="54"/>
    </row>
    <row r="1103" spans="1:183" s="18" customFormat="1">
      <c r="A1103" s="51"/>
      <c r="B1103" s="52"/>
      <c r="C1103" s="52"/>
      <c r="D1103" s="52"/>
      <c r="E1103" s="53"/>
      <c r="F1103" s="52"/>
      <c r="G1103" s="52"/>
      <c r="H1103" s="52"/>
      <c r="I1103" s="53"/>
      <c r="J1103" s="52"/>
      <c r="K1103" s="52"/>
      <c r="L1103" s="52"/>
      <c r="M1103" s="52"/>
      <c r="N1103" s="19"/>
      <c r="O1103" s="19"/>
      <c r="P1103" s="19"/>
      <c r="Q1103" s="19"/>
      <c r="R1103" s="19"/>
      <c r="S1103" s="19"/>
      <c r="T1103" s="19"/>
      <c r="U1103" s="19"/>
      <c r="V1103" s="19"/>
      <c r="W1103" s="19"/>
      <c r="X1103" s="19"/>
      <c r="Y1103" s="19"/>
      <c r="Z1103" s="19"/>
      <c r="AA1103" s="19"/>
      <c r="AB1103" s="19"/>
      <c r="AC1103" s="19"/>
      <c r="AD1103" s="19"/>
      <c r="AE1103" s="19"/>
      <c r="AF1103" s="19"/>
      <c r="AG1103" s="19"/>
      <c r="AH1103" s="19"/>
      <c r="AI1103" s="19"/>
      <c r="AJ1103" s="19"/>
      <c r="AK1103" s="19"/>
      <c r="AL1103" s="19"/>
      <c r="AM1103" s="19"/>
      <c r="AN1103" s="19"/>
      <c r="AO1103" s="19"/>
      <c r="AP1103" s="19"/>
      <c r="AQ1103" s="19"/>
      <c r="AR1103" s="19"/>
      <c r="AS1103" s="19"/>
      <c r="AT1103" s="19"/>
      <c r="AU1103" s="19"/>
      <c r="AV1103" s="19"/>
      <c r="AW1103" s="19"/>
      <c r="AX1103" s="19"/>
      <c r="GA1103" s="54"/>
    </row>
    <row r="1104" spans="1:183" s="18" customFormat="1">
      <c r="A1104" s="51"/>
      <c r="B1104" s="52"/>
      <c r="C1104" s="52"/>
      <c r="D1104" s="52"/>
      <c r="E1104" s="53"/>
      <c r="F1104" s="52"/>
      <c r="G1104" s="52"/>
      <c r="H1104" s="52"/>
      <c r="I1104" s="53"/>
      <c r="J1104" s="52"/>
      <c r="K1104" s="52"/>
      <c r="L1104" s="52"/>
      <c r="M1104" s="52"/>
      <c r="N1104" s="19"/>
      <c r="O1104" s="19"/>
      <c r="P1104" s="19"/>
      <c r="Q1104" s="19"/>
      <c r="R1104" s="19"/>
      <c r="S1104" s="19"/>
      <c r="T1104" s="19"/>
      <c r="U1104" s="19"/>
      <c r="V1104" s="19"/>
      <c r="W1104" s="19"/>
      <c r="X1104" s="19"/>
      <c r="Y1104" s="19"/>
      <c r="Z1104" s="19"/>
      <c r="AA1104" s="19"/>
      <c r="AB1104" s="19"/>
      <c r="AC1104" s="19"/>
      <c r="AD1104" s="19"/>
      <c r="AE1104" s="19"/>
      <c r="AF1104" s="19"/>
      <c r="AG1104" s="19"/>
      <c r="AH1104" s="19"/>
      <c r="AI1104" s="19"/>
      <c r="AJ1104" s="19"/>
      <c r="AK1104" s="19"/>
      <c r="AL1104" s="19"/>
      <c r="AM1104" s="19"/>
      <c r="AN1104" s="19"/>
      <c r="AO1104" s="19"/>
      <c r="AP1104" s="19"/>
      <c r="AQ1104" s="19"/>
      <c r="AR1104" s="19"/>
      <c r="AS1104" s="19"/>
      <c r="AT1104" s="19"/>
      <c r="AU1104" s="19"/>
      <c r="AV1104" s="19"/>
      <c r="AW1104" s="19"/>
      <c r="AX1104" s="19"/>
      <c r="GA1104" s="54"/>
    </row>
    <row r="1105" spans="1:183" s="18" customFormat="1">
      <c r="A1105" s="51"/>
      <c r="B1105" s="52"/>
      <c r="C1105" s="52"/>
      <c r="D1105" s="52"/>
      <c r="E1105" s="53"/>
      <c r="F1105" s="52"/>
      <c r="G1105" s="52"/>
      <c r="H1105" s="52"/>
      <c r="I1105" s="53"/>
      <c r="J1105" s="52"/>
      <c r="K1105" s="52"/>
      <c r="L1105" s="52"/>
      <c r="M1105" s="52"/>
      <c r="N1105" s="19"/>
      <c r="O1105" s="19"/>
      <c r="P1105" s="19"/>
      <c r="Q1105" s="19"/>
      <c r="R1105" s="19"/>
      <c r="S1105" s="19"/>
      <c r="T1105" s="19"/>
      <c r="U1105" s="19"/>
      <c r="V1105" s="19"/>
      <c r="W1105" s="19"/>
      <c r="X1105" s="19"/>
      <c r="Y1105" s="19"/>
      <c r="Z1105" s="19"/>
      <c r="AA1105" s="19"/>
      <c r="AB1105" s="19"/>
      <c r="AC1105" s="19"/>
      <c r="AD1105" s="19"/>
      <c r="AE1105" s="19"/>
      <c r="AF1105" s="19"/>
      <c r="AG1105" s="19"/>
      <c r="AH1105" s="19"/>
      <c r="AI1105" s="19"/>
      <c r="AJ1105" s="19"/>
      <c r="AK1105" s="19"/>
      <c r="AL1105" s="19"/>
      <c r="AM1105" s="19"/>
      <c r="AN1105" s="19"/>
      <c r="AO1105" s="19"/>
      <c r="AP1105" s="19"/>
      <c r="AQ1105" s="19"/>
      <c r="AR1105" s="19"/>
      <c r="AS1105" s="19"/>
      <c r="AT1105" s="19"/>
      <c r="AU1105" s="19"/>
      <c r="AV1105" s="19"/>
      <c r="AW1105" s="19"/>
      <c r="AX1105" s="19"/>
      <c r="GA1105" s="54"/>
    </row>
    <row r="1106" spans="1:183" s="18" customFormat="1">
      <c r="A1106" s="51"/>
      <c r="B1106" s="52"/>
      <c r="C1106" s="52"/>
      <c r="D1106" s="52"/>
      <c r="E1106" s="53"/>
      <c r="F1106" s="52"/>
      <c r="G1106" s="52"/>
      <c r="H1106" s="52"/>
      <c r="I1106" s="53"/>
      <c r="J1106" s="52"/>
      <c r="K1106" s="52"/>
      <c r="L1106" s="52"/>
      <c r="M1106" s="52"/>
      <c r="N1106" s="19"/>
      <c r="O1106" s="19"/>
      <c r="P1106" s="19"/>
      <c r="Q1106" s="19"/>
      <c r="R1106" s="19"/>
      <c r="S1106" s="19"/>
      <c r="T1106" s="19"/>
      <c r="U1106" s="19"/>
      <c r="V1106" s="19"/>
      <c r="W1106" s="19"/>
      <c r="X1106" s="19"/>
      <c r="Y1106" s="19"/>
      <c r="Z1106" s="19"/>
      <c r="AA1106" s="19"/>
      <c r="AB1106" s="19"/>
      <c r="AC1106" s="19"/>
      <c r="AD1106" s="19"/>
      <c r="AE1106" s="19"/>
      <c r="AF1106" s="19"/>
      <c r="AG1106" s="19"/>
      <c r="AH1106" s="19"/>
      <c r="AI1106" s="19"/>
      <c r="AJ1106" s="19"/>
      <c r="AK1106" s="19"/>
      <c r="AL1106" s="19"/>
      <c r="AM1106" s="19"/>
      <c r="AN1106" s="19"/>
      <c r="AO1106" s="19"/>
      <c r="AP1106" s="19"/>
      <c r="AQ1106" s="19"/>
      <c r="AR1106" s="19"/>
      <c r="AS1106" s="19"/>
      <c r="AT1106" s="19"/>
      <c r="AU1106" s="19"/>
      <c r="AV1106" s="19"/>
      <c r="AW1106" s="19"/>
      <c r="AX1106" s="19"/>
      <c r="GA1106" s="54"/>
    </row>
    <row r="1107" spans="1:183" s="18" customFormat="1">
      <c r="A1107" s="51"/>
      <c r="B1107" s="52"/>
      <c r="C1107" s="52"/>
      <c r="D1107" s="52"/>
      <c r="E1107" s="53"/>
      <c r="F1107" s="52"/>
      <c r="G1107" s="52"/>
      <c r="H1107" s="52"/>
      <c r="I1107" s="53"/>
      <c r="J1107" s="52"/>
      <c r="K1107" s="52"/>
      <c r="L1107" s="52"/>
      <c r="M1107" s="52"/>
      <c r="N1107" s="19"/>
      <c r="O1107" s="19"/>
      <c r="P1107" s="19"/>
      <c r="Q1107" s="19"/>
      <c r="R1107" s="19"/>
      <c r="S1107" s="19"/>
      <c r="T1107" s="19"/>
      <c r="U1107" s="19"/>
      <c r="V1107" s="19"/>
      <c r="W1107" s="19"/>
      <c r="X1107" s="19"/>
      <c r="Y1107" s="19"/>
      <c r="Z1107" s="19"/>
      <c r="AA1107" s="19"/>
      <c r="AB1107" s="19"/>
      <c r="AC1107" s="19"/>
      <c r="AD1107" s="19"/>
      <c r="AE1107" s="19"/>
      <c r="AF1107" s="19"/>
      <c r="AG1107" s="19"/>
      <c r="AH1107" s="19"/>
      <c r="AI1107" s="19"/>
      <c r="AJ1107" s="19"/>
      <c r="AK1107" s="19"/>
      <c r="AL1107" s="19"/>
      <c r="AM1107" s="19"/>
      <c r="AN1107" s="19"/>
      <c r="AO1107" s="19"/>
      <c r="AP1107" s="19"/>
      <c r="AQ1107" s="19"/>
      <c r="AR1107" s="19"/>
      <c r="AS1107" s="19"/>
      <c r="AT1107" s="19"/>
      <c r="AU1107" s="19"/>
      <c r="AV1107" s="19"/>
      <c r="AW1107" s="19"/>
      <c r="AX1107" s="19"/>
      <c r="GA1107" s="54"/>
    </row>
    <row r="1108" spans="1:183" s="18" customFormat="1">
      <c r="A1108" s="51"/>
      <c r="B1108" s="52"/>
      <c r="C1108" s="52"/>
      <c r="D1108" s="52"/>
      <c r="E1108" s="53"/>
      <c r="F1108" s="52"/>
      <c r="G1108" s="52"/>
      <c r="H1108" s="52"/>
      <c r="I1108" s="53"/>
      <c r="J1108" s="52"/>
      <c r="K1108" s="52"/>
      <c r="L1108" s="52"/>
      <c r="M1108" s="52"/>
      <c r="N1108" s="19"/>
      <c r="O1108" s="19"/>
      <c r="P1108" s="19"/>
      <c r="Q1108" s="19"/>
      <c r="R1108" s="19"/>
      <c r="S1108" s="19"/>
      <c r="T1108" s="19"/>
      <c r="U1108" s="19"/>
      <c r="V1108" s="19"/>
      <c r="W1108" s="19"/>
      <c r="X1108" s="19"/>
      <c r="Y1108" s="19"/>
      <c r="Z1108" s="19"/>
      <c r="AA1108" s="19"/>
      <c r="AB1108" s="19"/>
      <c r="AC1108" s="19"/>
      <c r="AD1108" s="19"/>
      <c r="AE1108" s="19"/>
      <c r="AF1108" s="19"/>
      <c r="AG1108" s="19"/>
      <c r="AH1108" s="19"/>
      <c r="AI1108" s="19"/>
      <c r="AJ1108" s="19"/>
      <c r="AK1108" s="19"/>
      <c r="AL1108" s="19"/>
      <c r="AM1108" s="19"/>
      <c r="AN1108" s="19"/>
      <c r="AO1108" s="19"/>
      <c r="AP1108" s="19"/>
      <c r="AQ1108" s="19"/>
      <c r="AR1108" s="19"/>
      <c r="AS1108" s="19"/>
      <c r="AT1108" s="19"/>
      <c r="AU1108" s="19"/>
      <c r="AV1108" s="19"/>
      <c r="AW1108" s="19"/>
      <c r="AX1108" s="19"/>
      <c r="GA1108" s="54"/>
    </row>
    <row r="1109" spans="1:183" s="18" customFormat="1">
      <c r="A1109" s="51"/>
      <c r="B1109" s="52"/>
      <c r="C1109" s="52"/>
      <c r="D1109" s="52"/>
      <c r="E1109" s="53"/>
      <c r="F1109" s="52"/>
      <c r="G1109" s="52"/>
      <c r="H1109" s="52"/>
      <c r="I1109" s="53"/>
      <c r="J1109" s="52"/>
      <c r="K1109" s="52"/>
      <c r="L1109" s="52"/>
      <c r="M1109" s="52"/>
      <c r="N1109" s="19"/>
      <c r="O1109" s="19"/>
      <c r="P1109" s="19"/>
      <c r="Q1109" s="19"/>
      <c r="R1109" s="19"/>
      <c r="S1109" s="19"/>
      <c r="T1109" s="19"/>
      <c r="U1109" s="19"/>
      <c r="V1109" s="19"/>
      <c r="W1109" s="19"/>
      <c r="X1109" s="19"/>
      <c r="Y1109" s="19"/>
      <c r="Z1109" s="19"/>
      <c r="AA1109" s="19"/>
      <c r="AB1109" s="19"/>
      <c r="AC1109" s="19"/>
      <c r="AD1109" s="19"/>
      <c r="AE1109" s="19"/>
      <c r="AF1109" s="19"/>
      <c r="AG1109" s="19"/>
      <c r="AH1109" s="19"/>
      <c r="AI1109" s="19"/>
      <c r="AJ1109" s="19"/>
      <c r="AK1109" s="19"/>
      <c r="AL1109" s="19"/>
      <c r="AM1109" s="19"/>
      <c r="AN1109" s="19"/>
      <c r="AO1109" s="19"/>
      <c r="AP1109" s="19"/>
      <c r="AQ1109" s="19"/>
      <c r="AR1109" s="19"/>
      <c r="AS1109" s="19"/>
      <c r="AT1109" s="19"/>
      <c r="AU1109" s="19"/>
      <c r="AV1109" s="19"/>
      <c r="AW1109" s="19"/>
      <c r="AX1109" s="19"/>
      <c r="GA1109" s="54"/>
    </row>
    <row r="1110" spans="1:183" s="18" customFormat="1">
      <c r="A1110" s="51"/>
      <c r="B1110" s="52"/>
      <c r="C1110" s="52"/>
      <c r="D1110" s="52"/>
      <c r="E1110" s="53"/>
      <c r="F1110" s="52"/>
      <c r="G1110" s="52"/>
      <c r="H1110" s="52"/>
      <c r="I1110" s="53"/>
      <c r="J1110" s="52"/>
      <c r="K1110" s="52"/>
      <c r="L1110" s="52"/>
      <c r="M1110" s="52"/>
      <c r="N1110" s="19"/>
      <c r="O1110" s="19"/>
      <c r="P1110" s="19"/>
      <c r="Q1110" s="19"/>
      <c r="R1110" s="19"/>
      <c r="S1110" s="19"/>
      <c r="T1110" s="19"/>
      <c r="U1110" s="19"/>
      <c r="V1110" s="19"/>
      <c r="W1110" s="19"/>
      <c r="X1110" s="19"/>
      <c r="Y1110" s="19"/>
      <c r="Z1110" s="19"/>
      <c r="AA1110" s="19"/>
      <c r="AB1110" s="19"/>
      <c r="AC1110" s="19"/>
      <c r="AD1110" s="19"/>
      <c r="AE1110" s="19"/>
      <c r="AF1110" s="19"/>
      <c r="AG1110" s="19"/>
      <c r="AH1110" s="19"/>
      <c r="AI1110" s="19"/>
      <c r="AJ1110" s="19"/>
      <c r="AK1110" s="19"/>
      <c r="AL1110" s="19"/>
      <c r="AM1110" s="19"/>
      <c r="AN1110" s="19"/>
      <c r="AO1110" s="19"/>
      <c r="AP1110" s="19"/>
      <c r="AQ1110" s="19"/>
      <c r="AR1110" s="19"/>
      <c r="AS1110" s="19"/>
      <c r="AT1110" s="19"/>
      <c r="AU1110" s="19"/>
      <c r="AV1110" s="19"/>
      <c r="AW1110" s="19"/>
      <c r="AX1110" s="19"/>
      <c r="GA1110" s="54"/>
    </row>
    <row r="1111" spans="1:183" s="18" customFormat="1">
      <c r="A1111" s="51"/>
      <c r="B1111" s="52"/>
      <c r="C1111" s="52"/>
      <c r="D1111" s="52"/>
      <c r="E1111" s="53"/>
      <c r="F1111" s="52"/>
      <c r="G1111" s="52"/>
      <c r="H1111" s="52"/>
      <c r="I1111" s="53"/>
      <c r="J1111" s="52"/>
      <c r="K1111" s="52"/>
      <c r="L1111" s="52"/>
      <c r="M1111" s="52"/>
      <c r="N1111" s="19"/>
      <c r="O1111" s="19"/>
      <c r="P1111" s="19"/>
      <c r="Q1111" s="19"/>
      <c r="R1111" s="19"/>
      <c r="S1111" s="19"/>
      <c r="T1111" s="19"/>
      <c r="U1111" s="19"/>
      <c r="V1111" s="19"/>
      <c r="W1111" s="19"/>
      <c r="X1111" s="19"/>
      <c r="Y1111" s="19"/>
      <c r="Z1111" s="19"/>
      <c r="AA1111" s="19"/>
      <c r="AB1111" s="19"/>
      <c r="AC1111" s="19"/>
      <c r="AD1111" s="19"/>
      <c r="AE1111" s="19"/>
      <c r="AF1111" s="19"/>
      <c r="AG1111" s="19"/>
      <c r="AH1111" s="19"/>
      <c r="AI1111" s="19"/>
      <c r="AJ1111" s="19"/>
      <c r="AK1111" s="19"/>
      <c r="AL1111" s="19"/>
      <c r="AM1111" s="19"/>
      <c r="AN1111" s="19"/>
      <c r="AO1111" s="19"/>
      <c r="AP1111" s="19"/>
      <c r="AQ1111" s="19"/>
      <c r="AR1111" s="19"/>
      <c r="AS1111" s="19"/>
      <c r="AT1111" s="19"/>
      <c r="AU1111" s="19"/>
      <c r="AV1111" s="19"/>
      <c r="AW1111" s="19"/>
      <c r="AX1111" s="19"/>
      <c r="GA1111" s="54"/>
    </row>
    <row r="1112" spans="1:183" s="18" customFormat="1">
      <c r="A1112" s="51"/>
      <c r="B1112" s="52"/>
      <c r="C1112" s="52"/>
      <c r="D1112" s="52"/>
      <c r="E1112" s="53"/>
      <c r="F1112" s="52"/>
      <c r="G1112" s="52"/>
      <c r="H1112" s="52"/>
      <c r="I1112" s="53"/>
      <c r="J1112" s="52"/>
      <c r="K1112" s="52"/>
      <c r="L1112" s="52"/>
      <c r="M1112" s="52"/>
      <c r="N1112" s="19"/>
      <c r="O1112" s="19"/>
      <c r="P1112" s="19"/>
      <c r="Q1112" s="19"/>
      <c r="R1112" s="19"/>
      <c r="S1112" s="19"/>
      <c r="T1112" s="19"/>
      <c r="U1112" s="19"/>
      <c r="V1112" s="19"/>
      <c r="W1112" s="19"/>
      <c r="X1112" s="19"/>
      <c r="Y1112" s="19"/>
      <c r="Z1112" s="19"/>
      <c r="AA1112" s="19"/>
      <c r="AB1112" s="19"/>
      <c r="AC1112" s="19"/>
      <c r="AD1112" s="19"/>
      <c r="AE1112" s="19"/>
      <c r="AF1112" s="19"/>
      <c r="AG1112" s="19"/>
      <c r="AH1112" s="19"/>
      <c r="AI1112" s="19"/>
      <c r="AJ1112" s="19"/>
      <c r="AK1112" s="19"/>
      <c r="AL1112" s="19"/>
      <c r="AM1112" s="19"/>
      <c r="AN1112" s="19"/>
      <c r="AO1112" s="19"/>
      <c r="AP1112" s="19"/>
      <c r="AQ1112" s="19"/>
      <c r="AR1112" s="19"/>
      <c r="AS1112" s="19"/>
      <c r="AT1112" s="19"/>
      <c r="AU1112" s="19"/>
      <c r="AV1112" s="19"/>
      <c r="AW1112" s="19"/>
      <c r="AX1112" s="19"/>
      <c r="GA1112" s="54"/>
    </row>
    <row r="1113" spans="1:183" s="18" customFormat="1">
      <c r="A1113" s="51"/>
      <c r="B1113" s="52"/>
      <c r="C1113" s="52"/>
      <c r="D1113" s="52"/>
      <c r="E1113" s="53"/>
      <c r="F1113" s="52"/>
      <c r="G1113" s="52"/>
      <c r="H1113" s="52"/>
      <c r="I1113" s="53"/>
      <c r="J1113" s="52"/>
      <c r="K1113" s="52"/>
      <c r="L1113" s="52"/>
      <c r="M1113" s="52"/>
      <c r="N1113" s="19"/>
      <c r="O1113" s="19"/>
      <c r="P1113" s="19"/>
      <c r="Q1113" s="19"/>
      <c r="R1113" s="19"/>
      <c r="S1113" s="19"/>
      <c r="T1113" s="19"/>
      <c r="U1113" s="19"/>
      <c r="V1113" s="19"/>
      <c r="W1113" s="19"/>
      <c r="X1113" s="19"/>
      <c r="Y1113" s="19"/>
      <c r="Z1113" s="19"/>
      <c r="AA1113" s="19"/>
      <c r="AB1113" s="19"/>
      <c r="AC1113" s="19"/>
      <c r="AD1113" s="19"/>
      <c r="AE1113" s="19"/>
      <c r="AF1113" s="19"/>
      <c r="AG1113" s="19"/>
      <c r="AH1113" s="19"/>
      <c r="AI1113" s="19"/>
      <c r="AJ1113" s="19"/>
      <c r="AK1113" s="19"/>
      <c r="AL1113" s="19"/>
      <c r="AM1113" s="19"/>
      <c r="AN1113" s="19"/>
      <c r="AO1113" s="19"/>
      <c r="AP1113" s="19"/>
      <c r="AQ1113" s="19"/>
      <c r="AR1113" s="19"/>
      <c r="AS1113" s="19"/>
      <c r="AT1113" s="19"/>
      <c r="AU1113" s="19"/>
      <c r="AV1113" s="19"/>
      <c r="AW1113" s="19"/>
      <c r="AX1113" s="19"/>
      <c r="GA1113" s="54"/>
    </row>
    <row r="1114" spans="1:183" s="18" customFormat="1">
      <c r="A1114" s="51"/>
      <c r="B1114" s="52"/>
      <c r="C1114" s="52"/>
      <c r="D1114" s="52"/>
      <c r="E1114" s="53"/>
      <c r="F1114" s="52"/>
      <c r="G1114" s="52"/>
      <c r="H1114" s="52"/>
      <c r="I1114" s="53"/>
      <c r="J1114" s="52"/>
      <c r="K1114" s="52"/>
      <c r="L1114" s="52"/>
      <c r="M1114" s="52"/>
      <c r="N1114" s="19"/>
      <c r="O1114" s="19"/>
      <c r="P1114" s="19"/>
      <c r="Q1114" s="19"/>
      <c r="R1114" s="19"/>
      <c r="S1114" s="19"/>
      <c r="T1114" s="19"/>
      <c r="U1114" s="19"/>
      <c r="V1114" s="19"/>
      <c r="W1114" s="19"/>
      <c r="X1114" s="19"/>
      <c r="Y1114" s="19"/>
      <c r="Z1114" s="19"/>
      <c r="AA1114" s="19"/>
      <c r="AB1114" s="19"/>
      <c r="AC1114" s="19"/>
      <c r="AD1114" s="19"/>
      <c r="AE1114" s="19"/>
      <c r="AF1114" s="19"/>
      <c r="AG1114" s="19"/>
      <c r="AH1114" s="19"/>
      <c r="AI1114" s="19"/>
      <c r="AJ1114" s="19"/>
      <c r="AK1114" s="19"/>
      <c r="AL1114" s="19"/>
      <c r="AM1114" s="19"/>
      <c r="AN1114" s="19"/>
      <c r="AO1114" s="19"/>
      <c r="AP1114" s="19"/>
      <c r="AQ1114" s="19"/>
      <c r="AR1114" s="19"/>
      <c r="AS1114" s="19"/>
      <c r="AT1114" s="19"/>
      <c r="AU1114" s="19"/>
      <c r="AV1114" s="19"/>
      <c r="AW1114" s="19"/>
      <c r="AX1114" s="19"/>
      <c r="GA1114" s="54"/>
    </row>
    <row r="1115" spans="1:183" s="18" customFormat="1">
      <c r="A1115" s="51"/>
      <c r="B1115" s="52"/>
      <c r="C1115" s="52"/>
      <c r="D1115" s="52"/>
      <c r="E1115" s="53"/>
      <c r="F1115" s="52"/>
      <c r="G1115" s="52"/>
      <c r="H1115" s="52"/>
      <c r="I1115" s="53"/>
      <c r="J1115" s="52"/>
      <c r="K1115" s="52"/>
      <c r="L1115" s="52"/>
      <c r="M1115" s="52"/>
      <c r="N1115" s="19"/>
      <c r="O1115" s="19"/>
      <c r="P1115" s="19"/>
      <c r="Q1115" s="19"/>
      <c r="R1115" s="19"/>
      <c r="S1115" s="19"/>
      <c r="T1115" s="19"/>
      <c r="U1115" s="19"/>
      <c r="V1115" s="19"/>
      <c r="W1115" s="19"/>
      <c r="X1115" s="19"/>
      <c r="Y1115" s="19"/>
      <c r="Z1115" s="19"/>
      <c r="AA1115" s="19"/>
      <c r="AB1115" s="19"/>
      <c r="AC1115" s="19"/>
      <c r="AD1115" s="19"/>
      <c r="AE1115" s="19"/>
      <c r="AF1115" s="19"/>
      <c r="AG1115" s="19"/>
      <c r="AH1115" s="19"/>
      <c r="AI1115" s="19"/>
      <c r="AJ1115" s="19"/>
      <c r="AK1115" s="19"/>
      <c r="AL1115" s="19"/>
      <c r="AM1115" s="19"/>
      <c r="AN1115" s="19"/>
      <c r="AO1115" s="19"/>
      <c r="AP1115" s="19"/>
      <c r="AQ1115" s="19"/>
      <c r="AR1115" s="19"/>
      <c r="AS1115" s="19"/>
      <c r="AT1115" s="19"/>
      <c r="AU1115" s="19"/>
      <c r="AV1115" s="19"/>
      <c r="AW1115" s="19"/>
      <c r="AX1115" s="19"/>
      <c r="GA1115" s="54"/>
    </row>
    <row r="1116" spans="1:183" s="18" customFormat="1">
      <c r="A1116" s="51"/>
      <c r="B1116" s="52"/>
      <c r="C1116" s="52"/>
      <c r="D1116" s="52"/>
      <c r="E1116" s="53"/>
      <c r="F1116" s="52"/>
      <c r="G1116" s="52"/>
      <c r="H1116" s="52"/>
      <c r="I1116" s="53"/>
      <c r="J1116" s="52"/>
      <c r="K1116" s="52"/>
      <c r="L1116" s="52"/>
      <c r="M1116" s="52"/>
      <c r="N1116" s="19"/>
      <c r="O1116" s="19"/>
      <c r="P1116" s="19"/>
      <c r="Q1116" s="19"/>
      <c r="R1116" s="19"/>
      <c r="S1116" s="19"/>
      <c r="T1116" s="19"/>
      <c r="U1116" s="19"/>
      <c r="V1116" s="19"/>
      <c r="W1116" s="19"/>
      <c r="X1116" s="19"/>
      <c r="Y1116" s="19"/>
      <c r="Z1116" s="19"/>
      <c r="AA1116" s="19"/>
      <c r="AB1116" s="19"/>
      <c r="AC1116" s="19"/>
      <c r="AD1116" s="19"/>
      <c r="AE1116" s="19"/>
      <c r="AF1116" s="19"/>
      <c r="AG1116" s="19"/>
      <c r="AH1116" s="19"/>
      <c r="AI1116" s="19"/>
      <c r="AJ1116" s="19"/>
      <c r="AK1116" s="19"/>
      <c r="AL1116" s="19"/>
      <c r="AM1116" s="19"/>
      <c r="AN1116" s="19"/>
      <c r="AO1116" s="19"/>
      <c r="AP1116" s="19"/>
      <c r="AQ1116" s="19"/>
      <c r="AR1116" s="19"/>
      <c r="AS1116" s="19"/>
      <c r="AT1116" s="19"/>
      <c r="AU1116" s="19"/>
      <c r="AV1116" s="19"/>
      <c r="AW1116" s="19"/>
      <c r="AX1116" s="19"/>
      <c r="GA1116" s="54"/>
    </row>
    <row r="1117" spans="1:183" s="18" customFormat="1">
      <c r="A1117" s="51"/>
      <c r="B1117" s="52"/>
      <c r="C1117" s="52"/>
      <c r="D1117" s="52"/>
      <c r="E1117" s="53"/>
      <c r="F1117" s="52"/>
      <c r="G1117" s="52"/>
      <c r="H1117" s="52"/>
      <c r="I1117" s="53"/>
      <c r="J1117" s="52"/>
      <c r="K1117" s="52"/>
      <c r="L1117" s="52"/>
      <c r="M1117" s="52"/>
      <c r="N1117" s="19"/>
      <c r="O1117" s="19"/>
      <c r="P1117" s="19"/>
      <c r="Q1117" s="19"/>
      <c r="R1117" s="19"/>
      <c r="S1117" s="19"/>
      <c r="T1117" s="19"/>
      <c r="U1117" s="19"/>
      <c r="V1117" s="19"/>
      <c r="W1117" s="19"/>
      <c r="X1117" s="19"/>
      <c r="Y1117" s="19"/>
      <c r="Z1117" s="19"/>
      <c r="AA1117" s="19"/>
      <c r="AB1117" s="19"/>
      <c r="AC1117" s="19"/>
      <c r="AD1117" s="19"/>
      <c r="AE1117" s="19"/>
      <c r="AF1117" s="19"/>
      <c r="AG1117" s="19"/>
      <c r="AH1117" s="19"/>
      <c r="AI1117" s="19"/>
      <c r="AJ1117" s="19"/>
      <c r="AK1117" s="19"/>
      <c r="AL1117" s="19"/>
      <c r="AM1117" s="19"/>
      <c r="AN1117" s="19"/>
      <c r="AO1117" s="19"/>
      <c r="AP1117" s="19"/>
      <c r="AQ1117" s="19"/>
      <c r="AR1117" s="19"/>
      <c r="AS1117" s="19"/>
      <c r="AT1117" s="19"/>
      <c r="AU1117" s="19"/>
      <c r="AV1117" s="19"/>
      <c r="AW1117" s="19"/>
      <c r="AX1117" s="19"/>
      <c r="GA1117" s="54"/>
    </row>
    <row r="1118" spans="1:183" s="18" customFormat="1">
      <c r="A1118" s="51"/>
      <c r="B1118" s="52"/>
      <c r="C1118" s="52"/>
      <c r="D1118" s="52"/>
      <c r="E1118" s="53"/>
      <c r="F1118" s="52"/>
      <c r="G1118" s="52"/>
      <c r="H1118" s="52"/>
      <c r="I1118" s="53"/>
      <c r="J1118" s="52"/>
      <c r="K1118" s="52"/>
      <c r="L1118" s="52"/>
      <c r="M1118" s="52"/>
      <c r="N1118" s="19"/>
      <c r="O1118" s="19"/>
      <c r="P1118" s="19"/>
      <c r="Q1118" s="19"/>
      <c r="R1118" s="19"/>
      <c r="S1118" s="19"/>
      <c r="T1118" s="19"/>
      <c r="U1118" s="19"/>
      <c r="V1118" s="19"/>
      <c r="W1118" s="19"/>
      <c r="X1118" s="19"/>
      <c r="Y1118" s="19"/>
      <c r="Z1118" s="19"/>
      <c r="AA1118" s="19"/>
      <c r="AB1118" s="19"/>
      <c r="AC1118" s="19"/>
      <c r="AD1118" s="19"/>
      <c r="AE1118" s="19"/>
      <c r="AF1118" s="19"/>
      <c r="AG1118" s="19"/>
      <c r="AH1118" s="19"/>
      <c r="AI1118" s="19"/>
      <c r="AJ1118" s="19"/>
      <c r="AK1118" s="19"/>
      <c r="AL1118" s="19"/>
      <c r="AM1118" s="19"/>
      <c r="AN1118" s="19"/>
      <c r="AO1118" s="19"/>
      <c r="AP1118" s="19"/>
      <c r="AQ1118" s="19"/>
      <c r="AR1118" s="19"/>
      <c r="AS1118" s="19"/>
      <c r="AT1118" s="19"/>
      <c r="AU1118" s="19"/>
      <c r="AV1118" s="19"/>
      <c r="AW1118" s="19"/>
      <c r="AX1118" s="19"/>
      <c r="GA1118" s="54"/>
    </row>
    <row r="1119" spans="1:183" s="18" customFormat="1">
      <c r="A1119" s="51"/>
      <c r="B1119" s="52"/>
      <c r="C1119" s="52"/>
      <c r="D1119" s="52"/>
      <c r="E1119" s="53"/>
      <c r="F1119" s="52"/>
      <c r="G1119" s="52"/>
      <c r="H1119" s="52"/>
      <c r="I1119" s="53"/>
      <c r="J1119" s="52"/>
      <c r="K1119" s="52"/>
      <c r="L1119" s="52"/>
      <c r="M1119" s="52"/>
      <c r="N1119" s="19"/>
      <c r="O1119" s="19"/>
      <c r="P1119" s="19"/>
      <c r="Q1119" s="19"/>
      <c r="R1119" s="19"/>
      <c r="S1119" s="19"/>
      <c r="T1119" s="19"/>
      <c r="U1119" s="19"/>
      <c r="V1119" s="19"/>
      <c r="W1119" s="19"/>
      <c r="X1119" s="19"/>
      <c r="Y1119" s="19"/>
      <c r="Z1119" s="19"/>
      <c r="AA1119" s="19"/>
      <c r="AB1119" s="19"/>
      <c r="AC1119" s="19"/>
      <c r="AD1119" s="19"/>
      <c r="AE1119" s="19"/>
      <c r="AF1119" s="19"/>
      <c r="AG1119" s="19"/>
      <c r="AH1119" s="19"/>
      <c r="AI1119" s="19"/>
      <c r="AJ1119" s="19"/>
      <c r="AK1119" s="19"/>
      <c r="AL1119" s="19"/>
      <c r="AM1119" s="19"/>
      <c r="AN1119" s="19"/>
      <c r="AO1119" s="19"/>
      <c r="AP1119" s="19"/>
      <c r="AQ1119" s="19"/>
      <c r="AR1119" s="19"/>
      <c r="AS1119" s="19"/>
      <c r="AT1119" s="19"/>
      <c r="AU1119" s="19"/>
      <c r="AV1119" s="19"/>
      <c r="AW1119" s="19"/>
      <c r="AX1119" s="19"/>
      <c r="GA1119" s="54"/>
    </row>
    <row r="1120" spans="1:183" s="18" customFormat="1">
      <c r="A1120" s="51"/>
      <c r="B1120" s="52"/>
      <c r="C1120" s="52"/>
      <c r="D1120" s="52"/>
      <c r="E1120" s="53"/>
      <c r="F1120" s="52"/>
      <c r="G1120" s="52"/>
      <c r="H1120" s="52"/>
      <c r="I1120" s="53"/>
      <c r="J1120" s="52"/>
      <c r="K1120" s="52"/>
      <c r="L1120" s="52"/>
      <c r="M1120" s="52"/>
      <c r="N1120" s="19"/>
      <c r="O1120" s="19"/>
      <c r="P1120" s="19"/>
      <c r="Q1120" s="19"/>
      <c r="R1120" s="19"/>
      <c r="S1120" s="19"/>
      <c r="T1120" s="19"/>
      <c r="U1120" s="19"/>
      <c r="V1120" s="19"/>
      <c r="W1120" s="19"/>
      <c r="X1120" s="19"/>
      <c r="Y1120" s="19"/>
      <c r="Z1120" s="19"/>
      <c r="AA1120" s="19"/>
      <c r="AB1120" s="19"/>
      <c r="AC1120" s="19"/>
      <c r="AD1120" s="19"/>
      <c r="AE1120" s="19"/>
      <c r="AF1120" s="19"/>
      <c r="AG1120" s="19"/>
      <c r="AH1120" s="19"/>
      <c r="AI1120" s="19"/>
      <c r="AJ1120" s="19"/>
      <c r="AK1120" s="19"/>
      <c r="AL1120" s="19"/>
      <c r="AM1120" s="19"/>
      <c r="AN1120" s="19"/>
      <c r="AO1120" s="19"/>
      <c r="AP1120" s="19"/>
      <c r="AQ1120" s="19"/>
      <c r="AR1120" s="19"/>
      <c r="AS1120" s="19"/>
      <c r="AT1120" s="19"/>
      <c r="AU1120" s="19"/>
      <c r="AV1120" s="19"/>
      <c r="AW1120" s="19"/>
      <c r="AX1120" s="19"/>
      <c r="GA1120" s="54"/>
    </row>
    <row r="1121" spans="1:183" s="18" customFormat="1">
      <c r="A1121" s="51"/>
      <c r="B1121" s="52"/>
      <c r="C1121" s="52"/>
      <c r="D1121" s="52"/>
      <c r="E1121" s="53"/>
      <c r="F1121" s="52"/>
      <c r="G1121" s="52"/>
      <c r="H1121" s="52"/>
      <c r="I1121" s="53"/>
      <c r="J1121" s="52"/>
      <c r="K1121" s="52"/>
      <c r="L1121" s="52"/>
      <c r="M1121" s="52"/>
      <c r="N1121" s="19"/>
      <c r="O1121" s="19"/>
      <c r="P1121" s="19"/>
      <c r="Q1121" s="19"/>
      <c r="R1121" s="19"/>
      <c r="S1121" s="19"/>
      <c r="T1121" s="19"/>
      <c r="U1121" s="19"/>
      <c r="V1121" s="19"/>
      <c r="W1121" s="19"/>
      <c r="X1121" s="19"/>
      <c r="Y1121" s="19"/>
      <c r="Z1121" s="19"/>
      <c r="AA1121" s="19"/>
      <c r="AB1121" s="19"/>
      <c r="AC1121" s="19"/>
      <c r="AD1121" s="19"/>
      <c r="AE1121" s="19"/>
      <c r="AF1121" s="19"/>
      <c r="AG1121" s="19"/>
      <c r="AH1121" s="19"/>
      <c r="AI1121" s="19"/>
      <c r="AJ1121" s="19"/>
      <c r="AK1121" s="19"/>
      <c r="AL1121" s="19"/>
      <c r="AM1121" s="19"/>
      <c r="AN1121" s="19"/>
      <c r="AO1121" s="19"/>
      <c r="AP1121" s="19"/>
      <c r="AQ1121" s="19"/>
      <c r="AR1121" s="19"/>
      <c r="AS1121" s="19"/>
      <c r="AT1121" s="19"/>
      <c r="AU1121" s="19"/>
      <c r="AV1121" s="19"/>
      <c r="AW1121" s="19"/>
      <c r="AX1121" s="19"/>
      <c r="GA1121" s="54"/>
    </row>
    <row r="1122" spans="1:183" s="18" customFormat="1">
      <c r="A1122" s="51"/>
      <c r="B1122" s="52"/>
      <c r="C1122" s="52"/>
      <c r="D1122" s="52"/>
      <c r="E1122" s="53"/>
      <c r="F1122" s="52"/>
      <c r="G1122" s="52"/>
      <c r="H1122" s="52"/>
      <c r="I1122" s="53"/>
      <c r="J1122" s="52"/>
      <c r="K1122" s="52"/>
      <c r="L1122" s="52"/>
      <c r="M1122" s="52"/>
      <c r="N1122" s="19"/>
      <c r="O1122" s="19"/>
      <c r="P1122" s="19"/>
      <c r="Q1122" s="19"/>
      <c r="R1122" s="19"/>
      <c r="S1122" s="19"/>
      <c r="T1122" s="19"/>
      <c r="U1122" s="19"/>
      <c r="V1122" s="19"/>
      <c r="W1122" s="19"/>
      <c r="X1122" s="19"/>
      <c r="Y1122" s="19"/>
      <c r="Z1122" s="19"/>
      <c r="AA1122" s="19"/>
      <c r="AB1122" s="19"/>
      <c r="AC1122" s="19"/>
      <c r="AD1122" s="19"/>
      <c r="AE1122" s="19"/>
      <c r="AF1122" s="19"/>
      <c r="AG1122" s="19"/>
      <c r="AH1122" s="19"/>
      <c r="AI1122" s="19"/>
      <c r="AJ1122" s="19"/>
      <c r="AK1122" s="19"/>
      <c r="AL1122" s="19"/>
      <c r="AM1122" s="19"/>
      <c r="AN1122" s="19"/>
      <c r="AO1122" s="19"/>
      <c r="AP1122" s="19"/>
      <c r="AQ1122" s="19"/>
      <c r="AR1122" s="19"/>
      <c r="AS1122" s="19"/>
      <c r="AT1122" s="19"/>
      <c r="AU1122" s="19"/>
      <c r="AV1122" s="19"/>
      <c r="AW1122" s="19"/>
      <c r="AX1122" s="19"/>
      <c r="GA1122" s="54"/>
    </row>
    <row r="1123" spans="1:183" s="18" customFormat="1">
      <c r="A1123" s="51"/>
      <c r="B1123" s="52"/>
      <c r="C1123" s="52"/>
      <c r="D1123" s="52"/>
      <c r="E1123" s="53"/>
      <c r="F1123" s="52"/>
      <c r="G1123" s="52"/>
      <c r="H1123" s="52"/>
      <c r="I1123" s="53"/>
      <c r="J1123" s="52"/>
      <c r="K1123" s="52"/>
      <c r="L1123" s="52"/>
      <c r="M1123" s="52"/>
      <c r="N1123" s="19"/>
      <c r="O1123" s="19"/>
      <c r="P1123" s="19"/>
      <c r="Q1123" s="19"/>
      <c r="R1123" s="19"/>
      <c r="S1123" s="19"/>
      <c r="T1123" s="19"/>
      <c r="U1123" s="19"/>
      <c r="V1123" s="19"/>
      <c r="W1123" s="19"/>
      <c r="X1123" s="19"/>
      <c r="Y1123" s="19"/>
      <c r="Z1123" s="19"/>
      <c r="AA1123" s="19"/>
      <c r="AB1123" s="19"/>
      <c r="AC1123" s="19"/>
      <c r="AD1123" s="19"/>
      <c r="AE1123" s="19"/>
      <c r="AF1123" s="19"/>
      <c r="AG1123" s="19"/>
      <c r="AH1123" s="19"/>
      <c r="AI1123" s="19"/>
      <c r="AJ1123" s="19"/>
      <c r="AK1123" s="19"/>
      <c r="AL1123" s="19"/>
      <c r="AM1123" s="19"/>
      <c r="AN1123" s="19"/>
      <c r="AO1123" s="19"/>
      <c r="AP1123" s="19"/>
      <c r="AQ1123" s="19"/>
      <c r="AR1123" s="19"/>
      <c r="AS1123" s="19"/>
      <c r="AT1123" s="19"/>
      <c r="AU1123" s="19"/>
      <c r="AV1123" s="19"/>
      <c r="AW1123" s="19"/>
      <c r="AX1123" s="19"/>
      <c r="GA1123" s="54"/>
    </row>
    <row r="1124" spans="1:183" s="18" customFormat="1">
      <c r="A1124" s="51"/>
      <c r="B1124" s="52"/>
      <c r="C1124" s="52"/>
      <c r="D1124" s="52"/>
      <c r="E1124" s="53"/>
      <c r="F1124" s="52"/>
      <c r="G1124" s="52"/>
      <c r="H1124" s="52"/>
      <c r="I1124" s="53"/>
      <c r="J1124" s="52"/>
      <c r="K1124" s="52"/>
      <c r="L1124" s="52"/>
      <c r="M1124" s="52"/>
      <c r="N1124" s="19"/>
      <c r="O1124" s="19"/>
      <c r="P1124" s="19"/>
      <c r="Q1124" s="19"/>
      <c r="R1124" s="19"/>
      <c r="S1124" s="19"/>
      <c r="T1124" s="19"/>
      <c r="U1124" s="19"/>
      <c r="V1124" s="19"/>
      <c r="W1124" s="19"/>
      <c r="X1124" s="19"/>
      <c r="Y1124" s="19"/>
      <c r="Z1124" s="19"/>
      <c r="AA1124" s="19"/>
      <c r="AB1124" s="19"/>
      <c r="AC1124" s="19"/>
      <c r="AD1124" s="19"/>
      <c r="AE1124" s="19"/>
      <c r="AF1124" s="19"/>
      <c r="AG1124" s="19"/>
      <c r="AH1124" s="19"/>
      <c r="AI1124" s="19"/>
      <c r="AJ1124" s="19"/>
      <c r="AK1124" s="19"/>
      <c r="AL1124" s="19"/>
      <c r="AM1124" s="19"/>
      <c r="AN1124" s="19"/>
      <c r="AO1124" s="19"/>
      <c r="AP1124" s="19"/>
      <c r="AQ1124" s="19"/>
      <c r="AR1124" s="19"/>
      <c r="AS1124" s="19"/>
      <c r="AT1124" s="19"/>
      <c r="AU1124" s="19"/>
      <c r="AV1124" s="19"/>
      <c r="AW1124" s="19"/>
      <c r="AX1124" s="19"/>
      <c r="GA1124" s="54"/>
    </row>
    <row r="1125" spans="1:183" s="18" customFormat="1">
      <c r="A1125" s="51"/>
      <c r="B1125" s="52"/>
      <c r="C1125" s="52"/>
      <c r="D1125" s="52"/>
      <c r="E1125" s="53"/>
      <c r="F1125" s="52"/>
      <c r="G1125" s="52"/>
      <c r="H1125" s="52"/>
      <c r="I1125" s="53"/>
      <c r="J1125" s="52"/>
      <c r="K1125" s="52"/>
      <c r="L1125" s="52"/>
      <c r="M1125" s="52"/>
      <c r="N1125" s="19"/>
      <c r="O1125" s="19"/>
      <c r="P1125" s="19"/>
      <c r="Q1125" s="19"/>
      <c r="R1125" s="19"/>
      <c r="S1125" s="19"/>
      <c r="T1125" s="19"/>
      <c r="U1125" s="19"/>
      <c r="V1125" s="19"/>
      <c r="W1125" s="19"/>
      <c r="X1125" s="19"/>
      <c r="Y1125" s="19"/>
      <c r="Z1125" s="19"/>
      <c r="AA1125" s="19"/>
      <c r="AB1125" s="19"/>
      <c r="AC1125" s="19"/>
      <c r="AD1125" s="19"/>
      <c r="AE1125" s="19"/>
      <c r="AF1125" s="19"/>
      <c r="AG1125" s="19"/>
      <c r="AH1125" s="19"/>
      <c r="AI1125" s="19"/>
      <c r="AJ1125" s="19"/>
      <c r="AK1125" s="19"/>
      <c r="AL1125" s="19"/>
      <c r="AM1125" s="19"/>
      <c r="AN1125" s="19"/>
      <c r="AO1125" s="19"/>
      <c r="AP1125" s="19"/>
      <c r="AQ1125" s="19"/>
      <c r="AR1125" s="19"/>
      <c r="AS1125" s="19"/>
      <c r="AT1125" s="19"/>
      <c r="AU1125" s="19"/>
      <c r="AV1125" s="19"/>
      <c r="AW1125" s="19"/>
      <c r="AX1125" s="19"/>
      <c r="GA1125" s="54"/>
    </row>
    <row r="1126" spans="1:183" s="18" customFormat="1">
      <c r="A1126" s="51"/>
      <c r="B1126" s="52"/>
      <c r="C1126" s="52"/>
      <c r="D1126" s="52"/>
      <c r="E1126" s="53"/>
      <c r="F1126" s="52"/>
      <c r="G1126" s="52"/>
      <c r="H1126" s="52"/>
      <c r="I1126" s="53"/>
      <c r="J1126" s="52"/>
      <c r="K1126" s="52"/>
      <c r="L1126" s="52"/>
      <c r="M1126" s="52"/>
      <c r="N1126" s="19"/>
      <c r="O1126" s="19"/>
      <c r="P1126" s="19"/>
      <c r="Q1126" s="19"/>
      <c r="R1126" s="19"/>
      <c r="S1126" s="19"/>
      <c r="T1126" s="19"/>
      <c r="U1126" s="19"/>
      <c r="V1126" s="19"/>
      <c r="W1126" s="19"/>
      <c r="X1126" s="19"/>
      <c r="Y1126" s="19"/>
      <c r="Z1126" s="19"/>
      <c r="AA1126" s="19"/>
      <c r="AB1126" s="19"/>
      <c r="AC1126" s="19"/>
      <c r="AD1126" s="19"/>
      <c r="AE1126" s="19"/>
      <c r="AF1126" s="19"/>
      <c r="AG1126" s="19"/>
      <c r="AH1126" s="19"/>
      <c r="AI1126" s="19"/>
      <c r="AJ1126" s="19"/>
      <c r="AK1126" s="19"/>
      <c r="AL1126" s="19"/>
      <c r="AM1126" s="19"/>
      <c r="AN1126" s="19"/>
      <c r="AO1126" s="19"/>
      <c r="AP1126" s="19"/>
      <c r="AQ1126" s="19"/>
      <c r="AR1126" s="19"/>
      <c r="AS1126" s="19"/>
      <c r="AT1126" s="19"/>
      <c r="AU1126" s="19"/>
      <c r="AV1126" s="19"/>
      <c r="AW1126" s="19"/>
      <c r="AX1126" s="19"/>
      <c r="GA1126" s="54"/>
    </row>
    <row r="1127" spans="1:183" s="18" customFormat="1">
      <c r="A1127" s="51"/>
      <c r="B1127" s="52"/>
      <c r="C1127" s="52"/>
      <c r="D1127" s="52"/>
      <c r="E1127" s="53"/>
      <c r="F1127" s="52"/>
      <c r="G1127" s="52"/>
      <c r="H1127" s="52"/>
      <c r="I1127" s="53"/>
      <c r="J1127" s="52"/>
      <c r="K1127" s="52"/>
      <c r="L1127" s="52"/>
      <c r="M1127" s="52"/>
      <c r="N1127" s="19"/>
      <c r="O1127" s="19"/>
      <c r="P1127" s="19"/>
      <c r="Q1127" s="19"/>
      <c r="R1127" s="19"/>
      <c r="S1127" s="19"/>
      <c r="T1127" s="19"/>
      <c r="U1127" s="19"/>
      <c r="V1127" s="19"/>
      <c r="W1127" s="19"/>
      <c r="X1127" s="19"/>
      <c r="Y1127" s="19"/>
      <c r="Z1127" s="19"/>
      <c r="AA1127" s="19"/>
      <c r="AB1127" s="19"/>
      <c r="AC1127" s="19"/>
      <c r="AD1127" s="19"/>
      <c r="AE1127" s="19"/>
      <c r="AF1127" s="19"/>
      <c r="AG1127" s="19"/>
      <c r="AH1127" s="19"/>
      <c r="AI1127" s="19"/>
      <c r="AJ1127" s="19"/>
      <c r="AK1127" s="19"/>
      <c r="AL1127" s="19"/>
      <c r="AM1127" s="19"/>
      <c r="AN1127" s="19"/>
      <c r="AO1127" s="19"/>
      <c r="AP1127" s="19"/>
      <c r="AQ1127" s="19"/>
      <c r="AR1127" s="19"/>
      <c r="AS1127" s="19"/>
      <c r="AT1127" s="19"/>
      <c r="AU1127" s="19"/>
      <c r="AV1127" s="19"/>
      <c r="AW1127" s="19"/>
      <c r="AX1127" s="19"/>
      <c r="GA1127" s="54"/>
    </row>
    <row r="1128" spans="1:183" s="18" customFormat="1">
      <c r="A1128" s="51"/>
      <c r="B1128" s="52"/>
      <c r="C1128" s="52"/>
      <c r="D1128" s="52"/>
      <c r="E1128" s="53"/>
      <c r="F1128" s="52"/>
      <c r="G1128" s="52"/>
      <c r="H1128" s="52"/>
      <c r="I1128" s="53"/>
      <c r="J1128" s="52"/>
      <c r="K1128" s="52"/>
      <c r="L1128" s="52"/>
      <c r="M1128" s="52"/>
      <c r="N1128" s="19"/>
      <c r="O1128" s="19"/>
      <c r="P1128" s="19"/>
      <c r="Q1128" s="19"/>
      <c r="R1128" s="19"/>
      <c r="S1128" s="19"/>
      <c r="T1128" s="19"/>
      <c r="U1128" s="19"/>
      <c r="V1128" s="19"/>
      <c r="W1128" s="19"/>
      <c r="X1128" s="19"/>
      <c r="Y1128" s="19"/>
      <c r="Z1128" s="19"/>
      <c r="AA1128" s="19"/>
      <c r="AB1128" s="19"/>
      <c r="AC1128" s="19"/>
      <c r="AD1128" s="19"/>
      <c r="AE1128" s="19"/>
      <c r="AF1128" s="19"/>
      <c r="AG1128" s="19"/>
      <c r="AH1128" s="19"/>
      <c r="AI1128" s="19"/>
      <c r="AJ1128" s="19"/>
      <c r="AK1128" s="19"/>
      <c r="AL1128" s="19"/>
      <c r="AM1128" s="19"/>
      <c r="AN1128" s="19"/>
      <c r="AO1128" s="19"/>
      <c r="AP1128" s="19"/>
      <c r="AQ1128" s="19"/>
      <c r="AR1128" s="19"/>
      <c r="AS1128" s="19"/>
      <c r="AT1128" s="19"/>
      <c r="AU1128" s="19"/>
      <c r="AV1128" s="19"/>
      <c r="AW1128" s="19"/>
      <c r="AX1128" s="19"/>
      <c r="GA1128" s="54"/>
    </row>
    <row r="1129" spans="1:183" s="18" customFormat="1">
      <c r="A1129" s="51"/>
      <c r="B1129" s="52"/>
      <c r="C1129" s="52"/>
      <c r="D1129" s="52"/>
      <c r="E1129" s="53"/>
      <c r="F1129" s="52"/>
      <c r="G1129" s="52"/>
      <c r="H1129" s="52"/>
      <c r="I1129" s="53"/>
      <c r="J1129" s="52"/>
      <c r="K1129" s="52"/>
      <c r="L1129" s="52"/>
      <c r="M1129" s="52"/>
      <c r="N1129" s="19"/>
      <c r="O1129" s="19"/>
      <c r="P1129" s="19"/>
      <c r="Q1129" s="19"/>
      <c r="R1129" s="19"/>
      <c r="S1129" s="19"/>
      <c r="T1129" s="19"/>
      <c r="U1129" s="19"/>
      <c r="V1129" s="19"/>
      <c r="W1129" s="19"/>
      <c r="X1129" s="19"/>
      <c r="Y1129" s="19"/>
      <c r="Z1129" s="19"/>
      <c r="AA1129" s="19"/>
      <c r="AB1129" s="19"/>
      <c r="AC1129" s="19"/>
      <c r="AD1129" s="19"/>
      <c r="AE1129" s="19"/>
      <c r="AF1129" s="19"/>
      <c r="AG1129" s="19"/>
      <c r="AH1129" s="19"/>
      <c r="AI1129" s="19"/>
      <c r="AJ1129" s="19"/>
      <c r="AK1129" s="19"/>
      <c r="AL1129" s="19"/>
      <c r="AM1129" s="19"/>
      <c r="AN1129" s="19"/>
      <c r="AO1129" s="19"/>
      <c r="AP1129" s="19"/>
      <c r="AQ1129" s="19"/>
      <c r="AR1129" s="19"/>
      <c r="AS1129" s="19"/>
      <c r="AT1129" s="19"/>
      <c r="AU1129" s="19"/>
      <c r="AV1129" s="19"/>
      <c r="AW1129" s="19"/>
      <c r="AX1129" s="19"/>
      <c r="GA1129" s="54"/>
    </row>
    <row r="1130" spans="1:183" s="18" customFormat="1">
      <c r="A1130" s="51"/>
      <c r="B1130" s="52"/>
      <c r="C1130" s="52"/>
      <c r="D1130" s="52"/>
      <c r="E1130" s="53"/>
      <c r="F1130" s="52"/>
      <c r="G1130" s="52"/>
      <c r="H1130" s="52"/>
      <c r="I1130" s="53"/>
      <c r="J1130" s="52"/>
      <c r="K1130" s="52"/>
      <c r="L1130" s="52"/>
      <c r="M1130" s="52"/>
      <c r="N1130" s="19"/>
      <c r="O1130" s="19"/>
      <c r="P1130" s="19"/>
      <c r="Q1130" s="19"/>
      <c r="R1130" s="19"/>
      <c r="S1130" s="19"/>
      <c r="T1130" s="19"/>
      <c r="U1130" s="19"/>
      <c r="V1130" s="19"/>
      <c r="W1130" s="19"/>
      <c r="X1130" s="19"/>
      <c r="Y1130" s="19"/>
      <c r="Z1130" s="19"/>
      <c r="AA1130" s="19"/>
      <c r="AB1130" s="19"/>
      <c r="AC1130" s="19"/>
      <c r="AD1130" s="19"/>
      <c r="AE1130" s="19"/>
      <c r="AF1130" s="19"/>
      <c r="AG1130" s="19"/>
      <c r="AH1130" s="19"/>
      <c r="AI1130" s="19"/>
      <c r="AJ1130" s="19"/>
      <c r="AK1130" s="19"/>
      <c r="AL1130" s="19"/>
      <c r="AM1130" s="19"/>
      <c r="AN1130" s="19"/>
      <c r="AO1130" s="19"/>
      <c r="AP1130" s="19"/>
      <c r="AQ1130" s="19"/>
      <c r="AR1130" s="19"/>
      <c r="AS1130" s="19"/>
      <c r="AT1130" s="19"/>
      <c r="AU1130" s="19"/>
      <c r="AV1130" s="19"/>
      <c r="AW1130" s="19"/>
      <c r="AX1130" s="19"/>
      <c r="GA1130" s="54"/>
    </row>
    <row r="1131" spans="1:183" s="18" customFormat="1">
      <c r="A1131" s="51"/>
      <c r="B1131" s="52"/>
      <c r="C1131" s="52"/>
      <c r="D1131" s="52"/>
      <c r="E1131" s="53"/>
      <c r="F1131" s="52"/>
      <c r="G1131" s="52"/>
      <c r="H1131" s="52"/>
      <c r="I1131" s="53"/>
      <c r="J1131" s="52"/>
      <c r="K1131" s="52"/>
      <c r="L1131" s="52"/>
      <c r="M1131" s="52"/>
      <c r="N1131" s="19"/>
      <c r="O1131" s="19"/>
      <c r="P1131" s="19"/>
      <c r="Q1131" s="19"/>
      <c r="R1131" s="19"/>
      <c r="S1131" s="19"/>
      <c r="T1131" s="19"/>
      <c r="U1131" s="19"/>
      <c r="V1131" s="19"/>
      <c r="W1131" s="19"/>
      <c r="X1131" s="19"/>
      <c r="Y1131" s="19"/>
      <c r="Z1131" s="19"/>
      <c r="AA1131" s="19"/>
      <c r="AB1131" s="19"/>
      <c r="AC1131" s="19"/>
      <c r="AD1131" s="19"/>
      <c r="AE1131" s="19"/>
      <c r="AF1131" s="19"/>
      <c r="AG1131" s="19"/>
      <c r="AH1131" s="19"/>
      <c r="AI1131" s="19"/>
      <c r="AJ1131" s="19"/>
      <c r="AK1131" s="19"/>
      <c r="AL1131" s="19"/>
      <c r="AM1131" s="19"/>
      <c r="AN1131" s="19"/>
      <c r="AO1131" s="19"/>
      <c r="AP1131" s="19"/>
      <c r="AQ1131" s="19"/>
      <c r="AR1131" s="19"/>
      <c r="AS1131" s="19"/>
      <c r="AT1131" s="19"/>
      <c r="AU1131" s="19"/>
      <c r="AV1131" s="19"/>
      <c r="AW1131" s="19"/>
      <c r="AX1131" s="19"/>
      <c r="GA1131" s="54"/>
    </row>
    <row r="1132" spans="1:183" s="18" customFormat="1">
      <c r="A1132" s="51"/>
      <c r="B1132" s="52"/>
      <c r="C1132" s="52"/>
      <c r="D1132" s="52"/>
      <c r="E1132" s="53"/>
      <c r="F1132" s="52"/>
      <c r="G1132" s="52"/>
      <c r="H1132" s="52"/>
      <c r="I1132" s="53"/>
      <c r="J1132" s="52"/>
      <c r="K1132" s="52"/>
      <c r="L1132" s="52"/>
      <c r="M1132" s="52"/>
      <c r="N1132" s="19"/>
      <c r="O1132" s="19"/>
      <c r="P1132" s="19"/>
      <c r="Q1132" s="19"/>
      <c r="R1132" s="19"/>
      <c r="S1132" s="19"/>
      <c r="T1132" s="19"/>
      <c r="U1132" s="19"/>
      <c r="V1132" s="19"/>
      <c r="W1132" s="19"/>
      <c r="X1132" s="19"/>
      <c r="Y1132" s="19"/>
      <c r="Z1132" s="19"/>
      <c r="AA1132" s="19"/>
      <c r="AB1132" s="19"/>
      <c r="AC1132" s="19"/>
      <c r="AD1132" s="19"/>
      <c r="AE1132" s="19"/>
      <c r="AF1132" s="19"/>
      <c r="AG1132" s="19"/>
      <c r="AH1132" s="19"/>
      <c r="AI1132" s="19"/>
      <c r="AJ1132" s="19"/>
      <c r="AK1132" s="19"/>
      <c r="AL1132" s="19"/>
      <c r="AM1132" s="19"/>
      <c r="AN1132" s="19"/>
      <c r="AO1132" s="19"/>
      <c r="AP1132" s="19"/>
      <c r="AQ1132" s="19"/>
      <c r="AR1132" s="19"/>
      <c r="AS1132" s="19"/>
      <c r="AT1132" s="19"/>
      <c r="AU1132" s="19"/>
      <c r="AV1132" s="19"/>
      <c r="AW1132" s="19"/>
      <c r="AX1132" s="19"/>
      <c r="GA1132" s="54"/>
    </row>
    <row r="1133" spans="1:183" s="18" customFormat="1">
      <c r="A1133" s="51"/>
      <c r="B1133" s="52"/>
      <c r="C1133" s="52"/>
      <c r="D1133" s="52"/>
      <c r="E1133" s="53"/>
      <c r="F1133" s="52"/>
      <c r="G1133" s="52"/>
      <c r="H1133" s="52"/>
      <c r="I1133" s="53"/>
      <c r="J1133" s="52"/>
      <c r="K1133" s="52"/>
      <c r="L1133" s="52"/>
      <c r="M1133" s="52"/>
      <c r="N1133" s="19"/>
      <c r="O1133" s="19"/>
      <c r="P1133" s="19"/>
      <c r="Q1133" s="19"/>
      <c r="R1133" s="19"/>
      <c r="S1133" s="19"/>
      <c r="T1133" s="19"/>
      <c r="U1133" s="19"/>
      <c r="V1133" s="19"/>
      <c r="W1133" s="19"/>
      <c r="X1133" s="19"/>
      <c r="Y1133" s="19"/>
      <c r="Z1133" s="19"/>
      <c r="AA1133" s="19"/>
      <c r="AB1133" s="19"/>
      <c r="AC1133" s="19"/>
      <c r="AD1133" s="19"/>
      <c r="AE1133" s="19"/>
      <c r="AF1133" s="19"/>
      <c r="AG1133" s="19"/>
      <c r="AH1133" s="19"/>
      <c r="AI1133" s="19"/>
      <c r="AJ1133" s="19"/>
      <c r="AK1133" s="19"/>
      <c r="AL1133" s="19"/>
      <c r="AM1133" s="19"/>
      <c r="AN1133" s="19"/>
      <c r="AO1133" s="19"/>
      <c r="AP1133" s="19"/>
      <c r="AQ1133" s="19"/>
      <c r="AR1133" s="19"/>
      <c r="AS1133" s="19"/>
      <c r="AT1133" s="19"/>
      <c r="AU1133" s="19"/>
      <c r="AV1133" s="19"/>
      <c r="AW1133" s="19"/>
      <c r="AX1133" s="19"/>
      <c r="GA1133" s="54"/>
    </row>
    <row r="1134" spans="1:183" s="18" customFormat="1">
      <c r="A1134" s="51"/>
      <c r="B1134" s="52"/>
      <c r="C1134" s="52"/>
      <c r="D1134" s="52"/>
      <c r="E1134" s="53"/>
      <c r="F1134" s="52"/>
      <c r="G1134" s="52"/>
      <c r="H1134" s="52"/>
      <c r="I1134" s="53"/>
      <c r="J1134" s="52"/>
      <c r="K1134" s="52"/>
      <c r="L1134" s="52"/>
      <c r="M1134" s="52"/>
      <c r="N1134" s="19"/>
      <c r="O1134" s="19"/>
      <c r="P1134" s="19"/>
      <c r="Q1134" s="19"/>
      <c r="R1134" s="19"/>
      <c r="S1134" s="19"/>
      <c r="T1134" s="19"/>
      <c r="U1134" s="19"/>
      <c r="V1134" s="19"/>
      <c r="W1134" s="19"/>
      <c r="X1134" s="19"/>
      <c r="Y1134" s="19"/>
      <c r="Z1134" s="19"/>
      <c r="AA1134" s="19"/>
      <c r="AB1134" s="19"/>
      <c r="AC1134" s="19"/>
      <c r="AD1134" s="19"/>
      <c r="AE1134" s="19"/>
      <c r="AF1134" s="19"/>
      <c r="AG1134" s="19"/>
      <c r="AH1134" s="19"/>
      <c r="AI1134" s="19"/>
      <c r="AJ1134" s="19"/>
      <c r="AK1134" s="19"/>
      <c r="AL1134" s="19"/>
      <c r="AM1134" s="19"/>
      <c r="AN1134" s="19"/>
      <c r="AO1134" s="19"/>
      <c r="AP1134" s="19"/>
      <c r="AQ1134" s="19"/>
      <c r="AR1134" s="19"/>
      <c r="AS1134" s="19"/>
      <c r="AT1134" s="19"/>
      <c r="AU1134" s="19"/>
      <c r="AV1134" s="19"/>
      <c r="AW1134" s="19"/>
      <c r="AX1134" s="19"/>
      <c r="GA1134" s="54"/>
    </row>
    <row r="1135" spans="1:183" s="18" customFormat="1">
      <c r="A1135" s="51"/>
      <c r="B1135" s="52"/>
      <c r="C1135" s="52"/>
      <c r="D1135" s="52"/>
      <c r="E1135" s="53"/>
      <c r="F1135" s="52"/>
      <c r="G1135" s="52"/>
      <c r="H1135" s="52"/>
      <c r="I1135" s="53"/>
      <c r="J1135" s="52"/>
      <c r="K1135" s="52"/>
      <c r="L1135" s="52"/>
      <c r="M1135" s="52"/>
      <c r="N1135" s="19"/>
      <c r="O1135" s="19"/>
      <c r="P1135" s="19"/>
      <c r="Q1135" s="19"/>
      <c r="R1135" s="19"/>
      <c r="S1135" s="19"/>
      <c r="T1135" s="19"/>
      <c r="U1135" s="19"/>
      <c r="V1135" s="19"/>
      <c r="W1135" s="19"/>
      <c r="X1135" s="19"/>
      <c r="Y1135" s="19"/>
      <c r="Z1135" s="19"/>
      <c r="AA1135" s="19"/>
      <c r="AB1135" s="19"/>
      <c r="AC1135" s="19"/>
      <c r="AD1135" s="19"/>
      <c r="AE1135" s="19"/>
      <c r="AF1135" s="19"/>
      <c r="AG1135" s="19"/>
      <c r="AH1135" s="19"/>
      <c r="AI1135" s="19"/>
      <c r="AJ1135" s="19"/>
      <c r="AK1135" s="19"/>
      <c r="AL1135" s="19"/>
      <c r="AM1135" s="19"/>
      <c r="AN1135" s="19"/>
      <c r="AO1135" s="19"/>
      <c r="AP1135" s="19"/>
      <c r="AQ1135" s="19"/>
      <c r="AR1135" s="19"/>
      <c r="AS1135" s="19"/>
      <c r="AT1135" s="19"/>
      <c r="AU1135" s="19"/>
      <c r="AV1135" s="19"/>
      <c r="AW1135" s="19"/>
      <c r="AX1135" s="19"/>
      <c r="GA1135" s="54"/>
    </row>
    <row r="1136" spans="1:183" s="18" customFormat="1">
      <c r="A1136" s="51"/>
      <c r="B1136" s="52"/>
      <c r="C1136" s="52"/>
      <c r="D1136" s="52"/>
      <c r="E1136" s="53"/>
      <c r="F1136" s="52"/>
      <c r="G1136" s="52"/>
      <c r="H1136" s="52"/>
      <c r="I1136" s="53"/>
      <c r="J1136" s="52"/>
      <c r="K1136" s="52"/>
      <c r="L1136" s="52"/>
      <c r="M1136" s="52"/>
      <c r="N1136" s="19"/>
      <c r="O1136" s="19"/>
      <c r="P1136" s="19"/>
      <c r="Q1136" s="19"/>
      <c r="R1136" s="19"/>
      <c r="S1136" s="19"/>
      <c r="T1136" s="19"/>
      <c r="U1136" s="19"/>
      <c r="V1136" s="19"/>
      <c r="W1136" s="19"/>
      <c r="X1136" s="19"/>
      <c r="Y1136" s="19"/>
      <c r="Z1136" s="19"/>
      <c r="AA1136" s="19"/>
      <c r="AB1136" s="19"/>
      <c r="AC1136" s="19"/>
      <c r="AD1136" s="19"/>
      <c r="AE1136" s="19"/>
      <c r="AF1136" s="19"/>
      <c r="AG1136" s="19"/>
      <c r="AH1136" s="19"/>
      <c r="AI1136" s="19"/>
      <c r="AJ1136" s="19"/>
      <c r="AK1136" s="19"/>
      <c r="AL1136" s="19"/>
      <c r="AM1136" s="19"/>
      <c r="AN1136" s="19"/>
      <c r="AO1136" s="19"/>
      <c r="AP1136" s="19"/>
      <c r="AQ1136" s="19"/>
      <c r="AR1136" s="19"/>
      <c r="AS1136" s="19"/>
      <c r="AT1136" s="19"/>
      <c r="AU1136" s="19"/>
      <c r="AV1136" s="19"/>
      <c r="AW1136" s="19"/>
      <c r="AX1136" s="19"/>
      <c r="GA1136" s="54"/>
    </row>
    <row r="1137" spans="1:183" s="18" customFormat="1">
      <c r="A1137" s="51"/>
      <c r="B1137" s="52"/>
      <c r="C1137" s="52"/>
      <c r="D1137" s="52"/>
      <c r="E1137" s="53"/>
      <c r="F1137" s="52"/>
      <c r="G1137" s="52"/>
      <c r="H1137" s="52"/>
      <c r="I1137" s="53"/>
      <c r="J1137" s="52"/>
      <c r="K1137" s="52"/>
      <c r="L1137" s="52"/>
      <c r="M1137" s="52"/>
      <c r="N1137" s="19"/>
      <c r="O1137" s="19"/>
      <c r="P1137" s="19"/>
      <c r="Q1137" s="19"/>
      <c r="R1137" s="19"/>
      <c r="S1137" s="19"/>
      <c r="T1137" s="19"/>
      <c r="U1137" s="19"/>
      <c r="V1137" s="19"/>
      <c r="W1137" s="19"/>
      <c r="X1137" s="19"/>
      <c r="Y1137" s="19"/>
      <c r="Z1137" s="19"/>
      <c r="AA1137" s="19"/>
      <c r="AB1137" s="19"/>
      <c r="AC1137" s="19"/>
      <c r="AD1137" s="19"/>
      <c r="AE1137" s="19"/>
      <c r="AF1137" s="19"/>
      <c r="AG1137" s="19"/>
      <c r="AH1137" s="19"/>
      <c r="AI1137" s="19"/>
      <c r="AJ1137" s="19"/>
      <c r="AK1137" s="19"/>
      <c r="AL1137" s="19"/>
      <c r="AM1137" s="19"/>
      <c r="AN1137" s="19"/>
      <c r="AO1137" s="19"/>
      <c r="AP1137" s="19"/>
      <c r="AQ1137" s="19"/>
      <c r="AR1137" s="19"/>
      <c r="AS1137" s="19"/>
      <c r="AT1137" s="19"/>
      <c r="AU1137" s="19"/>
      <c r="AV1137" s="19"/>
      <c r="AW1137" s="19"/>
      <c r="AX1137" s="19"/>
      <c r="GA1137" s="54"/>
    </row>
    <row r="1138" spans="1:183" s="18" customFormat="1">
      <c r="A1138" s="51"/>
      <c r="B1138" s="52"/>
      <c r="C1138" s="52"/>
      <c r="D1138" s="52"/>
      <c r="E1138" s="53"/>
      <c r="F1138" s="52"/>
      <c r="G1138" s="52"/>
      <c r="H1138" s="52"/>
      <c r="I1138" s="53"/>
      <c r="J1138" s="52"/>
      <c r="K1138" s="52"/>
      <c r="L1138" s="52"/>
      <c r="M1138" s="52"/>
      <c r="N1138" s="19"/>
      <c r="O1138" s="19"/>
      <c r="P1138" s="19"/>
      <c r="Q1138" s="19"/>
      <c r="R1138" s="19"/>
      <c r="S1138" s="19"/>
      <c r="T1138" s="19"/>
      <c r="U1138" s="19"/>
      <c r="V1138" s="19"/>
      <c r="W1138" s="19"/>
      <c r="X1138" s="19"/>
      <c r="Y1138" s="19"/>
      <c r="Z1138" s="19"/>
      <c r="AA1138" s="19"/>
      <c r="AB1138" s="19"/>
      <c r="AC1138" s="19"/>
      <c r="AD1138" s="19"/>
      <c r="AE1138" s="19"/>
      <c r="AF1138" s="19"/>
      <c r="AG1138" s="19"/>
      <c r="AH1138" s="19"/>
      <c r="AI1138" s="19"/>
      <c r="AJ1138" s="19"/>
      <c r="AK1138" s="19"/>
      <c r="AL1138" s="19"/>
      <c r="AM1138" s="19"/>
      <c r="AN1138" s="19"/>
      <c r="AO1138" s="19"/>
      <c r="AP1138" s="19"/>
      <c r="AQ1138" s="19"/>
      <c r="AR1138" s="19"/>
      <c r="AS1138" s="19"/>
      <c r="AT1138" s="19"/>
      <c r="AU1138" s="19"/>
      <c r="AV1138" s="19"/>
      <c r="AW1138" s="19"/>
      <c r="AX1138" s="19"/>
      <c r="GA1138" s="54"/>
    </row>
    <row r="1139" spans="1:183" s="18" customFormat="1">
      <c r="A1139" s="51"/>
      <c r="B1139" s="52"/>
      <c r="C1139" s="52"/>
      <c r="D1139" s="52"/>
      <c r="E1139" s="53"/>
      <c r="F1139" s="52"/>
      <c r="G1139" s="52"/>
      <c r="H1139" s="52"/>
      <c r="I1139" s="53"/>
      <c r="J1139" s="52"/>
      <c r="K1139" s="52"/>
      <c r="L1139" s="52"/>
      <c r="M1139" s="52"/>
      <c r="N1139" s="19"/>
      <c r="O1139" s="19"/>
      <c r="P1139" s="19"/>
      <c r="Q1139" s="19"/>
      <c r="R1139" s="19"/>
      <c r="S1139" s="19"/>
      <c r="T1139" s="19"/>
      <c r="U1139" s="19"/>
      <c r="V1139" s="19"/>
      <c r="W1139" s="19"/>
      <c r="X1139" s="19"/>
      <c r="Y1139" s="19"/>
      <c r="Z1139" s="19"/>
      <c r="AA1139" s="19"/>
      <c r="AB1139" s="19"/>
      <c r="AC1139" s="19"/>
      <c r="AD1139" s="19"/>
      <c r="AE1139" s="19"/>
      <c r="AF1139" s="19"/>
      <c r="AG1139" s="19"/>
      <c r="AH1139" s="19"/>
      <c r="AI1139" s="19"/>
      <c r="AJ1139" s="19"/>
      <c r="AK1139" s="19"/>
      <c r="AL1139" s="19"/>
      <c r="AM1139" s="19"/>
      <c r="AN1139" s="19"/>
      <c r="AO1139" s="19"/>
      <c r="AP1139" s="19"/>
      <c r="AQ1139" s="19"/>
      <c r="AR1139" s="19"/>
      <c r="AS1139" s="19"/>
      <c r="AT1139" s="19"/>
      <c r="AU1139" s="19"/>
      <c r="AV1139" s="19"/>
      <c r="AW1139" s="19"/>
      <c r="AX1139" s="19"/>
      <c r="GA1139" s="54"/>
    </row>
    <row r="1140" spans="1:183" s="18" customFormat="1">
      <c r="A1140" s="51"/>
      <c r="B1140" s="52"/>
      <c r="C1140" s="52"/>
      <c r="D1140" s="52"/>
      <c r="E1140" s="53"/>
      <c r="F1140" s="52"/>
      <c r="G1140" s="52"/>
      <c r="H1140" s="52"/>
      <c r="I1140" s="53"/>
      <c r="J1140" s="52"/>
      <c r="K1140" s="52"/>
      <c r="L1140" s="52"/>
      <c r="M1140" s="52"/>
      <c r="N1140" s="19"/>
      <c r="O1140" s="19"/>
      <c r="P1140" s="19"/>
      <c r="Q1140" s="19"/>
      <c r="R1140" s="19"/>
      <c r="S1140" s="19"/>
      <c r="T1140" s="19"/>
      <c r="U1140" s="19"/>
      <c r="V1140" s="19"/>
      <c r="W1140" s="19"/>
      <c r="X1140" s="19"/>
      <c r="Y1140" s="19"/>
      <c r="Z1140" s="19"/>
      <c r="AA1140" s="19"/>
      <c r="AB1140" s="19"/>
      <c r="AC1140" s="19"/>
      <c r="AD1140" s="19"/>
      <c r="AE1140" s="19"/>
      <c r="AF1140" s="19"/>
      <c r="AG1140" s="19"/>
      <c r="AH1140" s="19"/>
      <c r="AI1140" s="19"/>
      <c r="AJ1140" s="19"/>
      <c r="AK1140" s="19"/>
      <c r="AL1140" s="19"/>
      <c r="AM1140" s="19"/>
      <c r="AN1140" s="19"/>
      <c r="AO1140" s="19"/>
      <c r="AP1140" s="19"/>
      <c r="AQ1140" s="19"/>
      <c r="AR1140" s="19"/>
      <c r="AS1140" s="19"/>
      <c r="AT1140" s="19"/>
      <c r="AU1140" s="19"/>
      <c r="AV1140" s="19"/>
      <c r="AW1140" s="19"/>
      <c r="AX1140" s="19"/>
      <c r="GA1140" s="54"/>
    </row>
    <row r="1141" spans="1:183" s="18" customFormat="1">
      <c r="A1141" s="51"/>
      <c r="B1141" s="52"/>
      <c r="C1141" s="52"/>
      <c r="D1141" s="52"/>
      <c r="E1141" s="53"/>
      <c r="F1141" s="52"/>
      <c r="G1141" s="52"/>
      <c r="H1141" s="52"/>
      <c r="I1141" s="53"/>
      <c r="J1141" s="52"/>
      <c r="K1141" s="52"/>
      <c r="L1141" s="52"/>
      <c r="M1141" s="52"/>
      <c r="N1141" s="19"/>
      <c r="O1141" s="19"/>
      <c r="P1141" s="19"/>
      <c r="Q1141" s="19"/>
      <c r="R1141" s="19"/>
      <c r="S1141" s="19"/>
      <c r="T1141" s="19"/>
      <c r="U1141" s="19"/>
      <c r="V1141" s="19"/>
      <c r="W1141" s="19"/>
      <c r="X1141" s="19"/>
      <c r="Y1141" s="19"/>
      <c r="Z1141" s="19"/>
      <c r="AA1141" s="19"/>
      <c r="AB1141" s="19"/>
      <c r="AC1141" s="19"/>
      <c r="AD1141" s="19"/>
      <c r="AE1141" s="19"/>
      <c r="AF1141" s="19"/>
      <c r="AG1141" s="19"/>
      <c r="AH1141" s="19"/>
      <c r="AI1141" s="19"/>
      <c r="AJ1141" s="19"/>
      <c r="AK1141" s="19"/>
      <c r="AL1141" s="19"/>
      <c r="AM1141" s="19"/>
      <c r="AN1141" s="19"/>
      <c r="AO1141" s="19"/>
      <c r="AP1141" s="19"/>
      <c r="AQ1141" s="19"/>
      <c r="AR1141" s="19"/>
      <c r="AS1141" s="19"/>
      <c r="AT1141" s="19"/>
      <c r="AU1141" s="19"/>
      <c r="AV1141" s="19"/>
      <c r="AW1141" s="19"/>
      <c r="AX1141" s="19"/>
      <c r="GA1141" s="54"/>
    </row>
    <row r="1142" spans="1:183" s="18" customFormat="1">
      <c r="A1142" s="51"/>
      <c r="B1142" s="52"/>
      <c r="C1142" s="52"/>
      <c r="D1142" s="52"/>
      <c r="E1142" s="53"/>
      <c r="F1142" s="52"/>
      <c r="G1142" s="52"/>
      <c r="H1142" s="52"/>
      <c r="I1142" s="53"/>
      <c r="J1142" s="52"/>
      <c r="K1142" s="52"/>
      <c r="L1142" s="52"/>
      <c r="M1142" s="52"/>
      <c r="N1142" s="19"/>
      <c r="O1142" s="19"/>
      <c r="P1142" s="19"/>
      <c r="Q1142" s="19"/>
      <c r="R1142" s="19"/>
      <c r="S1142" s="19"/>
      <c r="T1142" s="19"/>
      <c r="U1142" s="19"/>
      <c r="V1142" s="19"/>
      <c r="W1142" s="19"/>
      <c r="X1142" s="19"/>
      <c r="Y1142" s="19"/>
      <c r="Z1142" s="19"/>
      <c r="AA1142" s="19"/>
      <c r="AB1142" s="19"/>
      <c r="AC1142" s="19"/>
      <c r="AD1142" s="19"/>
      <c r="AE1142" s="19"/>
      <c r="AF1142" s="19"/>
      <c r="AG1142" s="19"/>
      <c r="AH1142" s="19"/>
      <c r="AI1142" s="19"/>
      <c r="AJ1142" s="19"/>
      <c r="AK1142" s="19"/>
      <c r="AL1142" s="19"/>
      <c r="AM1142" s="19"/>
      <c r="AN1142" s="19"/>
      <c r="AO1142" s="19"/>
      <c r="AP1142" s="19"/>
      <c r="AQ1142" s="19"/>
      <c r="AR1142" s="19"/>
      <c r="AS1142" s="19"/>
      <c r="AT1142" s="19"/>
      <c r="AU1142" s="19"/>
      <c r="AV1142" s="19"/>
      <c r="AW1142" s="19"/>
      <c r="AX1142" s="19"/>
      <c r="GA1142" s="54"/>
    </row>
    <row r="1143" spans="1:183" s="18" customFormat="1">
      <c r="A1143" s="51"/>
      <c r="B1143" s="52"/>
      <c r="C1143" s="52"/>
      <c r="D1143" s="52"/>
      <c r="E1143" s="53"/>
      <c r="F1143" s="52"/>
      <c r="G1143" s="52"/>
      <c r="H1143" s="52"/>
      <c r="I1143" s="53"/>
      <c r="J1143" s="52"/>
      <c r="K1143" s="52"/>
      <c r="L1143" s="52"/>
      <c r="M1143" s="52"/>
      <c r="N1143" s="19"/>
      <c r="O1143" s="19"/>
      <c r="P1143" s="19"/>
      <c r="Q1143" s="19"/>
      <c r="R1143" s="19"/>
      <c r="S1143" s="19"/>
      <c r="T1143" s="19"/>
      <c r="U1143" s="19"/>
      <c r="V1143" s="19"/>
      <c r="W1143" s="19"/>
      <c r="X1143" s="19"/>
      <c r="Y1143" s="19"/>
      <c r="Z1143" s="19"/>
      <c r="AA1143" s="19"/>
      <c r="AB1143" s="19"/>
      <c r="AC1143" s="19"/>
      <c r="AD1143" s="19"/>
      <c r="AE1143" s="19"/>
      <c r="AF1143" s="19"/>
      <c r="AG1143" s="19"/>
      <c r="AH1143" s="19"/>
      <c r="AI1143" s="19"/>
      <c r="AJ1143" s="19"/>
      <c r="AK1143" s="19"/>
      <c r="AL1143" s="19"/>
      <c r="AM1143" s="19"/>
      <c r="AN1143" s="19"/>
      <c r="AO1143" s="19"/>
      <c r="AP1143" s="19"/>
      <c r="AQ1143" s="19"/>
      <c r="AR1143" s="19"/>
      <c r="AS1143" s="19"/>
      <c r="AT1143" s="19"/>
      <c r="AU1143" s="19"/>
      <c r="AV1143" s="19"/>
      <c r="AW1143" s="19"/>
      <c r="AX1143" s="19"/>
      <c r="GA1143" s="54"/>
    </row>
    <row r="1144" spans="1:183" s="18" customFormat="1">
      <c r="A1144" s="51"/>
      <c r="B1144" s="52"/>
      <c r="C1144" s="52"/>
      <c r="D1144" s="52"/>
      <c r="E1144" s="53"/>
      <c r="F1144" s="52"/>
      <c r="G1144" s="52"/>
      <c r="H1144" s="52"/>
      <c r="I1144" s="53"/>
      <c r="J1144" s="52"/>
      <c r="K1144" s="52"/>
      <c r="L1144" s="52"/>
      <c r="M1144" s="52"/>
      <c r="N1144" s="19"/>
      <c r="O1144" s="19"/>
      <c r="P1144" s="19"/>
      <c r="Q1144" s="19"/>
      <c r="R1144" s="19"/>
      <c r="S1144" s="19"/>
      <c r="T1144" s="19"/>
      <c r="U1144" s="19"/>
      <c r="V1144" s="19"/>
      <c r="W1144" s="19"/>
      <c r="X1144" s="19"/>
      <c r="Y1144" s="19"/>
      <c r="Z1144" s="19"/>
      <c r="AA1144" s="19"/>
      <c r="AB1144" s="19"/>
      <c r="AC1144" s="19"/>
      <c r="AD1144" s="19"/>
      <c r="AE1144" s="19"/>
      <c r="AF1144" s="19"/>
      <c r="AG1144" s="19"/>
      <c r="AH1144" s="19"/>
      <c r="AI1144" s="19"/>
      <c r="AJ1144" s="19"/>
      <c r="AK1144" s="19"/>
      <c r="AL1144" s="19"/>
      <c r="AM1144" s="19"/>
      <c r="AN1144" s="19"/>
      <c r="AO1144" s="19"/>
      <c r="AP1144" s="19"/>
      <c r="AQ1144" s="19"/>
      <c r="AR1144" s="19"/>
      <c r="AS1144" s="19"/>
      <c r="AT1144" s="19"/>
      <c r="AU1144" s="19"/>
      <c r="AV1144" s="19"/>
      <c r="AW1144" s="19"/>
      <c r="AX1144" s="19"/>
      <c r="GA1144" s="54"/>
    </row>
    <row r="1145" spans="1:183" s="18" customFormat="1">
      <c r="A1145" s="51"/>
      <c r="B1145" s="52"/>
      <c r="C1145" s="52"/>
      <c r="D1145" s="52"/>
      <c r="E1145" s="53"/>
      <c r="F1145" s="52"/>
      <c r="G1145" s="52"/>
      <c r="H1145" s="52"/>
      <c r="I1145" s="53"/>
      <c r="J1145" s="52"/>
      <c r="K1145" s="52"/>
      <c r="L1145" s="52"/>
      <c r="M1145" s="52"/>
      <c r="N1145" s="19"/>
      <c r="O1145" s="19"/>
      <c r="P1145" s="19"/>
      <c r="Q1145" s="19"/>
      <c r="R1145" s="19"/>
      <c r="S1145" s="19"/>
      <c r="T1145" s="19"/>
      <c r="U1145" s="19"/>
      <c r="V1145" s="19"/>
      <c r="W1145" s="19"/>
      <c r="X1145" s="19"/>
      <c r="Y1145" s="19"/>
      <c r="Z1145" s="19"/>
      <c r="AA1145" s="19"/>
      <c r="AB1145" s="19"/>
      <c r="AC1145" s="19"/>
      <c r="AD1145" s="19"/>
      <c r="AE1145" s="19"/>
      <c r="AF1145" s="19"/>
      <c r="AG1145" s="19"/>
      <c r="AH1145" s="19"/>
      <c r="AI1145" s="19"/>
      <c r="AJ1145" s="19"/>
      <c r="AK1145" s="19"/>
      <c r="AL1145" s="19"/>
      <c r="AM1145" s="19"/>
      <c r="AN1145" s="19"/>
      <c r="AO1145" s="19"/>
      <c r="AP1145" s="19"/>
      <c r="AQ1145" s="19"/>
      <c r="AR1145" s="19"/>
      <c r="AS1145" s="19"/>
      <c r="AT1145" s="19"/>
      <c r="AU1145" s="19"/>
      <c r="AV1145" s="19"/>
      <c r="AW1145" s="19"/>
      <c r="AX1145" s="19"/>
      <c r="GA1145" s="54"/>
    </row>
    <row r="1146" spans="1:183" s="18" customFormat="1">
      <c r="A1146" s="51"/>
      <c r="B1146" s="52"/>
      <c r="C1146" s="52"/>
      <c r="D1146" s="52"/>
      <c r="E1146" s="53"/>
      <c r="F1146" s="52"/>
      <c r="G1146" s="52"/>
      <c r="H1146" s="52"/>
      <c r="I1146" s="53"/>
      <c r="J1146" s="52"/>
      <c r="K1146" s="52"/>
      <c r="L1146" s="52"/>
      <c r="M1146" s="52"/>
      <c r="N1146" s="19"/>
      <c r="O1146" s="19"/>
      <c r="P1146" s="19"/>
      <c r="Q1146" s="19"/>
      <c r="R1146" s="19"/>
      <c r="S1146" s="19"/>
      <c r="T1146" s="19"/>
      <c r="U1146" s="19"/>
      <c r="V1146" s="19"/>
      <c r="W1146" s="19"/>
      <c r="X1146" s="19"/>
      <c r="Y1146" s="19"/>
      <c r="Z1146" s="19"/>
      <c r="AA1146" s="19"/>
      <c r="AB1146" s="19"/>
      <c r="AC1146" s="19"/>
      <c r="AD1146" s="19"/>
      <c r="AE1146" s="19"/>
      <c r="AF1146" s="19"/>
      <c r="AG1146" s="19"/>
      <c r="AH1146" s="19"/>
      <c r="AI1146" s="19"/>
      <c r="AJ1146" s="19"/>
      <c r="AK1146" s="19"/>
      <c r="AL1146" s="19"/>
      <c r="AM1146" s="19"/>
      <c r="AN1146" s="19"/>
      <c r="AO1146" s="19"/>
      <c r="AP1146" s="19"/>
      <c r="AQ1146" s="19"/>
      <c r="AR1146" s="19"/>
      <c r="AS1146" s="19"/>
      <c r="AT1146" s="19"/>
      <c r="AU1146" s="19"/>
      <c r="AV1146" s="19"/>
      <c r="AW1146" s="19"/>
      <c r="AX1146" s="19"/>
      <c r="GA1146" s="54"/>
    </row>
    <row r="1147" spans="1:183" s="18" customFormat="1">
      <c r="A1147" s="51"/>
      <c r="B1147" s="52"/>
      <c r="C1147" s="52"/>
      <c r="D1147" s="52"/>
      <c r="E1147" s="53"/>
      <c r="F1147" s="52"/>
      <c r="G1147" s="52"/>
      <c r="H1147" s="52"/>
      <c r="I1147" s="53"/>
      <c r="J1147" s="52"/>
      <c r="K1147" s="52"/>
      <c r="L1147" s="52"/>
      <c r="M1147" s="52"/>
      <c r="N1147" s="19"/>
      <c r="O1147" s="19"/>
      <c r="P1147" s="19"/>
      <c r="Q1147" s="19"/>
      <c r="R1147" s="19"/>
      <c r="S1147" s="19"/>
      <c r="T1147" s="19"/>
      <c r="U1147" s="19"/>
      <c r="V1147" s="19"/>
      <c r="W1147" s="19"/>
      <c r="X1147" s="19"/>
      <c r="Y1147" s="19"/>
      <c r="Z1147" s="19"/>
      <c r="AA1147" s="19"/>
      <c r="AB1147" s="19"/>
      <c r="AC1147" s="19"/>
      <c r="AD1147" s="19"/>
      <c r="AE1147" s="19"/>
      <c r="AF1147" s="19"/>
      <c r="AG1147" s="19"/>
      <c r="AH1147" s="19"/>
      <c r="AI1147" s="19"/>
      <c r="AJ1147" s="19"/>
      <c r="AK1147" s="19"/>
      <c r="AL1147" s="19"/>
      <c r="AM1147" s="19"/>
      <c r="AN1147" s="19"/>
      <c r="AO1147" s="19"/>
      <c r="AP1147" s="19"/>
      <c r="AQ1147" s="19"/>
      <c r="AR1147" s="19"/>
      <c r="AS1147" s="19"/>
      <c r="AT1147" s="19"/>
      <c r="AU1147" s="19"/>
      <c r="AV1147" s="19"/>
      <c r="AW1147" s="19"/>
      <c r="AX1147" s="19"/>
      <c r="GA1147" s="54"/>
    </row>
    <row r="1148" spans="1:183" s="18" customFormat="1">
      <c r="A1148" s="51"/>
      <c r="B1148" s="52"/>
      <c r="C1148" s="52"/>
      <c r="D1148" s="52"/>
      <c r="E1148" s="53"/>
      <c r="F1148" s="52"/>
      <c r="G1148" s="52"/>
      <c r="H1148" s="52"/>
      <c r="I1148" s="53"/>
      <c r="J1148" s="52"/>
      <c r="K1148" s="52"/>
      <c r="L1148" s="52"/>
      <c r="M1148" s="52"/>
      <c r="N1148" s="19"/>
      <c r="O1148" s="19"/>
      <c r="P1148" s="19"/>
      <c r="Q1148" s="19"/>
      <c r="R1148" s="19"/>
      <c r="S1148" s="19"/>
      <c r="T1148" s="19"/>
      <c r="U1148" s="19"/>
      <c r="V1148" s="19"/>
      <c r="W1148" s="19"/>
      <c r="X1148" s="19"/>
      <c r="Y1148" s="19"/>
      <c r="Z1148" s="19"/>
      <c r="AA1148" s="19"/>
      <c r="AB1148" s="19"/>
      <c r="AC1148" s="19"/>
      <c r="AD1148" s="19"/>
      <c r="AE1148" s="19"/>
      <c r="AF1148" s="19"/>
      <c r="AG1148" s="19"/>
      <c r="AH1148" s="19"/>
      <c r="AI1148" s="19"/>
      <c r="AJ1148" s="19"/>
      <c r="AK1148" s="19"/>
      <c r="AL1148" s="19"/>
      <c r="AM1148" s="19"/>
      <c r="AN1148" s="19"/>
      <c r="AO1148" s="19"/>
      <c r="AP1148" s="19"/>
      <c r="AQ1148" s="19"/>
      <c r="AR1148" s="19"/>
      <c r="AS1148" s="19"/>
      <c r="AT1148" s="19"/>
      <c r="AU1148" s="19"/>
      <c r="AV1148" s="19"/>
      <c r="AW1148" s="19"/>
      <c r="AX1148" s="19"/>
      <c r="GA1148" s="54"/>
    </row>
    <row r="1149" spans="1:183" s="18" customFormat="1">
      <c r="A1149" s="51"/>
      <c r="B1149" s="52"/>
      <c r="C1149" s="52"/>
      <c r="D1149" s="52"/>
      <c r="E1149" s="53"/>
      <c r="F1149" s="52"/>
      <c r="G1149" s="52"/>
      <c r="H1149" s="52"/>
      <c r="I1149" s="53"/>
      <c r="J1149" s="52"/>
      <c r="K1149" s="52"/>
      <c r="L1149" s="52"/>
      <c r="M1149" s="52"/>
      <c r="N1149" s="19"/>
      <c r="O1149" s="19"/>
      <c r="P1149" s="19"/>
      <c r="Q1149" s="19"/>
      <c r="R1149" s="19"/>
      <c r="S1149" s="19"/>
      <c r="T1149" s="19"/>
      <c r="U1149" s="19"/>
      <c r="V1149" s="19"/>
      <c r="W1149" s="19"/>
      <c r="X1149" s="19"/>
      <c r="Y1149" s="19"/>
      <c r="Z1149" s="19"/>
      <c r="AA1149" s="19"/>
      <c r="AB1149" s="19"/>
      <c r="AC1149" s="19"/>
      <c r="AD1149" s="19"/>
      <c r="AE1149" s="19"/>
      <c r="AF1149" s="19"/>
      <c r="AG1149" s="19"/>
      <c r="AH1149" s="19"/>
      <c r="AI1149" s="19"/>
      <c r="AJ1149" s="19"/>
      <c r="AK1149" s="19"/>
      <c r="AL1149" s="19"/>
      <c r="AM1149" s="19"/>
      <c r="AN1149" s="19"/>
      <c r="AO1149" s="19"/>
      <c r="AP1149" s="19"/>
      <c r="AQ1149" s="19"/>
      <c r="AR1149" s="19"/>
      <c r="AS1149" s="19"/>
      <c r="AT1149" s="19"/>
      <c r="AU1149" s="19"/>
      <c r="AV1149" s="19"/>
      <c r="AW1149" s="19"/>
      <c r="AX1149" s="19"/>
      <c r="GA1149" s="54"/>
    </row>
    <row r="1150" spans="1:183" s="18" customFormat="1">
      <c r="A1150" s="51"/>
      <c r="B1150" s="52"/>
      <c r="C1150" s="52"/>
      <c r="D1150" s="52"/>
      <c r="E1150" s="53"/>
      <c r="F1150" s="52"/>
      <c r="G1150" s="52"/>
      <c r="H1150" s="52"/>
      <c r="I1150" s="53"/>
      <c r="J1150" s="52"/>
      <c r="K1150" s="52"/>
      <c r="L1150" s="52"/>
      <c r="M1150" s="52"/>
      <c r="N1150" s="19"/>
      <c r="O1150" s="19"/>
      <c r="P1150" s="19"/>
      <c r="Q1150" s="19"/>
      <c r="R1150" s="19"/>
      <c r="S1150" s="19"/>
      <c r="T1150" s="19"/>
      <c r="U1150" s="19"/>
      <c r="V1150" s="19"/>
      <c r="W1150" s="19"/>
      <c r="X1150" s="19"/>
      <c r="Y1150" s="19"/>
      <c r="Z1150" s="19"/>
      <c r="AA1150" s="19"/>
      <c r="AB1150" s="19"/>
      <c r="AC1150" s="19"/>
      <c r="AD1150" s="19"/>
      <c r="AE1150" s="19"/>
      <c r="AF1150" s="19"/>
      <c r="AG1150" s="19"/>
      <c r="AH1150" s="19"/>
      <c r="AI1150" s="19"/>
      <c r="AJ1150" s="19"/>
      <c r="AK1150" s="19"/>
      <c r="AL1150" s="19"/>
      <c r="AM1150" s="19"/>
      <c r="AN1150" s="19"/>
      <c r="AO1150" s="19"/>
      <c r="AP1150" s="19"/>
      <c r="AQ1150" s="19"/>
      <c r="AR1150" s="19"/>
      <c r="AS1150" s="19"/>
      <c r="AT1150" s="19"/>
      <c r="AU1150" s="19"/>
      <c r="AV1150" s="19"/>
      <c r="AW1150" s="19"/>
      <c r="AX1150" s="19"/>
      <c r="GA1150" s="54"/>
    </row>
    <row r="1151" spans="1:183" s="18" customFormat="1">
      <c r="A1151" s="51"/>
      <c r="B1151" s="52"/>
      <c r="C1151" s="52"/>
      <c r="D1151" s="52"/>
      <c r="E1151" s="53"/>
      <c r="F1151" s="52"/>
      <c r="G1151" s="52"/>
      <c r="H1151" s="52"/>
      <c r="I1151" s="53"/>
      <c r="J1151" s="52"/>
      <c r="K1151" s="52"/>
      <c r="L1151" s="52"/>
      <c r="M1151" s="52"/>
      <c r="N1151" s="19"/>
      <c r="O1151" s="19"/>
      <c r="P1151" s="19"/>
      <c r="Q1151" s="19"/>
      <c r="R1151" s="19"/>
      <c r="S1151" s="19"/>
      <c r="T1151" s="19"/>
      <c r="U1151" s="19"/>
      <c r="V1151" s="19"/>
      <c r="W1151" s="19"/>
      <c r="X1151" s="19"/>
      <c r="Y1151" s="19"/>
      <c r="Z1151" s="19"/>
      <c r="AA1151" s="19"/>
      <c r="AB1151" s="19"/>
      <c r="AC1151" s="19"/>
      <c r="AD1151" s="19"/>
      <c r="AE1151" s="19"/>
      <c r="AF1151" s="19"/>
      <c r="AG1151" s="19"/>
      <c r="AH1151" s="19"/>
      <c r="AI1151" s="19"/>
      <c r="AJ1151" s="19"/>
      <c r="AK1151" s="19"/>
      <c r="AL1151" s="19"/>
      <c r="AM1151" s="19"/>
      <c r="AN1151" s="19"/>
      <c r="AO1151" s="19"/>
      <c r="AP1151" s="19"/>
      <c r="AQ1151" s="19"/>
      <c r="AR1151" s="19"/>
      <c r="AS1151" s="19"/>
      <c r="AT1151" s="19"/>
      <c r="AU1151" s="19"/>
      <c r="AV1151" s="19"/>
      <c r="AW1151" s="19"/>
      <c r="AX1151" s="19"/>
      <c r="GA1151" s="54"/>
    </row>
    <row r="1152" spans="1:183" s="18" customFormat="1">
      <c r="A1152" s="51"/>
      <c r="B1152" s="52"/>
      <c r="C1152" s="52"/>
      <c r="D1152" s="52"/>
      <c r="E1152" s="53"/>
      <c r="F1152" s="52"/>
      <c r="G1152" s="52"/>
      <c r="H1152" s="52"/>
      <c r="I1152" s="53"/>
      <c r="J1152" s="52"/>
      <c r="K1152" s="52"/>
      <c r="L1152" s="52"/>
      <c r="M1152" s="52"/>
      <c r="N1152" s="19"/>
      <c r="O1152" s="19"/>
      <c r="P1152" s="19"/>
      <c r="Q1152" s="19"/>
      <c r="R1152" s="19"/>
      <c r="S1152" s="19"/>
      <c r="T1152" s="19"/>
      <c r="U1152" s="19"/>
      <c r="V1152" s="19"/>
      <c r="W1152" s="19"/>
      <c r="X1152" s="19"/>
      <c r="Y1152" s="19"/>
      <c r="Z1152" s="19"/>
      <c r="AA1152" s="19"/>
      <c r="AB1152" s="19"/>
      <c r="AC1152" s="19"/>
      <c r="AD1152" s="19"/>
      <c r="AE1152" s="19"/>
      <c r="AF1152" s="19"/>
      <c r="AG1152" s="19"/>
      <c r="AH1152" s="19"/>
      <c r="AI1152" s="19"/>
      <c r="AJ1152" s="19"/>
      <c r="AK1152" s="19"/>
      <c r="AL1152" s="19"/>
      <c r="AM1152" s="19"/>
      <c r="AN1152" s="19"/>
      <c r="AO1152" s="19"/>
      <c r="AP1152" s="19"/>
      <c r="AQ1152" s="19"/>
      <c r="AR1152" s="19"/>
      <c r="AS1152" s="19"/>
      <c r="AT1152" s="19"/>
      <c r="AU1152" s="19"/>
      <c r="AV1152" s="19"/>
      <c r="AW1152" s="19"/>
      <c r="AX1152" s="19"/>
      <c r="GA1152" s="54"/>
    </row>
    <row r="1153" spans="1:183" s="18" customFormat="1">
      <c r="A1153" s="51"/>
      <c r="B1153" s="52"/>
      <c r="C1153" s="52"/>
      <c r="D1153" s="52"/>
      <c r="E1153" s="53"/>
      <c r="F1153" s="52"/>
      <c r="G1153" s="52"/>
      <c r="H1153" s="52"/>
      <c r="I1153" s="53"/>
      <c r="J1153" s="52"/>
      <c r="K1153" s="52"/>
      <c r="L1153" s="52"/>
      <c r="M1153" s="52"/>
      <c r="N1153" s="19"/>
      <c r="O1153" s="19"/>
      <c r="P1153" s="19"/>
      <c r="Q1153" s="19"/>
      <c r="R1153" s="19"/>
      <c r="S1153" s="19"/>
      <c r="T1153" s="19"/>
      <c r="U1153" s="19"/>
      <c r="V1153" s="19"/>
      <c r="W1153" s="19"/>
      <c r="X1153" s="19"/>
      <c r="Y1153" s="19"/>
      <c r="Z1153" s="19"/>
      <c r="AA1153" s="19"/>
      <c r="AB1153" s="19"/>
      <c r="AC1153" s="19"/>
      <c r="AD1153" s="19"/>
      <c r="AE1153" s="19"/>
      <c r="AF1153" s="19"/>
      <c r="AG1153" s="19"/>
      <c r="AH1153" s="19"/>
      <c r="AI1153" s="19"/>
      <c r="AJ1153" s="19"/>
      <c r="AK1153" s="19"/>
      <c r="AL1153" s="19"/>
      <c r="AM1153" s="19"/>
      <c r="AN1153" s="19"/>
      <c r="AO1153" s="19"/>
      <c r="AP1153" s="19"/>
      <c r="AQ1153" s="19"/>
      <c r="AR1153" s="19"/>
      <c r="AS1153" s="19"/>
      <c r="AT1153" s="19"/>
      <c r="AU1153" s="19"/>
      <c r="AV1153" s="19"/>
      <c r="AW1153" s="19"/>
      <c r="AX1153" s="19"/>
      <c r="GA1153" s="54"/>
    </row>
    <row r="1154" spans="1:183" s="18" customFormat="1">
      <c r="A1154" s="51"/>
      <c r="B1154" s="52"/>
      <c r="C1154" s="52"/>
      <c r="D1154" s="52"/>
      <c r="E1154" s="53"/>
      <c r="F1154" s="52"/>
      <c r="G1154" s="52"/>
      <c r="H1154" s="52"/>
      <c r="I1154" s="53"/>
      <c r="J1154" s="52"/>
      <c r="K1154" s="52"/>
      <c r="L1154" s="52"/>
      <c r="M1154" s="52"/>
      <c r="N1154" s="19"/>
      <c r="O1154" s="19"/>
      <c r="P1154" s="19"/>
      <c r="Q1154" s="19"/>
      <c r="R1154" s="19"/>
      <c r="S1154" s="19"/>
      <c r="T1154" s="19"/>
      <c r="U1154" s="19"/>
      <c r="V1154" s="19"/>
      <c r="W1154" s="19"/>
      <c r="X1154" s="19"/>
      <c r="Y1154" s="19"/>
      <c r="Z1154" s="19"/>
      <c r="AA1154" s="19"/>
      <c r="AB1154" s="19"/>
      <c r="AC1154" s="19"/>
      <c r="AD1154" s="19"/>
      <c r="AE1154" s="19"/>
      <c r="AF1154" s="19"/>
      <c r="AG1154" s="19"/>
      <c r="AH1154" s="19"/>
      <c r="AI1154" s="19"/>
      <c r="AJ1154" s="19"/>
      <c r="AK1154" s="19"/>
      <c r="AL1154" s="19"/>
      <c r="AM1154" s="19"/>
      <c r="AN1154" s="19"/>
      <c r="AO1154" s="19"/>
      <c r="AP1154" s="19"/>
      <c r="AQ1154" s="19"/>
      <c r="AR1154" s="19"/>
      <c r="AS1154" s="19"/>
      <c r="AT1154" s="19"/>
      <c r="AU1154" s="19"/>
      <c r="AV1154" s="19"/>
      <c r="AW1154" s="19"/>
      <c r="AX1154" s="19"/>
      <c r="GA1154" s="54"/>
    </row>
    <row r="1155" spans="1:183" s="18" customFormat="1">
      <c r="A1155" s="51"/>
      <c r="B1155" s="52"/>
      <c r="C1155" s="52"/>
      <c r="D1155" s="52"/>
      <c r="E1155" s="53"/>
      <c r="F1155" s="52"/>
      <c r="G1155" s="52"/>
      <c r="H1155" s="52"/>
      <c r="I1155" s="53"/>
      <c r="J1155" s="52"/>
      <c r="K1155" s="52"/>
      <c r="L1155" s="52"/>
      <c r="M1155" s="52"/>
      <c r="N1155" s="19"/>
      <c r="O1155" s="19"/>
      <c r="P1155" s="19"/>
      <c r="Q1155" s="19"/>
      <c r="R1155" s="19"/>
      <c r="S1155" s="19"/>
      <c r="T1155" s="19"/>
      <c r="U1155" s="19"/>
      <c r="V1155" s="19"/>
      <c r="W1155" s="19"/>
      <c r="X1155" s="19"/>
      <c r="Y1155" s="19"/>
      <c r="Z1155" s="19"/>
      <c r="AA1155" s="19"/>
      <c r="AB1155" s="19"/>
      <c r="AC1155" s="19"/>
      <c r="AD1155" s="19"/>
      <c r="AE1155" s="19"/>
      <c r="AF1155" s="19"/>
      <c r="AG1155" s="19"/>
      <c r="AH1155" s="19"/>
      <c r="AI1155" s="19"/>
      <c r="AJ1155" s="19"/>
      <c r="AK1155" s="19"/>
      <c r="AL1155" s="19"/>
      <c r="AM1155" s="19"/>
      <c r="AN1155" s="19"/>
      <c r="AO1155" s="19"/>
      <c r="AP1155" s="19"/>
      <c r="AQ1155" s="19"/>
      <c r="AR1155" s="19"/>
      <c r="AS1155" s="19"/>
      <c r="AT1155" s="19"/>
      <c r="AU1155" s="19"/>
      <c r="AV1155" s="19"/>
      <c r="AW1155" s="19"/>
      <c r="AX1155" s="19"/>
      <c r="GA1155" s="54"/>
    </row>
    <row r="1156" spans="1:183" s="18" customFormat="1">
      <c r="A1156" s="51"/>
      <c r="B1156" s="52"/>
      <c r="C1156" s="52"/>
      <c r="D1156" s="52"/>
      <c r="E1156" s="53"/>
      <c r="F1156" s="52"/>
      <c r="G1156" s="52"/>
      <c r="H1156" s="52"/>
      <c r="I1156" s="53"/>
      <c r="J1156" s="52"/>
      <c r="K1156" s="52"/>
      <c r="L1156" s="52"/>
      <c r="M1156" s="52"/>
      <c r="N1156" s="19"/>
      <c r="O1156" s="19"/>
      <c r="P1156" s="19"/>
      <c r="Q1156" s="19"/>
      <c r="R1156" s="19"/>
      <c r="S1156" s="19"/>
      <c r="T1156" s="19"/>
      <c r="U1156" s="19"/>
      <c r="V1156" s="19"/>
      <c r="W1156" s="19"/>
      <c r="X1156" s="19"/>
      <c r="Y1156" s="19"/>
      <c r="Z1156" s="19"/>
      <c r="AA1156" s="19"/>
      <c r="AB1156" s="19"/>
      <c r="AC1156" s="19"/>
      <c r="AD1156" s="19"/>
      <c r="AE1156" s="19"/>
      <c r="AF1156" s="19"/>
      <c r="AG1156" s="19"/>
      <c r="AH1156" s="19"/>
      <c r="AI1156" s="19"/>
      <c r="AJ1156" s="19"/>
      <c r="AK1156" s="19"/>
      <c r="AL1156" s="19"/>
      <c r="AM1156" s="19"/>
      <c r="AN1156" s="19"/>
      <c r="AO1156" s="19"/>
      <c r="AP1156" s="19"/>
      <c r="AQ1156" s="19"/>
      <c r="AR1156" s="19"/>
      <c r="AS1156" s="19"/>
      <c r="AT1156" s="19"/>
      <c r="AU1156" s="19"/>
      <c r="AV1156" s="19"/>
      <c r="AW1156" s="19"/>
      <c r="AX1156" s="19"/>
      <c r="GA1156" s="54"/>
    </row>
    <row r="1157" spans="1:183" s="18" customFormat="1">
      <c r="A1157" s="51"/>
      <c r="B1157" s="52"/>
      <c r="C1157" s="52"/>
      <c r="D1157" s="52"/>
      <c r="E1157" s="53"/>
      <c r="F1157" s="52"/>
      <c r="G1157" s="52"/>
      <c r="H1157" s="52"/>
      <c r="I1157" s="53"/>
      <c r="J1157" s="52"/>
      <c r="K1157" s="52"/>
      <c r="L1157" s="52"/>
      <c r="M1157" s="52"/>
      <c r="N1157" s="19"/>
      <c r="O1157" s="19"/>
      <c r="P1157" s="19"/>
      <c r="Q1157" s="19"/>
      <c r="R1157" s="19"/>
      <c r="S1157" s="19"/>
      <c r="T1157" s="19"/>
      <c r="U1157" s="19"/>
      <c r="V1157" s="19"/>
      <c r="W1157" s="19"/>
      <c r="X1157" s="19"/>
      <c r="Y1157" s="19"/>
      <c r="Z1157" s="19"/>
      <c r="AA1157" s="19"/>
      <c r="AB1157" s="19"/>
      <c r="AC1157" s="19"/>
      <c r="AD1157" s="19"/>
      <c r="AE1157" s="19"/>
      <c r="AF1157" s="19"/>
      <c r="AG1157" s="19"/>
      <c r="AH1157" s="19"/>
      <c r="AI1157" s="19"/>
      <c r="AJ1157" s="19"/>
      <c r="AK1157" s="19"/>
      <c r="AL1157" s="19"/>
      <c r="AM1157" s="19"/>
      <c r="AN1157" s="19"/>
      <c r="AO1157" s="19"/>
      <c r="AP1157" s="19"/>
      <c r="AQ1157" s="19"/>
      <c r="AR1157" s="19"/>
      <c r="AS1157" s="19"/>
      <c r="AT1157" s="19"/>
      <c r="AU1157" s="19"/>
      <c r="AV1157" s="19"/>
      <c r="AW1157" s="19"/>
      <c r="AX1157" s="19"/>
      <c r="GA1157" s="54"/>
    </row>
    <row r="1158" spans="1:183" s="18" customFormat="1">
      <c r="A1158" s="51"/>
      <c r="B1158" s="52"/>
      <c r="C1158" s="52"/>
      <c r="D1158" s="52"/>
      <c r="E1158" s="53"/>
      <c r="F1158" s="52"/>
      <c r="G1158" s="52"/>
      <c r="H1158" s="52"/>
      <c r="I1158" s="53"/>
      <c r="J1158" s="52"/>
      <c r="K1158" s="52"/>
      <c r="L1158" s="52"/>
      <c r="M1158" s="52"/>
      <c r="N1158" s="19"/>
      <c r="O1158" s="19"/>
      <c r="P1158" s="19"/>
      <c r="Q1158" s="19"/>
      <c r="R1158" s="19"/>
      <c r="S1158" s="19"/>
      <c r="T1158" s="19"/>
      <c r="U1158" s="19"/>
      <c r="V1158" s="19"/>
      <c r="W1158" s="19"/>
      <c r="X1158" s="19"/>
      <c r="Y1158" s="19"/>
      <c r="Z1158" s="19"/>
      <c r="AA1158" s="19"/>
      <c r="AB1158" s="19"/>
      <c r="AC1158" s="19"/>
      <c r="AD1158" s="19"/>
      <c r="AE1158" s="19"/>
      <c r="AF1158" s="19"/>
      <c r="AG1158" s="19"/>
      <c r="AH1158" s="19"/>
      <c r="AI1158" s="19"/>
      <c r="AJ1158" s="19"/>
      <c r="AK1158" s="19"/>
      <c r="AL1158" s="19"/>
      <c r="AM1158" s="19"/>
      <c r="AN1158" s="19"/>
      <c r="AO1158" s="19"/>
      <c r="AP1158" s="19"/>
      <c r="AQ1158" s="19"/>
      <c r="AR1158" s="19"/>
      <c r="AS1158" s="19"/>
      <c r="AT1158" s="19"/>
      <c r="AU1158" s="19"/>
      <c r="AV1158" s="19"/>
      <c r="AW1158" s="19"/>
      <c r="AX1158" s="19"/>
      <c r="GA1158" s="54"/>
    </row>
    <row r="1159" spans="1:183" s="18" customFormat="1">
      <c r="A1159" s="51"/>
      <c r="B1159" s="52"/>
      <c r="C1159" s="52"/>
      <c r="D1159" s="52"/>
      <c r="E1159" s="53"/>
      <c r="F1159" s="52"/>
      <c r="G1159" s="52"/>
      <c r="H1159" s="52"/>
      <c r="I1159" s="53"/>
      <c r="J1159" s="52"/>
      <c r="K1159" s="52"/>
      <c r="L1159" s="52"/>
      <c r="M1159" s="52"/>
      <c r="N1159" s="19"/>
      <c r="O1159" s="19"/>
      <c r="P1159" s="19"/>
      <c r="Q1159" s="19"/>
      <c r="R1159" s="19"/>
      <c r="S1159" s="19"/>
      <c r="T1159" s="19"/>
      <c r="U1159" s="19"/>
      <c r="V1159" s="19"/>
      <c r="W1159" s="19"/>
      <c r="X1159" s="19"/>
      <c r="Y1159" s="19"/>
      <c r="Z1159" s="19"/>
      <c r="AA1159" s="19"/>
      <c r="AB1159" s="19"/>
      <c r="AC1159" s="19"/>
      <c r="AD1159" s="19"/>
      <c r="AE1159" s="19"/>
      <c r="AF1159" s="19"/>
      <c r="AG1159" s="19"/>
      <c r="AH1159" s="19"/>
      <c r="AI1159" s="19"/>
      <c r="AJ1159" s="19"/>
      <c r="AK1159" s="19"/>
      <c r="AL1159" s="19"/>
      <c r="AM1159" s="19"/>
      <c r="AN1159" s="19"/>
      <c r="AO1159" s="19"/>
      <c r="AP1159" s="19"/>
      <c r="AQ1159" s="19"/>
      <c r="AR1159" s="19"/>
      <c r="AS1159" s="19"/>
      <c r="AT1159" s="19"/>
      <c r="AU1159" s="19"/>
      <c r="AV1159" s="19"/>
      <c r="AW1159" s="19"/>
      <c r="AX1159" s="19"/>
      <c r="GA1159" s="54"/>
    </row>
    <row r="1160" spans="1:183" s="18" customFormat="1">
      <c r="A1160" s="51"/>
      <c r="B1160" s="52"/>
      <c r="C1160" s="52"/>
      <c r="D1160" s="52"/>
      <c r="E1160" s="53"/>
      <c r="F1160" s="52"/>
      <c r="G1160" s="52"/>
      <c r="H1160" s="52"/>
      <c r="I1160" s="53"/>
      <c r="J1160" s="52"/>
      <c r="K1160" s="52"/>
      <c r="L1160" s="52"/>
      <c r="M1160" s="52"/>
      <c r="N1160" s="19"/>
      <c r="O1160" s="19"/>
      <c r="P1160" s="19"/>
      <c r="Q1160" s="19"/>
      <c r="R1160" s="19"/>
      <c r="S1160" s="19"/>
      <c r="T1160" s="19"/>
      <c r="U1160" s="19"/>
      <c r="V1160" s="19"/>
      <c r="W1160" s="19"/>
      <c r="X1160" s="19"/>
      <c r="Y1160" s="19"/>
      <c r="Z1160" s="19"/>
      <c r="AA1160" s="19"/>
      <c r="AB1160" s="19"/>
      <c r="AC1160" s="19"/>
      <c r="AD1160" s="19"/>
      <c r="AE1160" s="19"/>
      <c r="AF1160" s="19"/>
      <c r="AG1160" s="19"/>
      <c r="AH1160" s="19"/>
      <c r="AI1160" s="19"/>
      <c r="AJ1160" s="19"/>
      <c r="AK1160" s="19"/>
      <c r="AL1160" s="19"/>
      <c r="AM1160" s="19"/>
      <c r="AN1160" s="19"/>
      <c r="AO1160" s="19"/>
      <c r="AP1160" s="19"/>
      <c r="AQ1160" s="19"/>
      <c r="AR1160" s="19"/>
      <c r="AS1160" s="19"/>
      <c r="AT1160" s="19"/>
      <c r="AU1160" s="19"/>
      <c r="AV1160" s="19"/>
      <c r="AW1160" s="19"/>
      <c r="AX1160" s="19"/>
      <c r="GA1160" s="54"/>
    </row>
    <row r="1161" spans="1:183" s="18" customFormat="1">
      <c r="A1161" s="51"/>
      <c r="B1161" s="52"/>
      <c r="C1161" s="52"/>
      <c r="D1161" s="52"/>
      <c r="E1161" s="53"/>
      <c r="F1161" s="52"/>
      <c r="G1161" s="52"/>
      <c r="H1161" s="52"/>
      <c r="I1161" s="53"/>
      <c r="J1161" s="52"/>
      <c r="K1161" s="52"/>
      <c r="L1161" s="52"/>
      <c r="M1161" s="52"/>
      <c r="N1161" s="19"/>
      <c r="O1161" s="19"/>
      <c r="P1161" s="19"/>
      <c r="Q1161" s="19"/>
      <c r="R1161" s="19"/>
      <c r="S1161" s="19"/>
      <c r="T1161" s="19"/>
      <c r="U1161" s="19"/>
      <c r="V1161" s="19"/>
      <c r="W1161" s="19"/>
      <c r="X1161" s="19"/>
      <c r="Y1161" s="19"/>
      <c r="Z1161" s="19"/>
      <c r="AA1161" s="19"/>
      <c r="AB1161" s="19"/>
      <c r="AC1161" s="19"/>
      <c r="AD1161" s="19"/>
      <c r="AE1161" s="19"/>
      <c r="AF1161" s="19"/>
      <c r="AG1161" s="19"/>
      <c r="AH1161" s="19"/>
      <c r="AI1161" s="19"/>
      <c r="AJ1161" s="19"/>
      <c r="AK1161" s="19"/>
      <c r="AL1161" s="19"/>
      <c r="AM1161" s="19"/>
      <c r="AN1161" s="19"/>
      <c r="AO1161" s="19"/>
      <c r="AP1161" s="19"/>
      <c r="AQ1161" s="19"/>
      <c r="AR1161" s="19"/>
      <c r="AS1161" s="19"/>
      <c r="AT1161" s="19"/>
      <c r="AU1161" s="19"/>
      <c r="AV1161" s="19"/>
      <c r="AW1161" s="19"/>
      <c r="AX1161" s="19"/>
      <c r="GA1161" s="54"/>
    </row>
    <row r="1162" spans="1:183" s="18" customFormat="1">
      <c r="A1162" s="51"/>
      <c r="B1162" s="52"/>
      <c r="C1162" s="52"/>
      <c r="D1162" s="52"/>
      <c r="E1162" s="53"/>
      <c r="F1162" s="52"/>
      <c r="G1162" s="52"/>
      <c r="H1162" s="52"/>
      <c r="I1162" s="53"/>
      <c r="J1162" s="52"/>
      <c r="K1162" s="52"/>
      <c r="L1162" s="52"/>
      <c r="M1162" s="52"/>
      <c r="N1162" s="19"/>
      <c r="O1162" s="19"/>
      <c r="P1162" s="19"/>
      <c r="Q1162" s="19"/>
      <c r="R1162" s="19"/>
      <c r="S1162" s="19"/>
      <c r="T1162" s="19"/>
      <c r="U1162" s="19"/>
      <c r="V1162" s="19"/>
      <c r="W1162" s="19"/>
      <c r="X1162" s="19"/>
      <c r="Y1162" s="19"/>
      <c r="Z1162" s="19"/>
      <c r="AA1162" s="19"/>
      <c r="AB1162" s="19"/>
      <c r="AC1162" s="19"/>
      <c r="AD1162" s="19"/>
      <c r="AE1162" s="19"/>
      <c r="AF1162" s="19"/>
      <c r="AG1162" s="19"/>
      <c r="AH1162" s="19"/>
      <c r="AI1162" s="19"/>
      <c r="AJ1162" s="19"/>
      <c r="AK1162" s="19"/>
      <c r="AL1162" s="19"/>
      <c r="AM1162" s="19"/>
      <c r="AN1162" s="19"/>
      <c r="AO1162" s="19"/>
      <c r="AP1162" s="19"/>
      <c r="AQ1162" s="19"/>
      <c r="AR1162" s="19"/>
      <c r="AS1162" s="19"/>
      <c r="AT1162" s="19"/>
      <c r="AU1162" s="19"/>
      <c r="AV1162" s="19"/>
      <c r="AW1162" s="19"/>
      <c r="AX1162" s="19"/>
      <c r="GA1162" s="54"/>
    </row>
    <row r="1163" spans="1:183" s="18" customFormat="1">
      <c r="A1163" s="51"/>
      <c r="B1163" s="52"/>
      <c r="C1163" s="52"/>
      <c r="D1163" s="52"/>
      <c r="E1163" s="53"/>
      <c r="F1163" s="52"/>
      <c r="G1163" s="52"/>
      <c r="H1163" s="52"/>
      <c r="I1163" s="53"/>
      <c r="J1163" s="52"/>
      <c r="K1163" s="52"/>
      <c r="L1163" s="52"/>
      <c r="M1163" s="52"/>
      <c r="N1163" s="19"/>
      <c r="O1163" s="19"/>
      <c r="P1163" s="19"/>
      <c r="Q1163" s="19"/>
      <c r="R1163" s="19"/>
      <c r="S1163" s="19"/>
      <c r="T1163" s="19"/>
      <c r="U1163" s="19"/>
      <c r="V1163" s="19"/>
      <c r="W1163" s="19"/>
      <c r="X1163" s="19"/>
      <c r="Y1163" s="19"/>
      <c r="Z1163" s="19"/>
      <c r="AA1163" s="19"/>
      <c r="AB1163" s="19"/>
      <c r="AC1163" s="19"/>
      <c r="AD1163" s="19"/>
      <c r="AE1163" s="19"/>
      <c r="AF1163" s="19"/>
      <c r="AG1163" s="19"/>
      <c r="AH1163" s="19"/>
      <c r="AI1163" s="19"/>
      <c r="AJ1163" s="19"/>
      <c r="AK1163" s="19"/>
      <c r="AL1163" s="19"/>
      <c r="AM1163" s="19"/>
      <c r="AN1163" s="19"/>
      <c r="AO1163" s="19"/>
      <c r="AP1163" s="19"/>
      <c r="AQ1163" s="19"/>
      <c r="AR1163" s="19"/>
      <c r="AS1163" s="19"/>
      <c r="AT1163" s="19"/>
      <c r="AU1163" s="19"/>
      <c r="AV1163" s="19"/>
      <c r="AW1163" s="19"/>
      <c r="AX1163" s="19"/>
      <c r="GA1163" s="54"/>
    </row>
    <row r="1164" spans="1:183" s="18" customFormat="1">
      <c r="A1164" s="51"/>
      <c r="B1164" s="52"/>
      <c r="C1164" s="52"/>
      <c r="D1164" s="52"/>
      <c r="E1164" s="53"/>
      <c r="F1164" s="52"/>
      <c r="G1164" s="52"/>
      <c r="H1164" s="52"/>
      <c r="I1164" s="53"/>
      <c r="J1164" s="52"/>
      <c r="K1164" s="52"/>
      <c r="L1164" s="52"/>
      <c r="M1164" s="52"/>
      <c r="N1164" s="19"/>
      <c r="O1164" s="19"/>
      <c r="P1164" s="19"/>
      <c r="Q1164" s="19"/>
      <c r="R1164" s="19"/>
      <c r="S1164" s="19"/>
      <c r="T1164" s="19"/>
      <c r="U1164" s="19"/>
      <c r="V1164" s="19"/>
      <c r="W1164" s="19"/>
      <c r="X1164" s="19"/>
      <c r="Y1164" s="19"/>
      <c r="Z1164" s="19"/>
      <c r="AA1164" s="19"/>
      <c r="AB1164" s="19"/>
      <c r="AC1164" s="19"/>
      <c r="AD1164" s="19"/>
      <c r="AE1164" s="19"/>
      <c r="AF1164" s="19"/>
      <c r="AG1164" s="19"/>
      <c r="AH1164" s="19"/>
      <c r="AI1164" s="19"/>
      <c r="AJ1164" s="19"/>
      <c r="AK1164" s="19"/>
      <c r="AL1164" s="19"/>
      <c r="AM1164" s="19"/>
      <c r="AN1164" s="19"/>
      <c r="AO1164" s="19"/>
      <c r="AP1164" s="19"/>
      <c r="AQ1164" s="19"/>
      <c r="AR1164" s="19"/>
      <c r="AS1164" s="19"/>
      <c r="AT1164" s="19"/>
      <c r="AU1164" s="19"/>
      <c r="AV1164" s="19"/>
      <c r="AW1164" s="19"/>
      <c r="AX1164" s="19"/>
      <c r="GA1164" s="54"/>
    </row>
    <row r="1165" spans="1:183" s="18" customFormat="1">
      <c r="A1165" s="51"/>
      <c r="B1165" s="52"/>
      <c r="C1165" s="52"/>
      <c r="D1165" s="52"/>
      <c r="E1165" s="53"/>
      <c r="F1165" s="52"/>
      <c r="G1165" s="52"/>
      <c r="H1165" s="52"/>
      <c r="I1165" s="53"/>
      <c r="J1165" s="52"/>
      <c r="K1165" s="52"/>
      <c r="L1165" s="52"/>
      <c r="M1165" s="52"/>
      <c r="N1165" s="19"/>
      <c r="O1165" s="19"/>
      <c r="P1165" s="19"/>
      <c r="Q1165" s="19"/>
      <c r="R1165" s="19"/>
      <c r="S1165" s="19"/>
      <c r="T1165" s="19"/>
      <c r="U1165" s="19"/>
      <c r="V1165" s="19"/>
      <c r="W1165" s="19"/>
      <c r="X1165" s="19"/>
      <c r="Y1165" s="19"/>
      <c r="Z1165" s="19"/>
      <c r="AA1165" s="19"/>
      <c r="AB1165" s="19"/>
      <c r="AC1165" s="19"/>
      <c r="AD1165" s="19"/>
      <c r="AE1165" s="19"/>
      <c r="AF1165" s="19"/>
      <c r="AG1165" s="19"/>
      <c r="AH1165" s="19"/>
      <c r="AI1165" s="19"/>
      <c r="AJ1165" s="19"/>
      <c r="AK1165" s="19"/>
      <c r="AL1165" s="19"/>
      <c r="AM1165" s="19"/>
      <c r="AN1165" s="19"/>
      <c r="AO1165" s="19"/>
      <c r="AP1165" s="19"/>
      <c r="AQ1165" s="19"/>
      <c r="AR1165" s="19"/>
      <c r="AS1165" s="19"/>
      <c r="AT1165" s="19"/>
      <c r="AU1165" s="19"/>
      <c r="AV1165" s="19"/>
      <c r="AW1165" s="19"/>
      <c r="AX1165" s="19"/>
      <c r="GA1165" s="54"/>
    </row>
    <row r="1166" spans="1:183" s="18" customFormat="1">
      <c r="A1166" s="51"/>
      <c r="B1166" s="52"/>
      <c r="C1166" s="52"/>
      <c r="D1166" s="52"/>
      <c r="E1166" s="53"/>
      <c r="F1166" s="52"/>
      <c r="G1166" s="52"/>
      <c r="H1166" s="52"/>
      <c r="I1166" s="53"/>
      <c r="J1166" s="52"/>
      <c r="K1166" s="52"/>
      <c r="L1166" s="52"/>
      <c r="M1166" s="52"/>
      <c r="N1166" s="19"/>
      <c r="O1166" s="19"/>
      <c r="P1166" s="19"/>
      <c r="Q1166" s="19"/>
      <c r="R1166" s="19"/>
      <c r="S1166" s="19"/>
      <c r="T1166" s="19"/>
      <c r="U1166" s="19"/>
      <c r="V1166" s="19"/>
      <c r="W1166" s="19"/>
      <c r="X1166" s="19"/>
      <c r="Y1166" s="19"/>
      <c r="Z1166" s="19"/>
      <c r="AA1166" s="19"/>
      <c r="AB1166" s="19"/>
      <c r="AC1166" s="19"/>
      <c r="AD1166" s="19"/>
      <c r="AE1166" s="19"/>
      <c r="AF1166" s="19"/>
      <c r="AG1166" s="19"/>
      <c r="AH1166" s="19"/>
      <c r="AI1166" s="19"/>
      <c r="AJ1166" s="19"/>
      <c r="AK1166" s="19"/>
      <c r="AL1166" s="19"/>
      <c r="AM1166" s="19"/>
      <c r="AN1166" s="19"/>
      <c r="AO1166" s="19"/>
      <c r="AP1166" s="19"/>
      <c r="AQ1166" s="19"/>
      <c r="AR1166" s="19"/>
      <c r="AS1166" s="19"/>
      <c r="AT1166" s="19"/>
      <c r="AU1166" s="19"/>
      <c r="AV1166" s="19"/>
      <c r="AW1166" s="19"/>
      <c r="AX1166" s="19"/>
      <c r="GA1166" s="54"/>
    </row>
    <row r="1167" spans="1:183" s="18" customFormat="1">
      <c r="A1167" s="51"/>
      <c r="B1167" s="52"/>
      <c r="C1167" s="52"/>
      <c r="D1167" s="52"/>
      <c r="E1167" s="53"/>
      <c r="F1167" s="52"/>
      <c r="G1167" s="52"/>
      <c r="H1167" s="52"/>
      <c r="I1167" s="53"/>
      <c r="J1167" s="52"/>
      <c r="K1167" s="52"/>
      <c r="L1167" s="52"/>
      <c r="M1167" s="52"/>
      <c r="N1167" s="19"/>
      <c r="O1167" s="19"/>
      <c r="P1167" s="19"/>
      <c r="Q1167" s="19"/>
      <c r="R1167" s="19"/>
      <c r="S1167" s="19"/>
      <c r="T1167" s="19"/>
      <c r="U1167" s="19"/>
      <c r="V1167" s="19"/>
      <c r="W1167" s="19"/>
      <c r="X1167" s="19"/>
      <c r="Y1167" s="19"/>
      <c r="Z1167" s="19"/>
      <c r="AA1167" s="19"/>
      <c r="AB1167" s="19"/>
      <c r="AC1167" s="19"/>
      <c r="AD1167" s="19"/>
      <c r="AE1167" s="19"/>
      <c r="AF1167" s="19"/>
      <c r="AG1167" s="19"/>
      <c r="AH1167" s="19"/>
      <c r="AI1167" s="19"/>
      <c r="AJ1167" s="19"/>
      <c r="AK1167" s="19"/>
      <c r="AL1167" s="19"/>
      <c r="AM1167" s="19"/>
      <c r="AN1167" s="19"/>
      <c r="AO1167" s="19"/>
      <c r="AP1167" s="19"/>
      <c r="AQ1167" s="19"/>
      <c r="AR1167" s="19"/>
      <c r="AS1167" s="19"/>
      <c r="AT1167" s="19"/>
      <c r="AU1167" s="19"/>
      <c r="AV1167" s="19"/>
      <c r="AW1167" s="19"/>
      <c r="AX1167" s="19"/>
      <c r="GA1167" s="54"/>
    </row>
    <row r="1168" spans="1:183" s="18" customFormat="1">
      <c r="A1168" s="51"/>
      <c r="B1168" s="52"/>
      <c r="C1168" s="52"/>
      <c r="D1168" s="52"/>
      <c r="E1168" s="53"/>
      <c r="F1168" s="52"/>
      <c r="G1168" s="52"/>
      <c r="H1168" s="52"/>
      <c r="I1168" s="53"/>
      <c r="J1168" s="52"/>
      <c r="K1168" s="52"/>
      <c r="L1168" s="52"/>
      <c r="M1168" s="52"/>
      <c r="N1168" s="19"/>
      <c r="O1168" s="19"/>
      <c r="P1168" s="19"/>
      <c r="Q1168" s="19"/>
      <c r="R1168" s="19"/>
      <c r="S1168" s="19"/>
      <c r="T1168" s="19"/>
      <c r="U1168" s="19"/>
      <c r="V1168" s="19"/>
      <c r="W1168" s="19"/>
      <c r="X1168" s="19"/>
      <c r="Y1168" s="19"/>
      <c r="Z1168" s="19"/>
      <c r="AA1168" s="19"/>
      <c r="AB1168" s="19"/>
      <c r="AC1168" s="19"/>
      <c r="AD1168" s="19"/>
      <c r="AE1168" s="19"/>
      <c r="AF1168" s="19"/>
      <c r="AG1168" s="19"/>
      <c r="AH1168" s="19"/>
      <c r="AI1168" s="19"/>
      <c r="AJ1168" s="19"/>
      <c r="AK1168" s="19"/>
      <c r="AL1168" s="19"/>
      <c r="AM1168" s="19"/>
      <c r="AN1168" s="19"/>
      <c r="AO1168" s="19"/>
      <c r="AP1168" s="19"/>
      <c r="AQ1168" s="19"/>
      <c r="AR1168" s="19"/>
      <c r="AS1168" s="19"/>
      <c r="AT1168" s="19"/>
      <c r="AU1168" s="19"/>
      <c r="AV1168" s="19"/>
      <c r="AW1168" s="19"/>
      <c r="AX1168" s="19"/>
      <c r="GA1168" s="54"/>
    </row>
    <row r="1169" spans="1:183" s="18" customFormat="1">
      <c r="A1169" s="51"/>
      <c r="B1169" s="52"/>
      <c r="C1169" s="52"/>
      <c r="D1169" s="52"/>
      <c r="E1169" s="53"/>
      <c r="F1169" s="52"/>
      <c r="G1169" s="52"/>
      <c r="H1169" s="52"/>
      <c r="I1169" s="53"/>
      <c r="J1169" s="52"/>
      <c r="K1169" s="52"/>
      <c r="L1169" s="52"/>
      <c r="M1169" s="52"/>
      <c r="N1169" s="19"/>
      <c r="O1169" s="19"/>
      <c r="P1169" s="19"/>
      <c r="Q1169" s="19"/>
      <c r="R1169" s="19"/>
      <c r="S1169" s="19"/>
      <c r="T1169" s="19"/>
      <c r="U1169" s="19"/>
      <c r="V1169" s="19"/>
      <c r="W1169" s="19"/>
      <c r="X1169" s="19"/>
      <c r="Y1169" s="19"/>
      <c r="Z1169" s="19"/>
      <c r="AA1169" s="19"/>
      <c r="AB1169" s="19"/>
      <c r="AC1169" s="19"/>
      <c r="AD1169" s="19"/>
      <c r="AE1169" s="19"/>
      <c r="AF1169" s="19"/>
      <c r="AG1169" s="19"/>
      <c r="AH1169" s="19"/>
      <c r="AI1169" s="19"/>
      <c r="AJ1169" s="19"/>
      <c r="AK1169" s="19"/>
      <c r="AL1169" s="19"/>
      <c r="AM1169" s="19"/>
      <c r="AN1169" s="19"/>
      <c r="AO1169" s="19"/>
      <c r="AP1169" s="19"/>
      <c r="AQ1169" s="19"/>
      <c r="AR1169" s="19"/>
      <c r="AS1169" s="19"/>
      <c r="AT1169" s="19"/>
      <c r="AU1169" s="19"/>
      <c r="AV1169" s="19"/>
      <c r="AW1169" s="19"/>
      <c r="AX1169" s="19"/>
      <c r="GA1169" s="54"/>
    </row>
    <row r="1170" spans="1:183" s="18" customFormat="1">
      <c r="A1170" s="51"/>
      <c r="B1170" s="52"/>
      <c r="C1170" s="52"/>
      <c r="D1170" s="52"/>
      <c r="E1170" s="53"/>
      <c r="F1170" s="52"/>
      <c r="G1170" s="52"/>
      <c r="H1170" s="52"/>
      <c r="I1170" s="53"/>
      <c r="J1170" s="52"/>
      <c r="K1170" s="52"/>
      <c r="L1170" s="52"/>
      <c r="M1170" s="52"/>
      <c r="N1170" s="19"/>
      <c r="O1170" s="19"/>
      <c r="P1170" s="19"/>
      <c r="Q1170" s="19"/>
      <c r="R1170" s="19"/>
      <c r="S1170" s="19"/>
      <c r="T1170" s="19"/>
      <c r="U1170" s="19"/>
      <c r="V1170" s="19"/>
      <c r="W1170" s="19"/>
      <c r="X1170" s="19"/>
      <c r="Y1170" s="19"/>
      <c r="Z1170" s="19"/>
      <c r="AA1170" s="19"/>
      <c r="AB1170" s="19"/>
      <c r="AC1170" s="19"/>
      <c r="AD1170" s="19"/>
      <c r="AE1170" s="19"/>
      <c r="AF1170" s="19"/>
      <c r="AG1170" s="19"/>
      <c r="AH1170" s="19"/>
      <c r="AI1170" s="19"/>
      <c r="AJ1170" s="19"/>
      <c r="AK1170" s="19"/>
      <c r="AL1170" s="19"/>
      <c r="AM1170" s="19"/>
      <c r="AN1170" s="19"/>
      <c r="AO1170" s="19"/>
      <c r="AP1170" s="19"/>
      <c r="AQ1170" s="19"/>
      <c r="AR1170" s="19"/>
      <c r="AS1170" s="19"/>
      <c r="AT1170" s="19"/>
      <c r="AU1170" s="19"/>
      <c r="AV1170" s="19"/>
      <c r="AW1170" s="19"/>
      <c r="AX1170" s="19"/>
      <c r="GA1170" s="54"/>
    </row>
    <row r="1171" spans="1:183" s="18" customFormat="1">
      <c r="A1171" s="51"/>
      <c r="B1171" s="52"/>
      <c r="C1171" s="52"/>
      <c r="D1171" s="52"/>
      <c r="E1171" s="53"/>
      <c r="F1171" s="52"/>
      <c r="G1171" s="52"/>
      <c r="H1171" s="52"/>
      <c r="I1171" s="53"/>
      <c r="J1171" s="52"/>
      <c r="K1171" s="52"/>
      <c r="L1171" s="52"/>
      <c r="M1171" s="52"/>
      <c r="N1171" s="19"/>
      <c r="O1171" s="19"/>
      <c r="P1171" s="19"/>
      <c r="Q1171" s="19"/>
      <c r="R1171" s="19"/>
      <c r="S1171" s="19"/>
      <c r="T1171" s="19"/>
      <c r="U1171" s="19"/>
      <c r="V1171" s="19"/>
      <c r="W1171" s="19"/>
      <c r="X1171" s="19"/>
      <c r="Y1171" s="19"/>
      <c r="Z1171" s="19"/>
      <c r="AA1171" s="19"/>
      <c r="AB1171" s="19"/>
      <c r="AC1171" s="19"/>
      <c r="AD1171" s="19"/>
      <c r="AE1171" s="19"/>
      <c r="AF1171" s="19"/>
      <c r="AG1171" s="19"/>
      <c r="AH1171" s="19"/>
      <c r="AI1171" s="19"/>
      <c r="AJ1171" s="19"/>
      <c r="AK1171" s="19"/>
      <c r="AL1171" s="19"/>
      <c r="AM1171" s="19"/>
      <c r="AN1171" s="19"/>
      <c r="AO1171" s="19"/>
      <c r="AP1171" s="19"/>
      <c r="AQ1171" s="19"/>
      <c r="AR1171" s="19"/>
      <c r="AS1171" s="19"/>
      <c r="AT1171" s="19"/>
      <c r="AU1171" s="19"/>
      <c r="AV1171" s="19"/>
      <c r="AW1171" s="19"/>
      <c r="AX1171" s="19"/>
      <c r="GA1171" s="54"/>
    </row>
    <row r="1172" spans="1:183" s="18" customFormat="1">
      <c r="A1172" s="51"/>
      <c r="B1172" s="52"/>
      <c r="C1172" s="52"/>
      <c r="D1172" s="52"/>
      <c r="E1172" s="53"/>
      <c r="F1172" s="52"/>
      <c r="G1172" s="52"/>
      <c r="H1172" s="52"/>
      <c r="I1172" s="53"/>
      <c r="J1172" s="52"/>
      <c r="K1172" s="52"/>
      <c r="L1172" s="52"/>
      <c r="M1172" s="52"/>
      <c r="N1172" s="19"/>
      <c r="O1172" s="19"/>
      <c r="P1172" s="19"/>
      <c r="Q1172" s="19"/>
      <c r="R1172" s="19"/>
      <c r="S1172" s="19"/>
      <c r="T1172" s="19"/>
      <c r="U1172" s="19"/>
      <c r="V1172" s="19"/>
      <c r="W1172" s="19"/>
      <c r="X1172" s="19"/>
      <c r="Y1172" s="19"/>
      <c r="Z1172" s="19"/>
      <c r="AA1172" s="19"/>
      <c r="AB1172" s="19"/>
      <c r="AC1172" s="19"/>
      <c r="AD1172" s="19"/>
      <c r="AE1172" s="19"/>
      <c r="AF1172" s="19"/>
      <c r="AG1172" s="19"/>
      <c r="AH1172" s="19"/>
      <c r="AI1172" s="19"/>
      <c r="AJ1172" s="19"/>
      <c r="AK1172" s="19"/>
      <c r="AL1172" s="19"/>
      <c r="AM1172" s="19"/>
      <c r="AN1172" s="19"/>
      <c r="AO1172" s="19"/>
      <c r="AP1172" s="19"/>
      <c r="AQ1172" s="19"/>
      <c r="AR1172" s="19"/>
      <c r="AS1172" s="19"/>
      <c r="AT1172" s="19"/>
      <c r="AU1172" s="19"/>
      <c r="AV1172" s="19"/>
      <c r="AW1172" s="19"/>
      <c r="AX1172" s="19"/>
      <c r="GA1172" s="54"/>
    </row>
    <row r="1173" spans="1:183" s="18" customFormat="1">
      <c r="A1173" s="51"/>
      <c r="B1173" s="52"/>
      <c r="C1173" s="52"/>
      <c r="D1173" s="52"/>
      <c r="E1173" s="53"/>
      <c r="F1173" s="52"/>
      <c r="G1173" s="52"/>
      <c r="H1173" s="52"/>
      <c r="I1173" s="53"/>
      <c r="J1173" s="52"/>
      <c r="K1173" s="52"/>
      <c r="L1173" s="52"/>
      <c r="M1173" s="52"/>
      <c r="N1173" s="19"/>
      <c r="O1173" s="19"/>
      <c r="P1173" s="19"/>
      <c r="Q1173" s="19"/>
      <c r="R1173" s="19"/>
      <c r="S1173" s="19"/>
      <c r="T1173" s="19"/>
      <c r="U1173" s="19"/>
      <c r="V1173" s="19"/>
      <c r="W1173" s="19"/>
      <c r="X1173" s="19"/>
      <c r="Y1173" s="19"/>
      <c r="Z1173" s="19"/>
      <c r="AA1173" s="19"/>
      <c r="AB1173" s="19"/>
      <c r="AC1173" s="19"/>
      <c r="AD1173" s="19"/>
      <c r="AE1173" s="19"/>
      <c r="AF1173" s="19"/>
      <c r="AG1173" s="19"/>
      <c r="AH1173" s="19"/>
      <c r="AI1173" s="19"/>
      <c r="AJ1173" s="19"/>
      <c r="AK1173" s="19"/>
      <c r="AL1173" s="19"/>
      <c r="AM1173" s="19"/>
      <c r="AN1173" s="19"/>
      <c r="AO1173" s="19"/>
      <c r="AP1173" s="19"/>
      <c r="AQ1173" s="19"/>
      <c r="AR1173" s="19"/>
      <c r="AS1173" s="19"/>
      <c r="AT1173" s="19"/>
      <c r="AU1173" s="19"/>
      <c r="AV1173" s="19"/>
      <c r="AW1173" s="19"/>
      <c r="AX1173" s="19"/>
      <c r="GA1173" s="54"/>
    </row>
    <row r="1174" spans="1:183" s="18" customFormat="1">
      <c r="A1174" s="51"/>
      <c r="B1174" s="52"/>
      <c r="C1174" s="52"/>
      <c r="D1174" s="52"/>
      <c r="E1174" s="53"/>
      <c r="F1174" s="52"/>
      <c r="G1174" s="52"/>
      <c r="H1174" s="52"/>
      <c r="I1174" s="53"/>
      <c r="J1174" s="52"/>
      <c r="K1174" s="52"/>
      <c r="L1174" s="52"/>
      <c r="M1174" s="52"/>
      <c r="N1174" s="19"/>
      <c r="O1174" s="19"/>
      <c r="P1174" s="19"/>
      <c r="Q1174" s="19"/>
      <c r="R1174" s="19"/>
      <c r="S1174" s="19"/>
      <c r="T1174" s="19"/>
      <c r="U1174" s="19"/>
      <c r="V1174" s="19"/>
      <c r="W1174" s="19"/>
      <c r="X1174" s="19"/>
      <c r="Y1174" s="19"/>
      <c r="Z1174" s="19"/>
      <c r="AA1174" s="19"/>
      <c r="AB1174" s="19"/>
      <c r="AC1174" s="19"/>
      <c r="AD1174" s="19"/>
      <c r="AE1174" s="19"/>
      <c r="AF1174" s="19"/>
      <c r="AG1174" s="19"/>
      <c r="AH1174" s="19"/>
      <c r="AI1174" s="19"/>
      <c r="AJ1174" s="19"/>
      <c r="AK1174" s="19"/>
      <c r="AL1174" s="19"/>
      <c r="AM1174" s="19"/>
      <c r="AN1174" s="19"/>
      <c r="AO1174" s="19"/>
      <c r="AP1174" s="19"/>
      <c r="AQ1174" s="19"/>
      <c r="AR1174" s="19"/>
      <c r="AS1174" s="19"/>
      <c r="AT1174" s="19"/>
      <c r="AU1174" s="19"/>
      <c r="AV1174" s="19"/>
      <c r="AW1174" s="19"/>
      <c r="AX1174" s="19"/>
      <c r="GA1174" s="54"/>
    </row>
    <row r="1175" spans="1:183" s="18" customFormat="1">
      <c r="A1175" s="51"/>
      <c r="B1175" s="52"/>
      <c r="C1175" s="52"/>
      <c r="D1175" s="52"/>
      <c r="E1175" s="53"/>
      <c r="F1175" s="52"/>
      <c r="G1175" s="52"/>
      <c r="H1175" s="52"/>
      <c r="I1175" s="53"/>
      <c r="J1175" s="52"/>
      <c r="K1175" s="52"/>
      <c r="L1175" s="52"/>
      <c r="M1175" s="52"/>
      <c r="N1175" s="19"/>
      <c r="O1175" s="19"/>
      <c r="P1175" s="19"/>
      <c r="Q1175" s="19"/>
      <c r="R1175" s="19"/>
      <c r="S1175" s="19"/>
      <c r="T1175" s="19"/>
      <c r="U1175" s="19"/>
      <c r="V1175" s="19"/>
      <c r="W1175" s="19"/>
      <c r="X1175" s="19"/>
      <c r="Y1175" s="19"/>
      <c r="Z1175" s="19"/>
      <c r="AA1175" s="19"/>
      <c r="AB1175" s="19"/>
      <c r="AC1175" s="19"/>
      <c r="AD1175" s="19"/>
      <c r="AE1175" s="19"/>
      <c r="AF1175" s="19"/>
      <c r="AG1175" s="19"/>
      <c r="AH1175" s="19"/>
      <c r="AI1175" s="19"/>
      <c r="AJ1175" s="19"/>
      <c r="AK1175" s="19"/>
      <c r="AL1175" s="19"/>
      <c r="AM1175" s="19"/>
      <c r="AN1175" s="19"/>
      <c r="AO1175" s="19"/>
      <c r="AP1175" s="19"/>
      <c r="AQ1175" s="19"/>
      <c r="AR1175" s="19"/>
      <c r="AS1175" s="19"/>
      <c r="AT1175" s="19"/>
      <c r="AU1175" s="19"/>
      <c r="AV1175" s="19"/>
      <c r="AW1175" s="19"/>
      <c r="AX1175" s="19"/>
      <c r="GA1175" s="54"/>
    </row>
    <row r="1176" spans="1:183" s="18" customFormat="1">
      <c r="A1176" s="51"/>
      <c r="B1176" s="52"/>
      <c r="C1176" s="52"/>
      <c r="D1176" s="52"/>
      <c r="E1176" s="53"/>
      <c r="F1176" s="52"/>
      <c r="G1176" s="52"/>
      <c r="H1176" s="52"/>
      <c r="I1176" s="53"/>
      <c r="J1176" s="52"/>
      <c r="K1176" s="52"/>
      <c r="L1176" s="52"/>
      <c r="M1176" s="52"/>
      <c r="N1176" s="19"/>
      <c r="O1176" s="19"/>
      <c r="P1176" s="19"/>
      <c r="Q1176" s="19"/>
      <c r="R1176" s="19"/>
      <c r="S1176" s="19"/>
      <c r="T1176" s="19"/>
      <c r="U1176" s="19"/>
      <c r="V1176" s="19"/>
      <c r="W1176" s="19"/>
      <c r="X1176" s="19"/>
      <c r="Y1176" s="19"/>
      <c r="Z1176" s="19"/>
      <c r="AA1176" s="19"/>
      <c r="AB1176" s="19"/>
      <c r="AC1176" s="19"/>
      <c r="AD1176" s="19"/>
      <c r="AE1176" s="19"/>
      <c r="AF1176" s="19"/>
      <c r="AG1176" s="19"/>
      <c r="AH1176" s="19"/>
      <c r="AI1176" s="19"/>
      <c r="AJ1176" s="19"/>
      <c r="AK1176" s="19"/>
      <c r="AL1176" s="19"/>
      <c r="AM1176" s="19"/>
      <c r="AN1176" s="19"/>
      <c r="AO1176" s="19"/>
      <c r="AP1176" s="19"/>
      <c r="AQ1176" s="19"/>
      <c r="AR1176" s="19"/>
      <c r="AS1176" s="19"/>
      <c r="AT1176" s="19"/>
      <c r="AU1176" s="19"/>
      <c r="AV1176" s="19"/>
      <c r="AW1176" s="19"/>
      <c r="AX1176" s="19"/>
      <c r="GA1176" s="54"/>
    </row>
    <row r="1177" spans="1:183" s="18" customFormat="1">
      <c r="A1177" s="51"/>
      <c r="B1177" s="52"/>
      <c r="C1177" s="52"/>
      <c r="D1177" s="52"/>
      <c r="E1177" s="53"/>
      <c r="F1177" s="52"/>
      <c r="G1177" s="52"/>
      <c r="H1177" s="52"/>
      <c r="I1177" s="53"/>
      <c r="J1177" s="52"/>
      <c r="K1177" s="52"/>
      <c r="L1177" s="52"/>
      <c r="M1177" s="52"/>
      <c r="N1177" s="19"/>
      <c r="O1177" s="19"/>
      <c r="P1177" s="19"/>
      <c r="Q1177" s="19"/>
      <c r="R1177" s="19"/>
      <c r="S1177" s="19"/>
      <c r="T1177" s="19"/>
      <c r="U1177" s="19"/>
      <c r="V1177" s="19"/>
      <c r="W1177" s="19"/>
      <c r="X1177" s="19"/>
      <c r="Y1177" s="19"/>
      <c r="Z1177" s="19"/>
      <c r="AA1177" s="19"/>
      <c r="AB1177" s="19"/>
      <c r="AC1177" s="19"/>
      <c r="AD1177" s="19"/>
      <c r="AE1177" s="19"/>
      <c r="AF1177" s="19"/>
      <c r="AG1177" s="19"/>
      <c r="AH1177" s="19"/>
      <c r="AI1177" s="19"/>
      <c r="AJ1177" s="19"/>
      <c r="AK1177" s="19"/>
      <c r="AL1177" s="19"/>
      <c r="AM1177" s="19"/>
      <c r="AN1177" s="19"/>
      <c r="AO1177" s="19"/>
      <c r="AP1177" s="19"/>
      <c r="AQ1177" s="19"/>
      <c r="AR1177" s="19"/>
      <c r="AS1177" s="19"/>
      <c r="AT1177" s="19"/>
      <c r="AU1177" s="19"/>
      <c r="AV1177" s="19"/>
      <c r="AW1177" s="19"/>
      <c r="AX1177" s="19"/>
      <c r="GA1177" s="54"/>
    </row>
    <row r="1178" spans="1:183" s="18" customFormat="1">
      <c r="A1178" s="51"/>
      <c r="B1178" s="52"/>
      <c r="C1178" s="52"/>
      <c r="D1178" s="52"/>
      <c r="E1178" s="53"/>
      <c r="F1178" s="52"/>
      <c r="G1178" s="52"/>
      <c r="H1178" s="52"/>
      <c r="I1178" s="53"/>
      <c r="J1178" s="52"/>
      <c r="K1178" s="52"/>
      <c r="L1178" s="52"/>
      <c r="M1178" s="52"/>
      <c r="N1178" s="19"/>
      <c r="O1178" s="19"/>
      <c r="P1178" s="19"/>
      <c r="Q1178" s="19"/>
      <c r="R1178" s="19"/>
      <c r="S1178" s="19"/>
      <c r="T1178" s="19"/>
      <c r="U1178" s="19"/>
      <c r="V1178" s="19"/>
      <c r="W1178" s="19"/>
      <c r="X1178" s="19"/>
      <c r="Y1178" s="19"/>
      <c r="Z1178" s="19"/>
      <c r="AA1178" s="19"/>
      <c r="AB1178" s="19"/>
      <c r="AC1178" s="19"/>
      <c r="AD1178" s="19"/>
      <c r="AE1178" s="19"/>
      <c r="AF1178" s="19"/>
      <c r="AG1178" s="19"/>
      <c r="AH1178" s="19"/>
      <c r="AI1178" s="19"/>
      <c r="AJ1178" s="19"/>
      <c r="AK1178" s="19"/>
      <c r="AL1178" s="19"/>
      <c r="AM1178" s="19"/>
      <c r="AN1178" s="19"/>
      <c r="AO1178" s="19"/>
      <c r="AP1178" s="19"/>
      <c r="AQ1178" s="19"/>
      <c r="AR1178" s="19"/>
      <c r="AS1178" s="19"/>
      <c r="AT1178" s="19"/>
      <c r="AU1178" s="19"/>
      <c r="AV1178" s="19"/>
      <c r="AW1178" s="19"/>
      <c r="AX1178" s="19"/>
      <c r="GA1178" s="54"/>
    </row>
    <row r="1179" spans="1:183" s="18" customFormat="1">
      <c r="A1179" s="51"/>
      <c r="B1179" s="52"/>
      <c r="C1179" s="52"/>
      <c r="D1179" s="52"/>
      <c r="E1179" s="53"/>
      <c r="F1179" s="52"/>
      <c r="G1179" s="52"/>
      <c r="H1179" s="52"/>
      <c r="I1179" s="53"/>
      <c r="J1179" s="52"/>
      <c r="K1179" s="52"/>
      <c r="L1179" s="52"/>
      <c r="M1179" s="52"/>
      <c r="N1179" s="19"/>
      <c r="O1179" s="19"/>
      <c r="P1179" s="19"/>
      <c r="Q1179" s="19"/>
      <c r="R1179" s="19"/>
      <c r="S1179" s="19"/>
      <c r="T1179" s="19"/>
      <c r="U1179" s="19"/>
      <c r="V1179" s="19"/>
      <c r="W1179" s="19"/>
      <c r="X1179" s="19"/>
      <c r="Y1179" s="19"/>
      <c r="Z1179" s="19"/>
      <c r="AA1179" s="19"/>
      <c r="AB1179" s="19"/>
      <c r="AC1179" s="19"/>
      <c r="AD1179" s="19"/>
      <c r="AE1179" s="19"/>
      <c r="AF1179" s="19"/>
      <c r="AG1179" s="19"/>
      <c r="AH1179" s="19"/>
      <c r="AI1179" s="19"/>
      <c r="AJ1179" s="19"/>
      <c r="AK1179" s="19"/>
      <c r="AL1179" s="19"/>
      <c r="AM1179" s="19"/>
      <c r="AN1179" s="19"/>
      <c r="AO1179" s="19"/>
      <c r="AP1179" s="19"/>
      <c r="AQ1179" s="19"/>
      <c r="AR1179" s="19"/>
      <c r="AS1179" s="19"/>
      <c r="AT1179" s="19"/>
      <c r="AU1179" s="19"/>
      <c r="AV1179" s="19"/>
      <c r="AW1179" s="19"/>
      <c r="AX1179" s="19"/>
      <c r="GA1179" s="54"/>
    </row>
    <row r="1180" spans="1:183" s="18" customFormat="1">
      <c r="A1180" s="51"/>
      <c r="B1180" s="52"/>
      <c r="C1180" s="52"/>
      <c r="D1180" s="52"/>
      <c r="E1180" s="53"/>
      <c r="F1180" s="52"/>
      <c r="G1180" s="52"/>
      <c r="H1180" s="52"/>
      <c r="I1180" s="53"/>
      <c r="J1180" s="52"/>
      <c r="K1180" s="52"/>
      <c r="L1180" s="52"/>
      <c r="M1180" s="52"/>
      <c r="N1180" s="19"/>
      <c r="O1180" s="19"/>
      <c r="P1180" s="19"/>
      <c r="Q1180" s="19"/>
      <c r="R1180" s="19"/>
      <c r="S1180" s="19"/>
      <c r="T1180" s="19"/>
      <c r="U1180" s="19"/>
      <c r="V1180" s="19"/>
      <c r="W1180" s="19"/>
      <c r="X1180" s="19"/>
      <c r="Y1180" s="19"/>
      <c r="Z1180" s="19"/>
      <c r="AA1180" s="19"/>
      <c r="AB1180" s="19"/>
      <c r="AC1180" s="19"/>
      <c r="AD1180" s="19"/>
      <c r="AE1180" s="19"/>
      <c r="AF1180" s="19"/>
      <c r="AG1180" s="19"/>
      <c r="AH1180" s="19"/>
      <c r="AI1180" s="19"/>
      <c r="AJ1180" s="19"/>
      <c r="AK1180" s="19"/>
      <c r="AL1180" s="19"/>
      <c r="AM1180" s="19"/>
      <c r="AN1180" s="19"/>
      <c r="AO1180" s="19"/>
      <c r="AP1180" s="19"/>
      <c r="AQ1180" s="19"/>
      <c r="AR1180" s="19"/>
      <c r="AS1180" s="19"/>
      <c r="AT1180" s="19"/>
      <c r="AU1180" s="19"/>
      <c r="AV1180" s="19"/>
      <c r="AW1180" s="19"/>
      <c r="AX1180" s="19"/>
      <c r="GA1180" s="54"/>
    </row>
    <row r="1181" spans="1:183" s="18" customFormat="1">
      <c r="A1181" s="51"/>
      <c r="B1181" s="52"/>
      <c r="C1181" s="52"/>
      <c r="D1181" s="52"/>
      <c r="E1181" s="53"/>
      <c r="F1181" s="52"/>
      <c r="G1181" s="52"/>
      <c r="H1181" s="52"/>
      <c r="I1181" s="53"/>
      <c r="J1181" s="52"/>
      <c r="K1181" s="52"/>
      <c r="L1181" s="52"/>
      <c r="M1181" s="52"/>
      <c r="N1181" s="19"/>
      <c r="O1181" s="19"/>
      <c r="P1181" s="19"/>
      <c r="Q1181" s="19"/>
      <c r="R1181" s="19"/>
      <c r="S1181" s="19"/>
      <c r="T1181" s="19"/>
      <c r="U1181" s="19"/>
      <c r="V1181" s="19"/>
      <c r="W1181" s="19"/>
      <c r="X1181" s="19"/>
      <c r="Y1181" s="19"/>
      <c r="Z1181" s="19"/>
      <c r="AA1181" s="19"/>
      <c r="AB1181" s="19"/>
      <c r="AC1181" s="19"/>
      <c r="AD1181" s="19"/>
      <c r="AE1181" s="19"/>
      <c r="AF1181" s="19"/>
      <c r="AG1181" s="19"/>
      <c r="AH1181" s="19"/>
      <c r="AI1181" s="19"/>
      <c r="AJ1181" s="19"/>
      <c r="AK1181" s="19"/>
      <c r="AL1181" s="19"/>
      <c r="AM1181" s="19"/>
      <c r="AN1181" s="19"/>
      <c r="AO1181" s="19"/>
      <c r="AP1181" s="19"/>
      <c r="AQ1181" s="19"/>
      <c r="AR1181" s="19"/>
      <c r="AS1181" s="19"/>
      <c r="AT1181" s="19"/>
      <c r="AU1181" s="19"/>
      <c r="AV1181" s="19"/>
      <c r="AW1181" s="19"/>
      <c r="AX1181" s="19"/>
      <c r="GA1181" s="54"/>
    </row>
    <row r="1182" spans="1:183" s="18" customFormat="1">
      <c r="A1182" s="51"/>
      <c r="B1182" s="52"/>
      <c r="C1182" s="52"/>
      <c r="D1182" s="52"/>
      <c r="E1182" s="53"/>
      <c r="F1182" s="52"/>
      <c r="G1182" s="52"/>
      <c r="H1182" s="52"/>
      <c r="I1182" s="53"/>
      <c r="J1182" s="52"/>
      <c r="K1182" s="52"/>
      <c r="L1182" s="52"/>
      <c r="M1182" s="52"/>
      <c r="N1182" s="19"/>
      <c r="O1182" s="19"/>
      <c r="P1182" s="19"/>
      <c r="Q1182" s="19"/>
      <c r="R1182" s="19"/>
      <c r="S1182" s="19"/>
      <c r="T1182" s="19"/>
      <c r="U1182" s="19"/>
      <c r="V1182" s="19"/>
      <c r="W1182" s="19"/>
      <c r="X1182" s="19"/>
      <c r="Y1182" s="19"/>
      <c r="Z1182" s="19"/>
      <c r="AA1182" s="19"/>
      <c r="AB1182" s="19"/>
      <c r="AC1182" s="19"/>
      <c r="AD1182" s="19"/>
      <c r="AE1182" s="19"/>
      <c r="AF1182" s="19"/>
      <c r="AG1182" s="19"/>
      <c r="AH1182" s="19"/>
      <c r="AI1182" s="19"/>
      <c r="AJ1182" s="19"/>
      <c r="AK1182" s="19"/>
      <c r="AL1182" s="19"/>
      <c r="AM1182" s="19"/>
      <c r="AN1182" s="19"/>
      <c r="AO1182" s="19"/>
      <c r="AP1182" s="19"/>
      <c r="AQ1182" s="19"/>
      <c r="AR1182" s="19"/>
      <c r="AS1182" s="19"/>
      <c r="AT1182" s="19"/>
      <c r="AU1182" s="19"/>
      <c r="AV1182" s="19"/>
      <c r="AW1182" s="19"/>
      <c r="AX1182" s="19"/>
      <c r="GA1182" s="54"/>
    </row>
    <row r="1183" spans="1:183" s="18" customFormat="1">
      <c r="A1183" s="51"/>
      <c r="B1183" s="52"/>
      <c r="C1183" s="52"/>
      <c r="D1183" s="52"/>
      <c r="E1183" s="53"/>
      <c r="F1183" s="52"/>
      <c r="G1183" s="52"/>
      <c r="H1183" s="52"/>
      <c r="I1183" s="53"/>
      <c r="J1183" s="52"/>
      <c r="K1183" s="52"/>
      <c r="L1183" s="52"/>
      <c r="M1183" s="52"/>
      <c r="N1183" s="19"/>
      <c r="O1183" s="19"/>
      <c r="P1183" s="19"/>
      <c r="Q1183" s="19"/>
      <c r="R1183" s="19"/>
      <c r="S1183" s="19"/>
      <c r="T1183" s="19"/>
      <c r="U1183" s="19"/>
      <c r="V1183" s="19"/>
      <c r="W1183" s="19"/>
      <c r="X1183" s="19"/>
      <c r="Y1183" s="19"/>
      <c r="Z1183" s="19"/>
      <c r="AA1183" s="19"/>
      <c r="AB1183" s="19"/>
      <c r="AC1183" s="19"/>
      <c r="AD1183" s="19"/>
      <c r="AE1183" s="19"/>
      <c r="AF1183" s="19"/>
      <c r="AG1183" s="19"/>
      <c r="AH1183" s="19"/>
      <c r="AI1183" s="19"/>
      <c r="AJ1183" s="19"/>
      <c r="AK1183" s="19"/>
      <c r="AL1183" s="19"/>
      <c r="AM1183" s="19"/>
      <c r="AN1183" s="19"/>
      <c r="AO1183" s="19"/>
      <c r="AP1183" s="19"/>
      <c r="AQ1183" s="19"/>
      <c r="AR1183" s="19"/>
      <c r="AS1183" s="19"/>
      <c r="AT1183" s="19"/>
      <c r="AU1183" s="19"/>
      <c r="AV1183" s="19"/>
      <c r="AW1183" s="19"/>
      <c r="AX1183" s="19"/>
      <c r="GA1183" s="54"/>
    </row>
    <row r="1184" spans="1:183" s="18" customFormat="1">
      <c r="A1184" s="51"/>
      <c r="B1184" s="52"/>
      <c r="C1184" s="52"/>
      <c r="D1184" s="52"/>
      <c r="E1184" s="53"/>
      <c r="F1184" s="52"/>
      <c r="G1184" s="52"/>
      <c r="H1184" s="52"/>
      <c r="I1184" s="53"/>
      <c r="J1184" s="52"/>
      <c r="K1184" s="52"/>
      <c r="L1184" s="52"/>
      <c r="M1184" s="52"/>
      <c r="N1184" s="19"/>
      <c r="O1184" s="19"/>
      <c r="P1184" s="19"/>
      <c r="Q1184" s="19"/>
      <c r="R1184" s="19"/>
      <c r="S1184" s="19"/>
      <c r="T1184" s="19"/>
      <c r="U1184" s="19"/>
      <c r="V1184" s="19"/>
      <c r="W1184" s="19"/>
      <c r="X1184" s="19"/>
      <c r="Y1184" s="19"/>
      <c r="Z1184" s="19"/>
      <c r="AA1184" s="19"/>
      <c r="AB1184" s="19"/>
      <c r="AC1184" s="19"/>
      <c r="AD1184" s="19"/>
      <c r="AE1184" s="19"/>
      <c r="AF1184" s="19"/>
      <c r="AG1184" s="19"/>
      <c r="AH1184" s="19"/>
      <c r="AI1184" s="19"/>
      <c r="AJ1184" s="19"/>
      <c r="AK1184" s="19"/>
      <c r="AL1184" s="19"/>
      <c r="AM1184" s="19"/>
      <c r="AN1184" s="19"/>
      <c r="AO1184" s="19"/>
      <c r="AP1184" s="19"/>
      <c r="AQ1184" s="19"/>
      <c r="AR1184" s="19"/>
      <c r="AS1184" s="19"/>
      <c r="AT1184" s="19"/>
      <c r="AU1184" s="19"/>
      <c r="AV1184" s="19"/>
      <c r="AW1184" s="19"/>
      <c r="AX1184" s="19"/>
      <c r="GA1184" s="54"/>
    </row>
    <row r="1185" spans="1:183" s="18" customFormat="1">
      <c r="A1185" s="51"/>
      <c r="B1185" s="52"/>
      <c r="C1185" s="52"/>
      <c r="D1185" s="52"/>
      <c r="E1185" s="53"/>
      <c r="F1185" s="52"/>
      <c r="G1185" s="52"/>
      <c r="H1185" s="52"/>
      <c r="I1185" s="53"/>
      <c r="J1185" s="52"/>
      <c r="K1185" s="52"/>
      <c r="L1185" s="52"/>
      <c r="M1185" s="52"/>
      <c r="N1185" s="19"/>
      <c r="O1185" s="19"/>
      <c r="P1185" s="19"/>
      <c r="Q1185" s="19"/>
      <c r="R1185" s="19"/>
      <c r="S1185" s="19"/>
      <c r="T1185" s="19"/>
      <c r="U1185" s="19"/>
      <c r="V1185" s="19"/>
      <c r="W1185" s="19"/>
      <c r="X1185" s="19"/>
      <c r="Y1185" s="19"/>
      <c r="Z1185" s="19"/>
      <c r="AA1185" s="19"/>
      <c r="AB1185" s="19"/>
      <c r="AC1185" s="19"/>
      <c r="AD1185" s="19"/>
      <c r="AE1185" s="19"/>
      <c r="AF1185" s="19"/>
      <c r="AG1185" s="19"/>
      <c r="AH1185" s="19"/>
      <c r="AI1185" s="19"/>
      <c r="AJ1185" s="19"/>
      <c r="AK1185" s="19"/>
      <c r="AL1185" s="19"/>
      <c r="AM1185" s="19"/>
      <c r="AN1185" s="19"/>
      <c r="AO1185" s="19"/>
      <c r="AP1185" s="19"/>
      <c r="AQ1185" s="19"/>
      <c r="AR1185" s="19"/>
      <c r="AS1185" s="19"/>
      <c r="AT1185" s="19"/>
      <c r="AU1185" s="19"/>
      <c r="AV1185" s="19"/>
      <c r="AW1185" s="19"/>
      <c r="AX1185" s="19"/>
      <c r="GA1185" s="54"/>
    </row>
    <row r="1186" spans="1:183" s="18" customFormat="1">
      <c r="A1186" s="51"/>
      <c r="B1186" s="52"/>
      <c r="C1186" s="52"/>
      <c r="D1186" s="52"/>
      <c r="E1186" s="53"/>
      <c r="F1186" s="52"/>
      <c r="G1186" s="52"/>
      <c r="H1186" s="52"/>
      <c r="I1186" s="53"/>
      <c r="J1186" s="52"/>
      <c r="K1186" s="52"/>
      <c r="L1186" s="52"/>
      <c r="M1186" s="52"/>
      <c r="N1186" s="19"/>
      <c r="O1186" s="19"/>
      <c r="P1186" s="19"/>
      <c r="Q1186" s="19"/>
      <c r="R1186" s="19"/>
      <c r="S1186" s="19"/>
      <c r="T1186" s="19"/>
      <c r="U1186" s="19"/>
      <c r="V1186" s="19"/>
      <c r="W1186" s="19"/>
      <c r="X1186" s="19"/>
      <c r="Y1186" s="19"/>
      <c r="Z1186" s="19"/>
      <c r="AA1186" s="19"/>
      <c r="AB1186" s="19"/>
      <c r="AC1186" s="19"/>
      <c r="AD1186" s="19"/>
      <c r="AE1186" s="19"/>
      <c r="AF1186" s="19"/>
      <c r="AG1186" s="19"/>
      <c r="AH1186" s="19"/>
      <c r="AI1186" s="19"/>
      <c r="AJ1186" s="19"/>
      <c r="AK1186" s="19"/>
      <c r="AL1186" s="19"/>
      <c r="AM1186" s="19"/>
      <c r="AN1186" s="19"/>
      <c r="AO1186" s="19"/>
      <c r="AP1186" s="19"/>
      <c r="AQ1186" s="19"/>
      <c r="AR1186" s="19"/>
      <c r="AS1186" s="19"/>
      <c r="AT1186" s="19"/>
      <c r="AU1186" s="19"/>
      <c r="AV1186" s="19"/>
      <c r="AW1186" s="19"/>
      <c r="AX1186" s="19"/>
      <c r="GA1186" s="54"/>
    </row>
    <row r="1187" spans="1:183" s="18" customFormat="1">
      <c r="A1187" s="51"/>
      <c r="B1187" s="52"/>
      <c r="C1187" s="52"/>
      <c r="D1187" s="52"/>
      <c r="E1187" s="53"/>
      <c r="F1187" s="52"/>
      <c r="G1187" s="52"/>
      <c r="H1187" s="52"/>
      <c r="I1187" s="53"/>
      <c r="J1187" s="52"/>
      <c r="K1187" s="52"/>
      <c r="L1187" s="52"/>
      <c r="M1187" s="52"/>
      <c r="N1187" s="19"/>
      <c r="O1187" s="19"/>
      <c r="P1187" s="19"/>
      <c r="Q1187" s="19"/>
      <c r="R1187" s="19"/>
      <c r="S1187" s="19"/>
      <c r="T1187" s="19"/>
      <c r="U1187" s="19"/>
      <c r="V1187" s="19"/>
      <c r="W1187" s="19"/>
      <c r="X1187" s="19"/>
      <c r="Y1187" s="19"/>
      <c r="Z1187" s="19"/>
      <c r="AA1187" s="19"/>
      <c r="AB1187" s="19"/>
      <c r="AC1187" s="19"/>
      <c r="AD1187" s="19"/>
      <c r="AE1187" s="19"/>
      <c r="AF1187" s="19"/>
      <c r="AG1187" s="19"/>
      <c r="AH1187" s="19"/>
      <c r="AI1187" s="19"/>
      <c r="AJ1187" s="19"/>
      <c r="AK1187" s="19"/>
      <c r="AL1187" s="19"/>
      <c r="AM1187" s="19"/>
      <c r="AN1187" s="19"/>
      <c r="AO1187" s="19"/>
      <c r="AP1187" s="19"/>
      <c r="AQ1187" s="19"/>
      <c r="AR1187" s="19"/>
      <c r="AS1187" s="19"/>
      <c r="AT1187" s="19"/>
      <c r="AU1187" s="19"/>
      <c r="AV1187" s="19"/>
      <c r="AW1187" s="19"/>
      <c r="AX1187" s="19"/>
      <c r="GA1187" s="54"/>
    </row>
    <row r="1188" spans="1:183" s="18" customFormat="1">
      <c r="A1188" s="51"/>
      <c r="B1188" s="52"/>
      <c r="C1188" s="52"/>
      <c r="D1188" s="52"/>
      <c r="E1188" s="53"/>
      <c r="F1188" s="52"/>
      <c r="G1188" s="52"/>
      <c r="H1188" s="52"/>
      <c r="I1188" s="53"/>
      <c r="J1188" s="52"/>
      <c r="K1188" s="52"/>
      <c r="L1188" s="52"/>
      <c r="M1188" s="52"/>
      <c r="N1188" s="19"/>
      <c r="O1188" s="19"/>
      <c r="P1188" s="19"/>
      <c r="Q1188" s="19"/>
      <c r="R1188" s="19"/>
      <c r="S1188" s="19"/>
      <c r="T1188" s="19"/>
      <c r="U1188" s="19"/>
      <c r="V1188" s="19"/>
      <c r="W1188" s="19"/>
      <c r="X1188" s="19"/>
      <c r="Y1188" s="19"/>
      <c r="Z1188" s="19"/>
      <c r="AA1188" s="19"/>
      <c r="AB1188" s="19"/>
      <c r="AC1188" s="19"/>
      <c r="AD1188" s="19"/>
      <c r="AE1188" s="19"/>
      <c r="AF1188" s="19"/>
      <c r="AG1188" s="19"/>
      <c r="AH1188" s="19"/>
      <c r="AI1188" s="19"/>
      <c r="AJ1188" s="19"/>
      <c r="AK1188" s="19"/>
      <c r="AL1188" s="19"/>
      <c r="AM1188" s="19"/>
      <c r="AN1188" s="19"/>
      <c r="AO1188" s="19"/>
      <c r="AP1188" s="19"/>
      <c r="AQ1188" s="19"/>
      <c r="AR1188" s="19"/>
      <c r="AS1188" s="19"/>
      <c r="AT1188" s="19"/>
      <c r="AU1188" s="19"/>
      <c r="AV1188" s="19"/>
      <c r="AW1188" s="19"/>
      <c r="AX1188" s="19"/>
      <c r="GA1188" s="54"/>
    </row>
    <row r="1189" spans="1:183" s="18" customFormat="1">
      <c r="A1189" s="51"/>
      <c r="B1189" s="52"/>
      <c r="C1189" s="52"/>
      <c r="D1189" s="52"/>
      <c r="E1189" s="53"/>
      <c r="F1189" s="52"/>
      <c r="G1189" s="52"/>
      <c r="H1189" s="52"/>
      <c r="I1189" s="53"/>
      <c r="J1189" s="52"/>
      <c r="K1189" s="52"/>
      <c r="L1189" s="52"/>
      <c r="M1189" s="52"/>
      <c r="N1189" s="19"/>
      <c r="O1189" s="19"/>
      <c r="P1189" s="19"/>
      <c r="Q1189" s="19"/>
      <c r="R1189" s="19"/>
      <c r="S1189" s="19"/>
      <c r="T1189" s="19"/>
      <c r="U1189" s="19"/>
      <c r="V1189" s="19"/>
      <c r="W1189" s="19"/>
      <c r="X1189" s="19"/>
      <c r="Y1189" s="19"/>
      <c r="Z1189" s="19"/>
      <c r="AA1189" s="19"/>
      <c r="AB1189" s="19"/>
      <c r="AC1189" s="19"/>
      <c r="AD1189" s="19"/>
      <c r="AE1189" s="19"/>
      <c r="AF1189" s="19"/>
      <c r="AG1189" s="19"/>
      <c r="AH1189" s="19"/>
      <c r="AI1189" s="19"/>
      <c r="AJ1189" s="19"/>
      <c r="AK1189" s="19"/>
      <c r="AL1189" s="19"/>
      <c r="AM1189" s="19"/>
      <c r="AN1189" s="19"/>
      <c r="AO1189" s="19"/>
      <c r="AP1189" s="19"/>
      <c r="AQ1189" s="19"/>
      <c r="AR1189" s="19"/>
      <c r="AS1189" s="19"/>
      <c r="AT1189" s="19"/>
      <c r="AU1189" s="19"/>
      <c r="AV1189" s="19"/>
      <c r="AW1189" s="19"/>
      <c r="AX1189" s="19"/>
      <c r="GA1189" s="54"/>
    </row>
    <row r="1190" spans="1:183" s="18" customFormat="1">
      <c r="A1190" s="51"/>
      <c r="B1190" s="52"/>
      <c r="C1190" s="52"/>
      <c r="D1190" s="52"/>
      <c r="E1190" s="53"/>
      <c r="F1190" s="52"/>
      <c r="G1190" s="52"/>
      <c r="H1190" s="52"/>
      <c r="I1190" s="53"/>
      <c r="J1190" s="52"/>
      <c r="K1190" s="52"/>
      <c r="L1190" s="52"/>
      <c r="M1190" s="52"/>
      <c r="N1190" s="19"/>
      <c r="O1190" s="19"/>
      <c r="P1190" s="19"/>
      <c r="Q1190" s="19"/>
      <c r="R1190" s="19"/>
      <c r="S1190" s="19"/>
      <c r="T1190" s="19"/>
      <c r="U1190" s="19"/>
      <c r="V1190" s="19"/>
      <c r="W1190" s="19"/>
      <c r="X1190" s="19"/>
      <c r="Y1190" s="19"/>
      <c r="Z1190" s="19"/>
      <c r="AA1190" s="19"/>
      <c r="AB1190" s="19"/>
      <c r="AC1190" s="19"/>
      <c r="AD1190" s="19"/>
      <c r="AE1190" s="19"/>
      <c r="AF1190" s="19"/>
      <c r="AG1190" s="19"/>
      <c r="AH1190" s="19"/>
      <c r="AI1190" s="19"/>
      <c r="AJ1190" s="19"/>
      <c r="AK1190" s="19"/>
      <c r="AL1190" s="19"/>
      <c r="AM1190" s="19"/>
      <c r="AN1190" s="19"/>
      <c r="AO1190" s="19"/>
      <c r="AP1190" s="19"/>
      <c r="AQ1190" s="19"/>
      <c r="AR1190" s="19"/>
      <c r="AS1190" s="19"/>
      <c r="AT1190" s="19"/>
      <c r="AU1190" s="19"/>
      <c r="AV1190" s="19"/>
      <c r="AW1190" s="19"/>
      <c r="AX1190" s="19"/>
      <c r="GA1190" s="54"/>
    </row>
    <row r="1191" spans="1:183" s="18" customFormat="1">
      <c r="A1191" s="51"/>
      <c r="B1191" s="52"/>
      <c r="C1191" s="52"/>
      <c r="D1191" s="52"/>
      <c r="E1191" s="53"/>
      <c r="F1191" s="52"/>
      <c r="G1191" s="52"/>
      <c r="H1191" s="52"/>
      <c r="I1191" s="53"/>
      <c r="J1191" s="52"/>
      <c r="K1191" s="52"/>
      <c r="L1191" s="52"/>
      <c r="M1191" s="52"/>
      <c r="N1191" s="19"/>
      <c r="O1191" s="19"/>
      <c r="P1191" s="19"/>
      <c r="Q1191" s="19"/>
      <c r="R1191" s="19"/>
      <c r="S1191" s="19"/>
      <c r="T1191" s="19"/>
      <c r="U1191" s="19"/>
      <c r="V1191" s="19"/>
      <c r="W1191" s="19"/>
      <c r="X1191" s="19"/>
      <c r="Y1191" s="19"/>
      <c r="Z1191" s="19"/>
      <c r="AA1191" s="19"/>
      <c r="AB1191" s="19"/>
      <c r="AC1191" s="19"/>
      <c r="AD1191" s="19"/>
      <c r="AE1191" s="19"/>
      <c r="AF1191" s="19"/>
      <c r="AG1191" s="19"/>
      <c r="AH1191" s="19"/>
      <c r="AI1191" s="19"/>
      <c r="AJ1191" s="19"/>
      <c r="AK1191" s="19"/>
      <c r="AL1191" s="19"/>
      <c r="AM1191" s="19"/>
      <c r="AN1191" s="19"/>
      <c r="AO1191" s="19"/>
      <c r="AP1191" s="19"/>
      <c r="AQ1191" s="19"/>
      <c r="AR1191" s="19"/>
      <c r="AS1191" s="19"/>
      <c r="AT1191" s="19"/>
      <c r="AU1191" s="19"/>
      <c r="AV1191" s="19"/>
      <c r="AW1191" s="19"/>
      <c r="AX1191" s="19"/>
      <c r="GA1191" s="54"/>
    </row>
    <row r="1192" spans="1:183" s="18" customFormat="1">
      <c r="A1192" s="51"/>
      <c r="B1192" s="52"/>
      <c r="C1192" s="52"/>
      <c r="D1192" s="52"/>
      <c r="E1192" s="53"/>
      <c r="F1192" s="52"/>
      <c r="G1192" s="52"/>
      <c r="H1192" s="52"/>
      <c r="I1192" s="53"/>
      <c r="J1192" s="52"/>
      <c r="K1192" s="52"/>
      <c r="L1192" s="52"/>
      <c r="M1192" s="52"/>
      <c r="N1192" s="19"/>
      <c r="O1192" s="19"/>
      <c r="P1192" s="19"/>
      <c r="Q1192" s="19"/>
      <c r="R1192" s="19"/>
      <c r="S1192" s="19"/>
      <c r="T1192" s="19"/>
      <c r="U1192" s="19"/>
      <c r="V1192" s="19"/>
      <c r="W1192" s="19"/>
      <c r="X1192" s="19"/>
      <c r="Y1192" s="19"/>
      <c r="Z1192" s="19"/>
      <c r="AA1192" s="19"/>
      <c r="AB1192" s="19"/>
      <c r="AC1192" s="19"/>
      <c r="AD1192" s="19"/>
      <c r="AE1192" s="19"/>
      <c r="AF1192" s="19"/>
      <c r="AG1192" s="19"/>
      <c r="AH1192" s="19"/>
      <c r="AI1192" s="19"/>
      <c r="AJ1192" s="19"/>
      <c r="AK1192" s="19"/>
      <c r="AL1192" s="19"/>
      <c r="AM1192" s="19"/>
      <c r="AN1192" s="19"/>
      <c r="AO1192" s="19"/>
      <c r="AP1192" s="19"/>
      <c r="AQ1192" s="19"/>
      <c r="AR1192" s="19"/>
      <c r="AS1192" s="19"/>
      <c r="AT1192" s="19"/>
      <c r="AU1192" s="19"/>
      <c r="AV1192" s="19"/>
      <c r="AW1192" s="19"/>
      <c r="AX1192" s="19"/>
      <c r="GA1192" s="54"/>
    </row>
    <row r="1193" spans="1:183" s="18" customFormat="1">
      <c r="A1193" s="51"/>
      <c r="B1193" s="52"/>
      <c r="C1193" s="52"/>
      <c r="D1193" s="52"/>
      <c r="E1193" s="53"/>
      <c r="F1193" s="52"/>
      <c r="G1193" s="52"/>
      <c r="H1193" s="52"/>
      <c r="I1193" s="53"/>
      <c r="J1193" s="52"/>
      <c r="K1193" s="52"/>
      <c r="L1193" s="52"/>
      <c r="M1193" s="52"/>
      <c r="N1193" s="19"/>
      <c r="O1193" s="19"/>
      <c r="P1193" s="19"/>
      <c r="Q1193" s="19"/>
      <c r="R1193" s="19"/>
      <c r="S1193" s="19"/>
      <c r="T1193" s="19"/>
      <c r="U1193" s="19"/>
      <c r="V1193" s="19"/>
      <c r="W1193" s="19"/>
      <c r="X1193" s="19"/>
      <c r="Y1193" s="19"/>
      <c r="Z1193" s="19"/>
      <c r="AA1193" s="19"/>
      <c r="AB1193" s="19"/>
      <c r="AC1193" s="19"/>
      <c r="AD1193" s="19"/>
      <c r="AE1193" s="19"/>
      <c r="AF1193" s="19"/>
      <c r="AG1193" s="19"/>
      <c r="AH1193" s="19"/>
      <c r="AI1193" s="19"/>
      <c r="AJ1193" s="19"/>
      <c r="AK1193" s="19"/>
      <c r="AL1193" s="19"/>
      <c r="AM1193" s="19"/>
      <c r="AN1193" s="19"/>
      <c r="AO1193" s="19"/>
      <c r="AP1193" s="19"/>
      <c r="AQ1193" s="19"/>
      <c r="AR1193" s="19"/>
      <c r="AS1193" s="19"/>
      <c r="AT1193" s="19"/>
      <c r="AU1193" s="19"/>
      <c r="AV1193" s="19"/>
      <c r="AW1193" s="19"/>
      <c r="AX1193" s="19"/>
      <c r="GA1193" s="54"/>
    </row>
    <row r="1194" spans="1:183" s="18" customFormat="1">
      <c r="A1194" s="51"/>
      <c r="B1194" s="52"/>
      <c r="C1194" s="52"/>
      <c r="D1194" s="52"/>
      <c r="E1194" s="53"/>
      <c r="F1194" s="52"/>
      <c r="G1194" s="52"/>
      <c r="H1194" s="52"/>
      <c r="I1194" s="53"/>
      <c r="J1194" s="52"/>
      <c r="K1194" s="52"/>
      <c r="L1194" s="52"/>
      <c r="M1194" s="52"/>
      <c r="N1194" s="19"/>
      <c r="O1194" s="19"/>
      <c r="P1194" s="19"/>
      <c r="Q1194" s="19"/>
      <c r="R1194" s="19"/>
      <c r="S1194" s="19"/>
      <c r="T1194" s="19"/>
      <c r="U1194" s="19"/>
      <c r="V1194" s="19"/>
      <c r="W1194" s="19"/>
      <c r="X1194" s="19"/>
      <c r="Y1194" s="19"/>
      <c r="Z1194" s="19"/>
      <c r="AA1194" s="19"/>
      <c r="AB1194" s="19"/>
      <c r="AC1194" s="19"/>
      <c r="AD1194" s="19"/>
      <c r="AE1194" s="19"/>
      <c r="AF1194" s="19"/>
      <c r="AG1194" s="19"/>
      <c r="AH1194" s="19"/>
      <c r="AI1194" s="19"/>
      <c r="AJ1194" s="19"/>
      <c r="AK1194" s="19"/>
      <c r="AL1194" s="19"/>
      <c r="AM1194" s="19"/>
      <c r="AN1194" s="19"/>
      <c r="AO1194" s="19"/>
      <c r="AP1194" s="19"/>
      <c r="AQ1194" s="19"/>
      <c r="AR1194" s="19"/>
      <c r="AS1194" s="19"/>
      <c r="AT1194" s="19"/>
      <c r="AU1194" s="19"/>
      <c r="AV1194" s="19"/>
      <c r="AW1194" s="19"/>
      <c r="AX1194" s="19"/>
      <c r="GA1194" s="54"/>
    </row>
    <row r="1195" spans="1:183" s="18" customFormat="1">
      <c r="A1195" s="51"/>
      <c r="B1195" s="52"/>
      <c r="C1195" s="52"/>
      <c r="D1195" s="52"/>
      <c r="E1195" s="53"/>
      <c r="F1195" s="52"/>
      <c r="G1195" s="52"/>
      <c r="H1195" s="52"/>
      <c r="I1195" s="53"/>
      <c r="J1195" s="52"/>
      <c r="K1195" s="52"/>
      <c r="L1195" s="52"/>
      <c r="M1195" s="52"/>
      <c r="N1195" s="19"/>
      <c r="O1195" s="19"/>
      <c r="P1195" s="19"/>
      <c r="Q1195" s="19"/>
      <c r="R1195" s="19"/>
      <c r="S1195" s="19"/>
      <c r="T1195" s="19"/>
      <c r="U1195" s="19"/>
      <c r="V1195" s="19"/>
      <c r="W1195" s="19"/>
      <c r="X1195" s="19"/>
      <c r="Y1195" s="19"/>
      <c r="Z1195" s="19"/>
      <c r="AA1195" s="19"/>
      <c r="AB1195" s="19"/>
      <c r="AC1195" s="19"/>
      <c r="AD1195" s="19"/>
      <c r="AE1195" s="19"/>
      <c r="AF1195" s="19"/>
      <c r="AG1195" s="19"/>
      <c r="AH1195" s="19"/>
      <c r="AI1195" s="19"/>
      <c r="AJ1195" s="19"/>
      <c r="AK1195" s="19"/>
      <c r="AL1195" s="19"/>
      <c r="AM1195" s="19"/>
      <c r="AN1195" s="19"/>
      <c r="AO1195" s="19"/>
      <c r="AP1195" s="19"/>
      <c r="AQ1195" s="19"/>
      <c r="AR1195" s="19"/>
      <c r="AS1195" s="19"/>
      <c r="AT1195" s="19"/>
      <c r="AU1195" s="19"/>
      <c r="AV1195" s="19"/>
      <c r="AW1195" s="19"/>
      <c r="AX1195" s="19"/>
      <c r="GA1195" s="54"/>
    </row>
    <row r="1196" spans="1:183" s="18" customFormat="1">
      <c r="A1196" s="51"/>
      <c r="B1196" s="52"/>
      <c r="C1196" s="52"/>
      <c r="D1196" s="52"/>
      <c r="E1196" s="53"/>
      <c r="F1196" s="52"/>
      <c r="G1196" s="52"/>
      <c r="H1196" s="52"/>
      <c r="I1196" s="53"/>
      <c r="J1196" s="52"/>
      <c r="K1196" s="52"/>
      <c r="L1196" s="52"/>
      <c r="M1196" s="52"/>
      <c r="N1196" s="19"/>
      <c r="O1196" s="19"/>
      <c r="P1196" s="19"/>
      <c r="Q1196" s="19"/>
      <c r="R1196" s="19"/>
      <c r="S1196" s="19"/>
      <c r="T1196" s="19"/>
      <c r="U1196" s="19"/>
      <c r="V1196" s="19"/>
      <c r="W1196" s="19"/>
      <c r="X1196" s="19"/>
      <c r="Y1196" s="19"/>
      <c r="Z1196" s="19"/>
      <c r="AA1196" s="19"/>
      <c r="AB1196" s="19"/>
      <c r="AC1196" s="19"/>
      <c r="AD1196" s="19"/>
      <c r="AE1196" s="19"/>
      <c r="AF1196" s="19"/>
      <c r="AG1196" s="19"/>
      <c r="AH1196" s="19"/>
      <c r="AI1196" s="19"/>
      <c r="AJ1196" s="19"/>
      <c r="AK1196" s="19"/>
      <c r="AL1196" s="19"/>
      <c r="AM1196" s="19"/>
      <c r="AN1196" s="19"/>
      <c r="AO1196" s="19"/>
      <c r="AP1196" s="19"/>
      <c r="AQ1196" s="19"/>
      <c r="AR1196" s="19"/>
      <c r="AS1196" s="19"/>
      <c r="AT1196" s="19"/>
      <c r="AU1196" s="19"/>
      <c r="AV1196" s="19"/>
      <c r="AW1196" s="19"/>
      <c r="AX1196" s="19"/>
      <c r="GA1196" s="54"/>
    </row>
    <row r="1197" spans="1:183" s="18" customFormat="1">
      <c r="A1197" s="51"/>
      <c r="B1197" s="52"/>
      <c r="C1197" s="52"/>
      <c r="D1197" s="52"/>
      <c r="E1197" s="53"/>
      <c r="F1197" s="52"/>
      <c r="G1197" s="52"/>
      <c r="H1197" s="52"/>
      <c r="I1197" s="53"/>
      <c r="J1197" s="52"/>
      <c r="K1197" s="52"/>
      <c r="L1197" s="52"/>
      <c r="M1197" s="52"/>
      <c r="N1197" s="19"/>
      <c r="O1197" s="19"/>
      <c r="P1197" s="19"/>
      <c r="Q1197" s="19"/>
      <c r="R1197" s="19"/>
      <c r="S1197" s="19"/>
      <c r="T1197" s="19"/>
      <c r="U1197" s="19"/>
      <c r="V1197" s="19"/>
      <c r="W1197" s="19"/>
      <c r="X1197" s="19"/>
      <c r="Y1197" s="19"/>
      <c r="Z1197" s="19"/>
      <c r="AA1197" s="19"/>
      <c r="AB1197" s="19"/>
      <c r="AC1197" s="19"/>
      <c r="AD1197" s="19"/>
      <c r="AE1197" s="19"/>
      <c r="AF1197" s="19"/>
      <c r="AG1197" s="19"/>
      <c r="AH1197" s="19"/>
      <c r="AI1197" s="19"/>
      <c r="AJ1197" s="19"/>
      <c r="AK1197" s="19"/>
      <c r="AL1197" s="19"/>
      <c r="AM1197" s="19"/>
      <c r="AN1197" s="19"/>
      <c r="AO1197" s="19"/>
      <c r="AP1197" s="19"/>
      <c r="AQ1197" s="19"/>
      <c r="AR1197" s="19"/>
      <c r="AS1197" s="19"/>
      <c r="AT1197" s="19"/>
      <c r="AU1197" s="19"/>
      <c r="AV1197" s="19"/>
      <c r="AW1197" s="19"/>
      <c r="AX1197" s="19"/>
      <c r="GA1197" s="54"/>
    </row>
    <row r="1198" spans="1:183" s="18" customFormat="1">
      <c r="A1198" s="51"/>
      <c r="B1198" s="52"/>
      <c r="C1198" s="52"/>
      <c r="D1198" s="52"/>
      <c r="E1198" s="53"/>
      <c r="F1198" s="52"/>
      <c r="G1198" s="52"/>
      <c r="H1198" s="52"/>
      <c r="I1198" s="53"/>
      <c r="J1198" s="52"/>
      <c r="K1198" s="52"/>
      <c r="L1198" s="52"/>
      <c r="M1198" s="52"/>
      <c r="N1198" s="19"/>
      <c r="O1198" s="19"/>
      <c r="P1198" s="19"/>
      <c r="Q1198" s="19"/>
      <c r="R1198" s="19"/>
      <c r="S1198" s="19"/>
      <c r="T1198" s="19"/>
      <c r="U1198" s="19"/>
      <c r="V1198" s="19"/>
      <c r="W1198" s="19"/>
      <c r="X1198" s="19"/>
      <c r="Y1198" s="19"/>
      <c r="Z1198" s="19"/>
      <c r="AA1198" s="19"/>
      <c r="AB1198" s="19"/>
      <c r="AC1198" s="19"/>
      <c r="AD1198" s="19"/>
      <c r="AE1198" s="19"/>
      <c r="AF1198" s="19"/>
      <c r="AG1198" s="19"/>
      <c r="AH1198" s="19"/>
      <c r="AI1198" s="19"/>
      <c r="AJ1198" s="19"/>
      <c r="AK1198" s="19"/>
      <c r="AL1198" s="19"/>
      <c r="AM1198" s="19"/>
      <c r="AN1198" s="19"/>
      <c r="AO1198" s="19"/>
      <c r="AP1198" s="19"/>
      <c r="AQ1198" s="19"/>
      <c r="AR1198" s="19"/>
      <c r="AS1198" s="19"/>
      <c r="AT1198" s="19"/>
      <c r="AU1198" s="19"/>
      <c r="AV1198" s="19"/>
      <c r="AW1198" s="19"/>
      <c r="AX1198" s="19"/>
      <c r="GA1198" s="54"/>
    </row>
    <row r="1199" spans="1:183" s="18" customFormat="1">
      <c r="A1199" s="51"/>
      <c r="B1199" s="52"/>
      <c r="C1199" s="52"/>
      <c r="D1199" s="52"/>
      <c r="E1199" s="53"/>
      <c r="F1199" s="52"/>
      <c r="G1199" s="52"/>
      <c r="H1199" s="52"/>
      <c r="I1199" s="53"/>
      <c r="J1199" s="52"/>
      <c r="K1199" s="52"/>
      <c r="L1199" s="52"/>
      <c r="M1199" s="52"/>
      <c r="N1199" s="19"/>
      <c r="O1199" s="19"/>
      <c r="P1199" s="19"/>
      <c r="Q1199" s="19"/>
      <c r="R1199" s="19"/>
      <c r="S1199" s="19"/>
      <c r="T1199" s="19"/>
      <c r="U1199" s="19"/>
      <c r="V1199" s="19"/>
      <c r="W1199" s="19"/>
      <c r="X1199" s="19"/>
      <c r="Y1199" s="19"/>
      <c r="Z1199" s="19"/>
      <c r="AA1199" s="19"/>
      <c r="AB1199" s="19"/>
      <c r="AC1199" s="19"/>
      <c r="AD1199" s="19"/>
      <c r="AE1199" s="19"/>
      <c r="AF1199" s="19"/>
      <c r="AG1199" s="19"/>
      <c r="AH1199" s="19"/>
      <c r="AI1199" s="19"/>
      <c r="AJ1199" s="19"/>
      <c r="AK1199" s="19"/>
      <c r="AL1199" s="19"/>
      <c r="AM1199" s="19"/>
      <c r="AN1199" s="19"/>
      <c r="AO1199" s="19"/>
      <c r="AP1199" s="19"/>
      <c r="AQ1199" s="19"/>
      <c r="AR1199" s="19"/>
      <c r="AS1199" s="19"/>
      <c r="AT1199" s="19"/>
      <c r="AU1199" s="19"/>
      <c r="AV1199" s="19"/>
      <c r="AW1199" s="19"/>
      <c r="AX1199" s="19"/>
      <c r="GA1199" s="54"/>
    </row>
    <row r="1200" spans="1:183" s="18" customFormat="1">
      <c r="A1200" s="51"/>
      <c r="B1200" s="52"/>
      <c r="C1200" s="52"/>
      <c r="D1200" s="52"/>
      <c r="E1200" s="53"/>
      <c r="F1200" s="52"/>
      <c r="G1200" s="52"/>
      <c r="H1200" s="52"/>
      <c r="I1200" s="53"/>
      <c r="J1200" s="52"/>
      <c r="K1200" s="52"/>
      <c r="L1200" s="52"/>
      <c r="M1200" s="52"/>
      <c r="N1200" s="19"/>
      <c r="O1200" s="19"/>
      <c r="P1200" s="19"/>
      <c r="Q1200" s="19"/>
      <c r="R1200" s="19"/>
      <c r="S1200" s="19"/>
      <c r="T1200" s="19"/>
      <c r="U1200" s="19"/>
      <c r="V1200" s="19"/>
      <c r="W1200" s="19"/>
      <c r="X1200" s="19"/>
      <c r="Y1200" s="19"/>
      <c r="Z1200" s="19"/>
      <c r="AA1200" s="19"/>
      <c r="AB1200" s="19"/>
      <c r="AC1200" s="19"/>
      <c r="AD1200" s="19"/>
      <c r="AE1200" s="19"/>
      <c r="AF1200" s="19"/>
      <c r="AG1200" s="19"/>
      <c r="AH1200" s="19"/>
      <c r="AI1200" s="19"/>
      <c r="AJ1200" s="19"/>
      <c r="AK1200" s="19"/>
      <c r="AL1200" s="19"/>
      <c r="AM1200" s="19"/>
      <c r="AN1200" s="19"/>
      <c r="AO1200" s="19"/>
      <c r="AP1200" s="19"/>
      <c r="AQ1200" s="19"/>
      <c r="AR1200" s="19"/>
      <c r="AS1200" s="19"/>
      <c r="AT1200" s="19"/>
      <c r="AU1200" s="19"/>
      <c r="AV1200" s="19"/>
      <c r="AW1200" s="19"/>
      <c r="AX1200" s="19"/>
      <c r="GA1200" s="54"/>
    </row>
    <row r="1201" spans="1:183" s="18" customFormat="1">
      <c r="A1201" s="51"/>
      <c r="B1201" s="52"/>
      <c r="C1201" s="52"/>
      <c r="D1201" s="52"/>
      <c r="E1201" s="53"/>
      <c r="F1201" s="52"/>
      <c r="G1201" s="52"/>
      <c r="H1201" s="52"/>
      <c r="I1201" s="53"/>
      <c r="J1201" s="52"/>
      <c r="K1201" s="52"/>
      <c r="L1201" s="52"/>
      <c r="M1201" s="52"/>
      <c r="N1201" s="19"/>
      <c r="O1201" s="19"/>
      <c r="P1201" s="19"/>
      <c r="Q1201" s="19"/>
      <c r="R1201" s="19"/>
      <c r="S1201" s="19"/>
      <c r="T1201" s="19"/>
      <c r="U1201" s="19"/>
      <c r="V1201" s="19"/>
      <c r="W1201" s="19"/>
      <c r="X1201" s="19"/>
      <c r="Y1201" s="19"/>
      <c r="Z1201" s="19"/>
      <c r="AA1201" s="19"/>
      <c r="AB1201" s="19"/>
      <c r="AC1201" s="19"/>
      <c r="AD1201" s="19"/>
      <c r="AE1201" s="19"/>
      <c r="AF1201" s="19"/>
      <c r="AG1201" s="19"/>
      <c r="AH1201" s="19"/>
      <c r="AI1201" s="19"/>
      <c r="AJ1201" s="19"/>
      <c r="AK1201" s="19"/>
      <c r="AL1201" s="19"/>
      <c r="AM1201" s="19"/>
      <c r="AN1201" s="19"/>
      <c r="AO1201" s="19"/>
      <c r="AP1201" s="19"/>
      <c r="AQ1201" s="19"/>
      <c r="AR1201" s="19"/>
      <c r="AS1201" s="19"/>
      <c r="AT1201" s="19"/>
      <c r="AU1201" s="19"/>
      <c r="AV1201" s="19"/>
      <c r="AW1201" s="19"/>
      <c r="AX1201" s="19"/>
      <c r="GA1201" s="54"/>
    </row>
    <row r="1202" spans="1:183" s="18" customFormat="1">
      <c r="A1202" s="51"/>
      <c r="B1202" s="52"/>
      <c r="C1202" s="52"/>
      <c r="D1202" s="52"/>
      <c r="E1202" s="53"/>
      <c r="F1202" s="52"/>
      <c r="G1202" s="52"/>
      <c r="H1202" s="52"/>
      <c r="I1202" s="53"/>
      <c r="J1202" s="52"/>
      <c r="K1202" s="52"/>
      <c r="L1202" s="52"/>
      <c r="M1202" s="52"/>
      <c r="N1202" s="19"/>
      <c r="O1202" s="19"/>
      <c r="P1202" s="19"/>
      <c r="Q1202" s="19"/>
      <c r="R1202" s="19"/>
      <c r="S1202" s="19"/>
      <c r="T1202" s="19"/>
      <c r="U1202" s="19"/>
      <c r="V1202" s="19"/>
      <c r="W1202" s="19"/>
      <c r="X1202" s="19"/>
      <c r="Y1202" s="19"/>
      <c r="Z1202" s="19"/>
      <c r="AA1202" s="19"/>
      <c r="AB1202" s="19"/>
      <c r="AC1202" s="19"/>
      <c r="AD1202" s="19"/>
      <c r="AE1202" s="19"/>
      <c r="AF1202" s="19"/>
      <c r="AG1202" s="19"/>
      <c r="AH1202" s="19"/>
      <c r="AI1202" s="19"/>
      <c r="AJ1202" s="19"/>
      <c r="AK1202" s="19"/>
      <c r="AL1202" s="19"/>
      <c r="AM1202" s="19"/>
      <c r="AN1202" s="19"/>
      <c r="AO1202" s="19"/>
      <c r="AP1202" s="19"/>
      <c r="AQ1202" s="19"/>
      <c r="AR1202" s="19"/>
      <c r="AS1202" s="19"/>
      <c r="AT1202" s="19"/>
      <c r="AU1202" s="19"/>
      <c r="AV1202" s="19"/>
      <c r="AW1202" s="19"/>
      <c r="AX1202" s="19"/>
      <c r="GA1202" s="54"/>
    </row>
    <row r="1203" spans="1:183" s="18" customFormat="1">
      <c r="A1203" s="51"/>
      <c r="B1203" s="52"/>
      <c r="C1203" s="52"/>
      <c r="D1203" s="52"/>
      <c r="E1203" s="53"/>
      <c r="F1203" s="52"/>
      <c r="G1203" s="52"/>
      <c r="H1203" s="52"/>
      <c r="I1203" s="53"/>
      <c r="J1203" s="52"/>
      <c r="K1203" s="52"/>
      <c r="L1203" s="52"/>
      <c r="M1203" s="52"/>
      <c r="N1203" s="19"/>
      <c r="O1203" s="19"/>
      <c r="P1203" s="19"/>
      <c r="Q1203" s="19"/>
      <c r="R1203" s="19"/>
      <c r="S1203" s="19"/>
      <c r="T1203" s="19"/>
      <c r="U1203" s="19"/>
      <c r="V1203" s="19"/>
      <c r="W1203" s="19"/>
      <c r="X1203" s="19"/>
      <c r="Y1203" s="19"/>
      <c r="Z1203" s="19"/>
      <c r="AA1203" s="19"/>
      <c r="AB1203" s="19"/>
      <c r="AC1203" s="19"/>
      <c r="AD1203" s="19"/>
      <c r="AE1203" s="19"/>
      <c r="AF1203" s="19"/>
      <c r="AG1203" s="19"/>
      <c r="AH1203" s="19"/>
      <c r="AI1203" s="19"/>
      <c r="AJ1203" s="19"/>
      <c r="AK1203" s="19"/>
      <c r="AL1203" s="19"/>
      <c r="AM1203" s="19"/>
      <c r="AN1203" s="19"/>
      <c r="AO1203" s="19"/>
      <c r="AP1203" s="19"/>
      <c r="AQ1203" s="19"/>
      <c r="AR1203" s="19"/>
      <c r="AS1203" s="19"/>
      <c r="AT1203" s="19"/>
      <c r="AU1203" s="19"/>
      <c r="AV1203" s="19"/>
      <c r="AW1203" s="19"/>
      <c r="AX1203" s="19"/>
      <c r="GA1203" s="54"/>
    </row>
    <row r="1204" spans="1:183" s="18" customFormat="1">
      <c r="A1204" s="51"/>
      <c r="B1204" s="52"/>
      <c r="C1204" s="52"/>
      <c r="D1204" s="52"/>
      <c r="E1204" s="53"/>
      <c r="F1204" s="52"/>
      <c r="G1204" s="52"/>
      <c r="H1204" s="52"/>
      <c r="I1204" s="53"/>
      <c r="J1204" s="52"/>
      <c r="K1204" s="52"/>
      <c r="L1204" s="52"/>
      <c r="M1204" s="52"/>
      <c r="N1204" s="19"/>
      <c r="O1204" s="19"/>
      <c r="P1204" s="19"/>
      <c r="Q1204" s="19"/>
      <c r="R1204" s="19"/>
      <c r="S1204" s="19"/>
      <c r="T1204" s="19"/>
      <c r="U1204" s="19"/>
      <c r="V1204" s="19"/>
      <c r="W1204" s="19"/>
      <c r="X1204" s="19"/>
      <c r="Y1204" s="19"/>
      <c r="Z1204" s="19"/>
      <c r="AA1204" s="19"/>
      <c r="AB1204" s="19"/>
      <c r="AC1204" s="19"/>
      <c r="AD1204" s="19"/>
      <c r="AE1204" s="19"/>
      <c r="AF1204" s="19"/>
      <c r="AG1204" s="19"/>
      <c r="AH1204" s="19"/>
      <c r="AI1204" s="19"/>
      <c r="AJ1204" s="19"/>
      <c r="AK1204" s="19"/>
      <c r="AL1204" s="19"/>
      <c r="AM1204" s="19"/>
      <c r="AN1204" s="19"/>
      <c r="AO1204" s="19"/>
      <c r="AP1204" s="19"/>
      <c r="AQ1204" s="19"/>
      <c r="AR1204" s="19"/>
      <c r="AS1204" s="19"/>
      <c r="AT1204" s="19"/>
      <c r="AU1204" s="19"/>
      <c r="AV1204" s="19"/>
      <c r="AW1204" s="19"/>
      <c r="AX1204" s="19"/>
      <c r="GA1204" s="54"/>
    </row>
    <row r="1205" spans="1:183" s="18" customFormat="1">
      <c r="A1205" s="51"/>
      <c r="B1205" s="52"/>
      <c r="C1205" s="52"/>
      <c r="D1205" s="52"/>
      <c r="E1205" s="53"/>
      <c r="F1205" s="52"/>
      <c r="G1205" s="52"/>
      <c r="H1205" s="52"/>
      <c r="I1205" s="53"/>
      <c r="J1205" s="52"/>
      <c r="K1205" s="52"/>
      <c r="L1205" s="52"/>
      <c r="M1205" s="52"/>
      <c r="N1205" s="19"/>
      <c r="O1205" s="19"/>
      <c r="P1205" s="19"/>
      <c r="Q1205" s="19"/>
      <c r="R1205" s="19"/>
      <c r="S1205" s="19"/>
      <c r="T1205" s="19"/>
      <c r="U1205" s="19"/>
      <c r="V1205" s="19"/>
      <c r="W1205" s="19"/>
      <c r="X1205" s="19"/>
      <c r="Y1205" s="19"/>
      <c r="Z1205" s="19"/>
      <c r="AA1205" s="19"/>
      <c r="AB1205" s="19"/>
      <c r="AC1205" s="19"/>
      <c r="AD1205" s="19"/>
      <c r="AE1205" s="19"/>
      <c r="AF1205" s="19"/>
      <c r="AG1205" s="19"/>
      <c r="AH1205" s="19"/>
      <c r="AI1205" s="19"/>
      <c r="AJ1205" s="19"/>
      <c r="AK1205" s="19"/>
      <c r="AL1205" s="19"/>
      <c r="AM1205" s="19"/>
      <c r="AN1205" s="19"/>
      <c r="AO1205" s="19"/>
      <c r="AP1205" s="19"/>
      <c r="AQ1205" s="19"/>
      <c r="AR1205" s="19"/>
      <c r="AS1205" s="19"/>
      <c r="AT1205" s="19"/>
      <c r="AU1205" s="19"/>
      <c r="AV1205" s="19"/>
      <c r="AW1205" s="19"/>
      <c r="AX1205" s="19"/>
      <c r="GA1205" s="54"/>
    </row>
    <row r="1206" spans="1:183" s="18" customFormat="1">
      <c r="A1206" s="51"/>
      <c r="B1206" s="52"/>
      <c r="C1206" s="52"/>
      <c r="D1206" s="52"/>
      <c r="E1206" s="53"/>
      <c r="F1206" s="52"/>
      <c r="G1206" s="52"/>
      <c r="H1206" s="52"/>
      <c r="I1206" s="53"/>
      <c r="J1206" s="52"/>
      <c r="K1206" s="52"/>
      <c r="L1206" s="52"/>
      <c r="M1206" s="52"/>
      <c r="N1206" s="19"/>
      <c r="O1206" s="19"/>
      <c r="P1206" s="19"/>
      <c r="Q1206" s="19"/>
      <c r="R1206" s="19"/>
      <c r="S1206" s="19"/>
      <c r="T1206" s="19"/>
      <c r="U1206" s="19"/>
      <c r="V1206" s="19"/>
      <c r="W1206" s="19"/>
      <c r="X1206" s="19"/>
      <c r="Y1206" s="19"/>
      <c r="Z1206" s="19"/>
      <c r="AA1206" s="19"/>
      <c r="AB1206" s="19"/>
      <c r="AC1206" s="19"/>
      <c r="AD1206" s="19"/>
      <c r="AE1206" s="19"/>
      <c r="AF1206" s="19"/>
      <c r="AG1206" s="19"/>
      <c r="AH1206" s="19"/>
      <c r="AI1206" s="19"/>
      <c r="AJ1206" s="19"/>
      <c r="AK1206" s="19"/>
      <c r="AL1206" s="19"/>
      <c r="AM1206" s="19"/>
      <c r="AN1206" s="19"/>
      <c r="AO1206" s="19"/>
      <c r="AP1206" s="19"/>
      <c r="AQ1206" s="19"/>
      <c r="AR1206" s="19"/>
      <c r="AS1206" s="19"/>
      <c r="AT1206" s="19"/>
      <c r="AU1206" s="19"/>
      <c r="AV1206" s="19"/>
      <c r="AW1206" s="19"/>
      <c r="AX1206" s="19"/>
      <c r="GA1206" s="54"/>
    </row>
    <row r="1207" spans="1:183" s="18" customFormat="1">
      <c r="A1207" s="51"/>
      <c r="B1207" s="52"/>
      <c r="C1207" s="52"/>
      <c r="D1207" s="52"/>
      <c r="E1207" s="53"/>
      <c r="F1207" s="52"/>
      <c r="G1207" s="52"/>
      <c r="H1207" s="52"/>
      <c r="I1207" s="53"/>
      <c r="J1207" s="52"/>
      <c r="K1207" s="52"/>
      <c r="L1207" s="52"/>
      <c r="M1207" s="52"/>
      <c r="N1207" s="19"/>
      <c r="O1207" s="19"/>
      <c r="P1207" s="19"/>
      <c r="Q1207" s="19"/>
      <c r="R1207" s="19"/>
      <c r="S1207" s="19"/>
      <c r="T1207" s="19"/>
      <c r="U1207" s="19"/>
      <c r="V1207" s="19"/>
      <c r="W1207" s="19"/>
      <c r="X1207" s="19"/>
      <c r="Y1207" s="19"/>
      <c r="Z1207" s="19"/>
      <c r="AA1207" s="19"/>
      <c r="AB1207" s="19"/>
      <c r="AC1207" s="19"/>
      <c r="AD1207" s="19"/>
      <c r="AE1207" s="19"/>
      <c r="AF1207" s="19"/>
      <c r="AG1207" s="19"/>
      <c r="AH1207" s="19"/>
      <c r="AI1207" s="19"/>
      <c r="AJ1207" s="19"/>
      <c r="AK1207" s="19"/>
      <c r="AL1207" s="19"/>
      <c r="AM1207" s="19"/>
      <c r="AN1207" s="19"/>
      <c r="AO1207" s="19"/>
      <c r="AP1207" s="19"/>
      <c r="AQ1207" s="19"/>
      <c r="AR1207" s="19"/>
      <c r="AS1207" s="19"/>
      <c r="AT1207" s="19"/>
      <c r="AU1207" s="19"/>
      <c r="AV1207" s="19"/>
      <c r="AW1207" s="19"/>
      <c r="AX1207" s="19"/>
      <c r="GA1207" s="54"/>
    </row>
    <row r="1208" spans="1:183" s="18" customFormat="1">
      <c r="A1208" s="51"/>
      <c r="B1208" s="52"/>
      <c r="C1208" s="52"/>
      <c r="D1208" s="52"/>
      <c r="E1208" s="53"/>
      <c r="F1208" s="52"/>
      <c r="G1208" s="52"/>
      <c r="H1208" s="52"/>
      <c r="I1208" s="53"/>
      <c r="J1208" s="52"/>
      <c r="K1208" s="52"/>
      <c r="L1208" s="52"/>
      <c r="M1208" s="52"/>
      <c r="N1208" s="19"/>
      <c r="O1208" s="19"/>
      <c r="P1208" s="19"/>
      <c r="Q1208" s="19"/>
      <c r="R1208" s="19"/>
      <c r="S1208" s="19"/>
      <c r="T1208" s="19"/>
      <c r="U1208" s="19"/>
      <c r="V1208" s="19"/>
      <c r="W1208" s="19"/>
      <c r="X1208" s="19"/>
      <c r="Y1208" s="19"/>
      <c r="Z1208" s="19"/>
      <c r="AA1208" s="19"/>
      <c r="AB1208" s="19"/>
      <c r="AC1208" s="19"/>
      <c r="AD1208" s="19"/>
      <c r="AE1208" s="19"/>
      <c r="AF1208" s="19"/>
      <c r="AG1208" s="19"/>
      <c r="AH1208" s="19"/>
      <c r="AI1208" s="19"/>
      <c r="AJ1208" s="19"/>
      <c r="AK1208" s="19"/>
      <c r="AL1208" s="19"/>
      <c r="AM1208" s="19"/>
      <c r="AN1208" s="19"/>
      <c r="AO1208" s="19"/>
      <c r="AP1208" s="19"/>
      <c r="AQ1208" s="19"/>
      <c r="AR1208" s="19"/>
      <c r="AS1208" s="19"/>
      <c r="AT1208" s="19"/>
      <c r="AU1208" s="19"/>
      <c r="AV1208" s="19"/>
      <c r="AW1208" s="19"/>
      <c r="AX1208" s="19"/>
      <c r="GA1208" s="54"/>
    </row>
    <row r="1209" spans="1:183" s="18" customFormat="1">
      <c r="A1209" s="51"/>
      <c r="B1209" s="52"/>
      <c r="C1209" s="52"/>
      <c r="D1209" s="52"/>
      <c r="E1209" s="53"/>
      <c r="F1209" s="52"/>
      <c r="G1209" s="52"/>
      <c r="H1209" s="52"/>
      <c r="I1209" s="53"/>
      <c r="J1209" s="52"/>
      <c r="K1209" s="52"/>
      <c r="L1209" s="52"/>
      <c r="M1209" s="52"/>
      <c r="N1209" s="19"/>
      <c r="O1209" s="19"/>
      <c r="P1209" s="19"/>
      <c r="Q1209" s="19"/>
      <c r="R1209" s="19"/>
      <c r="S1209" s="19"/>
      <c r="T1209" s="19"/>
      <c r="U1209" s="19"/>
      <c r="V1209" s="19"/>
      <c r="W1209" s="19"/>
      <c r="X1209" s="19"/>
      <c r="Y1209" s="19"/>
      <c r="Z1209" s="19"/>
      <c r="AA1209" s="19"/>
      <c r="AB1209" s="19"/>
      <c r="AC1209" s="19"/>
      <c r="AD1209" s="19"/>
      <c r="AE1209" s="19"/>
      <c r="AF1209" s="19"/>
      <c r="AG1209" s="19"/>
      <c r="AH1209" s="19"/>
      <c r="AI1209" s="19"/>
      <c r="AJ1209" s="19"/>
      <c r="AK1209" s="19"/>
      <c r="AL1209" s="19"/>
      <c r="AM1209" s="19"/>
      <c r="AN1209" s="19"/>
      <c r="AO1209" s="19"/>
      <c r="AP1209" s="19"/>
      <c r="AQ1209" s="19"/>
      <c r="AR1209" s="19"/>
      <c r="AS1209" s="19"/>
      <c r="AT1209" s="19"/>
      <c r="AU1209" s="19"/>
      <c r="AV1209" s="19"/>
      <c r="AW1209" s="19"/>
      <c r="AX1209" s="19"/>
      <c r="GA1209" s="54"/>
    </row>
    <row r="1210" spans="1:183" s="18" customFormat="1">
      <c r="A1210" s="51"/>
      <c r="B1210" s="52"/>
      <c r="C1210" s="52"/>
      <c r="D1210" s="52"/>
      <c r="E1210" s="53"/>
      <c r="F1210" s="52"/>
      <c r="G1210" s="52"/>
      <c r="H1210" s="52"/>
      <c r="I1210" s="53"/>
      <c r="J1210" s="52"/>
      <c r="K1210" s="52"/>
      <c r="L1210" s="52"/>
      <c r="M1210" s="52"/>
      <c r="N1210" s="19"/>
      <c r="O1210" s="19"/>
      <c r="P1210" s="19"/>
      <c r="Q1210" s="19"/>
      <c r="R1210" s="19"/>
      <c r="S1210" s="19"/>
      <c r="T1210" s="19"/>
      <c r="U1210" s="19"/>
      <c r="V1210" s="19"/>
      <c r="W1210" s="19"/>
      <c r="X1210" s="19"/>
      <c r="Y1210" s="19"/>
      <c r="Z1210" s="19"/>
      <c r="AA1210" s="19"/>
      <c r="AB1210" s="19"/>
      <c r="AC1210" s="19"/>
      <c r="AD1210" s="19"/>
      <c r="AE1210" s="19"/>
      <c r="AF1210" s="19"/>
      <c r="AG1210" s="19"/>
      <c r="AH1210" s="19"/>
      <c r="AI1210" s="19"/>
      <c r="AJ1210" s="19"/>
      <c r="AK1210" s="19"/>
      <c r="AL1210" s="19"/>
      <c r="AM1210" s="19"/>
      <c r="AN1210" s="19"/>
      <c r="AO1210" s="19"/>
      <c r="AP1210" s="19"/>
      <c r="AQ1210" s="19"/>
      <c r="AR1210" s="19"/>
      <c r="AS1210" s="19"/>
      <c r="AT1210" s="19"/>
      <c r="AU1210" s="19"/>
      <c r="AV1210" s="19"/>
      <c r="AW1210" s="19"/>
      <c r="AX1210" s="19"/>
      <c r="GA1210" s="54"/>
    </row>
    <row r="1211" spans="1:183" s="18" customFormat="1">
      <c r="A1211" s="51"/>
      <c r="B1211" s="52"/>
      <c r="C1211" s="52"/>
      <c r="D1211" s="52"/>
      <c r="E1211" s="53"/>
      <c r="F1211" s="52"/>
      <c r="G1211" s="52"/>
      <c r="H1211" s="52"/>
      <c r="I1211" s="53"/>
      <c r="J1211" s="52"/>
      <c r="K1211" s="52"/>
      <c r="L1211" s="52"/>
      <c r="M1211" s="52"/>
      <c r="N1211" s="19"/>
      <c r="O1211" s="19"/>
      <c r="P1211" s="19"/>
      <c r="Q1211" s="19"/>
      <c r="R1211" s="19"/>
      <c r="S1211" s="19"/>
      <c r="T1211" s="19"/>
      <c r="U1211" s="19"/>
      <c r="V1211" s="19"/>
      <c r="W1211" s="19"/>
      <c r="X1211" s="19"/>
      <c r="Y1211" s="19"/>
      <c r="Z1211" s="19"/>
      <c r="AA1211" s="19"/>
      <c r="AB1211" s="19"/>
      <c r="AC1211" s="19"/>
      <c r="AD1211" s="19"/>
      <c r="AE1211" s="19"/>
      <c r="AF1211" s="19"/>
      <c r="AG1211" s="19"/>
      <c r="AH1211" s="19"/>
      <c r="AI1211" s="19"/>
      <c r="AJ1211" s="19"/>
      <c r="AK1211" s="19"/>
      <c r="AL1211" s="19"/>
      <c r="AM1211" s="19"/>
      <c r="AN1211" s="19"/>
      <c r="AO1211" s="19"/>
      <c r="AP1211" s="19"/>
      <c r="AQ1211" s="19"/>
      <c r="AR1211" s="19"/>
      <c r="AS1211" s="19"/>
      <c r="AT1211" s="19"/>
      <c r="AU1211" s="19"/>
      <c r="AV1211" s="19"/>
      <c r="AW1211" s="19"/>
      <c r="AX1211" s="19"/>
      <c r="GA1211" s="54"/>
    </row>
    <row r="1212" spans="1:183" s="18" customFormat="1">
      <c r="A1212" s="51"/>
      <c r="B1212" s="52"/>
      <c r="C1212" s="52"/>
      <c r="D1212" s="52"/>
      <c r="E1212" s="53"/>
      <c r="F1212" s="52"/>
      <c r="G1212" s="52"/>
      <c r="H1212" s="52"/>
      <c r="I1212" s="53"/>
      <c r="J1212" s="52"/>
      <c r="K1212" s="52"/>
      <c r="L1212" s="52"/>
      <c r="M1212" s="52"/>
      <c r="N1212" s="19"/>
      <c r="O1212" s="19"/>
      <c r="P1212" s="19"/>
      <c r="Q1212" s="19"/>
      <c r="R1212" s="19"/>
      <c r="S1212" s="19"/>
      <c r="T1212" s="19"/>
      <c r="U1212" s="19"/>
      <c r="V1212" s="19"/>
      <c r="W1212" s="19"/>
      <c r="X1212" s="19"/>
      <c r="Y1212" s="19"/>
      <c r="Z1212" s="19"/>
      <c r="AA1212" s="19"/>
      <c r="AB1212" s="19"/>
      <c r="AC1212" s="19"/>
      <c r="AD1212" s="19"/>
      <c r="AE1212" s="19"/>
      <c r="AF1212" s="19"/>
      <c r="AG1212" s="19"/>
      <c r="AH1212" s="19"/>
      <c r="AI1212" s="19"/>
      <c r="AJ1212" s="19"/>
      <c r="AK1212" s="19"/>
      <c r="AL1212" s="19"/>
      <c r="AM1212" s="19"/>
      <c r="AN1212" s="19"/>
      <c r="AO1212" s="19"/>
      <c r="AP1212" s="19"/>
      <c r="AQ1212" s="19"/>
      <c r="AR1212" s="19"/>
      <c r="AS1212" s="19"/>
      <c r="AT1212" s="19"/>
      <c r="AU1212" s="19"/>
      <c r="AV1212" s="19"/>
      <c r="AW1212" s="19"/>
      <c r="AX1212" s="19"/>
      <c r="GA1212" s="54"/>
    </row>
    <row r="1213" spans="1:183" s="18" customFormat="1">
      <c r="A1213" s="51"/>
      <c r="B1213" s="52"/>
      <c r="C1213" s="52"/>
      <c r="D1213" s="52"/>
      <c r="E1213" s="53"/>
      <c r="F1213" s="52"/>
      <c r="G1213" s="52"/>
      <c r="H1213" s="52"/>
      <c r="I1213" s="53"/>
      <c r="J1213" s="52"/>
      <c r="K1213" s="52"/>
      <c r="L1213" s="52"/>
      <c r="M1213" s="52"/>
      <c r="N1213" s="19"/>
      <c r="O1213" s="19"/>
      <c r="P1213" s="19"/>
      <c r="Q1213" s="19"/>
      <c r="R1213" s="19"/>
      <c r="S1213" s="19"/>
      <c r="T1213" s="19"/>
      <c r="U1213" s="19"/>
      <c r="V1213" s="19"/>
      <c r="W1213" s="19"/>
      <c r="X1213" s="19"/>
      <c r="Y1213" s="19"/>
      <c r="Z1213" s="19"/>
      <c r="AA1213" s="19"/>
      <c r="AB1213" s="19"/>
      <c r="AC1213" s="19"/>
      <c r="AD1213" s="19"/>
      <c r="AE1213" s="19"/>
      <c r="AF1213" s="19"/>
      <c r="AG1213" s="19"/>
      <c r="AH1213" s="19"/>
      <c r="AI1213" s="19"/>
      <c r="AJ1213" s="19"/>
      <c r="AK1213" s="19"/>
      <c r="AL1213" s="19"/>
      <c r="AM1213" s="19"/>
      <c r="AN1213" s="19"/>
      <c r="AO1213" s="19"/>
      <c r="AP1213" s="19"/>
      <c r="AQ1213" s="19"/>
      <c r="AR1213" s="19"/>
      <c r="AS1213" s="19"/>
      <c r="AT1213" s="19"/>
      <c r="AU1213" s="19"/>
      <c r="AV1213" s="19"/>
      <c r="AW1213" s="19"/>
      <c r="AX1213" s="19"/>
      <c r="GA1213" s="54"/>
    </row>
    <row r="1214" spans="1:183" s="18" customFormat="1">
      <c r="A1214" s="51"/>
      <c r="B1214" s="52"/>
      <c r="C1214" s="52"/>
      <c r="D1214" s="52"/>
      <c r="E1214" s="53"/>
      <c r="F1214" s="52"/>
      <c r="G1214" s="52"/>
      <c r="H1214" s="52"/>
      <c r="I1214" s="53"/>
      <c r="J1214" s="52"/>
      <c r="K1214" s="52"/>
      <c r="L1214" s="52"/>
      <c r="M1214" s="52"/>
      <c r="N1214" s="19"/>
      <c r="O1214" s="19"/>
      <c r="P1214" s="19"/>
      <c r="Q1214" s="19"/>
      <c r="R1214" s="19"/>
      <c r="S1214" s="19"/>
      <c r="T1214" s="19"/>
      <c r="U1214" s="19"/>
      <c r="V1214" s="19"/>
      <c r="W1214" s="19"/>
      <c r="X1214" s="19"/>
      <c r="Y1214" s="19"/>
      <c r="Z1214" s="19"/>
      <c r="AA1214" s="19"/>
      <c r="AB1214" s="19"/>
      <c r="AC1214" s="19"/>
      <c r="AD1214" s="19"/>
      <c r="AE1214" s="19"/>
      <c r="AF1214" s="19"/>
      <c r="AG1214" s="19"/>
      <c r="AH1214" s="19"/>
      <c r="AI1214" s="19"/>
      <c r="AJ1214" s="19"/>
      <c r="AK1214" s="19"/>
      <c r="AL1214" s="19"/>
      <c r="AM1214" s="19"/>
      <c r="AN1214" s="19"/>
      <c r="AO1214" s="19"/>
      <c r="AP1214" s="19"/>
      <c r="AQ1214" s="19"/>
      <c r="AR1214" s="19"/>
      <c r="AS1214" s="19"/>
      <c r="AT1214" s="19"/>
      <c r="AU1214" s="19"/>
      <c r="AV1214" s="19"/>
      <c r="AW1214" s="19"/>
      <c r="AX1214" s="19"/>
      <c r="GA1214" s="54"/>
    </row>
    <row r="1215" spans="1:183" s="18" customFormat="1">
      <c r="A1215" s="51"/>
      <c r="B1215" s="52"/>
      <c r="C1215" s="52"/>
      <c r="D1215" s="52"/>
      <c r="E1215" s="53"/>
      <c r="F1215" s="52"/>
      <c r="G1215" s="52"/>
      <c r="H1215" s="52"/>
      <c r="I1215" s="53"/>
      <c r="J1215" s="52"/>
      <c r="K1215" s="52"/>
      <c r="L1215" s="52"/>
      <c r="M1215" s="52"/>
      <c r="N1215" s="19"/>
      <c r="O1215" s="19"/>
      <c r="P1215" s="19"/>
      <c r="Q1215" s="19"/>
      <c r="R1215" s="19"/>
      <c r="S1215" s="19"/>
      <c r="T1215" s="19"/>
      <c r="U1215" s="19"/>
      <c r="V1215" s="19"/>
      <c r="W1215" s="19"/>
      <c r="X1215" s="19"/>
      <c r="Y1215" s="19"/>
      <c r="Z1215" s="19"/>
      <c r="AA1215" s="19"/>
      <c r="AB1215" s="19"/>
      <c r="AC1215" s="19"/>
      <c r="AD1215" s="19"/>
      <c r="AE1215" s="19"/>
      <c r="AF1215" s="19"/>
      <c r="AG1215" s="19"/>
      <c r="AH1215" s="19"/>
      <c r="AI1215" s="19"/>
      <c r="AJ1215" s="19"/>
      <c r="AK1215" s="19"/>
      <c r="AL1215" s="19"/>
      <c r="AM1215" s="19"/>
      <c r="AN1215" s="19"/>
      <c r="AO1215" s="19"/>
      <c r="AP1215" s="19"/>
      <c r="AQ1215" s="19"/>
      <c r="AR1215" s="19"/>
      <c r="AS1215" s="19"/>
      <c r="AT1215" s="19"/>
      <c r="AU1215" s="19"/>
      <c r="AV1215" s="19"/>
      <c r="AW1215" s="19"/>
      <c r="AX1215" s="19"/>
      <c r="GA1215" s="54"/>
    </row>
    <row r="1216" spans="1:183" s="18" customFormat="1">
      <c r="A1216" s="51"/>
      <c r="B1216" s="52"/>
      <c r="C1216" s="52"/>
      <c r="D1216" s="52"/>
      <c r="E1216" s="53"/>
      <c r="F1216" s="52"/>
      <c r="G1216" s="52"/>
      <c r="H1216" s="52"/>
      <c r="I1216" s="53"/>
      <c r="J1216" s="52"/>
      <c r="K1216" s="52"/>
      <c r="L1216" s="52"/>
      <c r="M1216" s="52"/>
      <c r="N1216" s="19"/>
      <c r="O1216" s="19"/>
      <c r="P1216" s="19"/>
      <c r="Q1216" s="19"/>
      <c r="R1216" s="19"/>
      <c r="S1216" s="19"/>
      <c r="T1216" s="19"/>
      <c r="U1216" s="19"/>
      <c r="V1216" s="19"/>
      <c r="W1216" s="19"/>
      <c r="X1216" s="19"/>
      <c r="Y1216" s="19"/>
      <c r="Z1216" s="19"/>
      <c r="AA1216" s="19"/>
      <c r="AB1216" s="19"/>
      <c r="AC1216" s="19"/>
      <c r="AD1216" s="19"/>
      <c r="AE1216" s="19"/>
      <c r="AF1216" s="19"/>
      <c r="AG1216" s="19"/>
      <c r="AH1216" s="19"/>
      <c r="AI1216" s="19"/>
      <c r="AJ1216" s="19"/>
      <c r="AK1216" s="19"/>
      <c r="AL1216" s="19"/>
      <c r="AM1216" s="19"/>
      <c r="AN1216" s="19"/>
      <c r="AO1216" s="19"/>
      <c r="AP1216" s="19"/>
      <c r="AQ1216" s="19"/>
      <c r="AR1216" s="19"/>
      <c r="AS1216" s="19"/>
      <c r="AT1216" s="19"/>
      <c r="AU1216" s="19"/>
      <c r="AV1216" s="19"/>
      <c r="AW1216" s="19"/>
      <c r="AX1216" s="19"/>
      <c r="GA1216" s="54"/>
    </row>
    <row r="1217" spans="1:183" s="18" customFormat="1">
      <c r="A1217" s="51"/>
      <c r="B1217" s="52"/>
      <c r="C1217" s="52"/>
      <c r="D1217" s="52"/>
      <c r="E1217" s="53"/>
      <c r="F1217" s="52"/>
      <c r="G1217" s="52"/>
      <c r="H1217" s="52"/>
      <c r="I1217" s="53"/>
      <c r="J1217" s="52"/>
      <c r="K1217" s="52"/>
      <c r="L1217" s="52"/>
      <c r="M1217" s="52"/>
      <c r="N1217" s="19"/>
      <c r="O1217" s="19"/>
      <c r="P1217" s="19"/>
      <c r="Q1217" s="19"/>
      <c r="R1217" s="19"/>
      <c r="S1217" s="19"/>
      <c r="T1217" s="19"/>
      <c r="U1217" s="19"/>
      <c r="V1217" s="19"/>
      <c r="W1217" s="19"/>
      <c r="X1217" s="19"/>
      <c r="Y1217" s="19"/>
      <c r="Z1217" s="19"/>
      <c r="AA1217" s="19"/>
      <c r="AB1217" s="19"/>
      <c r="AC1217" s="19"/>
      <c r="AD1217" s="19"/>
      <c r="AE1217" s="19"/>
      <c r="AF1217" s="19"/>
      <c r="AG1217" s="19"/>
      <c r="AH1217" s="19"/>
      <c r="AI1217" s="19"/>
      <c r="AJ1217" s="19"/>
      <c r="AK1217" s="19"/>
      <c r="AL1217" s="19"/>
      <c r="AM1217" s="19"/>
      <c r="AN1217" s="19"/>
      <c r="AO1217" s="19"/>
      <c r="AP1217" s="19"/>
      <c r="AQ1217" s="19"/>
      <c r="AR1217" s="19"/>
      <c r="AS1217" s="19"/>
      <c r="AT1217" s="19"/>
      <c r="AU1217" s="19"/>
      <c r="AV1217" s="19"/>
      <c r="AW1217" s="19"/>
      <c r="AX1217" s="19"/>
      <c r="GA1217" s="54"/>
    </row>
    <row r="1218" spans="1:183" s="18" customFormat="1">
      <c r="A1218" s="51"/>
      <c r="B1218" s="52"/>
      <c r="C1218" s="52"/>
      <c r="D1218" s="52"/>
      <c r="E1218" s="53"/>
      <c r="F1218" s="52"/>
      <c r="G1218" s="52"/>
      <c r="H1218" s="52"/>
      <c r="I1218" s="53"/>
      <c r="J1218" s="52"/>
      <c r="K1218" s="52"/>
      <c r="L1218" s="52"/>
      <c r="M1218" s="52"/>
      <c r="N1218" s="19"/>
      <c r="O1218" s="19"/>
      <c r="P1218" s="19"/>
      <c r="Q1218" s="19"/>
      <c r="R1218" s="19"/>
      <c r="S1218" s="19"/>
      <c r="T1218" s="19"/>
      <c r="U1218" s="19"/>
      <c r="V1218" s="19"/>
      <c r="W1218" s="19"/>
      <c r="X1218" s="19"/>
      <c r="Y1218" s="19"/>
      <c r="Z1218" s="19"/>
      <c r="AA1218" s="19"/>
      <c r="AB1218" s="19"/>
      <c r="AC1218" s="19"/>
      <c r="AD1218" s="19"/>
      <c r="AE1218" s="19"/>
      <c r="AF1218" s="19"/>
      <c r="AG1218" s="19"/>
      <c r="AH1218" s="19"/>
      <c r="AI1218" s="19"/>
      <c r="AJ1218" s="19"/>
      <c r="AK1218" s="19"/>
      <c r="AL1218" s="19"/>
      <c r="AM1218" s="19"/>
      <c r="AN1218" s="19"/>
      <c r="AO1218" s="19"/>
      <c r="AP1218" s="19"/>
      <c r="AQ1218" s="19"/>
      <c r="AR1218" s="19"/>
      <c r="AS1218" s="19"/>
      <c r="AT1218" s="19"/>
      <c r="AU1218" s="19"/>
      <c r="AV1218" s="19"/>
      <c r="AW1218" s="19"/>
      <c r="AX1218" s="19"/>
      <c r="GA1218" s="54"/>
    </row>
    <row r="1219" spans="1:183" s="18" customFormat="1">
      <c r="A1219" s="51"/>
      <c r="B1219" s="52"/>
      <c r="C1219" s="52"/>
      <c r="D1219" s="52"/>
      <c r="E1219" s="53"/>
      <c r="F1219" s="52"/>
      <c r="G1219" s="52"/>
      <c r="H1219" s="52"/>
      <c r="I1219" s="53"/>
      <c r="J1219" s="52"/>
      <c r="K1219" s="52"/>
      <c r="L1219" s="52"/>
      <c r="M1219" s="52"/>
      <c r="N1219" s="19"/>
      <c r="O1219" s="19"/>
      <c r="P1219" s="19"/>
      <c r="Q1219" s="19"/>
      <c r="R1219" s="19"/>
      <c r="S1219" s="19"/>
      <c r="T1219" s="19"/>
      <c r="U1219" s="19"/>
      <c r="V1219" s="19"/>
      <c r="W1219" s="19"/>
      <c r="X1219" s="19"/>
      <c r="Y1219" s="19"/>
      <c r="Z1219" s="19"/>
      <c r="AA1219" s="19"/>
      <c r="AB1219" s="19"/>
      <c r="AC1219" s="19"/>
      <c r="AD1219" s="19"/>
      <c r="AE1219" s="19"/>
      <c r="AF1219" s="19"/>
      <c r="AG1219" s="19"/>
      <c r="AH1219" s="19"/>
      <c r="AI1219" s="19"/>
      <c r="AJ1219" s="19"/>
      <c r="AK1219" s="19"/>
      <c r="AL1219" s="19"/>
      <c r="AM1219" s="19"/>
      <c r="AN1219" s="19"/>
      <c r="AO1219" s="19"/>
      <c r="AP1219" s="19"/>
      <c r="AQ1219" s="19"/>
      <c r="AR1219" s="19"/>
      <c r="AS1219" s="19"/>
      <c r="AT1219" s="19"/>
      <c r="AU1219" s="19"/>
      <c r="AV1219" s="19"/>
      <c r="AW1219" s="19"/>
      <c r="AX1219" s="19"/>
      <c r="GA1219" s="54"/>
    </row>
    <row r="1220" spans="1:183" s="18" customFormat="1">
      <c r="A1220" s="51"/>
      <c r="B1220" s="52"/>
      <c r="C1220" s="52"/>
      <c r="D1220" s="52"/>
      <c r="E1220" s="53"/>
      <c r="F1220" s="52"/>
      <c r="G1220" s="52"/>
      <c r="H1220" s="52"/>
      <c r="I1220" s="53"/>
      <c r="J1220" s="52"/>
      <c r="K1220" s="52"/>
      <c r="L1220" s="52"/>
      <c r="M1220" s="52"/>
      <c r="N1220" s="19"/>
      <c r="O1220" s="19"/>
      <c r="P1220" s="19"/>
      <c r="Q1220" s="19"/>
      <c r="R1220" s="19"/>
      <c r="S1220" s="19"/>
      <c r="T1220" s="19"/>
      <c r="U1220" s="19"/>
      <c r="V1220" s="19"/>
      <c r="W1220" s="19"/>
      <c r="X1220" s="19"/>
      <c r="Y1220" s="19"/>
      <c r="Z1220" s="19"/>
      <c r="AA1220" s="19"/>
      <c r="AB1220" s="19"/>
      <c r="AC1220" s="19"/>
      <c r="AD1220" s="19"/>
      <c r="AE1220" s="19"/>
      <c r="AF1220" s="19"/>
      <c r="AG1220" s="19"/>
      <c r="AH1220" s="19"/>
      <c r="AI1220" s="19"/>
      <c r="AJ1220" s="19"/>
      <c r="AK1220" s="19"/>
      <c r="AL1220" s="19"/>
      <c r="AM1220" s="19"/>
      <c r="AN1220" s="19"/>
      <c r="AO1220" s="19"/>
      <c r="AP1220" s="19"/>
      <c r="AQ1220" s="19"/>
      <c r="AR1220" s="19"/>
      <c r="AS1220" s="19"/>
      <c r="AT1220" s="19"/>
      <c r="AU1220" s="19"/>
      <c r="AV1220" s="19"/>
      <c r="AW1220" s="19"/>
      <c r="AX1220" s="19"/>
      <c r="GA1220" s="54"/>
    </row>
    <row r="1221" spans="1:183" s="18" customFormat="1">
      <c r="A1221" s="51"/>
      <c r="B1221" s="52"/>
      <c r="C1221" s="52"/>
      <c r="D1221" s="52"/>
      <c r="E1221" s="53"/>
      <c r="F1221" s="52"/>
      <c r="G1221" s="52"/>
      <c r="H1221" s="52"/>
      <c r="I1221" s="53"/>
      <c r="J1221" s="52"/>
      <c r="K1221" s="52"/>
      <c r="L1221" s="52"/>
      <c r="M1221" s="52"/>
      <c r="N1221" s="19"/>
      <c r="O1221" s="19"/>
      <c r="P1221" s="19"/>
      <c r="Q1221" s="19"/>
      <c r="R1221" s="19"/>
      <c r="S1221" s="19"/>
      <c r="T1221" s="19"/>
      <c r="U1221" s="19"/>
      <c r="V1221" s="19"/>
      <c r="W1221" s="19"/>
      <c r="X1221" s="19"/>
      <c r="Y1221" s="19"/>
      <c r="Z1221" s="19"/>
      <c r="AA1221" s="19"/>
      <c r="AB1221" s="19"/>
      <c r="AC1221" s="19"/>
      <c r="AD1221" s="19"/>
      <c r="AE1221" s="19"/>
      <c r="AF1221" s="19"/>
      <c r="AG1221" s="19"/>
      <c r="AH1221" s="19"/>
      <c r="AI1221" s="19"/>
      <c r="AJ1221" s="19"/>
      <c r="AK1221" s="19"/>
      <c r="AL1221" s="19"/>
      <c r="AM1221" s="19"/>
      <c r="AN1221" s="19"/>
      <c r="AO1221" s="19"/>
      <c r="AP1221" s="19"/>
      <c r="AQ1221" s="19"/>
      <c r="AR1221" s="19"/>
      <c r="AS1221" s="19"/>
      <c r="AT1221" s="19"/>
      <c r="AU1221" s="19"/>
      <c r="AV1221" s="19"/>
      <c r="AW1221" s="19"/>
      <c r="AX1221" s="19"/>
      <c r="GA1221" s="54"/>
    </row>
    <row r="1222" spans="1:183" s="18" customFormat="1">
      <c r="A1222" s="51"/>
      <c r="B1222" s="52"/>
      <c r="C1222" s="52"/>
      <c r="D1222" s="52"/>
      <c r="E1222" s="53"/>
      <c r="F1222" s="52"/>
      <c r="G1222" s="52"/>
      <c r="H1222" s="52"/>
      <c r="I1222" s="53"/>
      <c r="J1222" s="52"/>
      <c r="K1222" s="52"/>
      <c r="L1222" s="52"/>
      <c r="M1222" s="52"/>
      <c r="N1222" s="19"/>
      <c r="O1222" s="19"/>
      <c r="P1222" s="19"/>
      <c r="Q1222" s="19"/>
      <c r="R1222" s="19"/>
      <c r="S1222" s="19"/>
      <c r="T1222" s="19"/>
      <c r="U1222" s="19"/>
      <c r="V1222" s="19"/>
      <c r="W1222" s="19"/>
      <c r="X1222" s="19"/>
      <c r="Y1222" s="19"/>
      <c r="Z1222" s="19"/>
      <c r="AA1222" s="19"/>
      <c r="AB1222" s="19"/>
      <c r="AC1222" s="19"/>
      <c r="AD1222" s="19"/>
      <c r="AE1222" s="19"/>
      <c r="AF1222" s="19"/>
      <c r="AG1222" s="19"/>
      <c r="AH1222" s="19"/>
      <c r="AI1222" s="19"/>
      <c r="AJ1222" s="19"/>
      <c r="AK1222" s="19"/>
      <c r="AL1222" s="19"/>
      <c r="AM1222" s="19"/>
      <c r="AN1222" s="19"/>
      <c r="AO1222" s="19"/>
      <c r="AP1222" s="19"/>
      <c r="AQ1222" s="19"/>
      <c r="AR1222" s="19"/>
      <c r="AS1222" s="19"/>
      <c r="AT1222" s="19"/>
      <c r="AU1222" s="19"/>
      <c r="AV1222" s="19"/>
      <c r="AW1222" s="19"/>
      <c r="AX1222" s="19"/>
      <c r="GA1222" s="54"/>
    </row>
    <row r="1223" spans="1:183" s="18" customFormat="1">
      <c r="A1223" s="51"/>
      <c r="B1223" s="52"/>
      <c r="C1223" s="52"/>
      <c r="D1223" s="52"/>
      <c r="E1223" s="53"/>
      <c r="F1223" s="52"/>
      <c r="G1223" s="52"/>
      <c r="H1223" s="52"/>
      <c r="I1223" s="53"/>
      <c r="J1223" s="52"/>
      <c r="K1223" s="52"/>
      <c r="L1223" s="52"/>
      <c r="M1223" s="52"/>
      <c r="N1223" s="19"/>
      <c r="O1223" s="19"/>
      <c r="P1223" s="19"/>
      <c r="Q1223" s="19"/>
      <c r="R1223" s="19"/>
      <c r="S1223" s="19"/>
      <c r="T1223" s="19"/>
      <c r="U1223" s="19"/>
      <c r="V1223" s="19"/>
      <c r="W1223" s="19"/>
      <c r="X1223" s="19"/>
      <c r="Y1223" s="19"/>
      <c r="Z1223" s="19"/>
      <c r="AA1223" s="19"/>
      <c r="AB1223" s="19"/>
      <c r="AC1223" s="19"/>
      <c r="AD1223" s="19"/>
      <c r="AE1223" s="19"/>
      <c r="AF1223" s="19"/>
      <c r="AG1223" s="19"/>
      <c r="AH1223" s="19"/>
      <c r="AI1223" s="19"/>
      <c r="AJ1223" s="19"/>
      <c r="AK1223" s="19"/>
      <c r="AL1223" s="19"/>
      <c r="AM1223" s="19"/>
      <c r="AN1223" s="19"/>
      <c r="AO1223" s="19"/>
      <c r="AP1223" s="19"/>
      <c r="AQ1223" s="19"/>
      <c r="AR1223" s="19"/>
      <c r="AS1223" s="19"/>
      <c r="AT1223" s="19"/>
      <c r="AU1223" s="19"/>
      <c r="AV1223" s="19"/>
      <c r="AW1223" s="19"/>
      <c r="AX1223" s="19"/>
      <c r="GA1223" s="54"/>
    </row>
    <row r="1224" spans="1:183" s="18" customFormat="1">
      <c r="A1224" s="51"/>
      <c r="B1224" s="52"/>
      <c r="C1224" s="52"/>
      <c r="D1224" s="52"/>
      <c r="E1224" s="53"/>
      <c r="F1224" s="52"/>
      <c r="G1224" s="52"/>
      <c r="H1224" s="52"/>
      <c r="I1224" s="53"/>
      <c r="J1224" s="52"/>
      <c r="K1224" s="52"/>
      <c r="L1224" s="52"/>
      <c r="M1224" s="52"/>
      <c r="N1224" s="19"/>
      <c r="O1224" s="19"/>
      <c r="P1224" s="19"/>
      <c r="Q1224" s="19"/>
      <c r="R1224" s="19"/>
      <c r="S1224" s="19"/>
      <c r="T1224" s="19"/>
      <c r="U1224" s="19"/>
      <c r="V1224" s="19"/>
      <c r="W1224" s="19"/>
      <c r="X1224" s="19"/>
      <c r="Y1224" s="19"/>
      <c r="Z1224" s="19"/>
      <c r="AA1224" s="19"/>
      <c r="AB1224" s="19"/>
      <c r="AC1224" s="19"/>
      <c r="AD1224" s="19"/>
      <c r="AE1224" s="19"/>
      <c r="AF1224" s="19"/>
      <c r="AG1224" s="19"/>
      <c r="AH1224" s="19"/>
      <c r="AI1224" s="19"/>
      <c r="AJ1224" s="19"/>
      <c r="AK1224" s="19"/>
      <c r="AL1224" s="19"/>
      <c r="AM1224" s="19"/>
      <c r="AN1224" s="19"/>
      <c r="AO1224" s="19"/>
      <c r="AP1224" s="19"/>
      <c r="AQ1224" s="19"/>
      <c r="AR1224" s="19"/>
      <c r="AS1224" s="19"/>
      <c r="AT1224" s="19"/>
      <c r="AU1224" s="19"/>
      <c r="AV1224" s="19"/>
      <c r="AW1224" s="19"/>
      <c r="AX1224" s="19"/>
      <c r="GA1224" s="54"/>
    </row>
    <row r="1225" spans="1:183" s="18" customFormat="1">
      <c r="A1225" s="51"/>
      <c r="B1225" s="52"/>
      <c r="C1225" s="52"/>
      <c r="D1225" s="52"/>
      <c r="E1225" s="53"/>
      <c r="F1225" s="52"/>
      <c r="G1225" s="52"/>
      <c r="H1225" s="52"/>
      <c r="I1225" s="53"/>
      <c r="J1225" s="52"/>
      <c r="K1225" s="52"/>
      <c r="L1225" s="52"/>
      <c r="M1225" s="52"/>
      <c r="N1225" s="19"/>
      <c r="O1225" s="19"/>
      <c r="P1225" s="19"/>
      <c r="Q1225" s="19"/>
      <c r="R1225" s="19"/>
      <c r="S1225" s="19"/>
      <c r="T1225" s="19"/>
      <c r="U1225" s="19"/>
      <c r="V1225" s="19"/>
      <c r="W1225" s="19"/>
      <c r="X1225" s="19"/>
      <c r="Y1225" s="19"/>
      <c r="Z1225" s="19"/>
      <c r="AA1225" s="19"/>
      <c r="AB1225" s="19"/>
      <c r="AC1225" s="19"/>
      <c r="AD1225" s="19"/>
      <c r="AE1225" s="19"/>
      <c r="AF1225" s="19"/>
      <c r="AG1225" s="19"/>
      <c r="AH1225" s="19"/>
      <c r="AI1225" s="19"/>
      <c r="AJ1225" s="19"/>
      <c r="AK1225" s="19"/>
      <c r="AL1225" s="19"/>
      <c r="AM1225" s="19"/>
      <c r="AN1225" s="19"/>
      <c r="AO1225" s="19"/>
      <c r="AP1225" s="19"/>
      <c r="AQ1225" s="19"/>
      <c r="AR1225" s="19"/>
      <c r="AS1225" s="19"/>
      <c r="AT1225" s="19"/>
      <c r="AU1225" s="19"/>
      <c r="AV1225" s="19"/>
      <c r="AW1225" s="19"/>
      <c r="AX1225" s="19"/>
      <c r="GA1225" s="54"/>
    </row>
    <row r="1226" spans="1:183" s="18" customFormat="1">
      <c r="A1226" s="51"/>
      <c r="B1226" s="52"/>
      <c r="C1226" s="52"/>
      <c r="D1226" s="52"/>
      <c r="E1226" s="53"/>
      <c r="F1226" s="52"/>
      <c r="G1226" s="52"/>
      <c r="H1226" s="52"/>
      <c r="I1226" s="53"/>
      <c r="J1226" s="52"/>
      <c r="K1226" s="52"/>
      <c r="L1226" s="52"/>
      <c r="M1226" s="52"/>
      <c r="N1226" s="19"/>
      <c r="O1226" s="19"/>
      <c r="P1226" s="19"/>
      <c r="Q1226" s="19"/>
      <c r="R1226" s="19"/>
      <c r="S1226" s="19"/>
      <c r="T1226" s="19"/>
      <c r="U1226" s="19"/>
      <c r="V1226" s="19"/>
      <c r="W1226" s="19"/>
      <c r="X1226" s="19"/>
      <c r="Y1226" s="19"/>
      <c r="Z1226" s="19"/>
      <c r="AA1226" s="19"/>
      <c r="AB1226" s="19"/>
      <c r="AC1226" s="19"/>
      <c r="AD1226" s="19"/>
      <c r="AE1226" s="19"/>
      <c r="AF1226" s="19"/>
      <c r="AG1226" s="19"/>
      <c r="AH1226" s="19"/>
      <c r="AI1226" s="19"/>
      <c r="AJ1226" s="19"/>
      <c r="AK1226" s="19"/>
      <c r="AL1226" s="19"/>
      <c r="AM1226" s="19"/>
      <c r="AN1226" s="19"/>
      <c r="AO1226" s="19"/>
      <c r="AP1226" s="19"/>
      <c r="AQ1226" s="19"/>
      <c r="AR1226" s="19"/>
      <c r="AS1226" s="19"/>
      <c r="AT1226" s="19"/>
      <c r="AU1226" s="19"/>
      <c r="AV1226" s="19"/>
      <c r="AW1226" s="19"/>
      <c r="AX1226" s="19"/>
      <c r="GA1226" s="54"/>
    </row>
    <row r="1227" spans="1:183" s="18" customFormat="1">
      <c r="A1227" s="51"/>
      <c r="B1227" s="52"/>
      <c r="C1227" s="52"/>
      <c r="D1227" s="52"/>
      <c r="E1227" s="53"/>
      <c r="F1227" s="52"/>
      <c r="G1227" s="52"/>
      <c r="H1227" s="52"/>
      <c r="I1227" s="53"/>
      <c r="J1227" s="52"/>
      <c r="K1227" s="52"/>
      <c r="L1227" s="52"/>
      <c r="M1227" s="52"/>
      <c r="N1227" s="19"/>
      <c r="O1227" s="19"/>
      <c r="P1227" s="19"/>
      <c r="Q1227" s="19"/>
      <c r="R1227" s="19"/>
      <c r="S1227" s="19"/>
      <c r="T1227" s="19"/>
      <c r="U1227" s="19"/>
      <c r="V1227" s="19"/>
      <c r="W1227" s="19"/>
      <c r="X1227" s="19"/>
      <c r="Y1227" s="19"/>
      <c r="Z1227" s="19"/>
      <c r="AA1227" s="19"/>
      <c r="AB1227" s="19"/>
      <c r="AC1227" s="19"/>
      <c r="AD1227" s="19"/>
      <c r="AE1227" s="19"/>
      <c r="AF1227" s="19"/>
      <c r="AG1227" s="19"/>
      <c r="AH1227" s="19"/>
      <c r="AI1227" s="19"/>
      <c r="AJ1227" s="19"/>
      <c r="AK1227" s="19"/>
      <c r="AL1227" s="19"/>
      <c r="AM1227" s="19"/>
      <c r="AN1227" s="19"/>
      <c r="AO1227" s="19"/>
      <c r="AP1227" s="19"/>
      <c r="AQ1227" s="19"/>
      <c r="AR1227" s="19"/>
      <c r="AS1227" s="19"/>
      <c r="AT1227" s="19"/>
      <c r="AU1227" s="19"/>
      <c r="AV1227" s="19"/>
      <c r="AW1227" s="19"/>
      <c r="AX1227" s="19"/>
      <c r="GA1227" s="54"/>
    </row>
    <row r="1228" spans="1:183" s="18" customFormat="1">
      <c r="A1228" s="51"/>
      <c r="B1228" s="52"/>
      <c r="C1228" s="52"/>
      <c r="D1228" s="52"/>
      <c r="E1228" s="53"/>
      <c r="F1228" s="52"/>
      <c r="G1228" s="52"/>
      <c r="H1228" s="52"/>
      <c r="I1228" s="53"/>
      <c r="J1228" s="52"/>
      <c r="K1228" s="52"/>
      <c r="L1228" s="52"/>
      <c r="M1228" s="52"/>
      <c r="N1228" s="19"/>
      <c r="O1228" s="19"/>
      <c r="P1228" s="19"/>
      <c r="Q1228" s="19"/>
      <c r="R1228" s="19"/>
      <c r="S1228" s="19"/>
      <c r="T1228" s="19"/>
      <c r="U1228" s="19"/>
      <c r="V1228" s="19"/>
      <c r="W1228" s="19"/>
      <c r="X1228" s="19"/>
      <c r="Y1228" s="19"/>
      <c r="Z1228" s="19"/>
      <c r="AA1228" s="19"/>
      <c r="AB1228" s="19"/>
      <c r="AC1228" s="19"/>
      <c r="AD1228" s="19"/>
      <c r="AE1228" s="19"/>
      <c r="AF1228" s="19"/>
      <c r="AG1228" s="19"/>
      <c r="AH1228" s="19"/>
      <c r="AI1228" s="19"/>
      <c r="AJ1228" s="19"/>
      <c r="AK1228" s="19"/>
      <c r="AL1228" s="19"/>
      <c r="AM1228" s="19"/>
      <c r="AN1228" s="19"/>
      <c r="AO1228" s="19"/>
      <c r="AP1228" s="19"/>
      <c r="AQ1228" s="19"/>
      <c r="AR1228" s="19"/>
      <c r="AS1228" s="19"/>
      <c r="AT1228" s="19"/>
      <c r="AU1228" s="19"/>
      <c r="AV1228" s="19"/>
      <c r="AW1228" s="19"/>
      <c r="AX1228" s="19"/>
      <c r="GA1228" s="54"/>
    </row>
    <row r="1229" spans="1:183" s="18" customFormat="1">
      <c r="A1229" s="51"/>
      <c r="B1229" s="52"/>
      <c r="C1229" s="52"/>
      <c r="D1229" s="52"/>
      <c r="E1229" s="53"/>
      <c r="F1229" s="52"/>
      <c r="G1229" s="52"/>
      <c r="H1229" s="52"/>
      <c r="I1229" s="53"/>
      <c r="J1229" s="52"/>
      <c r="K1229" s="52"/>
      <c r="L1229" s="52"/>
      <c r="M1229" s="52"/>
      <c r="N1229" s="19"/>
      <c r="O1229" s="19"/>
      <c r="P1229" s="19"/>
      <c r="Q1229" s="19"/>
      <c r="R1229" s="19"/>
      <c r="S1229" s="19"/>
      <c r="T1229" s="19"/>
      <c r="U1229" s="19"/>
      <c r="V1229" s="19"/>
      <c r="W1229" s="19"/>
      <c r="X1229" s="19"/>
      <c r="Y1229" s="19"/>
      <c r="Z1229" s="19"/>
      <c r="AA1229" s="19"/>
      <c r="AB1229" s="19"/>
      <c r="AC1229" s="19"/>
      <c r="AD1229" s="19"/>
      <c r="AE1229" s="19"/>
      <c r="AF1229" s="19"/>
      <c r="AG1229" s="19"/>
      <c r="AH1229" s="19"/>
      <c r="AI1229" s="19"/>
      <c r="AJ1229" s="19"/>
      <c r="AK1229" s="19"/>
      <c r="AL1229" s="19"/>
      <c r="AM1229" s="19"/>
      <c r="AN1229" s="19"/>
      <c r="AO1229" s="19"/>
      <c r="AP1229" s="19"/>
      <c r="AQ1229" s="19"/>
      <c r="AR1229" s="19"/>
      <c r="AS1229" s="19"/>
      <c r="AT1229" s="19"/>
      <c r="AU1229" s="19"/>
      <c r="AV1229" s="19"/>
      <c r="AW1229" s="19"/>
      <c r="AX1229" s="19"/>
      <c r="GA1229" s="54"/>
    </row>
    <row r="1230" spans="1:183" s="18" customFormat="1">
      <c r="A1230" s="51"/>
      <c r="B1230" s="52"/>
      <c r="C1230" s="52"/>
      <c r="D1230" s="52"/>
      <c r="E1230" s="53"/>
      <c r="F1230" s="52"/>
      <c r="G1230" s="52"/>
      <c r="H1230" s="52"/>
      <c r="I1230" s="53"/>
      <c r="J1230" s="52"/>
      <c r="K1230" s="52"/>
      <c r="L1230" s="52"/>
      <c r="M1230" s="52"/>
      <c r="N1230" s="19"/>
      <c r="O1230" s="19"/>
      <c r="P1230" s="19"/>
      <c r="Q1230" s="19"/>
      <c r="R1230" s="19"/>
      <c r="S1230" s="19"/>
      <c r="T1230" s="19"/>
      <c r="U1230" s="19"/>
      <c r="V1230" s="19"/>
      <c r="W1230" s="19"/>
      <c r="X1230" s="19"/>
      <c r="Y1230" s="19"/>
      <c r="Z1230" s="19"/>
      <c r="AA1230" s="19"/>
      <c r="AB1230" s="19"/>
      <c r="AC1230" s="19"/>
      <c r="AD1230" s="19"/>
      <c r="AE1230" s="19"/>
      <c r="AF1230" s="19"/>
      <c r="AG1230" s="19"/>
      <c r="AH1230" s="19"/>
      <c r="AI1230" s="19"/>
      <c r="AJ1230" s="19"/>
      <c r="AK1230" s="19"/>
      <c r="AL1230" s="19"/>
      <c r="AM1230" s="19"/>
      <c r="AN1230" s="19"/>
      <c r="AO1230" s="19"/>
      <c r="AP1230" s="19"/>
      <c r="AQ1230" s="19"/>
      <c r="AR1230" s="19"/>
      <c r="AS1230" s="19"/>
      <c r="AT1230" s="19"/>
      <c r="AU1230" s="19"/>
      <c r="AV1230" s="19"/>
      <c r="AW1230" s="19"/>
      <c r="AX1230" s="19"/>
      <c r="GA1230" s="54"/>
    </row>
    <row r="1231" spans="1:183" s="18" customFormat="1">
      <c r="A1231" s="51"/>
      <c r="B1231" s="52"/>
      <c r="C1231" s="52"/>
      <c r="D1231" s="52"/>
      <c r="E1231" s="53"/>
      <c r="F1231" s="52"/>
      <c r="G1231" s="52"/>
      <c r="H1231" s="52"/>
      <c r="I1231" s="53"/>
      <c r="J1231" s="52"/>
      <c r="K1231" s="52"/>
      <c r="L1231" s="52"/>
      <c r="M1231" s="52"/>
      <c r="N1231" s="19"/>
      <c r="O1231" s="19"/>
      <c r="P1231" s="19"/>
      <c r="Q1231" s="19"/>
      <c r="R1231" s="19"/>
      <c r="S1231" s="19"/>
      <c r="T1231" s="19"/>
      <c r="U1231" s="19"/>
      <c r="V1231" s="19"/>
      <c r="W1231" s="19"/>
      <c r="X1231" s="19"/>
      <c r="Y1231" s="19"/>
      <c r="Z1231" s="19"/>
      <c r="AA1231" s="19"/>
      <c r="AB1231" s="19"/>
      <c r="AC1231" s="19"/>
      <c r="AD1231" s="19"/>
      <c r="AE1231" s="19"/>
      <c r="AF1231" s="19"/>
      <c r="AG1231" s="19"/>
      <c r="AH1231" s="19"/>
      <c r="AI1231" s="19"/>
      <c r="AJ1231" s="19"/>
      <c r="AK1231" s="19"/>
      <c r="AL1231" s="19"/>
      <c r="AM1231" s="19"/>
      <c r="AN1231" s="19"/>
      <c r="AO1231" s="19"/>
      <c r="AP1231" s="19"/>
      <c r="AQ1231" s="19"/>
      <c r="AR1231" s="19"/>
      <c r="AS1231" s="19"/>
      <c r="AT1231" s="19"/>
      <c r="AU1231" s="19"/>
      <c r="AV1231" s="19"/>
      <c r="AW1231" s="19"/>
      <c r="AX1231" s="19"/>
      <c r="GA1231" s="54"/>
    </row>
    <row r="1232" spans="1:183" s="18" customFormat="1">
      <c r="A1232" s="51"/>
      <c r="B1232" s="52"/>
      <c r="C1232" s="52"/>
      <c r="D1232" s="52"/>
      <c r="E1232" s="53"/>
      <c r="F1232" s="52"/>
      <c r="G1232" s="52"/>
      <c r="H1232" s="52"/>
      <c r="I1232" s="53"/>
      <c r="J1232" s="52"/>
      <c r="K1232" s="52"/>
      <c r="L1232" s="52"/>
      <c r="M1232" s="52"/>
      <c r="N1232" s="19"/>
      <c r="O1232" s="19"/>
      <c r="P1232" s="19"/>
      <c r="Q1232" s="19"/>
      <c r="R1232" s="19"/>
      <c r="S1232" s="19"/>
      <c r="T1232" s="19"/>
      <c r="U1232" s="19"/>
      <c r="V1232" s="19"/>
      <c r="W1232" s="19"/>
      <c r="X1232" s="19"/>
      <c r="Y1232" s="19"/>
      <c r="Z1232" s="19"/>
      <c r="AA1232" s="19"/>
      <c r="AB1232" s="19"/>
      <c r="AC1232" s="19"/>
      <c r="AD1232" s="19"/>
      <c r="AE1232" s="19"/>
      <c r="AF1232" s="19"/>
      <c r="AG1232" s="19"/>
      <c r="AH1232" s="19"/>
      <c r="AI1232" s="19"/>
      <c r="AJ1232" s="19"/>
      <c r="AK1232" s="19"/>
      <c r="AL1232" s="19"/>
      <c r="AM1232" s="19"/>
      <c r="AN1232" s="19"/>
      <c r="AO1232" s="19"/>
      <c r="AP1232" s="19"/>
      <c r="AQ1232" s="19"/>
      <c r="AR1232" s="19"/>
      <c r="AS1232" s="19"/>
      <c r="AT1232" s="19"/>
      <c r="AU1232" s="19"/>
      <c r="AV1232" s="19"/>
      <c r="AW1232" s="19"/>
      <c r="AX1232" s="19"/>
      <c r="GA1232" s="54"/>
    </row>
    <row r="1233" spans="1:183" s="18" customFormat="1">
      <c r="A1233" s="51"/>
      <c r="B1233" s="52"/>
      <c r="C1233" s="52"/>
      <c r="D1233" s="52"/>
      <c r="E1233" s="53"/>
      <c r="F1233" s="52"/>
      <c r="G1233" s="52"/>
      <c r="H1233" s="52"/>
      <c r="I1233" s="53"/>
      <c r="J1233" s="52"/>
      <c r="K1233" s="52"/>
      <c r="L1233" s="52"/>
      <c r="M1233" s="52"/>
      <c r="N1233" s="19"/>
      <c r="O1233" s="19"/>
      <c r="P1233" s="19"/>
      <c r="Q1233" s="19"/>
      <c r="R1233" s="19"/>
      <c r="S1233" s="19"/>
      <c r="T1233" s="19"/>
      <c r="U1233" s="19"/>
      <c r="V1233" s="19"/>
      <c r="W1233" s="19"/>
      <c r="X1233" s="19"/>
      <c r="Y1233" s="19"/>
      <c r="Z1233" s="19"/>
      <c r="AA1233" s="19"/>
      <c r="AB1233" s="19"/>
      <c r="AC1233" s="19"/>
      <c r="AD1233" s="19"/>
      <c r="AE1233" s="19"/>
      <c r="AF1233" s="19"/>
      <c r="AG1233" s="19"/>
      <c r="AH1233" s="19"/>
      <c r="AI1233" s="19"/>
      <c r="AJ1233" s="19"/>
      <c r="AK1233" s="19"/>
      <c r="AL1233" s="19"/>
      <c r="AM1233" s="19"/>
      <c r="AN1233" s="19"/>
      <c r="AO1233" s="19"/>
      <c r="AP1233" s="19"/>
      <c r="AQ1233" s="19"/>
      <c r="AR1233" s="19"/>
      <c r="AS1233" s="19"/>
      <c r="AT1233" s="19"/>
      <c r="AU1233" s="19"/>
      <c r="AV1233" s="19"/>
      <c r="AW1233" s="19"/>
      <c r="AX1233" s="19"/>
      <c r="GA1233" s="54"/>
    </row>
    <row r="1234" spans="1:183" s="18" customFormat="1">
      <c r="A1234" s="51"/>
      <c r="B1234" s="52"/>
      <c r="C1234" s="52"/>
      <c r="D1234" s="52"/>
      <c r="E1234" s="53"/>
      <c r="F1234" s="52"/>
      <c r="G1234" s="52"/>
      <c r="H1234" s="52"/>
      <c r="I1234" s="53"/>
      <c r="J1234" s="52"/>
      <c r="K1234" s="52"/>
      <c r="L1234" s="52"/>
      <c r="M1234" s="52"/>
      <c r="N1234" s="19"/>
      <c r="O1234" s="19"/>
      <c r="P1234" s="19"/>
      <c r="Q1234" s="19"/>
      <c r="R1234" s="19"/>
      <c r="S1234" s="19"/>
      <c r="T1234" s="19"/>
      <c r="U1234" s="19"/>
      <c r="V1234" s="19"/>
      <c r="W1234" s="19"/>
      <c r="X1234" s="19"/>
      <c r="Y1234" s="19"/>
      <c r="Z1234" s="19"/>
      <c r="AA1234" s="19"/>
      <c r="AB1234" s="19"/>
      <c r="AC1234" s="19"/>
      <c r="AD1234" s="19"/>
      <c r="AE1234" s="19"/>
      <c r="AF1234" s="19"/>
      <c r="AG1234" s="19"/>
      <c r="AH1234" s="19"/>
      <c r="AI1234" s="19"/>
      <c r="AJ1234" s="19"/>
      <c r="AK1234" s="19"/>
      <c r="AL1234" s="19"/>
      <c r="AM1234" s="19"/>
      <c r="AN1234" s="19"/>
      <c r="AO1234" s="19"/>
      <c r="AP1234" s="19"/>
      <c r="AQ1234" s="19"/>
      <c r="AR1234" s="19"/>
      <c r="AS1234" s="19"/>
      <c r="AT1234" s="19"/>
      <c r="AU1234" s="19"/>
      <c r="AV1234" s="19"/>
      <c r="AW1234" s="19"/>
      <c r="AX1234" s="19"/>
      <c r="GA1234" s="54"/>
    </row>
    <row r="1235" spans="1:183" s="18" customFormat="1">
      <c r="A1235" s="51"/>
      <c r="B1235" s="52"/>
      <c r="C1235" s="52"/>
      <c r="D1235" s="52"/>
      <c r="E1235" s="53"/>
      <c r="F1235" s="52"/>
      <c r="G1235" s="52"/>
      <c r="H1235" s="52"/>
      <c r="I1235" s="53"/>
      <c r="J1235" s="52"/>
      <c r="K1235" s="52"/>
      <c r="L1235" s="52"/>
      <c r="M1235" s="52"/>
      <c r="N1235" s="19"/>
      <c r="O1235" s="19"/>
      <c r="P1235" s="19"/>
      <c r="Q1235" s="19"/>
      <c r="R1235" s="19"/>
      <c r="S1235" s="19"/>
      <c r="T1235" s="19"/>
      <c r="U1235" s="19"/>
      <c r="V1235" s="19"/>
      <c r="W1235" s="19"/>
      <c r="X1235" s="19"/>
      <c r="Y1235" s="19"/>
      <c r="Z1235" s="19"/>
      <c r="AA1235" s="19"/>
      <c r="AB1235" s="19"/>
      <c r="AC1235" s="19"/>
      <c r="AD1235" s="19"/>
      <c r="AE1235" s="19"/>
      <c r="AF1235" s="19"/>
      <c r="AG1235" s="19"/>
      <c r="AH1235" s="19"/>
      <c r="AI1235" s="19"/>
      <c r="AJ1235" s="19"/>
      <c r="AK1235" s="19"/>
      <c r="AL1235" s="19"/>
      <c r="AM1235" s="19"/>
      <c r="AN1235" s="19"/>
      <c r="AO1235" s="19"/>
      <c r="AP1235" s="19"/>
      <c r="AQ1235" s="19"/>
      <c r="AR1235" s="19"/>
      <c r="AS1235" s="19"/>
      <c r="AT1235" s="19"/>
      <c r="AU1235" s="19"/>
      <c r="AV1235" s="19"/>
      <c r="AW1235" s="19"/>
      <c r="AX1235" s="19"/>
      <c r="GA1235" s="54"/>
    </row>
    <row r="1236" spans="1:183" s="18" customFormat="1">
      <c r="A1236" s="51"/>
      <c r="B1236" s="52"/>
      <c r="C1236" s="52"/>
      <c r="D1236" s="52"/>
      <c r="E1236" s="53"/>
      <c r="F1236" s="52"/>
      <c r="G1236" s="52"/>
      <c r="H1236" s="52"/>
      <c r="I1236" s="53"/>
      <c r="J1236" s="52"/>
      <c r="K1236" s="52"/>
      <c r="L1236" s="52"/>
      <c r="M1236" s="52"/>
      <c r="N1236" s="19"/>
      <c r="O1236" s="19"/>
      <c r="P1236" s="19"/>
      <c r="Q1236" s="19"/>
      <c r="R1236" s="19"/>
      <c r="S1236" s="19"/>
      <c r="T1236" s="19"/>
      <c r="U1236" s="19"/>
      <c r="V1236" s="19"/>
      <c r="W1236" s="19"/>
      <c r="X1236" s="19"/>
      <c r="Y1236" s="19"/>
      <c r="Z1236" s="19"/>
      <c r="AA1236" s="19"/>
      <c r="AB1236" s="19"/>
      <c r="AC1236" s="19"/>
      <c r="AD1236" s="19"/>
      <c r="AE1236" s="19"/>
      <c r="AF1236" s="19"/>
      <c r="AG1236" s="19"/>
      <c r="AH1236" s="19"/>
      <c r="AI1236" s="19"/>
      <c r="AJ1236" s="19"/>
      <c r="AK1236" s="19"/>
      <c r="AL1236" s="19"/>
      <c r="AM1236" s="19"/>
      <c r="AN1236" s="19"/>
      <c r="AO1236" s="19"/>
      <c r="AP1236" s="19"/>
      <c r="AQ1236" s="19"/>
      <c r="AR1236" s="19"/>
      <c r="AS1236" s="19"/>
      <c r="AT1236" s="19"/>
      <c r="AU1236" s="19"/>
      <c r="AV1236" s="19"/>
      <c r="AW1236" s="19"/>
      <c r="AX1236" s="19"/>
      <c r="GA1236" s="54"/>
    </row>
    <row r="1237" spans="1:183" s="18" customFormat="1">
      <c r="A1237" s="51"/>
      <c r="B1237" s="52"/>
      <c r="C1237" s="52"/>
      <c r="D1237" s="52"/>
      <c r="E1237" s="53"/>
      <c r="F1237" s="52"/>
      <c r="G1237" s="52"/>
      <c r="H1237" s="52"/>
      <c r="I1237" s="53"/>
      <c r="J1237" s="52"/>
      <c r="K1237" s="52"/>
      <c r="L1237" s="52"/>
      <c r="M1237" s="52"/>
      <c r="N1237" s="19"/>
      <c r="O1237" s="19"/>
      <c r="P1237" s="19"/>
      <c r="Q1237" s="19"/>
      <c r="R1237" s="19"/>
      <c r="S1237" s="19"/>
      <c r="T1237" s="19"/>
      <c r="U1237" s="19"/>
      <c r="V1237" s="19"/>
      <c r="W1237" s="19"/>
      <c r="X1237" s="19"/>
      <c r="Y1237" s="19"/>
      <c r="Z1237" s="19"/>
      <c r="AA1237" s="19"/>
      <c r="AB1237" s="19"/>
      <c r="AC1237" s="19"/>
      <c r="AD1237" s="19"/>
      <c r="AE1237" s="19"/>
      <c r="AF1237" s="19"/>
      <c r="AG1237" s="19"/>
      <c r="AH1237" s="19"/>
      <c r="AI1237" s="19"/>
      <c r="AJ1237" s="19"/>
      <c r="AK1237" s="19"/>
      <c r="AL1237" s="19"/>
      <c r="AM1237" s="19"/>
      <c r="AN1237" s="19"/>
      <c r="AO1237" s="19"/>
      <c r="AP1237" s="19"/>
      <c r="AQ1237" s="19"/>
      <c r="AR1237" s="19"/>
      <c r="AS1237" s="19"/>
      <c r="AT1237" s="19"/>
      <c r="AU1237" s="19"/>
      <c r="AV1237" s="19"/>
      <c r="AW1237" s="19"/>
      <c r="AX1237" s="19"/>
      <c r="GA1237" s="54"/>
    </row>
    <row r="1238" spans="1:183" s="18" customFormat="1">
      <c r="A1238" s="51"/>
      <c r="B1238" s="52"/>
      <c r="C1238" s="52"/>
      <c r="D1238" s="52"/>
      <c r="E1238" s="53"/>
      <c r="F1238" s="52"/>
      <c r="G1238" s="52"/>
      <c r="H1238" s="52"/>
      <c r="I1238" s="53"/>
      <c r="J1238" s="52"/>
      <c r="K1238" s="52"/>
      <c r="L1238" s="52"/>
      <c r="M1238" s="52"/>
      <c r="N1238" s="19"/>
      <c r="O1238" s="19"/>
      <c r="P1238" s="19"/>
      <c r="Q1238" s="19"/>
      <c r="R1238" s="19"/>
      <c r="S1238" s="19"/>
      <c r="T1238" s="19"/>
      <c r="U1238" s="19"/>
      <c r="V1238" s="19"/>
      <c r="W1238" s="19"/>
      <c r="X1238" s="19"/>
      <c r="Y1238" s="19"/>
      <c r="Z1238" s="19"/>
      <c r="AA1238" s="19"/>
      <c r="AB1238" s="19"/>
      <c r="AC1238" s="19"/>
      <c r="AD1238" s="19"/>
      <c r="AE1238" s="19"/>
      <c r="AF1238" s="19"/>
      <c r="AG1238" s="19"/>
      <c r="AH1238" s="19"/>
      <c r="AI1238" s="19"/>
      <c r="AJ1238" s="19"/>
      <c r="AK1238" s="19"/>
      <c r="AL1238" s="19"/>
      <c r="AM1238" s="19"/>
      <c r="AN1238" s="19"/>
      <c r="AO1238" s="19"/>
      <c r="AP1238" s="19"/>
      <c r="AQ1238" s="19"/>
      <c r="AR1238" s="19"/>
      <c r="AS1238" s="19"/>
      <c r="AT1238" s="19"/>
      <c r="AU1238" s="19"/>
      <c r="AV1238" s="19"/>
      <c r="AW1238" s="19"/>
      <c r="AX1238" s="19"/>
      <c r="GA1238" s="54"/>
    </row>
    <row r="1239" spans="1:183" s="18" customFormat="1">
      <c r="A1239" s="51"/>
      <c r="B1239" s="52"/>
      <c r="C1239" s="52"/>
      <c r="D1239" s="52"/>
      <c r="E1239" s="53"/>
      <c r="F1239" s="52"/>
      <c r="G1239" s="52"/>
      <c r="H1239" s="52"/>
      <c r="I1239" s="53"/>
      <c r="J1239" s="52"/>
      <c r="K1239" s="52"/>
      <c r="L1239" s="52"/>
      <c r="M1239" s="52"/>
      <c r="N1239" s="19"/>
      <c r="O1239" s="19"/>
      <c r="P1239" s="19"/>
      <c r="Q1239" s="19"/>
      <c r="R1239" s="19"/>
      <c r="S1239" s="19"/>
      <c r="T1239" s="19"/>
      <c r="U1239" s="19"/>
      <c r="V1239" s="19"/>
      <c r="W1239" s="19"/>
      <c r="X1239" s="19"/>
      <c r="Y1239" s="19"/>
      <c r="Z1239" s="19"/>
      <c r="AA1239" s="19"/>
      <c r="AB1239" s="19"/>
      <c r="AC1239" s="19"/>
      <c r="AD1239" s="19"/>
      <c r="AE1239" s="19"/>
      <c r="AF1239" s="19"/>
      <c r="AG1239" s="19"/>
      <c r="AH1239" s="19"/>
      <c r="AI1239" s="19"/>
      <c r="AJ1239" s="19"/>
      <c r="AK1239" s="19"/>
      <c r="AL1239" s="19"/>
      <c r="AM1239" s="19"/>
      <c r="AN1239" s="19"/>
      <c r="AO1239" s="19"/>
      <c r="AP1239" s="19"/>
      <c r="AQ1239" s="19"/>
      <c r="AR1239" s="19"/>
      <c r="AS1239" s="19"/>
      <c r="AT1239" s="19"/>
      <c r="AU1239" s="19"/>
      <c r="AV1239" s="19"/>
      <c r="AW1239" s="19"/>
      <c r="AX1239" s="19"/>
      <c r="GA1239" s="54"/>
    </row>
    <row r="1240" spans="1:183" s="18" customFormat="1">
      <c r="A1240" s="51"/>
      <c r="B1240" s="52"/>
      <c r="C1240" s="52"/>
      <c r="D1240" s="52"/>
      <c r="E1240" s="53"/>
      <c r="F1240" s="52"/>
      <c r="G1240" s="52"/>
      <c r="H1240" s="52"/>
      <c r="I1240" s="53"/>
      <c r="J1240" s="52"/>
      <c r="K1240" s="52"/>
      <c r="L1240" s="52"/>
      <c r="M1240" s="52"/>
      <c r="N1240" s="19"/>
      <c r="O1240" s="19"/>
      <c r="P1240" s="19"/>
      <c r="Q1240" s="19"/>
      <c r="R1240" s="19"/>
      <c r="S1240" s="19"/>
      <c r="T1240" s="19"/>
      <c r="U1240" s="19"/>
      <c r="V1240" s="19"/>
      <c r="W1240" s="19"/>
      <c r="X1240" s="19"/>
      <c r="Y1240" s="19"/>
      <c r="Z1240" s="19"/>
      <c r="AA1240" s="19"/>
      <c r="AB1240" s="19"/>
      <c r="AC1240" s="19"/>
      <c r="AD1240" s="19"/>
      <c r="AE1240" s="19"/>
      <c r="AF1240" s="19"/>
      <c r="AG1240" s="19"/>
      <c r="AH1240" s="19"/>
      <c r="AI1240" s="19"/>
      <c r="AJ1240" s="19"/>
      <c r="AK1240" s="19"/>
      <c r="AL1240" s="19"/>
      <c r="AM1240" s="19"/>
      <c r="AN1240" s="19"/>
      <c r="AO1240" s="19"/>
      <c r="AP1240" s="19"/>
      <c r="AQ1240" s="19"/>
      <c r="AR1240" s="19"/>
      <c r="AS1240" s="19"/>
      <c r="AT1240" s="19"/>
      <c r="AU1240" s="19"/>
      <c r="AV1240" s="19"/>
      <c r="AW1240" s="19"/>
      <c r="AX1240" s="19"/>
      <c r="GA1240" s="54"/>
    </row>
    <row r="1241" spans="1:183" s="18" customFormat="1">
      <c r="A1241" s="51"/>
      <c r="B1241" s="52"/>
      <c r="C1241" s="52"/>
      <c r="D1241" s="52"/>
      <c r="E1241" s="53"/>
      <c r="F1241" s="52"/>
      <c r="G1241" s="52"/>
      <c r="H1241" s="52"/>
      <c r="I1241" s="53"/>
      <c r="J1241" s="52"/>
      <c r="K1241" s="52"/>
      <c r="L1241" s="52"/>
      <c r="M1241" s="52"/>
      <c r="N1241" s="19"/>
      <c r="O1241" s="19"/>
      <c r="P1241" s="19"/>
      <c r="Q1241" s="19"/>
      <c r="R1241" s="19"/>
      <c r="S1241" s="19"/>
      <c r="T1241" s="19"/>
      <c r="U1241" s="19"/>
      <c r="V1241" s="19"/>
      <c r="W1241" s="19"/>
      <c r="X1241" s="19"/>
      <c r="Y1241" s="19"/>
      <c r="Z1241" s="19"/>
      <c r="AA1241" s="19"/>
      <c r="AB1241" s="19"/>
      <c r="AC1241" s="19"/>
      <c r="AD1241" s="19"/>
      <c r="AE1241" s="19"/>
      <c r="AF1241" s="19"/>
      <c r="AG1241" s="19"/>
      <c r="AH1241" s="19"/>
      <c r="AI1241" s="19"/>
      <c r="AJ1241" s="19"/>
      <c r="AK1241" s="19"/>
      <c r="AL1241" s="19"/>
      <c r="AM1241" s="19"/>
      <c r="AN1241" s="19"/>
      <c r="AO1241" s="19"/>
      <c r="AP1241" s="19"/>
      <c r="AQ1241" s="19"/>
      <c r="AR1241" s="19"/>
      <c r="AS1241" s="19"/>
      <c r="AT1241" s="19"/>
      <c r="AU1241" s="19"/>
      <c r="AV1241" s="19"/>
      <c r="AW1241" s="19"/>
      <c r="AX1241" s="19"/>
      <c r="GA1241" s="54"/>
    </row>
    <row r="1242" spans="1:183" s="18" customFormat="1">
      <c r="A1242" s="51"/>
      <c r="B1242" s="52"/>
      <c r="C1242" s="52"/>
      <c r="D1242" s="52"/>
      <c r="E1242" s="53"/>
      <c r="F1242" s="52"/>
      <c r="G1242" s="52"/>
      <c r="H1242" s="52"/>
      <c r="I1242" s="53"/>
      <c r="J1242" s="52"/>
      <c r="K1242" s="52"/>
      <c r="L1242" s="52"/>
      <c r="M1242" s="52"/>
      <c r="N1242" s="19"/>
      <c r="O1242" s="19"/>
      <c r="P1242" s="19"/>
      <c r="Q1242" s="19"/>
      <c r="R1242" s="19"/>
      <c r="S1242" s="19"/>
      <c r="T1242" s="19"/>
      <c r="U1242" s="19"/>
      <c r="V1242" s="19"/>
      <c r="W1242" s="19"/>
      <c r="X1242" s="19"/>
      <c r="Y1242" s="19"/>
      <c r="Z1242" s="19"/>
      <c r="AA1242" s="19"/>
      <c r="AB1242" s="19"/>
      <c r="AC1242" s="19"/>
      <c r="AD1242" s="19"/>
      <c r="AE1242" s="19"/>
      <c r="AF1242" s="19"/>
      <c r="AG1242" s="19"/>
      <c r="AH1242" s="19"/>
      <c r="AI1242" s="19"/>
      <c r="AJ1242" s="19"/>
      <c r="AK1242" s="19"/>
      <c r="AL1242" s="19"/>
      <c r="AM1242" s="19"/>
      <c r="AN1242" s="19"/>
      <c r="AO1242" s="19"/>
      <c r="AP1242" s="19"/>
      <c r="AQ1242" s="19"/>
      <c r="AR1242" s="19"/>
      <c r="AS1242" s="19"/>
      <c r="AT1242" s="19"/>
      <c r="AU1242" s="19"/>
      <c r="AV1242" s="19"/>
      <c r="AW1242" s="19"/>
      <c r="AX1242" s="19"/>
      <c r="GA1242" s="54"/>
    </row>
    <row r="1243" spans="1:183" s="18" customFormat="1">
      <c r="A1243" s="51"/>
      <c r="B1243" s="52"/>
      <c r="C1243" s="52"/>
      <c r="D1243" s="52"/>
      <c r="E1243" s="53"/>
      <c r="F1243" s="52"/>
      <c r="G1243" s="52"/>
      <c r="H1243" s="52"/>
      <c r="I1243" s="53"/>
      <c r="J1243" s="52"/>
      <c r="K1243" s="52"/>
      <c r="L1243" s="52"/>
      <c r="M1243" s="52"/>
      <c r="N1243" s="19"/>
      <c r="O1243" s="19"/>
      <c r="P1243" s="19"/>
      <c r="Q1243" s="19"/>
      <c r="R1243" s="19"/>
      <c r="S1243" s="19"/>
      <c r="T1243" s="19"/>
      <c r="U1243" s="19"/>
      <c r="V1243" s="19"/>
      <c r="W1243" s="19"/>
      <c r="X1243" s="19"/>
      <c r="Y1243" s="19"/>
      <c r="Z1243" s="19"/>
      <c r="AA1243" s="19"/>
      <c r="AB1243" s="19"/>
      <c r="AC1243" s="19"/>
      <c r="AD1243" s="19"/>
      <c r="AE1243" s="19"/>
      <c r="AF1243" s="19"/>
      <c r="AG1243" s="19"/>
      <c r="AH1243" s="19"/>
      <c r="AI1243" s="19"/>
      <c r="AJ1243" s="19"/>
      <c r="AK1243" s="19"/>
      <c r="AL1243" s="19"/>
      <c r="AM1243" s="19"/>
      <c r="AN1243" s="19"/>
      <c r="AO1243" s="19"/>
      <c r="AP1243" s="19"/>
      <c r="AQ1243" s="19"/>
      <c r="AR1243" s="19"/>
      <c r="AS1243" s="19"/>
      <c r="AT1243" s="19"/>
      <c r="AU1243" s="19"/>
      <c r="AV1243" s="19"/>
      <c r="AW1243" s="19"/>
      <c r="AX1243" s="19"/>
      <c r="GA1243" s="54"/>
    </row>
    <row r="1244" spans="1:183" s="18" customFormat="1">
      <c r="A1244" s="51"/>
      <c r="B1244" s="52"/>
      <c r="C1244" s="52"/>
      <c r="D1244" s="52"/>
      <c r="E1244" s="53"/>
      <c r="F1244" s="52"/>
      <c r="G1244" s="52"/>
      <c r="H1244" s="52"/>
      <c r="I1244" s="53"/>
      <c r="J1244" s="52"/>
      <c r="K1244" s="52"/>
      <c r="L1244" s="52"/>
      <c r="M1244" s="52"/>
      <c r="N1244" s="19"/>
      <c r="O1244" s="19"/>
      <c r="P1244" s="19"/>
      <c r="Q1244" s="19"/>
      <c r="R1244" s="19"/>
      <c r="S1244" s="19"/>
      <c r="T1244" s="19"/>
      <c r="U1244" s="19"/>
      <c r="V1244" s="19"/>
      <c r="W1244" s="19"/>
      <c r="X1244" s="19"/>
      <c r="Y1244" s="19"/>
      <c r="Z1244" s="19"/>
      <c r="AA1244" s="19"/>
      <c r="AB1244" s="19"/>
      <c r="AC1244" s="19"/>
      <c r="AD1244" s="19"/>
      <c r="AE1244" s="19"/>
      <c r="AF1244" s="19"/>
      <c r="AG1244" s="19"/>
      <c r="AH1244" s="19"/>
      <c r="AI1244" s="19"/>
      <c r="AJ1244" s="19"/>
      <c r="AK1244" s="19"/>
      <c r="AL1244" s="19"/>
      <c r="AM1244" s="19"/>
      <c r="AN1244" s="19"/>
      <c r="AO1244" s="19"/>
      <c r="AP1244" s="19"/>
      <c r="AQ1244" s="19"/>
      <c r="AR1244" s="19"/>
      <c r="AS1244" s="19"/>
      <c r="AT1244" s="19"/>
      <c r="AU1244" s="19"/>
      <c r="AV1244" s="19"/>
      <c r="AW1244" s="19"/>
      <c r="AX1244" s="19"/>
      <c r="GA1244" s="54"/>
    </row>
    <row r="1245" spans="1:183" s="18" customFormat="1">
      <c r="A1245" s="51"/>
      <c r="B1245" s="52"/>
      <c r="C1245" s="52"/>
      <c r="D1245" s="52"/>
      <c r="E1245" s="53"/>
      <c r="F1245" s="52"/>
      <c r="G1245" s="52"/>
      <c r="H1245" s="52"/>
      <c r="I1245" s="53"/>
      <c r="J1245" s="52"/>
      <c r="K1245" s="52"/>
      <c r="L1245" s="52"/>
      <c r="M1245" s="52"/>
      <c r="N1245" s="19"/>
      <c r="O1245" s="19"/>
      <c r="P1245" s="19"/>
      <c r="Q1245" s="19"/>
      <c r="R1245" s="19"/>
      <c r="S1245" s="19"/>
      <c r="T1245" s="19"/>
      <c r="U1245" s="19"/>
      <c r="V1245" s="19"/>
      <c r="W1245" s="19"/>
      <c r="X1245" s="19"/>
      <c r="Y1245" s="19"/>
      <c r="Z1245" s="19"/>
      <c r="AA1245" s="19"/>
      <c r="AB1245" s="19"/>
      <c r="AC1245" s="19"/>
      <c r="AD1245" s="19"/>
      <c r="AE1245" s="19"/>
      <c r="AF1245" s="19"/>
      <c r="AG1245" s="19"/>
      <c r="AH1245" s="19"/>
      <c r="AI1245" s="19"/>
      <c r="AJ1245" s="19"/>
      <c r="AK1245" s="19"/>
      <c r="AL1245" s="19"/>
      <c r="AM1245" s="19"/>
      <c r="AN1245" s="19"/>
      <c r="AO1245" s="19"/>
      <c r="AP1245" s="19"/>
      <c r="AQ1245" s="19"/>
      <c r="AR1245" s="19"/>
      <c r="AS1245" s="19"/>
      <c r="AT1245" s="19"/>
      <c r="AU1245" s="19"/>
      <c r="AV1245" s="19"/>
      <c r="AW1245" s="19"/>
      <c r="AX1245" s="19"/>
      <c r="GA1245" s="54"/>
    </row>
    <row r="1246" spans="1:183" s="18" customFormat="1">
      <c r="A1246" s="51"/>
      <c r="B1246" s="52"/>
      <c r="C1246" s="52"/>
      <c r="D1246" s="52"/>
      <c r="E1246" s="53"/>
      <c r="F1246" s="52"/>
      <c r="G1246" s="52"/>
      <c r="H1246" s="52"/>
      <c r="I1246" s="53"/>
      <c r="J1246" s="52"/>
      <c r="K1246" s="52"/>
      <c r="L1246" s="52"/>
      <c r="M1246" s="52"/>
      <c r="N1246" s="19"/>
      <c r="O1246" s="19"/>
      <c r="P1246" s="19"/>
      <c r="Q1246" s="19"/>
      <c r="R1246" s="19"/>
      <c r="S1246" s="19"/>
      <c r="T1246" s="19"/>
      <c r="U1246" s="19"/>
      <c r="V1246" s="19"/>
      <c r="W1246" s="19"/>
      <c r="X1246" s="19"/>
      <c r="Y1246" s="19"/>
      <c r="Z1246" s="19"/>
      <c r="AA1246" s="19"/>
      <c r="AB1246" s="19"/>
      <c r="AC1246" s="19"/>
      <c r="AD1246" s="19"/>
      <c r="AE1246" s="19"/>
      <c r="AF1246" s="19"/>
      <c r="AG1246" s="19"/>
      <c r="AH1246" s="19"/>
      <c r="AI1246" s="19"/>
      <c r="AJ1246" s="19"/>
      <c r="AK1246" s="19"/>
      <c r="AL1246" s="19"/>
      <c r="AM1246" s="19"/>
      <c r="AN1246" s="19"/>
      <c r="AO1246" s="19"/>
      <c r="AP1246" s="19"/>
      <c r="AQ1246" s="19"/>
      <c r="AR1246" s="19"/>
      <c r="AS1246" s="19"/>
      <c r="AT1246" s="19"/>
      <c r="AU1246" s="19"/>
      <c r="AV1246" s="19"/>
      <c r="AW1246" s="19"/>
      <c r="AX1246" s="19"/>
      <c r="GA1246" s="54"/>
    </row>
    <row r="1247" spans="1:183" s="18" customFormat="1">
      <c r="A1247" s="51"/>
      <c r="B1247" s="52"/>
      <c r="C1247" s="52"/>
      <c r="D1247" s="52"/>
      <c r="E1247" s="53"/>
      <c r="F1247" s="52"/>
      <c r="G1247" s="52"/>
      <c r="H1247" s="52"/>
      <c r="I1247" s="53"/>
      <c r="J1247" s="52"/>
      <c r="K1247" s="52"/>
      <c r="L1247" s="52"/>
      <c r="M1247" s="52"/>
      <c r="N1247" s="19"/>
      <c r="O1247" s="19"/>
      <c r="P1247" s="19"/>
      <c r="Q1247" s="19"/>
      <c r="R1247" s="19"/>
      <c r="S1247" s="19"/>
      <c r="T1247" s="19"/>
      <c r="U1247" s="19"/>
      <c r="V1247" s="19"/>
      <c r="W1247" s="19"/>
      <c r="X1247" s="19"/>
      <c r="Y1247" s="19"/>
      <c r="Z1247" s="19"/>
      <c r="AA1247" s="19"/>
      <c r="AB1247" s="19"/>
      <c r="AC1247" s="19"/>
      <c r="AD1247" s="19"/>
      <c r="AE1247" s="19"/>
      <c r="AF1247" s="19"/>
      <c r="AG1247" s="19"/>
      <c r="AH1247" s="19"/>
      <c r="AI1247" s="19"/>
      <c r="AJ1247" s="19"/>
      <c r="AK1247" s="19"/>
      <c r="AL1247" s="19"/>
      <c r="AM1247" s="19"/>
      <c r="AN1247" s="19"/>
      <c r="AO1247" s="19"/>
      <c r="AP1247" s="19"/>
      <c r="AQ1247" s="19"/>
      <c r="AR1247" s="19"/>
      <c r="AS1247" s="19"/>
      <c r="AT1247" s="19"/>
      <c r="AU1247" s="19"/>
      <c r="AV1247" s="19"/>
      <c r="AW1247" s="19"/>
      <c r="AX1247" s="19"/>
      <c r="GA1247" s="54"/>
    </row>
    <row r="1248" spans="1:183" s="18" customFormat="1">
      <c r="A1248" s="51"/>
      <c r="B1248" s="52"/>
      <c r="C1248" s="52"/>
      <c r="D1248" s="52"/>
      <c r="E1248" s="53"/>
      <c r="F1248" s="52"/>
      <c r="G1248" s="52"/>
      <c r="H1248" s="52"/>
      <c r="I1248" s="53"/>
      <c r="J1248" s="52"/>
      <c r="K1248" s="52"/>
      <c r="L1248" s="52"/>
      <c r="M1248" s="52"/>
      <c r="N1248" s="19"/>
      <c r="O1248" s="19"/>
      <c r="P1248" s="19"/>
      <c r="Q1248" s="19"/>
      <c r="R1248" s="19"/>
      <c r="S1248" s="19"/>
      <c r="T1248" s="19"/>
      <c r="U1248" s="19"/>
      <c r="V1248" s="19"/>
      <c r="W1248" s="19"/>
      <c r="X1248" s="19"/>
      <c r="Y1248" s="19"/>
      <c r="Z1248" s="19"/>
      <c r="AA1248" s="19"/>
      <c r="AB1248" s="19"/>
      <c r="AC1248" s="19"/>
      <c r="AD1248" s="19"/>
      <c r="AE1248" s="19"/>
      <c r="AF1248" s="19"/>
      <c r="AG1248" s="19"/>
      <c r="AH1248" s="19"/>
      <c r="AI1248" s="19"/>
      <c r="AJ1248" s="19"/>
      <c r="AK1248" s="19"/>
      <c r="AL1248" s="19"/>
      <c r="AM1248" s="19"/>
      <c r="AN1248" s="19"/>
      <c r="AO1248" s="19"/>
      <c r="AP1248" s="19"/>
      <c r="AQ1248" s="19"/>
      <c r="AR1248" s="19"/>
      <c r="AS1248" s="19"/>
      <c r="AT1248" s="19"/>
      <c r="AU1248" s="19"/>
      <c r="AV1248" s="19"/>
      <c r="AW1248" s="19"/>
      <c r="AX1248" s="19"/>
      <c r="GA1248" s="54"/>
    </row>
    <row r="1249" spans="1:183" s="18" customFormat="1">
      <c r="A1249" s="51"/>
      <c r="B1249" s="52"/>
      <c r="C1249" s="52"/>
      <c r="D1249" s="52"/>
      <c r="E1249" s="53"/>
      <c r="F1249" s="52"/>
      <c r="G1249" s="52"/>
      <c r="H1249" s="52"/>
      <c r="I1249" s="53"/>
      <c r="J1249" s="52"/>
      <c r="K1249" s="52"/>
      <c r="L1249" s="52"/>
      <c r="M1249" s="52"/>
      <c r="N1249" s="19"/>
      <c r="O1249" s="19"/>
      <c r="P1249" s="19"/>
      <c r="Q1249" s="19"/>
      <c r="R1249" s="19"/>
      <c r="S1249" s="19"/>
      <c r="T1249" s="19"/>
      <c r="U1249" s="19"/>
      <c r="V1249" s="19"/>
      <c r="W1249" s="19"/>
      <c r="X1249" s="19"/>
      <c r="Y1249" s="19"/>
      <c r="Z1249" s="19"/>
      <c r="AA1249" s="19"/>
      <c r="AB1249" s="19"/>
      <c r="AC1249" s="19"/>
      <c r="AD1249" s="19"/>
      <c r="AE1249" s="19"/>
      <c r="AF1249" s="19"/>
      <c r="AG1249" s="19"/>
      <c r="AH1249" s="19"/>
      <c r="AI1249" s="19"/>
      <c r="AJ1249" s="19"/>
      <c r="AK1249" s="19"/>
      <c r="AL1249" s="19"/>
      <c r="AM1249" s="19"/>
      <c r="AN1249" s="19"/>
      <c r="AO1249" s="19"/>
      <c r="AP1249" s="19"/>
      <c r="AQ1249" s="19"/>
      <c r="AR1249" s="19"/>
      <c r="AS1249" s="19"/>
      <c r="AT1249" s="19"/>
      <c r="AU1249" s="19"/>
      <c r="AV1249" s="19"/>
      <c r="AW1249" s="19"/>
      <c r="AX1249" s="19"/>
      <c r="GA1249" s="54"/>
    </row>
    <row r="1250" spans="1:183" s="18" customFormat="1">
      <c r="A1250" s="51"/>
      <c r="B1250" s="52"/>
      <c r="C1250" s="52"/>
      <c r="D1250" s="52"/>
      <c r="E1250" s="53"/>
      <c r="F1250" s="52"/>
      <c r="G1250" s="52"/>
      <c r="H1250" s="52"/>
      <c r="I1250" s="53"/>
      <c r="J1250" s="52"/>
      <c r="K1250" s="52"/>
      <c r="L1250" s="52"/>
      <c r="M1250" s="52"/>
      <c r="N1250" s="19"/>
      <c r="O1250" s="19"/>
      <c r="P1250" s="19"/>
      <c r="Q1250" s="19"/>
      <c r="R1250" s="19"/>
      <c r="S1250" s="19"/>
      <c r="T1250" s="19"/>
      <c r="U1250" s="19"/>
      <c r="V1250" s="19"/>
      <c r="W1250" s="19"/>
      <c r="X1250" s="19"/>
      <c r="Y1250" s="19"/>
      <c r="Z1250" s="19"/>
      <c r="AA1250" s="19"/>
      <c r="AB1250" s="19"/>
      <c r="AC1250" s="19"/>
      <c r="AD1250" s="19"/>
      <c r="AE1250" s="19"/>
      <c r="AF1250" s="19"/>
      <c r="AG1250" s="19"/>
      <c r="AH1250" s="19"/>
      <c r="AI1250" s="19"/>
      <c r="AJ1250" s="19"/>
      <c r="AK1250" s="19"/>
      <c r="AL1250" s="19"/>
      <c r="AM1250" s="19"/>
      <c r="AN1250" s="19"/>
      <c r="AO1250" s="19"/>
      <c r="AP1250" s="19"/>
      <c r="AQ1250" s="19"/>
      <c r="AR1250" s="19"/>
      <c r="AS1250" s="19"/>
      <c r="AT1250" s="19"/>
      <c r="AU1250" s="19"/>
      <c r="AV1250" s="19"/>
      <c r="AW1250" s="19"/>
      <c r="AX1250" s="19"/>
      <c r="GA1250" s="54"/>
    </row>
    <row r="1251" spans="1:183" s="18" customFormat="1">
      <c r="A1251" s="51"/>
      <c r="B1251" s="52"/>
      <c r="C1251" s="52"/>
      <c r="D1251" s="52"/>
      <c r="E1251" s="53"/>
      <c r="F1251" s="52"/>
      <c r="G1251" s="52"/>
      <c r="H1251" s="52"/>
      <c r="I1251" s="53"/>
      <c r="J1251" s="52"/>
      <c r="K1251" s="52"/>
      <c r="L1251" s="52"/>
      <c r="M1251" s="52"/>
      <c r="N1251" s="19"/>
      <c r="O1251" s="19"/>
      <c r="P1251" s="19"/>
      <c r="Q1251" s="19"/>
      <c r="R1251" s="19"/>
      <c r="S1251" s="19"/>
      <c r="T1251" s="19"/>
      <c r="U1251" s="19"/>
      <c r="V1251" s="19"/>
      <c r="W1251" s="19"/>
      <c r="X1251" s="19"/>
      <c r="Y1251" s="19"/>
      <c r="Z1251" s="19"/>
      <c r="AA1251" s="19"/>
      <c r="AB1251" s="19"/>
      <c r="AC1251" s="19"/>
      <c r="AD1251" s="19"/>
      <c r="AE1251" s="19"/>
      <c r="AF1251" s="19"/>
      <c r="AG1251" s="19"/>
      <c r="AH1251" s="19"/>
      <c r="AI1251" s="19"/>
      <c r="AJ1251" s="19"/>
      <c r="AK1251" s="19"/>
      <c r="AL1251" s="19"/>
      <c r="AM1251" s="19"/>
      <c r="AN1251" s="19"/>
      <c r="AO1251" s="19"/>
      <c r="AP1251" s="19"/>
      <c r="AQ1251" s="19"/>
      <c r="AR1251" s="19"/>
      <c r="AS1251" s="19"/>
      <c r="AT1251" s="19"/>
      <c r="AU1251" s="19"/>
      <c r="AV1251" s="19"/>
      <c r="AW1251" s="19"/>
      <c r="AX1251" s="19"/>
      <c r="GA1251" s="54"/>
    </row>
    <row r="1252" spans="1:183" s="18" customFormat="1">
      <c r="A1252" s="51"/>
      <c r="B1252" s="52"/>
      <c r="C1252" s="52"/>
      <c r="D1252" s="52"/>
      <c r="E1252" s="53"/>
      <c r="F1252" s="52"/>
      <c r="G1252" s="52"/>
      <c r="H1252" s="52"/>
      <c r="I1252" s="53"/>
      <c r="J1252" s="52"/>
      <c r="K1252" s="52"/>
      <c r="L1252" s="52"/>
      <c r="M1252" s="52"/>
      <c r="N1252" s="19"/>
      <c r="O1252" s="19"/>
      <c r="P1252" s="19"/>
      <c r="Q1252" s="19"/>
      <c r="R1252" s="19"/>
      <c r="S1252" s="19"/>
      <c r="T1252" s="19"/>
      <c r="U1252" s="19"/>
      <c r="V1252" s="19"/>
      <c r="W1252" s="19"/>
      <c r="X1252" s="19"/>
      <c r="Y1252" s="19"/>
      <c r="Z1252" s="19"/>
      <c r="AA1252" s="19"/>
      <c r="AB1252" s="19"/>
      <c r="AC1252" s="19"/>
      <c r="AD1252" s="19"/>
      <c r="AE1252" s="19"/>
      <c r="AF1252" s="19"/>
      <c r="AG1252" s="19"/>
      <c r="AH1252" s="19"/>
      <c r="AI1252" s="19"/>
      <c r="AJ1252" s="19"/>
      <c r="AK1252" s="19"/>
      <c r="AL1252" s="19"/>
      <c r="AM1252" s="19"/>
      <c r="AN1252" s="19"/>
      <c r="AO1252" s="19"/>
      <c r="AP1252" s="19"/>
      <c r="AQ1252" s="19"/>
      <c r="AR1252" s="19"/>
      <c r="AS1252" s="19"/>
      <c r="AT1252" s="19"/>
      <c r="AU1252" s="19"/>
      <c r="AV1252" s="19"/>
      <c r="AW1252" s="19"/>
      <c r="AX1252" s="19"/>
      <c r="GA1252" s="54"/>
    </row>
    <row r="1253" spans="1:183" s="18" customFormat="1">
      <c r="A1253" s="51"/>
      <c r="B1253" s="52"/>
      <c r="C1253" s="52"/>
      <c r="D1253" s="52"/>
      <c r="E1253" s="53"/>
      <c r="F1253" s="52"/>
      <c r="G1253" s="52"/>
      <c r="H1253" s="52"/>
      <c r="I1253" s="53"/>
      <c r="J1253" s="52"/>
      <c r="K1253" s="52"/>
      <c r="L1253" s="52"/>
      <c r="M1253" s="52"/>
      <c r="N1253" s="19"/>
      <c r="O1253" s="19"/>
      <c r="P1253" s="19"/>
      <c r="Q1253" s="19"/>
      <c r="R1253" s="19"/>
      <c r="S1253" s="19"/>
      <c r="T1253" s="19"/>
      <c r="U1253" s="19"/>
      <c r="V1253" s="19"/>
      <c r="W1253" s="19"/>
      <c r="X1253" s="19"/>
      <c r="Y1253" s="19"/>
      <c r="Z1253" s="19"/>
      <c r="AA1253" s="19"/>
      <c r="AB1253" s="19"/>
      <c r="AC1253" s="19"/>
      <c r="AD1253" s="19"/>
      <c r="AE1253" s="19"/>
      <c r="AF1253" s="19"/>
      <c r="AG1253" s="19"/>
      <c r="AH1253" s="19"/>
      <c r="AI1253" s="19"/>
      <c r="AJ1253" s="19"/>
      <c r="AK1253" s="19"/>
      <c r="AL1253" s="19"/>
      <c r="AM1253" s="19"/>
      <c r="AN1253" s="19"/>
      <c r="AO1253" s="19"/>
      <c r="AP1253" s="19"/>
      <c r="AQ1253" s="19"/>
      <c r="AR1253" s="19"/>
      <c r="AS1253" s="19"/>
      <c r="AT1253" s="19"/>
      <c r="AU1253" s="19"/>
      <c r="AV1253" s="19"/>
      <c r="AW1253" s="19"/>
      <c r="AX1253" s="19"/>
      <c r="GA1253" s="54"/>
    </row>
    <row r="1254" spans="1:183" s="18" customFormat="1">
      <c r="A1254" s="51"/>
      <c r="B1254" s="52"/>
      <c r="C1254" s="52"/>
      <c r="D1254" s="52"/>
      <c r="E1254" s="53"/>
      <c r="F1254" s="52"/>
      <c r="G1254" s="52"/>
      <c r="H1254" s="52"/>
      <c r="I1254" s="53"/>
      <c r="J1254" s="52"/>
      <c r="K1254" s="52"/>
      <c r="L1254" s="52"/>
      <c r="M1254" s="52"/>
      <c r="N1254" s="19"/>
      <c r="O1254" s="19"/>
      <c r="P1254" s="19"/>
      <c r="Q1254" s="19"/>
      <c r="R1254" s="19"/>
      <c r="S1254" s="19"/>
      <c r="T1254" s="19"/>
      <c r="U1254" s="19"/>
      <c r="V1254" s="19"/>
      <c r="W1254" s="19"/>
      <c r="X1254" s="19"/>
      <c r="Y1254" s="19"/>
      <c r="Z1254" s="19"/>
      <c r="AA1254" s="19"/>
      <c r="AB1254" s="19"/>
      <c r="AC1254" s="19"/>
      <c r="AD1254" s="19"/>
      <c r="AE1254" s="19"/>
      <c r="AF1254" s="19"/>
      <c r="AG1254" s="19"/>
      <c r="AH1254" s="19"/>
      <c r="AI1254" s="19"/>
      <c r="AJ1254" s="19"/>
      <c r="AK1254" s="19"/>
      <c r="AL1254" s="19"/>
      <c r="AM1254" s="19"/>
      <c r="AN1254" s="19"/>
      <c r="AO1254" s="19"/>
      <c r="AP1254" s="19"/>
      <c r="AQ1254" s="19"/>
      <c r="AR1254" s="19"/>
      <c r="AS1254" s="19"/>
      <c r="AT1254" s="19"/>
      <c r="AU1254" s="19"/>
      <c r="AV1254" s="19"/>
      <c r="AW1254" s="19"/>
      <c r="AX1254" s="19"/>
      <c r="GA1254" s="54"/>
    </row>
    <row r="1255" spans="1:183" s="18" customFormat="1">
      <c r="A1255" s="51"/>
      <c r="B1255" s="52"/>
      <c r="C1255" s="52"/>
      <c r="D1255" s="52"/>
      <c r="E1255" s="53"/>
      <c r="F1255" s="52"/>
      <c r="G1255" s="52"/>
      <c r="H1255" s="52"/>
      <c r="I1255" s="53"/>
      <c r="J1255" s="52"/>
      <c r="K1255" s="52"/>
      <c r="L1255" s="52"/>
      <c r="M1255" s="52"/>
      <c r="N1255" s="19"/>
      <c r="O1255" s="19"/>
      <c r="P1255" s="19"/>
      <c r="Q1255" s="19"/>
      <c r="R1255" s="19"/>
      <c r="S1255" s="19"/>
      <c r="T1255" s="19"/>
      <c r="U1255" s="19"/>
      <c r="V1255" s="19"/>
      <c r="W1255" s="19"/>
      <c r="X1255" s="19"/>
      <c r="Y1255" s="19"/>
      <c r="Z1255" s="19"/>
      <c r="AA1255" s="19"/>
      <c r="AB1255" s="19"/>
      <c r="AC1255" s="19"/>
      <c r="AD1255" s="19"/>
      <c r="AE1255" s="19"/>
      <c r="AF1255" s="19"/>
      <c r="AG1255" s="19"/>
      <c r="AH1255" s="19"/>
      <c r="AI1255" s="19"/>
      <c r="AJ1255" s="19"/>
      <c r="AK1255" s="19"/>
      <c r="AL1255" s="19"/>
      <c r="AM1255" s="19"/>
      <c r="AN1255" s="19"/>
      <c r="AO1255" s="19"/>
      <c r="AP1255" s="19"/>
      <c r="AQ1255" s="19"/>
      <c r="AR1255" s="19"/>
      <c r="AS1255" s="19"/>
      <c r="AT1255" s="19"/>
      <c r="AU1255" s="19"/>
      <c r="AV1255" s="19"/>
      <c r="AW1255" s="19"/>
      <c r="AX1255" s="19"/>
      <c r="GA1255" s="54"/>
    </row>
    <row r="1256" spans="1:183" s="18" customFormat="1">
      <c r="A1256" s="51"/>
      <c r="B1256" s="52"/>
      <c r="C1256" s="52"/>
      <c r="D1256" s="52"/>
      <c r="E1256" s="53"/>
      <c r="F1256" s="52"/>
      <c r="G1256" s="52"/>
      <c r="H1256" s="52"/>
      <c r="I1256" s="53"/>
      <c r="J1256" s="52"/>
      <c r="K1256" s="52"/>
      <c r="L1256" s="52"/>
      <c r="M1256" s="52"/>
      <c r="N1256" s="19"/>
      <c r="O1256" s="19"/>
      <c r="P1256" s="19"/>
      <c r="Q1256" s="19"/>
      <c r="R1256" s="19"/>
      <c r="S1256" s="19"/>
      <c r="T1256" s="19"/>
      <c r="U1256" s="19"/>
      <c r="V1256" s="19"/>
      <c r="W1256" s="19"/>
      <c r="X1256" s="19"/>
      <c r="Y1256" s="19"/>
      <c r="Z1256" s="19"/>
      <c r="AA1256" s="19"/>
      <c r="AB1256" s="19"/>
      <c r="AC1256" s="19"/>
      <c r="AD1256" s="19"/>
      <c r="AE1256" s="19"/>
      <c r="AF1256" s="19"/>
      <c r="AG1256" s="19"/>
      <c r="AH1256" s="19"/>
      <c r="AI1256" s="19"/>
      <c r="AJ1256" s="19"/>
      <c r="AK1256" s="19"/>
      <c r="AL1256" s="19"/>
      <c r="AM1256" s="19"/>
      <c r="AN1256" s="19"/>
      <c r="AO1256" s="19"/>
      <c r="AP1256" s="19"/>
      <c r="AQ1256" s="19"/>
      <c r="AR1256" s="19"/>
      <c r="AS1256" s="19"/>
      <c r="AT1256" s="19"/>
      <c r="AU1256" s="19"/>
      <c r="AV1256" s="19"/>
      <c r="AW1256" s="19"/>
      <c r="AX1256" s="19"/>
      <c r="GA1256" s="54"/>
    </row>
    <row r="1257" spans="1:183" s="18" customFormat="1">
      <c r="A1257" s="51"/>
      <c r="B1257" s="52"/>
      <c r="C1257" s="52"/>
      <c r="D1257" s="52"/>
      <c r="E1257" s="53"/>
      <c r="F1257" s="52"/>
      <c r="G1257" s="52"/>
      <c r="H1257" s="52"/>
      <c r="I1257" s="53"/>
      <c r="J1257" s="52"/>
      <c r="K1257" s="52"/>
      <c r="L1257" s="52"/>
      <c r="M1257" s="52"/>
      <c r="N1257" s="19"/>
      <c r="O1257" s="19"/>
      <c r="P1257" s="19"/>
      <c r="Q1257" s="19"/>
      <c r="R1257" s="19"/>
      <c r="S1257" s="19"/>
      <c r="T1257" s="19"/>
      <c r="U1257" s="19"/>
      <c r="V1257" s="19"/>
      <c r="W1257" s="19"/>
      <c r="X1257" s="19"/>
      <c r="Y1257" s="19"/>
      <c r="Z1257" s="19"/>
      <c r="AA1257" s="19"/>
      <c r="AB1257" s="19"/>
      <c r="AC1257" s="19"/>
      <c r="AD1257" s="19"/>
      <c r="AE1257" s="19"/>
      <c r="AF1257" s="19"/>
      <c r="AG1257" s="19"/>
      <c r="AH1257" s="19"/>
      <c r="AI1257" s="19"/>
      <c r="AJ1257" s="19"/>
      <c r="AK1257" s="19"/>
      <c r="AL1257" s="19"/>
      <c r="AM1257" s="19"/>
      <c r="AN1257" s="19"/>
      <c r="AO1257" s="19"/>
      <c r="AP1257" s="19"/>
      <c r="AQ1257" s="19"/>
      <c r="AR1257" s="19"/>
      <c r="AS1257" s="19"/>
      <c r="AT1257" s="19"/>
      <c r="AU1257" s="19"/>
      <c r="AV1257" s="19"/>
      <c r="AW1257" s="19"/>
      <c r="AX1257" s="19"/>
      <c r="GA1257" s="54"/>
    </row>
    <row r="1258" spans="1:183" s="18" customFormat="1">
      <c r="A1258" s="51"/>
      <c r="B1258" s="52"/>
      <c r="C1258" s="52"/>
      <c r="D1258" s="52"/>
      <c r="E1258" s="53"/>
      <c r="F1258" s="52"/>
      <c r="G1258" s="52"/>
      <c r="H1258" s="52"/>
      <c r="I1258" s="53"/>
      <c r="J1258" s="52"/>
      <c r="K1258" s="52"/>
      <c r="L1258" s="52"/>
      <c r="M1258" s="52"/>
      <c r="N1258" s="19"/>
      <c r="O1258" s="19"/>
      <c r="P1258" s="19"/>
      <c r="Q1258" s="19"/>
      <c r="R1258" s="19"/>
      <c r="S1258" s="19"/>
      <c r="T1258" s="19"/>
      <c r="U1258" s="19"/>
      <c r="V1258" s="19"/>
      <c r="W1258" s="19"/>
      <c r="X1258" s="19"/>
      <c r="Y1258" s="19"/>
      <c r="Z1258" s="19"/>
      <c r="AA1258" s="19"/>
      <c r="AB1258" s="19"/>
      <c r="AC1258" s="19"/>
      <c r="AD1258" s="19"/>
      <c r="AE1258" s="19"/>
      <c r="AF1258" s="19"/>
      <c r="AG1258" s="19"/>
      <c r="AH1258" s="19"/>
      <c r="AI1258" s="19"/>
      <c r="AJ1258" s="19"/>
      <c r="AK1258" s="19"/>
      <c r="AL1258" s="19"/>
      <c r="AM1258" s="19"/>
      <c r="AN1258" s="19"/>
      <c r="AO1258" s="19"/>
      <c r="AP1258" s="19"/>
      <c r="AQ1258" s="19"/>
      <c r="AR1258" s="19"/>
      <c r="AS1258" s="19"/>
      <c r="AT1258" s="19"/>
      <c r="AU1258" s="19"/>
      <c r="AV1258" s="19"/>
      <c r="AW1258" s="19"/>
      <c r="AX1258" s="19"/>
      <c r="GA1258" s="54"/>
    </row>
    <row r="1259" spans="1:183" s="18" customFormat="1">
      <c r="A1259" s="51"/>
      <c r="B1259" s="52"/>
      <c r="C1259" s="52"/>
      <c r="D1259" s="52"/>
      <c r="E1259" s="53"/>
      <c r="F1259" s="52"/>
      <c r="G1259" s="52"/>
      <c r="H1259" s="52"/>
      <c r="I1259" s="53"/>
      <c r="J1259" s="52"/>
      <c r="K1259" s="52"/>
      <c r="L1259" s="52"/>
      <c r="M1259" s="52"/>
      <c r="N1259" s="19"/>
      <c r="O1259" s="19"/>
      <c r="P1259" s="19"/>
      <c r="Q1259" s="19"/>
      <c r="R1259" s="19"/>
      <c r="S1259" s="19"/>
      <c r="T1259" s="19"/>
      <c r="U1259" s="19"/>
      <c r="V1259" s="19"/>
      <c r="W1259" s="19"/>
      <c r="X1259" s="19"/>
      <c r="Y1259" s="19"/>
      <c r="Z1259" s="19"/>
      <c r="AA1259" s="19"/>
      <c r="AB1259" s="19"/>
      <c r="AC1259" s="19"/>
      <c r="AD1259" s="19"/>
      <c r="AE1259" s="19"/>
      <c r="AF1259" s="19"/>
      <c r="AG1259" s="19"/>
      <c r="AH1259" s="19"/>
      <c r="AI1259" s="19"/>
      <c r="AJ1259" s="19"/>
      <c r="AK1259" s="19"/>
      <c r="AL1259" s="19"/>
      <c r="AM1259" s="19"/>
      <c r="AN1259" s="19"/>
      <c r="AO1259" s="19"/>
      <c r="AP1259" s="19"/>
      <c r="AQ1259" s="19"/>
      <c r="AR1259" s="19"/>
      <c r="AS1259" s="19"/>
      <c r="AT1259" s="19"/>
      <c r="AU1259" s="19"/>
      <c r="AV1259" s="19"/>
      <c r="AW1259" s="19"/>
      <c r="AX1259" s="19"/>
      <c r="GA1259" s="54"/>
    </row>
    <row r="1260" spans="1:183" s="18" customFormat="1">
      <c r="A1260" s="51"/>
      <c r="B1260" s="52"/>
      <c r="C1260" s="52"/>
      <c r="D1260" s="52"/>
      <c r="E1260" s="53"/>
      <c r="F1260" s="52"/>
      <c r="G1260" s="52"/>
      <c r="H1260" s="52"/>
      <c r="I1260" s="53"/>
      <c r="J1260" s="52"/>
      <c r="K1260" s="52"/>
      <c r="L1260" s="52"/>
      <c r="M1260" s="52"/>
      <c r="N1260" s="19"/>
      <c r="O1260" s="19"/>
      <c r="P1260" s="19"/>
      <c r="Q1260" s="19"/>
      <c r="R1260" s="19"/>
      <c r="S1260" s="19"/>
      <c r="T1260" s="19"/>
      <c r="U1260" s="19"/>
      <c r="V1260" s="19"/>
      <c r="W1260" s="19"/>
      <c r="X1260" s="19"/>
      <c r="Y1260" s="19"/>
      <c r="Z1260" s="19"/>
      <c r="AA1260" s="19"/>
      <c r="AB1260" s="19"/>
      <c r="AC1260" s="19"/>
      <c r="AD1260" s="19"/>
      <c r="AE1260" s="19"/>
      <c r="AF1260" s="19"/>
      <c r="AG1260" s="19"/>
      <c r="AH1260" s="19"/>
      <c r="AI1260" s="19"/>
      <c r="AJ1260" s="19"/>
      <c r="AK1260" s="19"/>
      <c r="AL1260" s="19"/>
      <c r="AM1260" s="19"/>
      <c r="AN1260" s="19"/>
      <c r="AO1260" s="19"/>
      <c r="AP1260" s="19"/>
      <c r="AQ1260" s="19"/>
      <c r="AR1260" s="19"/>
      <c r="AS1260" s="19"/>
      <c r="AT1260" s="19"/>
      <c r="AU1260" s="19"/>
      <c r="AV1260" s="19"/>
      <c r="AW1260" s="19"/>
      <c r="AX1260" s="19"/>
      <c r="GA1260" s="54"/>
    </row>
    <row r="1261" spans="1:183" s="18" customFormat="1">
      <c r="A1261" s="51"/>
      <c r="B1261" s="52"/>
      <c r="C1261" s="52"/>
      <c r="D1261" s="52"/>
      <c r="E1261" s="53"/>
      <c r="F1261" s="52"/>
      <c r="G1261" s="52"/>
      <c r="H1261" s="52"/>
      <c r="I1261" s="53"/>
      <c r="J1261" s="52"/>
      <c r="K1261" s="52"/>
      <c r="L1261" s="52"/>
      <c r="M1261" s="52"/>
      <c r="N1261" s="19"/>
      <c r="O1261" s="19"/>
      <c r="P1261" s="19"/>
      <c r="Q1261" s="19"/>
      <c r="R1261" s="19"/>
      <c r="S1261" s="19"/>
      <c r="T1261" s="19"/>
      <c r="U1261" s="19"/>
      <c r="V1261" s="19"/>
      <c r="W1261" s="19"/>
      <c r="X1261" s="19"/>
      <c r="Y1261" s="19"/>
      <c r="Z1261" s="19"/>
      <c r="AA1261" s="19"/>
      <c r="AB1261" s="19"/>
      <c r="AC1261" s="19"/>
      <c r="AD1261" s="19"/>
      <c r="AE1261" s="19"/>
      <c r="AF1261" s="19"/>
      <c r="AG1261" s="19"/>
      <c r="AH1261" s="19"/>
      <c r="AI1261" s="19"/>
      <c r="AJ1261" s="19"/>
      <c r="AK1261" s="19"/>
      <c r="AL1261" s="19"/>
      <c r="AM1261" s="19"/>
      <c r="AN1261" s="19"/>
      <c r="AO1261" s="19"/>
      <c r="AP1261" s="19"/>
      <c r="AQ1261" s="19"/>
      <c r="AR1261" s="19"/>
      <c r="AS1261" s="19"/>
      <c r="AT1261" s="19"/>
      <c r="AU1261" s="19"/>
      <c r="AV1261" s="19"/>
      <c r="AW1261" s="19"/>
      <c r="AX1261" s="19"/>
      <c r="GA1261" s="54"/>
    </row>
    <row r="1262" spans="1:183" s="18" customFormat="1">
      <c r="A1262" s="51"/>
      <c r="B1262" s="52"/>
      <c r="C1262" s="52"/>
      <c r="D1262" s="52"/>
      <c r="E1262" s="53"/>
      <c r="F1262" s="52"/>
      <c r="G1262" s="52"/>
      <c r="H1262" s="52"/>
      <c r="I1262" s="53"/>
      <c r="J1262" s="52"/>
      <c r="K1262" s="52"/>
      <c r="L1262" s="52"/>
      <c r="M1262" s="52"/>
      <c r="N1262" s="19"/>
      <c r="O1262" s="19"/>
      <c r="P1262" s="19"/>
      <c r="Q1262" s="19"/>
      <c r="R1262" s="19"/>
      <c r="S1262" s="19"/>
      <c r="T1262" s="19"/>
      <c r="U1262" s="19"/>
      <c r="V1262" s="19"/>
      <c r="W1262" s="19"/>
      <c r="X1262" s="19"/>
      <c r="Y1262" s="19"/>
      <c r="Z1262" s="19"/>
      <c r="AA1262" s="19"/>
      <c r="AB1262" s="19"/>
      <c r="AC1262" s="19"/>
      <c r="AD1262" s="19"/>
      <c r="AE1262" s="19"/>
      <c r="AF1262" s="19"/>
      <c r="AG1262" s="19"/>
      <c r="AH1262" s="19"/>
      <c r="AI1262" s="19"/>
      <c r="AJ1262" s="19"/>
      <c r="AK1262" s="19"/>
      <c r="AL1262" s="19"/>
      <c r="AM1262" s="19"/>
      <c r="AN1262" s="19"/>
      <c r="AO1262" s="19"/>
      <c r="AP1262" s="19"/>
      <c r="AQ1262" s="19"/>
      <c r="AR1262" s="19"/>
      <c r="AS1262" s="19"/>
      <c r="AT1262" s="19"/>
      <c r="AU1262" s="19"/>
      <c r="AV1262" s="19"/>
      <c r="AW1262" s="19"/>
      <c r="AX1262" s="19"/>
      <c r="GA1262" s="54"/>
    </row>
    <row r="1263" spans="1:183" s="18" customFormat="1">
      <c r="A1263" s="51"/>
      <c r="B1263" s="52"/>
      <c r="C1263" s="52"/>
      <c r="D1263" s="52"/>
      <c r="E1263" s="53"/>
      <c r="F1263" s="52"/>
      <c r="G1263" s="52"/>
      <c r="H1263" s="52"/>
      <c r="I1263" s="53"/>
      <c r="J1263" s="52"/>
      <c r="K1263" s="52"/>
      <c r="L1263" s="52"/>
      <c r="M1263" s="52"/>
      <c r="N1263" s="19"/>
      <c r="O1263" s="19"/>
      <c r="P1263" s="19"/>
      <c r="Q1263" s="19"/>
      <c r="R1263" s="19"/>
      <c r="S1263" s="19"/>
      <c r="T1263" s="19"/>
      <c r="U1263" s="19"/>
      <c r="V1263" s="19"/>
      <c r="W1263" s="19"/>
      <c r="X1263" s="19"/>
      <c r="Y1263" s="19"/>
      <c r="Z1263" s="19"/>
      <c r="AA1263" s="19"/>
      <c r="AB1263" s="19"/>
      <c r="AC1263" s="19"/>
      <c r="AD1263" s="19"/>
      <c r="AE1263" s="19"/>
      <c r="AF1263" s="19"/>
      <c r="AG1263" s="19"/>
      <c r="AH1263" s="19"/>
      <c r="AI1263" s="19"/>
      <c r="AJ1263" s="19"/>
      <c r="AK1263" s="19"/>
      <c r="AL1263" s="19"/>
      <c r="AM1263" s="19"/>
      <c r="AN1263" s="19"/>
      <c r="AO1263" s="19"/>
      <c r="AP1263" s="19"/>
      <c r="AQ1263" s="19"/>
      <c r="AR1263" s="19"/>
      <c r="AS1263" s="19"/>
      <c r="AT1263" s="19"/>
      <c r="AU1263" s="19"/>
      <c r="AV1263" s="19"/>
      <c r="AW1263" s="19"/>
      <c r="AX1263" s="19"/>
      <c r="GA1263" s="54"/>
    </row>
    <row r="1264" spans="1:183" s="18" customFormat="1">
      <c r="A1264" s="51"/>
      <c r="B1264" s="52"/>
      <c r="C1264" s="52"/>
      <c r="D1264" s="52"/>
      <c r="E1264" s="53"/>
      <c r="F1264" s="52"/>
      <c r="G1264" s="52"/>
      <c r="H1264" s="52"/>
      <c r="I1264" s="53"/>
      <c r="J1264" s="52"/>
      <c r="K1264" s="52"/>
      <c r="L1264" s="52"/>
      <c r="M1264" s="52"/>
      <c r="N1264" s="19"/>
      <c r="O1264" s="19"/>
      <c r="P1264" s="19"/>
      <c r="Q1264" s="19"/>
      <c r="R1264" s="19"/>
      <c r="S1264" s="19"/>
      <c r="T1264" s="19"/>
      <c r="U1264" s="19"/>
      <c r="V1264" s="19"/>
      <c r="W1264" s="19"/>
      <c r="X1264" s="19"/>
      <c r="Y1264" s="19"/>
      <c r="Z1264" s="19"/>
      <c r="AA1264" s="19"/>
      <c r="AB1264" s="19"/>
      <c r="AC1264" s="19"/>
      <c r="AD1264" s="19"/>
      <c r="AE1264" s="19"/>
      <c r="AF1264" s="19"/>
      <c r="AG1264" s="19"/>
      <c r="AH1264" s="19"/>
      <c r="AI1264" s="19"/>
      <c r="AJ1264" s="19"/>
      <c r="AK1264" s="19"/>
      <c r="AL1264" s="19"/>
      <c r="AM1264" s="19"/>
      <c r="AN1264" s="19"/>
      <c r="AO1264" s="19"/>
      <c r="AP1264" s="19"/>
      <c r="AQ1264" s="19"/>
      <c r="AR1264" s="19"/>
      <c r="AS1264" s="19"/>
      <c r="AT1264" s="19"/>
      <c r="AU1264" s="19"/>
      <c r="AV1264" s="19"/>
      <c r="AW1264" s="19"/>
      <c r="AX1264" s="19"/>
      <c r="GA1264" s="54"/>
    </row>
    <row r="1265" spans="1:183" s="18" customFormat="1">
      <c r="A1265" s="51"/>
      <c r="B1265" s="52"/>
      <c r="C1265" s="52"/>
      <c r="D1265" s="52"/>
      <c r="E1265" s="53"/>
      <c r="F1265" s="52"/>
      <c r="G1265" s="52"/>
      <c r="H1265" s="52"/>
      <c r="I1265" s="53"/>
      <c r="J1265" s="52"/>
      <c r="K1265" s="52"/>
      <c r="L1265" s="52"/>
      <c r="M1265" s="52"/>
      <c r="N1265" s="19"/>
      <c r="O1265" s="19"/>
      <c r="P1265" s="19"/>
      <c r="Q1265" s="19"/>
      <c r="R1265" s="19"/>
      <c r="S1265" s="19"/>
      <c r="T1265" s="19"/>
      <c r="U1265" s="19"/>
      <c r="V1265" s="19"/>
      <c r="W1265" s="19"/>
      <c r="X1265" s="19"/>
      <c r="Y1265" s="19"/>
      <c r="Z1265" s="19"/>
      <c r="AA1265" s="19"/>
      <c r="AB1265" s="19"/>
      <c r="AC1265" s="19"/>
      <c r="AD1265" s="19"/>
      <c r="AE1265" s="19"/>
      <c r="AF1265" s="19"/>
      <c r="AG1265" s="19"/>
      <c r="AH1265" s="19"/>
      <c r="AI1265" s="19"/>
      <c r="AJ1265" s="19"/>
      <c r="AK1265" s="19"/>
      <c r="AL1265" s="19"/>
      <c r="AM1265" s="19"/>
      <c r="AN1265" s="19"/>
      <c r="AO1265" s="19"/>
      <c r="AP1265" s="19"/>
      <c r="AQ1265" s="19"/>
      <c r="AR1265" s="19"/>
      <c r="AS1265" s="19"/>
      <c r="AT1265" s="19"/>
      <c r="AU1265" s="19"/>
      <c r="AV1265" s="19"/>
      <c r="AW1265" s="19"/>
      <c r="AX1265" s="19"/>
      <c r="GA1265" s="54"/>
    </row>
    <row r="1266" spans="1:183" s="18" customFormat="1">
      <c r="A1266" s="51"/>
      <c r="B1266" s="52"/>
      <c r="C1266" s="52"/>
      <c r="D1266" s="52"/>
      <c r="E1266" s="53"/>
      <c r="F1266" s="52"/>
      <c r="G1266" s="52"/>
      <c r="H1266" s="52"/>
      <c r="I1266" s="53"/>
      <c r="J1266" s="52"/>
      <c r="K1266" s="52"/>
      <c r="L1266" s="52"/>
      <c r="M1266" s="52"/>
      <c r="N1266" s="19"/>
      <c r="O1266" s="19"/>
      <c r="P1266" s="19"/>
      <c r="Q1266" s="19"/>
      <c r="R1266" s="19"/>
      <c r="S1266" s="19"/>
      <c r="T1266" s="19"/>
      <c r="U1266" s="19"/>
      <c r="V1266" s="19"/>
      <c r="W1266" s="19"/>
      <c r="X1266" s="19"/>
      <c r="Y1266" s="19"/>
      <c r="Z1266" s="19"/>
      <c r="AA1266" s="19"/>
      <c r="AB1266" s="19"/>
      <c r="AC1266" s="19"/>
      <c r="AD1266" s="19"/>
      <c r="AE1266" s="19"/>
      <c r="AF1266" s="19"/>
      <c r="AG1266" s="19"/>
      <c r="AH1266" s="19"/>
      <c r="AI1266" s="19"/>
      <c r="AJ1266" s="19"/>
      <c r="AK1266" s="19"/>
      <c r="AL1266" s="19"/>
      <c r="AM1266" s="19"/>
      <c r="AN1266" s="19"/>
      <c r="AO1266" s="19"/>
      <c r="AP1266" s="19"/>
      <c r="AQ1266" s="19"/>
      <c r="AR1266" s="19"/>
      <c r="AS1266" s="19"/>
      <c r="AT1266" s="19"/>
      <c r="AU1266" s="19"/>
      <c r="AV1266" s="19"/>
      <c r="AW1266" s="19"/>
      <c r="AX1266" s="19"/>
      <c r="GA1266" s="54"/>
    </row>
    <row r="1267" spans="1:183" s="18" customFormat="1">
      <c r="A1267" s="51"/>
      <c r="B1267" s="52"/>
      <c r="C1267" s="52"/>
      <c r="D1267" s="52"/>
      <c r="E1267" s="53"/>
      <c r="F1267" s="52"/>
      <c r="G1267" s="52"/>
      <c r="H1267" s="52"/>
      <c r="I1267" s="53"/>
      <c r="J1267" s="52"/>
      <c r="K1267" s="52"/>
      <c r="L1267" s="52"/>
      <c r="M1267" s="52"/>
      <c r="N1267" s="19"/>
      <c r="O1267" s="19"/>
      <c r="P1267" s="19"/>
      <c r="Q1267" s="19"/>
      <c r="R1267" s="19"/>
      <c r="S1267" s="19"/>
      <c r="T1267" s="19"/>
      <c r="U1267" s="19"/>
      <c r="V1267" s="19"/>
      <c r="W1267" s="19"/>
      <c r="X1267" s="19"/>
      <c r="Y1267" s="19"/>
      <c r="Z1267" s="19"/>
      <c r="AA1267" s="19"/>
      <c r="AB1267" s="19"/>
      <c r="AC1267" s="19"/>
      <c r="AD1267" s="19"/>
      <c r="AE1267" s="19"/>
      <c r="AF1267" s="19"/>
      <c r="AG1267" s="19"/>
      <c r="AH1267" s="19"/>
      <c r="AI1267" s="19"/>
      <c r="AJ1267" s="19"/>
      <c r="AK1267" s="19"/>
      <c r="AL1267" s="19"/>
      <c r="AM1267" s="19"/>
      <c r="AN1267" s="19"/>
      <c r="AO1267" s="19"/>
      <c r="AP1267" s="19"/>
      <c r="AQ1267" s="19"/>
      <c r="AR1267" s="19"/>
      <c r="AS1267" s="19"/>
      <c r="AT1267" s="19"/>
      <c r="AU1267" s="19"/>
      <c r="AV1267" s="19"/>
      <c r="AW1267" s="19"/>
      <c r="AX1267" s="19"/>
      <c r="GA1267" s="54"/>
    </row>
    <row r="1268" spans="1:183" s="18" customFormat="1">
      <c r="A1268" s="51"/>
      <c r="B1268" s="52"/>
      <c r="C1268" s="52"/>
      <c r="D1268" s="52"/>
      <c r="E1268" s="53"/>
      <c r="F1268" s="52"/>
      <c r="G1268" s="52"/>
      <c r="H1268" s="52"/>
      <c r="I1268" s="53"/>
      <c r="J1268" s="52"/>
      <c r="K1268" s="52"/>
      <c r="L1268" s="52"/>
      <c r="M1268" s="52"/>
      <c r="N1268" s="19"/>
      <c r="O1268" s="19"/>
      <c r="P1268" s="19"/>
      <c r="Q1268" s="19"/>
      <c r="R1268" s="19"/>
      <c r="S1268" s="19"/>
      <c r="T1268" s="19"/>
      <c r="U1268" s="19"/>
      <c r="V1268" s="19"/>
      <c r="W1268" s="19"/>
      <c r="X1268" s="19"/>
      <c r="Y1268" s="19"/>
      <c r="Z1268" s="19"/>
      <c r="AA1268" s="19"/>
      <c r="AB1268" s="19"/>
      <c r="AC1268" s="19"/>
      <c r="AD1268" s="19"/>
      <c r="AE1268" s="19"/>
      <c r="AF1268" s="19"/>
      <c r="AG1268" s="19"/>
      <c r="AH1268" s="19"/>
      <c r="AI1268" s="19"/>
      <c r="AJ1268" s="19"/>
      <c r="AK1268" s="19"/>
      <c r="AL1268" s="19"/>
      <c r="AM1268" s="19"/>
      <c r="AN1268" s="19"/>
      <c r="AO1268" s="19"/>
      <c r="AP1268" s="19"/>
      <c r="AQ1268" s="19"/>
      <c r="AR1268" s="19"/>
      <c r="AS1268" s="19"/>
      <c r="AT1268" s="19"/>
      <c r="AU1268" s="19"/>
      <c r="AV1268" s="19"/>
      <c r="AW1268" s="19"/>
      <c r="AX1268" s="19"/>
      <c r="GA1268" s="54"/>
    </row>
    <row r="1269" spans="1:183" s="18" customFormat="1">
      <c r="A1269" s="51"/>
      <c r="B1269" s="52"/>
      <c r="C1269" s="52"/>
      <c r="D1269" s="52"/>
      <c r="E1269" s="53"/>
      <c r="F1269" s="52"/>
      <c r="G1269" s="52"/>
      <c r="H1269" s="52"/>
      <c r="I1269" s="53"/>
      <c r="J1269" s="52"/>
      <c r="K1269" s="52"/>
      <c r="L1269" s="52"/>
      <c r="M1269" s="52"/>
      <c r="N1269" s="19"/>
      <c r="O1269" s="19"/>
      <c r="P1269" s="19"/>
      <c r="Q1269" s="19"/>
      <c r="R1269" s="19"/>
      <c r="S1269" s="19"/>
      <c r="T1269" s="19"/>
      <c r="U1269" s="19"/>
      <c r="V1269" s="19"/>
      <c r="W1269" s="19"/>
      <c r="X1269" s="19"/>
      <c r="Y1269" s="19"/>
      <c r="Z1269" s="19"/>
      <c r="AA1269" s="19"/>
      <c r="AB1269" s="19"/>
      <c r="AC1269" s="19"/>
      <c r="AD1269" s="19"/>
      <c r="AE1269" s="19"/>
      <c r="AF1269" s="19"/>
      <c r="AG1269" s="19"/>
      <c r="AH1269" s="19"/>
      <c r="AI1269" s="19"/>
      <c r="AJ1269" s="19"/>
      <c r="AK1269" s="19"/>
      <c r="AL1269" s="19"/>
      <c r="AM1269" s="19"/>
      <c r="AN1269" s="19"/>
      <c r="AO1269" s="19"/>
      <c r="AP1269" s="19"/>
      <c r="AQ1269" s="19"/>
      <c r="AR1269" s="19"/>
      <c r="AS1269" s="19"/>
      <c r="AT1269" s="19"/>
      <c r="AU1269" s="19"/>
      <c r="AV1269" s="19"/>
      <c r="AW1269" s="19"/>
      <c r="AX1269" s="19"/>
      <c r="GA1269" s="54"/>
    </row>
    <row r="1270" spans="1:183" s="18" customFormat="1">
      <c r="A1270" s="51"/>
      <c r="B1270" s="52"/>
      <c r="C1270" s="52"/>
      <c r="D1270" s="52"/>
      <c r="E1270" s="53"/>
      <c r="F1270" s="52"/>
      <c r="G1270" s="52"/>
      <c r="H1270" s="52"/>
      <c r="I1270" s="53"/>
      <c r="J1270" s="52"/>
      <c r="K1270" s="52"/>
      <c r="L1270" s="52"/>
      <c r="M1270" s="52"/>
      <c r="N1270" s="19"/>
      <c r="O1270" s="19"/>
      <c r="P1270" s="19"/>
      <c r="Q1270" s="19"/>
      <c r="R1270" s="19"/>
      <c r="S1270" s="19"/>
      <c r="T1270" s="19"/>
      <c r="U1270" s="19"/>
      <c r="V1270" s="19"/>
      <c r="W1270" s="19"/>
      <c r="X1270" s="19"/>
      <c r="Y1270" s="19"/>
      <c r="Z1270" s="19"/>
      <c r="AA1270" s="19"/>
      <c r="AB1270" s="19"/>
      <c r="AC1270" s="19"/>
      <c r="AD1270" s="19"/>
      <c r="AE1270" s="19"/>
      <c r="AF1270" s="19"/>
      <c r="AG1270" s="19"/>
      <c r="AH1270" s="19"/>
      <c r="AI1270" s="19"/>
      <c r="AJ1270" s="19"/>
      <c r="AK1270" s="19"/>
      <c r="AL1270" s="19"/>
      <c r="AM1270" s="19"/>
      <c r="AN1270" s="19"/>
      <c r="AO1270" s="19"/>
      <c r="AP1270" s="19"/>
      <c r="AQ1270" s="19"/>
      <c r="AR1270" s="19"/>
      <c r="AS1270" s="19"/>
      <c r="AT1270" s="19"/>
      <c r="AU1270" s="19"/>
      <c r="AV1270" s="19"/>
      <c r="AW1270" s="19"/>
      <c r="AX1270" s="19"/>
      <c r="GA1270" s="54"/>
    </row>
    <row r="1271" spans="1:183" s="18" customFormat="1">
      <c r="A1271" s="51"/>
      <c r="B1271" s="52"/>
      <c r="C1271" s="52"/>
      <c r="D1271" s="52"/>
      <c r="E1271" s="53"/>
      <c r="F1271" s="52"/>
      <c r="G1271" s="52"/>
      <c r="H1271" s="52"/>
      <c r="I1271" s="53"/>
      <c r="J1271" s="52"/>
      <c r="K1271" s="52"/>
      <c r="L1271" s="52"/>
      <c r="M1271" s="52"/>
      <c r="N1271" s="19"/>
      <c r="O1271" s="19"/>
      <c r="P1271" s="19"/>
      <c r="Q1271" s="19"/>
      <c r="R1271" s="19"/>
      <c r="S1271" s="19"/>
      <c r="T1271" s="19"/>
      <c r="U1271" s="19"/>
      <c r="V1271" s="19"/>
      <c r="W1271" s="19"/>
      <c r="X1271" s="19"/>
      <c r="Y1271" s="19"/>
      <c r="Z1271" s="19"/>
      <c r="AA1271" s="19"/>
      <c r="AB1271" s="19"/>
      <c r="AC1271" s="19"/>
      <c r="AD1271" s="19"/>
      <c r="AE1271" s="19"/>
      <c r="AF1271" s="19"/>
      <c r="AG1271" s="19"/>
      <c r="AH1271" s="19"/>
      <c r="AI1271" s="19"/>
      <c r="AJ1271" s="19"/>
      <c r="AK1271" s="19"/>
      <c r="AL1271" s="19"/>
      <c r="AM1271" s="19"/>
      <c r="AN1271" s="19"/>
      <c r="AO1271" s="19"/>
      <c r="AP1271" s="19"/>
      <c r="AQ1271" s="19"/>
      <c r="AR1271" s="19"/>
      <c r="AS1271" s="19"/>
      <c r="AT1271" s="19"/>
      <c r="AU1271" s="19"/>
      <c r="AV1271" s="19"/>
      <c r="AW1271" s="19"/>
      <c r="AX1271" s="19"/>
      <c r="GA1271" s="54"/>
    </row>
    <row r="1272" spans="1:183" s="18" customFormat="1">
      <c r="A1272" s="51"/>
      <c r="B1272" s="52"/>
      <c r="C1272" s="52"/>
      <c r="D1272" s="52"/>
      <c r="E1272" s="53"/>
      <c r="F1272" s="52"/>
      <c r="G1272" s="52"/>
      <c r="H1272" s="52"/>
      <c r="I1272" s="53"/>
      <c r="J1272" s="52"/>
      <c r="K1272" s="52"/>
      <c r="L1272" s="52"/>
      <c r="M1272" s="52"/>
      <c r="N1272" s="19"/>
      <c r="O1272" s="19"/>
      <c r="P1272" s="19"/>
      <c r="Q1272" s="19"/>
      <c r="R1272" s="19"/>
      <c r="S1272" s="19"/>
      <c r="T1272" s="19"/>
      <c r="U1272" s="19"/>
      <c r="V1272" s="19"/>
      <c r="W1272" s="19"/>
      <c r="X1272" s="19"/>
      <c r="Y1272" s="19"/>
      <c r="Z1272" s="19"/>
      <c r="AA1272" s="19"/>
      <c r="AB1272" s="19"/>
      <c r="AC1272" s="19"/>
      <c r="AD1272" s="19"/>
      <c r="AE1272" s="19"/>
      <c r="AF1272" s="19"/>
      <c r="AG1272" s="19"/>
      <c r="AH1272" s="19"/>
      <c r="AI1272" s="19"/>
      <c r="AJ1272" s="19"/>
      <c r="AK1272" s="19"/>
      <c r="AL1272" s="19"/>
      <c r="AM1272" s="19"/>
      <c r="AN1272" s="19"/>
      <c r="AO1272" s="19"/>
      <c r="AP1272" s="19"/>
      <c r="AQ1272" s="19"/>
      <c r="AR1272" s="19"/>
      <c r="AS1272" s="19"/>
      <c r="AT1272" s="19"/>
      <c r="AU1272" s="19"/>
      <c r="AV1272" s="19"/>
      <c r="AW1272" s="19"/>
      <c r="AX1272" s="19"/>
      <c r="GA1272" s="54"/>
    </row>
    <row r="1273" spans="1:183" s="18" customFormat="1">
      <c r="A1273" s="51"/>
      <c r="B1273" s="52"/>
      <c r="C1273" s="52"/>
      <c r="D1273" s="52"/>
      <c r="E1273" s="53"/>
      <c r="F1273" s="52"/>
      <c r="G1273" s="52"/>
      <c r="H1273" s="52"/>
      <c r="I1273" s="53"/>
      <c r="J1273" s="52"/>
      <c r="K1273" s="52"/>
      <c r="L1273" s="52"/>
      <c r="M1273" s="52"/>
      <c r="N1273" s="19"/>
      <c r="O1273" s="19"/>
      <c r="P1273" s="19"/>
      <c r="Q1273" s="19"/>
      <c r="R1273" s="19"/>
      <c r="S1273" s="19"/>
      <c r="T1273" s="19"/>
      <c r="U1273" s="19"/>
      <c r="V1273" s="19"/>
      <c r="W1273" s="19"/>
      <c r="X1273" s="19"/>
      <c r="Y1273" s="19"/>
      <c r="Z1273" s="19"/>
      <c r="AA1273" s="19"/>
      <c r="AB1273" s="19"/>
      <c r="AC1273" s="19"/>
      <c r="AD1273" s="19"/>
      <c r="AE1273" s="19"/>
      <c r="AF1273" s="19"/>
      <c r="AG1273" s="19"/>
      <c r="AH1273" s="19"/>
      <c r="AI1273" s="19"/>
      <c r="AJ1273" s="19"/>
      <c r="AK1273" s="19"/>
      <c r="AL1273" s="19"/>
      <c r="AM1273" s="19"/>
      <c r="AN1273" s="19"/>
      <c r="AO1273" s="19"/>
      <c r="AP1273" s="19"/>
      <c r="AQ1273" s="19"/>
      <c r="AR1273" s="19"/>
      <c r="AS1273" s="19"/>
      <c r="AT1273" s="19"/>
      <c r="AU1273" s="19"/>
      <c r="AV1273" s="19"/>
      <c r="AW1273" s="19"/>
      <c r="AX1273" s="19"/>
      <c r="GA1273" s="54"/>
    </row>
    <row r="1274" spans="1:183" s="18" customFormat="1">
      <c r="A1274" s="51"/>
      <c r="B1274" s="52"/>
      <c r="C1274" s="52"/>
      <c r="D1274" s="52"/>
      <c r="E1274" s="53"/>
      <c r="F1274" s="52"/>
      <c r="G1274" s="52"/>
      <c r="H1274" s="52"/>
      <c r="I1274" s="53"/>
      <c r="J1274" s="52"/>
      <c r="K1274" s="52"/>
      <c r="L1274" s="52"/>
      <c r="M1274" s="52"/>
      <c r="N1274" s="19"/>
      <c r="O1274" s="19"/>
      <c r="P1274" s="19"/>
      <c r="Q1274" s="19"/>
      <c r="R1274" s="19"/>
      <c r="S1274" s="19"/>
      <c r="T1274" s="19"/>
      <c r="U1274" s="19"/>
      <c r="V1274" s="19"/>
      <c r="W1274" s="19"/>
      <c r="X1274" s="19"/>
      <c r="Y1274" s="19"/>
      <c r="Z1274" s="19"/>
      <c r="AA1274" s="19"/>
      <c r="AB1274" s="19"/>
      <c r="AC1274" s="19"/>
      <c r="AD1274" s="19"/>
      <c r="AE1274" s="19"/>
      <c r="AF1274" s="19"/>
      <c r="AG1274" s="19"/>
      <c r="AH1274" s="19"/>
      <c r="AI1274" s="19"/>
      <c r="AJ1274" s="19"/>
      <c r="AK1274" s="19"/>
      <c r="AL1274" s="19"/>
      <c r="AM1274" s="19"/>
      <c r="AN1274" s="19"/>
      <c r="AO1274" s="19"/>
      <c r="AP1274" s="19"/>
      <c r="AQ1274" s="19"/>
      <c r="AR1274" s="19"/>
      <c r="AS1274" s="19"/>
      <c r="AT1274" s="19"/>
      <c r="AU1274" s="19"/>
      <c r="AV1274" s="19"/>
      <c r="AW1274" s="19"/>
      <c r="AX1274" s="19"/>
      <c r="GA1274" s="54"/>
    </row>
    <row r="1275" spans="1:183" s="18" customFormat="1">
      <c r="A1275" s="51"/>
      <c r="B1275" s="52"/>
      <c r="C1275" s="52"/>
      <c r="D1275" s="52"/>
      <c r="E1275" s="53"/>
      <c r="F1275" s="52"/>
      <c r="G1275" s="52"/>
      <c r="H1275" s="52"/>
      <c r="I1275" s="53"/>
      <c r="J1275" s="52"/>
      <c r="K1275" s="52"/>
      <c r="L1275" s="52"/>
      <c r="M1275" s="52"/>
      <c r="N1275" s="19"/>
      <c r="O1275" s="19"/>
      <c r="P1275" s="19"/>
      <c r="Q1275" s="19"/>
      <c r="R1275" s="19"/>
      <c r="S1275" s="19"/>
      <c r="T1275" s="19"/>
      <c r="U1275" s="19"/>
      <c r="V1275" s="19"/>
      <c r="W1275" s="19"/>
      <c r="X1275" s="19"/>
      <c r="Y1275" s="19"/>
      <c r="Z1275" s="19"/>
      <c r="AA1275" s="19"/>
      <c r="AB1275" s="19"/>
      <c r="AC1275" s="19"/>
      <c r="AD1275" s="19"/>
      <c r="AE1275" s="19"/>
      <c r="AF1275" s="19"/>
      <c r="AG1275" s="19"/>
      <c r="AH1275" s="19"/>
      <c r="AI1275" s="19"/>
      <c r="AJ1275" s="19"/>
      <c r="AK1275" s="19"/>
      <c r="AL1275" s="19"/>
      <c r="AM1275" s="19"/>
      <c r="AN1275" s="19"/>
      <c r="AO1275" s="19"/>
      <c r="AP1275" s="19"/>
      <c r="AQ1275" s="19"/>
      <c r="AR1275" s="19"/>
      <c r="AS1275" s="19"/>
      <c r="AT1275" s="19"/>
      <c r="AU1275" s="19"/>
      <c r="AV1275" s="19"/>
      <c r="AW1275" s="19"/>
      <c r="AX1275" s="19"/>
      <c r="GA1275" s="54"/>
    </row>
    <row r="1276" spans="1:183" s="18" customFormat="1">
      <c r="A1276" s="51"/>
      <c r="B1276" s="52"/>
      <c r="C1276" s="52"/>
      <c r="D1276" s="52"/>
      <c r="E1276" s="53"/>
      <c r="F1276" s="52"/>
      <c r="G1276" s="52"/>
      <c r="H1276" s="52"/>
      <c r="I1276" s="53"/>
      <c r="J1276" s="52"/>
      <c r="K1276" s="52"/>
      <c r="L1276" s="52"/>
      <c r="M1276" s="52"/>
      <c r="N1276" s="19"/>
      <c r="O1276" s="19"/>
      <c r="P1276" s="19"/>
      <c r="Q1276" s="19"/>
      <c r="R1276" s="19"/>
      <c r="S1276" s="19"/>
      <c r="T1276" s="19"/>
      <c r="U1276" s="19"/>
      <c r="V1276" s="19"/>
      <c r="W1276" s="19"/>
      <c r="X1276" s="19"/>
      <c r="Y1276" s="19"/>
      <c r="Z1276" s="19"/>
      <c r="AA1276" s="19"/>
      <c r="AB1276" s="19"/>
      <c r="AC1276" s="19"/>
      <c r="AD1276" s="19"/>
      <c r="AE1276" s="19"/>
      <c r="AF1276" s="19"/>
      <c r="AG1276" s="19"/>
      <c r="AH1276" s="19"/>
      <c r="AI1276" s="19"/>
      <c r="AJ1276" s="19"/>
      <c r="AK1276" s="19"/>
      <c r="AL1276" s="19"/>
      <c r="AM1276" s="19"/>
      <c r="AN1276" s="19"/>
      <c r="AO1276" s="19"/>
      <c r="AP1276" s="19"/>
      <c r="AQ1276" s="19"/>
      <c r="AR1276" s="19"/>
      <c r="AS1276" s="19"/>
      <c r="AT1276" s="19"/>
      <c r="AU1276" s="19"/>
      <c r="AV1276" s="19"/>
      <c r="AW1276" s="19"/>
      <c r="AX1276" s="19"/>
      <c r="GA1276" s="54"/>
    </row>
    <row r="1277" spans="1:183" s="18" customFormat="1">
      <c r="A1277" s="51"/>
      <c r="B1277" s="52"/>
      <c r="C1277" s="52"/>
      <c r="D1277" s="52"/>
      <c r="E1277" s="53"/>
      <c r="F1277" s="52"/>
      <c r="G1277" s="52"/>
      <c r="H1277" s="52"/>
      <c r="I1277" s="53"/>
      <c r="J1277" s="52"/>
      <c r="K1277" s="52"/>
      <c r="L1277" s="52"/>
      <c r="M1277" s="52"/>
      <c r="N1277" s="19"/>
      <c r="O1277" s="19"/>
      <c r="P1277" s="19"/>
      <c r="Q1277" s="19"/>
      <c r="R1277" s="19"/>
      <c r="S1277" s="19"/>
      <c r="T1277" s="19"/>
      <c r="U1277" s="19"/>
      <c r="V1277" s="19"/>
      <c r="W1277" s="19"/>
      <c r="X1277" s="19"/>
      <c r="Y1277" s="19"/>
      <c r="Z1277" s="19"/>
      <c r="AA1277" s="19"/>
      <c r="AB1277" s="19"/>
      <c r="AC1277" s="19"/>
      <c r="AD1277" s="19"/>
      <c r="AE1277" s="19"/>
      <c r="AF1277" s="19"/>
      <c r="AG1277" s="19"/>
      <c r="AH1277" s="19"/>
      <c r="AI1277" s="19"/>
      <c r="AJ1277" s="19"/>
      <c r="AK1277" s="19"/>
      <c r="AL1277" s="19"/>
      <c r="AM1277" s="19"/>
      <c r="AN1277" s="19"/>
      <c r="AO1277" s="19"/>
      <c r="AP1277" s="19"/>
      <c r="AQ1277" s="19"/>
      <c r="AR1277" s="19"/>
      <c r="AS1277" s="19"/>
      <c r="AT1277" s="19"/>
      <c r="AU1277" s="19"/>
      <c r="AV1277" s="19"/>
      <c r="AW1277" s="19"/>
      <c r="AX1277" s="19"/>
      <c r="GA1277" s="54"/>
    </row>
    <row r="1278" spans="1:183" s="18" customFormat="1">
      <c r="A1278" s="51"/>
      <c r="B1278" s="52"/>
      <c r="C1278" s="52"/>
      <c r="D1278" s="52"/>
      <c r="E1278" s="53"/>
      <c r="F1278" s="52"/>
      <c r="G1278" s="52"/>
      <c r="H1278" s="52"/>
      <c r="I1278" s="53"/>
      <c r="J1278" s="52"/>
      <c r="K1278" s="52"/>
      <c r="L1278" s="52"/>
      <c r="M1278" s="52"/>
      <c r="N1278" s="19"/>
      <c r="O1278" s="19"/>
      <c r="P1278" s="19"/>
      <c r="Q1278" s="19"/>
      <c r="R1278" s="19"/>
      <c r="S1278" s="19"/>
      <c r="T1278" s="19"/>
      <c r="U1278" s="19"/>
      <c r="V1278" s="19"/>
      <c r="W1278" s="19"/>
      <c r="X1278" s="19"/>
      <c r="Y1278" s="19"/>
      <c r="Z1278" s="19"/>
      <c r="AA1278" s="19"/>
      <c r="AB1278" s="19"/>
      <c r="AC1278" s="19"/>
      <c r="AD1278" s="19"/>
      <c r="AE1278" s="19"/>
      <c r="AF1278" s="19"/>
      <c r="AG1278" s="19"/>
      <c r="AH1278" s="19"/>
      <c r="AI1278" s="19"/>
      <c r="AJ1278" s="19"/>
      <c r="AK1278" s="19"/>
      <c r="AL1278" s="19"/>
      <c r="AM1278" s="19"/>
      <c r="AN1278" s="19"/>
      <c r="AO1278" s="19"/>
      <c r="AP1278" s="19"/>
      <c r="AQ1278" s="19"/>
      <c r="AR1278" s="19"/>
      <c r="AS1278" s="19"/>
      <c r="AT1278" s="19"/>
      <c r="AU1278" s="19"/>
      <c r="AV1278" s="19"/>
      <c r="AW1278" s="19"/>
      <c r="AX1278" s="19"/>
      <c r="GA1278" s="54"/>
    </row>
    <row r="1279" spans="1:183" s="18" customFormat="1">
      <c r="A1279" s="51"/>
      <c r="B1279" s="52"/>
      <c r="C1279" s="52"/>
      <c r="D1279" s="52"/>
      <c r="E1279" s="53"/>
      <c r="F1279" s="52"/>
      <c r="G1279" s="52"/>
      <c r="H1279" s="52"/>
      <c r="I1279" s="53"/>
      <c r="J1279" s="52"/>
      <c r="K1279" s="52"/>
      <c r="L1279" s="52"/>
      <c r="M1279" s="52"/>
      <c r="N1279" s="19"/>
      <c r="O1279" s="19"/>
      <c r="P1279" s="19"/>
      <c r="Q1279" s="19"/>
      <c r="R1279" s="19"/>
      <c r="S1279" s="19"/>
      <c r="T1279" s="19"/>
      <c r="U1279" s="19"/>
      <c r="V1279" s="19"/>
      <c r="W1279" s="19"/>
      <c r="X1279" s="19"/>
      <c r="Y1279" s="19"/>
      <c r="Z1279" s="19"/>
      <c r="AA1279" s="19"/>
      <c r="AB1279" s="19"/>
      <c r="AC1279" s="19"/>
      <c r="AD1279" s="19"/>
      <c r="AE1279" s="19"/>
      <c r="AF1279" s="19"/>
      <c r="AG1279" s="19"/>
      <c r="AH1279" s="19"/>
      <c r="AI1279" s="19"/>
      <c r="AJ1279" s="19"/>
      <c r="AK1279" s="19"/>
      <c r="AL1279" s="19"/>
      <c r="AM1279" s="19"/>
      <c r="AN1279" s="19"/>
      <c r="AO1279" s="19"/>
      <c r="AP1279" s="19"/>
      <c r="AQ1279" s="19"/>
      <c r="AR1279" s="19"/>
      <c r="AS1279" s="19"/>
      <c r="AT1279" s="19"/>
      <c r="AU1279" s="19"/>
      <c r="AV1279" s="19"/>
      <c r="AW1279" s="19"/>
      <c r="AX1279" s="19"/>
      <c r="GA1279" s="54"/>
    </row>
    <row r="1280" spans="1:183" s="18" customFormat="1">
      <c r="A1280" s="51"/>
      <c r="B1280" s="52"/>
      <c r="C1280" s="52"/>
      <c r="D1280" s="52"/>
      <c r="E1280" s="53"/>
      <c r="F1280" s="52"/>
      <c r="G1280" s="52"/>
      <c r="H1280" s="52"/>
      <c r="I1280" s="53"/>
      <c r="J1280" s="52"/>
      <c r="K1280" s="52"/>
      <c r="L1280" s="52"/>
      <c r="M1280" s="52"/>
      <c r="N1280" s="19"/>
      <c r="O1280" s="19"/>
      <c r="P1280" s="19"/>
      <c r="Q1280" s="19"/>
      <c r="R1280" s="19"/>
      <c r="S1280" s="19"/>
      <c r="T1280" s="19"/>
      <c r="U1280" s="19"/>
      <c r="V1280" s="19"/>
      <c r="W1280" s="19"/>
      <c r="X1280" s="19"/>
      <c r="Y1280" s="19"/>
      <c r="Z1280" s="19"/>
      <c r="AA1280" s="19"/>
      <c r="AB1280" s="19"/>
      <c r="AC1280" s="19"/>
      <c r="AD1280" s="19"/>
      <c r="AE1280" s="19"/>
      <c r="AF1280" s="19"/>
      <c r="AG1280" s="19"/>
      <c r="AH1280" s="19"/>
      <c r="AI1280" s="19"/>
      <c r="AJ1280" s="19"/>
      <c r="AK1280" s="19"/>
      <c r="AL1280" s="19"/>
      <c r="AM1280" s="19"/>
      <c r="AN1280" s="19"/>
      <c r="AO1280" s="19"/>
      <c r="AP1280" s="19"/>
      <c r="AQ1280" s="19"/>
      <c r="AR1280" s="19"/>
      <c r="AS1280" s="19"/>
      <c r="AT1280" s="19"/>
      <c r="AU1280" s="19"/>
      <c r="AV1280" s="19"/>
      <c r="AW1280" s="19"/>
      <c r="AX1280" s="19"/>
      <c r="GA1280" s="54"/>
    </row>
    <row r="1281" spans="1:183" s="18" customFormat="1">
      <c r="A1281" s="51"/>
      <c r="B1281" s="52"/>
      <c r="C1281" s="52"/>
      <c r="D1281" s="52"/>
      <c r="E1281" s="53"/>
      <c r="F1281" s="52"/>
      <c r="G1281" s="52"/>
      <c r="H1281" s="52"/>
      <c r="I1281" s="53"/>
      <c r="J1281" s="52"/>
      <c r="K1281" s="52"/>
      <c r="L1281" s="52"/>
      <c r="M1281" s="52"/>
      <c r="N1281" s="19"/>
      <c r="O1281" s="19"/>
      <c r="P1281" s="19"/>
      <c r="Q1281" s="19"/>
      <c r="R1281" s="19"/>
      <c r="S1281" s="19"/>
      <c r="T1281" s="19"/>
      <c r="U1281" s="19"/>
      <c r="V1281" s="19"/>
      <c r="W1281" s="19"/>
      <c r="X1281" s="19"/>
      <c r="Y1281" s="19"/>
      <c r="Z1281" s="19"/>
      <c r="AA1281" s="19"/>
      <c r="AB1281" s="19"/>
      <c r="AC1281" s="19"/>
      <c r="AD1281" s="19"/>
      <c r="AE1281" s="19"/>
      <c r="AF1281" s="19"/>
      <c r="AG1281" s="19"/>
      <c r="AH1281" s="19"/>
      <c r="AI1281" s="19"/>
      <c r="AJ1281" s="19"/>
      <c r="AK1281" s="19"/>
      <c r="AL1281" s="19"/>
      <c r="AM1281" s="19"/>
      <c r="AN1281" s="19"/>
      <c r="AO1281" s="19"/>
      <c r="AP1281" s="19"/>
      <c r="AQ1281" s="19"/>
      <c r="AR1281" s="19"/>
      <c r="AS1281" s="19"/>
      <c r="AT1281" s="19"/>
      <c r="AU1281" s="19"/>
      <c r="AV1281" s="19"/>
      <c r="AW1281" s="19"/>
      <c r="AX1281" s="19"/>
      <c r="GA1281" s="54"/>
    </row>
    <row r="1282" spans="1:183" s="18" customFormat="1">
      <c r="A1282" s="51"/>
      <c r="B1282" s="52"/>
      <c r="C1282" s="52"/>
      <c r="D1282" s="52"/>
      <c r="E1282" s="53"/>
      <c r="F1282" s="52"/>
      <c r="G1282" s="52"/>
      <c r="H1282" s="52"/>
      <c r="I1282" s="53"/>
      <c r="J1282" s="52"/>
      <c r="K1282" s="52"/>
      <c r="L1282" s="52"/>
      <c r="M1282" s="52"/>
      <c r="N1282" s="19"/>
      <c r="O1282" s="19"/>
      <c r="P1282" s="19"/>
      <c r="Q1282" s="19"/>
      <c r="R1282" s="19"/>
      <c r="S1282" s="19"/>
      <c r="T1282" s="19"/>
      <c r="U1282" s="19"/>
      <c r="V1282" s="19"/>
      <c r="W1282" s="19"/>
      <c r="X1282" s="19"/>
      <c r="Y1282" s="19"/>
      <c r="Z1282" s="19"/>
      <c r="AA1282" s="19"/>
      <c r="AB1282" s="19"/>
      <c r="AC1282" s="19"/>
      <c r="AD1282" s="19"/>
      <c r="AE1282" s="19"/>
      <c r="AF1282" s="19"/>
      <c r="AG1282" s="19"/>
      <c r="AH1282" s="19"/>
      <c r="AI1282" s="19"/>
      <c r="AJ1282" s="19"/>
      <c r="AK1282" s="19"/>
      <c r="AL1282" s="19"/>
      <c r="AM1282" s="19"/>
      <c r="AN1282" s="19"/>
      <c r="AO1282" s="19"/>
      <c r="AP1282" s="19"/>
      <c r="AQ1282" s="19"/>
      <c r="AR1282" s="19"/>
      <c r="AS1282" s="19"/>
      <c r="AT1282" s="19"/>
      <c r="AU1282" s="19"/>
      <c r="AV1282" s="19"/>
      <c r="AW1282" s="19"/>
      <c r="AX1282" s="19"/>
      <c r="GA1282" s="54"/>
    </row>
    <row r="1283" spans="1:183" s="18" customFormat="1">
      <c r="A1283" s="51"/>
      <c r="B1283" s="52"/>
      <c r="C1283" s="52"/>
      <c r="D1283" s="52"/>
      <c r="E1283" s="53"/>
      <c r="F1283" s="52"/>
      <c r="G1283" s="52"/>
      <c r="H1283" s="52"/>
      <c r="I1283" s="53"/>
      <c r="J1283" s="52"/>
      <c r="K1283" s="52"/>
      <c r="L1283" s="52"/>
      <c r="M1283" s="52"/>
      <c r="N1283" s="19"/>
      <c r="O1283" s="19"/>
      <c r="P1283" s="19"/>
      <c r="Q1283" s="19"/>
      <c r="R1283" s="19"/>
      <c r="S1283" s="19"/>
      <c r="T1283" s="19"/>
      <c r="U1283" s="19"/>
      <c r="V1283" s="19"/>
      <c r="W1283" s="19"/>
      <c r="X1283" s="19"/>
      <c r="Y1283" s="19"/>
      <c r="Z1283" s="19"/>
      <c r="AA1283" s="19"/>
      <c r="AB1283" s="19"/>
      <c r="AC1283" s="19"/>
      <c r="AD1283" s="19"/>
      <c r="AE1283" s="19"/>
      <c r="AF1283" s="19"/>
      <c r="AG1283" s="19"/>
      <c r="AH1283" s="19"/>
      <c r="AI1283" s="19"/>
      <c r="AJ1283" s="19"/>
      <c r="AK1283" s="19"/>
      <c r="AL1283" s="19"/>
      <c r="AM1283" s="19"/>
      <c r="AN1283" s="19"/>
      <c r="AO1283" s="19"/>
      <c r="AP1283" s="19"/>
      <c r="AQ1283" s="19"/>
      <c r="AR1283" s="19"/>
      <c r="AS1283" s="19"/>
      <c r="AT1283" s="19"/>
      <c r="AU1283" s="19"/>
      <c r="AV1283" s="19"/>
      <c r="AW1283" s="19"/>
      <c r="AX1283" s="19"/>
      <c r="GA1283" s="54"/>
    </row>
    <row r="1284" spans="1:183" s="18" customFormat="1">
      <c r="A1284" s="51"/>
      <c r="B1284" s="52"/>
      <c r="C1284" s="52"/>
      <c r="D1284" s="52"/>
      <c r="E1284" s="53"/>
      <c r="F1284" s="52"/>
      <c r="G1284" s="52"/>
      <c r="H1284" s="52"/>
      <c r="I1284" s="53"/>
      <c r="J1284" s="52"/>
      <c r="K1284" s="52"/>
      <c r="L1284" s="52"/>
      <c r="M1284" s="52"/>
      <c r="N1284" s="19"/>
      <c r="O1284" s="19"/>
      <c r="P1284" s="19"/>
      <c r="Q1284" s="19"/>
      <c r="R1284" s="19"/>
      <c r="S1284" s="19"/>
      <c r="T1284" s="19"/>
      <c r="U1284" s="19"/>
      <c r="V1284" s="19"/>
      <c r="W1284" s="19"/>
      <c r="X1284" s="19"/>
      <c r="Y1284" s="19"/>
      <c r="Z1284" s="19"/>
      <c r="AA1284" s="19"/>
      <c r="AB1284" s="19"/>
      <c r="AC1284" s="19"/>
      <c r="AD1284" s="19"/>
      <c r="AE1284" s="19"/>
      <c r="AF1284" s="19"/>
      <c r="AG1284" s="19"/>
      <c r="AH1284" s="19"/>
      <c r="AI1284" s="19"/>
      <c r="AJ1284" s="19"/>
      <c r="AK1284" s="19"/>
      <c r="AL1284" s="19"/>
      <c r="AM1284" s="19"/>
      <c r="AN1284" s="19"/>
      <c r="AO1284" s="19"/>
      <c r="AP1284" s="19"/>
      <c r="AQ1284" s="19"/>
      <c r="AR1284" s="19"/>
      <c r="AS1284" s="19"/>
      <c r="AT1284" s="19"/>
      <c r="AU1284" s="19"/>
      <c r="AV1284" s="19"/>
      <c r="AW1284" s="19"/>
      <c r="AX1284" s="19"/>
      <c r="GA1284" s="54"/>
    </row>
    <row r="1285" spans="1:183" s="18" customFormat="1">
      <c r="A1285" s="51"/>
      <c r="B1285" s="52"/>
      <c r="C1285" s="52"/>
      <c r="D1285" s="52"/>
      <c r="E1285" s="53"/>
      <c r="F1285" s="52"/>
      <c r="G1285" s="52"/>
      <c r="H1285" s="52"/>
      <c r="I1285" s="53"/>
      <c r="J1285" s="52"/>
      <c r="K1285" s="52"/>
      <c r="L1285" s="52"/>
      <c r="M1285" s="52"/>
      <c r="N1285" s="19"/>
      <c r="O1285" s="19"/>
      <c r="P1285" s="19"/>
      <c r="Q1285" s="19"/>
      <c r="R1285" s="19"/>
      <c r="S1285" s="19"/>
      <c r="T1285" s="19"/>
      <c r="U1285" s="19"/>
      <c r="V1285" s="19"/>
      <c r="W1285" s="19"/>
      <c r="X1285" s="19"/>
      <c r="Y1285" s="19"/>
      <c r="Z1285" s="19"/>
      <c r="AA1285" s="19"/>
      <c r="AB1285" s="19"/>
      <c r="AC1285" s="19"/>
      <c r="AD1285" s="19"/>
      <c r="AE1285" s="19"/>
      <c r="AF1285" s="19"/>
      <c r="AG1285" s="19"/>
      <c r="AH1285" s="19"/>
      <c r="AI1285" s="19"/>
      <c r="AJ1285" s="19"/>
      <c r="AK1285" s="19"/>
      <c r="AL1285" s="19"/>
      <c r="AM1285" s="19"/>
      <c r="AN1285" s="19"/>
      <c r="AO1285" s="19"/>
      <c r="AP1285" s="19"/>
      <c r="AQ1285" s="19"/>
      <c r="AR1285" s="19"/>
      <c r="AS1285" s="19"/>
      <c r="AT1285" s="19"/>
      <c r="AU1285" s="19"/>
      <c r="AV1285" s="19"/>
      <c r="AW1285" s="19"/>
      <c r="AX1285" s="19"/>
      <c r="GA1285" s="54"/>
    </row>
    <row r="1286" spans="1:183" s="18" customFormat="1">
      <c r="A1286" s="51"/>
      <c r="B1286" s="52"/>
      <c r="C1286" s="52"/>
      <c r="D1286" s="52"/>
      <c r="E1286" s="53"/>
      <c r="F1286" s="52"/>
      <c r="G1286" s="52"/>
      <c r="H1286" s="52"/>
      <c r="I1286" s="53"/>
      <c r="J1286" s="52"/>
      <c r="K1286" s="52"/>
      <c r="L1286" s="52"/>
      <c r="M1286" s="52"/>
      <c r="N1286" s="19"/>
      <c r="O1286" s="19"/>
      <c r="P1286" s="19"/>
      <c r="Q1286" s="19"/>
      <c r="R1286" s="19"/>
      <c r="S1286" s="19"/>
      <c r="T1286" s="19"/>
      <c r="U1286" s="19"/>
      <c r="V1286" s="19"/>
      <c r="W1286" s="19"/>
      <c r="X1286" s="19"/>
      <c r="Y1286" s="19"/>
      <c r="Z1286" s="19"/>
      <c r="AA1286" s="19"/>
      <c r="AB1286" s="19"/>
      <c r="AC1286" s="19"/>
      <c r="AD1286" s="19"/>
      <c r="AE1286" s="19"/>
      <c r="AF1286" s="19"/>
      <c r="AG1286" s="19"/>
      <c r="AH1286" s="19"/>
      <c r="AI1286" s="19"/>
      <c r="AJ1286" s="19"/>
      <c r="AK1286" s="19"/>
      <c r="AL1286" s="19"/>
      <c r="AM1286" s="19"/>
      <c r="AN1286" s="19"/>
      <c r="AO1286" s="19"/>
      <c r="AP1286" s="19"/>
      <c r="AQ1286" s="19"/>
      <c r="AR1286" s="19"/>
      <c r="AS1286" s="19"/>
      <c r="AT1286" s="19"/>
      <c r="AU1286" s="19"/>
      <c r="AV1286" s="19"/>
      <c r="AW1286" s="19"/>
      <c r="AX1286" s="19"/>
      <c r="GA1286" s="54"/>
    </row>
    <row r="1287" spans="1:183" s="18" customFormat="1">
      <c r="A1287" s="51"/>
      <c r="B1287" s="52"/>
      <c r="C1287" s="52"/>
      <c r="D1287" s="52"/>
      <c r="E1287" s="53"/>
      <c r="F1287" s="52"/>
      <c r="G1287" s="52"/>
      <c r="H1287" s="52"/>
      <c r="I1287" s="53"/>
      <c r="J1287" s="52"/>
      <c r="K1287" s="52"/>
      <c r="L1287" s="52"/>
      <c r="M1287" s="52"/>
      <c r="N1287" s="19"/>
      <c r="O1287" s="19"/>
      <c r="P1287" s="19"/>
      <c r="Q1287" s="19"/>
      <c r="R1287" s="19"/>
      <c r="S1287" s="19"/>
      <c r="T1287" s="19"/>
      <c r="U1287" s="19"/>
      <c r="V1287" s="19"/>
      <c r="W1287" s="19"/>
      <c r="X1287" s="19"/>
      <c r="Y1287" s="19"/>
      <c r="Z1287" s="19"/>
      <c r="AA1287" s="19"/>
      <c r="AB1287" s="19"/>
      <c r="AC1287" s="19"/>
      <c r="AD1287" s="19"/>
      <c r="AE1287" s="19"/>
      <c r="AF1287" s="19"/>
      <c r="AG1287" s="19"/>
      <c r="AH1287" s="19"/>
      <c r="AI1287" s="19"/>
      <c r="AJ1287" s="19"/>
      <c r="AK1287" s="19"/>
      <c r="AL1287" s="19"/>
      <c r="AM1287" s="19"/>
      <c r="AN1287" s="19"/>
      <c r="AO1287" s="19"/>
      <c r="AP1287" s="19"/>
      <c r="AQ1287" s="19"/>
      <c r="AR1287" s="19"/>
      <c r="AS1287" s="19"/>
      <c r="AT1287" s="19"/>
      <c r="AU1287" s="19"/>
      <c r="AV1287" s="19"/>
      <c r="AW1287" s="19"/>
      <c r="AX1287" s="19"/>
      <c r="GA1287" s="54"/>
    </row>
    <row r="1288" spans="1:183" s="18" customFormat="1">
      <c r="A1288" s="51"/>
      <c r="B1288" s="52"/>
      <c r="C1288" s="52"/>
      <c r="D1288" s="52"/>
      <c r="E1288" s="53"/>
      <c r="F1288" s="52"/>
      <c r="G1288" s="52"/>
      <c r="H1288" s="52"/>
      <c r="I1288" s="53"/>
      <c r="J1288" s="52"/>
      <c r="K1288" s="52"/>
      <c r="L1288" s="52"/>
      <c r="M1288" s="52"/>
      <c r="N1288" s="19"/>
      <c r="O1288" s="19"/>
      <c r="P1288" s="19"/>
      <c r="Q1288" s="19"/>
      <c r="R1288" s="19"/>
      <c r="S1288" s="19"/>
      <c r="T1288" s="19"/>
      <c r="U1288" s="19"/>
      <c r="V1288" s="19"/>
      <c r="W1288" s="19"/>
      <c r="X1288" s="19"/>
      <c r="Y1288" s="19"/>
      <c r="Z1288" s="19"/>
      <c r="AA1288" s="19"/>
      <c r="AB1288" s="19"/>
      <c r="AC1288" s="19"/>
      <c r="AD1288" s="19"/>
      <c r="AE1288" s="19"/>
      <c r="AF1288" s="19"/>
      <c r="AG1288" s="19"/>
      <c r="AH1288" s="19"/>
      <c r="AI1288" s="19"/>
      <c r="AJ1288" s="19"/>
      <c r="AK1288" s="19"/>
      <c r="AL1288" s="19"/>
      <c r="AM1288" s="19"/>
      <c r="AN1288" s="19"/>
      <c r="AO1288" s="19"/>
      <c r="AP1288" s="19"/>
      <c r="AQ1288" s="19"/>
      <c r="AR1288" s="19"/>
      <c r="AS1288" s="19"/>
      <c r="AT1288" s="19"/>
      <c r="AU1288" s="19"/>
      <c r="AV1288" s="19"/>
      <c r="AW1288" s="19"/>
      <c r="AX1288" s="19"/>
      <c r="GA1288" s="54"/>
    </row>
    <row r="1289" spans="1:183" s="18" customFormat="1">
      <c r="A1289" s="51"/>
      <c r="B1289" s="52"/>
      <c r="C1289" s="52"/>
      <c r="D1289" s="52"/>
      <c r="E1289" s="53"/>
      <c r="F1289" s="52"/>
      <c r="G1289" s="52"/>
      <c r="H1289" s="52"/>
      <c r="I1289" s="53"/>
      <c r="J1289" s="52"/>
      <c r="K1289" s="52"/>
      <c r="L1289" s="52"/>
      <c r="M1289" s="52"/>
      <c r="N1289" s="19"/>
      <c r="O1289" s="19"/>
      <c r="P1289" s="19"/>
      <c r="Q1289" s="19"/>
      <c r="R1289" s="19"/>
      <c r="S1289" s="19"/>
      <c r="T1289" s="19"/>
      <c r="U1289" s="19"/>
      <c r="V1289" s="19"/>
      <c r="W1289" s="19"/>
      <c r="X1289" s="19"/>
      <c r="Y1289" s="19"/>
      <c r="Z1289" s="19"/>
      <c r="AA1289" s="19"/>
      <c r="AB1289" s="19"/>
      <c r="AC1289" s="19"/>
      <c r="AD1289" s="19"/>
      <c r="AE1289" s="19"/>
      <c r="AF1289" s="19"/>
      <c r="AG1289" s="19"/>
      <c r="AH1289" s="19"/>
      <c r="AI1289" s="19"/>
      <c r="AJ1289" s="19"/>
      <c r="AK1289" s="19"/>
      <c r="AL1289" s="19"/>
      <c r="AM1289" s="19"/>
      <c r="AN1289" s="19"/>
      <c r="AO1289" s="19"/>
      <c r="AP1289" s="19"/>
      <c r="AQ1289" s="19"/>
      <c r="AR1289" s="19"/>
      <c r="AS1289" s="19"/>
      <c r="AT1289" s="19"/>
      <c r="AU1289" s="19"/>
      <c r="AV1289" s="19"/>
      <c r="AW1289" s="19"/>
      <c r="AX1289" s="19"/>
      <c r="GA1289" s="54"/>
    </row>
    <row r="1290" spans="1:183" s="18" customFormat="1">
      <c r="A1290" s="51"/>
      <c r="B1290" s="52"/>
      <c r="C1290" s="52"/>
      <c r="D1290" s="52"/>
      <c r="E1290" s="53"/>
      <c r="F1290" s="52"/>
      <c r="G1290" s="52"/>
      <c r="H1290" s="52"/>
      <c r="I1290" s="53"/>
      <c r="J1290" s="52"/>
      <c r="K1290" s="52"/>
      <c r="L1290" s="52"/>
      <c r="M1290" s="52"/>
      <c r="N1290" s="19"/>
      <c r="O1290" s="19"/>
      <c r="P1290" s="19"/>
      <c r="Q1290" s="19"/>
      <c r="R1290" s="19"/>
      <c r="S1290" s="19"/>
      <c r="T1290" s="19"/>
      <c r="U1290" s="19"/>
      <c r="V1290" s="19"/>
      <c r="W1290" s="19"/>
      <c r="X1290" s="19"/>
      <c r="Y1290" s="19"/>
      <c r="Z1290" s="19"/>
      <c r="AA1290" s="19"/>
      <c r="AB1290" s="19"/>
      <c r="AC1290" s="19"/>
      <c r="AD1290" s="19"/>
      <c r="AE1290" s="19"/>
      <c r="AF1290" s="19"/>
      <c r="AG1290" s="19"/>
      <c r="AH1290" s="19"/>
      <c r="AI1290" s="19"/>
      <c r="AJ1290" s="19"/>
      <c r="AK1290" s="19"/>
      <c r="AL1290" s="19"/>
      <c r="AM1290" s="19"/>
      <c r="AN1290" s="19"/>
      <c r="AO1290" s="19"/>
      <c r="AP1290" s="19"/>
      <c r="AQ1290" s="19"/>
      <c r="AR1290" s="19"/>
      <c r="AS1290" s="19"/>
      <c r="AT1290" s="19"/>
      <c r="AU1290" s="19"/>
      <c r="AV1290" s="19"/>
      <c r="AW1290" s="19"/>
      <c r="AX1290" s="19"/>
      <c r="GA1290" s="54"/>
    </row>
    <row r="1291" spans="1:183" s="18" customFormat="1">
      <c r="A1291" s="51"/>
      <c r="B1291" s="52"/>
      <c r="C1291" s="52"/>
      <c r="D1291" s="52"/>
      <c r="E1291" s="53"/>
      <c r="F1291" s="52"/>
      <c r="G1291" s="52"/>
      <c r="H1291" s="52"/>
      <c r="I1291" s="53"/>
      <c r="J1291" s="52"/>
      <c r="K1291" s="52"/>
      <c r="L1291" s="52"/>
      <c r="M1291" s="52"/>
      <c r="N1291" s="19"/>
      <c r="O1291" s="19"/>
      <c r="P1291" s="19"/>
      <c r="Q1291" s="19"/>
      <c r="R1291" s="19"/>
      <c r="S1291" s="19"/>
      <c r="T1291" s="19"/>
      <c r="U1291" s="19"/>
      <c r="V1291" s="19"/>
      <c r="W1291" s="19"/>
      <c r="X1291" s="19"/>
      <c r="Y1291" s="19"/>
      <c r="Z1291" s="19"/>
      <c r="AA1291" s="19"/>
      <c r="AB1291" s="19"/>
      <c r="AC1291" s="19"/>
      <c r="AD1291" s="19"/>
      <c r="AE1291" s="19"/>
      <c r="AF1291" s="19"/>
      <c r="AG1291" s="19"/>
      <c r="AH1291" s="19"/>
      <c r="AI1291" s="19"/>
      <c r="AJ1291" s="19"/>
      <c r="AK1291" s="19"/>
      <c r="AL1291" s="19"/>
      <c r="AM1291" s="19"/>
      <c r="AN1291" s="19"/>
      <c r="AO1291" s="19"/>
      <c r="AP1291" s="19"/>
      <c r="AQ1291" s="19"/>
      <c r="AR1291" s="19"/>
      <c r="AS1291" s="19"/>
      <c r="AT1291" s="19"/>
      <c r="AU1291" s="19"/>
      <c r="AV1291" s="19"/>
      <c r="AW1291" s="19"/>
      <c r="AX1291" s="19"/>
      <c r="GA1291" s="54"/>
    </row>
    <row r="1292" spans="1:183" s="18" customFormat="1">
      <c r="A1292" s="51"/>
      <c r="B1292" s="52"/>
      <c r="C1292" s="52"/>
      <c r="D1292" s="52"/>
      <c r="E1292" s="53"/>
      <c r="F1292" s="52"/>
      <c r="G1292" s="52"/>
      <c r="H1292" s="52"/>
      <c r="I1292" s="53"/>
      <c r="J1292" s="52"/>
      <c r="K1292" s="52"/>
      <c r="L1292" s="52"/>
      <c r="M1292" s="52"/>
      <c r="N1292" s="19"/>
      <c r="O1292" s="19"/>
      <c r="P1292" s="19"/>
      <c r="Q1292" s="19"/>
      <c r="R1292" s="19"/>
      <c r="S1292" s="19"/>
      <c r="T1292" s="19"/>
      <c r="U1292" s="19"/>
      <c r="V1292" s="19"/>
      <c r="W1292" s="19"/>
      <c r="X1292" s="19"/>
      <c r="Y1292" s="19"/>
      <c r="Z1292" s="19"/>
      <c r="AA1292" s="19"/>
      <c r="AB1292" s="19"/>
      <c r="AC1292" s="19"/>
      <c r="AD1292" s="19"/>
      <c r="AE1292" s="19"/>
      <c r="AF1292" s="19"/>
      <c r="AG1292" s="19"/>
      <c r="AH1292" s="19"/>
      <c r="AI1292" s="19"/>
      <c r="AJ1292" s="19"/>
      <c r="AK1292" s="19"/>
      <c r="AL1292" s="19"/>
      <c r="AM1292" s="19"/>
      <c r="AN1292" s="19"/>
      <c r="AO1292" s="19"/>
      <c r="AP1292" s="19"/>
      <c r="AQ1292" s="19"/>
      <c r="AR1292" s="19"/>
      <c r="AS1292" s="19"/>
      <c r="AT1292" s="19"/>
      <c r="AU1292" s="19"/>
      <c r="AV1292" s="19"/>
      <c r="AW1292" s="19"/>
      <c r="AX1292" s="19"/>
      <c r="GA1292" s="54"/>
    </row>
    <row r="1293" spans="1:183" s="18" customFormat="1">
      <c r="A1293" s="51"/>
      <c r="B1293" s="52"/>
      <c r="C1293" s="52"/>
      <c r="D1293" s="52"/>
      <c r="E1293" s="53"/>
      <c r="F1293" s="52"/>
      <c r="G1293" s="52"/>
      <c r="H1293" s="52"/>
      <c r="I1293" s="53"/>
      <c r="J1293" s="52"/>
      <c r="K1293" s="52"/>
      <c r="L1293" s="52"/>
      <c r="M1293" s="52"/>
      <c r="N1293" s="19"/>
      <c r="O1293" s="19"/>
      <c r="P1293" s="19"/>
      <c r="Q1293" s="19"/>
      <c r="R1293" s="19"/>
      <c r="S1293" s="19"/>
      <c r="T1293" s="19"/>
      <c r="U1293" s="19"/>
      <c r="V1293" s="19"/>
      <c r="W1293" s="19"/>
      <c r="X1293" s="19"/>
      <c r="Y1293" s="19"/>
      <c r="Z1293" s="19"/>
      <c r="AA1293" s="19"/>
      <c r="AB1293" s="19"/>
      <c r="AC1293" s="19"/>
      <c r="AD1293" s="19"/>
      <c r="AE1293" s="19"/>
      <c r="AF1293" s="19"/>
      <c r="AG1293" s="19"/>
      <c r="AH1293" s="19"/>
      <c r="AI1293" s="19"/>
      <c r="AJ1293" s="19"/>
      <c r="AK1293" s="19"/>
      <c r="AL1293" s="19"/>
      <c r="AM1293" s="19"/>
      <c r="AN1293" s="19"/>
      <c r="AO1293" s="19"/>
      <c r="AP1293" s="19"/>
      <c r="AQ1293" s="19"/>
      <c r="AR1293" s="19"/>
      <c r="AS1293" s="19"/>
      <c r="AT1293" s="19"/>
      <c r="AU1293" s="19"/>
      <c r="AV1293" s="19"/>
      <c r="AW1293" s="19"/>
      <c r="AX1293" s="19"/>
      <c r="GA1293" s="54"/>
    </row>
    <row r="1294" spans="1:183" s="18" customFormat="1">
      <c r="A1294" s="51"/>
      <c r="B1294" s="52"/>
      <c r="C1294" s="52"/>
      <c r="D1294" s="52"/>
      <c r="E1294" s="53"/>
      <c r="F1294" s="52"/>
      <c r="G1294" s="52"/>
      <c r="H1294" s="52"/>
      <c r="I1294" s="53"/>
      <c r="J1294" s="52"/>
      <c r="K1294" s="52"/>
      <c r="L1294" s="52"/>
      <c r="M1294" s="52"/>
      <c r="N1294" s="19"/>
      <c r="O1294" s="19"/>
      <c r="P1294" s="19"/>
      <c r="Q1294" s="19"/>
      <c r="R1294" s="19"/>
      <c r="S1294" s="19"/>
      <c r="T1294" s="19"/>
      <c r="U1294" s="19"/>
      <c r="V1294" s="19"/>
      <c r="W1294" s="19"/>
      <c r="X1294" s="19"/>
      <c r="Y1294" s="19"/>
      <c r="Z1294" s="19"/>
      <c r="AA1294" s="19"/>
      <c r="AB1294" s="19"/>
      <c r="AC1294" s="19"/>
      <c r="AD1294" s="19"/>
      <c r="AE1294" s="19"/>
      <c r="AF1294" s="19"/>
      <c r="AG1294" s="19"/>
      <c r="AH1294" s="19"/>
      <c r="AI1294" s="19"/>
      <c r="AJ1294" s="19"/>
      <c r="AK1294" s="19"/>
      <c r="AL1294" s="19"/>
      <c r="AM1294" s="19"/>
      <c r="AN1294" s="19"/>
      <c r="AO1294" s="19"/>
      <c r="AP1294" s="19"/>
      <c r="AQ1294" s="19"/>
      <c r="AR1294" s="19"/>
      <c r="AS1294" s="19"/>
      <c r="AT1294" s="19"/>
      <c r="AU1294" s="19"/>
      <c r="AV1294" s="19"/>
      <c r="AW1294" s="19"/>
      <c r="AX1294" s="19"/>
      <c r="GA1294" s="54"/>
    </row>
    <row r="1295" spans="1:183" s="18" customFormat="1">
      <c r="A1295" s="51"/>
      <c r="B1295" s="52"/>
      <c r="C1295" s="52"/>
      <c r="D1295" s="52"/>
      <c r="E1295" s="53"/>
      <c r="F1295" s="52"/>
      <c r="G1295" s="52"/>
      <c r="H1295" s="52"/>
      <c r="I1295" s="53"/>
      <c r="J1295" s="52"/>
      <c r="K1295" s="52"/>
      <c r="L1295" s="52"/>
      <c r="M1295" s="52"/>
      <c r="N1295" s="19"/>
      <c r="O1295" s="19"/>
      <c r="P1295" s="19"/>
      <c r="Q1295" s="19"/>
      <c r="R1295" s="19"/>
      <c r="S1295" s="19"/>
      <c r="T1295" s="19"/>
      <c r="U1295" s="19"/>
      <c r="V1295" s="19"/>
      <c r="W1295" s="19"/>
      <c r="X1295" s="19"/>
      <c r="Y1295" s="19"/>
      <c r="Z1295" s="19"/>
      <c r="AA1295" s="19"/>
      <c r="AB1295" s="19"/>
      <c r="AC1295" s="19"/>
      <c r="AD1295" s="19"/>
      <c r="AE1295" s="19"/>
      <c r="AF1295" s="19"/>
      <c r="AG1295" s="19"/>
      <c r="AH1295" s="19"/>
      <c r="AI1295" s="19"/>
      <c r="AJ1295" s="19"/>
      <c r="AK1295" s="19"/>
      <c r="AL1295" s="19"/>
      <c r="AM1295" s="19"/>
      <c r="AN1295" s="19"/>
      <c r="AO1295" s="19"/>
      <c r="AP1295" s="19"/>
      <c r="AQ1295" s="19"/>
      <c r="AR1295" s="19"/>
      <c r="AS1295" s="19"/>
      <c r="AT1295" s="19"/>
      <c r="AU1295" s="19"/>
      <c r="AV1295" s="19"/>
      <c r="AW1295" s="19"/>
      <c r="AX1295" s="19"/>
      <c r="GA1295" s="54"/>
    </row>
    <row r="1296" spans="1:183" s="18" customFormat="1">
      <c r="A1296" s="51"/>
      <c r="B1296" s="52"/>
      <c r="C1296" s="52"/>
      <c r="D1296" s="52"/>
      <c r="E1296" s="53"/>
      <c r="F1296" s="52"/>
      <c r="G1296" s="52"/>
      <c r="H1296" s="52"/>
      <c r="I1296" s="53"/>
      <c r="J1296" s="52"/>
      <c r="K1296" s="52"/>
      <c r="L1296" s="52"/>
      <c r="M1296" s="52"/>
      <c r="N1296" s="19"/>
      <c r="O1296" s="19"/>
      <c r="P1296" s="19"/>
      <c r="Q1296" s="19"/>
      <c r="R1296" s="19"/>
      <c r="S1296" s="19"/>
      <c r="T1296" s="19"/>
      <c r="U1296" s="19"/>
      <c r="V1296" s="19"/>
      <c r="W1296" s="19"/>
      <c r="X1296" s="19"/>
      <c r="Y1296" s="19"/>
      <c r="Z1296" s="19"/>
      <c r="AA1296" s="19"/>
      <c r="AB1296" s="19"/>
      <c r="AC1296" s="19"/>
      <c r="AD1296" s="19"/>
      <c r="AE1296" s="19"/>
      <c r="AF1296" s="19"/>
      <c r="AG1296" s="19"/>
      <c r="AH1296" s="19"/>
      <c r="AI1296" s="19"/>
      <c r="AJ1296" s="19"/>
      <c r="AK1296" s="19"/>
      <c r="AL1296" s="19"/>
      <c r="AM1296" s="19"/>
      <c r="AN1296" s="19"/>
      <c r="AO1296" s="19"/>
      <c r="AP1296" s="19"/>
      <c r="AQ1296" s="19"/>
      <c r="AR1296" s="19"/>
      <c r="AS1296" s="19"/>
      <c r="AT1296" s="19"/>
      <c r="AU1296" s="19"/>
      <c r="AV1296" s="19"/>
      <c r="AW1296" s="19"/>
      <c r="AX1296" s="19"/>
      <c r="GA1296" s="54"/>
    </row>
    <row r="1297" spans="1:183" s="18" customFormat="1">
      <c r="A1297" s="51"/>
      <c r="B1297" s="52"/>
      <c r="C1297" s="52"/>
      <c r="D1297" s="52"/>
      <c r="E1297" s="53"/>
      <c r="F1297" s="52"/>
      <c r="G1297" s="52"/>
      <c r="H1297" s="52"/>
      <c r="I1297" s="53"/>
      <c r="J1297" s="52"/>
      <c r="K1297" s="52"/>
      <c r="L1297" s="52"/>
      <c r="M1297" s="52"/>
      <c r="N1297" s="19"/>
      <c r="O1297" s="19"/>
      <c r="P1297" s="19"/>
      <c r="Q1297" s="19"/>
      <c r="R1297" s="19"/>
      <c r="S1297" s="19"/>
      <c r="T1297" s="19"/>
      <c r="U1297" s="19"/>
      <c r="V1297" s="19"/>
      <c r="W1297" s="19"/>
      <c r="X1297" s="19"/>
      <c r="Y1297" s="19"/>
      <c r="Z1297" s="19"/>
      <c r="AA1297" s="19"/>
      <c r="AB1297" s="19"/>
      <c r="AC1297" s="19"/>
      <c r="AD1297" s="19"/>
      <c r="AE1297" s="19"/>
      <c r="AF1297" s="19"/>
      <c r="AG1297" s="19"/>
      <c r="AH1297" s="19"/>
      <c r="AI1297" s="19"/>
      <c r="AJ1297" s="19"/>
      <c r="AK1297" s="19"/>
      <c r="AL1297" s="19"/>
      <c r="AM1297" s="19"/>
      <c r="AN1297" s="19"/>
      <c r="AO1297" s="19"/>
      <c r="AP1297" s="19"/>
      <c r="AQ1297" s="19"/>
      <c r="AR1297" s="19"/>
      <c r="AS1297" s="19"/>
      <c r="AT1297" s="19"/>
      <c r="AU1297" s="19"/>
      <c r="AV1297" s="19"/>
      <c r="AW1297" s="19"/>
      <c r="AX1297" s="19"/>
      <c r="GA1297" s="54"/>
    </row>
    <row r="1298" spans="1:183" s="18" customFormat="1">
      <c r="A1298" s="51"/>
      <c r="B1298" s="52"/>
      <c r="C1298" s="52"/>
      <c r="D1298" s="52"/>
      <c r="E1298" s="53"/>
      <c r="F1298" s="52"/>
      <c r="G1298" s="52"/>
      <c r="H1298" s="52"/>
      <c r="I1298" s="53"/>
      <c r="J1298" s="52"/>
      <c r="K1298" s="52"/>
      <c r="L1298" s="52"/>
      <c r="M1298" s="52"/>
      <c r="N1298" s="19"/>
      <c r="O1298" s="19"/>
      <c r="P1298" s="19"/>
      <c r="Q1298" s="19"/>
      <c r="R1298" s="19"/>
      <c r="S1298" s="19"/>
      <c r="T1298" s="19"/>
      <c r="U1298" s="19"/>
      <c r="V1298" s="19"/>
      <c r="W1298" s="19"/>
      <c r="X1298" s="19"/>
      <c r="Y1298" s="19"/>
      <c r="Z1298" s="19"/>
      <c r="AA1298" s="19"/>
      <c r="AB1298" s="19"/>
      <c r="AC1298" s="19"/>
      <c r="AD1298" s="19"/>
      <c r="AE1298" s="19"/>
      <c r="AF1298" s="19"/>
      <c r="AG1298" s="19"/>
      <c r="AH1298" s="19"/>
      <c r="AI1298" s="19"/>
      <c r="AJ1298" s="19"/>
      <c r="AK1298" s="19"/>
      <c r="AL1298" s="19"/>
      <c r="AM1298" s="19"/>
      <c r="AN1298" s="19"/>
      <c r="AO1298" s="19"/>
      <c r="AP1298" s="19"/>
      <c r="AQ1298" s="19"/>
      <c r="AR1298" s="19"/>
      <c r="AS1298" s="19"/>
      <c r="AT1298" s="19"/>
      <c r="AU1298" s="19"/>
      <c r="AV1298" s="19"/>
      <c r="AW1298" s="19"/>
      <c r="AX1298" s="19"/>
      <c r="GA1298" s="54"/>
    </row>
    <row r="1299" spans="1:183" s="18" customFormat="1">
      <c r="A1299" s="51"/>
      <c r="B1299" s="52"/>
      <c r="C1299" s="52"/>
      <c r="D1299" s="52"/>
      <c r="E1299" s="53"/>
      <c r="F1299" s="52"/>
      <c r="G1299" s="52"/>
      <c r="H1299" s="52"/>
      <c r="I1299" s="53"/>
      <c r="J1299" s="52"/>
      <c r="K1299" s="52"/>
      <c r="L1299" s="52"/>
      <c r="M1299" s="52"/>
      <c r="N1299" s="19"/>
      <c r="O1299" s="19"/>
      <c r="P1299" s="19"/>
      <c r="Q1299" s="19"/>
      <c r="R1299" s="19"/>
      <c r="S1299" s="19"/>
      <c r="T1299" s="19"/>
      <c r="U1299" s="19"/>
      <c r="V1299" s="19"/>
      <c r="W1299" s="19"/>
      <c r="X1299" s="19"/>
      <c r="Y1299" s="19"/>
      <c r="Z1299" s="19"/>
      <c r="AA1299" s="19"/>
      <c r="AB1299" s="19"/>
      <c r="AC1299" s="19"/>
      <c r="AD1299" s="19"/>
      <c r="AE1299" s="19"/>
      <c r="AF1299" s="19"/>
      <c r="AG1299" s="19"/>
      <c r="AH1299" s="19"/>
      <c r="AI1299" s="19"/>
      <c r="AJ1299" s="19"/>
      <c r="AK1299" s="19"/>
      <c r="AL1299" s="19"/>
      <c r="AM1299" s="19"/>
      <c r="AN1299" s="19"/>
      <c r="AO1299" s="19"/>
      <c r="AP1299" s="19"/>
      <c r="AQ1299" s="19"/>
      <c r="AR1299" s="19"/>
      <c r="AS1299" s="19"/>
      <c r="AT1299" s="19"/>
      <c r="AU1299" s="19"/>
      <c r="AV1299" s="19"/>
      <c r="AW1299" s="19"/>
      <c r="AX1299" s="19"/>
      <c r="GA1299" s="54"/>
    </row>
    <row r="1300" spans="1:183" s="18" customFormat="1">
      <c r="A1300" s="51"/>
      <c r="B1300" s="52"/>
      <c r="C1300" s="52"/>
      <c r="D1300" s="52"/>
      <c r="E1300" s="53"/>
      <c r="F1300" s="52"/>
      <c r="G1300" s="52"/>
      <c r="H1300" s="52"/>
      <c r="I1300" s="53"/>
      <c r="J1300" s="52"/>
      <c r="K1300" s="52"/>
      <c r="L1300" s="52"/>
      <c r="M1300" s="52"/>
      <c r="N1300" s="19"/>
      <c r="O1300" s="19"/>
      <c r="P1300" s="19"/>
      <c r="Q1300" s="19"/>
      <c r="R1300" s="19"/>
      <c r="S1300" s="19"/>
      <c r="T1300" s="19"/>
      <c r="U1300" s="19"/>
      <c r="V1300" s="19"/>
      <c r="W1300" s="19"/>
      <c r="X1300" s="19"/>
      <c r="Y1300" s="19"/>
      <c r="Z1300" s="19"/>
      <c r="AA1300" s="19"/>
      <c r="AB1300" s="19"/>
      <c r="AC1300" s="19"/>
      <c r="AD1300" s="19"/>
      <c r="AE1300" s="19"/>
      <c r="AF1300" s="19"/>
      <c r="AG1300" s="19"/>
      <c r="AH1300" s="19"/>
      <c r="AI1300" s="19"/>
      <c r="AJ1300" s="19"/>
      <c r="AK1300" s="19"/>
      <c r="AL1300" s="19"/>
      <c r="AM1300" s="19"/>
      <c r="AN1300" s="19"/>
      <c r="AO1300" s="19"/>
      <c r="AP1300" s="19"/>
      <c r="AQ1300" s="19"/>
      <c r="AR1300" s="19"/>
      <c r="AS1300" s="19"/>
      <c r="AT1300" s="19"/>
      <c r="AU1300" s="19"/>
      <c r="AV1300" s="19"/>
      <c r="AW1300" s="19"/>
      <c r="AX1300" s="19"/>
      <c r="GA1300" s="54"/>
    </row>
    <row r="1301" spans="1:183" s="18" customFormat="1">
      <c r="A1301" s="51"/>
      <c r="B1301" s="52"/>
      <c r="C1301" s="52"/>
      <c r="D1301" s="52"/>
      <c r="E1301" s="53"/>
      <c r="F1301" s="52"/>
      <c r="G1301" s="52"/>
      <c r="H1301" s="52"/>
      <c r="I1301" s="53"/>
      <c r="J1301" s="52"/>
      <c r="K1301" s="52"/>
      <c r="L1301" s="52"/>
      <c r="M1301" s="52"/>
      <c r="N1301" s="19"/>
      <c r="O1301" s="19"/>
      <c r="P1301" s="19"/>
      <c r="Q1301" s="19"/>
      <c r="R1301" s="19"/>
      <c r="S1301" s="19"/>
      <c r="T1301" s="19"/>
      <c r="U1301" s="19"/>
      <c r="V1301" s="19"/>
      <c r="W1301" s="19"/>
      <c r="X1301" s="19"/>
      <c r="Y1301" s="19"/>
      <c r="Z1301" s="19"/>
      <c r="AA1301" s="19"/>
      <c r="AB1301" s="19"/>
      <c r="AC1301" s="19"/>
      <c r="AD1301" s="19"/>
      <c r="AE1301" s="19"/>
      <c r="AF1301" s="19"/>
      <c r="AG1301" s="19"/>
      <c r="AH1301" s="19"/>
      <c r="AI1301" s="19"/>
      <c r="AJ1301" s="19"/>
      <c r="AK1301" s="19"/>
      <c r="AL1301" s="19"/>
      <c r="AM1301" s="19"/>
      <c r="AN1301" s="19"/>
      <c r="AO1301" s="19"/>
      <c r="AP1301" s="19"/>
      <c r="AQ1301" s="19"/>
      <c r="AR1301" s="19"/>
      <c r="AS1301" s="19"/>
      <c r="AT1301" s="19"/>
      <c r="AU1301" s="19"/>
      <c r="AV1301" s="19"/>
      <c r="AW1301" s="19"/>
      <c r="AX1301" s="19"/>
      <c r="GA1301" s="54"/>
    </row>
    <row r="1302" spans="1:183" s="18" customFormat="1">
      <c r="A1302" s="51"/>
      <c r="B1302" s="52"/>
      <c r="C1302" s="52"/>
      <c r="D1302" s="52"/>
      <c r="E1302" s="53"/>
      <c r="F1302" s="52"/>
      <c r="G1302" s="52"/>
      <c r="H1302" s="52"/>
      <c r="I1302" s="53"/>
      <c r="J1302" s="52"/>
      <c r="K1302" s="52"/>
      <c r="L1302" s="52"/>
      <c r="M1302" s="52"/>
      <c r="N1302" s="19"/>
      <c r="O1302" s="19"/>
      <c r="P1302" s="19"/>
      <c r="Q1302" s="19"/>
      <c r="R1302" s="19"/>
      <c r="S1302" s="19"/>
      <c r="T1302" s="19"/>
      <c r="U1302" s="19"/>
      <c r="V1302" s="19"/>
      <c r="W1302" s="19"/>
      <c r="X1302" s="19"/>
      <c r="Y1302" s="19"/>
      <c r="Z1302" s="19"/>
      <c r="AA1302" s="19"/>
      <c r="AB1302" s="19"/>
      <c r="AC1302" s="19"/>
      <c r="AD1302" s="19"/>
      <c r="AE1302" s="19"/>
      <c r="AF1302" s="19"/>
      <c r="AG1302" s="19"/>
      <c r="AH1302" s="19"/>
      <c r="AI1302" s="19"/>
      <c r="AJ1302" s="19"/>
      <c r="AK1302" s="19"/>
      <c r="AL1302" s="19"/>
      <c r="AM1302" s="19"/>
      <c r="AN1302" s="19"/>
      <c r="AO1302" s="19"/>
      <c r="AP1302" s="19"/>
      <c r="AQ1302" s="19"/>
      <c r="AR1302" s="19"/>
      <c r="AS1302" s="19"/>
      <c r="AT1302" s="19"/>
      <c r="AU1302" s="19"/>
      <c r="AV1302" s="19"/>
      <c r="AW1302" s="19"/>
      <c r="AX1302" s="19"/>
      <c r="GA1302" s="54"/>
    </row>
    <row r="1303" spans="1:183" s="18" customFormat="1">
      <c r="A1303" s="51"/>
      <c r="B1303" s="52"/>
      <c r="C1303" s="52"/>
      <c r="D1303" s="52"/>
      <c r="E1303" s="53"/>
      <c r="F1303" s="52"/>
      <c r="G1303" s="52"/>
      <c r="H1303" s="52"/>
      <c r="I1303" s="53"/>
      <c r="J1303" s="52"/>
      <c r="K1303" s="52"/>
      <c r="L1303" s="52"/>
      <c r="M1303" s="52"/>
      <c r="N1303" s="19"/>
      <c r="O1303" s="19"/>
      <c r="P1303" s="19"/>
      <c r="Q1303" s="19"/>
      <c r="R1303" s="19"/>
      <c r="S1303" s="19"/>
      <c r="T1303" s="19"/>
      <c r="U1303" s="19"/>
      <c r="V1303" s="19"/>
      <c r="W1303" s="19"/>
      <c r="X1303" s="19"/>
      <c r="Y1303" s="19"/>
      <c r="Z1303" s="19"/>
      <c r="AA1303" s="19"/>
      <c r="AB1303" s="19"/>
      <c r="AC1303" s="19"/>
      <c r="AD1303" s="19"/>
      <c r="AE1303" s="19"/>
      <c r="AF1303" s="19"/>
      <c r="AG1303" s="19"/>
      <c r="AH1303" s="19"/>
      <c r="AI1303" s="19"/>
      <c r="AJ1303" s="19"/>
      <c r="AK1303" s="19"/>
      <c r="AL1303" s="19"/>
      <c r="AM1303" s="19"/>
      <c r="AN1303" s="19"/>
      <c r="AO1303" s="19"/>
      <c r="AP1303" s="19"/>
      <c r="AQ1303" s="19"/>
      <c r="AR1303" s="19"/>
      <c r="AS1303" s="19"/>
      <c r="AT1303" s="19"/>
      <c r="AU1303" s="19"/>
      <c r="AV1303" s="19"/>
      <c r="AW1303" s="19"/>
      <c r="AX1303" s="19"/>
      <c r="GA1303" s="54"/>
    </row>
    <row r="1304" spans="1:183" s="18" customFormat="1">
      <c r="A1304" s="51"/>
      <c r="B1304" s="52"/>
      <c r="C1304" s="52"/>
      <c r="D1304" s="52"/>
      <c r="E1304" s="53"/>
      <c r="F1304" s="52"/>
      <c r="G1304" s="52"/>
      <c r="H1304" s="52"/>
      <c r="I1304" s="53"/>
      <c r="J1304" s="52"/>
      <c r="K1304" s="52"/>
      <c r="L1304" s="52"/>
      <c r="M1304" s="52"/>
      <c r="N1304" s="19"/>
      <c r="O1304" s="19"/>
      <c r="P1304" s="19"/>
      <c r="Q1304" s="19"/>
      <c r="R1304" s="19"/>
      <c r="S1304" s="19"/>
      <c r="T1304" s="19"/>
      <c r="U1304" s="19"/>
      <c r="V1304" s="19"/>
      <c r="W1304" s="19"/>
      <c r="X1304" s="19"/>
      <c r="Y1304" s="19"/>
      <c r="Z1304" s="19"/>
      <c r="AA1304" s="19"/>
      <c r="AB1304" s="19"/>
      <c r="AC1304" s="19"/>
      <c r="AD1304" s="19"/>
      <c r="AE1304" s="19"/>
      <c r="AF1304" s="19"/>
      <c r="AG1304" s="19"/>
      <c r="AH1304" s="19"/>
      <c r="AI1304" s="19"/>
      <c r="AJ1304" s="19"/>
      <c r="AK1304" s="19"/>
      <c r="AL1304" s="19"/>
      <c r="AM1304" s="19"/>
      <c r="AN1304" s="19"/>
      <c r="AO1304" s="19"/>
      <c r="AP1304" s="19"/>
      <c r="AQ1304" s="19"/>
      <c r="AR1304" s="19"/>
      <c r="AS1304" s="19"/>
      <c r="AT1304" s="19"/>
      <c r="AU1304" s="19"/>
      <c r="AV1304" s="19"/>
      <c r="AW1304" s="19"/>
      <c r="AX1304" s="19"/>
      <c r="GA1304" s="54"/>
    </row>
    <row r="1305" spans="1:183" s="18" customFormat="1">
      <c r="A1305" s="51"/>
      <c r="B1305" s="52"/>
      <c r="C1305" s="52"/>
      <c r="D1305" s="52"/>
      <c r="E1305" s="53"/>
      <c r="F1305" s="52"/>
      <c r="G1305" s="52"/>
      <c r="H1305" s="52"/>
      <c r="I1305" s="53"/>
      <c r="J1305" s="52"/>
      <c r="K1305" s="52"/>
      <c r="L1305" s="52"/>
      <c r="M1305" s="52"/>
      <c r="N1305" s="19"/>
      <c r="O1305" s="19"/>
      <c r="P1305" s="19"/>
      <c r="Q1305" s="19"/>
      <c r="R1305" s="19"/>
      <c r="S1305" s="19"/>
      <c r="T1305" s="19"/>
      <c r="U1305" s="19"/>
      <c r="V1305" s="19"/>
      <c r="W1305" s="19"/>
      <c r="X1305" s="19"/>
      <c r="Y1305" s="19"/>
      <c r="Z1305" s="19"/>
      <c r="AA1305" s="19"/>
      <c r="AB1305" s="19"/>
      <c r="AC1305" s="19"/>
      <c r="AD1305" s="19"/>
      <c r="AE1305" s="19"/>
      <c r="AF1305" s="19"/>
      <c r="AG1305" s="19"/>
      <c r="AH1305" s="19"/>
      <c r="AI1305" s="19"/>
      <c r="AJ1305" s="19"/>
      <c r="AK1305" s="19"/>
      <c r="AL1305" s="19"/>
      <c r="AM1305" s="19"/>
      <c r="AN1305" s="19"/>
      <c r="AO1305" s="19"/>
      <c r="AP1305" s="19"/>
      <c r="AQ1305" s="19"/>
      <c r="AR1305" s="19"/>
      <c r="AS1305" s="19"/>
      <c r="AT1305" s="19"/>
      <c r="AU1305" s="19"/>
      <c r="AV1305" s="19"/>
      <c r="AW1305" s="19"/>
      <c r="AX1305" s="19"/>
      <c r="GA1305" s="54"/>
    </row>
    <row r="1306" spans="1:183" s="18" customFormat="1">
      <c r="A1306" s="51"/>
      <c r="B1306" s="52"/>
      <c r="C1306" s="52"/>
      <c r="D1306" s="52"/>
      <c r="E1306" s="53"/>
      <c r="F1306" s="52"/>
      <c r="G1306" s="52"/>
      <c r="H1306" s="52"/>
      <c r="I1306" s="53"/>
      <c r="J1306" s="52"/>
      <c r="K1306" s="52"/>
      <c r="L1306" s="52"/>
      <c r="M1306" s="52"/>
      <c r="N1306" s="19"/>
      <c r="O1306" s="19"/>
      <c r="P1306" s="19"/>
      <c r="Q1306" s="19"/>
      <c r="R1306" s="19"/>
      <c r="S1306" s="19"/>
      <c r="T1306" s="19"/>
      <c r="U1306" s="19"/>
      <c r="V1306" s="19"/>
      <c r="W1306" s="19"/>
      <c r="X1306" s="19"/>
      <c r="Y1306" s="19"/>
      <c r="Z1306" s="19"/>
      <c r="AA1306" s="19"/>
      <c r="AB1306" s="19"/>
      <c r="AC1306" s="19"/>
      <c r="AD1306" s="19"/>
      <c r="AE1306" s="19"/>
      <c r="AF1306" s="19"/>
      <c r="AG1306" s="19"/>
      <c r="AH1306" s="19"/>
      <c r="AI1306" s="19"/>
      <c r="AJ1306" s="19"/>
      <c r="AK1306" s="19"/>
      <c r="AL1306" s="19"/>
      <c r="AM1306" s="19"/>
      <c r="AN1306" s="19"/>
      <c r="AO1306" s="19"/>
      <c r="AP1306" s="19"/>
      <c r="AQ1306" s="19"/>
      <c r="AR1306" s="19"/>
      <c r="AS1306" s="19"/>
      <c r="AT1306" s="19"/>
      <c r="AU1306" s="19"/>
      <c r="AV1306" s="19"/>
      <c r="AW1306" s="19"/>
      <c r="AX1306" s="19"/>
      <c r="GA1306" s="54"/>
    </row>
    <row r="1307" spans="1:183" s="18" customFormat="1">
      <c r="A1307" s="51"/>
      <c r="B1307" s="52"/>
      <c r="C1307" s="52"/>
      <c r="D1307" s="52"/>
      <c r="E1307" s="53"/>
      <c r="F1307" s="52"/>
      <c r="G1307" s="52"/>
      <c r="H1307" s="52"/>
      <c r="I1307" s="53"/>
      <c r="J1307" s="52"/>
      <c r="K1307" s="52"/>
      <c r="L1307" s="52"/>
      <c r="M1307" s="52"/>
      <c r="N1307" s="19"/>
      <c r="O1307" s="19"/>
      <c r="P1307" s="19"/>
      <c r="Q1307" s="19"/>
      <c r="R1307" s="19"/>
      <c r="S1307" s="19"/>
      <c r="T1307" s="19"/>
      <c r="U1307" s="19"/>
      <c r="V1307" s="19"/>
      <c r="W1307" s="19"/>
      <c r="X1307" s="19"/>
      <c r="Y1307" s="19"/>
      <c r="Z1307" s="19"/>
      <c r="AA1307" s="19"/>
      <c r="AB1307" s="19"/>
      <c r="AC1307" s="19"/>
      <c r="AD1307" s="19"/>
      <c r="AE1307" s="19"/>
      <c r="AF1307" s="19"/>
      <c r="AG1307" s="19"/>
      <c r="AH1307" s="19"/>
      <c r="AI1307" s="19"/>
      <c r="AJ1307" s="19"/>
      <c r="AK1307" s="19"/>
      <c r="AL1307" s="19"/>
      <c r="AM1307" s="19"/>
      <c r="AN1307" s="19"/>
      <c r="AO1307" s="19"/>
      <c r="AP1307" s="19"/>
      <c r="AQ1307" s="19"/>
      <c r="AR1307" s="19"/>
      <c r="AS1307" s="19"/>
      <c r="AT1307" s="19"/>
      <c r="AU1307" s="19"/>
      <c r="AV1307" s="19"/>
      <c r="AW1307" s="19"/>
      <c r="AX1307" s="19"/>
      <c r="GA1307" s="54"/>
    </row>
    <row r="1308" spans="1:183" s="18" customFormat="1">
      <c r="A1308" s="51"/>
      <c r="B1308" s="52"/>
      <c r="C1308" s="52"/>
      <c r="D1308" s="52"/>
      <c r="E1308" s="53"/>
      <c r="F1308" s="52"/>
      <c r="G1308" s="52"/>
      <c r="H1308" s="52"/>
      <c r="I1308" s="53"/>
      <c r="J1308" s="52"/>
      <c r="K1308" s="52"/>
      <c r="L1308" s="52"/>
      <c r="M1308" s="52"/>
      <c r="N1308" s="19"/>
      <c r="O1308" s="19"/>
      <c r="P1308" s="19"/>
      <c r="Q1308" s="19"/>
      <c r="R1308" s="19"/>
      <c r="S1308" s="19"/>
      <c r="T1308" s="19"/>
      <c r="U1308" s="19"/>
      <c r="V1308" s="19"/>
      <c r="W1308" s="19"/>
      <c r="X1308" s="19"/>
      <c r="Y1308" s="19"/>
      <c r="Z1308" s="19"/>
      <c r="AA1308" s="19"/>
      <c r="AB1308" s="19"/>
      <c r="AC1308" s="19"/>
      <c r="AD1308" s="19"/>
      <c r="AE1308" s="19"/>
      <c r="AF1308" s="19"/>
      <c r="AG1308" s="19"/>
      <c r="AH1308" s="19"/>
      <c r="AI1308" s="19"/>
      <c r="AJ1308" s="19"/>
      <c r="AK1308" s="19"/>
      <c r="AL1308" s="19"/>
      <c r="AM1308" s="19"/>
      <c r="AN1308" s="19"/>
      <c r="AO1308" s="19"/>
      <c r="AP1308" s="19"/>
      <c r="AQ1308" s="19"/>
      <c r="AR1308" s="19"/>
      <c r="AS1308" s="19"/>
      <c r="AT1308" s="19"/>
      <c r="AU1308" s="19"/>
      <c r="AV1308" s="19"/>
      <c r="AW1308" s="19"/>
      <c r="AX1308" s="19"/>
      <c r="GA1308" s="54"/>
    </row>
    <row r="1309" spans="1:183" s="18" customFormat="1">
      <c r="A1309" s="51"/>
      <c r="B1309" s="52"/>
      <c r="C1309" s="52"/>
      <c r="D1309" s="52"/>
      <c r="E1309" s="53"/>
      <c r="F1309" s="52"/>
      <c r="G1309" s="52"/>
      <c r="H1309" s="52"/>
      <c r="I1309" s="53"/>
      <c r="J1309" s="52"/>
      <c r="K1309" s="52"/>
      <c r="L1309" s="52"/>
      <c r="M1309" s="52"/>
      <c r="N1309" s="19"/>
      <c r="O1309" s="19"/>
      <c r="P1309" s="19"/>
      <c r="Q1309" s="19"/>
      <c r="R1309" s="19"/>
      <c r="S1309" s="19"/>
      <c r="T1309" s="19"/>
      <c r="U1309" s="19"/>
      <c r="V1309" s="19"/>
      <c r="W1309" s="19"/>
      <c r="X1309" s="19"/>
      <c r="Y1309" s="19"/>
      <c r="Z1309" s="19"/>
      <c r="AA1309" s="19"/>
      <c r="AB1309" s="19"/>
      <c r="AC1309" s="19"/>
      <c r="AD1309" s="19"/>
      <c r="AE1309" s="19"/>
      <c r="AF1309" s="19"/>
      <c r="AG1309" s="19"/>
      <c r="AH1309" s="19"/>
      <c r="AI1309" s="19"/>
      <c r="AJ1309" s="19"/>
      <c r="AK1309" s="19"/>
      <c r="AL1309" s="19"/>
      <c r="AM1309" s="19"/>
      <c r="AN1309" s="19"/>
      <c r="AO1309" s="19"/>
      <c r="AP1309" s="19"/>
      <c r="AQ1309" s="19"/>
      <c r="AR1309" s="19"/>
      <c r="AS1309" s="19"/>
      <c r="AT1309" s="19"/>
      <c r="AU1309" s="19"/>
      <c r="AV1309" s="19"/>
      <c r="AW1309" s="19"/>
      <c r="AX1309" s="19"/>
      <c r="GA1309" s="54"/>
    </row>
    <row r="1310" spans="1:183" s="18" customFormat="1">
      <c r="A1310" s="51"/>
      <c r="B1310" s="52"/>
      <c r="C1310" s="52"/>
      <c r="D1310" s="52"/>
      <c r="E1310" s="53"/>
      <c r="F1310" s="52"/>
      <c r="G1310" s="52"/>
      <c r="H1310" s="52"/>
      <c r="I1310" s="53"/>
      <c r="J1310" s="52"/>
      <c r="K1310" s="52"/>
      <c r="L1310" s="52"/>
      <c r="M1310" s="52"/>
      <c r="N1310" s="19"/>
      <c r="O1310" s="19"/>
      <c r="P1310" s="19"/>
      <c r="Q1310" s="19"/>
      <c r="R1310" s="19"/>
      <c r="S1310" s="19"/>
      <c r="T1310" s="19"/>
      <c r="U1310" s="19"/>
      <c r="V1310" s="19"/>
      <c r="W1310" s="19"/>
      <c r="X1310" s="19"/>
      <c r="Y1310" s="19"/>
      <c r="Z1310" s="19"/>
      <c r="AA1310" s="19"/>
      <c r="AB1310" s="19"/>
      <c r="AC1310" s="19"/>
      <c r="AD1310" s="19"/>
      <c r="AE1310" s="19"/>
      <c r="AF1310" s="19"/>
      <c r="AG1310" s="19"/>
      <c r="AH1310" s="19"/>
      <c r="AI1310" s="19"/>
      <c r="AJ1310" s="19"/>
      <c r="AK1310" s="19"/>
      <c r="AL1310" s="19"/>
      <c r="AM1310" s="19"/>
      <c r="AN1310" s="19"/>
      <c r="AO1310" s="19"/>
      <c r="AP1310" s="19"/>
      <c r="AQ1310" s="19"/>
      <c r="AR1310" s="19"/>
      <c r="AS1310" s="19"/>
      <c r="AT1310" s="19"/>
      <c r="AU1310" s="19"/>
      <c r="AV1310" s="19"/>
      <c r="AW1310" s="19"/>
      <c r="AX1310" s="19"/>
      <c r="GA1310" s="54"/>
    </row>
    <row r="1311" spans="1:183" s="18" customFormat="1">
      <c r="A1311" s="51"/>
      <c r="B1311" s="52"/>
      <c r="C1311" s="52"/>
      <c r="D1311" s="52"/>
      <c r="E1311" s="53"/>
      <c r="F1311" s="52"/>
      <c r="G1311" s="52"/>
      <c r="H1311" s="52"/>
      <c r="I1311" s="53"/>
      <c r="J1311" s="52"/>
      <c r="K1311" s="52"/>
      <c r="L1311" s="52"/>
      <c r="M1311" s="52"/>
      <c r="N1311" s="19"/>
      <c r="O1311" s="19"/>
      <c r="P1311" s="19"/>
      <c r="Q1311" s="19"/>
      <c r="R1311" s="19"/>
      <c r="S1311" s="19"/>
      <c r="T1311" s="19"/>
      <c r="U1311" s="19"/>
      <c r="V1311" s="19"/>
      <c r="W1311" s="19"/>
      <c r="X1311" s="19"/>
      <c r="Y1311" s="19"/>
      <c r="Z1311" s="19"/>
      <c r="AA1311" s="19"/>
      <c r="AB1311" s="19"/>
      <c r="AC1311" s="19"/>
      <c r="AD1311" s="19"/>
      <c r="AE1311" s="19"/>
      <c r="AF1311" s="19"/>
      <c r="AG1311" s="19"/>
      <c r="AH1311" s="19"/>
      <c r="AI1311" s="19"/>
      <c r="AJ1311" s="19"/>
      <c r="AK1311" s="19"/>
      <c r="AL1311" s="19"/>
      <c r="AM1311" s="19"/>
      <c r="AN1311" s="19"/>
      <c r="AO1311" s="19"/>
      <c r="AP1311" s="19"/>
      <c r="AQ1311" s="19"/>
      <c r="AR1311" s="19"/>
      <c r="AS1311" s="19"/>
      <c r="AT1311" s="19"/>
      <c r="AU1311" s="19"/>
      <c r="AV1311" s="19"/>
      <c r="AW1311" s="19"/>
      <c r="AX1311" s="19"/>
      <c r="GA1311" s="54"/>
    </row>
    <row r="1312" spans="1:183" s="18" customFormat="1">
      <c r="A1312" s="51"/>
      <c r="B1312" s="52"/>
      <c r="C1312" s="52"/>
      <c r="D1312" s="52"/>
      <c r="E1312" s="53"/>
      <c r="F1312" s="52"/>
      <c r="G1312" s="52"/>
      <c r="H1312" s="52"/>
      <c r="I1312" s="53"/>
      <c r="J1312" s="52"/>
      <c r="K1312" s="52"/>
      <c r="L1312" s="52"/>
      <c r="M1312" s="52"/>
      <c r="N1312" s="19"/>
      <c r="O1312" s="19"/>
      <c r="P1312" s="19"/>
      <c r="Q1312" s="19"/>
      <c r="R1312" s="19"/>
      <c r="S1312" s="19"/>
      <c r="T1312" s="19"/>
      <c r="U1312" s="19"/>
      <c r="V1312" s="19"/>
      <c r="W1312" s="19"/>
      <c r="X1312" s="19"/>
      <c r="Y1312" s="19"/>
      <c r="Z1312" s="19"/>
      <c r="AA1312" s="19"/>
      <c r="AB1312" s="19"/>
      <c r="AC1312" s="19"/>
      <c r="AD1312" s="19"/>
      <c r="AE1312" s="19"/>
      <c r="AF1312" s="19"/>
      <c r="AG1312" s="19"/>
      <c r="AH1312" s="19"/>
      <c r="AI1312" s="19"/>
      <c r="AJ1312" s="19"/>
      <c r="AK1312" s="19"/>
      <c r="AL1312" s="19"/>
      <c r="AM1312" s="19"/>
      <c r="AN1312" s="19"/>
      <c r="AO1312" s="19"/>
      <c r="AP1312" s="19"/>
      <c r="AQ1312" s="19"/>
      <c r="AR1312" s="19"/>
      <c r="AS1312" s="19"/>
      <c r="AT1312" s="19"/>
      <c r="AU1312" s="19"/>
      <c r="AV1312" s="19"/>
      <c r="AW1312" s="19"/>
      <c r="AX1312" s="19"/>
      <c r="GA1312" s="54"/>
    </row>
    <row r="1313" spans="1:183" s="18" customFormat="1">
      <c r="A1313" s="51"/>
      <c r="B1313" s="52"/>
      <c r="C1313" s="52"/>
      <c r="D1313" s="52"/>
      <c r="E1313" s="53"/>
      <c r="F1313" s="52"/>
      <c r="G1313" s="52"/>
      <c r="H1313" s="52"/>
      <c r="I1313" s="53"/>
      <c r="J1313" s="52"/>
      <c r="K1313" s="52"/>
      <c r="L1313" s="52"/>
      <c r="M1313" s="52"/>
      <c r="N1313" s="19"/>
      <c r="O1313" s="19"/>
      <c r="P1313" s="19"/>
      <c r="Q1313" s="19"/>
      <c r="R1313" s="19"/>
      <c r="S1313" s="19"/>
      <c r="T1313" s="19"/>
      <c r="U1313" s="19"/>
      <c r="V1313" s="19"/>
      <c r="W1313" s="19"/>
      <c r="X1313" s="19"/>
      <c r="Y1313" s="19"/>
      <c r="Z1313" s="19"/>
      <c r="AA1313" s="19"/>
      <c r="AB1313" s="19"/>
      <c r="AC1313" s="19"/>
      <c r="AD1313" s="19"/>
      <c r="AE1313" s="19"/>
      <c r="AF1313" s="19"/>
      <c r="AG1313" s="19"/>
      <c r="AH1313" s="19"/>
      <c r="AI1313" s="19"/>
      <c r="AJ1313" s="19"/>
      <c r="AK1313" s="19"/>
      <c r="AL1313" s="19"/>
      <c r="AM1313" s="19"/>
      <c r="AN1313" s="19"/>
      <c r="AO1313" s="19"/>
      <c r="AP1313" s="19"/>
      <c r="AQ1313" s="19"/>
      <c r="AR1313" s="19"/>
      <c r="AS1313" s="19"/>
      <c r="AT1313" s="19"/>
      <c r="AU1313" s="19"/>
      <c r="AV1313" s="19"/>
      <c r="AW1313" s="19"/>
      <c r="AX1313" s="19"/>
      <c r="GA1313" s="54"/>
    </row>
    <row r="1314" spans="1:183" s="18" customFormat="1">
      <c r="A1314" s="51"/>
      <c r="B1314" s="52"/>
      <c r="C1314" s="52"/>
      <c r="D1314" s="52"/>
      <c r="E1314" s="53"/>
      <c r="F1314" s="52"/>
      <c r="G1314" s="52"/>
      <c r="H1314" s="52"/>
      <c r="I1314" s="53"/>
      <c r="J1314" s="52"/>
      <c r="K1314" s="52"/>
      <c r="L1314" s="52"/>
      <c r="M1314" s="52"/>
      <c r="N1314" s="19"/>
      <c r="O1314" s="19"/>
      <c r="P1314" s="19"/>
      <c r="Q1314" s="19"/>
      <c r="R1314" s="19"/>
      <c r="S1314" s="19"/>
      <c r="T1314" s="19"/>
      <c r="U1314" s="19"/>
      <c r="V1314" s="19"/>
      <c r="W1314" s="19"/>
      <c r="X1314" s="19"/>
      <c r="Y1314" s="19"/>
      <c r="Z1314" s="19"/>
      <c r="AA1314" s="19"/>
      <c r="AB1314" s="19"/>
      <c r="AC1314" s="19"/>
      <c r="AD1314" s="19"/>
      <c r="AE1314" s="19"/>
      <c r="AF1314" s="19"/>
      <c r="AG1314" s="19"/>
      <c r="AH1314" s="19"/>
      <c r="AI1314" s="19"/>
      <c r="AJ1314" s="19"/>
      <c r="AK1314" s="19"/>
      <c r="AL1314" s="19"/>
      <c r="AM1314" s="19"/>
      <c r="AN1314" s="19"/>
      <c r="AO1314" s="19"/>
      <c r="AP1314" s="19"/>
      <c r="AQ1314" s="19"/>
      <c r="AR1314" s="19"/>
      <c r="AS1314" s="19"/>
      <c r="AT1314" s="19"/>
      <c r="AU1314" s="19"/>
      <c r="AV1314" s="19"/>
      <c r="AW1314" s="19"/>
      <c r="AX1314" s="19"/>
      <c r="GA1314" s="54"/>
    </row>
    <row r="1315" spans="1:183" s="18" customFormat="1">
      <c r="A1315" s="51"/>
      <c r="B1315" s="52"/>
      <c r="C1315" s="52"/>
      <c r="D1315" s="52"/>
      <c r="E1315" s="53"/>
      <c r="F1315" s="52"/>
      <c r="G1315" s="52"/>
      <c r="H1315" s="52"/>
      <c r="I1315" s="53"/>
      <c r="J1315" s="52"/>
      <c r="K1315" s="52"/>
      <c r="L1315" s="52"/>
      <c r="M1315" s="52"/>
      <c r="N1315" s="19"/>
      <c r="O1315" s="19"/>
      <c r="P1315" s="19"/>
      <c r="Q1315" s="19"/>
      <c r="R1315" s="19"/>
      <c r="S1315" s="19"/>
      <c r="T1315" s="19"/>
      <c r="U1315" s="19"/>
      <c r="V1315" s="19"/>
      <c r="W1315" s="19"/>
      <c r="X1315" s="19"/>
      <c r="Y1315" s="19"/>
      <c r="Z1315" s="19"/>
      <c r="AA1315" s="19"/>
      <c r="AB1315" s="19"/>
      <c r="AC1315" s="19"/>
      <c r="AD1315" s="19"/>
      <c r="AE1315" s="19"/>
      <c r="AF1315" s="19"/>
      <c r="AG1315" s="19"/>
      <c r="AH1315" s="19"/>
      <c r="AI1315" s="19"/>
      <c r="AJ1315" s="19"/>
      <c r="AK1315" s="19"/>
      <c r="AL1315" s="19"/>
      <c r="AM1315" s="19"/>
      <c r="AN1315" s="19"/>
      <c r="AO1315" s="19"/>
      <c r="AP1315" s="19"/>
      <c r="AQ1315" s="19"/>
      <c r="AR1315" s="19"/>
      <c r="AS1315" s="19"/>
      <c r="AT1315" s="19"/>
      <c r="AU1315" s="19"/>
      <c r="AV1315" s="19"/>
      <c r="AW1315" s="19"/>
      <c r="AX1315" s="19"/>
      <c r="GA1315" s="54"/>
    </row>
    <row r="1316" spans="1:183" s="18" customFormat="1">
      <c r="A1316" s="51"/>
      <c r="B1316" s="52"/>
      <c r="C1316" s="52"/>
      <c r="D1316" s="52"/>
      <c r="E1316" s="53"/>
      <c r="F1316" s="52"/>
      <c r="G1316" s="52"/>
      <c r="H1316" s="52"/>
      <c r="I1316" s="53"/>
      <c r="J1316" s="52"/>
      <c r="K1316" s="52"/>
      <c r="L1316" s="52"/>
      <c r="M1316" s="52"/>
      <c r="N1316" s="19"/>
      <c r="O1316" s="19"/>
      <c r="P1316" s="19"/>
      <c r="Q1316" s="19"/>
      <c r="R1316" s="19"/>
      <c r="S1316" s="19"/>
      <c r="T1316" s="19"/>
      <c r="U1316" s="19"/>
      <c r="V1316" s="19"/>
      <c r="W1316" s="19"/>
      <c r="X1316" s="19"/>
      <c r="Y1316" s="19"/>
      <c r="Z1316" s="19"/>
      <c r="AA1316" s="19"/>
      <c r="AB1316" s="19"/>
      <c r="AC1316" s="19"/>
      <c r="AD1316" s="19"/>
      <c r="AE1316" s="19"/>
      <c r="AF1316" s="19"/>
      <c r="AG1316" s="19"/>
      <c r="AH1316" s="19"/>
      <c r="AI1316" s="19"/>
      <c r="AJ1316" s="19"/>
      <c r="AK1316" s="19"/>
      <c r="AL1316" s="19"/>
      <c r="AM1316" s="19"/>
      <c r="AN1316" s="19"/>
      <c r="AO1316" s="19"/>
      <c r="AP1316" s="19"/>
      <c r="AQ1316" s="19"/>
      <c r="AR1316" s="19"/>
      <c r="AS1316" s="19"/>
      <c r="AT1316" s="19"/>
      <c r="AU1316" s="19"/>
      <c r="AV1316" s="19"/>
      <c r="AW1316" s="19"/>
      <c r="AX1316" s="19"/>
      <c r="GA1316" s="54"/>
    </row>
    <row r="1317" spans="1:183" s="18" customFormat="1">
      <c r="A1317" s="51"/>
      <c r="B1317" s="52"/>
      <c r="C1317" s="52"/>
      <c r="D1317" s="52"/>
      <c r="E1317" s="53"/>
      <c r="F1317" s="52"/>
      <c r="G1317" s="52"/>
      <c r="H1317" s="52"/>
      <c r="I1317" s="53"/>
      <c r="J1317" s="52"/>
      <c r="K1317" s="52"/>
      <c r="L1317" s="52"/>
      <c r="M1317" s="52"/>
      <c r="N1317" s="19"/>
      <c r="O1317" s="19"/>
      <c r="P1317" s="19"/>
      <c r="Q1317" s="19"/>
      <c r="R1317" s="19"/>
      <c r="S1317" s="19"/>
      <c r="T1317" s="19"/>
      <c r="U1317" s="19"/>
      <c r="V1317" s="19"/>
      <c r="W1317" s="19"/>
      <c r="X1317" s="19"/>
      <c r="Y1317" s="19"/>
      <c r="Z1317" s="19"/>
      <c r="AA1317" s="19"/>
      <c r="AB1317" s="19"/>
      <c r="AC1317" s="19"/>
      <c r="AD1317" s="19"/>
      <c r="AE1317" s="19"/>
      <c r="AF1317" s="19"/>
      <c r="AG1317" s="19"/>
      <c r="AH1317" s="19"/>
      <c r="AI1317" s="19"/>
      <c r="AJ1317" s="19"/>
      <c r="AK1317" s="19"/>
      <c r="AL1317" s="19"/>
      <c r="AM1317" s="19"/>
      <c r="AN1317" s="19"/>
      <c r="AO1317" s="19"/>
      <c r="AP1317" s="19"/>
      <c r="AQ1317" s="19"/>
      <c r="AR1317" s="19"/>
      <c r="AS1317" s="19"/>
      <c r="AT1317" s="19"/>
      <c r="AU1317" s="19"/>
      <c r="AV1317" s="19"/>
      <c r="AW1317" s="19"/>
      <c r="AX1317" s="19"/>
      <c r="GA1317" s="54"/>
    </row>
    <row r="1318" spans="1:183" s="18" customFormat="1">
      <c r="A1318" s="51"/>
      <c r="B1318" s="52"/>
      <c r="C1318" s="52"/>
      <c r="D1318" s="52"/>
      <c r="E1318" s="53"/>
      <c r="F1318" s="52"/>
      <c r="G1318" s="52"/>
      <c r="H1318" s="52"/>
      <c r="I1318" s="53"/>
      <c r="J1318" s="52"/>
      <c r="K1318" s="52"/>
      <c r="L1318" s="52"/>
      <c r="M1318" s="52"/>
      <c r="N1318" s="19"/>
      <c r="O1318" s="19"/>
      <c r="P1318" s="19"/>
      <c r="Q1318" s="19"/>
      <c r="R1318" s="19"/>
      <c r="S1318" s="19"/>
      <c r="T1318" s="19"/>
      <c r="U1318" s="19"/>
      <c r="V1318" s="19"/>
      <c r="W1318" s="19"/>
      <c r="X1318" s="19"/>
      <c r="Y1318" s="19"/>
      <c r="Z1318" s="19"/>
      <c r="AA1318" s="19"/>
      <c r="AB1318" s="19"/>
      <c r="AC1318" s="19"/>
      <c r="AD1318" s="19"/>
      <c r="AE1318" s="19"/>
      <c r="AF1318" s="19"/>
      <c r="AG1318" s="19"/>
      <c r="AH1318" s="19"/>
      <c r="AI1318" s="19"/>
      <c r="AJ1318" s="19"/>
      <c r="AK1318" s="19"/>
      <c r="AL1318" s="19"/>
      <c r="AM1318" s="19"/>
      <c r="AN1318" s="19"/>
      <c r="AO1318" s="19"/>
      <c r="AP1318" s="19"/>
      <c r="AQ1318" s="19"/>
      <c r="AR1318" s="19"/>
      <c r="AS1318" s="19"/>
      <c r="AT1318" s="19"/>
      <c r="AU1318" s="19"/>
      <c r="AV1318" s="19"/>
      <c r="AW1318" s="19"/>
      <c r="AX1318" s="19"/>
      <c r="GA1318" s="54"/>
    </row>
    <row r="1319" spans="1:183" s="18" customFormat="1">
      <c r="A1319" s="51"/>
      <c r="B1319" s="52"/>
      <c r="C1319" s="52"/>
      <c r="D1319" s="52"/>
      <c r="E1319" s="53"/>
      <c r="F1319" s="52"/>
      <c r="G1319" s="52"/>
      <c r="H1319" s="52"/>
      <c r="I1319" s="53"/>
      <c r="J1319" s="52"/>
      <c r="K1319" s="52"/>
      <c r="L1319" s="52"/>
      <c r="M1319" s="52"/>
      <c r="N1319" s="19"/>
      <c r="O1319" s="19"/>
      <c r="P1319" s="19"/>
      <c r="Q1319" s="19"/>
      <c r="R1319" s="19"/>
      <c r="S1319" s="19"/>
      <c r="T1319" s="19"/>
      <c r="U1319" s="19"/>
      <c r="V1319" s="19"/>
      <c r="W1319" s="19"/>
      <c r="X1319" s="19"/>
      <c r="Y1319" s="19"/>
      <c r="Z1319" s="19"/>
      <c r="AA1319" s="19"/>
      <c r="AB1319" s="19"/>
      <c r="AC1319" s="19"/>
      <c r="AD1319" s="19"/>
      <c r="AE1319" s="19"/>
      <c r="AF1319" s="19"/>
      <c r="AG1319" s="19"/>
      <c r="AH1319" s="19"/>
      <c r="AI1319" s="19"/>
      <c r="AJ1319" s="19"/>
      <c r="AK1319" s="19"/>
      <c r="AL1319" s="19"/>
      <c r="AM1319" s="19"/>
      <c r="AN1319" s="19"/>
      <c r="AO1319" s="19"/>
      <c r="AP1319" s="19"/>
      <c r="AQ1319" s="19"/>
      <c r="AR1319" s="19"/>
      <c r="AS1319" s="19"/>
      <c r="AT1319" s="19"/>
      <c r="AU1319" s="19"/>
      <c r="AV1319" s="19"/>
      <c r="AW1319" s="19"/>
      <c r="AX1319" s="19"/>
      <c r="GA1319" s="54"/>
    </row>
    <row r="1320" spans="1:183" s="18" customFormat="1">
      <c r="A1320" s="51"/>
      <c r="B1320" s="52"/>
      <c r="C1320" s="52"/>
      <c r="D1320" s="52"/>
      <c r="E1320" s="53"/>
      <c r="F1320" s="52"/>
      <c r="G1320" s="52"/>
      <c r="H1320" s="52"/>
      <c r="I1320" s="53"/>
      <c r="J1320" s="52"/>
      <c r="K1320" s="52"/>
      <c r="L1320" s="52"/>
      <c r="M1320" s="52"/>
      <c r="N1320" s="19"/>
      <c r="O1320" s="19"/>
      <c r="P1320" s="19"/>
      <c r="Q1320" s="19"/>
      <c r="R1320" s="19"/>
      <c r="S1320" s="19"/>
      <c r="T1320" s="19"/>
      <c r="U1320" s="19"/>
      <c r="V1320" s="19"/>
      <c r="W1320" s="19"/>
      <c r="X1320" s="19"/>
      <c r="Y1320" s="19"/>
      <c r="Z1320" s="19"/>
      <c r="AA1320" s="19"/>
      <c r="AB1320" s="19"/>
      <c r="AC1320" s="19"/>
      <c r="AD1320" s="19"/>
      <c r="AE1320" s="19"/>
      <c r="AF1320" s="19"/>
      <c r="AG1320" s="19"/>
      <c r="AH1320" s="19"/>
      <c r="AI1320" s="19"/>
      <c r="AJ1320" s="19"/>
      <c r="AK1320" s="19"/>
      <c r="AL1320" s="19"/>
      <c r="AM1320" s="19"/>
      <c r="AN1320" s="19"/>
      <c r="AO1320" s="19"/>
      <c r="AP1320" s="19"/>
      <c r="AQ1320" s="19"/>
      <c r="AR1320" s="19"/>
      <c r="AS1320" s="19"/>
      <c r="AT1320" s="19"/>
      <c r="AU1320" s="19"/>
      <c r="AV1320" s="19"/>
      <c r="AW1320" s="19"/>
      <c r="AX1320" s="19"/>
      <c r="GA1320" s="54"/>
    </row>
    <row r="1321" spans="1:183" s="18" customFormat="1">
      <c r="A1321" s="51"/>
      <c r="B1321" s="52"/>
      <c r="C1321" s="52"/>
      <c r="D1321" s="52"/>
      <c r="E1321" s="53"/>
      <c r="F1321" s="52"/>
      <c r="G1321" s="52"/>
      <c r="H1321" s="52"/>
      <c r="I1321" s="53"/>
      <c r="J1321" s="52"/>
      <c r="K1321" s="52"/>
      <c r="L1321" s="52"/>
      <c r="M1321" s="52"/>
      <c r="N1321" s="19"/>
      <c r="O1321" s="19"/>
      <c r="P1321" s="19"/>
      <c r="Q1321" s="19"/>
      <c r="R1321" s="19"/>
      <c r="S1321" s="19"/>
      <c r="T1321" s="19"/>
      <c r="U1321" s="19"/>
      <c r="V1321" s="19"/>
      <c r="W1321" s="19"/>
      <c r="X1321" s="19"/>
      <c r="Y1321" s="19"/>
      <c r="Z1321" s="19"/>
      <c r="AA1321" s="19"/>
      <c r="AB1321" s="19"/>
      <c r="AC1321" s="19"/>
      <c r="AD1321" s="19"/>
      <c r="AE1321" s="19"/>
      <c r="AF1321" s="19"/>
      <c r="AG1321" s="19"/>
      <c r="AH1321" s="19"/>
      <c r="AI1321" s="19"/>
      <c r="AJ1321" s="19"/>
      <c r="AK1321" s="19"/>
      <c r="AL1321" s="19"/>
      <c r="AM1321" s="19"/>
      <c r="AN1321" s="19"/>
      <c r="AO1321" s="19"/>
      <c r="AP1321" s="19"/>
      <c r="AQ1321" s="19"/>
      <c r="AR1321" s="19"/>
      <c r="AS1321" s="19"/>
      <c r="AT1321" s="19"/>
      <c r="AU1321" s="19"/>
      <c r="AV1321" s="19"/>
      <c r="AW1321" s="19"/>
      <c r="AX1321" s="19"/>
      <c r="GA1321" s="54"/>
    </row>
    <row r="1322" spans="1:183" s="18" customFormat="1">
      <c r="A1322" s="51"/>
      <c r="B1322" s="52"/>
      <c r="C1322" s="52"/>
      <c r="D1322" s="52"/>
      <c r="E1322" s="53"/>
      <c r="F1322" s="52"/>
      <c r="G1322" s="52"/>
      <c r="H1322" s="52"/>
      <c r="I1322" s="53"/>
      <c r="J1322" s="52"/>
      <c r="K1322" s="52"/>
      <c r="L1322" s="52"/>
      <c r="M1322" s="52"/>
      <c r="N1322" s="19"/>
      <c r="O1322" s="19"/>
      <c r="P1322" s="19"/>
      <c r="Q1322" s="19"/>
      <c r="R1322" s="19"/>
      <c r="S1322" s="19"/>
      <c r="T1322" s="19"/>
      <c r="U1322" s="19"/>
      <c r="V1322" s="19"/>
      <c r="W1322" s="19"/>
      <c r="X1322" s="19"/>
      <c r="Y1322" s="19"/>
      <c r="Z1322" s="19"/>
      <c r="AA1322" s="19"/>
      <c r="AB1322" s="19"/>
      <c r="AC1322" s="19"/>
      <c r="AD1322" s="19"/>
      <c r="AE1322" s="19"/>
      <c r="AF1322" s="19"/>
      <c r="AG1322" s="19"/>
      <c r="AH1322" s="19"/>
      <c r="AI1322" s="19"/>
      <c r="AJ1322" s="19"/>
      <c r="AK1322" s="19"/>
      <c r="AL1322" s="19"/>
      <c r="AM1322" s="19"/>
      <c r="AN1322" s="19"/>
      <c r="AO1322" s="19"/>
      <c r="AP1322" s="19"/>
      <c r="AQ1322" s="19"/>
      <c r="AR1322" s="19"/>
      <c r="AS1322" s="19"/>
      <c r="AT1322" s="19"/>
      <c r="AU1322" s="19"/>
      <c r="AV1322" s="19"/>
      <c r="AW1322" s="19"/>
      <c r="AX1322" s="19"/>
      <c r="GA1322" s="54"/>
    </row>
    <row r="1323" spans="1:183" s="18" customFormat="1">
      <c r="A1323" s="51"/>
      <c r="B1323" s="52"/>
      <c r="C1323" s="52"/>
      <c r="D1323" s="52"/>
      <c r="E1323" s="53"/>
      <c r="F1323" s="52"/>
      <c r="G1323" s="52"/>
      <c r="H1323" s="52"/>
      <c r="I1323" s="53"/>
      <c r="J1323" s="52"/>
      <c r="K1323" s="52"/>
      <c r="L1323" s="52"/>
      <c r="M1323" s="52"/>
      <c r="N1323" s="19"/>
      <c r="O1323" s="19"/>
      <c r="P1323" s="19"/>
      <c r="Q1323" s="19"/>
      <c r="R1323" s="19"/>
      <c r="S1323" s="19"/>
      <c r="T1323" s="19"/>
      <c r="U1323" s="19"/>
      <c r="V1323" s="19"/>
      <c r="W1323" s="19"/>
      <c r="X1323" s="19"/>
      <c r="Y1323" s="19"/>
      <c r="Z1323" s="19"/>
      <c r="AA1323" s="19"/>
      <c r="AB1323" s="19"/>
      <c r="AC1323" s="19"/>
      <c r="AD1323" s="19"/>
      <c r="AE1323" s="19"/>
      <c r="AF1323" s="19"/>
      <c r="AG1323" s="19"/>
      <c r="AH1323" s="19"/>
      <c r="AI1323" s="19"/>
      <c r="AJ1323" s="19"/>
      <c r="AK1323" s="19"/>
      <c r="AL1323" s="19"/>
      <c r="AM1323" s="19"/>
      <c r="AN1323" s="19"/>
      <c r="AO1323" s="19"/>
      <c r="AP1323" s="19"/>
      <c r="AQ1323" s="19"/>
      <c r="AR1323" s="19"/>
      <c r="AS1323" s="19"/>
      <c r="AT1323" s="19"/>
      <c r="AU1323" s="19"/>
      <c r="AV1323" s="19"/>
      <c r="AW1323" s="19"/>
      <c r="AX1323" s="19"/>
      <c r="GA1323" s="54"/>
    </row>
    <row r="1324" spans="1:183" s="18" customFormat="1">
      <c r="A1324" s="51"/>
      <c r="B1324" s="52"/>
      <c r="C1324" s="52"/>
      <c r="D1324" s="52"/>
      <c r="E1324" s="53"/>
      <c r="F1324" s="52"/>
      <c r="G1324" s="52"/>
      <c r="H1324" s="52"/>
      <c r="I1324" s="53"/>
      <c r="J1324" s="52"/>
      <c r="K1324" s="52"/>
      <c r="L1324" s="52"/>
      <c r="M1324" s="52"/>
      <c r="N1324" s="19"/>
      <c r="O1324" s="19"/>
      <c r="P1324" s="19"/>
      <c r="Q1324" s="19"/>
      <c r="R1324" s="19"/>
      <c r="S1324" s="19"/>
      <c r="T1324" s="19"/>
      <c r="U1324" s="19"/>
      <c r="V1324" s="19"/>
      <c r="W1324" s="19"/>
      <c r="X1324" s="19"/>
      <c r="Y1324" s="19"/>
      <c r="Z1324" s="19"/>
      <c r="AA1324" s="19"/>
      <c r="AB1324" s="19"/>
      <c r="AC1324" s="19"/>
      <c r="AD1324" s="19"/>
      <c r="AE1324" s="19"/>
      <c r="AF1324" s="19"/>
      <c r="AG1324" s="19"/>
      <c r="AH1324" s="19"/>
      <c r="AI1324" s="19"/>
      <c r="AJ1324" s="19"/>
      <c r="AK1324" s="19"/>
      <c r="AL1324" s="19"/>
      <c r="AM1324" s="19"/>
      <c r="AN1324" s="19"/>
      <c r="AO1324" s="19"/>
      <c r="AP1324" s="19"/>
      <c r="AQ1324" s="19"/>
      <c r="AR1324" s="19"/>
      <c r="AS1324" s="19"/>
      <c r="AT1324" s="19"/>
      <c r="AU1324" s="19"/>
      <c r="AV1324" s="19"/>
      <c r="AW1324" s="19"/>
      <c r="AX1324" s="19"/>
      <c r="GA1324" s="54"/>
    </row>
    <row r="1325" spans="1:183" s="18" customFormat="1">
      <c r="A1325" s="51"/>
      <c r="B1325" s="52"/>
      <c r="C1325" s="52"/>
      <c r="D1325" s="52"/>
      <c r="E1325" s="53"/>
      <c r="F1325" s="52"/>
      <c r="G1325" s="52"/>
      <c r="H1325" s="52"/>
      <c r="I1325" s="53"/>
      <c r="J1325" s="52"/>
      <c r="K1325" s="52"/>
      <c r="L1325" s="52"/>
      <c r="M1325" s="52"/>
      <c r="N1325" s="19"/>
      <c r="O1325" s="19"/>
      <c r="P1325" s="19"/>
      <c r="Q1325" s="19"/>
      <c r="R1325" s="19"/>
      <c r="S1325" s="19"/>
      <c r="T1325" s="19"/>
      <c r="U1325" s="19"/>
      <c r="V1325" s="19"/>
      <c r="W1325" s="19"/>
      <c r="X1325" s="19"/>
      <c r="Y1325" s="19"/>
      <c r="Z1325" s="19"/>
      <c r="AA1325" s="19"/>
      <c r="AB1325" s="19"/>
      <c r="AC1325" s="19"/>
      <c r="AD1325" s="19"/>
      <c r="AE1325" s="19"/>
      <c r="AF1325" s="19"/>
      <c r="AG1325" s="19"/>
      <c r="AH1325" s="19"/>
      <c r="AI1325" s="19"/>
      <c r="AJ1325" s="19"/>
      <c r="AK1325" s="19"/>
      <c r="AL1325" s="19"/>
      <c r="AM1325" s="19"/>
      <c r="AN1325" s="19"/>
      <c r="AO1325" s="19"/>
      <c r="AP1325" s="19"/>
      <c r="AQ1325" s="19"/>
      <c r="AR1325" s="19"/>
      <c r="AS1325" s="19"/>
      <c r="AT1325" s="19"/>
      <c r="AU1325" s="19"/>
      <c r="AV1325" s="19"/>
      <c r="AW1325" s="19"/>
      <c r="AX1325" s="19"/>
      <c r="GA1325" s="54"/>
    </row>
    <row r="1326" spans="1:183" s="18" customFormat="1">
      <c r="A1326" s="51"/>
      <c r="B1326" s="52"/>
      <c r="C1326" s="52"/>
      <c r="D1326" s="52"/>
      <c r="E1326" s="53"/>
      <c r="F1326" s="52"/>
      <c r="G1326" s="52"/>
      <c r="H1326" s="52"/>
      <c r="I1326" s="53"/>
      <c r="J1326" s="52"/>
      <c r="K1326" s="52"/>
      <c r="L1326" s="52"/>
      <c r="M1326" s="52"/>
      <c r="N1326" s="19"/>
      <c r="O1326" s="19"/>
      <c r="P1326" s="19"/>
      <c r="Q1326" s="19"/>
      <c r="R1326" s="19"/>
      <c r="S1326" s="19"/>
      <c r="T1326" s="19"/>
      <c r="U1326" s="19"/>
      <c r="V1326" s="19"/>
      <c r="W1326" s="19"/>
      <c r="X1326" s="19"/>
      <c r="Y1326" s="19"/>
      <c r="Z1326" s="19"/>
      <c r="AA1326" s="19"/>
      <c r="AB1326" s="19"/>
      <c r="AC1326" s="19"/>
      <c r="AD1326" s="19"/>
      <c r="AE1326" s="19"/>
      <c r="AF1326" s="19"/>
      <c r="AG1326" s="19"/>
      <c r="AH1326" s="19"/>
      <c r="AI1326" s="19"/>
      <c r="AJ1326" s="19"/>
      <c r="AK1326" s="19"/>
      <c r="AL1326" s="19"/>
      <c r="AM1326" s="19"/>
      <c r="AN1326" s="19"/>
      <c r="AO1326" s="19"/>
      <c r="AP1326" s="19"/>
      <c r="AQ1326" s="19"/>
      <c r="AR1326" s="19"/>
      <c r="AS1326" s="19"/>
      <c r="AT1326" s="19"/>
      <c r="AU1326" s="19"/>
      <c r="AV1326" s="19"/>
      <c r="AW1326" s="19"/>
      <c r="AX1326" s="19"/>
      <c r="GA1326" s="54"/>
    </row>
    <row r="1327" spans="1:183" s="18" customFormat="1">
      <c r="A1327" s="51"/>
      <c r="B1327" s="52"/>
      <c r="C1327" s="52"/>
      <c r="D1327" s="52"/>
      <c r="E1327" s="53"/>
      <c r="F1327" s="52"/>
      <c r="G1327" s="52"/>
      <c r="H1327" s="52"/>
      <c r="I1327" s="53"/>
      <c r="J1327" s="52"/>
      <c r="K1327" s="52"/>
      <c r="L1327" s="52"/>
      <c r="M1327" s="52"/>
      <c r="N1327" s="19"/>
      <c r="O1327" s="19"/>
      <c r="P1327" s="19"/>
      <c r="Q1327" s="19"/>
      <c r="R1327" s="19"/>
      <c r="S1327" s="19"/>
      <c r="T1327" s="19"/>
      <c r="U1327" s="19"/>
      <c r="V1327" s="19"/>
      <c r="W1327" s="19"/>
      <c r="X1327" s="19"/>
      <c r="Y1327" s="19"/>
      <c r="Z1327" s="19"/>
      <c r="AA1327" s="19"/>
      <c r="AB1327" s="19"/>
      <c r="AC1327" s="19"/>
      <c r="AD1327" s="19"/>
      <c r="AE1327" s="19"/>
      <c r="AF1327" s="19"/>
      <c r="AG1327" s="19"/>
      <c r="AH1327" s="19"/>
      <c r="AI1327" s="19"/>
      <c r="AJ1327" s="19"/>
      <c r="AK1327" s="19"/>
      <c r="AL1327" s="19"/>
      <c r="AM1327" s="19"/>
      <c r="AN1327" s="19"/>
      <c r="AO1327" s="19"/>
      <c r="AP1327" s="19"/>
      <c r="AQ1327" s="19"/>
      <c r="AR1327" s="19"/>
      <c r="AS1327" s="19"/>
      <c r="AT1327" s="19"/>
      <c r="AU1327" s="19"/>
      <c r="AV1327" s="19"/>
      <c r="AW1327" s="19"/>
      <c r="AX1327" s="19"/>
      <c r="GA1327" s="54"/>
    </row>
    <row r="1328" spans="1:183" s="18" customFormat="1">
      <c r="A1328" s="51"/>
      <c r="B1328" s="52"/>
      <c r="C1328" s="52"/>
      <c r="D1328" s="52"/>
      <c r="E1328" s="53"/>
      <c r="F1328" s="52"/>
      <c r="G1328" s="52"/>
      <c r="H1328" s="52"/>
      <c r="I1328" s="53"/>
      <c r="J1328" s="52"/>
      <c r="K1328" s="52"/>
      <c r="L1328" s="52"/>
      <c r="M1328" s="52"/>
      <c r="N1328" s="19"/>
      <c r="O1328" s="19"/>
      <c r="P1328" s="19"/>
      <c r="Q1328" s="19"/>
      <c r="R1328" s="19"/>
      <c r="S1328" s="19"/>
      <c r="T1328" s="19"/>
      <c r="U1328" s="19"/>
      <c r="V1328" s="19"/>
      <c r="W1328" s="19"/>
      <c r="X1328" s="19"/>
      <c r="Y1328" s="19"/>
      <c r="Z1328" s="19"/>
      <c r="AA1328" s="19"/>
      <c r="AB1328" s="19"/>
      <c r="AC1328" s="19"/>
      <c r="AD1328" s="19"/>
      <c r="AE1328" s="19"/>
      <c r="AF1328" s="19"/>
      <c r="AG1328" s="19"/>
      <c r="AH1328" s="19"/>
      <c r="AI1328" s="19"/>
      <c r="AJ1328" s="19"/>
      <c r="AK1328" s="19"/>
      <c r="AL1328" s="19"/>
      <c r="AM1328" s="19"/>
      <c r="AN1328" s="19"/>
      <c r="AO1328" s="19"/>
      <c r="AP1328" s="19"/>
      <c r="AQ1328" s="19"/>
      <c r="AR1328" s="19"/>
      <c r="AS1328" s="19"/>
      <c r="AT1328" s="19"/>
      <c r="AU1328" s="19"/>
      <c r="AV1328" s="19"/>
      <c r="AW1328" s="19"/>
      <c r="AX1328" s="19"/>
      <c r="GA1328" s="54"/>
    </row>
    <row r="1329" spans="1:183" s="18" customFormat="1">
      <c r="A1329" s="51"/>
      <c r="B1329" s="52"/>
      <c r="C1329" s="52"/>
      <c r="D1329" s="52"/>
      <c r="E1329" s="53"/>
      <c r="F1329" s="52"/>
      <c r="G1329" s="52"/>
      <c r="H1329" s="52"/>
      <c r="I1329" s="53"/>
      <c r="J1329" s="52"/>
      <c r="K1329" s="52"/>
      <c r="L1329" s="52"/>
      <c r="M1329" s="52"/>
      <c r="N1329" s="19"/>
      <c r="O1329" s="19"/>
      <c r="P1329" s="19"/>
      <c r="Q1329" s="19"/>
      <c r="R1329" s="19"/>
      <c r="S1329" s="19"/>
      <c r="T1329" s="19"/>
      <c r="U1329" s="19"/>
      <c r="V1329" s="19"/>
      <c r="W1329" s="19"/>
      <c r="X1329" s="19"/>
      <c r="Y1329" s="19"/>
      <c r="Z1329" s="19"/>
      <c r="AA1329" s="19"/>
      <c r="AB1329" s="19"/>
      <c r="AC1329" s="19"/>
      <c r="AD1329" s="19"/>
      <c r="AE1329" s="19"/>
      <c r="AF1329" s="19"/>
      <c r="AG1329" s="19"/>
      <c r="AH1329" s="19"/>
      <c r="AI1329" s="19"/>
      <c r="AJ1329" s="19"/>
      <c r="AK1329" s="19"/>
      <c r="AL1329" s="19"/>
      <c r="AM1329" s="19"/>
      <c r="AN1329" s="19"/>
      <c r="AO1329" s="19"/>
      <c r="AP1329" s="19"/>
      <c r="AQ1329" s="19"/>
      <c r="AR1329" s="19"/>
      <c r="AS1329" s="19"/>
      <c r="AT1329" s="19"/>
      <c r="AU1329" s="19"/>
      <c r="AV1329" s="19"/>
      <c r="AW1329" s="19"/>
      <c r="AX1329" s="19"/>
      <c r="GA1329" s="54"/>
    </row>
    <row r="1330" spans="1:183" s="18" customFormat="1">
      <c r="A1330" s="51"/>
      <c r="B1330" s="52"/>
      <c r="C1330" s="52"/>
      <c r="D1330" s="52"/>
      <c r="E1330" s="53"/>
      <c r="F1330" s="52"/>
      <c r="G1330" s="52"/>
      <c r="H1330" s="52"/>
      <c r="I1330" s="53"/>
      <c r="J1330" s="52"/>
      <c r="K1330" s="52"/>
      <c r="L1330" s="52"/>
      <c r="M1330" s="52"/>
      <c r="N1330" s="19"/>
      <c r="O1330" s="19"/>
      <c r="P1330" s="19"/>
      <c r="Q1330" s="19"/>
      <c r="R1330" s="19"/>
      <c r="S1330" s="19"/>
      <c r="T1330" s="19"/>
      <c r="U1330" s="19"/>
      <c r="V1330" s="19"/>
      <c r="W1330" s="19"/>
      <c r="X1330" s="19"/>
      <c r="Y1330" s="19"/>
      <c r="Z1330" s="19"/>
      <c r="AA1330" s="19"/>
      <c r="AB1330" s="19"/>
      <c r="AC1330" s="19"/>
      <c r="AD1330" s="19"/>
      <c r="AE1330" s="19"/>
      <c r="AF1330" s="19"/>
      <c r="AG1330" s="19"/>
      <c r="AH1330" s="19"/>
      <c r="AI1330" s="19"/>
      <c r="AJ1330" s="19"/>
      <c r="AK1330" s="19"/>
      <c r="AL1330" s="19"/>
      <c r="AM1330" s="19"/>
      <c r="AN1330" s="19"/>
      <c r="AO1330" s="19"/>
      <c r="AP1330" s="19"/>
      <c r="AQ1330" s="19"/>
      <c r="AR1330" s="19"/>
      <c r="AS1330" s="19"/>
      <c r="AT1330" s="19"/>
      <c r="AU1330" s="19"/>
      <c r="AV1330" s="19"/>
      <c r="AW1330" s="19"/>
      <c r="AX1330" s="19"/>
      <c r="GA1330" s="54"/>
    </row>
    <row r="1331" spans="1:183" s="18" customFormat="1">
      <c r="A1331" s="51"/>
      <c r="B1331" s="52"/>
      <c r="C1331" s="52"/>
      <c r="D1331" s="52"/>
      <c r="E1331" s="53"/>
      <c r="F1331" s="52"/>
      <c r="G1331" s="52"/>
      <c r="H1331" s="52"/>
      <c r="I1331" s="53"/>
      <c r="J1331" s="52"/>
      <c r="K1331" s="52"/>
      <c r="L1331" s="52"/>
      <c r="M1331" s="52"/>
      <c r="N1331" s="19"/>
      <c r="O1331" s="19"/>
      <c r="P1331" s="19"/>
      <c r="Q1331" s="19"/>
      <c r="R1331" s="19"/>
      <c r="S1331" s="19"/>
      <c r="T1331" s="19"/>
      <c r="U1331" s="19"/>
      <c r="V1331" s="19"/>
      <c r="W1331" s="19"/>
      <c r="X1331" s="19"/>
      <c r="Y1331" s="19"/>
      <c r="Z1331" s="19"/>
      <c r="AA1331" s="19"/>
      <c r="AB1331" s="19"/>
      <c r="AC1331" s="19"/>
      <c r="AD1331" s="19"/>
      <c r="AE1331" s="19"/>
      <c r="AF1331" s="19"/>
      <c r="AG1331" s="19"/>
      <c r="AH1331" s="19"/>
      <c r="AI1331" s="19"/>
      <c r="AJ1331" s="19"/>
      <c r="AK1331" s="19"/>
      <c r="AL1331" s="19"/>
      <c r="AM1331" s="19"/>
      <c r="AN1331" s="19"/>
      <c r="AO1331" s="19"/>
      <c r="AP1331" s="19"/>
      <c r="AQ1331" s="19"/>
      <c r="AR1331" s="19"/>
      <c r="AS1331" s="19"/>
      <c r="AT1331" s="19"/>
      <c r="AU1331" s="19"/>
      <c r="AV1331" s="19"/>
      <c r="AW1331" s="19"/>
      <c r="AX1331" s="19"/>
      <c r="GA1331" s="54"/>
    </row>
    <row r="1332" spans="1:183" s="18" customFormat="1">
      <c r="A1332" s="51"/>
      <c r="B1332" s="52"/>
      <c r="C1332" s="52"/>
      <c r="D1332" s="52"/>
      <c r="E1332" s="53"/>
      <c r="F1332" s="52"/>
      <c r="G1332" s="52"/>
      <c r="H1332" s="52"/>
      <c r="I1332" s="53"/>
      <c r="J1332" s="52"/>
      <c r="K1332" s="52"/>
      <c r="L1332" s="52"/>
      <c r="M1332" s="52"/>
      <c r="N1332" s="19"/>
      <c r="O1332" s="19"/>
      <c r="P1332" s="19"/>
      <c r="Q1332" s="19"/>
      <c r="R1332" s="19"/>
      <c r="S1332" s="19"/>
      <c r="T1332" s="19"/>
      <c r="U1332" s="19"/>
      <c r="V1332" s="19"/>
      <c r="W1332" s="19"/>
      <c r="X1332" s="19"/>
      <c r="Y1332" s="19"/>
      <c r="Z1332" s="19"/>
      <c r="AA1332" s="19"/>
      <c r="AB1332" s="19"/>
      <c r="AC1332" s="19"/>
      <c r="AD1332" s="19"/>
      <c r="AE1332" s="19"/>
      <c r="AF1332" s="19"/>
      <c r="AG1332" s="19"/>
      <c r="AH1332" s="19"/>
      <c r="AI1332" s="19"/>
      <c r="AJ1332" s="19"/>
      <c r="AK1332" s="19"/>
      <c r="AL1332" s="19"/>
      <c r="AM1332" s="19"/>
      <c r="AN1332" s="19"/>
      <c r="AO1332" s="19"/>
      <c r="AP1332" s="19"/>
      <c r="AQ1332" s="19"/>
      <c r="AR1332" s="19"/>
      <c r="AS1332" s="19"/>
      <c r="AT1332" s="19"/>
      <c r="AU1332" s="19"/>
      <c r="AV1332" s="19"/>
      <c r="AW1332" s="19"/>
      <c r="AX1332" s="19"/>
      <c r="GA1332" s="54"/>
    </row>
    <row r="1333" spans="1:183" s="18" customFormat="1">
      <c r="A1333" s="51"/>
      <c r="B1333" s="52"/>
      <c r="C1333" s="52"/>
      <c r="D1333" s="52"/>
      <c r="E1333" s="53"/>
      <c r="F1333" s="52"/>
      <c r="G1333" s="52"/>
      <c r="H1333" s="52"/>
      <c r="I1333" s="53"/>
      <c r="J1333" s="52"/>
      <c r="K1333" s="52"/>
      <c r="L1333" s="52"/>
      <c r="M1333" s="52"/>
      <c r="N1333" s="19"/>
      <c r="O1333" s="19"/>
      <c r="P1333" s="19"/>
      <c r="Q1333" s="19"/>
      <c r="R1333" s="19"/>
      <c r="S1333" s="19"/>
      <c r="T1333" s="19"/>
      <c r="U1333" s="19"/>
      <c r="V1333" s="19"/>
      <c r="W1333" s="19"/>
      <c r="X1333" s="19"/>
      <c r="Y1333" s="19"/>
      <c r="Z1333" s="19"/>
      <c r="AA1333" s="19"/>
      <c r="AB1333" s="19"/>
      <c r="AC1333" s="19"/>
      <c r="AD1333" s="19"/>
      <c r="AE1333" s="19"/>
      <c r="AF1333" s="19"/>
      <c r="AG1333" s="19"/>
      <c r="AH1333" s="19"/>
      <c r="AI1333" s="19"/>
      <c r="AJ1333" s="19"/>
      <c r="AK1333" s="19"/>
      <c r="AL1333" s="19"/>
      <c r="AM1333" s="19"/>
      <c r="AN1333" s="19"/>
      <c r="AO1333" s="19"/>
      <c r="AP1333" s="19"/>
      <c r="AQ1333" s="19"/>
      <c r="AR1333" s="19"/>
      <c r="AS1333" s="19"/>
      <c r="AT1333" s="19"/>
      <c r="AU1333" s="19"/>
      <c r="AV1333" s="19"/>
      <c r="AW1333" s="19"/>
      <c r="AX1333" s="19"/>
      <c r="GA1333" s="54"/>
    </row>
    <row r="1334" spans="1:183" s="18" customFormat="1">
      <c r="A1334" s="51"/>
      <c r="B1334" s="52"/>
      <c r="C1334" s="52"/>
      <c r="D1334" s="52"/>
      <c r="E1334" s="53"/>
      <c r="F1334" s="52"/>
      <c r="G1334" s="52"/>
      <c r="H1334" s="52"/>
      <c r="I1334" s="53"/>
      <c r="J1334" s="52"/>
      <c r="K1334" s="52"/>
      <c r="L1334" s="52"/>
      <c r="M1334" s="52"/>
      <c r="N1334" s="19"/>
      <c r="O1334" s="19"/>
      <c r="P1334" s="19"/>
      <c r="Q1334" s="19"/>
      <c r="R1334" s="19"/>
      <c r="S1334" s="19"/>
      <c r="T1334" s="19"/>
      <c r="U1334" s="19"/>
      <c r="V1334" s="19"/>
      <c r="W1334" s="19"/>
      <c r="X1334" s="19"/>
      <c r="Y1334" s="19"/>
      <c r="Z1334" s="19"/>
      <c r="AA1334" s="19"/>
      <c r="AB1334" s="19"/>
      <c r="AC1334" s="19"/>
      <c r="AD1334" s="19"/>
      <c r="AE1334" s="19"/>
      <c r="AF1334" s="19"/>
      <c r="AG1334" s="19"/>
      <c r="AH1334" s="19"/>
      <c r="AI1334" s="19"/>
      <c r="AJ1334" s="19"/>
      <c r="AK1334" s="19"/>
      <c r="AL1334" s="19"/>
      <c r="AM1334" s="19"/>
      <c r="AN1334" s="19"/>
      <c r="AO1334" s="19"/>
      <c r="AP1334" s="19"/>
      <c r="AQ1334" s="19"/>
      <c r="AR1334" s="19"/>
      <c r="AS1334" s="19"/>
      <c r="AT1334" s="19"/>
      <c r="AU1334" s="19"/>
      <c r="AV1334" s="19"/>
      <c r="AW1334" s="19"/>
      <c r="AX1334" s="19"/>
      <c r="GA1334" s="54"/>
    </row>
    <row r="1335" spans="1:183" s="18" customFormat="1">
      <c r="A1335" s="51"/>
      <c r="B1335" s="52"/>
      <c r="C1335" s="52"/>
      <c r="D1335" s="52"/>
      <c r="E1335" s="53"/>
      <c r="F1335" s="52"/>
      <c r="G1335" s="52"/>
      <c r="H1335" s="52"/>
      <c r="I1335" s="53"/>
      <c r="J1335" s="52"/>
      <c r="K1335" s="52"/>
      <c r="L1335" s="52"/>
      <c r="M1335" s="52"/>
      <c r="N1335" s="19"/>
      <c r="O1335" s="19"/>
      <c r="P1335" s="19"/>
      <c r="Q1335" s="19"/>
      <c r="R1335" s="19"/>
      <c r="S1335" s="19"/>
      <c r="T1335" s="19"/>
      <c r="U1335" s="19"/>
      <c r="V1335" s="19"/>
      <c r="W1335" s="19"/>
      <c r="X1335" s="19"/>
      <c r="Y1335" s="19"/>
      <c r="Z1335" s="19"/>
      <c r="AA1335" s="19"/>
      <c r="AB1335" s="19"/>
      <c r="AC1335" s="19"/>
      <c r="AD1335" s="19"/>
      <c r="AE1335" s="19"/>
      <c r="AF1335" s="19"/>
      <c r="AG1335" s="19"/>
      <c r="AH1335" s="19"/>
      <c r="AI1335" s="19"/>
      <c r="AJ1335" s="19"/>
      <c r="AK1335" s="19"/>
      <c r="AL1335" s="19"/>
      <c r="AM1335" s="19"/>
      <c r="AN1335" s="19"/>
      <c r="AO1335" s="19"/>
      <c r="AP1335" s="19"/>
      <c r="AQ1335" s="19"/>
      <c r="AR1335" s="19"/>
      <c r="AS1335" s="19"/>
      <c r="AT1335" s="19"/>
      <c r="AU1335" s="19"/>
      <c r="AV1335" s="19"/>
      <c r="AW1335" s="19"/>
      <c r="AX1335" s="19"/>
      <c r="GA1335" s="54"/>
    </row>
    <row r="1336" spans="1:183" s="18" customFormat="1">
      <c r="A1336" s="51"/>
      <c r="B1336" s="52"/>
      <c r="C1336" s="52"/>
      <c r="D1336" s="52"/>
      <c r="E1336" s="53"/>
      <c r="F1336" s="52"/>
      <c r="G1336" s="52"/>
      <c r="H1336" s="52"/>
      <c r="I1336" s="53"/>
      <c r="J1336" s="52"/>
      <c r="K1336" s="52"/>
      <c r="L1336" s="52"/>
      <c r="M1336" s="52"/>
      <c r="N1336" s="19"/>
      <c r="O1336" s="19"/>
      <c r="P1336" s="19"/>
      <c r="Q1336" s="19"/>
      <c r="R1336" s="19"/>
      <c r="S1336" s="19"/>
      <c r="T1336" s="19"/>
      <c r="U1336" s="19"/>
      <c r="V1336" s="19"/>
      <c r="W1336" s="19"/>
      <c r="X1336" s="19"/>
      <c r="Y1336" s="19"/>
      <c r="Z1336" s="19"/>
      <c r="AA1336" s="19"/>
      <c r="AB1336" s="19"/>
      <c r="AC1336" s="19"/>
      <c r="AD1336" s="19"/>
      <c r="AE1336" s="19"/>
      <c r="AF1336" s="19"/>
      <c r="AG1336" s="19"/>
      <c r="AH1336" s="19"/>
      <c r="AI1336" s="19"/>
      <c r="AJ1336" s="19"/>
      <c r="AK1336" s="19"/>
      <c r="AL1336" s="19"/>
      <c r="AM1336" s="19"/>
      <c r="AN1336" s="19"/>
      <c r="AO1336" s="19"/>
      <c r="AP1336" s="19"/>
      <c r="AQ1336" s="19"/>
      <c r="AR1336" s="19"/>
      <c r="AS1336" s="19"/>
      <c r="AT1336" s="19"/>
      <c r="AU1336" s="19"/>
      <c r="AV1336" s="19"/>
      <c r="AW1336" s="19"/>
      <c r="AX1336" s="19"/>
      <c r="GA1336" s="54"/>
    </row>
    <row r="1337" spans="1:183" s="18" customFormat="1">
      <c r="A1337" s="51"/>
      <c r="B1337" s="52"/>
      <c r="C1337" s="52"/>
      <c r="D1337" s="52"/>
      <c r="E1337" s="53"/>
      <c r="F1337" s="52"/>
      <c r="G1337" s="52"/>
      <c r="H1337" s="52"/>
      <c r="I1337" s="53"/>
      <c r="J1337" s="52"/>
      <c r="K1337" s="52"/>
      <c r="L1337" s="52"/>
      <c r="M1337" s="52"/>
      <c r="N1337" s="19"/>
      <c r="O1337" s="19"/>
      <c r="P1337" s="19"/>
      <c r="Q1337" s="19"/>
      <c r="R1337" s="19"/>
      <c r="S1337" s="19"/>
      <c r="T1337" s="19"/>
      <c r="U1337" s="19"/>
      <c r="V1337" s="19"/>
      <c r="W1337" s="19"/>
      <c r="X1337" s="19"/>
      <c r="Y1337" s="19"/>
      <c r="Z1337" s="19"/>
      <c r="AA1337" s="19"/>
      <c r="AB1337" s="19"/>
      <c r="AC1337" s="19"/>
      <c r="AD1337" s="19"/>
      <c r="AE1337" s="19"/>
      <c r="AF1337" s="19"/>
      <c r="AG1337" s="19"/>
      <c r="AH1337" s="19"/>
      <c r="AI1337" s="19"/>
      <c r="AJ1337" s="19"/>
      <c r="AK1337" s="19"/>
      <c r="AL1337" s="19"/>
      <c r="AM1337" s="19"/>
      <c r="AN1337" s="19"/>
      <c r="AO1337" s="19"/>
      <c r="AP1337" s="19"/>
      <c r="AQ1337" s="19"/>
      <c r="AR1337" s="19"/>
      <c r="AS1337" s="19"/>
      <c r="AT1337" s="19"/>
      <c r="AU1337" s="19"/>
      <c r="AV1337" s="19"/>
      <c r="AW1337" s="19"/>
      <c r="AX1337" s="19"/>
      <c r="GA1337" s="54"/>
    </row>
    <row r="1338" spans="1:183" s="18" customFormat="1">
      <c r="A1338" s="51"/>
      <c r="B1338" s="52"/>
      <c r="C1338" s="52"/>
      <c r="D1338" s="52"/>
      <c r="E1338" s="53"/>
      <c r="F1338" s="52"/>
      <c r="G1338" s="52"/>
      <c r="H1338" s="52"/>
      <c r="I1338" s="53"/>
      <c r="J1338" s="52"/>
      <c r="K1338" s="52"/>
      <c r="L1338" s="52"/>
      <c r="M1338" s="52"/>
      <c r="N1338" s="19"/>
      <c r="O1338" s="19"/>
      <c r="P1338" s="19"/>
      <c r="Q1338" s="19"/>
      <c r="R1338" s="19"/>
      <c r="S1338" s="19"/>
      <c r="T1338" s="19"/>
      <c r="U1338" s="19"/>
      <c r="V1338" s="19"/>
      <c r="W1338" s="19"/>
      <c r="X1338" s="19"/>
      <c r="Y1338" s="19"/>
      <c r="Z1338" s="19"/>
      <c r="AA1338" s="19"/>
      <c r="AB1338" s="19"/>
      <c r="AC1338" s="19"/>
      <c r="AD1338" s="19"/>
      <c r="AE1338" s="19"/>
      <c r="AF1338" s="19"/>
      <c r="AG1338" s="19"/>
      <c r="AH1338" s="19"/>
      <c r="AI1338" s="19"/>
      <c r="AJ1338" s="19"/>
      <c r="AK1338" s="19"/>
      <c r="AL1338" s="19"/>
      <c r="AM1338" s="19"/>
      <c r="AN1338" s="19"/>
      <c r="AO1338" s="19"/>
      <c r="AP1338" s="19"/>
      <c r="AQ1338" s="19"/>
      <c r="AR1338" s="19"/>
      <c r="AS1338" s="19"/>
      <c r="AT1338" s="19"/>
      <c r="AU1338" s="19"/>
      <c r="AV1338" s="19"/>
      <c r="AW1338" s="19"/>
      <c r="AX1338" s="19"/>
      <c r="GA1338" s="54"/>
    </row>
    <row r="1339" spans="1:183" s="18" customFormat="1">
      <c r="A1339" s="51"/>
      <c r="B1339" s="52"/>
      <c r="C1339" s="52"/>
      <c r="D1339" s="52"/>
      <c r="E1339" s="53"/>
      <c r="F1339" s="52"/>
      <c r="G1339" s="52"/>
      <c r="H1339" s="52"/>
      <c r="I1339" s="53"/>
      <c r="J1339" s="52"/>
      <c r="K1339" s="52"/>
      <c r="L1339" s="52"/>
      <c r="M1339" s="52"/>
      <c r="N1339" s="19"/>
      <c r="O1339" s="19"/>
      <c r="P1339" s="19"/>
      <c r="Q1339" s="19"/>
      <c r="R1339" s="19"/>
      <c r="S1339" s="19"/>
      <c r="T1339" s="19"/>
      <c r="U1339" s="19"/>
      <c r="V1339" s="19"/>
      <c r="W1339" s="19"/>
      <c r="X1339" s="19"/>
      <c r="Y1339" s="19"/>
      <c r="Z1339" s="19"/>
      <c r="AA1339" s="19"/>
      <c r="AB1339" s="19"/>
      <c r="AC1339" s="19"/>
      <c r="AD1339" s="19"/>
      <c r="AE1339" s="19"/>
      <c r="AF1339" s="19"/>
      <c r="AG1339" s="19"/>
      <c r="AH1339" s="19"/>
      <c r="AI1339" s="19"/>
      <c r="AJ1339" s="19"/>
      <c r="AK1339" s="19"/>
      <c r="AL1339" s="19"/>
      <c r="AM1339" s="19"/>
      <c r="AN1339" s="19"/>
      <c r="AO1339" s="19"/>
      <c r="AP1339" s="19"/>
      <c r="AQ1339" s="19"/>
      <c r="AR1339" s="19"/>
      <c r="AS1339" s="19"/>
      <c r="AT1339" s="19"/>
      <c r="AU1339" s="19"/>
      <c r="AV1339" s="19"/>
      <c r="AW1339" s="19"/>
      <c r="AX1339" s="19"/>
      <c r="GA1339" s="54"/>
    </row>
    <row r="1340" spans="1:183" s="18" customFormat="1">
      <c r="A1340" s="51"/>
      <c r="B1340" s="52"/>
      <c r="C1340" s="52"/>
      <c r="D1340" s="52"/>
      <c r="E1340" s="53"/>
      <c r="F1340" s="52"/>
      <c r="G1340" s="52"/>
      <c r="H1340" s="52"/>
      <c r="I1340" s="53"/>
      <c r="J1340" s="52"/>
      <c r="K1340" s="52"/>
      <c r="L1340" s="52"/>
      <c r="M1340" s="52"/>
      <c r="N1340" s="19"/>
      <c r="O1340" s="19"/>
      <c r="P1340" s="19"/>
      <c r="Q1340" s="19"/>
      <c r="R1340" s="19"/>
      <c r="S1340" s="19"/>
      <c r="T1340" s="19"/>
      <c r="U1340" s="19"/>
      <c r="V1340" s="19"/>
      <c r="W1340" s="19"/>
      <c r="X1340" s="19"/>
      <c r="Y1340" s="19"/>
      <c r="Z1340" s="19"/>
      <c r="AA1340" s="19"/>
      <c r="AB1340" s="19"/>
      <c r="AC1340" s="19"/>
      <c r="AD1340" s="19"/>
      <c r="AE1340" s="19"/>
      <c r="AF1340" s="19"/>
      <c r="AG1340" s="19"/>
      <c r="AH1340" s="19"/>
      <c r="AI1340" s="19"/>
      <c r="AJ1340" s="19"/>
      <c r="AK1340" s="19"/>
      <c r="AL1340" s="19"/>
      <c r="AM1340" s="19"/>
      <c r="AN1340" s="19"/>
      <c r="AO1340" s="19"/>
      <c r="AP1340" s="19"/>
      <c r="AQ1340" s="19"/>
      <c r="AR1340" s="19"/>
      <c r="AS1340" s="19"/>
      <c r="AT1340" s="19"/>
      <c r="AU1340" s="19"/>
      <c r="AV1340" s="19"/>
      <c r="AW1340" s="19"/>
      <c r="AX1340" s="19"/>
      <c r="GA1340" s="54"/>
    </row>
    <row r="1341" spans="1:183" s="18" customFormat="1">
      <c r="A1341" s="51"/>
      <c r="B1341" s="52"/>
      <c r="C1341" s="52"/>
      <c r="D1341" s="52"/>
      <c r="E1341" s="53"/>
      <c r="F1341" s="52"/>
      <c r="G1341" s="52"/>
      <c r="H1341" s="52"/>
      <c r="I1341" s="53"/>
      <c r="J1341" s="52"/>
      <c r="K1341" s="52"/>
      <c r="L1341" s="52"/>
      <c r="M1341" s="52"/>
      <c r="N1341" s="19"/>
      <c r="O1341" s="19"/>
      <c r="P1341" s="19"/>
      <c r="Q1341" s="19"/>
      <c r="R1341" s="19"/>
      <c r="S1341" s="19"/>
      <c r="T1341" s="19"/>
      <c r="U1341" s="19"/>
      <c r="V1341" s="19"/>
      <c r="W1341" s="19"/>
      <c r="X1341" s="19"/>
      <c r="Y1341" s="19"/>
      <c r="Z1341" s="19"/>
      <c r="AA1341" s="19"/>
      <c r="AB1341" s="19"/>
      <c r="AC1341" s="19"/>
      <c r="AD1341" s="19"/>
      <c r="AE1341" s="19"/>
      <c r="AF1341" s="19"/>
      <c r="AG1341" s="19"/>
      <c r="AH1341" s="19"/>
      <c r="AI1341" s="19"/>
      <c r="AJ1341" s="19"/>
      <c r="AK1341" s="19"/>
      <c r="AL1341" s="19"/>
      <c r="AM1341" s="19"/>
      <c r="AN1341" s="19"/>
      <c r="AO1341" s="19"/>
      <c r="AP1341" s="19"/>
      <c r="AQ1341" s="19"/>
      <c r="AR1341" s="19"/>
      <c r="AS1341" s="19"/>
      <c r="AT1341" s="19"/>
      <c r="AU1341" s="19"/>
      <c r="AV1341" s="19"/>
      <c r="AW1341" s="19"/>
      <c r="AX1341" s="19"/>
      <c r="GA1341" s="54"/>
    </row>
    <row r="1342" spans="1:183" s="18" customFormat="1">
      <c r="A1342" s="51"/>
      <c r="B1342" s="52"/>
      <c r="C1342" s="52"/>
      <c r="D1342" s="52"/>
      <c r="E1342" s="53"/>
      <c r="F1342" s="52"/>
      <c r="G1342" s="52"/>
      <c r="H1342" s="52"/>
      <c r="I1342" s="53"/>
      <c r="J1342" s="52"/>
      <c r="K1342" s="52"/>
      <c r="L1342" s="52"/>
      <c r="M1342" s="52"/>
      <c r="N1342" s="19"/>
      <c r="O1342" s="19"/>
      <c r="P1342" s="19"/>
      <c r="Q1342" s="19"/>
      <c r="R1342" s="19"/>
      <c r="S1342" s="19"/>
      <c r="T1342" s="19"/>
      <c r="U1342" s="19"/>
      <c r="V1342" s="19"/>
      <c r="W1342" s="19"/>
      <c r="X1342" s="19"/>
      <c r="Y1342" s="19"/>
      <c r="Z1342" s="19"/>
      <c r="AA1342" s="19"/>
      <c r="AB1342" s="19"/>
      <c r="AC1342" s="19"/>
      <c r="AD1342" s="19"/>
      <c r="AE1342" s="19"/>
      <c r="AF1342" s="19"/>
      <c r="AG1342" s="19"/>
      <c r="AH1342" s="19"/>
      <c r="AI1342" s="19"/>
      <c r="AJ1342" s="19"/>
      <c r="AK1342" s="19"/>
      <c r="AL1342" s="19"/>
      <c r="AM1342" s="19"/>
      <c r="AN1342" s="19"/>
      <c r="AO1342" s="19"/>
      <c r="AP1342" s="19"/>
      <c r="AQ1342" s="19"/>
      <c r="AR1342" s="19"/>
      <c r="AS1342" s="19"/>
      <c r="AT1342" s="19"/>
      <c r="AU1342" s="19"/>
      <c r="AV1342" s="19"/>
      <c r="AW1342" s="19"/>
      <c r="AX1342" s="19"/>
      <c r="GA1342" s="54"/>
    </row>
    <row r="1343" spans="1:183" s="18" customFormat="1">
      <c r="A1343" s="51"/>
      <c r="B1343" s="52"/>
      <c r="C1343" s="52"/>
      <c r="D1343" s="52"/>
      <c r="E1343" s="53"/>
      <c r="F1343" s="52"/>
      <c r="G1343" s="52"/>
      <c r="H1343" s="52"/>
      <c r="I1343" s="53"/>
      <c r="J1343" s="52"/>
      <c r="K1343" s="52"/>
      <c r="L1343" s="52"/>
      <c r="M1343" s="52"/>
      <c r="N1343" s="19"/>
      <c r="O1343" s="19"/>
      <c r="P1343" s="19"/>
      <c r="Q1343" s="19"/>
      <c r="R1343" s="19"/>
      <c r="S1343" s="19"/>
      <c r="T1343" s="19"/>
      <c r="U1343" s="19"/>
      <c r="V1343" s="19"/>
      <c r="W1343" s="19"/>
      <c r="X1343" s="19"/>
      <c r="Y1343" s="19"/>
      <c r="Z1343" s="19"/>
      <c r="AA1343" s="19"/>
      <c r="AB1343" s="19"/>
      <c r="AC1343" s="19"/>
      <c r="AD1343" s="19"/>
      <c r="AE1343" s="19"/>
      <c r="AF1343" s="19"/>
      <c r="AG1343" s="19"/>
      <c r="AH1343" s="19"/>
      <c r="AI1343" s="19"/>
      <c r="AJ1343" s="19"/>
      <c r="AK1343" s="19"/>
      <c r="AL1343" s="19"/>
      <c r="AM1343" s="19"/>
      <c r="AN1343" s="19"/>
      <c r="AO1343" s="19"/>
      <c r="AP1343" s="19"/>
      <c r="AQ1343" s="19"/>
      <c r="AR1343" s="19"/>
      <c r="AS1343" s="19"/>
      <c r="AT1343" s="19"/>
      <c r="AU1343" s="19"/>
      <c r="AV1343" s="19"/>
      <c r="AW1343" s="19"/>
      <c r="AX1343" s="19"/>
      <c r="GA1343" s="54"/>
    </row>
    <row r="1344" spans="1:183" s="18" customFormat="1">
      <c r="A1344" s="51"/>
      <c r="B1344" s="52"/>
      <c r="C1344" s="52"/>
      <c r="D1344" s="52"/>
      <c r="E1344" s="53"/>
      <c r="F1344" s="52"/>
      <c r="G1344" s="52"/>
      <c r="H1344" s="52"/>
      <c r="I1344" s="53"/>
      <c r="J1344" s="52"/>
      <c r="K1344" s="52"/>
      <c r="L1344" s="52"/>
      <c r="M1344" s="52"/>
      <c r="N1344" s="19"/>
      <c r="O1344" s="19"/>
      <c r="P1344" s="19"/>
      <c r="Q1344" s="19"/>
      <c r="R1344" s="19"/>
      <c r="S1344" s="19"/>
      <c r="T1344" s="19"/>
      <c r="U1344" s="19"/>
      <c r="V1344" s="19"/>
      <c r="W1344" s="19"/>
      <c r="X1344" s="19"/>
      <c r="Y1344" s="19"/>
      <c r="Z1344" s="19"/>
      <c r="AA1344" s="19"/>
      <c r="AB1344" s="19"/>
      <c r="AC1344" s="19"/>
      <c r="AD1344" s="19"/>
      <c r="AE1344" s="19"/>
      <c r="AF1344" s="19"/>
      <c r="AG1344" s="19"/>
      <c r="AH1344" s="19"/>
      <c r="AI1344" s="19"/>
      <c r="AJ1344" s="19"/>
      <c r="AK1344" s="19"/>
      <c r="AL1344" s="19"/>
      <c r="AM1344" s="19"/>
      <c r="AN1344" s="19"/>
      <c r="AO1344" s="19"/>
      <c r="AP1344" s="19"/>
      <c r="AQ1344" s="19"/>
      <c r="AR1344" s="19"/>
      <c r="AS1344" s="19"/>
      <c r="AT1344" s="19"/>
      <c r="AU1344" s="19"/>
      <c r="AV1344" s="19"/>
      <c r="AW1344" s="19"/>
      <c r="AX1344" s="19"/>
      <c r="GA1344" s="54"/>
    </row>
    <row r="1345" spans="1:183" s="18" customFormat="1">
      <c r="A1345" s="51"/>
      <c r="B1345" s="52"/>
      <c r="C1345" s="52"/>
      <c r="D1345" s="52"/>
      <c r="E1345" s="53"/>
      <c r="F1345" s="52"/>
      <c r="G1345" s="52"/>
      <c r="H1345" s="52"/>
      <c r="I1345" s="53"/>
      <c r="J1345" s="52"/>
      <c r="K1345" s="52"/>
      <c r="L1345" s="52"/>
      <c r="M1345" s="52"/>
      <c r="N1345" s="19"/>
      <c r="O1345" s="19"/>
      <c r="P1345" s="19"/>
      <c r="Q1345" s="19"/>
      <c r="R1345" s="19"/>
      <c r="S1345" s="19"/>
      <c r="T1345" s="19"/>
      <c r="U1345" s="19"/>
      <c r="V1345" s="19"/>
      <c r="W1345" s="19"/>
      <c r="X1345" s="19"/>
      <c r="Y1345" s="19"/>
      <c r="Z1345" s="19"/>
      <c r="AA1345" s="19"/>
      <c r="AB1345" s="19"/>
      <c r="AC1345" s="19"/>
      <c r="AD1345" s="19"/>
      <c r="AE1345" s="19"/>
      <c r="AF1345" s="19"/>
      <c r="AG1345" s="19"/>
      <c r="AH1345" s="19"/>
      <c r="AI1345" s="19"/>
      <c r="AJ1345" s="19"/>
      <c r="AK1345" s="19"/>
      <c r="AL1345" s="19"/>
      <c r="AM1345" s="19"/>
      <c r="AN1345" s="19"/>
      <c r="AO1345" s="19"/>
      <c r="AP1345" s="19"/>
      <c r="AQ1345" s="19"/>
      <c r="AR1345" s="19"/>
      <c r="AS1345" s="19"/>
      <c r="AT1345" s="19"/>
      <c r="AU1345" s="19"/>
      <c r="AV1345" s="19"/>
      <c r="AW1345" s="19"/>
      <c r="AX1345" s="19"/>
      <c r="GA1345" s="54"/>
    </row>
    <row r="1346" spans="1:183" s="18" customFormat="1">
      <c r="A1346" s="51"/>
      <c r="B1346" s="52"/>
      <c r="C1346" s="52"/>
      <c r="D1346" s="52"/>
      <c r="E1346" s="53"/>
      <c r="F1346" s="52"/>
      <c r="G1346" s="52"/>
      <c r="H1346" s="52"/>
      <c r="I1346" s="53"/>
      <c r="J1346" s="52"/>
      <c r="K1346" s="52"/>
      <c r="L1346" s="52"/>
      <c r="M1346" s="52"/>
      <c r="N1346" s="19"/>
      <c r="O1346" s="19"/>
      <c r="P1346" s="19"/>
      <c r="Q1346" s="19"/>
      <c r="R1346" s="19"/>
      <c r="S1346" s="19"/>
      <c r="T1346" s="19"/>
      <c r="U1346" s="19"/>
      <c r="V1346" s="19"/>
      <c r="W1346" s="19"/>
      <c r="X1346" s="19"/>
      <c r="Y1346" s="19"/>
      <c r="Z1346" s="19"/>
      <c r="AA1346" s="19"/>
      <c r="AB1346" s="19"/>
      <c r="AC1346" s="19"/>
      <c r="AD1346" s="19"/>
      <c r="AE1346" s="19"/>
      <c r="AF1346" s="19"/>
      <c r="AG1346" s="19"/>
      <c r="AH1346" s="19"/>
      <c r="AI1346" s="19"/>
      <c r="AJ1346" s="19"/>
      <c r="AK1346" s="19"/>
      <c r="AL1346" s="19"/>
      <c r="AM1346" s="19"/>
      <c r="AN1346" s="19"/>
      <c r="AO1346" s="19"/>
      <c r="AP1346" s="19"/>
      <c r="AQ1346" s="19"/>
      <c r="AR1346" s="19"/>
      <c r="AS1346" s="19"/>
      <c r="AT1346" s="19"/>
      <c r="AU1346" s="19"/>
      <c r="AV1346" s="19"/>
      <c r="AW1346" s="19"/>
      <c r="AX1346" s="19"/>
      <c r="GA1346" s="54"/>
    </row>
    <row r="1347" spans="1:183" s="18" customFormat="1">
      <c r="A1347" s="51"/>
      <c r="B1347" s="52"/>
      <c r="C1347" s="52"/>
      <c r="D1347" s="52"/>
      <c r="E1347" s="53"/>
      <c r="F1347" s="52"/>
      <c r="G1347" s="52"/>
      <c r="H1347" s="52"/>
      <c r="I1347" s="53"/>
      <c r="J1347" s="52"/>
      <c r="K1347" s="52"/>
      <c r="L1347" s="52"/>
      <c r="M1347" s="52"/>
      <c r="N1347" s="19"/>
      <c r="O1347" s="19"/>
      <c r="P1347" s="19"/>
      <c r="Q1347" s="19"/>
      <c r="R1347" s="19"/>
      <c r="S1347" s="19"/>
      <c r="T1347" s="19"/>
      <c r="U1347" s="19"/>
      <c r="V1347" s="19"/>
      <c r="W1347" s="19"/>
      <c r="X1347" s="19"/>
      <c r="Y1347" s="19"/>
      <c r="Z1347" s="19"/>
      <c r="AA1347" s="19"/>
      <c r="AB1347" s="19"/>
      <c r="AC1347" s="19"/>
      <c r="AD1347" s="19"/>
      <c r="AE1347" s="19"/>
      <c r="AF1347" s="19"/>
      <c r="AG1347" s="19"/>
      <c r="AH1347" s="19"/>
      <c r="AI1347" s="19"/>
      <c r="AJ1347" s="19"/>
      <c r="AK1347" s="19"/>
      <c r="AL1347" s="19"/>
      <c r="AM1347" s="19"/>
      <c r="AN1347" s="19"/>
      <c r="AO1347" s="19"/>
      <c r="AP1347" s="19"/>
      <c r="AQ1347" s="19"/>
      <c r="AR1347" s="19"/>
      <c r="AS1347" s="19"/>
      <c r="AT1347" s="19"/>
      <c r="AU1347" s="19"/>
      <c r="AV1347" s="19"/>
      <c r="AW1347" s="19"/>
      <c r="AX1347" s="19"/>
      <c r="GA1347" s="54"/>
    </row>
    <row r="1348" spans="1:183" s="18" customFormat="1">
      <c r="A1348" s="51"/>
      <c r="B1348" s="52"/>
      <c r="C1348" s="52"/>
      <c r="D1348" s="52"/>
      <c r="E1348" s="53"/>
      <c r="F1348" s="52"/>
      <c r="G1348" s="52"/>
      <c r="H1348" s="52"/>
      <c r="I1348" s="53"/>
      <c r="J1348" s="52"/>
      <c r="K1348" s="52"/>
      <c r="L1348" s="52"/>
      <c r="M1348" s="52"/>
      <c r="N1348" s="19"/>
      <c r="O1348" s="19"/>
      <c r="P1348" s="19"/>
      <c r="Q1348" s="19"/>
      <c r="R1348" s="19"/>
      <c r="S1348" s="19"/>
      <c r="T1348" s="19"/>
      <c r="U1348" s="19"/>
      <c r="V1348" s="19"/>
      <c r="W1348" s="19"/>
      <c r="X1348" s="19"/>
      <c r="Y1348" s="19"/>
      <c r="Z1348" s="19"/>
      <c r="AA1348" s="19"/>
      <c r="AB1348" s="19"/>
      <c r="AC1348" s="19"/>
      <c r="AD1348" s="19"/>
      <c r="AE1348" s="19"/>
      <c r="AF1348" s="19"/>
      <c r="AG1348" s="19"/>
      <c r="AH1348" s="19"/>
      <c r="AI1348" s="19"/>
      <c r="AJ1348" s="19"/>
      <c r="AK1348" s="19"/>
      <c r="AL1348" s="19"/>
      <c r="AM1348" s="19"/>
      <c r="AN1348" s="19"/>
      <c r="AO1348" s="19"/>
      <c r="AP1348" s="19"/>
      <c r="AQ1348" s="19"/>
      <c r="AR1348" s="19"/>
      <c r="AS1348" s="19"/>
      <c r="AT1348" s="19"/>
      <c r="AU1348" s="19"/>
      <c r="AV1348" s="19"/>
      <c r="AW1348" s="19"/>
      <c r="AX1348" s="19"/>
      <c r="GA1348" s="54"/>
    </row>
    <row r="1349" spans="1:183" s="18" customFormat="1">
      <c r="A1349" s="51"/>
      <c r="B1349" s="52"/>
      <c r="C1349" s="52"/>
      <c r="D1349" s="52"/>
      <c r="E1349" s="53"/>
      <c r="F1349" s="52"/>
      <c r="G1349" s="52"/>
      <c r="H1349" s="52"/>
      <c r="I1349" s="53"/>
      <c r="J1349" s="52"/>
      <c r="K1349" s="52"/>
      <c r="L1349" s="52"/>
      <c r="M1349" s="52"/>
      <c r="N1349" s="19"/>
      <c r="O1349" s="19"/>
      <c r="P1349" s="19"/>
      <c r="Q1349" s="19"/>
      <c r="R1349" s="19"/>
      <c r="S1349" s="19"/>
      <c r="T1349" s="19"/>
      <c r="U1349" s="19"/>
      <c r="V1349" s="19"/>
      <c r="W1349" s="19"/>
      <c r="X1349" s="19"/>
      <c r="Y1349" s="19"/>
      <c r="Z1349" s="19"/>
      <c r="AA1349" s="19"/>
      <c r="AB1349" s="19"/>
      <c r="AC1349" s="19"/>
      <c r="AD1349" s="19"/>
      <c r="AE1349" s="19"/>
      <c r="AF1349" s="19"/>
      <c r="AG1349" s="19"/>
      <c r="AH1349" s="19"/>
      <c r="AI1349" s="19"/>
      <c r="AJ1349" s="19"/>
      <c r="AK1349" s="19"/>
      <c r="AL1349" s="19"/>
      <c r="AM1349" s="19"/>
      <c r="AN1349" s="19"/>
      <c r="AO1349" s="19"/>
      <c r="AP1349" s="19"/>
      <c r="AQ1349" s="19"/>
      <c r="AR1349" s="19"/>
      <c r="AS1349" s="19"/>
      <c r="AT1349" s="19"/>
      <c r="AU1349" s="19"/>
      <c r="AV1349" s="19"/>
      <c r="AW1349" s="19"/>
      <c r="AX1349" s="19"/>
      <c r="GA1349" s="54"/>
    </row>
    <row r="1350" spans="1:183" s="18" customFormat="1">
      <c r="A1350" s="51"/>
      <c r="B1350" s="52"/>
      <c r="C1350" s="52"/>
      <c r="D1350" s="52"/>
      <c r="E1350" s="53"/>
      <c r="F1350" s="52"/>
      <c r="G1350" s="52"/>
      <c r="H1350" s="52"/>
      <c r="I1350" s="53"/>
      <c r="J1350" s="52"/>
      <c r="K1350" s="52"/>
      <c r="L1350" s="52"/>
      <c r="M1350" s="52"/>
      <c r="N1350" s="19"/>
      <c r="O1350" s="19"/>
      <c r="P1350" s="19"/>
      <c r="Q1350" s="19"/>
      <c r="R1350" s="19"/>
      <c r="S1350" s="19"/>
      <c r="T1350" s="19"/>
      <c r="U1350" s="19"/>
      <c r="V1350" s="19"/>
      <c r="W1350" s="19"/>
      <c r="X1350" s="19"/>
      <c r="Y1350" s="19"/>
      <c r="Z1350" s="19"/>
      <c r="AA1350" s="19"/>
      <c r="AB1350" s="19"/>
      <c r="AC1350" s="19"/>
      <c r="AD1350" s="19"/>
      <c r="AE1350" s="19"/>
      <c r="AF1350" s="19"/>
      <c r="AG1350" s="19"/>
      <c r="AH1350" s="19"/>
      <c r="AI1350" s="19"/>
      <c r="AJ1350" s="19"/>
      <c r="AK1350" s="19"/>
      <c r="AL1350" s="19"/>
      <c r="AM1350" s="19"/>
      <c r="AN1350" s="19"/>
      <c r="AO1350" s="19"/>
      <c r="AP1350" s="19"/>
      <c r="AQ1350" s="19"/>
      <c r="AR1350" s="19"/>
      <c r="AS1350" s="19"/>
      <c r="AT1350" s="19"/>
      <c r="AU1350" s="19"/>
      <c r="AV1350" s="19"/>
      <c r="AW1350" s="19"/>
      <c r="AX1350" s="19"/>
      <c r="GA1350" s="54"/>
    </row>
    <row r="1351" spans="1:183" s="18" customFormat="1">
      <c r="A1351" s="51"/>
      <c r="B1351" s="52"/>
      <c r="C1351" s="52"/>
      <c r="D1351" s="52"/>
      <c r="E1351" s="53"/>
      <c r="F1351" s="52"/>
      <c r="G1351" s="52"/>
      <c r="H1351" s="52"/>
      <c r="I1351" s="53"/>
      <c r="J1351" s="52"/>
      <c r="K1351" s="52"/>
      <c r="L1351" s="52"/>
      <c r="M1351" s="52"/>
      <c r="N1351" s="19"/>
      <c r="O1351" s="19"/>
      <c r="P1351" s="19"/>
      <c r="Q1351" s="19"/>
      <c r="R1351" s="19"/>
      <c r="S1351" s="19"/>
      <c r="T1351" s="19"/>
      <c r="U1351" s="19"/>
      <c r="V1351" s="19"/>
      <c r="W1351" s="19"/>
      <c r="X1351" s="19"/>
      <c r="Y1351" s="19"/>
      <c r="Z1351" s="19"/>
      <c r="AA1351" s="19"/>
      <c r="AB1351" s="19"/>
      <c r="AC1351" s="19"/>
      <c r="AD1351" s="19"/>
      <c r="AE1351" s="19"/>
      <c r="AF1351" s="19"/>
      <c r="AG1351" s="19"/>
      <c r="AH1351" s="19"/>
      <c r="AI1351" s="19"/>
      <c r="AJ1351" s="19"/>
      <c r="AK1351" s="19"/>
      <c r="AL1351" s="19"/>
      <c r="AM1351" s="19"/>
      <c r="AN1351" s="19"/>
      <c r="AO1351" s="19"/>
      <c r="AP1351" s="19"/>
      <c r="AQ1351" s="19"/>
      <c r="AR1351" s="19"/>
      <c r="AS1351" s="19"/>
      <c r="AT1351" s="19"/>
      <c r="AU1351" s="19"/>
      <c r="AV1351" s="19"/>
      <c r="AW1351" s="19"/>
      <c r="AX1351" s="19"/>
      <c r="GA1351" s="54"/>
    </row>
    <row r="1352" spans="1:183" s="18" customFormat="1">
      <c r="A1352" s="51"/>
      <c r="B1352" s="52"/>
      <c r="C1352" s="52"/>
      <c r="D1352" s="52"/>
      <c r="E1352" s="53"/>
      <c r="F1352" s="52"/>
      <c r="G1352" s="52"/>
      <c r="H1352" s="52"/>
      <c r="I1352" s="53"/>
      <c r="J1352" s="52"/>
      <c r="K1352" s="52"/>
      <c r="L1352" s="52"/>
      <c r="M1352" s="52"/>
      <c r="N1352" s="19"/>
      <c r="O1352" s="19"/>
      <c r="P1352" s="19"/>
      <c r="Q1352" s="19"/>
      <c r="R1352" s="19"/>
      <c r="S1352" s="19"/>
      <c r="T1352" s="19"/>
      <c r="U1352" s="19"/>
      <c r="V1352" s="19"/>
      <c r="W1352" s="19"/>
      <c r="X1352" s="19"/>
      <c r="Y1352" s="19"/>
      <c r="Z1352" s="19"/>
      <c r="AA1352" s="19"/>
      <c r="AB1352" s="19"/>
      <c r="AC1352" s="19"/>
      <c r="AD1352" s="19"/>
      <c r="AE1352" s="19"/>
      <c r="AF1352" s="19"/>
      <c r="AG1352" s="19"/>
      <c r="AH1352" s="19"/>
      <c r="AI1352" s="19"/>
      <c r="AJ1352" s="19"/>
      <c r="AK1352" s="19"/>
      <c r="AL1352" s="19"/>
      <c r="AM1352" s="19"/>
      <c r="AN1352" s="19"/>
      <c r="AO1352" s="19"/>
      <c r="AP1352" s="19"/>
      <c r="AQ1352" s="19"/>
      <c r="AR1352" s="19"/>
      <c r="AS1352" s="19"/>
      <c r="AT1352" s="19"/>
      <c r="AU1352" s="19"/>
      <c r="AV1352" s="19"/>
      <c r="AW1352" s="19"/>
      <c r="AX1352" s="19"/>
      <c r="GA1352" s="54"/>
    </row>
    <row r="1353" spans="1:183" s="18" customFormat="1">
      <c r="A1353" s="51"/>
      <c r="B1353" s="52"/>
      <c r="C1353" s="52"/>
      <c r="D1353" s="52"/>
      <c r="E1353" s="53"/>
      <c r="F1353" s="52"/>
      <c r="G1353" s="52"/>
      <c r="H1353" s="52"/>
      <c r="I1353" s="53"/>
      <c r="J1353" s="52"/>
      <c r="K1353" s="52"/>
      <c r="L1353" s="52"/>
      <c r="M1353" s="52"/>
      <c r="N1353" s="19"/>
      <c r="O1353" s="19"/>
      <c r="P1353" s="19"/>
      <c r="Q1353" s="19"/>
      <c r="R1353" s="19"/>
      <c r="S1353" s="19"/>
      <c r="T1353" s="19"/>
      <c r="U1353" s="19"/>
      <c r="V1353" s="19"/>
      <c r="W1353" s="19"/>
      <c r="X1353" s="19"/>
      <c r="Y1353" s="19"/>
      <c r="Z1353" s="19"/>
      <c r="AA1353" s="19"/>
      <c r="AB1353" s="19"/>
      <c r="AC1353" s="19"/>
      <c r="AD1353" s="19"/>
      <c r="AE1353" s="19"/>
      <c r="AF1353" s="19"/>
      <c r="AG1353" s="19"/>
      <c r="AH1353" s="19"/>
      <c r="AI1353" s="19"/>
      <c r="AJ1353" s="19"/>
      <c r="AK1353" s="19"/>
      <c r="AL1353" s="19"/>
      <c r="AM1353" s="19"/>
      <c r="AN1353" s="19"/>
      <c r="AO1353" s="19"/>
      <c r="AP1353" s="19"/>
      <c r="AQ1353" s="19"/>
      <c r="AR1353" s="19"/>
      <c r="AS1353" s="19"/>
      <c r="AT1353" s="19"/>
      <c r="AU1353" s="19"/>
      <c r="AV1353" s="19"/>
      <c r="AW1353" s="19"/>
      <c r="AX1353" s="19"/>
      <c r="GA1353" s="54"/>
    </row>
    <row r="1354" spans="1:183" s="18" customFormat="1">
      <c r="A1354" s="51"/>
      <c r="B1354" s="52"/>
      <c r="C1354" s="52"/>
      <c r="D1354" s="52"/>
      <c r="E1354" s="53"/>
      <c r="F1354" s="52"/>
      <c r="G1354" s="52"/>
      <c r="H1354" s="52"/>
      <c r="I1354" s="53"/>
      <c r="J1354" s="52"/>
      <c r="K1354" s="52"/>
      <c r="L1354" s="52"/>
      <c r="M1354" s="52"/>
      <c r="N1354" s="19"/>
      <c r="O1354" s="19"/>
      <c r="P1354" s="19"/>
      <c r="Q1354" s="19"/>
      <c r="R1354" s="19"/>
      <c r="S1354" s="19"/>
      <c r="T1354" s="19"/>
      <c r="U1354" s="19"/>
      <c r="V1354" s="19"/>
      <c r="W1354" s="19"/>
      <c r="X1354" s="19"/>
      <c r="Y1354" s="19"/>
      <c r="Z1354" s="19"/>
      <c r="AA1354" s="19"/>
      <c r="AB1354" s="19"/>
      <c r="AC1354" s="19"/>
      <c r="AD1354" s="19"/>
      <c r="AE1354" s="19"/>
      <c r="AF1354" s="19"/>
      <c r="AG1354" s="19"/>
      <c r="AH1354" s="19"/>
      <c r="AI1354" s="19"/>
      <c r="AJ1354" s="19"/>
      <c r="AK1354" s="19"/>
      <c r="AL1354" s="19"/>
      <c r="AM1354" s="19"/>
      <c r="AN1354" s="19"/>
      <c r="AO1354" s="19"/>
      <c r="AP1354" s="19"/>
      <c r="AQ1354" s="19"/>
      <c r="AR1354" s="19"/>
      <c r="AS1354" s="19"/>
      <c r="AT1354" s="19"/>
      <c r="AU1354" s="19"/>
      <c r="AV1354" s="19"/>
      <c r="AW1354" s="19"/>
      <c r="AX1354" s="19"/>
      <c r="GA1354" s="54"/>
    </row>
    <row r="1355" spans="1:183" s="18" customFormat="1">
      <c r="A1355" s="51"/>
      <c r="B1355" s="52"/>
      <c r="C1355" s="52"/>
      <c r="D1355" s="52"/>
      <c r="E1355" s="53"/>
      <c r="F1355" s="52"/>
      <c r="G1355" s="52"/>
      <c r="H1355" s="52"/>
      <c r="I1355" s="53"/>
      <c r="J1355" s="52"/>
      <c r="K1355" s="52"/>
      <c r="L1355" s="52"/>
      <c r="M1355" s="52"/>
      <c r="N1355" s="19"/>
      <c r="O1355" s="19"/>
      <c r="P1355" s="19"/>
      <c r="Q1355" s="19"/>
      <c r="R1355" s="19"/>
      <c r="S1355" s="19"/>
      <c r="T1355" s="19"/>
      <c r="U1355" s="19"/>
      <c r="V1355" s="19"/>
      <c r="W1355" s="19"/>
      <c r="X1355" s="19"/>
      <c r="Y1355" s="19"/>
      <c r="Z1355" s="19"/>
      <c r="AA1355" s="19"/>
      <c r="AB1355" s="19"/>
      <c r="AC1355" s="19"/>
      <c r="AD1355" s="19"/>
      <c r="AE1355" s="19"/>
      <c r="AF1355" s="19"/>
      <c r="AG1355" s="19"/>
      <c r="AH1355" s="19"/>
      <c r="AI1355" s="19"/>
      <c r="AJ1355" s="19"/>
      <c r="AK1355" s="19"/>
      <c r="AL1355" s="19"/>
      <c r="AM1355" s="19"/>
      <c r="AN1355" s="19"/>
      <c r="AO1355" s="19"/>
      <c r="AP1355" s="19"/>
      <c r="AQ1355" s="19"/>
      <c r="AR1355" s="19"/>
      <c r="AS1355" s="19"/>
      <c r="AT1355" s="19"/>
      <c r="AU1355" s="19"/>
      <c r="AV1355" s="19"/>
      <c r="AW1355" s="19"/>
      <c r="AX1355" s="19"/>
      <c r="GA1355" s="54"/>
    </row>
    <row r="1356" spans="1:183" s="18" customFormat="1">
      <c r="A1356" s="51"/>
      <c r="B1356" s="52"/>
      <c r="C1356" s="52"/>
      <c r="D1356" s="52"/>
      <c r="E1356" s="53"/>
      <c r="F1356" s="52"/>
      <c r="G1356" s="52"/>
      <c r="H1356" s="52"/>
      <c r="I1356" s="53"/>
      <c r="J1356" s="52"/>
      <c r="K1356" s="52"/>
      <c r="L1356" s="52"/>
      <c r="M1356" s="52"/>
      <c r="N1356" s="19"/>
      <c r="O1356" s="19"/>
      <c r="P1356" s="19"/>
      <c r="Q1356" s="19"/>
      <c r="R1356" s="19"/>
      <c r="S1356" s="19"/>
      <c r="T1356" s="19"/>
      <c r="U1356" s="19"/>
      <c r="V1356" s="19"/>
      <c r="W1356" s="19"/>
      <c r="X1356" s="19"/>
      <c r="Y1356" s="19"/>
      <c r="Z1356" s="19"/>
      <c r="AA1356" s="19"/>
      <c r="AB1356" s="19"/>
      <c r="AC1356" s="19"/>
      <c r="AD1356" s="19"/>
      <c r="AE1356" s="19"/>
      <c r="AF1356" s="19"/>
      <c r="AG1356" s="19"/>
      <c r="AH1356" s="19"/>
      <c r="AI1356" s="19"/>
      <c r="AJ1356" s="19"/>
      <c r="AK1356" s="19"/>
      <c r="AL1356" s="19"/>
      <c r="AM1356" s="19"/>
      <c r="AN1356" s="19"/>
      <c r="AO1356" s="19"/>
      <c r="AP1356" s="19"/>
      <c r="AQ1356" s="19"/>
      <c r="AR1356" s="19"/>
      <c r="AS1356" s="19"/>
      <c r="AT1356" s="19"/>
      <c r="AU1356" s="19"/>
      <c r="AV1356" s="19"/>
      <c r="AW1356" s="19"/>
      <c r="AX1356" s="19"/>
      <c r="GA1356" s="54"/>
    </row>
    <row r="1357" spans="1:183" s="18" customFormat="1">
      <c r="A1357" s="51"/>
      <c r="B1357" s="52"/>
      <c r="C1357" s="52"/>
      <c r="D1357" s="52"/>
      <c r="E1357" s="53"/>
      <c r="F1357" s="52"/>
      <c r="G1357" s="52"/>
      <c r="H1357" s="52"/>
      <c r="I1357" s="53"/>
      <c r="J1357" s="52"/>
      <c r="K1357" s="52"/>
      <c r="L1357" s="52"/>
      <c r="M1357" s="52"/>
      <c r="N1357" s="19"/>
      <c r="O1357" s="19"/>
      <c r="P1357" s="19"/>
      <c r="Q1357" s="19"/>
      <c r="R1357" s="19"/>
      <c r="S1357" s="19"/>
      <c r="T1357" s="19"/>
      <c r="U1357" s="19"/>
      <c r="V1357" s="19"/>
      <c r="W1357" s="19"/>
      <c r="X1357" s="19"/>
      <c r="Y1357" s="19"/>
      <c r="Z1357" s="19"/>
      <c r="AA1357" s="19"/>
      <c r="AB1357" s="19"/>
      <c r="AC1357" s="19"/>
      <c r="AD1357" s="19"/>
      <c r="AE1357" s="19"/>
      <c r="AF1357" s="19"/>
      <c r="AG1357" s="19"/>
      <c r="AH1357" s="19"/>
      <c r="AI1357" s="19"/>
      <c r="AJ1357" s="19"/>
      <c r="AK1357" s="19"/>
      <c r="AL1357" s="19"/>
      <c r="AM1357" s="19"/>
      <c r="AN1357" s="19"/>
      <c r="AO1357" s="19"/>
      <c r="AP1357" s="19"/>
      <c r="AQ1357" s="19"/>
      <c r="AR1357" s="19"/>
      <c r="AS1357" s="19"/>
      <c r="AT1357" s="19"/>
      <c r="AU1357" s="19"/>
      <c r="AV1357" s="19"/>
      <c r="AW1357" s="19"/>
      <c r="AX1357" s="19"/>
      <c r="GA1357" s="54"/>
    </row>
    <row r="1358" spans="1:183" s="18" customFormat="1">
      <c r="A1358" s="51"/>
      <c r="B1358" s="52"/>
      <c r="C1358" s="52"/>
      <c r="D1358" s="52"/>
      <c r="E1358" s="53"/>
      <c r="F1358" s="52"/>
      <c r="G1358" s="52"/>
      <c r="H1358" s="52"/>
      <c r="I1358" s="53"/>
      <c r="J1358" s="52"/>
      <c r="K1358" s="52"/>
      <c r="L1358" s="52"/>
      <c r="M1358" s="52"/>
      <c r="N1358" s="19"/>
      <c r="O1358" s="19"/>
      <c r="P1358" s="19"/>
      <c r="Q1358" s="19"/>
      <c r="R1358" s="19"/>
      <c r="S1358" s="19"/>
      <c r="T1358" s="19"/>
      <c r="U1358" s="19"/>
      <c r="V1358" s="19"/>
      <c r="W1358" s="19"/>
      <c r="X1358" s="19"/>
      <c r="Y1358" s="19"/>
      <c r="Z1358" s="19"/>
      <c r="AA1358" s="19"/>
      <c r="AB1358" s="19"/>
      <c r="AC1358" s="19"/>
      <c r="AD1358" s="19"/>
      <c r="AE1358" s="19"/>
      <c r="AF1358" s="19"/>
      <c r="AG1358" s="19"/>
      <c r="AH1358" s="19"/>
      <c r="AI1358" s="19"/>
      <c r="AJ1358" s="19"/>
      <c r="AK1358" s="19"/>
      <c r="AL1358" s="19"/>
      <c r="AM1358" s="19"/>
      <c r="AN1358" s="19"/>
      <c r="AO1358" s="19"/>
      <c r="AP1358" s="19"/>
      <c r="AQ1358" s="19"/>
      <c r="AR1358" s="19"/>
      <c r="AS1358" s="19"/>
      <c r="AT1358" s="19"/>
      <c r="AU1358" s="19"/>
      <c r="AV1358" s="19"/>
      <c r="AW1358" s="19"/>
      <c r="AX1358" s="19"/>
      <c r="GA1358" s="54"/>
    </row>
    <row r="1359" spans="1:183" s="18" customFormat="1">
      <c r="A1359" s="51"/>
      <c r="B1359" s="52"/>
      <c r="C1359" s="52"/>
      <c r="D1359" s="52"/>
      <c r="E1359" s="53"/>
      <c r="F1359" s="52"/>
      <c r="G1359" s="52"/>
      <c r="H1359" s="52"/>
      <c r="I1359" s="53"/>
      <c r="J1359" s="52"/>
      <c r="K1359" s="52"/>
      <c r="L1359" s="52"/>
      <c r="M1359" s="52"/>
      <c r="N1359" s="19"/>
      <c r="O1359" s="19"/>
      <c r="P1359" s="19"/>
      <c r="Q1359" s="19"/>
      <c r="R1359" s="19"/>
      <c r="S1359" s="19"/>
      <c r="T1359" s="19"/>
      <c r="U1359" s="19"/>
      <c r="V1359" s="19"/>
      <c r="W1359" s="19"/>
      <c r="X1359" s="19"/>
      <c r="Y1359" s="19"/>
      <c r="Z1359" s="19"/>
      <c r="AA1359" s="19"/>
      <c r="AB1359" s="19"/>
      <c r="AC1359" s="19"/>
      <c r="AD1359" s="19"/>
      <c r="AE1359" s="19"/>
      <c r="AF1359" s="19"/>
      <c r="AG1359" s="19"/>
      <c r="AH1359" s="19"/>
      <c r="AI1359" s="19"/>
      <c r="AJ1359" s="19"/>
      <c r="AK1359" s="19"/>
      <c r="AL1359" s="19"/>
      <c r="AM1359" s="19"/>
      <c r="AN1359" s="19"/>
      <c r="AO1359" s="19"/>
      <c r="AP1359" s="19"/>
      <c r="AQ1359" s="19"/>
      <c r="AR1359" s="19"/>
      <c r="AS1359" s="19"/>
      <c r="AT1359" s="19"/>
      <c r="AU1359" s="19"/>
      <c r="AV1359" s="19"/>
      <c r="AW1359" s="19"/>
      <c r="AX1359" s="19"/>
      <c r="GA1359" s="54"/>
    </row>
    <row r="1360" spans="1:183" s="18" customFormat="1">
      <c r="A1360" s="51"/>
      <c r="B1360" s="52"/>
      <c r="C1360" s="52"/>
      <c r="D1360" s="52"/>
      <c r="E1360" s="53"/>
      <c r="F1360" s="52"/>
      <c r="G1360" s="52"/>
      <c r="H1360" s="52"/>
      <c r="I1360" s="53"/>
      <c r="J1360" s="52"/>
      <c r="K1360" s="52"/>
      <c r="L1360" s="52"/>
      <c r="M1360" s="52"/>
      <c r="N1360" s="19"/>
      <c r="O1360" s="19"/>
      <c r="P1360" s="19"/>
      <c r="Q1360" s="19"/>
      <c r="R1360" s="19"/>
      <c r="S1360" s="19"/>
      <c r="T1360" s="19"/>
      <c r="U1360" s="19"/>
      <c r="V1360" s="19"/>
      <c r="W1360" s="19"/>
      <c r="X1360" s="19"/>
      <c r="Y1360" s="19"/>
      <c r="Z1360" s="19"/>
      <c r="AA1360" s="19"/>
      <c r="AB1360" s="19"/>
      <c r="AC1360" s="19"/>
      <c r="AD1360" s="19"/>
      <c r="AE1360" s="19"/>
      <c r="AF1360" s="19"/>
      <c r="AG1360" s="19"/>
      <c r="AH1360" s="19"/>
      <c r="AI1360" s="19"/>
      <c r="AJ1360" s="19"/>
      <c r="AK1360" s="19"/>
      <c r="AL1360" s="19"/>
      <c r="AM1360" s="19"/>
      <c r="AN1360" s="19"/>
      <c r="AO1360" s="19"/>
      <c r="AP1360" s="19"/>
      <c r="AQ1360" s="19"/>
      <c r="AR1360" s="19"/>
      <c r="AS1360" s="19"/>
      <c r="AT1360" s="19"/>
      <c r="AU1360" s="19"/>
      <c r="AV1360" s="19"/>
      <c r="AW1360" s="19"/>
      <c r="AX1360" s="19"/>
      <c r="GA1360" s="54"/>
    </row>
    <row r="1361" spans="1:183" s="18" customFormat="1">
      <c r="A1361" s="51"/>
      <c r="B1361" s="52"/>
      <c r="C1361" s="52"/>
      <c r="D1361" s="52"/>
      <c r="E1361" s="53"/>
      <c r="F1361" s="52"/>
      <c r="G1361" s="52"/>
      <c r="H1361" s="52"/>
      <c r="I1361" s="53"/>
      <c r="J1361" s="52"/>
      <c r="K1361" s="52"/>
      <c r="L1361" s="52"/>
      <c r="M1361" s="52"/>
      <c r="N1361" s="19"/>
      <c r="O1361" s="19"/>
      <c r="P1361" s="19"/>
      <c r="Q1361" s="19"/>
      <c r="R1361" s="19"/>
      <c r="S1361" s="19"/>
      <c r="T1361" s="19"/>
      <c r="U1361" s="19"/>
      <c r="V1361" s="19"/>
      <c r="W1361" s="19"/>
      <c r="X1361" s="19"/>
      <c r="Y1361" s="19"/>
      <c r="Z1361" s="19"/>
      <c r="AA1361" s="19"/>
      <c r="AB1361" s="19"/>
      <c r="AC1361" s="19"/>
      <c r="AD1361" s="19"/>
      <c r="AE1361" s="19"/>
      <c r="AF1361" s="19"/>
      <c r="AG1361" s="19"/>
      <c r="AH1361" s="19"/>
      <c r="AI1361" s="19"/>
      <c r="AJ1361" s="19"/>
      <c r="AK1361" s="19"/>
      <c r="AL1361" s="19"/>
      <c r="AM1361" s="19"/>
      <c r="AN1361" s="19"/>
      <c r="AO1361" s="19"/>
      <c r="AP1361" s="19"/>
      <c r="AQ1361" s="19"/>
      <c r="AR1361" s="19"/>
      <c r="AS1361" s="19"/>
      <c r="AT1361" s="19"/>
      <c r="AU1361" s="19"/>
      <c r="AV1361" s="19"/>
      <c r="AW1361" s="19"/>
      <c r="AX1361" s="19"/>
      <c r="GA1361" s="54"/>
    </row>
    <row r="1362" spans="1:183" s="18" customFormat="1">
      <c r="A1362" s="51"/>
      <c r="B1362" s="52"/>
      <c r="C1362" s="52"/>
      <c r="D1362" s="52"/>
      <c r="E1362" s="53"/>
      <c r="F1362" s="52"/>
      <c r="G1362" s="52"/>
      <c r="H1362" s="52"/>
      <c r="I1362" s="53"/>
      <c r="J1362" s="52"/>
      <c r="K1362" s="52"/>
      <c r="L1362" s="52"/>
      <c r="M1362" s="52"/>
      <c r="N1362" s="19"/>
      <c r="O1362" s="19"/>
      <c r="P1362" s="19"/>
      <c r="Q1362" s="19"/>
      <c r="R1362" s="19"/>
      <c r="S1362" s="19"/>
      <c r="T1362" s="19"/>
      <c r="U1362" s="19"/>
      <c r="V1362" s="19"/>
      <c r="W1362" s="19"/>
      <c r="X1362" s="19"/>
      <c r="Y1362" s="19"/>
      <c r="Z1362" s="19"/>
      <c r="AA1362" s="19"/>
      <c r="AB1362" s="19"/>
      <c r="AC1362" s="19"/>
      <c r="AD1362" s="19"/>
      <c r="AE1362" s="19"/>
      <c r="AF1362" s="19"/>
      <c r="AG1362" s="19"/>
      <c r="AH1362" s="19"/>
      <c r="AI1362" s="19"/>
      <c r="AJ1362" s="19"/>
      <c r="AK1362" s="19"/>
      <c r="AL1362" s="19"/>
      <c r="AM1362" s="19"/>
      <c r="AN1362" s="19"/>
      <c r="AO1362" s="19"/>
      <c r="AP1362" s="19"/>
      <c r="AQ1362" s="19"/>
      <c r="AR1362" s="19"/>
      <c r="AS1362" s="19"/>
      <c r="AT1362" s="19"/>
      <c r="AU1362" s="19"/>
      <c r="AV1362" s="19"/>
      <c r="AW1362" s="19"/>
      <c r="AX1362" s="19"/>
      <c r="GA1362" s="54"/>
    </row>
    <row r="1363" spans="1:183" s="18" customFormat="1">
      <c r="A1363" s="51"/>
      <c r="B1363" s="52"/>
      <c r="C1363" s="52"/>
      <c r="D1363" s="52"/>
      <c r="E1363" s="53"/>
      <c r="F1363" s="52"/>
      <c r="G1363" s="52"/>
      <c r="H1363" s="52"/>
      <c r="I1363" s="53"/>
      <c r="J1363" s="52"/>
      <c r="K1363" s="52"/>
      <c r="L1363" s="52"/>
      <c r="M1363" s="52"/>
      <c r="N1363" s="19"/>
      <c r="O1363" s="19"/>
      <c r="P1363" s="19"/>
      <c r="Q1363" s="19"/>
      <c r="R1363" s="19"/>
      <c r="S1363" s="19"/>
      <c r="T1363" s="19"/>
      <c r="U1363" s="19"/>
      <c r="V1363" s="19"/>
      <c r="W1363" s="19"/>
      <c r="X1363" s="19"/>
      <c r="Y1363" s="19"/>
      <c r="Z1363" s="19"/>
      <c r="AA1363" s="19"/>
      <c r="AB1363" s="19"/>
      <c r="AC1363" s="19"/>
      <c r="AD1363" s="19"/>
      <c r="AE1363" s="19"/>
      <c r="AF1363" s="19"/>
      <c r="AG1363" s="19"/>
      <c r="AH1363" s="19"/>
      <c r="AI1363" s="19"/>
      <c r="AJ1363" s="19"/>
      <c r="AK1363" s="19"/>
      <c r="AL1363" s="19"/>
      <c r="AM1363" s="19"/>
      <c r="AN1363" s="19"/>
      <c r="AO1363" s="19"/>
      <c r="AP1363" s="19"/>
      <c r="AQ1363" s="19"/>
      <c r="AR1363" s="19"/>
      <c r="AS1363" s="19"/>
      <c r="AT1363" s="19"/>
      <c r="AU1363" s="19"/>
      <c r="AV1363" s="19"/>
      <c r="AW1363" s="19"/>
      <c r="AX1363" s="19"/>
      <c r="GA1363" s="54"/>
    </row>
    <row r="1364" spans="1:183" s="18" customFormat="1">
      <c r="A1364" s="51"/>
      <c r="B1364" s="52"/>
      <c r="C1364" s="52"/>
      <c r="D1364" s="52"/>
      <c r="E1364" s="53"/>
      <c r="F1364" s="52"/>
      <c r="G1364" s="52"/>
      <c r="H1364" s="52"/>
      <c r="I1364" s="53"/>
      <c r="J1364" s="52"/>
      <c r="K1364" s="52"/>
      <c r="L1364" s="52"/>
      <c r="M1364" s="52"/>
      <c r="N1364" s="19"/>
      <c r="O1364" s="19"/>
      <c r="P1364" s="19"/>
      <c r="Q1364" s="19"/>
      <c r="R1364" s="19"/>
      <c r="S1364" s="19"/>
      <c r="T1364" s="19"/>
      <c r="U1364" s="19"/>
      <c r="V1364" s="19"/>
      <c r="W1364" s="19"/>
      <c r="X1364" s="19"/>
      <c r="Y1364" s="19"/>
      <c r="Z1364" s="19"/>
      <c r="AA1364" s="19"/>
      <c r="AB1364" s="19"/>
      <c r="AC1364" s="19"/>
      <c r="AD1364" s="19"/>
      <c r="AE1364" s="19"/>
      <c r="AF1364" s="19"/>
      <c r="AG1364" s="19"/>
      <c r="AH1364" s="19"/>
      <c r="AI1364" s="19"/>
      <c r="AJ1364" s="19"/>
      <c r="AK1364" s="19"/>
      <c r="AL1364" s="19"/>
      <c r="AM1364" s="19"/>
      <c r="AN1364" s="19"/>
      <c r="AO1364" s="19"/>
      <c r="AP1364" s="19"/>
      <c r="AQ1364" s="19"/>
      <c r="AR1364" s="19"/>
      <c r="AS1364" s="19"/>
      <c r="AT1364" s="19"/>
      <c r="AU1364" s="19"/>
      <c r="AV1364" s="19"/>
      <c r="AW1364" s="19"/>
      <c r="AX1364" s="19"/>
      <c r="GA1364" s="54"/>
    </row>
    <row r="1365" spans="1:183" s="18" customFormat="1">
      <c r="A1365" s="51"/>
      <c r="B1365" s="52"/>
      <c r="C1365" s="52"/>
      <c r="D1365" s="52"/>
      <c r="E1365" s="53"/>
      <c r="F1365" s="52"/>
      <c r="G1365" s="52"/>
      <c r="H1365" s="52"/>
      <c r="I1365" s="53"/>
      <c r="J1365" s="52"/>
      <c r="K1365" s="52"/>
      <c r="L1365" s="52"/>
      <c r="M1365" s="52"/>
      <c r="N1365" s="19"/>
      <c r="O1365" s="19"/>
      <c r="P1365" s="19"/>
      <c r="Q1365" s="19"/>
      <c r="R1365" s="19"/>
      <c r="S1365" s="19"/>
      <c r="T1365" s="19"/>
      <c r="U1365" s="19"/>
      <c r="V1365" s="19"/>
      <c r="W1365" s="19"/>
      <c r="X1365" s="19"/>
      <c r="Y1365" s="19"/>
      <c r="Z1365" s="19"/>
      <c r="AA1365" s="19"/>
      <c r="AB1365" s="19"/>
      <c r="AC1365" s="19"/>
      <c r="AD1365" s="19"/>
      <c r="AE1365" s="19"/>
      <c r="AF1365" s="19"/>
      <c r="AG1365" s="19"/>
      <c r="AH1365" s="19"/>
      <c r="AI1365" s="19"/>
      <c r="AJ1365" s="19"/>
      <c r="AK1365" s="19"/>
      <c r="AL1365" s="19"/>
      <c r="AM1365" s="19"/>
      <c r="AN1365" s="19"/>
      <c r="AO1365" s="19"/>
      <c r="AP1365" s="19"/>
      <c r="AQ1365" s="19"/>
      <c r="AR1365" s="19"/>
      <c r="AS1365" s="19"/>
      <c r="AT1365" s="19"/>
      <c r="AU1365" s="19"/>
      <c r="AV1365" s="19"/>
      <c r="AW1365" s="19"/>
      <c r="AX1365" s="19"/>
      <c r="GA1365" s="54"/>
    </row>
    <row r="1366" spans="1:183" s="18" customFormat="1">
      <c r="A1366" s="51"/>
      <c r="B1366" s="52"/>
      <c r="C1366" s="52"/>
      <c r="D1366" s="52"/>
      <c r="E1366" s="53"/>
      <c r="F1366" s="52"/>
      <c r="G1366" s="52"/>
      <c r="H1366" s="52"/>
      <c r="I1366" s="53"/>
      <c r="J1366" s="52"/>
      <c r="K1366" s="52"/>
      <c r="L1366" s="52"/>
      <c r="M1366" s="52"/>
      <c r="N1366" s="19"/>
      <c r="O1366" s="19"/>
      <c r="P1366" s="19"/>
      <c r="Q1366" s="19"/>
      <c r="R1366" s="19"/>
      <c r="S1366" s="19"/>
      <c r="T1366" s="19"/>
      <c r="U1366" s="19"/>
      <c r="V1366" s="19"/>
      <c r="W1366" s="19"/>
      <c r="X1366" s="19"/>
      <c r="Y1366" s="19"/>
      <c r="Z1366" s="19"/>
      <c r="AA1366" s="19"/>
      <c r="AB1366" s="19"/>
      <c r="AC1366" s="19"/>
      <c r="AD1366" s="19"/>
      <c r="AE1366" s="19"/>
      <c r="AF1366" s="19"/>
      <c r="AG1366" s="19"/>
      <c r="AH1366" s="19"/>
      <c r="AI1366" s="19"/>
      <c r="AJ1366" s="19"/>
      <c r="AK1366" s="19"/>
      <c r="AL1366" s="19"/>
      <c r="AM1366" s="19"/>
      <c r="AN1366" s="19"/>
      <c r="AO1366" s="19"/>
      <c r="AP1366" s="19"/>
      <c r="AQ1366" s="19"/>
      <c r="AR1366" s="19"/>
      <c r="AS1366" s="19"/>
      <c r="AT1366" s="19"/>
      <c r="AU1366" s="19"/>
      <c r="AV1366" s="19"/>
      <c r="AW1366" s="19"/>
      <c r="AX1366" s="19"/>
      <c r="GA1366" s="54"/>
    </row>
    <row r="1367" spans="1:183" s="18" customFormat="1">
      <c r="A1367" s="51"/>
      <c r="B1367" s="52"/>
      <c r="C1367" s="52"/>
      <c r="D1367" s="52"/>
      <c r="E1367" s="53"/>
      <c r="F1367" s="52"/>
      <c r="G1367" s="52"/>
      <c r="H1367" s="52"/>
      <c r="I1367" s="53"/>
      <c r="J1367" s="52"/>
      <c r="K1367" s="52"/>
      <c r="L1367" s="52"/>
      <c r="M1367" s="52"/>
      <c r="N1367" s="19"/>
      <c r="O1367" s="19"/>
      <c r="P1367" s="19"/>
      <c r="Q1367" s="19"/>
      <c r="R1367" s="19"/>
      <c r="S1367" s="19"/>
      <c r="T1367" s="19"/>
      <c r="U1367" s="19"/>
      <c r="V1367" s="19"/>
      <c r="W1367" s="19"/>
      <c r="X1367" s="19"/>
      <c r="Y1367" s="19"/>
      <c r="Z1367" s="19"/>
      <c r="AA1367" s="19"/>
      <c r="AB1367" s="19"/>
      <c r="AC1367" s="19"/>
      <c r="AD1367" s="19"/>
      <c r="AE1367" s="19"/>
      <c r="AF1367" s="19"/>
      <c r="AG1367" s="19"/>
      <c r="AH1367" s="19"/>
      <c r="AI1367" s="19"/>
      <c r="AJ1367" s="19"/>
      <c r="AK1367" s="19"/>
      <c r="AL1367" s="19"/>
      <c r="AM1367" s="19"/>
      <c r="AN1367" s="19"/>
      <c r="AO1367" s="19"/>
      <c r="AP1367" s="19"/>
      <c r="AQ1367" s="19"/>
      <c r="AR1367" s="19"/>
      <c r="AS1367" s="19"/>
      <c r="AT1367" s="19"/>
      <c r="AU1367" s="19"/>
      <c r="AV1367" s="19"/>
      <c r="AW1367" s="19"/>
      <c r="AX1367" s="19"/>
      <c r="GA1367" s="54"/>
    </row>
    <row r="1368" spans="1:183" s="18" customFormat="1">
      <c r="A1368" s="51"/>
      <c r="B1368" s="52"/>
      <c r="C1368" s="52"/>
      <c r="D1368" s="52"/>
      <c r="E1368" s="53"/>
      <c r="F1368" s="52"/>
      <c r="G1368" s="52"/>
      <c r="H1368" s="52"/>
      <c r="I1368" s="53"/>
      <c r="J1368" s="52"/>
      <c r="K1368" s="52"/>
      <c r="L1368" s="52"/>
      <c r="M1368" s="52"/>
      <c r="N1368" s="19"/>
      <c r="O1368" s="19"/>
      <c r="P1368" s="19"/>
      <c r="Q1368" s="19"/>
      <c r="R1368" s="19"/>
      <c r="S1368" s="19"/>
      <c r="T1368" s="19"/>
      <c r="U1368" s="19"/>
      <c r="V1368" s="19"/>
      <c r="W1368" s="19"/>
      <c r="X1368" s="19"/>
      <c r="Y1368" s="19"/>
      <c r="Z1368" s="19"/>
      <c r="AA1368" s="19"/>
      <c r="AB1368" s="19"/>
      <c r="AC1368" s="19"/>
      <c r="AD1368" s="19"/>
      <c r="AE1368" s="19"/>
      <c r="AF1368" s="19"/>
      <c r="AG1368" s="19"/>
      <c r="AH1368" s="19"/>
      <c r="AI1368" s="19"/>
      <c r="AJ1368" s="19"/>
      <c r="AK1368" s="19"/>
      <c r="AL1368" s="19"/>
      <c r="AM1368" s="19"/>
      <c r="AN1368" s="19"/>
      <c r="AO1368" s="19"/>
      <c r="AP1368" s="19"/>
      <c r="AQ1368" s="19"/>
      <c r="AR1368" s="19"/>
      <c r="AS1368" s="19"/>
      <c r="AT1368" s="19"/>
      <c r="AU1368" s="19"/>
      <c r="AV1368" s="19"/>
      <c r="AW1368" s="19"/>
      <c r="AX1368" s="19"/>
      <c r="GA1368" s="54"/>
    </row>
    <row r="1369" spans="1:183" s="18" customFormat="1">
      <c r="A1369" s="51"/>
      <c r="B1369" s="52"/>
      <c r="C1369" s="52"/>
      <c r="D1369" s="52"/>
      <c r="E1369" s="53"/>
      <c r="F1369" s="52"/>
      <c r="G1369" s="52"/>
      <c r="H1369" s="52"/>
      <c r="I1369" s="53"/>
      <c r="J1369" s="52"/>
      <c r="K1369" s="52"/>
      <c r="L1369" s="52"/>
      <c r="M1369" s="52"/>
      <c r="N1369" s="19"/>
      <c r="O1369" s="19"/>
      <c r="P1369" s="19"/>
      <c r="Q1369" s="19"/>
      <c r="R1369" s="19"/>
      <c r="S1369" s="19"/>
      <c r="T1369" s="19"/>
      <c r="U1369" s="19"/>
      <c r="V1369" s="19"/>
      <c r="W1369" s="19"/>
      <c r="X1369" s="19"/>
      <c r="Y1369" s="19"/>
      <c r="Z1369" s="19"/>
      <c r="AA1369" s="19"/>
      <c r="AB1369" s="19"/>
      <c r="AC1369" s="19"/>
      <c r="AD1369" s="19"/>
      <c r="AE1369" s="19"/>
      <c r="AF1369" s="19"/>
      <c r="AG1369" s="19"/>
      <c r="AH1369" s="19"/>
      <c r="AI1369" s="19"/>
      <c r="AJ1369" s="19"/>
      <c r="AK1369" s="19"/>
      <c r="AL1369" s="19"/>
      <c r="AM1369" s="19"/>
      <c r="AN1369" s="19"/>
      <c r="AO1369" s="19"/>
      <c r="AP1369" s="19"/>
      <c r="AQ1369" s="19"/>
      <c r="AR1369" s="19"/>
      <c r="AS1369" s="19"/>
      <c r="AT1369" s="19"/>
      <c r="AU1369" s="19"/>
      <c r="AV1369" s="19"/>
      <c r="AW1369" s="19"/>
      <c r="AX1369" s="19"/>
      <c r="GA1369" s="54"/>
    </row>
    <row r="1370" spans="1:183" s="18" customFormat="1">
      <c r="A1370" s="51"/>
      <c r="B1370" s="52"/>
      <c r="C1370" s="52"/>
      <c r="D1370" s="52"/>
      <c r="E1370" s="53"/>
      <c r="F1370" s="52"/>
      <c r="G1370" s="52"/>
      <c r="H1370" s="52"/>
      <c r="I1370" s="53"/>
      <c r="J1370" s="52"/>
      <c r="K1370" s="52"/>
      <c r="L1370" s="52"/>
      <c r="M1370" s="52"/>
      <c r="N1370" s="19"/>
      <c r="O1370" s="19"/>
      <c r="P1370" s="19"/>
      <c r="Q1370" s="19"/>
      <c r="R1370" s="19"/>
      <c r="S1370" s="19"/>
      <c r="T1370" s="19"/>
      <c r="U1370" s="19"/>
      <c r="V1370" s="19"/>
      <c r="W1370" s="19"/>
      <c r="X1370" s="19"/>
      <c r="Y1370" s="19"/>
      <c r="Z1370" s="19"/>
      <c r="AA1370" s="19"/>
      <c r="AB1370" s="19"/>
      <c r="AC1370" s="19"/>
      <c r="AD1370" s="19"/>
      <c r="AE1370" s="19"/>
      <c r="AF1370" s="19"/>
      <c r="AG1370" s="19"/>
      <c r="AH1370" s="19"/>
      <c r="AI1370" s="19"/>
      <c r="AJ1370" s="19"/>
      <c r="AK1370" s="19"/>
      <c r="AL1370" s="19"/>
      <c r="AM1370" s="19"/>
      <c r="AN1370" s="19"/>
      <c r="AO1370" s="19"/>
      <c r="AP1370" s="19"/>
      <c r="AQ1370" s="19"/>
      <c r="AR1370" s="19"/>
      <c r="AS1370" s="19"/>
      <c r="AT1370" s="19"/>
      <c r="AU1370" s="19"/>
      <c r="AV1370" s="19"/>
      <c r="AW1370" s="19"/>
      <c r="AX1370" s="19"/>
      <c r="GA1370" s="54"/>
    </row>
    <row r="1371" spans="1:183" s="18" customFormat="1">
      <c r="A1371" s="51"/>
      <c r="B1371" s="52"/>
      <c r="C1371" s="52"/>
      <c r="D1371" s="52"/>
      <c r="E1371" s="53"/>
      <c r="F1371" s="52"/>
      <c r="G1371" s="52"/>
      <c r="H1371" s="52"/>
      <c r="I1371" s="53"/>
      <c r="J1371" s="52"/>
      <c r="K1371" s="52"/>
      <c r="L1371" s="52"/>
      <c r="M1371" s="52"/>
      <c r="N1371" s="19"/>
      <c r="O1371" s="19"/>
      <c r="P1371" s="19"/>
      <c r="Q1371" s="19"/>
      <c r="R1371" s="19"/>
      <c r="S1371" s="19"/>
      <c r="T1371" s="19"/>
      <c r="U1371" s="19"/>
      <c r="V1371" s="19"/>
      <c r="W1371" s="19"/>
      <c r="X1371" s="19"/>
      <c r="Y1371" s="19"/>
      <c r="Z1371" s="19"/>
      <c r="AA1371" s="19"/>
      <c r="AB1371" s="19"/>
      <c r="AC1371" s="19"/>
      <c r="AD1371" s="19"/>
      <c r="AE1371" s="19"/>
      <c r="AF1371" s="19"/>
      <c r="AG1371" s="19"/>
      <c r="AH1371" s="19"/>
      <c r="AI1371" s="19"/>
      <c r="AJ1371" s="19"/>
      <c r="AK1371" s="19"/>
      <c r="AL1371" s="19"/>
      <c r="AM1371" s="19"/>
      <c r="AN1371" s="19"/>
      <c r="AO1371" s="19"/>
      <c r="AP1371" s="19"/>
      <c r="AQ1371" s="19"/>
      <c r="AR1371" s="19"/>
      <c r="AS1371" s="19"/>
      <c r="AT1371" s="19"/>
      <c r="AU1371" s="19"/>
      <c r="AV1371" s="19"/>
      <c r="AW1371" s="19"/>
      <c r="AX1371" s="19"/>
      <c r="GA1371" s="54"/>
    </row>
    <row r="1372" spans="1:183" s="18" customFormat="1">
      <c r="A1372" s="51"/>
      <c r="B1372" s="52"/>
      <c r="C1372" s="52"/>
      <c r="D1372" s="52"/>
      <c r="E1372" s="53"/>
      <c r="F1372" s="52"/>
      <c r="G1372" s="52"/>
      <c r="H1372" s="52"/>
      <c r="I1372" s="53"/>
      <c r="J1372" s="52"/>
      <c r="K1372" s="52"/>
      <c r="L1372" s="52"/>
      <c r="M1372" s="52"/>
      <c r="N1372" s="19"/>
      <c r="O1372" s="19"/>
      <c r="P1372" s="19"/>
      <c r="Q1372" s="19"/>
      <c r="R1372" s="19"/>
      <c r="S1372" s="19"/>
      <c r="T1372" s="19"/>
      <c r="U1372" s="19"/>
      <c r="V1372" s="19"/>
      <c r="W1372" s="19"/>
      <c r="X1372" s="19"/>
      <c r="Y1372" s="19"/>
      <c r="Z1372" s="19"/>
      <c r="AA1372" s="19"/>
      <c r="AB1372" s="19"/>
      <c r="AC1372" s="19"/>
      <c r="AD1372" s="19"/>
      <c r="AE1372" s="19"/>
      <c r="AF1372" s="19"/>
      <c r="AG1372" s="19"/>
      <c r="AH1372" s="19"/>
      <c r="AI1372" s="19"/>
      <c r="AJ1372" s="19"/>
      <c r="AK1372" s="19"/>
      <c r="AL1372" s="19"/>
      <c r="AM1372" s="19"/>
      <c r="AN1372" s="19"/>
      <c r="AO1372" s="19"/>
      <c r="AP1372" s="19"/>
      <c r="AQ1372" s="19"/>
      <c r="AR1372" s="19"/>
      <c r="AS1372" s="19"/>
      <c r="AT1372" s="19"/>
      <c r="AU1372" s="19"/>
      <c r="AV1372" s="19"/>
      <c r="AW1372" s="19"/>
      <c r="AX1372" s="19"/>
      <c r="GA1372" s="54"/>
    </row>
    <row r="1373" spans="1:183" s="18" customFormat="1">
      <c r="A1373" s="51"/>
      <c r="B1373" s="52"/>
      <c r="C1373" s="52"/>
      <c r="D1373" s="52"/>
      <c r="E1373" s="53"/>
      <c r="F1373" s="52"/>
      <c r="G1373" s="52"/>
      <c r="H1373" s="52"/>
      <c r="I1373" s="53"/>
      <c r="J1373" s="52"/>
      <c r="K1373" s="52"/>
      <c r="L1373" s="52"/>
      <c r="M1373" s="52"/>
      <c r="N1373" s="19"/>
      <c r="O1373" s="19"/>
      <c r="P1373" s="19"/>
      <c r="Q1373" s="19"/>
      <c r="R1373" s="19"/>
      <c r="S1373" s="19"/>
      <c r="T1373" s="19"/>
      <c r="U1373" s="19"/>
      <c r="V1373" s="19"/>
      <c r="W1373" s="19"/>
      <c r="X1373" s="19"/>
      <c r="Y1373" s="19"/>
      <c r="Z1373" s="19"/>
      <c r="AA1373" s="19"/>
      <c r="AB1373" s="19"/>
      <c r="AC1373" s="19"/>
      <c r="AD1373" s="19"/>
      <c r="AE1373" s="19"/>
      <c r="AF1373" s="19"/>
      <c r="AG1373" s="19"/>
      <c r="AH1373" s="19"/>
      <c r="AI1373" s="19"/>
      <c r="AJ1373" s="19"/>
      <c r="AK1373" s="19"/>
      <c r="AL1373" s="19"/>
      <c r="AM1373" s="19"/>
      <c r="AN1373" s="19"/>
      <c r="AO1373" s="19"/>
      <c r="AP1373" s="19"/>
      <c r="AQ1373" s="19"/>
      <c r="AR1373" s="19"/>
      <c r="AS1373" s="19"/>
      <c r="AT1373" s="19"/>
      <c r="AU1373" s="19"/>
      <c r="AV1373" s="19"/>
      <c r="AW1373" s="19"/>
      <c r="AX1373" s="19"/>
      <c r="GA1373" s="54"/>
    </row>
    <row r="1374" spans="1:183" s="18" customFormat="1">
      <c r="A1374" s="51"/>
      <c r="B1374" s="52"/>
      <c r="C1374" s="52"/>
      <c r="D1374" s="52"/>
      <c r="E1374" s="53"/>
      <c r="F1374" s="52"/>
      <c r="G1374" s="52"/>
      <c r="H1374" s="52"/>
      <c r="I1374" s="53"/>
      <c r="J1374" s="52"/>
      <c r="K1374" s="52"/>
      <c r="L1374" s="52"/>
      <c r="M1374" s="52"/>
      <c r="N1374" s="19"/>
      <c r="O1374" s="19"/>
      <c r="P1374" s="19"/>
      <c r="Q1374" s="19"/>
      <c r="R1374" s="19"/>
      <c r="S1374" s="19"/>
      <c r="T1374" s="19"/>
      <c r="U1374" s="19"/>
      <c r="V1374" s="19"/>
      <c r="W1374" s="19"/>
      <c r="X1374" s="19"/>
      <c r="Y1374" s="19"/>
      <c r="Z1374" s="19"/>
      <c r="AA1374" s="19"/>
      <c r="AB1374" s="19"/>
      <c r="AC1374" s="19"/>
      <c r="AD1374" s="19"/>
      <c r="AE1374" s="19"/>
      <c r="AF1374" s="19"/>
      <c r="AG1374" s="19"/>
      <c r="AH1374" s="19"/>
      <c r="AI1374" s="19"/>
      <c r="AJ1374" s="19"/>
      <c r="AK1374" s="19"/>
      <c r="AL1374" s="19"/>
      <c r="AM1374" s="19"/>
      <c r="AN1374" s="19"/>
      <c r="AO1374" s="19"/>
      <c r="AP1374" s="19"/>
      <c r="AQ1374" s="19"/>
      <c r="AR1374" s="19"/>
      <c r="AS1374" s="19"/>
      <c r="AT1374" s="19"/>
      <c r="AU1374" s="19"/>
      <c r="AV1374" s="19"/>
      <c r="AW1374" s="19"/>
      <c r="AX1374" s="19"/>
      <c r="GA1374" s="54"/>
    </row>
    <row r="1375" spans="1:183" s="18" customFormat="1">
      <c r="A1375" s="51"/>
      <c r="B1375" s="52"/>
      <c r="C1375" s="52"/>
      <c r="D1375" s="52"/>
      <c r="E1375" s="53"/>
      <c r="F1375" s="52"/>
      <c r="G1375" s="52"/>
      <c r="H1375" s="52"/>
      <c r="I1375" s="53"/>
      <c r="J1375" s="52"/>
      <c r="K1375" s="52"/>
      <c r="L1375" s="52"/>
      <c r="M1375" s="52"/>
      <c r="N1375" s="19"/>
      <c r="O1375" s="19"/>
      <c r="P1375" s="19"/>
      <c r="Q1375" s="19"/>
      <c r="R1375" s="19"/>
      <c r="S1375" s="19"/>
      <c r="T1375" s="19"/>
      <c r="U1375" s="19"/>
      <c r="V1375" s="19"/>
      <c r="W1375" s="19"/>
      <c r="X1375" s="19"/>
      <c r="Y1375" s="19"/>
      <c r="Z1375" s="19"/>
      <c r="AA1375" s="19"/>
      <c r="AB1375" s="19"/>
      <c r="AC1375" s="19"/>
      <c r="AD1375" s="19"/>
      <c r="AE1375" s="19"/>
      <c r="AF1375" s="19"/>
      <c r="AG1375" s="19"/>
      <c r="AH1375" s="19"/>
      <c r="AI1375" s="19"/>
      <c r="AJ1375" s="19"/>
      <c r="AK1375" s="19"/>
      <c r="AL1375" s="19"/>
      <c r="AM1375" s="19"/>
      <c r="AN1375" s="19"/>
      <c r="AO1375" s="19"/>
      <c r="AP1375" s="19"/>
      <c r="AQ1375" s="19"/>
      <c r="AR1375" s="19"/>
      <c r="AS1375" s="19"/>
      <c r="AT1375" s="19"/>
      <c r="AU1375" s="19"/>
      <c r="AV1375" s="19"/>
      <c r="AW1375" s="19"/>
      <c r="AX1375" s="19"/>
      <c r="GA1375" s="54"/>
    </row>
    <row r="1376" spans="1:183" s="18" customFormat="1">
      <c r="A1376" s="51"/>
      <c r="B1376" s="52"/>
      <c r="C1376" s="52"/>
      <c r="D1376" s="52"/>
      <c r="E1376" s="53"/>
      <c r="F1376" s="52"/>
      <c r="G1376" s="52"/>
      <c r="H1376" s="52"/>
      <c r="I1376" s="53"/>
      <c r="J1376" s="52"/>
      <c r="K1376" s="52"/>
      <c r="L1376" s="52"/>
      <c r="M1376" s="52"/>
      <c r="N1376" s="19"/>
      <c r="O1376" s="19"/>
      <c r="P1376" s="19"/>
      <c r="Q1376" s="19"/>
      <c r="R1376" s="19"/>
      <c r="S1376" s="19"/>
      <c r="T1376" s="19"/>
      <c r="U1376" s="19"/>
      <c r="V1376" s="19"/>
      <c r="W1376" s="19"/>
      <c r="X1376" s="19"/>
      <c r="Y1376" s="19"/>
      <c r="Z1376" s="19"/>
      <c r="AA1376" s="19"/>
      <c r="AB1376" s="19"/>
      <c r="AC1376" s="19"/>
      <c r="AD1376" s="19"/>
      <c r="AE1376" s="19"/>
      <c r="AF1376" s="19"/>
      <c r="AG1376" s="19"/>
      <c r="AH1376" s="19"/>
      <c r="AI1376" s="19"/>
      <c r="AJ1376" s="19"/>
      <c r="AK1376" s="19"/>
      <c r="AL1376" s="19"/>
      <c r="AM1376" s="19"/>
      <c r="AN1376" s="19"/>
      <c r="AO1376" s="19"/>
      <c r="AP1376" s="19"/>
      <c r="AQ1376" s="19"/>
      <c r="AR1376" s="19"/>
      <c r="AS1376" s="19"/>
      <c r="AT1376" s="19"/>
      <c r="AU1376" s="19"/>
      <c r="AV1376" s="19"/>
      <c r="AW1376" s="19"/>
      <c r="AX1376" s="19"/>
      <c r="GA1376" s="54"/>
    </row>
    <row r="1377" spans="1:183" s="18" customFormat="1">
      <c r="A1377" s="51"/>
      <c r="B1377" s="52"/>
      <c r="C1377" s="52"/>
      <c r="D1377" s="52"/>
      <c r="E1377" s="53"/>
      <c r="F1377" s="52"/>
      <c r="G1377" s="52"/>
      <c r="H1377" s="52"/>
      <c r="I1377" s="53"/>
      <c r="J1377" s="52"/>
      <c r="K1377" s="52"/>
      <c r="L1377" s="52"/>
      <c r="M1377" s="52"/>
      <c r="N1377" s="19"/>
      <c r="O1377" s="19"/>
      <c r="P1377" s="19"/>
      <c r="Q1377" s="19"/>
      <c r="R1377" s="19"/>
      <c r="S1377" s="19"/>
      <c r="T1377" s="19"/>
      <c r="U1377" s="19"/>
      <c r="V1377" s="19"/>
      <c r="W1377" s="19"/>
      <c r="X1377" s="19"/>
      <c r="Y1377" s="19"/>
      <c r="Z1377" s="19"/>
      <c r="AA1377" s="19"/>
      <c r="AB1377" s="19"/>
      <c r="AC1377" s="19"/>
      <c r="AD1377" s="19"/>
      <c r="AE1377" s="19"/>
      <c r="AF1377" s="19"/>
      <c r="AG1377" s="19"/>
      <c r="AH1377" s="19"/>
      <c r="AI1377" s="19"/>
      <c r="AJ1377" s="19"/>
      <c r="AK1377" s="19"/>
      <c r="AL1377" s="19"/>
      <c r="AM1377" s="19"/>
      <c r="AN1377" s="19"/>
      <c r="AO1377" s="19"/>
      <c r="AP1377" s="19"/>
      <c r="AQ1377" s="19"/>
      <c r="AR1377" s="19"/>
      <c r="AS1377" s="19"/>
      <c r="AT1377" s="19"/>
      <c r="AU1377" s="19"/>
      <c r="AV1377" s="19"/>
      <c r="AW1377" s="19"/>
      <c r="AX1377" s="19"/>
      <c r="GA1377" s="54"/>
    </row>
    <row r="1378" spans="1:183" s="18" customFormat="1">
      <c r="A1378" s="51"/>
      <c r="B1378" s="52"/>
      <c r="C1378" s="52"/>
      <c r="D1378" s="52"/>
      <c r="E1378" s="53"/>
      <c r="F1378" s="52"/>
      <c r="G1378" s="52"/>
      <c r="H1378" s="52"/>
      <c r="I1378" s="53"/>
      <c r="J1378" s="52"/>
      <c r="K1378" s="52"/>
      <c r="L1378" s="52"/>
      <c r="M1378" s="52"/>
      <c r="N1378" s="19"/>
      <c r="O1378" s="19"/>
      <c r="P1378" s="19"/>
      <c r="Q1378" s="19"/>
      <c r="R1378" s="19"/>
      <c r="S1378" s="19"/>
      <c r="T1378" s="19"/>
      <c r="U1378" s="19"/>
      <c r="V1378" s="19"/>
      <c r="W1378" s="19"/>
      <c r="X1378" s="19"/>
      <c r="Y1378" s="19"/>
      <c r="Z1378" s="19"/>
      <c r="AA1378" s="19"/>
      <c r="AB1378" s="19"/>
      <c r="AC1378" s="19"/>
      <c r="AD1378" s="19"/>
      <c r="AE1378" s="19"/>
      <c r="AF1378" s="19"/>
      <c r="AG1378" s="19"/>
      <c r="AH1378" s="19"/>
      <c r="AI1378" s="19"/>
      <c r="AJ1378" s="19"/>
      <c r="AK1378" s="19"/>
      <c r="AL1378" s="19"/>
      <c r="AM1378" s="19"/>
      <c r="AN1378" s="19"/>
      <c r="AO1378" s="19"/>
      <c r="AP1378" s="19"/>
      <c r="AQ1378" s="19"/>
      <c r="AR1378" s="19"/>
      <c r="AS1378" s="19"/>
      <c r="AT1378" s="19"/>
      <c r="AU1378" s="19"/>
      <c r="AV1378" s="19"/>
      <c r="AW1378" s="19"/>
      <c r="AX1378" s="19"/>
      <c r="GA1378" s="54"/>
    </row>
    <row r="1379" spans="1:183" s="18" customFormat="1">
      <c r="A1379" s="51"/>
      <c r="B1379" s="52"/>
      <c r="C1379" s="52"/>
      <c r="D1379" s="52"/>
      <c r="E1379" s="53"/>
      <c r="F1379" s="52"/>
      <c r="G1379" s="52"/>
      <c r="H1379" s="52"/>
      <c r="I1379" s="53"/>
      <c r="J1379" s="52"/>
      <c r="K1379" s="52"/>
      <c r="L1379" s="52"/>
      <c r="M1379" s="52"/>
      <c r="N1379" s="19"/>
      <c r="O1379" s="19"/>
      <c r="P1379" s="19"/>
      <c r="Q1379" s="19"/>
      <c r="R1379" s="19"/>
      <c r="S1379" s="19"/>
      <c r="T1379" s="19"/>
      <c r="U1379" s="19"/>
      <c r="V1379" s="19"/>
      <c r="W1379" s="19"/>
      <c r="X1379" s="19"/>
      <c r="Y1379" s="19"/>
      <c r="Z1379" s="19"/>
      <c r="AA1379" s="19"/>
      <c r="AB1379" s="19"/>
      <c r="AC1379" s="19"/>
      <c r="AD1379" s="19"/>
      <c r="AE1379" s="19"/>
      <c r="AF1379" s="19"/>
      <c r="AG1379" s="19"/>
      <c r="AH1379" s="19"/>
      <c r="AI1379" s="19"/>
      <c r="AJ1379" s="19"/>
      <c r="AK1379" s="19"/>
      <c r="AL1379" s="19"/>
      <c r="AM1379" s="19"/>
      <c r="AN1379" s="19"/>
      <c r="AO1379" s="19"/>
      <c r="AP1379" s="19"/>
      <c r="AQ1379" s="19"/>
      <c r="AR1379" s="19"/>
      <c r="AS1379" s="19"/>
      <c r="AT1379" s="19"/>
      <c r="AU1379" s="19"/>
      <c r="AV1379" s="19"/>
      <c r="AW1379" s="19"/>
      <c r="AX1379" s="19"/>
      <c r="GA1379" s="54"/>
    </row>
    <row r="1380" spans="1:183" s="18" customFormat="1">
      <c r="A1380" s="51"/>
      <c r="B1380" s="52"/>
      <c r="C1380" s="52"/>
      <c r="D1380" s="52"/>
      <c r="E1380" s="53"/>
      <c r="F1380" s="52"/>
      <c r="G1380" s="52"/>
      <c r="H1380" s="52"/>
      <c r="I1380" s="53"/>
      <c r="J1380" s="52"/>
      <c r="K1380" s="52"/>
      <c r="L1380" s="52"/>
      <c r="M1380" s="52"/>
      <c r="N1380" s="19"/>
      <c r="O1380" s="19"/>
      <c r="P1380" s="19"/>
      <c r="Q1380" s="19"/>
      <c r="R1380" s="19"/>
      <c r="S1380" s="19"/>
      <c r="T1380" s="19"/>
      <c r="U1380" s="19"/>
      <c r="V1380" s="19"/>
      <c r="W1380" s="19"/>
      <c r="X1380" s="19"/>
      <c r="Y1380" s="19"/>
      <c r="Z1380" s="19"/>
      <c r="AA1380" s="19"/>
      <c r="AB1380" s="19"/>
      <c r="AC1380" s="19"/>
      <c r="AD1380" s="19"/>
      <c r="AE1380" s="19"/>
      <c r="AF1380" s="19"/>
      <c r="AG1380" s="19"/>
      <c r="AH1380" s="19"/>
      <c r="AI1380" s="19"/>
      <c r="AJ1380" s="19"/>
      <c r="AK1380" s="19"/>
      <c r="AL1380" s="19"/>
      <c r="AM1380" s="19"/>
      <c r="AN1380" s="19"/>
      <c r="AO1380" s="19"/>
      <c r="AP1380" s="19"/>
      <c r="AQ1380" s="19"/>
      <c r="AR1380" s="19"/>
      <c r="AS1380" s="19"/>
      <c r="AT1380" s="19"/>
      <c r="AU1380" s="19"/>
      <c r="AV1380" s="19"/>
      <c r="AW1380" s="19"/>
      <c r="AX1380" s="19"/>
      <c r="GA1380" s="54"/>
    </row>
    <row r="1381" spans="1:183" s="18" customFormat="1">
      <c r="A1381" s="51"/>
      <c r="B1381" s="52"/>
      <c r="C1381" s="52"/>
      <c r="D1381" s="52"/>
      <c r="E1381" s="53"/>
      <c r="F1381" s="52"/>
      <c r="G1381" s="52"/>
      <c r="H1381" s="52"/>
      <c r="I1381" s="53"/>
      <c r="J1381" s="52"/>
      <c r="K1381" s="52"/>
      <c r="L1381" s="52"/>
      <c r="M1381" s="52"/>
      <c r="N1381" s="19"/>
      <c r="O1381" s="19"/>
      <c r="P1381" s="19"/>
      <c r="Q1381" s="19"/>
      <c r="R1381" s="19"/>
      <c r="S1381" s="19"/>
      <c r="T1381" s="19"/>
      <c r="U1381" s="19"/>
      <c r="V1381" s="19"/>
      <c r="W1381" s="19"/>
      <c r="X1381" s="19"/>
      <c r="Y1381" s="19"/>
      <c r="Z1381" s="19"/>
      <c r="AA1381" s="19"/>
      <c r="AB1381" s="19"/>
      <c r="AC1381" s="19"/>
      <c r="AD1381" s="19"/>
      <c r="AE1381" s="19"/>
      <c r="AF1381" s="19"/>
      <c r="AG1381" s="19"/>
      <c r="AH1381" s="19"/>
      <c r="AI1381" s="19"/>
      <c r="AJ1381" s="19"/>
      <c r="AK1381" s="19"/>
      <c r="AL1381" s="19"/>
      <c r="AM1381" s="19"/>
      <c r="AN1381" s="19"/>
      <c r="AO1381" s="19"/>
      <c r="AP1381" s="19"/>
      <c r="AQ1381" s="19"/>
      <c r="AR1381" s="19"/>
      <c r="AS1381" s="19"/>
      <c r="AT1381" s="19"/>
      <c r="AU1381" s="19"/>
      <c r="AV1381" s="19"/>
      <c r="AW1381" s="19"/>
      <c r="AX1381" s="19"/>
      <c r="GA1381" s="54"/>
    </row>
    <row r="1382" spans="1:183" s="18" customFormat="1">
      <c r="A1382" s="51"/>
      <c r="B1382" s="52"/>
      <c r="C1382" s="52"/>
      <c r="D1382" s="52"/>
      <c r="E1382" s="53"/>
      <c r="F1382" s="52"/>
      <c r="G1382" s="52"/>
      <c r="H1382" s="52"/>
      <c r="I1382" s="53"/>
      <c r="J1382" s="52"/>
      <c r="K1382" s="52"/>
      <c r="L1382" s="52"/>
      <c r="M1382" s="52"/>
      <c r="N1382" s="19"/>
      <c r="O1382" s="19"/>
      <c r="P1382" s="19"/>
      <c r="Q1382" s="19"/>
      <c r="R1382" s="19"/>
      <c r="S1382" s="19"/>
      <c r="T1382" s="19"/>
      <c r="U1382" s="19"/>
      <c r="V1382" s="19"/>
      <c r="W1382" s="19"/>
      <c r="X1382" s="19"/>
      <c r="Y1382" s="19"/>
      <c r="Z1382" s="19"/>
      <c r="AA1382" s="19"/>
      <c r="AB1382" s="19"/>
      <c r="AC1382" s="19"/>
      <c r="AD1382" s="19"/>
      <c r="AE1382" s="19"/>
      <c r="AF1382" s="19"/>
      <c r="AG1382" s="19"/>
      <c r="AH1382" s="19"/>
      <c r="AI1382" s="19"/>
      <c r="AJ1382" s="19"/>
      <c r="AK1382" s="19"/>
      <c r="AL1382" s="19"/>
      <c r="AM1382" s="19"/>
      <c r="AN1382" s="19"/>
      <c r="AO1382" s="19"/>
      <c r="AP1382" s="19"/>
      <c r="AQ1382" s="19"/>
      <c r="AR1382" s="19"/>
      <c r="AS1382" s="19"/>
      <c r="AT1382" s="19"/>
      <c r="AU1382" s="19"/>
      <c r="AV1382" s="19"/>
      <c r="AW1382" s="19"/>
      <c r="AX1382" s="19"/>
      <c r="GA1382" s="54"/>
    </row>
    <row r="1383" spans="1:183" s="18" customFormat="1">
      <c r="A1383" s="51"/>
      <c r="B1383" s="52"/>
      <c r="C1383" s="52"/>
      <c r="D1383" s="52"/>
      <c r="E1383" s="53"/>
      <c r="F1383" s="52"/>
      <c r="G1383" s="52"/>
      <c r="H1383" s="52"/>
      <c r="I1383" s="53"/>
      <c r="J1383" s="52"/>
      <c r="K1383" s="52"/>
      <c r="L1383" s="52"/>
      <c r="M1383" s="52"/>
      <c r="N1383" s="19"/>
      <c r="O1383" s="19"/>
      <c r="P1383" s="19"/>
      <c r="Q1383" s="19"/>
      <c r="R1383" s="19"/>
      <c r="S1383" s="19"/>
      <c r="T1383" s="19"/>
      <c r="U1383" s="19"/>
      <c r="V1383" s="19"/>
      <c r="W1383" s="19"/>
      <c r="X1383" s="19"/>
      <c r="Y1383" s="19"/>
      <c r="Z1383" s="19"/>
      <c r="AA1383" s="19"/>
      <c r="AB1383" s="19"/>
      <c r="AC1383" s="19"/>
      <c r="AD1383" s="19"/>
      <c r="AE1383" s="19"/>
      <c r="AF1383" s="19"/>
      <c r="AG1383" s="19"/>
      <c r="AH1383" s="19"/>
      <c r="AI1383" s="19"/>
      <c r="AJ1383" s="19"/>
      <c r="AK1383" s="19"/>
      <c r="AL1383" s="19"/>
      <c r="AM1383" s="19"/>
      <c r="AN1383" s="19"/>
      <c r="AO1383" s="19"/>
      <c r="AP1383" s="19"/>
      <c r="AQ1383" s="19"/>
      <c r="AR1383" s="19"/>
      <c r="AS1383" s="19"/>
      <c r="AT1383" s="19"/>
      <c r="AU1383" s="19"/>
      <c r="AV1383" s="19"/>
      <c r="AW1383" s="19"/>
      <c r="AX1383" s="19"/>
      <c r="GA1383" s="54"/>
    </row>
    <row r="1384" spans="1:183" s="18" customFormat="1">
      <c r="A1384" s="51"/>
      <c r="B1384" s="52"/>
      <c r="C1384" s="52"/>
      <c r="D1384" s="52"/>
      <c r="E1384" s="53"/>
      <c r="F1384" s="52"/>
      <c r="G1384" s="52"/>
      <c r="H1384" s="52"/>
      <c r="I1384" s="53"/>
      <c r="J1384" s="52"/>
      <c r="K1384" s="52"/>
      <c r="L1384" s="52"/>
      <c r="M1384" s="52"/>
      <c r="N1384" s="19"/>
      <c r="O1384" s="19"/>
      <c r="P1384" s="19"/>
      <c r="Q1384" s="19"/>
      <c r="R1384" s="19"/>
      <c r="S1384" s="19"/>
      <c r="T1384" s="19"/>
      <c r="U1384" s="19"/>
      <c r="V1384" s="19"/>
      <c r="W1384" s="19"/>
      <c r="X1384" s="19"/>
      <c r="Y1384" s="19"/>
      <c r="Z1384" s="19"/>
      <c r="AA1384" s="19"/>
      <c r="AB1384" s="19"/>
      <c r="AC1384" s="19"/>
      <c r="AD1384" s="19"/>
      <c r="AE1384" s="19"/>
      <c r="AF1384" s="19"/>
      <c r="AG1384" s="19"/>
      <c r="AH1384" s="19"/>
      <c r="AI1384" s="19"/>
      <c r="AJ1384" s="19"/>
      <c r="AK1384" s="19"/>
      <c r="AL1384" s="19"/>
      <c r="AM1384" s="19"/>
      <c r="AN1384" s="19"/>
      <c r="AO1384" s="19"/>
      <c r="AP1384" s="19"/>
      <c r="AQ1384" s="19"/>
      <c r="AR1384" s="19"/>
      <c r="AS1384" s="19"/>
      <c r="AT1384" s="19"/>
      <c r="AU1384" s="19"/>
      <c r="AV1384" s="19"/>
      <c r="AW1384" s="19"/>
      <c r="AX1384" s="19"/>
      <c r="GA1384" s="54"/>
    </row>
    <row r="1385" spans="1:183" s="18" customFormat="1">
      <c r="A1385" s="51"/>
      <c r="B1385" s="52"/>
      <c r="C1385" s="52"/>
      <c r="D1385" s="52"/>
      <c r="E1385" s="53"/>
      <c r="F1385" s="52"/>
      <c r="G1385" s="52"/>
      <c r="H1385" s="52"/>
      <c r="I1385" s="53"/>
      <c r="J1385" s="52"/>
      <c r="K1385" s="52"/>
      <c r="L1385" s="52"/>
      <c r="M1385" s="52"/>
      <c r="N1385" s="19"/>
      <c r="O1385" s="19"/>
      <c r="P1385" s="19"/>
      <c r="Q1385" s="19"/>
      <c r="R1385" s="19"/>
      <c r="S1385" s="19"/>
      <c r="T1385" s="19"/>
      <c r="U1385" s="19"/>
      <c r="V1385" s="19"/>
      <c r="W1385" s="19"/>
      <c r="X1385" s="19"/>
      <c r="Y1385" s="19"/>
      <c r="Z1385" s="19"/>
      <c r="AA1385" s="19"/>
      <c r="AB1385" s="19"/>
      <c r="AC1385" s="19"/>
      <c r="AD1385" s="19"/>
      <c r="AE1385" s="19"/>
      <c r="AF1385" s="19"/>
      <c r="AG1385" s="19"/>
      <c r="AH1385" s="19"/>
      <c r="AI1385" s="19"/>
      <c r="AJ1385" s="19"/>
      <c r="AK1385" s="19"/>
      <c r="AL1385" s="19"/>
      <c r="AM1385" s="19"/>
      <c r="AN1385" s="19"/>
      <c r="AO1385" s="19"/>
      <c r="AP1385" s="19"/>
      <c r="AQ1385" s="19"/>
      <c r="AR1385" s="19"/>
      <c r="AS1385" s="19"/>
      <c r="AT1385" s="19"/>
      <c r="AU1385" s="19"/>
      <c r="AV1385" s="19"/>
      <c r="AW1385" s="19"/>
      <c r="AX1385" s="19"/>
      <c r="GA1385" s="54"/>
    </row>
    <row r="1386" spans="1:183" s="18" customFormat="1">
      <c r="A1386" s="51"/>
      <c r="B1386" s="52"/>
      <c r="C1386" s="52"/>
      <c r="D1386" s="52"/>
      <c r="E1386" s="53"/>
      <c r="F1386" s="52"/>
      <c r="G1386" s="52"/>
      <c r="H1386" s="52"/>
      <c r="I1386" s="53"/>
      <c r="J1386" s="52"/>
      <c r="K1386" s="52"/>
      <c r="L1386" s="52"/>
      <c r="M1386" s="52"/>
      <c r="N1386" s="19"/>
      <c r="O1386" s="19"/>
      <c r="P1386" s="19"/>
      <c r="Q1386" s="19"/>
      <c r="R1386" s="19"/>
      <c r="S1386" s="19"/>
      <c r="T1386" s="19"/>
      <c r="U1386" s="19"/>
      <c r="V1386" s="19"/>
      <c r="W1386" s="19"/>
      <c r="X1386" s="19"/>
      <c r="Y1386" s="19"/>
      <c r="Z1386" s="19"/>
      <c r="AA1386" s="19"/>
      <c r="AB1386" s="19"/>
      <c r="AC1386" s="19"/>
      <c r="AD1386" s="19"/>
      <c r="AE1386" s="19"/>
      <c r="AF1386" s="19"/>
      <c r="AG1386" s="19"/>
      <c r="AH1386" s="19"/>
      <c r="AI1386" s="19"/>
      <c r="AJ1386" s="19"/>
      <c r="AK1386" s="19"/>
      <c r="AL1386" s="19"/>
      <c r="AM1386" s="19"/>
      <c r="AN1386" s="19"/>
      <c r="AO1386" s="19"/>
      <c r="AP1386" s="19"/>
      <c r="AQ1386" s="19"/>
      <c r="AR1386" s="19"/>
      <c r="AS1386" s="19"/>
      <c r="AT1386" s="19"/>
      <c r="AU1386" s="19"/>
      <c r="AV1386" s="19"/>
      <c r="AW1386" s="19"/>
      <c r="AX1386" s="19"/>
      <c r="GA1386" s="54"/>
    </row>
    <row r="1387" spans="1:183" s="18" customFormat="1">
      <c r="A1387" s="51"/>
      <c r="B1387" s="52"/>
      <c r="C1387" s="52"/>
      <c r="D1387" s="52"/>
      <c r="E1387" s="53"/>
      <c r="F1387" s="52"/>
      <c r="G1387" s="52"/>
      <c r="H1387" s="52"/>
      <c r="I1387" s="53"/>
      <c r="J1387" s="52"/>
      <c r="K1387" s="52"/>
      <c r="L1387" s="52"/>
      <c r="M1387" s="52"/>
      <c r="N1387" s="19"/>
      <c r="O1387" s="19"/>
      <c r="P1387" s="19"/>
      <c r="Q1387" s="19"/>
      <c r="R1387" s="19"/>
      <c r="S1387" s="19"/>
      <c r="T1387" s="19"/>
      <c r="U1387" s="19"/>
      <c r="V1387" s="19"/>
      <c r="W1387" s="19"/>
      <c r="X1387" s="19"/>
      <c r="Y1387" s="19"/>
      <c r="Z1387" s="19"/>
      <c r="AA1387" s="19"/>
      <c r="AB1387" s="19"/>
      <c r="AC1387" s="19"/>
      <c r="AD1387" s="19"/>
      <c r="AE1387" s="19"/>
      <c r="AF1387" s="19"/>
      <c r="AG1387" s="19"/>
      <c r="AH1387" s="19"/>
      <c r="AI1387" s="19"/>
      <c r="AJ1387" s="19"/>
      <c r="AK1387" s="19"/>
      <c r="AL1387" s="19"/>
      <c r="AM1387" s="19"/>
      <c r="AN1387" s="19"/>
      <c r="AO1387" s="19"/>
      <c r="AP1387" s="19"/>
      <c r="AQ1387" s="19"/>
      <c r="AR1387" s="19"/>
      <c r="AS1387" s="19"/>
      <c r="AT1387" s="19"/>
      <c r="AU1387" s="19"/>
      <c r="AV1387" s="19"/>
      <c r="AW1387" s="19"/>
      <c r="AX1387" s="19"/>
      <c r="GA1387" s="54"/>
    </row>
    <row r="1388" spans="1:183" s="18" customFormat="1">
      <c r="A1388" s="51"/>
      <c r="B1388" s="52"/>
      <c r="C1388" s="52"/>
      <c r="D1388" s="52"/>
      <c r="E1388" s="53"/>
      <c r="F1388" s="52"/>
      <c r="G1388" s="52"/>
      <c r="H1388" s="52"/>
      <c r="I1388" s="53"/>
      <c r="J1388" s="52"/>
      <c r="K1388" s="52"/>
      <c r="L1388" s="52"/>
      <c r="M1388" s="52"/>
      <c r="N1388" s="19"/>
      <c r="O1388" s="19"/>
      <c r="P1388" s="19"/>
      <c r="Q1388" s="19"/>
      <c r="R1388" s="19"/>
      <c r="S1388" s="19"/>
      <c r="T1388" s="19"/>
      <c r="U1388" s="19"/>
      <c r="V1388" s="19"/>
      <c r="W1388" s="19"/>
      <c r="X1388" s="19"/>
      <c r="Y1388" s="19"/>
      <c r="Z1388" s="19"/>
      <c r="AA1388" s="19"/>
      <c r="AB1388" s="19"/>
      <c r="AC1388" s="19"/>
      <c r="AD1388" s="19"/>
      <c r="AE1388" s="19"/>
      <c r="AF1388" s="19"/>
      <c r="AG1388" s="19"/>
      <c r="AH1388" s="19"/>
      <c r="AI1388" s="19"/>
      <c r="AJ1388" s="19"/>
      <c r="AK1388" s="19"/>
      <c r="AL1388" s="19"/>
      <c r="AM1388" s="19"/>
      <c r="AN1388" s="19"/>
      <c r="AO1388" s="19"/>
      <c r="AP1388" s="19"/>
      <c r="AQ1388" s="19"/>
      <c r="AR1388" s="19"/>
      <c r="AS1388" s="19"/>
      <c r="AT1388" s="19"/>
      <c r="AU1388" s="19"/>
      <c r="AV1388" s="19"/>
      <c r="AW1388" s="19"/>
      <c r="AX1388" s="19"/>
      <c r="GA1388" s="54"/>
    </row>
    <row r="1389" spans="1:183" s="18" customFormat="1">
      <c r="A1389" s="51"/>
      <c r="B1389" s="52"/>
      <c r="C1389" s="52"/>
      <c r="D1389" s="52"/>
      <c r="E1389" s="53"/>
      <c r="F1389" s="52"/>
      <c r="G1389" s="52"/>
      <c r="H1389" s="52"/>
      <c r="I1389" s="53"/>
      <c r="J1389" s="52"/>
      <c r="K1389" s="52"/>
      <c r="L1389" s="52"/>
      <c r="M1389" s="52"/>
      <c r="N1389" s="19"/>
      <c r="O1389" s="19"/>
      <c r="P1389" s="19"/>
      <c r="Q1389" s="19"/>
      <c r="R1389" s="19"/>
      <c r="S1389" s="19"/>
      <c r="T1389" s="19"/>
      <c r="U1389" s="19"/>
      <c r="V1389" s="19"/>
      <c r="W1389" s="19"/>
      <c r="X1389" s="19"/>
      <c r="Y1389" s="19"/>
      <c r="Z1389" s="19"/>
      <c r="AA1389" s="19"/>
      <c r="AB1389" s="19"/>
      <c r="AC1389" s="19"/>
      <c r="AD1389" s="19"/>
      <c r="AE1389" s="19"/>
      <c r="AF1389" s="19"/>
      <c r="AG1389" s="19"/>
      <c r="AH1389" s="19"/>
      <c r="AI1389" s="19"/>
      <c r="AJ1389" s="19"/>
      <c r="AK1389" s="19"/>
      <c r="AL1389" s="19"/>
      <c r="AM1389" s="19"/>
      <c r="AN1389" s="19"/>
      <c r="AO1389" s="19"/>
      <c r="AP1389" s="19"/>
      <c r="AQ1389" s="19"/>
      <c r="AR1389" s="19"/>
      <c r="AS1389" s="19"/>
      <c r="AT1389" s="19"/>
      <c r="AU1389" s="19"/>
      <c r="AV1389" s="19"/>
      <c r="AW1389" s="19"/>
      <c r="AX1389" s="19"/>
      <c r="GA1389" s="54"/>
    </row>
    <row r="1390" spans="1:183" s="18" customFormat="1">
      <c r="A1390" s="51"/>
      <c r="B1390" s="52"/>
      <c r="C1390" s="52"/>
      <c r="D1390" s="52"/>
      <c r="E1390" s="53"/>
      <c r="F1390" s="52"/>
      <c r="G1390" s="52"/>
      <c r="H1390" s="52"/>
      <c r="I1390" s="53"/>
      <c r="J1390" s="52"/>
      <c r="K1390" s="52"/>
      <c r="L1390" s="52"/>
      <c r="M1390" s="52"/>
      <c r="N1390" s="19"/>
      <c r="O1390" s="19"/>
      <c r="P1390" s="19"/>
      <c r="Q1390" s="19"/>
      <c r="R1390" s="19"/>
      <c r="S1390" s="19"/>
      <c r="T1390" s="19"/>
      <c r="U1390" s="19"/>
      <c r="V1390" s="19"/>
      <c r="W1390" s="19"/>
      <c r="X1390" s="19"/>
      <c r="Y1390" s="19"/>
      <c r="Z1390" s="19"/>
      <c r="AA1390" s="19"/>
      <c r="AB1390" s="19"/>
      <c r="AC1390" s="19"/>
      <c r="AD1390" s="19"/>
      <c r="AE1390" s="19"/>
      <c r="AF1390" s="19"/>
      <c r="AG1390" s="19"/>
      <c r="AH1390" s="19"/>
      <c r="AI1390" s="19"/>
      <c r="AJ1390" s="19"/>
      <c r="AK1390" s="19"/>
      <c r="AL1390" s="19"/>
      <c r="AM1390" s="19"/>
      <c r="AN1390" s="19"/>
      <c r="AO1390" s="19"/>
      <c r="AP1390" s="19"/>
      <c r="AQ1390" s="19"/>
      <c r="AR1390" s="19"/>
      <c r="AS1390" s="19"/>
      <c r="AT1390" s="19"/>
      <c r="AU1390" s="19"/>
      <c r="AV1390" s="19"/>
      <c r="AW1390" s="19"/>
      <c r="AX1390" s="19"/>
      <c r="GA1390" s="54"/>
    </row>
    <row r="1391" spans="1:183" s="18" customFormat="1">
      <c r="A1391" s="51"/>
      <c r="B1391" s="52"/>
      <c r="C1391" s="52"/>
      <c r="D1391" s="52"/>
      <c r="E1391" s="53"/>
      <c r="F1391" s="52"/>
      <c r="G1391" s="52"/>
      <c r="H1391" s="52"/>
      <c r="I1391" s="53"/>
      <c r="J1391" s="52"/>
      <c r="K1391" s="52"/>
      <c r="L1391" s="52"/>
      <c r="M1391" s="52"/>
      <c r="N1391" s="19"/>
      <c r="O1391" s="19"/>
      <c r="P1391" s="19"/>
      <c r="Q1391" s="19"/>
      <c r="R1391" s="19"/>
      <c r="S1391" s="19"/>
      <c r="T1391" s="19"/>
      <c r="U1391" s="19"/>
      <c r="V1391" s="19"/>
      <c r="W1391" s="19"/>
      <c r="X1391" s="19"/>
      <c r="Y1391" s="19"/>
      <c r="Z1391" s="19"/>
      <c r="AA1391" s="19"/>
      <c r="AB1391" s="19"/>
      <c r="AC1391" s="19"/>
      <c r="AD1391" s="19"/>
      <c r="AE1391" s="19"/>
      <c r="AF1391" s="19"/>
      <c r="AG1391" s="19"/>
      <c r="AH1391" s="19"/>
      <c r="AI1391" s="19"/>
      <c r="AJ1391" s="19"/>
      <c r="AK1391" s="19"/>
      <c r="AL1391" s="19"/>
      <c r="AM1391" s="19"/>
      <c r="AN1391" s="19"/>
      <c r="AO1391" s="19"/>
      <c r="AP1391" s="19"/>
      <c r="AQ1391" s="19"/>
      <c r="AR1391" s="19"/>
      <c r="AS1391" s="19"/>
      <c r="AT1391" s="19"/>
      <c r="AU1391" s="19"/>
      <c r="AV1391" s="19"/>
      <c r="AW1391" s="19"/>
      <c r="AX1391" s="19"/>
      <c r="GA1391" s="54"/>
    </row>
    <row r="1392" spans="1:183" s="18" customFormat="1">
      <c r="A1392" s="51"/>
      <c r="B1392" s="52"/>
      <c r="C1392" s="52"/>
      <c r="D1392" s="52"/>
      <c r="E1392" s="53"/>
      <c r="F1392" s="52"/>
      <c r="G1392" s="52"/>
      <c r="H1392" s="52"/>
      <c r="I1392" s="53"/>
      <c r="J1392" s="52"/>
      <c r="K1392" s="52"/>
      <c r="L1392" s="52"/>
      <c r="M1392" s="52"/>
      <c r="N1392" s="19"/>
      <c r="O1392" s="19"/>
      <c r="P1392" s="19"/>
      <c r="Q1392" s="19"/>
      <c r="R1392" s="19"/>
      <c r="S1392" s="19"/>
      <c r="T1392" s="19"/>
      <c r="U1392" s="19"/>
      <c r="V1392" s="19"/>
      <c r="W1392" s="19"/>
      <c r="X1392" s="19"/>
      <c r="Y1392" s="19"/>
      <c r="Z1392" s="19"/>
      <c r="AA1392" s="19"/>
      <c r="AB1392" s="19"/>
      <c r="AC1392" s="19"/>
      <c r="AD1392" s="19"/>
      <c r="AE1392" s="19"/>
      <c r="AF1392" s="19"/>
      <c r="AG1392" s="19"/>
      <c r="AH1392" s="19"/>
      <c r="AI1392" s="19"/>
      <c r="AJ1392" s="19"/>
      <c r="AK1392" s="19"/>
      <c r="AL1392" s="19"/>
      <c r="AM1392" s="19"/>
      <c r="AN1392" s="19"/>
      <c r="AO1392" s="19"/>
      <c r="AP1392" s="19"/>
      <c r="AQ1392" s="19"/>
      <c r="AR1392" s="19"/>
      <c r="AS1392" s="19"/>
      <c r="AT1392" s="19"/>
      <c r="AU1392" s="19"/>
      <c r="AV1392" s="19"/>
      <c r="AW1392" s="19"/>
      <c r="AX1392" s="19"/>
      <c r="GA1392" s="54"/>
    </row>
    <row r="1393" spans="1:183" s="18" customFormat="1">
      <c r="A1393" s="51"/>
      <c r="B1393" s="52"/>
      <c r="C1393" s="52"/>
      <c r="D1393" s="52"/>
      <c r="E1393" s="53"/>
      <c r="F1393" s="52"/>
      <c r="G1393" s="52"/>
      <c r="H1393" s="52"/>
      <c r="I1393" s="53"/>
      <c r="J1393" s="52"/>
      <c r="K1393" s="52"/>
      <c r="L1393" s="52"/>
      <c r="M1393" s="52"/>
      <c r="N1393" s="19"/>
      <c r="O1393" s="19"/>
      <c r="P1393" s="19"/>
      <c r="Q1393" s="19"/>
      <c r="R1393" s="19"/>
      <c r="S1393" s="19"/>
      <c r="T1393" s="19"/>
      <c r="U1393" s="19"/>
      <c r="V1393" s="19"/>
      <c r="W1393" s="19"/>
      <c r="X1393" s="19"/>
      <c r="Y1393" s="19"/>
      <c r="Z1393" s="19"/>
      <c r="AA1393" s="19"/>
      <c r="AB1393" s="19"/>
      <c r="AC1393" s="19"/>
      <c r="AD1393" s="19"/>
      <c r="AE1393" s="19"/>
      <c r="AF1393" s="19"/>
      <c r="AG1393" s="19"/>
      <c r="AH1393" s="19"/>
      <c r="AI1393" s="19"/>
      <c r="AJ1393" s="19"/>
      <c r="AK1393" s="19"/>
      <c r="AL1393" s="19"/>
      <c r="AM1393" s="19"/>
      <c r="AN1393" s="19"/>
      <c r="AO1393" s="19"/>
      <c r="AP1393" s="19"/>
      <c r="AQ1393" s="19"/>
      <c r="AR1393" s="19"/>
      <c r="AS1393" s="19"/>
      <c r="AT1393" s="19"/>
      <c r="AU1393" s="19"/>
      <c r="AV1393" s="19"/>
      <c r="AW1393" s="19"/>
      <c r="AX1393" s="19"/>
      <c r="GA1393" s="54"/>
    </row>
    <row r="1394" spans="1:183" s="18" customFormat="1">
      <c r="A1394" s="51"/>
      <c r="B1394" s="52"/>
      <c r="C1394" s="52"/>
      <c r="D1394" s="52"/>
      <c r="E1394" s="53"/>
      <c r="F1394" s="52"/>
      <c r="G1394" s="52"/>
      <c r="H1394" s="52"/>
      <c r="I1394" s="53"/>
      <c r="J1394" s="52"/>
      <c r="K1394" s="52"/>
      <c r="L1394" s="52"/>
      <c r="M1394" s="52"/>
      <c r="N1394" s="19"/>
      <c r="O1394" s="19"/>
      <c r="P1394" s="19"/>
      <c r="Q1394" s="19"/>
      <c r="R1394" s="19"/>
      <c r="S1394" s="19"/>
      <c r="T1394" s="19"/>
      <c r="U1394" s="19"/>
      <c r="V1394" s="19"/>
      <c r="W1394" s="19"/>
      <c r="X1394" s="19"/>
      <c r="Y1394" s="19"/>
      <c r="Z1394" s="19"/>
      <c r="AA1394" s="19"/>
      <c r="AB1394" s="19"/>
      <c r="AC1394" s="19"/>
      <c r="AD1394" s="19"/>
      <c r="AE1394" s="19"/>
      <c r="AF1394" s="19"/>
      <c r="AG1394" s="19"/>
      <c r="AH1394" s="19"/>
      <c r="AI1394" s="19"/>
      <c r="AJ1394" s="19"/>
      <c r="AK1394" s="19"/>
      <c r="AL1394" s="19"/>
      <c r="AM1394" s="19"/>
      <c r="AN1394" s="19"/>
      <c r="AO1394" s="19"/>
      <c r="AP1394" s="19"/>
      <c r="AQ1394" s="19"/>
      <c r="AR1394" s="19"/>
      <c r="AS1394" s="19"/>
      <c r="AT1394" s="19"/>
      <c r="AU1394" s="19"/>
      <c r="AV1394" s="19"/>
      <c r="AW1394" s="19"/>
      <c r="AX1394" s="19"/>
      <c r="GA1394" s="54"/>
    </row>
    <row r="1395" spans="1:183" s="18" customFormat="1">
      <c r="A1395" s="51"/>
      <c r="B1395" s="52"/>
      <c r="C1395" s="52"/>
      <c r="D1395" s="52"/>
      <c r="E1395" s="53"/>
      <c r="F1395" s="52"/>
      <c r="G1395" s="52"/>
      <c r="H1395" s="52"/>
      <c r="I1395" s="53"/>
      <c r="J1395" s="52"/>
      <c r="K1395" s="52"/>
      <c r="L1395" s="52"/>
      <c r="M1395" s="52"/>
      <c r="N1395" s="19"/>
      <c r="O1395" s="19"/>
      <c r="P1395" s="19"/>
      <c r="Q1395" s="19"/>
      <c r="R1395" s="19"/>
      <c r="S1395" s="19"/>
      <c r="T1395" s="19"/>
      <c r="U1395" s="19"/>
      <c r="V1395" s="19"/>
      <c r="W1395" s="19"/>
      <c r="X1395" s="19"/>
      <c r="Y1395" s="19"/>
      <c r="Z1395" s="19"/>
      <c r="AA1395" s="19"/>
      <c r="AB1395" s="19"/>
      <c r="AC1395" s="19"/>
      <c r="AD1395" s="19"/>
      <c r="AE1395" s="19"/>
      <c r="AF1395" s="19"/>
      <c r="AG1395" s="19"/>
      <c r="AH1395" s="19"/>
      <c r="AI1395" s="19"/>
      <c r="AJ1395" s="19"/>
      <c r="AK1395" s="19"/>
      <c r="AL1395" s="19"/>
      <c r="AM1395" s="19"/>
      <c r="AN1395" s="19"/>
      <c r="AO1395" s="19"/>
      <c r="AP1395" s="19"/>
      <c r="AQ1395" s="19"/>
      <c r="AR1395" s="19"/>
      <c r="AS1395" s="19"/>
      <c r="AT1395" s="19"/>
      <c r="AU1395" s="19"/>
      <c r="AV1395" s="19"/>
      <c r="AW1395" s="19"/>
      <c r="AX1395" s="19"/>
      <c r="GA1395" s="54"/>
    </row>
    <row r="1396" spans="1:183" s="18" customFormat="1">
      <c r="A1396" s="51"/>
      <c r="B1396" s="52"/>
      <c r="C1396" s="52"/>
      <c r="D1396" s="52"/>
      <c r="E1396" s="53"/>
      <c r="F1396" s="52"/>
      <c r="G1396" s="52"/>
      <c r="H1396" s="52"/>
      <c r="I1396" s="53"/>
      <c r="J1396" s="52"/>
      <c r="K1396" s="52"/>
      <c r="L1396" s="52"/>
      <c r="M1396" s="52"/>
      <c r="N1396" s="19"/>
      <c r="O1396" s="19"/>
      <c r="P1396" s="19"/>
      <c r="Q1396" s="19"/>
      <c r="R1396" s="19"/>
      <c r="S1396" s="19"/>
      <c r="T1396" s="19"/>
      <c r="U1396" s="19"/>
      <c r="V1396" s="19"/>
      <c r="W1396" s="19"/>
      <c r="X1396" s="19"/>
      <c r="Y1396" s="19"/>
      <c r="Z1396" s="19"/>
      <c r="AA1396" s="19"/>
      <c r="AB1396" s="19"/>
      <c r="AC1396" s="19"/>
      <c r="AD1396" s="19"/>
      <c r="AE1396" s="19"/>
      <c r="AF1396" s="19"/>
      <c r="AG1396" s="19"/>
      <c r="AH1396" s="19"/>
      <c r="AI1396" s="19"/>
      <c r="AJ1396" s="19"/>
      <c r="AK1396" s="19"/>
      <c r="AL1396" s="19"/>
      <c r="AM1396" s="19"/>
      <c r="AN1396" s="19"/>
      <c r="AO1396" s="19"/>
      <c r="AP1396" s="19"/>
      <c r="AQ1396" s="19"/>
      <c r="AR1396" s="19"/>
      <c r="AS1396" s="19"/>
      <c r="AT1396" s="19"/>
      <c r="AU1396" s="19"/>
      <c r="AV1396" s="19"/>
      <c r="AW1396" s="19"/>
      <c r="AX1396" s="19"/>
      <c r="GA1396" s="54"/>
    </row>
    <row r="1397" spans="1:183" s="18" customFormat="1">
      <c r="A1397" s="51"/>
      <c r="B1397" s="52"/>
      <c r="C1397" s="52"/>
      <c r="D1397" s="52"/>
      <c r="E1397" s="53"/>
      <c r="F1397" s="52"/>
      <c r="G1397" s="52"/>
      <c r="H1397" s="52"/>
      <c r="I1397" s="53"/>
      <c r="J1397" s="52"/>
      <c r="K1397" s="52"/>
      <c r="L1397" s="52"/>
      <c r="M1397" s="52"/>
      <c r="N1397" s="19"/>
      <c r="O1397" s="19"/>
      <c r="P1397" s="19"/>
      <c r="Q1397" s="19"/>
      <c r="R1397" s="19"/>
      <c r="S1397" s="19"/>
      <c r="T1397" s="19"/>
      <c r="U1397" s="19"/>
      <c r="V1397" s="19"/>
      <c r="W1397" s="19"/>
      <c r="X1397" s="19"/>
      <c r="Y1397" s="19"/>
      <c r="Z1397" s="19"/>
      <c r="AA1397" s="19"/>
      <c r="AB1397" s="19"/>
      <c r="AC1397" s="19"/>
      <c r="AD1397" s="19"/>
      <c r="AE1397" s="19"/>
      <c r="AF1397" s="19"/>
      <c r="AG1397" s="19"/>
      <c r="AH1397" s="19"/>
      <c r="AI1397" s="19"/>
      <c r="AJ1397" s="19"/>
      <c r="AK1397" s="19"/>
      <c r="AL1397" s="19"/>
      <c r="AM1397" s="19"/>
      <c r="AN1397" s="19"/>
      <c r="AO1397" s="19"/>
      <c r="AP1397" s="19"/>
      <c r="AQ1397" s="19"/>
      <c r="AR1397" s="19"/>
      <c r="AS1397" s="19"/>
      <c r="AT1397" s="19"/>
      <c r="AU1397" s="19"/>
      <c r="AV1397" s="19"/>
      <c r="AW1397" s="19"/>
      <c r="AX1397" s="19"/>
      <c r="GA1397" s="54"/>
    </row>
    <row r="1398" spans="1:183" s="18" customFormat="1">
      <c r="A1398" s="51"/>
      <c r="B1398" s="52"/>
      <c r="C1398" s="52"/>
      <c r="D1398" s="52"/>
      <c r="E1398" s="53"/>
      <c r="F1398" s="52"/>
      <c r="G1398" s="52"/>
      <c r="H1398" s="52"/>
      <c r="I1398" s="53"/>
      <c r="J1398" s="52"/>
      <c r="K1398" s="52"/>
      <c r="L1398" s="52"/>
      <c r="M1398" s="52"/>
      <c r="N1398" s="19"/>
      <c r="O1398" s="19"/>
      <c r="P1398" s="19"/>
      <c r="Q1398" s="19"/>
      <c r="R1398" s="19"/>
      <c r="S1398" s="19"/>
      <c r="T1398" s="19"/>
      <c r="U1398" s="19"/>
      <c r="V1398" s="19"/>
      <c r="W1398" s="19"/>
      <c r="X1398" s="19"/>
      <c r="Y1398" s="19"/>
      <c r="Z1398" s="19"/>
      <c r="AA1398" s="19"/>
      <c r="AB1398" s="19"/>
      <c r="AC1398" s="19"/>
      <c r="AD1398" s="19"/>
      <c r="AE1398" s="19"/>
      <c r="AF1398" s="19"/>
      <c r="AG1398" s="19"/>
      <c r="AH1398" s="19"/>
      <c r="AI1398" s="19"/>
      <c r="AJ1398" s="19"/>
      <c r="AK1398" s="19"/>
      <c r="AL1398" s="19"/>
      <c r="AM1398" s="19"/>
      <c r="AN1398" s="19"/>
      <c r="AO1398" s="19"/>
      <c r="AP1398" s="19"/>
      <c r="AQ1398" s="19"/>
      <c r="AR1398" s="19"/>
      <c r="AS1398" s="19"/>
      <c r="AT1398" s="19"/>
      <c r="AU1398" s="19"/>
      <c r="AV1398" s="19"/>
      <c r="AW1398" s="19"/>
      <c r="AX1398" s="19"/>
      <c r="GA1398" s="54"/>
    </row>
    <row r="1399" spans="1:183" s="18" customFormat="1">
      <c r="A1399" s="51"/>
      <c r="B1399" s="52"/>
      <c r="C1399" s="52"/>
      <c r="D1399" s="52"/>
      <c r="E1399" s="53"/>
      <c r="F1399" s="52"/>
      <c r="G1399" s="52"/>
      <c r="H1399" s="52"/>
      <c r="I1399" s="53"/>
      <c r="J1399" s="52"/>
      <c r="K1399" s="52"/>
      <c r="L1399" s="52"/>
      <c r="M1399" s="52"/>
      <c r="N1399" s="19"/>
      <c r="O1399" s="19"/>
      <c r="P1399" s="19"/>
      <c r="Q1399" s="19"/>
      <c r="R1399" s="19"/>
      <c r="S1399" s="19"/>
      <c r="T1399" s="19"/>
      <c r="U1399" s="19"/>
      <c r="V1399" s="19"/>
      <c r="W1399" s="19"/>
      <c r="X1399" s="19"/>
      <c r="Y1399" s="19"/>
      <c r="Z1399" s="19"/>
      <c r="AA1399" s="19"/>
      <c r="AB1399" s="19"/>
      <c r="AC1399" s="19"/>
      <c r="AD1399" s="19"/>
      <c r="AE1399" s="19"/>
      <c r="AF1399" s="19"/>
      <c r="AG1399" s="19"/>
      <c r="AH1399" s="19"/>
      <c r="AI1399" s="19"/>
      <c r="AJ1399" s="19"/>
      <c r="AK1399" s="19"/>
      <c r="AL1399" s="19"/>
      <c r="AM1399" s="19"/>
      <c r="AN1399" s="19"/>
      <c r="AO1399" s="19"/>
      <c r="AP1399" s="19"/>
      <c r="AQ1399" s="19"/>
      <c r="AR1399" s="19"/>
      <c r="AS1399" s="19"/>
      <c r="AT1399" s="19"/>
      <c r="AU1399" s="19"/>
      <c r="AV1399" s="19"/>
      <c r="AW1399" s="19"/>
      <c r="AX1399" s="19"/>
      <c r="GA1399" s="54"/>
    </row>
    <row r="1400" spans="1:183" s="18" customFormat="1">
      <c r="A1400" s="51"/>
      <c r="B1400" s="52"/>
      <c r="C1400" s="52"/>
      <c r="D1400" s="52"/>
      <c r="E1400" s="53"/>
      <c r="F1400" s="52"/>
      <c r="G1400" s="52"/>
      <c r="H1400" s="52"/>
      <c r="I1400" s="53"/>
      <c r="J1400" s="52"/>
      <c r="K1400" s="52"/>
      <c r="L1400" s="52"/>
      <c r="M1400" s="52"/>
      <c r="N1400" s="19"/>
      <c r="O1400" s="19"/>
      <c r="P1400" s="19"/>
      <c r="Q1400" s="19"/>
      <c r="R1400" s="19"/>
      <c r="S1400" s="19"/>
      <c r="T1400" s="19"/>
      <c r="U1400" s="19"/>
      <c r="V1400" s="19"/>
      <c r="W1400" s="19"/>
      <c r="X1400" s="19"/>
      <c r="Y1400" s="19"/>
      <c r="Z1400" s="19"/>
      <c r="AA1400" s="19"/>
      <c r="AB1400" s="19"/>
      <c r="AC1400" s="19"/>
      <c r="AD1400" s="19"/>
      <c r="AE1400" s="19"/>
      <c r="AF1400" s="19"/>
      <c r="AG1400" s="19"/>
      <c r="AH1400" s="19"/>
      <c r="AI1400" s="19"/>
      <c r="AJ1400" s="19"/>
      <c r="AK1400" s="19"/>
      <c r="AL1400" s="19"/>
      <c r="AM1400" s="19"/>
      <c r="AN1400" s="19"/>
      <c r="AO1400" s="19"/>
      <c r="AP1400" s="19"/>
      <c r="AQ1400" s="19"/>
      <c r="AR1400" s="19"/>
      <c r="AS1400" s="19"/>
      <c r="AT1400" s="19"/>
      <c r="AU1400" s="19"/>
      <c r="AV1400" s="19"/>
      <c r="AW1400" s="19"/>
      <c r="AX1400" s="19"/>
      <c r="GA1400" s="54"/>
    </row>
    <row r="1401" spans="1:183" s="18" customFormat="1">
      <c r="A1401" s="51"/>
      <c r="B1401" s="52"/>
      <c r="C1401" s="52"/>
      <c r="D1401" s="52"/>
      <c r="E1401" s="53"/>
      <c r="F1401" s="52"/>
      <c r="G1401" s="52"/>
      <c r="H1401" s="52"/>
      <c r="I1401" s="53"/>
      <c r="J1401" s="52"/>
      <c r="K1401" s="52"/>
      <c r="L1401" s="52"/>
      <c r="M1401" s="52"/>
      <c r="N1401" s="19"/>
      <c r="O1401" s="19"/>
      <c r="P1401" s="19"/>
      <c r="Q1401" s="19"/>
      <c r="R1401" s="19"/>
      <c r="S1401" s="19"/>
      <c r="T1401" s="19"/>
      <c r="U1401" s="19"/>
      <c r="V1401" s="19"/>
      <c r="W1401" s="19"/>
      <c r="X1401" s="19"/>
      <c r="Y1401" s="19"/>
      <c r="Z1401" s="19"/>
      <c r="AA1401" s="19"/>
      <c r="AB1401" s="19"/>
      <c r="AC1401" s="19"/>
      <c r="AD1401" s="19"/>
      <c r="AE1401" s="19"/>
      <c r="AF1401" s="19"/>
      <c r="AG1401" s="19"/>
      <c r="AH1401" s="19"/>
      <c r="AI1401" s="19"/>
      <c r="AJ1401" s="19"/>
      <c r="AK1401" s="19"/>
      <c r="AL1401" s="19"/>
      <c r="AM1401" s="19"/>
      <c r="AN1401" s="19"/>
      <c r="AO1401" s="19"/>
      <c r="AP1401" s="19"/>
      <c r="AQ1401" s="19"/>
      <c r="AR1401" s="19"/>
      <c r="AS1401" s="19"/>
      <c r="AT1401" s="19"/>
      <c r="AU1401" s="19"/>
      <c r="AV1401" s="19"/>
      <c r="AW1401" s="19"/>
      <c r="AX1401" s="19"/>
      <c r="GA1401" s="54"/>
    </row>
    <row r="1402" spans="1:183" s="18" customFormat="1">
      <c r="A1402" s="51"/>
      <c r="B1402" s="52"/>
      <c r="C1402" s="52"/>
      <c r="D1402" s="52"/>
      <c r="E1402" s="53"/>
      <c r="F1402" s="52"/>
      <c r="G1402" s="52"/>
      <c r="H1402" s="52"/>
      <c r="I1402" s="53"/>
      <c r="J1402" s="52"/>
      <c r="K1402" s="52"/>
      <c r="L1402" s="52"/>
      <c r="M1402" s="52"/>
      <c r="N1402" s="19"/>
      <c r="O1402" s="19"/>
      <c r="P1402" s="19"/>
      <c r="Q1402" s="19"/>
      <c r="R1402" s="19"/>
      <c r="S1402" s="19"/>
      <c r="T1402" s="19"/>
      <c r="U1402" s="19"/>
      <c r="V1402" s="19"/>
      <c r="W1402" s="19"/>
      <c r="X1402" s="19"/>
      <c r="Y1402" s="19"/>
      <c r="Z1402" s="19"/>
      <c r="AA1402" s="19"/>
      <c r="AB1402" s="19"/>
      <c r="AC1402" s="19"/>
      <c r="AD1402" s="19"/>
      <c r="AE1402" s="19"/>
      <c r="AF1402" s="19"/>
      <c r="AG1402" s="19"/>
      <c r="AH1402" s="19"/>
      <c r="AI1402" s="19"/>
      <c r="AJ1402" s="19"/>
      <c r="AK1402" s="19"/>
      <c r="AL1402" s="19"/>
      <c r="AM1402" s="19"/>
      <c r="AN1402" s="19"/>
      <c r="AO1402" s="19"/>
      <c r="AP1402" s="19"/>
      <c r="AQ1402" s="19"/>
      <c r="AR1402" s="19"/>
      <c r="AS1402" s="19"/>
      <c r="AT1402" s="19"/>
      <c r="AU1402" s="19"/>
      <c r="AV1402" s="19"/>
      <c r="AW1402" s="19"/>
      <c r="AX1402" s="19"/>
      <c r="GA1402" s="54"/>
    </row>
    <row r="1403" spans="1:183" s="18" customFormat="1">
      <c r="A1403" s="51"/>
      <c r="B1403" s="52"/>
      <c r="C1403" s="52"/>
      <c r="D1403" s="52"/>
      <c r="E1403" s="53"/>
      <c r="F1403" s="52"/>
      <c r="G1403" s="52"/>
      <c r="H1403" s="52"/>
      <c r="I1403" s="53"/>
      <c r="J1403" s="52"/>
      <c r="K1403" s="52"/>
      <c r="L1403" s="52"/>
      <c r="M1403" s="52"/>
      <c r="N1403" s="19"/>
      <c r="O1403" s="19"/>
      <c r="P1403" s="19"/>
      <c r="Q1403" s="19"/>
      <c r="R1403" s="19"/>
      <c r="S1403" s="19"/>
      <c r="T1403" s="19"/>
      <c r="U1403" s="19"/>
      <c r="V1403" s="19"/>
      <c r="W1403" s="19"/>
      <c r="X1403" s="19"/>
      <c r="Y1403" s="19"/>
      <c r="Z1403" s="19"/>
      <c r="AA1403" s="19"/>
      <c r="AB1403" s="19"/>
      <c r="AC1403" s="19"/>
      <c r="AD1403" s="19"/>
      <c r="AE1403" s="19"/>
      <c r="AF1403" s="19"/>
      <c r="AG1403" s="19"/>
      <c r="AH1403" s="19"/>
      <c r="AI1403" s="19"/>
      <c r="AJ1403" s="19"/>
      <c r="AK1403" s="19"/>
      <c r="AL1403" s="19"/>
      <c r="AM1403" s="19"/>
      <c r="AN1403" s="19"/>
      <c r="AO1403" s="19"/>
      <c r="AP1403" s="19"/>
      <c r="AQ1403" s="19"/>
      <c r="AR1403" s="19"/>
      <c r="AS1403" s="19"/>
      <c r="AT1403" s="19"/>
      <c r="AU1403" s="19"/>
      <c r="AV1403" s="19"/>
      <c r="AW1403" s="19"/>
      <c r="AX1403" s="19"/>
      <c r="GA1403" s="54"/>
    </row>
    <row r="1404" spans="1:183" s="18" customFormat="1">
      <c r="A1404" s="51"/>
      <c r="B1404" s="52"/>
      <c r="C1404" s="52"/>
      <c r="D1404" s="52"/>
      <c r="E1404" s="53"/>
      <c r="F1404" s="52"/>
      <c r="G1404" s="52"/>
      <c r="H1404" s="52"/>
      <c r="I1404" s="53"/>
      <c r="J1404" s="52"/>
      <c r="K1404" s="52"/>
      <c r="L1404" s="52"/>
      <c r="M1404" s="52"/>
      <c r="N1404" s="19"/>
      <c r="O1404" s="19"/>
      <c r="P1404" s="19"/>
      <c r="Q1404" s="19"/>
      <c r="R1404" s="19"/>
      <c r="S1404" s="19"/>
      <c r="T1404" s="19"/>
      <c r="U1404" s="19"/>
      <c r="V1404" s="19"/>
      <c r="W1404" s="19"/>
      <c r="X1404" s="19"/>
      <c r="Y1404" s="19"/>
      <c r="Z1404" s="19"/>
      <c r="AA1404" s="19"/>
      <c r="AB1404" s="19"/>
      <c r="AC1404" s="19"/>
      <c r="AD1404" s="19"/>
      <c r="AE1404" s="19"/>
      <c r="AF1404" s="19"/>
      <c r="AG1404" s="19"/>
      <c r="AH1404" s="19"/>
      <c r="AI1404" s="19"/>
      <c r="AJ1404" s="19"/>
      <c r="AK1404" s="19"/>
      <c r="AL1404" s="19"/>
      <c r="AM1404" s="19"/>
      <c r="AN1404" s="19"/>
      <c r="AO1404" s="19"/>
      <c r="AP1404" s="19"/>
      <c r="AQ1404" s="19"/>
      <c r="AR1404" s="19"/>
      <c r="AS1404" s="19"/>
      <c r="AT1404" s="19"/>
      <c r="AU1404" s="19"/>
      <c r="AV1404" s="19"/>
      <c r="AW1404" s="19"/>
      <c r="AX1404" s="19"/>
      <c r="GA1404" s="54"/>
    </row>
    <row r="1405" spans="1:183" s="18" customFormat="1">
      <c r="A1405" s="51"/>
      <c r="B1405" s="52"/>
      <c r="C1405" s="52"/>
      <c r="D1405" s="52"/>
      <c r="E1405" s="53"/>
      <c r="F1405" s="52"/>
      <c r="G1405" s="52"/>
      <c r="H1405" s="52"/>
      <c r="I1405" s="53"/>
      <c r="J1405" s="52"/>
      <c r="K1405" s="52"/>
      <c r="L1405" s="52"/>
      <c r="M1405" s="52"/>
      <c r="N1405" s="19"/>
      <c r="O1405" s="19"/>
      <c r="P1405" s="19"/>
      <c r="Q1405" s="19"/>
      <c r="R1405" s="19"/>
      <c r="S1405" s="19"/>
      <c r="T1405" s="19"/>
      <c r="U1405" s="19"/>
      <c r="V1405" s="19"/>
      <c r="W1405" s="19"/>
      <c r="X1405" s="19"/>
      <c r="Y1405" s="19"/>
      <c r="Z1405" s="19"/>
      <c r="AA1405" s="19"/>
      <c r="AB1405" s="19"/>
      <c r="AC1405" s="19"/>
      <c r="AD1405" s="19"/>
      <c r="AE1405" s="19"/>
      <c r="AF1405" s="19"/>
      <c r="AG1405" s="19"/>
      <c r="AH1405" s="19"/>
      <c r="AI1405" s="19"/>
      <c r="AJ1405" s="19"/>
      <c r="AK1405" s="19"/>
      <c r="AL1405" s="19"/>
      <c r="AM1405" s="19"/>
      <c r="AN1405" s="19"/>
      <c r="AO1405" s="19"/>
      <c r="AP1405" s="19"/>
      <c r="AQ1405" s="19"/>
      <c r="AR1405" s="19"/>
      <c r="AS1405" s="19"/>
      <c r="AT1405" s="19"/>
      <c r="AU1405" s="19"/>
      <c r="AV1405" s="19"/>
      <c r="AW1405" s="19"/>
      <c r="AX1405" s="19"/>
      <c r="GA1405" s="54"/>
    </row>
    <row r="1406" spans="1:183" s="18" customFormat="1">
      <c r="A1406" s="51"/>
      <c r="B1406" s="52"/>
      <c r="C1406" s="52"/>
      <c r="D1406" s="52"/>
      <c r="E1406" s="53"/>
      <c r="F1406" s="52"/>
      <c r="G1406" s="52"/>
      <c r="H1406" s="52"/>
      <c r="I1406" s="53"/>
      <c r="J1406" s="52"/>
      <c r="K1406" s="52"/>
      <c r="L1406" s="52"/>
      <c r="M1406" s="52"/>
      <c r="N1406" s="19"/>
      <c r="O1406" s="19"/>
      <c r="P1406" s="19"/>
      <c r="Q1406" s="19"/>
      <c r="R1406" s="19"/>
      <c r="S1406" s="19"/>
      <c r="T1406" s="19"/>
      <c r="U1406" s="19"/>
      <c r="V1406" s="19"/>
      <c r="W1406" s="19"/>
      <c r="X1406" s="19"/>
      <c r="Y1406" s="19"/>
      <c r="Z1406" s="19"/>
      <c r="AA1406" s="19"/>
      <c r="AB1406" s="19"/>
      <c r="AC1406" s="19"/>
      <c r="AD1406" s="19"/>
      <c r="AE1406" s="19"/>
      <c r="AF1406" s="19"/>
      <c r="AG1406" s="19"/>
      <c r="AH1406" s="19"/>
      <c r="AI1406" s="19"/>
      <c r="AJ1406" s="19"/>
      <c r="AK1406" s="19"/>
      <c r="AL1406" s="19"/>
      <c r="AM1406" s="19"/>
      <c r="AN1406" s="19"/>
      <c r="AO1406" s="19"/>
      <c r="AP1406" s="19"/>
      <c r="AQ1406" s="19"/>
      <c r="AR1406" s="19"/>
      <c r="AS1406" s="19"/>
      <c r="AT1406" s="19"/>
      <c r="AU1406" s="19"/>
      <c r="AV1406" s="19"/>
      <c r="AW1406" s="19"/>
      <c r="AX1406" s="19"/>
      <c r="GA1406" s="54"/>
    </row>
    <row r="1407" spans="1:183" s="18" customFormat="1">
      <c r="A1407" s="51"/>
      <c r="B1407" s="52"/>
      <c r="C1407" s="52"/>
      <c r="D1407" s="52"/>
      <c r="E1407" s="53"/>
      <c r="F1407" s="52"/>
      <c r="G1407" s="52"/>
      <c r="H1407" s="52"/>
      <c r="I1407" s="53"/>
      <c r="J1407" s="52"/>
      <c r="K1407" s="52"/>
      <c r="L1407" s="52"/>
      <c r="M1407" s="52"/>
      <c r="N1407" s="19"/>
      <c r="O1407" s="19"/>
      <c r="P1407" s="19"/>
      <c r="Q1407" s="19"/>
      <c r="R1407" s="19"/>
      <c r="S1407" s="19"/>
      <c r="T1407" s="19"/>
      <c r="U1407" s="19"/>
      <c r="V1407" s="19"/>
      <c r="W1407" s="19"/>
      <c r="X1407" s="19"/>
      <c r="Y1407" s="19"/>
      <c r="Z1407" s="19"/>
      <c r="AA1407" s="19"/>
      <c r="AB1407" s="19"/>
      <c r="AC1407" s="19"/>
      <c r="AD1407" s="19"/>
      <c r="AE1407" s="19"/>
      <c r="AF1407" s="19"/>
      <c r="AG1407" s="19"/>
      <c r="AH1407" s="19"/>
      <c r="AI1407" s="19"/>
      <c r="AJ1407" s="19"/>
      <c r="AK1407" s="19"/>
      <c r="AL1407" s="19"/>
      <c r="AM1407" s="19"/>
      <c r="AN1407" s="19"/>
      <c r="AO1407" s="19"/>
      <c r="AP1407" s="19"/>
      <c r="AQ1407" s="19"/>
      <c r="AR1407" s="19"/>
      <c r="AS1407" s="19"/>
      <c r="AT1407" s="19"/>
      <c r="AU1407" s="19"/>
      <c r="AV1407" s="19"/>
      <c r="AW1407" s="19"/>
      <c r="AX1407" s="19"/>
      <c r="GA1407" s="54"/>
    </row>
    <row r="1408" spans="1:183" s="18" customFormat="1">
      <c r="A1408" s="51"/>
      <c r="B1408" s="52"/>
      <c r="C1408" s="52"/>
      <c r="D1408" s="52"/>
      <c r="E1408" s="53"/>
      <c r="F1408" s="52"/>
      <c r="G1408" s="52"/>
      <c r="H1408" s="52"/>
      <c r="I1408" s="53"/>
      <c r="J1408" s="52"/>
      <c r="K1408" s="52"/>
      <c r="L1408" s="52"/>
      <c r="M1408" s="52"/>
      <c r="N1408" s="19"/>
      <c r="O1408" s="19"/>
      <c r="P1408" s="19"/>
      <c r="Q1408" s="19"/>
      <c r="R1408" s="19"/>
      <c r="S1408" s="19"/>
      <c r="T1408" s="19"/>
      <c r="U1408" s="19"/>
      <c r="V1408" s="19"/>
      <c r="W1408" s="19"/>
      <c r="X1408" s="19"/>
      <c r="Y1408" s="19"/>
      <c r="Z1408" s="19"/>
      <c r="AA1408" s="19"/>
      <c r="AB1408" s="19"/>
      <c r="AC1408" s="19"/>
      <c r="AD1408" s="19"/>
      <c r="AE1408" s="19"/>
      <c r="AF1408" s="19"/>
      <c r="AG1408" s="19"/>
      <c r="AH1408" s="19"/>
      <c r="AI1408" s="19"/>
      <c r="AJ1408" s="19"/>
      <c r="AK1408" s="19"/>
      <c r="AL1408" s="19"/>
      <c r="AM1408" s="19"/>
      <c r="AN1408" s="19"/>
      <c r="AO1408" s="19"/>
      <c r="AP1408" s="19"/>
      <c r="AQ1408" s="19"/>
      <c r="AR1408" s="19"/>
      <c r="AS1408" s="19"/>
      <c r="AT1408" s="19"/>
      <c r="AU1408" s="19"/>
      <c r="AV1408" s="19"/>
      <c r="AW1408" s="19"/>
      <c r="AX1408" s="19"/>
      <c r="GA1408" s="54"/>
    </row>
    <row r="1409" spans="1:183" s="18" customFormat="1">
      <c r="A1409" s="51"/>
      <c r="B1409" s="52"/>
      <c r="C1409" s="52"/>
      <c r="D1409" s="52"/>
      <c r="E1409" s="53"/>
      <c r="F1409" s="52"/>
      <c r="G1409" s="52"/>
      <c r="H1409" s="52"/>
      <c r="I1409" s="53"/>
      <c r="J1409" s="52"/>
      <c r="K1409" s="52"/>
      <c r="L1409" s="52"/>
      <c r="M1409" s="52"/>
      <c r="N1409" s="19"/>
      <c r="O1409" s="19"/>
      <c r="P1409" s="19"/>
      <c r="Q1409" s="19"/>
      <c r="R1409" s="19"/>
      <c r="S1409" s="19"/>
      <c r="T1409" s="19"/>
      <c r="U1409" s="19"/>
      <c r="V1409" s="19"/>
      <c r="W1409" s="19"/>
      <c r="X1409" s="19"/>
      <c r="Y1409" s="19"/>
      <c r="Z1409" s="19"/>
      <c r="AA1409" s="19"/>
      <c r="AB1409" s="19"/>
      <c r="AC1409" s="19"/>
      <c r="AD1409" s="19"/>
      <c r="AE1409" s="19"/>
      <c r="AF1409" s="19"/>
      <c r="AG1409" s="19"/>
      <c r="AH1409" s="19"/>
      <c r="AI1409" s="19"/>
      <c r="AJ1409" s="19"/>
      <c r="AK1409" s="19"/>
      <c r="AL1409" s="19"/>
      <c r="AM1409" s="19"/>
      <c r="AN1409" s="19"/>
      <c r="AO1409" s="19"/>
      <c r="AP1409" s="19"/>
      <c r="AQ1409" s="19"/>
      <c r="AR1409" s="19"/>
      <c r="AS1409" s="19"/>
      <c r="AT1409" s="19"/>
      <c r="AU1409" s="19"/>
      <c r="AV1409" s="19"/>
      <c r="AW1409" s="19"/>
      <c r="AX1409" s="19"/>
      <c r="GA1409" s="54"/>
    </row>
    <row r="1410" spans="1:183" s="18" customFormat="1">
      <c r="A1410" s="51"/>
      <c r="B1410" s="52"/>
      <c r="C1410" s="52"/>
      <c r="D1410" s="52"/>
      <c r="E1410" s="53"/>
      <c r="F1410" s="52"/>
      <c r="G1410" s="52"/>
      <c r="H1410" s="52"/>
      <c r="I1410" s="53"/>
      <c r="J1410" s="52"/>
      <c r="K1410" s="52"/>
      <c r="L1410" s="52"/>
      <c r="M1410" s="52"/>
      <c r="N1410" s="19"/>
      <c r="O1410" s="19"/>
      <c r="P1410" s="19"/>
      <c r="Q1410" s="19"/>
      <c r="R1410" s="19"/>
      <c r="S1410" s="19"/>
      <c r="T1410" s="19"/>
      <c r="U1410" s="19"/>
      <c r="V1410" s="19"/>
      <c r="W1410" s="19"/>
      <c r="X1410" s="19"/>
      <c r="Y1410" s="19"/>
      <c r="Z1410" s="19"/>
      <c r="AA1410" s="19"/>
      <c r="AB1410" s="19"/>
      <c r="AC1410" s="19"/>
      <c r="AD1410" s="19"/>
      <c r="AE1410" s="19"/>
      <c r="AF1410" s="19"/>
      <c r="AG1410" s="19"/>
      <c r="AH1410" s="19"/>
      <c r="AI1410" s="19"/>
      <c r="AJ1410" s="19"/>
      <c r="AK1410" s="19"/>
      <c r="AL1410" s="19"/>
      <c r="AM1410" s="19"/>
      <c r="AN1410" s="19"/>
      <c r="AO1410" s="19"/>
      <c r="AP1410" s="19"/>
      <c r="AQ1410" s="19"/>
      <c r="AR1410" s="19"/>
      <c r="AS1410" s="19"/>
      <c r="AT1410" s="19"/>
      <c r="AU1410" s="19"/>
      <c r="AV1410" s="19"/>
      <c r="AW1410" s="19"/>
      <c r="AX1410" s="19"/>
      <c r="GA1410" s="54"/>
    </row>
    <row r="1411" spans="1:183" s="18" customFormat="1">
      <c r="A1411" s="51"/>
      <c r="B1411" s="52"/>
      <c r="C1411" s="52"/>
      <c r="D1411" s="52"/>
      <c r="E1411" s="53"/>
      <c r="F1411" s="52"/>
      <c r="G1411" s="52"/>
      <c r="H1411" s="52"/>
      <c r="I1411" s="53"/>
      <c r="J1411" s="52"/>
      <c r="K1411" s="52"/>
      <c r="L1411" s="52"/>
      <c r="M1411" s="52"/>
      <c r="N1411" s="19"/>
      <c r="O1411" s="19"/>
      <c r="P1411" s="19"/>
      <c r="Q1411" s="19"/>
      <c r="R1411" s="19"/>
      <c r="S1411" s="19"/>
      <c r="T1411" s="19"/>
      <c r="U1411" s="19"/>
      <c r="V1411" s="19"/>
      <c r="W1411" s="19"/>
      <c r="X1411" s="19"/>
      <c r="Y1411" s="19"/>
      <c r="Z1411" s="19"/>
      <c r="AA1411" s="19"/>
      <c r="AB1411" s="19"/>
      <c r="AC1411" s="19"/>
      <c r="AD1411" s="19"/>
      <c r="AE1411" s="19"/>
      <c r="AF1411" s="19"/>
      <c r="AG1411" s="19"/>
      <c r="AH1411" s="19"/>
      <c r="AI1411" s="19"/>
      <c r="AJ1411" s="19"/>
      <c r="AK1411" s="19"/>
      <c r="AL1411" s="19"/>
      <c r="AM1411" s="19"/>
      <c r="AN1411" s="19"/>
      <c r="AO1411" s="19"/>
      <c r="AP1411" s="19"/>
      <c r="AQ1411" s="19"/>
      <c r="AR1411" s="19"/>
      <c r="AS1411" s="19"/>
      <c r="AT1411" s="19"/>
      <c r="AU1411" s="19"/>
      <c r="AV1411" s="19"/>
      <c r="AW1411" s="19"/>
      <c r="AX1411" s="19"/>
      <c r="GA1411" s="54"/>
    </row>
    <row r="1412" spans="1:183" s="18" customFormat="1">
      <c r="A1412" s="51"/>
      <c r="B1412" s="52"/>
      <c r="C1412" s="52"/>
      <c r="D1412" s="52"/>
      <c r="E1412" s="53"/>
      <c r="F1412" s="52"/>
      <c r="G1412" s="52"/>
      <c r="H1412" s="52"/>
      <c r="I1412" s="53"/>
      <c r="J1412" s="52"/>
      <c r="K1412" s="52"/>
      <c r="L1412" s="52"/>
      <c r="M1412" s="52"/>
      <c r="N1412" s="19"/>
      <c r="O1412" s="19"/>
      <c r="P1412" s="19"/>
      <c r="Q1412" s="19"/>
      <c r="R1412" s="19"/>
      <c r="S1412" s="19"/>
      <c r="T1412" s="19"/>
      <c r="U1412" s="19"/>
      <c r="V1412" s="19"/>
      <c r="W1412" s="19"/>
      <c r="X1412" s="19"/>
      <c r="Y1412" s="19"/>
      <c r="Z1412" s="19"/>
      <c r="AA1412" s="19"/>
      <c r="AB1412" s="19"/>
      <c r="AC1412" s="19"/>
      <c r="AD1412" s="19"/>
      <c r="AE1412" s="19"/>
      <c r="AF1412" s="19"/>
      <c r="AG1412" s="19"/>
      <c r="AH1412" s="19"/>
      <c r="AI1412" s="19"/>
      <c r="AJ1412" s="19"/>
      <c r="AK1412" s="19"/>
      <c r="AL1412" s="19"/>
      <c r="AM1412" s="19"/>
      <c r="AN1412" s="19"/>
      <c r="AO1412" s="19"/>
      <c r="AP1412" s="19"/>
      <c r="AQ1412" s="19"/>
      <c r="AR1412" s="19"/>
      <c r="AS1412" s="19"/>
      <c r="AT1412" s="19"/>
      <c r="AU1412" s="19"/>
      <c r="AV1412" s="19"/>
      <c r="AW1412" s="19"/>
      <c r="AX1412" s="19"/>
      <c r="GA1412" s="54"/>
    </row>
    <row r="1413" spans="1:183" s="18" customFormat="1">
      <c r="A1413" s="51"/>
      <c r="B1413" s="52"/>
      <c r="C1413" s="52"/>
      <c r="D1413" s="52"/>
      <c r="E1413" s="53"/>
      <c r="F1413" s="52"/>
      <c r="G1413" s="52"/>
      <c r="H1413" s="52"/>
      <c r="I1413" s="53"/>
      <c r="J1413" s="52"/>
      <c r="K1413" s="52"/>
      <c r="L1413" s="52"/>
      <c r="M1413" s="52"/>
      <c r="N1413" s="19"/>
      <c r="O1413" s="19"/>
      <c r="P1413" s="19"/>
      <c r="Q1413" s="19"/>
      <c r="R1413" s="19"/>
      <c r="S1413" s="19"/>
      <c r="T1413" s="19"/>
      <c r="U1413" s="19"/>
      <c r="V1413" s="19"/>
      <c r="W1413" s="19"/>
      <c r="X1413" s="19"/>
      <c r="Y1413" s="19"/>
      <c r="Z1413" s="19"/>
      <c r="AA1413" s="19"/>
      <c r="AB1413" s="19"/>
      <c r="AC1413" s="19"/>
      <c r="AD1413" s="19"/>
      <c r="AE1413" s="19"/>
      <c r="AF1413" s="19"/>
      <c r="AG1413" s="19"/>
      <c r="AH1413" s="19"/>
      <c r="AI1413" s="19"/>
      <c r="AJ1413" s="19"/>
      <c r="AK1413" s="19"/>
      <c r="AL1413" s="19"/>
      <c r="AM1413" s="19"/>
      <c r="AN1413" s="19"/>
      <c r="AO1413" s="19"/>
      <c r="AP1413" s="19"/>
      <c r="AQ1413" s="19"/>
      <c r="AR1413" s="19"/>
      <c r="AS1413" s="19"/>
      <c r="AT1413" s="19"/>
      <c r="AU1413" s="19"/>
      <c r="AV1413" s="19"/>
      <c r="AW1413" s="19"/>
      <c r="AX1413" s="19"/>
      <c r="GA1413" s="54"/>
    </row>
    <row r="1414" spans="1:183" s="18" customFormat="1">
      <c r="A1414" s="51"/>
      <c r="B1414" s="52"/>
      <c r="C1414" s="52"/>
      <c r="D1414" s="52"/>
      <c r="E1414" s="53"/>
      <c r="F1414" s="52"/>
      <c r="G1414" s="52"/>
      <c r="H1414" s="52"/>
      <c r="I1414" s="53"/>
      <c r="J1414" s="52"/>
      <c r="K1414" s="52"/>
      <c r="L1414" s="52"/>
      <c r="M1414" s="52"/>
      <c r="N1414" s="19"/>
      <c r="O1414" s="19"/>
      <c r="P1414" s="19"/>
      <c r="Q1414" s="19"/>
      <c r="R1414" s="19"/>
      <c r="S1414" s="19"/>
      <c r="T1414" s="19"/>
      <c r="U1414" s="19"/>
      <c r="V1414" s="19"/>
      <c r="W1414" s="19"/>
      <c r="X1414" s="19"/>
      <c r="Y1414" s="19"/>
      <c r="Z1414" s="19"/>
      <c r="AA1414" s="19"/>
      <c r="AB1414" s="19"/>
      <c r="AC1414" s="19"/>
      <c r="AD1414" s="19"/>
      <c r="AE1414" s="19"/>
      <c r="AF1414" s="19"/>
      <c r="AG1414" s="19"/>
      <c r="AH1414" s="19"/>
      <c r="AI1414" s="19"/>
      <c r="AJ1414" s="19"/>
      <c r="AK1414" s="19"/>
      <c r="AL1414" s="19"/>
      <c r="AM1414" s="19"/>
      <c r="AN1414" s="19"/>
      <c r="AO1414" s="19"/>
      <c r="AP1414" s="19"/>
      <c r="AQ1414" s="19"/>
      <c r="AR1414" s="19"/>
      <c r="AS1414" s="19"/>
      <c r="AT1414" s="19"/>
      <c r="AU1414" s="19"/>
      <c r="AV1414" s="19"/>
      <c r="AW1414" s="19"/>
      <c r="AX1414" s="19"/>
      <c r="GA1414" s="54"/>
    </row>
    <row r="1415" spans="1:183" s="18" customFormat="1">
      <c r="A1415" s="51"/>
      <c r="B1415" s="52"/>
      <c r="C1415" s="52"/>
      <c r="D1415" s="52"/>
      <c r="E1415" s="53"/>
      <c r="F1415" s="52"/>
      <c r="G1415" s="52"/>
      <c r="H1415" s="52"/>
      <c r="I1415" s="53"/>
      <c r="J1415" s="52"/>
      <c r="K1415" s="52"/>
      <c r="L1415" s="52"/>
      <c r="M1415" s="52"/>
      <c r="N1415" s="19"/>
      <c r="O1415" s="19"/>
      <c r="P1415" s="19"/>
      <c r="Q1415" s="19"/>
      <c r="R1415" s="19"/>
      <c r="S1415" s="19"/>
      <c r="T1415" s="19"/>
      <c r="U1415" s="19"/>
      <c r="V1415" s="19"/>
      <c r="W1415" s="19"/>
      <c r="X1415" s="19"/>
      <c r="Y1415" s="19"/>
      <c r="Z1415" s="19"/>
      <c r="AA1415" s="19"/>
      <c r="AB1415" s="19"/>
      <c r="AC1415" s="19"/>
      <c r="AD1415" s="19"/>
      <c r="AE1415" s="19"/>
      <c r="AF1415" s="19"/>
      <c r="AG1415" s="19"/>
      <c r="AH1415" s="19"/>
      <c r="AI1415" s="19"/>
      <c r="AJ1415" s="19"/>
      <c r="AK1415" s="19"/>
      <c r="AL1415" s="19"/>
      <c r="AM1415" s="19"/>
      <c r="AN1415" s="19"/>
      <c r="AO1415" s="19"/>
      <c r="AP1415" s="19"/>
      <c r="AQ1415" s="19"/>
      <c r="AR1415" s="19"/>
      <c r="AS1415" s="19"/>
      <c r="AT1415" s="19"/>
      <c r="AU1415" s="19"/>
      <c r="AV1415" s="19"/>
      <c r="AW1415" s="19"/>
      <c r="AX1415" s="19"/>
      <c r="GA1415" s="54"/>
    </row>
    <row r="1416" spans="1:183" s="18" customFormat="1">
      <c r="A1416" s="51"/>
      <c r="B1416" s="52"/>
      <c r="C1416" s="52"/>
      <c r="D1416" s="52"/>
      <c r="E1416" s="53"/>
      <c r="F1416" s="52"/>
      <c r="G1416" s="52"/>
      <c r="H1416" s="52"/>
      <c r="I1416" s="53"/>
      <c r="J1416" s="52"/>
      <c r="K1416" s="52"/>
      <c r="L1416" s="52"/>
      <c r="M1416" s="52"/>
      <c r="N1416" s="19"/>
      <c r="O1416" s="19"/>
      <c r="P1416" s="19"/>
      <c r="Q1416" s="19"/>
      <c r="R1416" s="19"/>
      <c r="S1416" s="19"/>
      <c r="T1416" s="19"/>
      <c r="U1416" s="19"/>
      <c r="V1416" s="19"/>
      <c r="W1416" s="19"/>
      <c r="X1416" s="19"/>
      <c r="Y1416" s="19"/>
      <c r="Z1416" s="19"/>
      <c r="AA1416" s="19"/>
      <c r="AB1416" s="19"/>
      <c r="AC1416" s="19"/>
      <c r="AD1416" s="19"/>
      <c r="AE1416" s="19"/>
      <c r="AF1416" s="19"/>
      <c r="AG1416" s="19"/>
      <c r="AH1416" s="19"/>
      <c r="AI1416" s="19"/>
      <c r="AJ1416" s="19"/>
      <c r="AK1416" s="19"/>
      <c r="AL1416" s="19"/>
      <c r="AM1416" s="19"/>
      <c r="AN1416" s="19"/>
      <c r="AO1416" s="19"/>
      <c r="AP1416" s="19"/>
      <c r="AQ1416" s="19"/>
      <c r="AR1416" s="19"/>
      <c r="AS1416" s="19"/>
      <c r="AT1416" s="19"/>
      <c r="AU1416" s="19"/>
      <c r="AV1416" s="19"/>
      <c r="AW1416" s="19"/>
      <c r="AX1416" s="19"/>
      <c r="GA1416" s="54"/>
    </row>
    <row r="1417" spans="1:183" s="18" customFormat="1">
      <c r="A1417" s="51"/>
      <c r="B1417" s="52"/>
      <c r="C1417" s="52"/>
      <c r="D1417" s="52"/>
      <c r="E1417" s="53"/>
      <c r="F1417" s="52"/>
      <c r="G1417" s="52"/>
      <c r="H1417" s="52"/>
      <c r="I1417" s="53"/>
      <c r="J1417" s="52"/>
      <c r="K1417" s="52"/>
      <c r="L1417" s="52"/>
      <c r="M1417" s="52"/>
      <c r="N1417" s="19"/>
      <c r="O1417" s="19"/>
      <c r="P1417" s="19"/>
      <c r="Q1417" s="19"/>
      <c r="R1417" s="19"/>
      <c r="S1417" s="19"/>
      <c r="T1417" s="19"/>
      <c r="U1417" s="19"/>
      <c r="V1417" s="19"/>
      <c r="W1417" s="19"/>
      <c r="X1417" s="19"/>
      <c r="Y1417" s="19"/>
      <c r="Z1417" s="19"/>
      <c r="AA1417" s="19"/>
      <c r="AB1417" s="19"/>
      <c r="AC1417" s="19"/>
      <c r="AD1417" s="19"/>
      <c r="AE1417" s="19"/>
      <c r="AF1417" s="19"/>
      <c r="AG1417" s="19"/>
      <c r="AH1417" s="19"/>
      <c r="AI1417" s="19"/>
      <c r="AJ1417" s="19"/>
      <c r="AK1417" s="19"/>
      <c r="AL1417" s="19"/>
      <c r="AM1417" s="19"/>
      <c r="AN1417" s="19"/>
      <c r="AO1417" s="19"/>
      <c r="AP1417" s="19"/>
      <c r="AQ1417" s="19"/>
      <c r="AR1417" s="19"/>
      <c r="AS1417" s="19"/>
      <c r="AT1417" s="19"/>
      <c r="AU1417" s="19"/>
      <c r="AV1417" s="19"/>
      <c r="AW1417" s="19"/>
      <c r="AX1417" s="19"/>
      <c r="GA1417" s="54"/>
    </row>
    <row r="1418" spans="1:183" s="18" customFormat="1">
      <c r="A1418" s="51"/>
      <c r="B1418" s="52"/>
      <c r="C1418" s="52"/>
      <c r="D1418" s="52"/>
      <c r="E1418" s="53"/>
      <c r="F1418" s="52"/>
      <c r="G1418" s="52"/>
      <c r="H1418" s="52"/>
      <c r="I1418" s="53"/>
      <c r="J1418" s="52"/>
      <c r="K1418" s="52"/>
      <c r="L1418" s="52"/>
      <c r="M1418" s="52"/>
      <c r="N1418" s="19"/>
      <c r="O1418" s="19"/>
      <c r="P1418" s="19"/>
      <c r="Q1418" s="19"/>
      <c r="R1418" s="19"/>
      <c r="S1418" s="19"/>
      <c r="T1418" s="19"/>
      <c r="U1418" s="19"/>
      <c r="V1418" s="19"/>
      <c r="W1418" s="19"/>
      <c r="X1418" s="19"/>
      <c r="Y1418" s="19"/>
      <c r="Z1418" s="19"/>
      <c r="AA1418" s="19"/>
      <c r="AB1418" s="19"/>
      <c r="AC1418" s="19"/>
      <c r="AD1418" s="19"/>
      <c r="AE1418" s="19"/>
      <c r="AF1418" s="19"/>
      <c r="AG1418" s="19"/>
      <c r="AH1418" s="19"/>
      <c r="AI1418" s="19"/>
      <c r="AJ1418" s="19"/>
      <c r="AK1418" s="19"/>
      <c r="AL1418" s="19"/>
      <c r="AM1418" s="19"/>
      <c r="AN1418" s="19"/>
      <c r="AO1418" s="19"/>
      <c r="AP1418" s="19"/>
      <c r="AQ1418" s="19"/>
      <c r="AR1418" s="19"/>
      <c r="AS1418" s="19"/>
      <c r="AT1418" s="19"/>
      <c r="AU1418" s="19"/>
      <c r="AV1418" s="19"/>
      <c r="AW1418" s="19"/>
      <c r="AX1418" s="19"/>
      <c r="GA1418" s="54"/>
    </row>
    <row r="1419" spans="1:183" s="18" customFormat="1">
      <c r="A1419" s="51"/>
      <c r="B1419" s="52"/>
      <c r="C1419" s="52"/>
      <c r="D1419" s="52"/>
      <c r="E1419" s="53"/>
      <c r="F1419" s="52"/>
      <c r="G1419" s="52"/>
      <c r="H1419" s="52"/>
      <c r="I1419" s="53"/>
      <c r="J1419" s="52"/>
      <c r="K1419" s="52"/>
      <c r="L1419" s="52"/>
      <c r="M1419" s="52"/>
      <c r="N1419" s="19"/>
      <c r="O1419" s="19"/>
      <c r="P1419" s="19"/>
      <c r="Q1419" s="19"/>
      <c r="R1419" s="19"/>
      <c r="S1419" s="19"/>
      <c r="T1419" s="19"/>
      <c r="U1419" s="19"/>
      <c r="V1419" s="19"/>
      <c r="W1419" s="19"/>
      <c r="X1419" s="19"/>
      <c r="Y1419" s="19"/>
      <c r="Z1419" s="19"/>
      <c r="AA1419" s="19"/>
      <c r="AB1419" s="19"/>
      <c r="AC1419" s="19"/>
      <c r="AD1419" s="19"/>
      <c r="AE1419" s="19"/>
      <c r="AF1419" s="19"/>
      <c r="AG1419" s="19"/>
      <c r="AH1419" s="19"/>
      <c r="AI1419" s="19"/>
      <c r="AJ1419" s="19"/>
      <c r="AK1419" s="19"/>
      <c r="AL1419" s="19"/>
      <c r="AM1419" s="19"/>
      <c r="AN1419" s="19"/>
      <c r="AO1419" s="19"/>
      <c r="AP1419" s="19"/>
      <c r="AQ1419" s="19"/>
      <c r="AR1419" s="19"/>
      <c r="AS1419" s="19"/>
      <c r="AT1419" s="19"/>
      <c r="AU1419" s="19"/>
      <c r="AV1419" s="19"/>
      <c r="AW1419" s="19"/>
      <c r="AX1419" s="19"/>
      <c r="GA1419" s="54"/>
    </row>
    <row r="1420" spans="1:183" s="18" customFormat="1">
      <c r="A1420" s="51"/>
      <c r="B1420" s="52"/>
      <c r="C1420" s="52"/>
      <c r="D1420" s="52"/>
      <c r="E1420" s="53"/>
      <c r="F1420" s="52"/>
      <c r="G1420" s="52"/>
      <c r="H1420" s="52"/>
      <c r="I1420" s="53"/>
      <c r="J1420" s="52"/>
      <c r="K1420" s="52"/>
      <c r="L1420" s="52"/>
      <c r="M1420" s="52"/>
      <c r="N1420" s="19"/>
      <c r="O1420" s="19"/>
      <c r="P1420" s="19"/>
      <c r="Q1420" s="19"/>
      <c r="R1420" s="19"/>
      <c r="S1420" s="19"/>
      <c r="T1420" s="19"/>
      <c r="U1420" s="19"/>
      <c r="V1420" s="19"/>
      <c r="W1420" s="19"/>
      <c r="X1420" s="19"/>
      <c r="Y1420" s="19"/>
      <c r="Z1420" s="19"/>
      <c r="AA1420" s="19"/>
      <c r="AB1420" s="19"/>
      <c r="AC1420" s="19"/>
      <c r="AD1420" s="19"/>
      <c r="AE1420" s="19"/>
      <c r="AF1420" s="19"/>
      <c r="AG1420" s="19"/>
      <c r="AH1420" s="19"/>
      <c r="AI1420" s="19"/>
      <c r="AJ1420" s="19"/>
      <c r="AK1420" s="19"/>
      <c r="AL1420" s="19"/>
      <c r="AM1420" s="19"/>
      <c r="AN1420" s="19"/>
      <c r="AO1420" s="19"/>
      <c r="AP1420" s="19"/>
      <c r="AQ1420" s="19"/>
      <c r="AR1420" s="19"/>
      <c r="AS1420" s="19"/>
      <c r="AT1420" s="19"/>
      <c r="AU1420" s="19"/>
      <c r="AV1420" s="19"/>
      <c r="AW1420" s="19"/>
      <c r="AX1420" s="19"/>
      <c r="GA1420" s="54"/>
    </row>
    <row r="1421" spans="1:183" s="18" customFormat="1">
      <c r="A1421" s="51"/>
      <c r="B1421" s="52"/>
      <c r="C1421" s="52"/>
      <c r="D1421" s="52"/>
      <c r="E1421" s="53"/>
      <c r="F1421" s="52"/>
      <c r="G1421" s="52"/>
      <c r="H1421" s="52"/>
      <c r="I1421" s="53"/>
      <c r="J1421" s="52"/>
      <c r="K1421" s="52"/>
      <c r="L1421" s="52"/>
      <c r="M1421" s="52"/>
      <c r="N1421" s="19"/>
      <c r="O1421" s="19"/>
      <c r="P1421" s="19"/>
      <c r="Q1421" s="19"/>
      <c r="R1421" s="19"/>
      <c r="S1421" s="19"/>
      <c r="T1421" s="19"/>
      <c r="U1421" s="19"/>
      <c r="V1421" s="19"/>
      <c r="W1421" s="19"/>
      <c r="X1421" s="19"/>
      <c r="Y1421" s="19"/>
      <c r="Z1421" s="19"/>
      <c r="AA1421" s="19"/>
      <c r="AB1421" s="19"/>
      <c r="AC1421" s="19"/>
      <c r="AD1421" s="19"/>
      <c r="AE1421" s="19"/>
      <c r="AF1421" s="19"/>
      <c r="AG1421" s="19"/>
      <c r="AH1421" s="19"/>
      <c r="AI1421" s="19"/>
      <c r="AJ1421" s="19"/>
      <c r="AK1421" s="19"/>
      <c r="AL1421" s="19"/>
      <c r="AM1421" s="19"/>
      <c r="AN1421" s="19"/>
      <c r="AO1421" s="19"/>
      <c r="AP1421" s="19"/>
      <c r="AQ1421" s="19"/>
      <c r="AR1421" s="19"/>
      <c r="AS1421" s="19"/>
      <c r="AT1421" s="19"/>
      <c r="AU1421" s="19"/>
      <c r="AV1421" s="19"/>
      <c r="AW1421" s="19"/>
      <c r="AX1421" s="19"/>
      <c r="GA1421" s="54"/>
    </row>
    <row r="1422" spans="1:183" s="18" customFormat="1">
      <c r="A1422" s="51"/>
      <c r="B1422" s="52"/>
      <c r="C1422" s="52"/>
      <c r="D1422" s="52"/>
      <c r="E1422" s="53"/>
      <c r="F1422" s="52"/>
      <c r="G1422" s="52"/>
      <c r="H1422" s="52"/>
      <c r="I1422" s="53"/>
      <c r="J1422" s="52"/>
      <c r="K1422" s="52"/>
      <c r="L1422" s="52"/>
      <c r="M1422" s="52"/>
      <c r="N1422" s="19"/>
      <c r="O1422" s="19"/>
      <c r="P1422" s="19"/>
      <c r="Q1422" s="19"/>
      <c r="R1422" s="19"/>
      <c r="S1422" s="19"/>
      <c r="T1422" s="19"/>
      <c r="U1422" s="19"/>
      <c r="V1422" s="19"/>
      <c r="W1422" s="19"/>
      <c r="X1422" s="19"/>
      <c r="Y1422" s="19"/>
      <c r="Z1422" s="19"/>
      <c r="AA1422" s="19"/>
      <c r="AB1422" s="19"/>
      <c r="AC1422" s="19"/>
      <c r="AD1422" s="19"/>
      <c r="AE1422" s="19"/>
      <c r="AF1422" s="19"/>
      <c r="AG1422" s="19"/>
      <c r="AH1422" s="19"/>
      <c r="AI1422" s="19"/>
      <c r="AJ1422" s="19"/>
      <c r="AK1422" s="19"/>
      <c r="AL1422" s="19"/>
      <c r="AM1422" s="19"/>
      <c r="AN1422" s="19"/>
      <c r="AO1422" s="19"/>
      <c r="AP1422" s="19"/>
      <c r="AQ1422" s="19"/>
      <c r="AR1422" s="19"/>
      <c r="AS1422" s="19"/>
      <c r="AT1422" s="19"/>
      <c r="AU1422" s="19"/>
      <c r="AV1422" s="19"/>
      <c r="AW1422" s="19"/>
      <c r="AX1422" s="19"/>
      <c r="GA1422" s="54"/>
    </row>
    <row r="1423" spans="1:183" s="18" customFormat="1">
      <c r="A1423" s="51"/>
      <c r="B1423" s="52"/>
      <c r="C1423" s="52"/>
      <c r="D1423" s="52"/>
      <c r="E1423" s="53"/>
      <c r="F1423" s="52"/>
      <c r="G1423" s="52"/>
      <c r="H1423" s="52"/>
      <c r="I1423" s="53"/>
      <c r="J1423" s="52"/>
      <c r="K1423" s="52"/>
      <c r="L1423" s="52"/>
      <c r="M1423" s="52"/>
      <c r="N1423" s="19"/>
      <c r="O1423" s="19"/>
      <c r="P1423" s="19"/>
      <c r="Q1423" s="19"/>
      <c r="R1423" s="19"/>
      <c r="S1423" s="19"/>
      <c r="T1423" s="19"/>
      <c r="U1423" s="19"/>
      <c r="V1423" s="19"/>
      <c r="W1423" s="19"/>
      <c r="X1423" s="19"/>
      <c r="Y1423" s="19"/>
      <c r="Z1423" s="19"/>
      <c r="AA1423" s="19"/>
      <c r="AB1423" s="19"/>
      <c r="AC1423" s="19"/>
      <c r="AD1423" s="19"/>
      <c r="AE1423" s="19"/>
      <c r="AF1423" s="19"/>
      <c r="AG1423" s="19"/>
      <c r="AH1423" s="19"/>
      <c r="AI1423" s="19"/>
      <c r="AJ1423" s="19"/>
      <c r="AK1423" s="19"/>
      <c r="AL1423" s="19"/>
      <c r="AM1423" s="19"/>
      <c r="AN1423" s="19"/>
      <c r="AO1423" s="19"/>
      <c r="AP1423" s="19"/>
      <c r="AQ1423" s="19"/>
      <c r="AR1423" s="19"/>
      <c r="AS1423" s="19"/>
      <c r="AT1423" s="19"/>
      <c r="AU1423" s="19"/>
      <c r="AV1423" s="19"/>
      <c r="AW1423" s="19"/>
      <c r="AX1423" s="19"/>
      <c r="GA1423" s="54"/>
    </row>
    <row r="1424" spans="1:183" s="18" customFormat="1">
      <c r="A1424" s="51"/>
      <c r="B1424" s="52"/>
      <c r="C1424" s="52"/>
      <c r="D1424" s="52"/>
      <c r="E1424" s="53"/>
      <c r="F1424" s="52"/>
      <c r="G1424" s="52"/>
      <c r="H1424" s="52"/>
      <c r="I1424" s="53"/>
      <c r="J1424" s="52"/>
      <c r="K1424" s="52"/>
      <c r="L1424" s="52"/>
      <c r="M1424" s="52"/>
      <c r="N1424" s="19"/>
      <c r="O1424" s="19"/>
      <c r="P1424" s="19"/>
      <c r="Q1424" s="19"/>
      <c r="R1424" s="19"/>
      <c r="S1424" s="19"/>
      <c r="T1424" s="19"/>
      <c r="U1424" s="19"/>
      <c r="V1424" s="19"/>
      <c r="W1424" s="19"/>
      <c r="X1424" s="19"/>
      <c r="Y1424" s="19"/>
      <c r="Z1424" s="19"/>
      <c r="AA1424" s="19"/>
      <c r="AB1424" s="19"/>
      <c r="AC1424" s="19"/>
      <c r="AD1424" s="19"/>
      <c r="AE1424" s="19"/>
      <c r="AF1424" s="19"/>
      <c r="AG1424" s="19"/>
      <c r="AH1424" s="19"/>
      <c r="AI1424" s="19"/>
      <c r="AJ1424" s="19"/>
      <c r="AK1424" s="19"/>
      <c r="AL1424" s="19"/>
      <c r="AM1424" s="19"/>
      <c r="AN1424" s="19"/>
      <c r="AO1424" s="19"/>
      <c r="AP1424" s="19"/>
      <c r="AQ1424" s="19"/>
      <c r="AR1424" s="19"/>
      <c r="AS1424" s="19"/>
      <c r="AT1424" s="19"/>
      <c r="AU1424" s="19"/>
      <c r="AV1424" s="19"/>
      <c r="AW1424" s="19"/>
      <c r="AX1424" s="19"/>
      <c r="GA1424" s="54"/>
    </row>
    <row r="1425" spans="1:183" s="18" customFormat="1">
      <c r="A1425" s="51"/>
      <c r="B1425" s="52"/>
      <c r="C1425" s="52"/>
      <c r="D1425" s="52"/>
      <c r="E1425" s="53"/>
      <c r="F1425" s="52"/>
      <c r="G1425" s="52"/>
      <c r="H1425" s="52"/>
      <c r="I1425" s="53"/>
      <c r="J1425" s="52"/>
      <c r="K1425" s="52"/>
      <c r="L1425" s="52"/>
      <c r="M1425" s="52"/>
      <c r="N1425" s="19"/>
      <c r="O1425" s="19"/>
      <c r="P1425" s="19"/>
      <c r="Q1425" s="19"/>
      <c r="R1425" s="19"/>
      <c r="S1425" s="19"/>
      <c r="T1425" s="19"/>
      <c r="U1425" s="19"/>
      <c r="V1425" s="19"/>
      <c r="W1425" s="19"/>
      <c r="X1425" s="19"/>
      <c r="Y1425" s="19"/>
      <c r="Z1425" s="19"/>
      <c r="AA1425" s="19"/>
      <c r="AB1425" s="19"/>
      <c r="AC1425" s="19"/>
      <c r="AD1425" s="19"/>
      <c r="AE1425" s="19"/>
      <c r="AF1425" s="19"/>
      <c r="AG1425" s="19"/>
      <c r="AH1425" s="19"/>
      <c r="AI1425" s="19"/>
      <c r="AJ1425" s="19"/>
      <c r="AK1425" s="19"/>
      <c r="AL1425" s="19"/>
      <c r="AM1425" s="19"/>
      <c r="AN1425" s="19"/>
      <c r="AO1425" s="19"/>
      <c r="AP1425" s="19"/>
      <c r="AQ1425" s="19"/>
      <c r="AR1425" s="19"/>
      <c r="AS1425" s="19"/>
      <c r="AT1425" s="19"/>
      <c r="AU1425" s="19"/>
      <c r="AV1425" s="19"/>
      <c r="AW1425" s="19"/>
      <c r="AX1425" s="19"/>
      <c r="GA1425" s="54"/>
    </row>
    <row r="1426" spans="1:183" s="18" customFormat="1">
      <c r="A1426" s="51"/>
      <c r="B1426" s="52"/>
      <c r="C1426" s="52"/>
      <c r="D1426" s="52"/>
      <c r="E1426" s="53"/>
      <c r="F1426" s="52"/>
      <c r="G1426" s="52"/>
      <c r="H1426" s="52"/>
      <c r="I1426" s="53"/>
      <c r="J1426" s="52"/>
      <c r="K1426" s="52"/>
      <c r="L1426" s="52"/>
      <c r="M1426" s="52"/>
      <c r="N1426" s="19"/>
      <c r="O1426" s="19"/>
      <c r="P1426" s="19"/>
      <c r="Q1426" s="19"/>
      <c r="R1426" s="19"/>
      <c r="S1426" s="19"/>
      <c r="T1426" s="19"/>
      <c r="U1426" s="19"/>
      <c r="V1426" s="19"/>
      <c r="W1426" s="19"/>
      <c r="X1426" s="19"/>
      <c r="Y1426" s="19"/>
      <c r="Z1426" s="19"/>
      <c r="AA1426" s="19"/>
      <c r="AB1426" s="19"/>
      <c r="AC1426" s="19"/>
      <c r="AD1426" s="19"/>
      <c r="AE1426" s="19"/>
      <c r="AF1426" s="19"/>
      <c r="AG1426" s="19"/>
      <c r="AH1426" s="19"/>
      <c r="AI1426" s="19"/>
      <c r="AJ1426" s="19"/>
      <c r="AK1426" s="19"/>
      <c r="AL1426" s="19"/>
      <c r="AM1426" s="19"/>
      <c r="AN1426" s="19"/>
      <c r="AO1426" s="19"/>
      <c r="AP1426" s="19"/>
      <c r="AQ1426" s="19"/>
      <c r="AR1426" s="19"/>
      <c r="AS1426" s="19"/>
      <c r="AT1426" s="19"/>
      <c r="AU1426" s="19"/>
      <c r="AV1426" s="19"/>
      <c r="AW1426" s="19"/>
      <c r="AX1426" s="19"/>
      <c r="GA1426" s="54"/>
    </row>
    <row r="1427" spans="1:183" s="18" customFormat="1">
      <c r="A1427" s="51"/>
      <c r="B1427" s="52"/>
      <c r="C1427" s="52"/>
      <c r="D1427" s="52"/>
      <c r="E1427" s="53"/>
      <c r="F1427" s="52"/>
      <c r="G1427" s="52"/>
      <c r="H1427" s="52"/>
      <c r="I1427" s="53"/>
      <c r="J1427" s="52"/>
      <c r="K1427" s="52"/>
      <c r="L1427" s="52"/>
      <c r="M1427" s="52"/>
      <c r="N1427" s="19"/>
      <c r="O1427" s="19"/>
      <c r="P1427" s="19"/>
      <c r="Q1427" s="19"/>
      <c r="R1427" s="19"/>
      <c r="S1427" s="19"/>
      <c r="T1427" s="19"/>
      <c r="U1427" s="19"/>
      <c r="V1427" s="19"/>
      <c r="W1427" s="19"/>
      <c r="X1427" s="19"/>
      <c r="Y1427" s="19"/>
      <c r="Z1427" s="19"/>
      <c r="AA1427" s="19"/>
      <c r="AB1427" s="19"/>
      <c r="AC1427" s="19"/>
      <c r="AD1427" s="19"/>
      <c r="AE1427" s="19"/>
      <c r="AF1427" s="19"/>
      <c r="AG1427" s="19"/>
      <c r="AH1427" s="19"/>
      <c r="AI1427" s="19"/>
      <c r="AJ1427" s="19"/>
      <c r="AK1427" s="19"/>
      <c r="AL1427" s="19"/>
      <c r="AM1427" s="19"/>
      <c r="AN1427" s="19"/>
      <c r="AO1427" s="19"/>
      <c r="AP1427" s="19"/>
      <c r="AQ1427" s="19"/>
      <c r="AR1427" s="19"/>
      <c r="AS1427" s="19"/>
      <c r="AT1427" s="19"/>
      <c r="AU1427" s="19"/>
      <c r="AV1427" s="19"/>
      <c r="AW1427" s="19"/>
      <c r="AX1427" s="19"/>
      <c r="GA1427" s="54"/>
    </row>
    <row r="1428" spans="1:183" s="18" customFormat="1">
      <c r="A1428" s="51"/>
      <c r="B1428" s="52"/>
      <c r="C1428" s="52"/>
      <c r="D1428" s="52"/>
      <c r="E1428" s="53"/>
      <c r="F1428" s="52"/>
      <c r="G1428" s="52"/>
      <c r="H1428" s="52"/>
      <c r="I1428" s="53"/>
      <c r="J1428" s="52"/>
      <c r="K1428" s="52"/>
      <c r="L1428" s="52"/>
      <c r="M1428" s="52"/>
      <c r="N1428" s="19"/>
      <c r="O1428" s="19"/>
      <c r="P1428" s="19"/>
      <c r="Q1428" s="19"/>
      <c r="R1428" s="19"/>
      <c r="S1428" s="19"/>
      <c r="T1428" s="19"/>
      <c r="U1428" s="19"/>
      <c r="V1428" s="19"/>
      <c r="W1428" s="19"/>
      <c r="X1428" s="19"/>
      <c r="Y1428" s="19"/>
      <c r="Z1428" s="19"/>
      <c r="AA1428" s="19"/>
      <c r="AB1428" s="19"/>
      <c r="AC1428" s="19"/>
      <c r="AD1428" s="19"/>
      <c r="AE1428" s="19"/>
      <c r="AF1428" s="19"/>
      <c r="AG1428" s="19"/>
      <c r="AH1428" s="19"/>
      <c r="AI1428" s="19"/>
      <c r="AJ1428" s="19"/>
      <c r="AK1428" s="19"/>
      <c r="AL1428" s="19"/>
      <c r="AM1428" s="19"/>
      <c r="AN1428" s="19"/>
      <c r="AO1428" s="19"/>
      <c r="AP1428" s="19"/>
      <c r="AQ1428" s="19"/>
      <c r="AR1428" s="19"/>
      <c r="AS1428" s="19"/>
      <c r="AT1428" s="19"/>
      <c r="AU1428" s="19"/>
      <c r="AV1428" s="19"/>
      <c r="AW1428" s="19"/>
      <c r="AX1428" s="19"/>
      <c r="GA1428" s="54"/>
    </row>
    <row r="1429" spans="1:183" s="18" customFormat="1">
      <c r="A1429" s="51"/>
      <c r="B1429" s="52"/>
      <c r="C1429" s="52"/>
      <c r="D1429" s="52"/>
      <c r="E1429" s="53"/>
      <c r="F1429" s="52"/>
      <c r="G1429" s="52"/>
      <c r="H1429" s="52"/>
      <c r="I1429" s="53"/>
      <c r="J1429" s="52"/>
      <c r="K1429" s="52"/>
      <c r="L1429" s="52"/>
      <c r="M1429" s="52"/>
      <c r="N1429" s="19"/>
      <c r="O1429" s="19"/>
      <c r="P1429" s="19"/>
      <c r="Q1429" s="19"/>
      <c r="R1429" s="19"/>
      <c r="S1429" s="19"/>
      <c r="T1429" s="19"/>
      <c r="U1429" s="19"/>
      <c r="V1429" s="19"/>
      <c r="W1429" s="19"/>
      <c r="X1429" s="19"/>
      <c r="Y1429" s="19"/>
      <c r="Z1429" s="19"/>
      <c r="AA1429" s="19"/>
      <c r="AB1429" s="19"/>
      <c r="AC1429" s="19"/>
      <c r="AD1429" s="19"/>
      <c r="AE1429" s="19"/>
      <c r="AF1429" s="19"/>
      <c r="AG1429" s="19"/>
      <c r="AH1429" s="19"/>
      <c r="AI1429" s="19"/>
      <c r="AJ1429" s="19"/>
      <c r="AK1429" s="19"/>
      <c r="AL1429" s="19"/>
      <c r="AM1429" s="19"/>
      <c r="AN1429" s="19"/>
      <c r="AO1429" s="19"/>
      <c r="AP1429" s="19"/>
      <c r="AQ1429" s="19"/>
      <c r="AR1429" s="19"/>
      <c r="AS1429" s="19"/>
      <c r="AT1429" s="19"/>
      <c r="AU1429" s="19"/>
      <c r="AV1429" s="19"/>
      <c r="AW1429" s="19"/>
      <c r="AX1429" s="19"/>
      <c r="GA1429" s="54"/>
    </row>
    <row r="1430" spans="1:183" s="18" customFormat="1">
      <c r="A1430" s="51"/>
      <c r="B1430" s="52"/>
      <c r="C1430" s="52"/>
      <c r="D1430" s="52"/>
      <c r="E1430" s="53"/>
      <c r="F1430" s="52"/>
      <c r="G1430" s="52"/>
      <c r="H1430" s="52"/>
      <c r="I1430" s="53"/>
      <c r="J1430" s="52"/>
      <c r="K1430" s="52"/>
      <c r="L1430" s="52"/>
      <c r="M1430" s="52"/>
      <c r="N1430" s="19"/>
      <c r="O1430" s="19"/>
      <c r="P1430" s="19"/>
      <c r="Q1430" s="19"/>
      <c r="R1430" s="19"/>
      <c r="S1430" s="19"/>
      <c r="T1430" s="19"/>
      <c r="U1430" s="19"/>
      <c r="V1430" s="19"/>
      <c r="W1430" s="19"/>
      <c r="X1430" s="19"/>
      <c r="Y1430" s="19"/>
      <c r="Z1430" s="19"/>
      <c r="AA1430" s="19"/>
      <c r="AB1430" s="19"/>
      <c r="AC1430" s="19"/>
      <c r="AD1430" s="19"/>
      <c r="AE1430" s="19"/>
      <c r="AF1430" s="19"/>
      <c r="AG1430" s="19"/>
      <c r="AH1430" s="19"/>
      <c r="AI1430" s="19"/>
      <c r="AJ1430" s="19"/>
      <c r="AK1430" s="19"/>
      <c r="AL1430" s="19"/>
      <c r="AM1430" s="19"/>
      <c r="AN1430" s="19"/>
      <c r="AO1430" s="19"/>
      <c r="AP1430" s="19"/>
      <c r="AQ1430" s="19"/>
      <c r="AR1430" s="19"/>
      <c r="AS1430" s="19"/>
      <c r="AT1430" s="19"/>
      <c r="AU1430" s="19"/>
      <c r="AV1430" s="19"/>
      <c r="AW1430" s="19"/>
      <c r="AX1430" s="19"/>
      <c r="GA1430" s="54"/>
    </row>
    <row r="1431" spans="1:183" s="18" customFormat="1">
      <c r="A1431" s="51"/>
      <c r="B1431" s="52"/>
      <c r="C1431" s="52"/>
      <c r="D1431" s="52"/>
      <c r="E1431" s="53"/>
      <c r="F1431" s="52"/>
      <c r="G1431" s="52"/>
      <c r="H1431" s="52"/>
      <c r="I1431" s="53"/>
      <c r="J1431" s="52"/>
      <c r="K1431" s="52"/>
      <c r="L1431" s="52"/>
      <c r="M1431" s="52"/>
      <c r="N1431" s="19"/>
      <c r="O1431" s="19"/>
      <c r="P1431" s="19"/>
      <c r="Q1431" s="19"/>
      <c r="R1431" s="19"/>
      <c r="S1431" s="19"/>
      <c r="T1431" s="19"/>
      <c r="U1431" s="19"/>
      <c r="V1431" s="19"/>
      <c r="W1431" s="19"/>
      <c r="X1431" s="19"/>
      <c r="Y1431" s="19"/>
      <c r="Z1431" s="19"/>
      <c r="AA1431" s="19"/>
      <c r="AB1431" s="19"/>
      <c r="AC1431" s="19"/>
      <c r="AD1431" s="19"/>
      <c r="AE1431" s="19"/>
      <c r="AF1431" s="19"/>
      <c r="AG1431" s="19"/>
      <c r="AH1431" s="19"/>
      <c r="AI1431" s="19"/>
      <c r="AJ1431" s="19"/>
      <c r="AK1431" s="19"/>
      <c r="AL1431" s="19"/>
      <c r="AM1431" s="19"/>
      <c r="AN1431" s="19"/>
      <c r="AO1431" s="19"/>
      <c r="AP1431" s="19"/>
      <c r="AQ1431" s="19"/>
      <c r="AR1431" s="19"/>
      <c r="AS1431" s="19"/>
      <c r="AT1431" s="19"/>
      <c r="AU1431" s="19"/>
      <c r="AV1431" s="19"/>
      <c r="AW1431" s="19"/>
      <c r="AX1431" s="19"/>
      <c r="GA1431" s="54"/>
    </row>
    <row r="1432" spans="1:183" s="18" customFormat="1">
      <c r="A1432" s="51"/>
      <c r="B1432" s="52"/>
      <c r="C1432" s="52"/>
      <c r="D1432" s="52"/>
      <c r="E1432" s="53"/>
      <c r="F1432" s="52"/>
      <c r="G1432" s="52"/>
      <c r="H1432" s="52"/>
      <c r="I1432" s="53"/>
      <c r="J1432" s="52"/>
      <c r="K1432" s="52"/>
      <c r="L1432" s="52"/>
      <c r="M1432" s="52"/>
      <c r="N1432" s="19"/>
      <c r="O1432" s="19"/>
      <c r="P1432" s="19"/>
      <c r="Q1432" s="19"/>
      <c r="R1432" s="19"/>
      <c r="S1432" s="19"/>
      <c r="T1432" s="19"/>
      <c r="U1432" s="19"/>
      <c r="V1432" s="19"/>
      <c r="W1432" s="19"/>
      <c r="X1432" s="19"/>
      <c r="Y1432" s="19"/>
      <c r="Z1432" s="19"/>
      <c r="AA1432" s="19"/>
      <c r="AB1432" s="19"/>
      <c r="AC1432" s="19"/>
      <c r="AD1432" s="19"/>
      <c r="AE1432" s="19"/>
      <c r="AF1432" s="19"/>
      <c r="AG1432" s="19"/>
      <c r="AH1432" s="19"/>
      <c r="AI1432" s="19"/>
      <c r="AJ1432" s="19"/>
      <c r="AK1432" s="19"/>
      <c r="AL1432" s="19"/>
      <c r="AM1432" s="19"/>
      <c r="AN1432" s="19"/>
      <c r="AO1432" s="19"/>
      <c r="AP1432" s="19"/>
      <c r="AQ1432" s="19"/>
      <c r="AR1432" s="19"/>
      <c r="AS1432" s="19"/>
      <c r="AT1432" s="19"/>
      <c r="AU1432" s="19"/>
      <c r="AV1432" s="19"/>
      <c r="AW1432" s="19"/>
      <c r="AX1432" s="19"/>
      <c r="GA1432" s="54"/>
    </row>
    <row r="1433" spans="1:183" s="18" customFormat="1">
      <c r="A1433" s="51"/>
      <c r="B1433" s="52"/>
      <c r="C1433" s="52"/>
      <c r="D1433" s="52"/>
      <c r="E1433" s="53"/>
      <c r="F1433" s="52"/>
      <c r="G1433" s="52"/>
      <c r="H1433" s="52"/>
      <c r="I1433" s="53"/>
      <c r="J1433" s="52"/>
      <c r="K1433" s="52"/>
      <c r="L1433" s="52"/>
      <c r="M1433" s="52"/>
      <c r="N1433" s="19"/>
      <c r="O1433" s="19"/>
      <c r="P1433" s="19"/>
      <c r="Q1433" s="19"/>
      <c r="R1433" s="19"/>
      <c r="S1433" s="19"/>
      <c r="T1433" s="19"/>
      <c r="U1433" s="19"/>
      <c r="V1433" s="19"/>
      <c r="W1433" s="19"/>
      <c r="X1433" s="19"/>
      <c r="Y1433" s="19"/>
      <c r="Z1433" s="19"/>
      <c r="AA1433" s="19"/>
      <c r="AB1433" s="19"/>
      <c r="AC1433" s="19"/>
      <c r="AD1433" s="19"/>
      <c r="AE1433" s="19"/>
      <c r="AF1433" s="19"/>
      <c r="AG1433" s="19"/>
      <c r="AH1433" s="19"/>
      <c r="AI1433" s="19"/>
      <c r="AJ1433" s="19"/>
      <c r="AK1433" s="19"/>
      <c r="AL1433" s="19"/>
      <c r="AM1433" s="19"/>
      <c r="AN1433" s="19"/>
      <c r="AO1433" s="19"/>
      <c r="AP1433" s="19"/>
      <c r="AQ1433" s="19"/>
      <c r="AR1433" s="19"/>
      <c r="AS1433" s="19"/>
      <c r="AT1433" s="19"/>
      <c r="AU1433" s="19"/>
      <c r="AV1433" s="19"/>
      <c r="AW1433" s="19"/>
      <c r="AX1433" s="19"/>
      <c r="GA1433" s="54"/>
    </row>
    <row r="1434" spans="1:183" s="18" customFormat="1">
      <c r="A1434" s="51"/>
      <c r="B1434" s="52"/>
      <c r="C1434" s="52"/>
      <c r="D1434" s="52"/>
      <c r="E1434" s="53"/>
      <c r="F1434" s="52"/>
      <c r="G1434" s="52"/>
      <c r="H1434" s="52"/>
      <c r="I1434" s="53"/>
      <c r="J1434" s="52"/>
      <c r="K1434" s="52"/>
      <c r="L1434" s="52"/>
      <c r="M1434" s="52"/>
      <c r="N1434" s="19"/>
      <c r="O1434" s="19"/>
      <c r="P1434" s="19"/>
      <c r="Q1434" s="19"/>
      <c r="R1434" s="19"/>
      <c r="S1434" s="19"/>
      <c r="T1434" s="19"/>
      <c r="U1434" s="19"/>
      <c r="V1434" s="19"/>
      <c r="W1434" s="19"/>
      <c r="X1434" s="19"/>
      <c r="Y1434" s="19"/>
      <c r="Z1434" s="19"/>
      <c r="AA1434" s="19"/>
      <c r="AB1434" s="19"/>
      <c r="AC1434" s="19"/>
      <c r="AD1434" s="19"/>
      <c r="AE1434" s="19"/>
      <c r="AF1434" s="19"/>
      <c r="AG1434" s="19"/>
      <c r="AH1434" s="19"/>
      <c r="AI1434" s="19"/>
      <c r="AJ1434" s="19"/>
      <c r="AK1434" s="19"/>
      <c r="AL1434" s="19"/>
      <c r="AM1434" s="19"/>
      <c r="AN1434" s="19"/>
      <c r="AO1434" s="19"/>
      <c r="AP1434" s="19"/>
      <c r="AQ1434" s="19"/>
      <c r="AR1434" s="19"/>
      <c r="AS1434" s="19"/>
      <c r="AT1434" s="19"/>
      <c r="AU1434" s="19"/>
      <c r="AV1434" s="19"/>
      <c r="AW1434" s="19"/>
      <c r="AX1434" s="19"/>
      <c r="GA1434" s="54"/>
    </row>
    <row r="1435" spans="1:183" s="18" customFormat="1">
      <c r="A1435" s="51"/>
      <c r="B1435" s="52"/>
      <c r="C1435" s="52"/>
      <c r="D1435" s="52"/>
      <c r="E1435" s="53"/>
      <c r="F1435" s="52"/>
      <c r="G1435" s="52"/>
      <c r="H1435" s="52"/>
      <c r="I1435" s="53"/>
      <c r="J1435" s="52"/>
      <c r="K1435" s="52"/>
      <c r="L1435" s="52"/>
      <c r="M1435" s="52"/>
      <c r="N1435" s="19"/>
      <c r="O1435" s="19"/>
      <c r="P1435" s="19"/>
      <c r="Q1435" s="19"/>
      <c r="R1435" s="19"/>
      <c r="S1435" s="19"/>
      <c r="T1435" s="19"/>
      <c r="U1435" s="19"/>
      <c r="V1435" s="19"/>
      <c r="W1435" s="19"/>
      <c r="X1435" s="19"/>
      <c r="Y1435" s="19"/>
      <c r="Z1435" s="19"/>
      <c r="AA1435" s="19"/>
      <c r="AB1435" s="19"/>
      <c r="AC1435" s="19"/>
      <c r="AD1435" s="19"/>
      <c r="AE1435" s="19"/>
      <c r="AF1435" s="19"/>
      <c r="AG1435" s="19"/>
      <c r="AH1435" s="19"/>
      <c r="AI1435" s="19"/>
      <c r="AJ1435" s="19"/>
      <c r="AK1435" s="19"/>
      <c r="AL1435" s="19"/>
      <c r="AM1435" s="19"/>
      <c r="AN1435" s="19"/>
      <c r="AO1435" s="19"/>
      <c r="AP1435" s="19"/>
      <c r="AQ1435" s="19"/>
      <c r="AR1435" s="19"/>
      <c r="AS1435" s="19"/>
      <c r="AT1435" s="19"/>
      <c r="AU1435" s="19"/>
      <c r="AV1435" s="19"/>
      <c r="AW1435" s="19"/>
      <c r="AX1435" s="19"/>
      <c r="GA1435" s="54"/>
    </row>
    <row r="1436" spans="1:183" s="18" customFormat="1">
      <c r="A1436" s="51"/>
      <c r="B1436" s="52"/>
      <c r="C1436" s="52"/>
      <c r="D1436" s="52"/>
      <c r="E1436" s="53"/>
      <c r="F1436" s="52"/>
      <c r="G1436" s="52"/>
      <c r="H1436" s="52"/>
      <c r="I1436" s="53"/>
      <c r="J1436" s="52"/>
      <c r="K1436" s="52"/>
      <c r="L1436" s="52"/>
      <c r="M1436" s="52"/>
      <c r="N1436" s="19"/>
      <c r="O1436" s="19"/>
      <c r="P1436" s="19"/>
      <c r="Q1436" s="19"/>
      <c r="R1436" s="19"/>
      <c r="S1436" s="19"/>
      <c r="T1436" s="19"/>
      <c r="U1436" s="19"/>
      <c r="V1436" s="19"/>
      <c r="W1436" s="19"/>
      <c r="X1436" s="19"/>
      <c r="Y1436" s="19"/>
      <c r="Z1436" s="19"/>
      <c r="AA1436" s="19"/>
      <c r="AB1436" s="19"/>
      <c r="AC1436" s="19"/>
      <c r="AD1436" s="19"/>
      <c r="AE1436" s="19"/>
      <c r="AF1436" s="19"/>
      <c r="AG1436" s="19"/>
      <c r="AH1436" s="19"/>
      <c r="AI1436" s="19"/>
      <c r="AJ1436" s="19"/>
      <c r="AK1436" s="19"/>
      <c r="AL1436" s="19"/>
      <c r="AM1436" s="19"/>
      <c r="AN1436" s="19"/>
      <c r="AO1436" s="19"/>
      <c r="AP1436" s="19"/>
      <c r="AQ1436" s="19"/>
      <c r="AR1436" s="19"/>
      <c r="AS1436" s="19"/>
      <c r="AT1436" s="19"/>
      <c r="AU1436" s="19"/>
      <c r="AV1436" s="19"/>
      <c r="AW1436" s="19"/>
      <c r="AX1436" s="19"/>
      <c r="GA1436" s="54"/>
    </row>
    <row r="1437" spans="1:183" s="18" customFormat="1">
      <c r="A1437" s="51"/>
      <c r="B1437" s="52"/>
      <c r="C1437" s="52"/>
      <c r="D1437" s="52"/>
      <c r="E1437" s="53"/>
      <c r="F1437" s="52"/>
      <c r="G1437" s="52"/>
      <c r="H1437" s="52"/>
      <c r="I1437" s="53"/>
      <c r="J1437" s="52"/>
      <c r="K1437" s="52"/>
      <c r="L1437" s="52"/>
      <c r="M1437" s="52"/>
      <c r="N1437" s="19"/>
      <c r="O1437" s="19"/>
      <c r="P1437" s="19"/>
      <c r="Q1437" s="19"/>
      <c r="R1437" s="19"/>
      <c r="S1437" s="19"/>
      <c r="T1437" s="19"/>
      <c r="U1437" s="19"/>
      <c r="V1437" s="19"/>
      <c r="W1437" s="19"/>
      <c r="X1437" s="19"/>
      <c r="Y1437" s="19"/>
      <c r="Z1437" s="19"/>
      <c r="AA1437" s="19"/>
      <c r="AB1437" s="19"/>
      <c r="AC1437" s="19"/>
      <c r="AD1437" s="19"/>
      <c r="AE1437" s="19"/>
      <c r="AF1437" s="19"/>
      <c r="AG1437" s="19"/>
      <c r="AH1437" s="19"/>
      <c r="AI1437" s="19"/>
      <c r="AJ1437" s="19"/>
      <c r="AK1437" s="19"/>
      <c r="AL1437" s="19"/>
      <c r="AM1437" s="19"/>
      <c r="AN1437" s="19"/>
      <c r="AO1437" s="19"/>
      <c r="AP1437" s="19"/>
      <c r="AQ1437" s="19"/>
      <c r="AR1437" s="19"/>
      <c r="AS1437" s="19"/>
      <c r="AT1437" s="19"/>
      <c r="AU1437" s="19"/>
      <c r="AV1437" s="19"/>
      <c r="AW1437" s="19"/>
      <c r="AX1437" s="19"/>
      <c r="GA1437" s="54"/>
    </row>
    <row r="1438" spans="1:183" s="18" customFormat="1">
      <c r="A1438" s="51"/>
      <c r="B1438" s="52"/>
      <c r="C1438" s="52"/>
      <c r="D1438" s="52"/>
      <c r="E1438" s="53"/>
      <c r="F1438" s="52"/>
      <c r="G1438" s="52"/>
      <c r="H1438" s="52"/>
      <c r="I1438" s="53"/>
      <c r="J1438" s="52"/>
      <c r="K1438" s="52"/>
      <c r="L1438" s="52"/>
      <c r="M1438" s="52"/>
      <c r="N1438" s="19"/>
      <c r="O1438" s="19"/>
      <c r="P1438" s="19"/>
      <c r="Q1438" s="19"/>
      <c r="R1438" s="19"/>
      <c r="S1438" s="19"/>
      <c r="T1438" s="19"/>
      <c r="U1438" s="19"/>
      <c r="V1438" s="19"/>
      <c r="W1438" s="19"/>
      <c r="X1438" s="19"/>
      <c r="Y1438" s="19"/>
      <c r="Z1438" s="19"/>
      <c r="AA1438" s="19"/>
      <c r="AB1438" s="19"/>
      <c r="AC1438" s="19"/>
      <c r="AD1438" s="19"/>
      <c r="AE1438" s="19"/>
      <c r="AF1438" s="19"/>
      <c r="AG1438" s="19"/>
      <c r="AH1438" s="19"/>
      <c r="AI1438" s="19"/>
      <c r="AJ1438" s="19"/>
      <c r="AK1438" s="19"/>
      <c r="AL1438" s="19"/>
      <c r="AM1438" s="19"/>
      <c r="AN1438" s="19"/>
      <c r="AO1438" s="19"/>
      <c r="AP1438" s="19"/>
      <c r="AQ1438" s="19"/>
      <c r="AR1438" s="19"/>
      <c r="AS1438" s="19"/>
      <c r="AT1438" s="19"/>
      <c r="AU1438" s="19"/>
      <c r="AV1438" s="19"/>
      <c r="AW1438" s="19"/>
      <c r="AX1438" s="19"/>
      <c r="GA1438" s="54"/>
    </row>
    <row r="1439" spans="1:183" s="18" customFormat="1">
      <c r="A1439" s="51"/>
      <c r="B1439" s="52"/>
      <c r="C1439" s="52"/>
      <c r="D1439" s="52"/>
      <c r="E1439" s="53"/>
      <c r="F1439" s="52"/>
      <c r="G1439" s="52"/>
      <c r="H1439" s="52"/>
      <c r="I1439" s="53"/>
      <c r="J1439" s="52"/>
      <c r="K1439" s="52"/>
      <c r="L1439" s="52"/>
      <c r="M1439" s="52"/>
      <c r="N1439" s="19"/>
      <c r="O1439" s="19"/>
      <c r="P1439" s="19"/>
      <c r="Q1439" s="19"/>
      <c r="R1439" s="19"/>
      <c r="S1439" s="19"/>
      <c r="T1439" s="19"/>
      <c r="U1439" s="19"/>
      <c r="V1439" s="19"/>
      <c r="W1439" s="19"/>
      <c r="X1439" s="19"/>
      <c r="Y1439" s="19"/>
      <c r="Z1439" s="19"/>
      <c r="AA1439" s="19"/>
      <c r="AB1439" s="19"/>
      <c r="AC1439" s="19"/>
      <c r="AD1439" s="19"/>
      <c r="AE1439" s="19"/>
      <c r="AF1439" s="19"/>
      <c r="AG1439" s="19"/>
      <c r="AH1439" s="19"/>
      <c r="AI1439" s="19"/>
      <c r="AJ1439" s="19"/>
      <c r="AK1439" s="19"/>
      <c r="AL1439" s="19"/>
      <c r="AM1439" s="19"/>
      <c r="AN1439" s="19"/>
      <c r="AO1439" s="19"/>
      <c r="AP1439" s="19"/>
      <c r="AQ1439" s="19"/>
      <c r="AR1439" s="19"/>
      <c r="AS1439" s="19"/>
      <c r="AT1439" s="19"/>
      <c r="AU1439" s="19"/>
      <c r="AV1439" s="19"/>
      <c r="AW1439" s="19"/>
      <c r="AX1439" s="19"/>
      <c r="GA1439" s="54"/>
    </row>
    <row r="1440" spans="1:183" s="18" customFormat="1">
      <c r="A1440" s="51"/>
      <c r="B1440" s="52"/>
      <c r="C1440" s="52"/>
      <c r="D1440" s="52"/>
      <c r="E1440" s="53"/>
      <c r="F1440" s="52"/>
      <c r="G1440" s="52"/>
      <c r="H1440" s="52"/>
      <c r="I1440" s="53"/>
      <c r="J1440" s="52"/>
      <c r="K1440" s="52"/>
      <c r="L1440" s="52"/>
      <c r="M1440" s="52"/>
      <c r="N1440" s="19"/>
      <c r="O1440" s="19"/>
      <c r="P1440" s="19"/>
      <c r="Q1440" s="19"/>
      <c r="R1440" s="19"/>
      <c r="S1440" s="19"/>
      <c r="T1440" s="19"/>
      <c r="U1440" s="19"/>
      <c r="V1440" s="19"/>
      <c r="W1440" s="19"/>
      <c r="X1440" s="19"/>
      <c r="Y1440" s="19"/>
      <c r="Z1440" s="19"/>
      <c r="AA1440" s="19"/>
      <c r="AB1440" s="19"/>
      <c r="AC1440" s="19"/>
      <c r="AD1440" s="19"/>
      <c r="AE1440" s="19"/>
      <c r="AF1440" s="19"/>
      <c r="AG1440" s="19"/>
      <c r="AH1440" s="19"/>
      <c r="AI1440" s="19"/>
      <c r="AJ1440" s="19"/>
      <c r="AK1440" s="19"/>
      <c r="AL1440" s="19"/>
      <c r="AM1440" s="19"/>
      <c r="AN1440" s="19"/>
      <c r="AO1440" s="19"/>
      <c r="AP1440" s="19"/>
      <c r="AQ1440" s="19"/>
      <c r="AR1440" s="19"/>
      <c r="AS1440" s="19"/>
      <c r="AT1440" s="19"/>
      <c r="AU1440" s="19"/>
      <c r="AV1440" s="19"/>
      <c r="AW1440" s="19"/>
      <c r="AX1440" s="19"/>
      <c r="GA1440" s="54"/>
    </row>
    <row r="1441" spans="1:183" s="18" customFormat="1">
      <c r="A1441" s="51"/>
      <c r="B1441" s="52"/>
      <c r="C1441" s="52"/>
      <c r="D1441" s="52"/>
      <c r="E1441" s="53"/>
      <c r="F1441" s="52"/>
      <c r="G1441" s="52"/>
      <c r="H1441" s="52"/>
      <c r="I1441" s="53"/>
      <c r="J1441" s="52"/>
      <c r="K1441" s="52"/>
      <c r="L1441" s="52"/>
      <c r="M1441" s="52"/>
      <c r="N1441" s="19"/>
      <c r="O1441" s="19"/>
      <c r="P1441" s="19"/>
      <c r="Q1441" s="19"/>
      <c r="R1441" s="19"/>
      <c r="S1441" s="19"/>
      <c r="T1441" s="19"/>
      <c r="U1441" s="19"/>
      <c r="V1441" s="19"/>
      <c r="W1441" s="19"/>
      <c r="X1441" s="19"/>
      <c r="Y1441" s="19"/>
      <c r="Z1441" s="19"/>
      <c r="AA1441" s="19"/>
      <c r="AB1441" s="19"/>
      <c r="AC1441" s="19"/>
      <c r="AD1441" s="19"/>
      <c r="AE1441" s="19"/>
      <c r="AF1441" s="19"/>
      <c r="AG1441" s="19"/>
      <c r="AH1441" s="19"/>
      <c r="AI1441" s="19"/>
      <c r="AJ1441" s="19"/>
      <c r="AK1441" s="19"/>
      <c r="AL1441" s="19"/>
      <c r="AM1441" s="19"/>
      <c r="AN1441" s="19"/>
      <c r="AO1441" s="19"/>
      <c r="AP1441" s="19"/>
      <c r="AQ1441" s="19"/>
      <c r="AR1441" s="19"/>
      <c r="AS1441" s="19"/>
      <c r="AT1441" s="19"/>
      <c r="AU1441" s="19"/>
      <c r="AV1441" s="19"/>
      <c r="AW1441" s="19"/>
      <c r="AX1441" s="19"/>
      <c r="GA1441" s="54"/>
    </row>
    <row r="1442" spans="1:183" s="18" customFormat="1">
      <c r="A1442" s="51"/>
      <c r="B1442" s="52"/>
      <c r="C1442" s="52"/>
      <c r="D1442" s="52"/>
      <c r="E1442" s="53"/>
      <c r="F1442" s="52"/>
      <c r="G1442" s="52"/>
      <c r="H1442" s="52"/>
      <c r="I1442" s="53"/>
      <c r="J1442" s="52"/>
      <c r="K1442" s="52"/>
      <c r="L1442" s="52"/>
      <c r="M1442" s="52"/>
      <c r="N1442" s="19"/>
      <c r="O1442" s="19"/>
      <c r="P1442" s="19"/>
      <c r="Q1442" s="19"/>
      <c r="R1442" s="19"/>
      <c r="S1442" s="19"/>
      <c r="T1442" s="19"/>
      <c r="U1442" s="19"/>
      <c r="V1442" s="19"/>
      <c r="W1442" s="19"/>
      <c r="X1442" s="19"/>
      <c r="Y1442" s="19"/>
      <c r="Z1442" s="19"/>
      <c r="AA1442" s="19"/>
      <c r="AB1442" s="19"/>
      <c r="AC1442" s="19"/>
      <c r="AD1442" s="19"/>
      <c r="AE1442" s="19"/>
      <c r="AF1442" s="19"/>
      <c r="AG1442" s="19"/>
      <c r="AH1442" s="19"/>
      <c r="AI1442" s="19"/>
      <c r="AJ1442" s="19"/>
      <c r="AK1442" s="19"/>
      <c r="AL1442" s="19"/>
      <c r="AM1442" s="19"/>
      <c r="AN1442" s="19"/>
      <c r="AO1442" s="19"/>
      <c r="AP1442" s="19"/>
      <c r="AQ1442" s="19"/>
      <c r="AR1442" s="19"/>
      <c r="AS1442" s="19"/>
      <c r="AT1442" s="19"/>
      <c r="AU1442" s="19"/>
      <c r="AV1442" s="19"/>
      <c r="AW1442" s="19"/>
      <c r="AX1442" s="19"/>
      <c r="GA1442" s="54"/>
    </row>
    <row r="1443" spans="1:183" s="18" customFormat="1">
      <c r="A1443" s="51"/>
      <c r="B1443" s="52"/>
      <c r="C1443" s="52"/>
      <c r="D1443" s="52"/>
      <c r="E1443" s="53"/>
      <c r="F1443" s="52"/>
      <c r="G1443" s="52"/>
      <c r="H1443" s="52"/>
      <c r="I1443" s="53"/>
      <c r="J1443" s="52"/>
      <c r="K1443" s="52"/>
      <c r="L1443" s="52"/>
      <c r="M1443" s="52"/>
      <c r="N1443" s="19"/>
      <c r="O1443" s="19"/>
      <c r="P1443" s="19"/>
      <c r="Q1443" s="19"/>
      <c r="R1443" s="19"/>
      <c r="S1443" s="19"/>
      <c r="T1443" s="19"/>
      <c r="U1443" s="19"/>
      <c r="V1443" s="19"/>
      <c r="W1443" s="19"/>
      <c r="X1443" s="19"/>
      <c r="Y1443" s="19"/>
      <c r="Z1443" s="19"/>
      <c r="AA1443" s="19"/>
      <c r="AB1443" s="19"/>
      <c r="AC1443" s="19"/>
      <c r="AD1443" s="19"/>
      <c r="AE1443" s="19"/>
      <c r="AF1443" s="19"/>
      <c r="AG1443" s="19"/>
      <c r="AH1443" s="19"/>
      <c r="AI1443" s="19"/>
      <c r="AJ1443" s="19"/>
      <c r="AK1443" s="19"/>
      <c r="AL1443" s="19"/>
      <c r="AM1443" s="19"/>
      <c r="AN1443" s="19"/>
      <c r="AO1443" s="19"/>
      <c r="AP1443" s="19"/>
      <c r="AQ1443" s="19"/>
      <c r="AR1443" s="19"/>
      <c r="AS1443" s="19"/>
      <c r="AT1443" s="19"/>
      <c r="AU1443" s="19"/>
      <c r="AV1443" s="19"/>
      <c r="AW1443" s="19"/>
      <c r="AX1443" s="19"/>
      <c r="GA1443" s="54"/>
    </row>
    <row r="1444" spans="1:183" s="18" customFormat="1">
      <c r="A1444" s="51"/>
      <c r="B1444" s="52"/>
      <c r="C1444" s="52"/>
      <c r="D1444" s="52"/>
      <c r="E1444" s="53"/>
      <c r="F1444" s="52"/>
      <c r="G1444" s="52"/>
      <c r="H1444" s="52"/>
      <c r="I1444" s="53"/>
      <c r="J1444" s="52"/>
      <c r="K1444" s="52"/>
      <c r="L1444" s="52"/>
      <c r="M1444" s="52"/>
      <c r="N1444" s="19"/>
      <c r="O1444" s="19"/>
      <c r="P1444" s="19"/>
      <c r="Q1444" s="19"/>
      <c r="R1444" s="19"/>
      <c r="S1444" s="19"/>
      <c r="T1444" s="19"/>
      <c r="U1444" s="19"/>
      <c r="V1444" s="19"/>
      <c r="W1444" s="19"/>
      <c r="X1444" s="19"/>
      <c r="Y1444" s="19"/>
      <c r="Z1444" s="19"/>
      <c r="AA1444" s="19"/>
      <c r="AB1444" s="19"/>
      <c r="AC1444" s="19"/>
      <c r="AD1444" s="19"/>
      <c r="AE1444" s="19"/>
      <c r="AF1444" s="19"/>
      <c r="AG1444" s="19"/>
      <c r="AH1444" s="19"/>
      <c r="AI1444" s="19"/>
      <c r="AJ1444" s="19"/>
      <c r="AK1444" s="19"/>
      <c r="AL1444" s="19"/>
      <c r="AM1444" s="19"/>
      <c r="AN1444" s="19"/>
      <c r="AO1444" s="19"/>
      <c r="AP1444" s="19"/>
      <c r="AQ1444" s="19"/>
      <c r="AR1444" s="19"/>
      <c r="AS1444" s="19"/>
      <c r="AT1444" s="19"/>
      <c r="AU1444" s="19"/>
      <c r="AV1444" s="19"/>
      <c r="AW1444" s="19"/>
      <c r="AX1444" s="19"/>
      <c r="GA1444" s="54"/>
    </row>
    <row r="1445" spans="1:183" s="18" customFormat="1">
      <c r="A1445" s="51"/>
      <c r="B1445" s="52"/>
      <c r="C1445" s="52"/>
      <c r="D1445" s="52"/>
      <c r="E1445" s="53"/>
      <c r="F1445" s="52"/>
      <c r="G1445" s="52"/>
      <c r="H1445" s="52"/>
      <c r="I1445" s="53"/>
      <c r="J1445" s="52"/>
      <c r="K1445" s="52"/>
      <c r="L1445" s="52"/>
      <c r="M1445" s="52"/>
      <c r="N1445" s="19"/>
      <c r="O1445" s="19"/>
      <c r="P1445" s="19"/>
      <c r="Q1445" s="19"/>
      <c r="R1445" s="19"/>
      <c r="S1445" s="19"/>
      <c r="T1445" s="19"/>
      <c r="U1445" s="19"/>
      <c r="V1445" s="19"/>
      <c r="W1445" s="19"/>
      <c r="X1445" s="19"/>
      <c r="Y1445" s="19"/>
      <c r="Z1445" s="19"/>
      <c r="AA1445" s="19"/>
      <c r="AB1445" s="19"/>
      <c r="AC1445" s="19"/>
      <c r="AD1445" s="19"/>
      <c r="AE1445" s="19"/>
      <c r="AF1445" s="19"/>
      <c r="AG1445" s="19"/>
      <c r="AH1445" s="19"/>
      <c r="AI1445" s="19"/>
      <c r="AJ1445" s="19"/>
      <c r="AK1445" s="19"/>
      <c r="AL1445" s="19"/>
      <c r="AM1445" s="19"/>
      <c r="AN1445" s="19"/>
      <c r="AO1445" s="19"/>
      <c r="AP1445" s="19"/>
      <c r="AQ1445" s="19"/>
      <c r="AR1445" s="19"/>
      <c r="AS1445" s="19"/>
      <c r="AT1445" s="19"/>
      <c r="AU1445" s="19"/>
      <c r="AV1445" s="19"/>
      <c r="AW1445" s="19"/>
      <c r="AX1445" s="19"/>
      <c r="GA1445" s="54"/>
    </row>
    <row r="1446" spans="1:183" s="18" customFormat="1">
      <c r="A1446" s="51"/>
      <c r="B1446" s="52"/>
      <c r="C1446" s="52"/>
      <c r="D1446" s="52"/>
      <c r="E1446" s="53"/>
      <c r="F1446" s="52"/>
      <c r="G1446" s="52"/>
      <c r="H1446" s="52"/>
      <c r="I1446" s="53"/>
      <c r="J1446" s="52"/>
      <c r="K1446" s="52"/>
      <c r="L1446" s="52"/>
      <c r="M1446" s="52"/>
      <c r="N1446" s="19"/>
      <c r="O1446" s="19"/>
      <c r="P1446" s="19"/>
      <c r="Q1446" s="19"/>
      <c r="R1446" s="19"/>
      <c r="S1446" s="19"/>
      <c r="T1446" s="19"/>
      <c r="U1446" s="19"/>
      <c r="V1446" s="19"/>
      <c r="W1446" s="19"/>
      <c r="X1446" s="19"/>
      <c r="Y1446" s="19"/>
      <c r="Z1446" s="19"/>
      <c r="AA1446" s="19"/>
      <c r="AB1446" s="19"/>
      <c r="AC1446" s="19"/>
      <c r="AD1446" s="19"/>
      <c r="AE1446" s="19"/>
      <c r="AF1446" s="19"/>
      <c r="AG1446" s="19"/>
      <c r="AH1446" s="19"/>
      <c r="AI1446" s="19"/>
      <c r="AJ1446" s="19"/>
      <c r="AK1446" s="19"/>
      <c r="AL1446" s="19"/>
      <c r="AM1446" s="19"/>
      <c r="AN1446" s="19"/>
      <c r="AO1446" s="19"/>
      <c r="AP1446" s="19"/>
      <c r="AQ1446" s="19"/>
      <c r="AR1446" s="19"/>
      <c r="AS1446" s="19"/>
      <c r="AT1446" s="19"/>
      <c r="AU1446" s="19"/>
      <c r="AV1446" s="19"/>
      <c r="AW1446" s="19"/>
      <c r="AX1446" s="19"/>
      <c r="GA1446" s="54"/>
    </row>
    <row r="1447" spans="1:183" s="18" customFormat="1">
      <c r="A1447" s="51"/>
      <c r="B1447" s="52"/>
      <c r="C1447" s="52"/>
      <c r="D1447" s="52"/>
      <c r="E1447" s="53"/>
      <c r="F1447" s="52"/>
      <c r="G1447" s="52"/>
      <c r="H1447" s="52"/>
      <c r="I1447" s="53"/>
      <c r="J1447" s="52"/>
      <c r="K1447" s="52"/>
      <c r="L1447" s="52"/>
      <c r="M1447" s="52"/>
      <c r="N1447" s="19"/>
      <c r="O1447" s="19"/>
      <c r="P1447" s="19"/>
      <c r="Q1447" s="19"/>
      <c r="R1447" s="19"/>
      <c r="S1447" s="19"/>
      <c r="T1447" s="19"/>
      <c r="U1447" s="19"/>
      <c r="V1447" s="19"/>
      <c r="W1447" s="19"/>
      <c r="X1447" s="19"/>
      <c r="Y1447" s="19"/>
      <c r="Z1447" s="19"/>
      <c r="AA1447" s="19"/>
      <c r="AB1447" s="19"/>
      <c r="AC1447" s="19"/>
      <c r="AD1447" s="19"/>
      <c r="AE1447" s="19"/>
      <c r="AF1447" s="19"/>
      <c r="AG1447" s="19"/>
      <c r="AH1447" s="19"/>
      <c r="AI1447" s="19"/>
      <c r="AJ1447" s="19"/>
      <c r="AK1447" s="19"/>
      <c r="AL1447" s="19"/>
      <c r="AM1447" s="19"/>
      <c r="AN1447" s="19"/>
      <c r="AO1447" s="19"/>
      <c r="AP1447" s="19"/>
      <c r="AQ1447" s="19"/>
      <c r="AR1447" s="19"/>
      <c r="AS1447" s="19"/>
      <c r="AT1447" s="19"/>
      <c r="AU1447" s="19"/>
      <c r="AV1447" s="19"/>
      <c r="AW1447" s="19"/>
      <c r="AX1447" s="19"/>
      <c r="GA1447" s="54"/>
    </row>
    <row r="1448" spans="1:183" s="18" customFormat="1">
      <c r="A1448" s="51"/>
      <c r="B1448" s="52"/>
      <c r="C1448" s="52"/>
      <c r="D1448" s="52"/>
      <c r="E1448" s="53"/>
      <c r="F1448" s="52"/>
      <c r="G1448" s="52"/>
      <c r="H1448" s="52"/>
      <c r="I1448" s="53"/>
      <c r="J1448" s="52"/>
      <c r="K1448" s="52"/>
      <c r="L1448" s="52"/>
      <c r="M1448" s="52"/>
      <c r="N1448" s="19"/>
      <c r="O1448" s="19"/>
      <c r="P1448" s="19"/>
      <c r="Q1448" s="19"/>
      <c r="R1448" s="19"/>
      <c r="S1448" s="19"/>
      <c r="T1448" s="19"/>
      <c r="U1448" s="19"/>
      <c r="V1448" s="19"/>
      <c r="W1448" s="19"/>
      <c r="X1448" s="19"/>
      <c r="Y1448" s="19"/>
      <c r="Z1448" s="19"/>
      <c r="AA1448" s="19"/>
      <c r="AB1448" s="19"/>
      <c r="AC1448" s="19"/>
      <c r="AD1448" s="19"/>
      <c r="AE1448" s="19"/>
      <c r="AF1448" s="19"/>
      <c r="AG1448" s="19"/>
      <c r="AH1448" s="19"/>
      <c r="AI1448" s="19"/>
      <c r="AJ1448" s="19"/>
      <c r="AK1448" s="19"/>
      <c r="AL1448" s="19"/>
      <c r="AM1448" s="19"/>
      <c r="AN1448" s="19"/>
      <c r="AO1448" s="19"/>
      <c r="AP1448" s="19"/>
      <c r="AQ1448" s="19"/>
      <c r="AR1448" s="19"/>
      <c r="AS1448" s="19"/>
      <c r="AT1448" s="19"/>
      <c r="AU1448" s="19"/>
      <c r="AV1448" s="19"/>
      <c r="AW1448" s="19"/>
      <c r="AX1448" s="19"/>
      <c r="GA1448" s="54"/>
    </row>
    <row r="1449" spans="1:183" s="18" customFormat="1">
      <c r="A1449" s="51"/>
      <c r="B1449" s="52"/>
      <c r="C1449" s="52"/>
      <c r="D1449" s="52"/>
      <c r="E1449" s="53"/>
      <c r="F1449" s="52"/>
      <c r="G1449" s="52"/>
      <c r="H1449" s="52"/>
      <c r="I1449" s="53"/>
      <c r="J1449" s="52"/>
      <c r="K1449" s="52"/>
      <c r="L1449" s="52"/>
      <c r="M1449" s="52"/>
      <c r="N1449" s="19"/>
      <c r="O1449" s="19"/>
      <c r="P1449" s="19"/>
      <c r="Q1449" s="19"/>
      <c r="R1449" s="19"/>
      <c r="S1449" s="19"/>
      <c r="T1449" s="19"/>
      <c r="U1449" s="19"/>
      <c r="V1449" s="19"/>
      <c r="W1449" s="19"/>
      <c r="X1449" s="19"/>
      <c r="Y1449" s="19"/>
      <c r="Z1449" s="19"/>
      <c r="AA1449" s="19"/>
      <c r="AB1449" s="19"/>
      <c r="AC1449" s="19"/>
      <c r="AD1449" s="19"/>
      <c r="AE1449" s="19"/>
      <c r="AF1449" s="19"/>
      <c r="AG1449" s="19"/>
      <c r="AH1449" s="19"/>
      <c r="AI1449" s="19"/>
      <c r="AJ1449" s="19"/>
      <c r="AK1449" s="19"/>
      <c r="AL1449" s="19"/>
      <c r="AM1449" s="19"/>
      <c r="AN1449" s="19"/>
      <c r="AO1449" s="19"/>
      <c r="AP1449" s="19"/>
      <c r="AQ1449" s="19"/>
      <c r="AR1449" s="19"/>
      <c r="AS1449" s="19"/>
      <c r="AT1449" s="19"/>
      <c r="AU1449" s="19"/>
      <c r="AV1449" s="19"/>
      <c r="AW1449" s="19"/>
      <c r="AX1449" s="19"/>
      <c r="GA1449" s="54"/>
    </row>
    <row r="1450" spans="1:183" s="18" customFormat="1">
      <c r="A1450" s="51"/>
      <c r="B1450" s="52"/>
      <c r="C1450" s="52"/>
      <c r="D1450" s="52"/>
      <c r="E1450" s="53"/>
      <c r="F1450" s="52"/>
      <c r="G1450" s="52"/>
      <c r="H1450" s="52"/>
      <c r="I1450" s="53"/>
      <c r="J1450" s="52"/>
      <c r="K1450" s="52"/>
      <c r="L1450" s="52"/>
      <c r="M1450" s="52"/>
      <c r="N1450" s="19"/>
      <c r="O1450" s="19"/>
      <c r="P1450" s="19"/>
      <c r="Q1450" s="19"/>
      <c r="R1450" s="19"/>
      <c r="S1450" s="19"/>
      <c r="T1450" s="19"/>
      <c r="U1450" s="19"/>
      <c r="V1450" s="19"/>
      <c r="W1450" s="19"/>
      <c r="X1450" s="19"/>
      <c r="Y1450" s="19"/>
      <c r="Z1450" s="19"/>
      <c r="AA1450" s="19"/>
      <c r="AB1450" s="19"/>
      <c r="AC1450" s="19"/>
      <c r="AD1450" s="19"/>
      <c r="AE1450" s="19"/>
      <c r="AF1450" s="19"/>
      <c r="AG1450" s="19"/>
      <c r="AH1450" s="19"/>
      <c r="AI1450" s="19"/>
      <c r="AJ1450" s="19"/>
      <c r="AK1450" s="19"/>
      <c r="AL1450" s="19"/>
      <c r="AM1450" s="19"/>
      <c r="AN1450" s="19"/>
      <c r="AO1450" s="19"/>
      <c r="AP1450" s="19"/>
      <c r="AQ1450" s="19"/>
      <c r="AR1450" s="19"/>
      <c r="AS1450" s="19"/>
      <c r="AT1450" s="19"/>
      <c r="AU1450" s="19"/>
      <c r="AV1450" s="19"/>
      <c r="AW1450" s="19"/>
      <c r="AX1450" s="19"/>
      <c r="GA1450" s="54"/>
    </row>
    <row r="1451" spans="1:183" s="18" customFormat="1">
      <c r="A1451" s="51"/>
      <c r="B1451" s="52"/>
      <c r="C1451" s="52"/>
      <c r="D1451" s="52"/>
      <c r="E1451" s="53"/>
      <c r="F1451" s="52"/>
      <c r="G1451" s="52"/>
      <c r="H1451" s="52"/>
      <c r="I1451" s="53"/>
      <c r="J1451" s="52"/>
      <c r="K1451" s="52"/>
      <c r="L1451" s="52"/>
      <c r="M1451" s="52"/>
      <c r="N1451" s="19"/>
      <c r="O1451" s="19"/>
      <c r="P1451" s="19"/>
      <c r="Q1451" s="19"/>
      <c r="R1451" s="19"/>
      <c r="S1451" s="19"/>
      <c r="T1451" s="19"/>
      <c r="U1451" s="19"/>
      <c r="V1451" s="19"/>
      <c r="W1451" s="19"/>
      <c r="X1451" s="19"/>
      <c r="Y1451" s="19"/>
      <c r="Z1451" s="19"/>
      <c r="AA1451" s="19"/>
      <c r="AB1451" s="19"/>
      <c r="AC1451" s="19"/>
      <c r="AD1451" s="19"/>
      <c r="AE1451" s="19"/>
      <c r="AF1451" s="19"/>
      <c r="AG1451" s="19"/>
      <c r="AH1451" s="19"/>
      <c r="AI1451" s="19"/>
      <c r="AJ1451" s="19"/>
      <c r="AK1451" s="19"/>
      <c r="AL1451" s="19"/>
      <c r="AM1451" s="19"/>
      <c r="AN1451" s="19"/>
      <c r="AO1451" s="19"/>
      <c r="AP1451" s="19"/>
      <c r="AQ1451" s="19"/>
      <c r="AR1451" s="19"/>
      <c r="AS1451" s="19"/>
      <c r="AT1451" s="19"/>
      <c r="AU1451" s="19"/>
      <c r="AV1451" s="19"/>
      <c r="AW1451" s="19"/>
      <c r="AX1451" s="19"/>
      <c r="GA1451" s="54"/>
    </row>
    <row r="1452" spans="1:183" s="18" customFormat="1">
      <c r="A1452" s="51"/>
      <c r="B1452" s="52"/>
      <c r="C1452" s="52"/>
      <c r="D1452" s="52"/>
      <c r="E1452" s="53"/>
      <c r="F1452" s="52"/>
      <c r="G1452" s="52"/>
      <c r="H1452" s="52"/>
      <c r="I1452" s="53"/>
      <c r="J1452" s="52"/>
      <c r="K1452" s="52"/>
      <c r="L1452" s="52"/>
      <c r="M1452" s="52"/>
      <c r="N1452" s="19"/>
      <c r="O1452" s="19"/>
      <c r="P1452" s="19"/>
      <c r="Q1452" s="19"/>
      <c r="R1452" s="19"/>
      <c r="S1452" s="19"/>
      <c r="T1452" s="19"/>
      <c r="U1452" s="19"/>
      <c r="V1452" s="19"/>
      <c r="W1452" s="19"/>
      <c r="X1452" s="19"/>
      <c r="Y1452" s="19"/>
      <c r="Z1452" s="19"/>
      <c r="AA1452" s="19"/>
      <c r="AB1452" s="19"/>
      <c r="AC1452" s="19"/>
      <c r="AD1452" s="19"/>
      <c r="AE1452" s="19"/>
      <c r="AF1452" s="19"/>
      <c r="AG1452" s="19"/>
      <c r="AH1452" s="19"/>
      <c r="AI1452" s="19"/>
      <c r="AJ1452" s="19"/>
      <c r="AK1452" s="19"/>
      <c r="AL1452" s="19"/>
      <c r="AM1452" s="19"/>
      <c r="AN1452" s="19"/>
      <c r="AO1452" s="19"/>
      <c r="AP1452" s="19"/>
      <c r="AQ1452" s="19"/>
      <c r="AR1452" s="19"/>
      <c r="AS1452" s="19"/>
      <c r="AT1452" s="19"/>
      <c r="AU1452" s="19"/>
      <c r="AV1452" s="19"/>
      <c r="AW1452" s="19"/>
      <c r="AX1452" s="19"/>
      <c r="GA1452" s="54"/>
    </row>
    <row r="1453" spans="1:183" s="18" customFormat="1">
      <c r="A1453" s="51"/>
      <c r="B1453" s="52"/>
      <c r="C1453" s="52"/>
      <c r="D1453" s="52"/>
      <c r="E1453" s="53"/>
      <c r="F1453" s="52"/>
      <c r="G1453" s="52"/>
      <c r="H1453" s="52"/>
      <c r="I1453" s="53"/>
      <c r="J1453" s="52"/>
      <c r="K1453" s="52"/>
      <c r="L1453" s="52"/>
      <c r="M1453" s="52"/>
      <c r="N1453" s="19"/>
      <c r="O1453" s="19"/>
      <c r="P1453" s="19"/>
      <c r="Q1453" s="19"/>
      <c r="R1453" s="19"/>
      <c r="S1453" s="19"/>
      <c r="T1453" s="19"/>
      <c r="U1453" s="19"/>
      <c r="V1453" s="19"/>
      <c r="W1453" s="19"/>
      <c r="X1453" s="19"/>
      <c r="Y1453" s="19"/>
      <c r="Z1453" s="19"/>
      <c r="AA1453" s="19"/>
      <c r="AB1453" s="19"/>
      <c r="AC1453" s="19"/>
      <c r="AD1453" s="19"/>
      <c r="AE1453" s="19"/>
      <c r="AF1453" s="19"/>
      <c r="AG1453" s="19"/>
      <c r="AH1453" s="19"/>
      <c r="AI1453" s="19"/>
      <c r="AJ1453" s="19"/>
      <c r="AK1453" s="19"/>
      <c r="AL1453" s="19"/>
      <c r="AM1453" s="19"/>
      <c r="AN1453" s="19"/>
      <c r="AO1453" s="19"/>
      <c r="AP1453" s="19"/>
      <c r="AQ1453" s="19"/>
      <c r="AR1453" s="19"/>
      <c r="AS1453" s="19"/>
      <c r="AT1453" s="19"/>
      <c r="AU1453" s="19"/>
      <c r="AV1453" s="19"/>
      <c r="AW1453" s="19"/>
      <c r="AX1453" s="19"/>
      <c r="GA1453" s="54"/>
    </row>
    <row r="1454" spans="1:183" s="18" customFormat="1">
      <c r="A1454" s="51"/>
      <c r="B1454" s="52"/>
      <c r="C1454" s="52"/>
      <c r="D1454" s="52"/>
      <c r="E1454" s="53"/>
      <c r="F1454" s="52"/>
      <c r="G1454" s="52"/>
      <c r="H1454" s="52"/>
      <c r="I1454" s="53"/>
      <c r="J1454" s="52"/>
      <c r="K1454" s="52"/>
      <c r="L1454" s="52"/>
      <c r="M1454" s="52"/>
      <c r="N1454" s="19"/>
      <c r="O1454" s="19"/>
      <c r="P1454" s="19"/>
      <c r="Q1454" s="19"/>
      <c r="R1454" s="19"/>
      <c r="S1454" s="19"/>
      <c r="T1454" s="19"/>
      <c r="U1454" s="19"/>
      <c r="V1454" s="19"/>
      <c r="W1454" s="19"/>
      <c r="X1454" s="19"/>
      <c r="Y1454" s="19"/>
      <c r="Z1454" s="19"/>
      <c r="AA1454" s="19"/>
      <c r="AB1454" s="19"/>
      <c r="AC1454" s="19"/>
      <c r="AD1454" s="19"/>
      <c r="AE1454" s="19"/>
      <c r="AF1454" s="19"/>
      <c r="AG1454" s="19"/>
      <c r="AH1454" s="19"/>
      <c r="AI1454" s="19"/>
      <c r="AJ1454" s="19"/>
      <c r="AK1454" s="19"/>
      <c r="AL1454" s="19"/>
      <c r="AM1454" s="19"/>
      <c r="AN1454" s="19"/>
      <c r="AO1454" s="19"/>
      <c r="AP1454" s="19"/>
      <c r="AQ1454" s="19"/>
      <c r="AR1454" s="19"/>
      <c r="AS1454" s="19"/>
      <c r="AT1454" s="19"/>
      <c r="AU1454" s="19"/>
      <c r="AV1454" s="19"/>
      <c r="AW1454" s="19"/>
      <c r="AX1454" s="19"/>
      <c r="GA1454" s="54"/>
    </row>
    <row r="1455" spans="1:183" s="18" customFormat="1">
      <c r="A1455" s="51"/>
      <c r="B1455" s="52"/>
      <c r="C1455" s="52"/>
      <c r="D1455" s="52"/>
      <c r="E1455" s="53"/>
      <c r="F1455" s="52"/>
      <c r="G1455" s="52"/>
      <c r="H1455" s="52"/>
      <c r="I1455" s="53"/>
      <c r="J1455" s="52"/>
      <c r="K1455" s="52"/>
      <c r="L1455" s="52"/>
      <c r="M1455" s="52"/>
      <c r="N1455" s="19"/>
      <c r="O1455" s="19"/>
      <c r="P1455" s="19"/>
      <c r="Q1455" s="19"/>
      <c r="R1455" s="19"/>
      <c r="S1455" s="19"/>
      <c r="T1455" s="19"/>
      <c r="U1455" s="19"/>
      <c r="V1455" s="19"/>
      <c r="W1455" s="19"/>
      <c r="X1455" s="19"/>
      <c r="Y1455" s="19"/>
      <c r="Z1455" s="19"/>
      <c r="AA1455" s="19"/>
      <c r="AB1455" s="19"/>
      <c r="AC1455" s="19"/>
      <c r="AD1455" s="19"/>
      <c r="AE1455" s="19"/>
      <c r="AF1455" s="19"/>
      <c r="AG1455" s="19"/>
      <c r="AH1455" s="19"/>
      <c r="AI1455" s="19"/>
      <c r="AJ1455" s="19"/>
      <c r="AK1455" s="19"/>
      <c r="AL1455" s="19"/>
      <c r="AM1455" s="19"/>
      <c r="AN1455" s="19"/>
      <c r="AO1455" s="19"/>
      <c r="AP1455" s="19"/>
      <c r="AQ1455" s="19"/>
      <c r="AR1455" s="19"/>
      <c r="AS1455" s="19"/>
      <c r="AT1455" s="19"/>
      <c r="AU1455" s="19"/>
      <c r="AV1455" s="19"/>
      <c r="AW1455" s="19"/>
      <c r="AX1455" s="19"/>
      <c r="GA1455" s="54"/>
    </row>
    <row r="1456" spans="1:183" s="18" customFormat="1">
      <c r="A1456" s="51"/>
      <c r="B1456" s="52"/>
      <c r="C1456" s="52"/>
      <c r="D1456" s="52"/>
      <c r="E1456" s="53"/>
      <c r="F1456" s="52"/>
      <c r="G1456" s="52"/>
      <c r="H1456" s="52"/>
      <c r="I1456" s="53"/>
      <c r="J1456" s="52"/>
      <c r="K1456" s="52"/>
      <c r="L1456" s="52"/>
      <c r="M1456" s="52"/>
      <c r="N1456" s="19"/>
      <c r="O1456" s="19"/>
      <c r="P1456" s="19"/>
      <c r="Q1456" s="19"/>
      <c r="R1456" s="19"/>
      <c r="S1456" s="19"/>
      <c r="T1456" s="19"/>
      <c r="U1456" s="19"/>
      <c r="V1456" s="19"/>
      <c r="W1456" s="19"/>
      <c r="X1456" s="19"/>
      <c r="Y1456" s="19"/>
      <c r="Z1456" s="19"/>
      <c r="AA1456" s="19"/>
      <c r="AB1456" s="19"/>
      <c r="AC1456" s="19"/>
      <c r="AD1456" s="19"/>
      <c r="AE1456" s="19"/>
      <c r="AF1456" s="19"/>
      <c r="AG1456" s="19"/>
      <c r="AH1456" s="19"/>
      <c r="AI1456" s="19"/>
      <c r="AJ1456" s="19"/>
      <c r="AK1456" s="19"/>
      <c r="AL1456" s="19"/>
      <c r="AM1456" s="19"/>
      <c r="AN1456" s="19"/>
      <c r="AO1456" s="19"/>
      <c r="AP1456" s="19"/>
      <c r="AQ1456" s="19"/>
      <c r="AR1456" s="19"/>
      <c r="AS1456" s="19"/>
      <c r="AT1456" s="19"/>
      <c r="AU1456" s="19"/>
      <c r="AV1456" s="19"/>
      <c r="AW1456" s="19"/>
      <c r="AX1456" s="19"/>
      <c r="GA1456" s="54"/>
    </row>
    <row r="1457" spans="1:183" s="18" customFormat="1">
      <c r="A1457" s="51"/>
      <c r="B1457" s="52"/>
      <c r="C1457" s="52"/>
      <c r="D1457" s="52"/>
      <c r="E1457" s="53"/>
      <c r="F1457" s="52"/>
      <c r="G1457" s="52"/>
      <c r="H1457" s="52"/>
      <c r="I1457" s="53"/>
      <c r="J1457" s="52"/>
      <c r="K1457" s="52"/>
      <c r="L1457" s="52"/>
      <c r="M1457" s="52"/>
      <c r="N1457" s="19"/>
      <c r="O1457" s="19"/>
      <c r="P1457" s="19"/>
      <c r="Q1457" s="19"/>
      <c r="R1457" s="19"/>
      <c r="S1457" s="19"/>
      <c r="T1457" s="19"/>
      <c r="U1457" s="19"/>
      <c r="V1457" s="19"/>
      <c r="W1457" s="19"/>
      <c r="X1457" s="19"/>
      <c r="Y1457" s="19"/>
      <c r="Z1457" s="19"/>
      <c r="AA1457" s="19"/>
      <c r="AB1457" s="19"/>
      <c r="AC1457" s="19"/>
      <c r="AD1457" s="19"/>
      <c r="AE1457" s="19"/>
      <c r="AF1457" s="19"/>
      <c r="AG1457" s="19"/>
      <c r="AH1457" s="19"/>
      <c r="AI1457" s="19"/>
      <c r="AJ1457" s="19"/>
      <c r="AK1457" s="19"/>
      <c r="AL1457" s="19"/>
      <c r="AM1457" s="19"/>
      <c r="AN1457" s="19"/>
      <c r="AO1457" s="19"/>
      <c r="AP1457" s="19"/>
      <c r="AQ1457" s="19"/>
      <c r="AR1457" s="19"/>
      <c r="AS1457" s="19"/>
      <c r="AT1457" s="19"/>
      <c r="AU1457" s="19"/>
      <c r="AV1457" s="19"/>
      <c r="AW1457" s="19"/>
      <c r="AX1457" s="19"/>
      <c r="GA1457" s="54"/>
    </row>
    <row r="1458" spans="1:183" s="18" customFormat="1">
      <c r="A1458" s="51"/>
      <c r="B1458" s="52"/>
      <c r="C1458" s="52"/>
      <c r="D1458" s="52"/>
      <c r="E1458" s="53"/>
      <c r="F1458" s="52"/>
      <c r="G1458" s="52"/>
      <c r="H1458" s="52"/>
      <c r="I1458" s="53"/>
      <c r="J1458" s="52"/>
      <c r="K1458" s="52"/>
      <c r="L1458" s="52"/>
      <c r="M1458" s="52"/>
      <c r="N1458" s="19"/>
      <c r="O1458" s="19"/>
      <c r="P1458" s="19"/>
      <c r="Q1458" s="19"/>
      <c r="R1458" s="19"/>
      <c r="S1458" s="19"/>
      <c r="T1458" s="19"/>
      <c r="U1458" s="19"/>
      <c r="V1458" s="19"/>
      <c r="W1458" s="19"/>
      <c r="X1458" s="19"/>
      <c r="Y1458" s="19"/>
      <c r="Z1458" s="19"/>
      <c r="AA1458" s="19"/>
      <c r="AB1458" s="19"/>
      <c r="AC1458" s="19"/>
      <c r="AD1458" s="19"/>
      <c r="AE1458" s="19"/>
      <c r="AF1458" s="19"/>
      <c r="AG1458" s="19"/>
      <c r="AH1458" s="19"/>
      <c r="AI1458" s="19"/>
      <c r="AJ1458" s="19"/>
      <c r="AK1458" s="19"/>
      <c r="AL1458" s="19"/>
      <c r="AM1458" s="19"/>
      <c r="AN1458" s="19"/>
      <c r="AO1458" s="19"/>
      <c r="AP1458" s="19"/>
      <c r="AQ1458" s="19"/>
      <c r="AR1458" s="19"/>
      <c r="AS1458" s="19"/>
      <c r="AT1458" s="19"/>
      <c r="AU1458" s="19"/>
      <c r="AV1458" s="19"/>
      <c r="AW1458" s="19"/>
      <c r="AX1458" s="19"/>
      <c r="GA1458" s="54"/>
    </row>
    <row r="1459" spans="1:183" s="18" customFormat="1">
      <c r="A1459" s="51"/>
      <c r="B1459" s="52"/>
      <c r="C1459" s="52"/>
      <c r="D1459" s="52"/>
      <c r="E1459" s="53"/>
      <c r="F1459" s="52"/>
      <c r="G1459" s="52"/>
      <c r="H1459" s="52"/>
      <c r="I1459" s="53"/>
      <c r="J1459" s="52"/>
      <c r="K1459" s="52"/>
      <c r="L1459" s="52"/>
      <c r="M1459" s="52"/>
      <c r="N1459" s="19"/>
      <c r="O1459" s="19"/>
      <c r="P1459" s="19"/>
      <c r="Q1459" s="19"/>
      <c r="R1459" s="19"/>
      <c r="S1459" s="19"/>
      <c r="T1459" s="19"/>
      <c r="U1459" s="19"/>
      <c r="V1459" s="19"/>
      <c r="W1459" s="19"/>
      <c r="X1459" s="19"/>
      <c r="Y1459" s="19"/>
      <c r="Z1459" s="19"/>
      <c r="AA1459" s="19"/>
      <c r="AB1459" s="19"/>
      <c r="AC1459" s="19"/>
      <c r="AD1459" s="19"/>
      <c r="AE1459" s="19"/>
      <c r="AF1459" s="19"/>
      <c r="AG1459" s="19"/>
      <c r="AH1459" s="19"/>
      <c r="AI1459" s="19"/>
      <c r="AJ1459" s="19"/>
      <c r="AK1459" s="19"/>
      <c r="AL1459" s="19"/>
      <c r="AM1459" s="19"/>
      <c r="AN1459" s="19"/>
      <c r="AO1459" s="19"/>
      <c r="AP1459" s="19"/>
      <c r="AQ1459" s="19"/>
      <c r="AR1459" s="19"/>
      <c r="AS1459" s="19"/>
      <c r="AT1459" s="19"/>
      <c r="AU1459" s="19"/>
      <c r="AV1459" s="19"/>
      <c r="AW1459" s="19"/>
      <c r="AX1459" s="19"/>
      <c r="GA1459" s="54"/>
    </row>
    <row r="1460" spans="1:183" s="18" customFormat="1">
      <c r="A1460" s="51"/>
      <c r="B1460" s="52"/>
      <c r="C1460" s="52"/>
      <c r="D1460" s="52"/>
      <c r="E1460" s="53"/>
      <c r="F1460" s="52"/>
      <c r="G1460" s="52"/>
      <c r="H1460" s="52"/>
      <c r="I1460" s="53"/>
      <c r="J1460" s="52"/>
      <c r="K1460" s="52"/>
      <c r="L1460" s="52"/>
      <c r="M1460" s="52"/>
      <c r="N1460" s="19"/>
      <c r="O1460" s="19"/>
      <c r="P1460" s="19"/>
      <c r="Q1460" s="19"/>
      <c r="R1460" s="19"/>
      <c r="S1460" s="19"/>
      <c r="T1460" s="19"/>
      <c r="U1460" s="19"/>
      <c r="V1460" s="19"/>
      <c r="W1460" s="19"/>
      <c r="X1460" s="19"/>
      <c r="Y1460" s="19"/>
      <c r="Z1460" s="19"/>
      <c r="AA1460" s="19"/>
      <c r="AB1460" s="19"/>
      <c r="AC1460" s="19"/>
      <c r="AD1460" s="19"/>
      <c r="AE1460" s="19"/>
      <c r="AF1460" s="19"/>
      <c r="AG1460" s="19"/>
      <c r="AH1460" s="19"/>
      <c r="AI1460" s="19"/>
      <c r="AJ1460" s="19"/>
      <c r="AK1460" s="19"/>
      <c r="AL1460" s="19"/>
      <c r="AM1460" s="19"/>
      <c r="AN1460" s="19"/>
      <c r="AO1460" s="19"/>
      <c r="AP1460" s="19"/>
      <c r="AQ1460" s="19"/>
      <c r="AR1460" s="19"/>
      <c r="AS1460" s="19"/>
      <c r="AT1460" s="19"/>
      <c r="AU1460" s="19"/>
      <c r="AV1460" s="19"/>
      <c r="AW1460" s="19"/>
      <c r="AX1460" s="19"/>
      <c r="GA1460" s="54"/>
    </row>
    <row r="1461" spans="1:183" s="18" customFormat="1">
      <c r="A1461" s="51"/>
      <c r="B1461" s="52"/>
      <c r="C1461" s="52"/>
      <c r="D1461" s="52"/>
      <c r="E1461" s="53"/>
      <c r="F1461" s="52"/>
      <c r="G1461" s="52"/>
      <c r="H1461" s="52"/>
      <c r="I1461" s="53"/>
      <c r="J1461" s="52"/>
      <c r="K1461" s="52"/>
      <c r="L1461" s="52"/>
      <c r="M1461" s="52"/>
      <c r="N1461" s="19"/>
      <c r="O1461" s="19"/>
      <c r="P1461" s="19"/>
      <c r="Q1461" s="19"/>
      <c r="R1461" s="19"/>
      <c r="S1461" s="19"/>
      <c r="T1461" s="19"/>
      <c r="U1461" s="19"/>
      <c r="V1461" s="19"/>
      <c r="W1461" s="19"/>
      <c r="X1461" s="19"/>
      <c r="Y1461" s="19"/>
      <c r="Z1461" s="19"/>
      <c r="AA1461" s="19"/>
      <c r="AB1461" s="19"/>
      <c r="AC1461" s="19"/>
      <c r="AD1461" s="19"/>
      <c r="AE1461" s="19"/>
      <c r="AF1461" s="19"/>
      <c r="AG1461" s="19"/>
      <c r="AH1461" s="19"/>
      <c r="AI1461" s="19"/>
      <c r="AJ1461" s="19"/>
      <c r="AK1461" s="19"/>
      <c r="AL1461" s="19"/>
      <c r="AM1461" s="19"/>
      <c r="AN1461" s="19"/>
      <c r="AO1461" s="19"/>
      <c r="AP1461" s="19"/>
      <c r="AQ1461" s="19"/>
      <c r="AR1461" s="19"/>
      <c r="AS1461" s="19"/>
      <c r="AT1461" s="19"/>
      <c r="AU1461" s="19"/>
      <c r="AV1461" s="19"/>
      <c r="AW1461" s="19"/>
      <c r="AX1461" s="19"/>
      <c r="GA1461" s="54"/>
    </row>
    <row r="1462" spans="1:183" s="18" customFormat="1">
      <c r="A1462" s="51"/>
      <c r="B1462" s="52"/>
      <c r="C1462" s="52"/>
      <c r="D1462" s="52"/>
      <c r="E1462" s="53"/>
      <c r="F1462" s="52"/>
      <c r="G1462" s="52"/>
      <c r="H1462" s="52"/>
      <c r="I1462" s="53"/>
      <c r="J1462" s="52"/>
      <c r="K1462" s="52"/>
      <c r="L1462" s="52"/>
      <c r="M1462" s="52"/>
      <c r="N1462" s="19"/>
      <c r="O1462" s="19"/>
      <c r="P1462" s="19"/>
      <c r="Q1462" s="19"/>
      <c r="R1462" s="19"/>
      <c r="S1462" s="19"/>
      <c r="T1462" s="19"/>
      <c r="U1462" s="19"/>
      <c r="V1462" s="19"/>
      <c r="W1462" s="19"/>
      <c r="X1462" s="19"/>
      <c r="Y1462" s="19"/>
      <c r="Z1462" s="19"/>
      <c r="AA1462" s="19"/>
      <c r="AB1462" s="19"/>
      <c r="AC1462" s="19"/>
      <c r="AD1462" s="19"/>
      <c r="AE1462" s="19"/>
      <c r="AF1462" s="19"/>
      <c r="AG1462" s="19"/>
      <c r="AH1462" s="19"/>
      <c r="AI1462" s="19"/>
      <c r="AJ1462" s="19"/>
      <c r="AK1462" s="19"/>
      <c r="AL1462" s="19"/>
      <c r="AM1462" s="19"/>
      <c r="AN1462" s="19"/>
      <c r="AO1462" s="19"/>
      <c r="AP1462" s="19"/>
      <c r="AQ1462" s="19"/>
      <c r="AR1462" s="19"/>
      <c r="AS1462" s="19"/>
      <c r="AT1462" s="19"/>
      <c r="AU1462" s="19"/>
      <c r="AV1462" s="19"/>
      <c r="AW1462" s="19"/>
      <c r="AX1462" s="19"/>
      <c r="GA1462" s="54"/>
    </row>
    <row r="1463" spans="1:183" s="18" customFormat="1">
      <c r="A1463" s="51"/>
      <c r="B1463" s="52"/>
      <c r="C1463" s="52"/>
      <c r="D1463" s="52"/>
      <c r="E1463" s="53"/>
      <c r="F1463" s="52"/>
      <c r="G1463" s="52"/>
      <c r="H1463" s="52"/>
      <c r="I1463" s="53"/>
      <c r="J1463" s="52"/>
      <c r="K1463" s="52"/>
      <c r="L1463" s="52"/>
      <c r="M1463" s="52"/>
      <c r="N1463" s="19"/>
      <c r="O1463" s="19"/>
      <c r="P1463" s="19"/>
      <c r="Q1463" s="19"/>
      <c r="R1463" s="19"/>
      <c r="S1463" s="19"/>
      <c r="T1463" s="19"/>
      <c r="U1463" s="19"/>
      <c r="V1463" s="19"/>
      <c r="W1463" s="19"/>
      <c r="X1463" s="19"/>
      <c r="Y1463" s="19"/>
      <c r="Z1463" s="19"/>
      <c r="AA1463" s="19"/>
      <c r="AB1463" s="19"/>
      <c r="AC1463" s="19"/>
      <c r="AD1463" s="19"/>
      <c r="AE1463" s="19"/>
      <c r="AF1463" s="19"/>
      <c r="AG1463" s="19"/>
      <c r="AH1463" s="19"/>
      <c r="AI1463" s="19"/>
      <c r="AJ1463" s="19"/>
      <c r="AK1463" s="19"/>
      <c r="AL1463" s="19"/>
      <c r="AM1463" s="19"/>
      <c r="AN1463" s="19"/>
      <c r="AO1463" s="19"/>
      <c r="AP1463" s="19"/>
      <c r="AQ1463" s="19"/>
      <c r="AR1463" s="19"/>
      <c r="AS1463" s="19"/>
      <c r="AT1463" s="19"/>
      <c r="AU1463" s="19"/>
      <c r="AV1463" s="19"/>
      <c r="AW1463" s="19"/>
      <c r="AX1463" s="19"/>
      <c r="GA1463" s="54"/>
    </row>
    <row r="1464" spans="1:183" s="18" customFormat="1">
      <c r="A1464" s="51"/>
      <c r="B1464" s="52"/>
      <c r="C1464" s="52"/>
      <c r="D1464" s="52"/>
      <c r="E1464" s="53"/>
      <c r="F1464" s="52"/>
      <c r="G1464" s="52"/>
      <c r="H1464" s="52"/>
      <c r="I1464" s="53"/>
      <c r="J1464" s="52"/>
      <c r="K1464" s="52"/>
      <c r="L1464" s="52"/>
      <c r="M1464" s="52"/>
      <c r="N1464" s="19"/>
      <c r="O1464" s="19"/>
      <c r="P1464" s="19"/>
      <c r="Q1464" s="19"/>
      <c r="R1464" s="19"/>
      <c r="S1464" s="19"/>
      <c r="T1464" s="19"/>
      <c r="U1464" s="19"/>
      <c r="V1464" s="19"/>
      <c r="W1464" s="19"/>
      <c r="X1464" s="19"/>
      <c r="Y1464" s="19"/>
      <c r="Z1464" s="19"/>
      <c r="AA1464" s="19"/>
      <c r="AB1464" s="19"/>
      <c r="AC1464" s="19"/>
      <c r="AD1464" s="19"/>
      <c r="AE1464" s="19"/>
      <c r="AF1464" s="19"/>
      <c r="AG1464" s="19"/>
      <c r="AH1464" s="19"/>
      <c r="AI1464" s="19"/>
      <c r="AJ1464" s="19"/>
      <c r="AK1464" s="19"/>
      <c r="AL1464" s="19"/>
      <c r="AM1464" s="19"/>
      <c r="AN1464" s="19"/>
      <c r="AO1464" s="19"/>
      <c r="AP1464" s="19"/>
      <c r="AQ1464" s="19"/>
      <c r="AR1464" s="19"/>
      <c r="AS1464" s="19"/>
      <c r="AT1464" s="19"/>
      <c r="AU1464" s="19"/>
      <c r="AV1464" s="19"/>
      <c r="AW1464" s="19"/>
      <c r="AX1464" s="19"/>
      <c r="GA1464" s="54"/>
    </row>
    <row r="1465" spans="1:183" s="18" customFormat="1">
      <c r="A1465" s="51"/>
      <c r="B1465" s="52"/>
      <c r="C1465" s="52"/>
      <c r="D1465" s="52"/>
      <c r="E1465" s="53"/>
      <c r="F1465" s="52"/>
      <c r="G1465" s="52"/>
      <c r="H1465" s="52"/>
      <c r="I1465" s="53"/>
      <c r="J1465" s="52"/>
      <c r="K1465" s="52"/>
      <c r="L1465" s="52"/>
      <c r="M1465" s="52"/>
      <c r="N1465" s="19"/>
      <c r="O1465" s="19"/>
      <c r="P1465" s="19"/>
      <c r="Q1465" s="19"/>
      <c r="R1465" s="19"/>
      <c r="S1465" s="19"/>
      <c r="T1465" s="19"/>
      <c r="U1465" s="19"/>
      <c r="V1465" s="19"/>
      <c r="W1465" s="19"/>
      <c r="X1465" s="19"/>
      <c r="Y1465" s="19"/>
      <c r="Z1465" s="19"/>
      <c r="AA1465" s="19"/>
      <c r="AB1465" s="19"/>
      <c r="AC1465" s="19"/>
      <c r="AD1465" s="19"/>
      <c r="AE1465" s="19"/>
      <c r="AF1465" s="19"/>
      <c r="AG1465" s="19"/>
      <c r="AH1465" s="19"/>
      <c r="AI1465" s="19"/>
      <c r="AJ1465" s="19"/>
      <c r="AK1465" s="19"/>
      <c r="AL1465" s="19"/>
      <c r="AM1465" s="19"/>
      <c r="AN1465" s="19"/>
      <c r="AO1465" s="19"/>
      <c r="AP1465" s="19"/>
      <c r="AQ1465" s="19"/>
      <c r="AR1465" s="19"/>
      <c r="AS1465" s="19"/>
      <c r="AT1465" s="19"/>
      <c r="AU1465" s="19"/>
      <c r="AV1465" s="19"/>
      <c r="AW1465" s="19"/>
      <c r="AX1465" s="19"/>
      <c r="GA1465" s="54"/>
    </row>
    <row r="1466" spans="1:183" s="18" customFormat="1">
      <c r="A1466" s="51"/>
      <c r="B1466" s="52"/>
      <c r="C1466" s="52"/>
      <c r="D1466" s="52"/>
      <c r="E1466" s="53"/>
      <c r="F1466" s="52"/>
      <c r="G1466" s="52"/>
      <c r="H1466" s="52"/>
      <c r="I1466" s="53"/>
      <c r="J1466" s="52"/>
      <c r="K1466" s="52"/>
      <c r="L1466" s="52"/>
      <c r="M1466" s="52"/>
      <c r="N1466" s="19"/>
      <c r="O1466" s="19"/>
      <c r="P1466" s="19"/>
      <c r="Q1466" s="19"/>
      <c r="R1466" s="19"/>
      <c r="S1466" s="19"/>
      <c r="T1466" s="19"/>
      <c r="U1466" s="19"/>
      <c r="V1466" s="19"/>
      <c r="W1466" s="19"/>
      <c r="X1466" s="19"/>
      <c r="Y1466" s="19"/>
      <c r="Z1466" s="19"/>
      <c r="AA1466" s="19"/>
      <c r="AB1466" s="19"/>
      <c r="AC1466" s="19"/>
      <c r="AD1466" s="19"/>
      <c r="AE1466" s="19"/>
      <c r="AF1466" s="19"/>
      <c r="AG1466" s="19"/>
      <c r="AH1466" s="19"/>
      <c r="AI1466" s="19"/>
      <c r="AJ1466" s="19"/>
      <c r="AK1466" s="19"/>
      <c r="AL1466" s="19"/>
      <c r="AM1466" s="19"/>
      <c r="AN1466" s="19"/>
      <c r="AO1466" s="19"/>
      <c r="AP1466" s="19"/>
      <c r="AQ1466" s="19"/>
      <c r="AR1466" s="19"/>
      <c r="AS1466" s="19"/>
      <c r="AT1466" s="19"/>
      <c r="AU1466" s="19"/>
      <c r="AV1466" s="19"/>
      <c r="AW1466" s="19"/>
      <c r="AX1466" s="19"/>
      <c r="GA1466" s="54"/>
    </row>
    <row r="1467" spans="1:183" s="18" customFormat="1">
      <c r="A1467" s="51"/>
      <c r="B1467" s="52"/>
      <c r="C1467" s="52"/>
      <c r="D1467" s="52"/>
      <c r="E1467" s="53"/>
      <c r="F1467" s="52"/>
      <c r="G1467" s="52"/>
      <c r="H1467" s="52"/>
      <c r="I1467" s="53"/>
      <c r="J1467" s="52"/>
      <c r="K1467" s="52"/>
      <c r="L1467" s="52"/>
      <c r="M1467" s="52"/>
      <c r="N1467" s="19"/>
      <c r="O1467" s="19"/>
      <c r="P1467" s="19"/>
      <c r="Q1467" s="19"/>
      <c r="R1467" s="19"/>
      <c r="S1467" s="19"/>
      <c r="T1467" s="19"/>
      <c r="U1467" s="19"/>
      <c r="V1467" s="19"/>
      <c r="W1467" s="19"/>
      <c r="X1467" s="19"/>
      <c r="Y1467" s="19"/>
      <c r="Z1467" s="19"/>
      <c r="AA1467" s="19"/>
      <c r="AB1467" s="19"/>
      <c r="AC1467" s="19"/>
      <c r="AD1467" s="19"/>
      <c r="AE1467" s="19"/>
      <c r="AF1467" s="19"/>
      <c r="AG1467" s="19"/>
      <c r="AH1467" s="19"/>
      <c r="AI1467" s="19"/>
      <c r="AJ1467" s="19"/>
      <c r="AK1467" s="19"/>
      <c r="AL1467" s="19"/>
      <c r="AM1467" s="19"/>
      <c r="AN1467" s="19"/>
      <c r="AO1467" s="19"/>
      <c r="AP1467" s="19"/>
      <c r="AQ1467" s="19"/>
      <c r="AR1467" s="19"/>
      <c r="AS1467" s="19"/>
      <c r="AT1467" s="19"/>
      <c r="AU1467" s="19"/>
      <c r="AV1467" s="19"/>
      <c r="AW1467" s="19"/>
      <c r="AX1467" s="19"/>
      <c r="GA1467" s="54"/>
    </row>
    <row r="1468" spans="1:183" s="18" customFormat="1">
      <c r="A1468" s="51"/>
      <c r="B1468" s="52"/>
      <c r="C1468" s="52"/>
      <c r="D1468" s="52"/>
      <c r="E1468" s="53"/>
      <c r="F1468" s="52"/>
      <c r="G1468" s="52"/>
      <c r="H1468" s="52"/>
      <c r="I1468" s="53"/>
      <c r="J1468" s="52"/>
      <c r="K1468" s="52"/>
      <c r="L1468" s="52"/>
      <c r="M1468" s="52"/>
      <c r="N1468" s="19"/>
      <c r="O1468" s="19"/>
      <c r="P1468" s="19"/>
      <c r="Q1468" s="19"/>
      <c r="R1468" s="19"/>
      <c r="S1468" s="19"/>
      <c r="T1468" s="19"/>
      <c r="U1468" s="19"/>
      <c r="V1468" s="19"/>
      <c r="W1468" s="19"/>
      <c r="X1468" s="19"/>
      <c r="Y1468" s="19"/>
      <c r="Z1468" s="19"/>
      <c r="AA1468" s="19"/>
      <c r="AB1468" s="19"/>
      <c r="AC1468" s="19"/>
      <c r="AD1468" s="19"/>
      <c r="AE1468" s="19"/>
      <c r="AF1468" s="19"/>
      <c r="AG1468" s="19"/>
      <c r="AH1468" s="19"/>
      <c r="AI1468" s="19"/>
      <c r="AJ1468" s="19"/>
      <c r="AK1468" s="19"/>
      <c r="AL1468" s="19"/>
      <c r="AM1468" s="19"/>
      <c r="AN1468" s="19"/>
      <c r="AO1468" s="19"/>
      <c r="AP1468" s="19"/>
      <c r="AQ1468" s="19"/>
      <c r="AR1468" s="19"/>
      <c r="AS1468" s="19"/>
      <c r="AT1468" s="19"/>
      <c r="AU1468" s="19"/>
      <c r="AV1468" s="19"/>
      <c r="AW1468" s="19"/>
      <c r="AX1468" s="19"/>
      <c r="GA1468" s="54"/>
    </row>
    <row r="1469" spans="1:183" s="18" customFormat="1">
      <c r="A1469" s="51"/>
      <c r="B1469" s="52"/>
      <c r="C1469" s="52"/>
      <c r="D1469" s="52"/>
      <c r="E1469" s="53"/>
      <c r="F1469" s="52"/>
      <c r="G1469" s="52"/>
      <c r="H1469" s="52"/>
      <c r="I1469" s="53"/>
      <c r="J1469" s="52"/>
      <c r="K1469" s="52"/>
      <c r="L1469" s="52"/>
      <c r="M1469" s="52"/>
      <c r="N1469" s="19"/>
      <c r="O1469" s="19"/>
      <c r="P1469" s="19"/>
      <c r="Q1469" s="19"/>
      <c r="R1469" s="19"/>
      <c r="S1469" s="19"/>
      <c r="T1469" s="19"/>
      <c r="U1469" s="19"/>
      <c r="V1469" s="19"/>
      <c r="W1469" s="19"/>
      <c r="X1469" s="19"/>
      <c r="Y1469" s="19"/>
      <c r="Z1469" s="19"/>
      <c r="AA1469" s="19"/>
      <c r="AB1469" s="19"/>
      <c r="AC1469" s="19"/>
      <c r="AD1469" s="19"/>
      <c r="AE1469" s="19"/>
      <c r="AF1469" s="19"/>
      <c r="AG1469" s="19"/>
      <c r="AH1469" s="19"/>
      <c r="AI1469" s="19"/>
      <c r="AJ1469" s="19"/>
      <c r="AK1469" s="19"/>
      <c r="AL1469" s="19"/>
      <c r="AM1469" s="19"/>
      <c r="AN1469" s="19"/>
      <c r="AO1469" s="19"/>
      <c r="AP1469" s="19"/>
      <c r="AQ1469" s="19"/>
      <c r="AR1469" s="19"/>
      <c r="AS1469" s="19"/>
      <c r="AT1469" s="19"/>
      <c r="AU1469" s="19"/>
      <c r="AV1469" s="19"/>
      <c r="AW1469" s="19"/>
      <c r="AX1469" s="19"/>
      <c r="GA1469" s="54"/>
    </row>
    <row r="1470" spans="1:183" s="18" customFormat="1">
      <c r="A1470" s="51"/>
      <c r="B1470" s="52"/>
      <c r="C1470" s="52"/>
      <c r="D1470" s="52"/>
      <c r="E1470" s="53"/>
      <c r="F1470" s="52"/>
      <c r="G1470" s="52"/>
      <c r="H1470" s="52"/>
      <c r="I1470" s="53"/>
      <c r="J1470" s="52"/>
      <c r="K1470" s="52"/>
      <c r="L1470" s="52"/>
      <c r="M1470" s="52"/>
      <c r="N1470" s="19"/>
      <c r="O1470" s="19"/>
      <c r="P1470" s="19"/>
      <c r="Q1470" s="19"/>
      <c r="R1470" s="19"/>
      <c r="S1470" s="19"/>
      <c r="T1470" s="19"/>
      <c r="U1470" s="19"/>
      <c r="V1470" s="19"/>
      <c r="W1470" s="19"/>
      <c r="X1470" s="19"/>
      <c r="Y1470" s="19"/>
      <c r="Z1470" s="19"/>
      <c r="AA1470" s="19"/>
      <c r="AB1470" s="19"/>
      <c r="AC1470" s="19"/>
      <c r="AD1470" s="19"/>
      <c r="AE1470" s="19"/>
      <c r="AF1470" s="19"/>
      <c r="AG1470" s="19"/>
      <c r="AH1470" s="19"/>
      <c r="AI1470" s="19"/>
      <c r="AJ1470" s="19"/>
      <c r="AK1470" s="19"/>
      <c r="AL1470" s="19"/>
      <c r="AM1470" s="19"/>
      <c r="AN1470" s="19"/>
      <c r="AO1470" s="19"/>
      <c r="AP1470" s="19"/>
      <c r="AQ1470" s="19"/>
      <c r="AR1470" s="19"/>
      <c r="AS1470" s="19"/>
      <c r="AT1470" s="19"/>
      <c r="AU1470" s="19"/>
      <c r="AV1470" s="19"/>
      <c r="AW1470" s="19"/>
      <c r="AX1470" s="19"/>
      <c r="GA1470" s="54"/>
    </row>
    <row r="1471" spans="1:183" s="18" customFormat="1">
      <c r="A1471" s="51"/>
      <c r="B1471" s="52"/>
      <c r="C1471" s="52"/>
      <c r="D1471" s="52"/>
      <c r="E1471" s="53"/>
      <c r="F1471" s="52"/>
      <c r="G1471" s="52"/>
      <c r="H1471" s="52"/>
      <c r="I1471" s="53"/>
      <c r="J1471" s="52"/>
      <c r="K1471" s="52"/>
      <c r="L1471" s="52"/>
      <c r="M1471" s="52"/>
      <c r="N1471" s="19"/>
      <c r="O1471" s="19"/>
      <c r="P1471" s="19"/>
      <c r="Q1471" s="19"/>
      <c r="R1471" s="19"/>
      <c r="S1471" s="19"/>
      <c r="T1471" s="19"/>
      <c r="U1471" s="19"/>
      <c r="V1471" s="19"/>
      <c r="W1471" s="19"/>
      <c r="X1471" s="19"/>
      <c r="Y1471" s="19"/>
      <c r="Z1471" s="19"/>
      <c r="AA1471" s="19"/>
      <c r="AB1471" s="19"/>
      <c r="AC1471" s="19"/>
      <c r="AD1471" s="19"/>
      <c r="AE1471" s="19"/>
      <c r="AF1471" s="19"/>
      <c r="AG1471" s="19"/>
      <c r="AH1471" s="19"/>
      <c r="AI1471" s="19"/>
      <c r="AJ1471" s="19"/>
      <c r="AK1471" s="19"/>
      <c r="AL1471" s="19"/>
      <c r="AM1471" s="19"/>
      <c r="AN1471" s="19"/>
      <c r="AO1471" s="19"/>
      <c r="AP1471" s="19"/>
      <c r="AQ1471" s="19"/>
      <c r="AR1471" s="19"/>
      <c r="AS1471" s="19"/>
      <c r="AT1471" s="19"/>
      <c r="AU1471" s="19"/>
      <c r="AV1471" s="19"/>
      <c r="AW1471" s="19"/>
      <c r="AX1471" s="19"/>
      <c r="GA1471" s="54"/>
    </row>
    <row r="1472" spans="1:183" s="18" customFormat="1">
      <c r="A1472" s="51"/>
      <c r="B1472" s="52"/>
      <c r="C1472" s="52"/>
      <c r="D1472" s="52"/>
      <c r="E1472" s="53"/>
      <c r="F1472" s="52"/>
      <c r="G1472" s="52"/>
      <c r="H1472" s="52"/>
      <c r="I1472" s="53"/>
      <c r="J1472" s="52"/>
      <c r="K1472" s="52"/>
      <c r="L1472" s="52"/>
      <c r="M1472" s="52"/>
      <c r="N1472" s="19"/>
      <c r="O1472" s="19"/>
      <c r="P1472" s="19"/>
      <c r="Q1472" s="19"/>
      <c r="R1472" s="19"/>
      <c r="S1472" s="19"/>
      <c r="T1472" s="19"/>
      <c r="U1472" s="19"/>
      <c r="V1472" s="19"/>
      <c r="W1472" s="19"/>
      <c r="X1472" s="19"/>
      <c r="Y1472" s="19"/>
      <c r="Z1472" s="19"/>
      <c r="AA1472" s="19"/>
      <c r="AB1472" s="19"/>
      <c r="AC1472" s="19"/>
      <c r="AD1472" s="19"/>
      <c r="AE1472" s="19"/>
      <c r="AF1472" s="19"/>
      <c r="AG1472" s="19"/>
      <c r="AH1472" s="19"/>
      <c r="AI1472" s="19"/>
      <c r="AJ1472" s="19"/>
      <c r="AK1472" s="19"/>
      <c r="AL1472" s="19"/>
      <c r="AM1472" s="19"/>
      <c r="AN1472" s="19"/>
      <c r="AO1472" s="19"/>
      <c r="AP1472" s="19"/>
      <c r="AQ1472" s="19"/>
      <c r="AR1472" s="19"/>
      <c r="AS1472" s="19"/>
      <c r="AT1472" s="19"/>
      <c r="AU1472" s="19"/>
      <c r="AV1472" s="19"/>
      <c r="AW1472" s="19"/>
      <c r="AX1472" s="19"/>
      <c r="GA1472" s="54"/>
    </row>
    <row r="1473" spans="1:183" s="18" customFormat="1">
      <c r="A1473" s="51"/>
      <c r="B1473" s="52"/>
      <c r="C1473" s="52"/>
      <c r="D1473" s="52"/>
      <c r="E1473" s="53"/>
      <c r="F1473" s="52"/>
      <c r="G1473" s="52"/>
      <c r="H1473" s="52"/>
      <c r="I1473" s="53"/>
      <c r="J1473" s="52"/>
      <c r="K1473" s="52"/>
      <c r="L1473" s="52"/>
      <c r="M1473" s="52"/>
      <c r="N1473" s="19"/>
      <c r="O1473" s="19"/>
      <c r="P1473" s="19"/>
      <c r="Q1473" s="19"/>
      <c r="R1473" s="19"/>
      <c r="S1473" s="19"/>
      <c r="T1473" s="19"/>
      <c r="U1473" s="19"/>
      <c r="V1473" s="19"/>
      <c r="W1473" s="19"/>
      <c r="X1473" s="19"/>
      <c r="Y1473" s="19"/>
      <c r="Z1473" s="19"/>
      <c r="AA1473" s="19"/>
      <c r="AB1473" s="19"/>
      <c r="AC1473" s="19"/>
      <c r="AD1473" s="19"/>
      <c r="AE1473" s="19"/>
      <c r="AF1473" s="19"/>
      <c r="AG1473" s="19"/>
      <c r="AH1473" s="19"/>
      <c r="AI1473" s="19"/>
      <c r="AJ1473" s="19"/>
      <c r="AK1473" s="19"/>
      <c r="AL1473" s="19"/>
      <c r="AM1473" s="19"/>
      <c r="AN1473" s="19"/>
      <c r="AO1473" s="19"/>
      <c r="AP1473" s="19"/>
      <c r="AQ1473" s="19"/>
      <c r="AR1473" s="19"/>
      <c r="AS1473" s="19"/>
      <c r="AT1473" s="19"/>
      <c r="AU1473" s="19"/>
      <c r="AV1473" s="19"/>
      <c r="AW1473" s="19"/>
      <c r="AX1473" s="19"/>
      <c r="GA1473" s="54"/>
    </row>
    <row r="1474" spans="1:183" s="18" customFormat="1">
      <c r="A1474" s="51"/>
      <c r="B1474" s="52"/>
      <c r="C1474" s="52"/>
      <c r="D1474" s="52"/>
      <c r="E1474" s="53"/>
      <c r="F1474" s="52"/>
      <c r="G1474" s="52"/>
      <c r="H1474" s="52"/>
      <c r="I1474" s="53"/>
      <c r="J1474" s="52"/>
      <c r="K1474" s="52"/>
      <c r="L1474" s="52"/>
      <c r="M1474" s="52"/>
      <c r="N1474" s="19"/>
      <c r="O1474" s="19"/>
      <c r="P1474" s="19"/>
      <c r="Q1474" s="19"/>
      <c r="R1474" s="19"/>
      <c r="S1474" s="19"/>
      <c r="T1474" s="19"/>
      <c r="U1474" s="19"/>
      <c r="V1474" s="19"/>
      <c r="W1474" s="19"/>
      <c r="X1474" s="19"/>
      <c r="Y1474" s="19"/>
      <c r="Z1474" s="19"/>
      <c r="AA1474" s="19"/>
      <c r="AB1474" s="19"/>
      <c r="AC1474" s="19"/>
      <c r="AD1474" s="19"/>
      <c r="AE1474" s="19"/>
      <c r="AF1474" s="19"/>
      <c r="AG1474" s="19"/>
      <c r="AH1474" s="19"/>
      <c r="AI1474" s="19"/>
      <c r="AJ1474" s="19"/>
      <c r="AK1474" s="19"/>
      <c r="AL1474" s="19"/>
      <c r="AM1474" s="19"/>
      <c r="AN1474" s="19"/>
      <c r="AO1474" s="19"/>
      <c r="AP1474" s="19"/>
      <c r="AQ1474" s="19"/>
      <c r="AR1474" s="19"/>
      <c r="AS1474" s="19"/>
      <c r="AT1474" s="19"/>
      <c r="AU1474" s="19"/>
      <c r="AV1474" s="19"/>
      <c r="AW1474" s="19"/>
      <c r="AX1474" s="19"/>
      <c r="GA1474" s="54"/>
    </row>
    <row r="1475" spans="1:183" s="18" customFormat="1">
      <c r="A1475" s="51"/>
      <c r="B1475" s="52"/>
      <c r="C1475" s="52"/>
      <c r="D1475" s="52"/>
      <c r="E1475" s="53"/>
      <c r="F1475" s="52"/>
      <c r="G1475" s="52"/>
      <c r="H1475" s="52"/>
      <c r="I1475" s="53"/>
      <c r="J1475" s="52"/>
      <c r="K1475" s="52"/>
      <c r="L1475" s="52"/>
      <c r="M1475" s="52"/>
      <c r="N1475" s="19"/>
      <c r="O1475" s="19"/>
      <c r="P1475" s="19"/>
      <c r="Q1475" s="19"/>
      <c r="R1475" s="19"/>
      <c r="S1475" s="19"/>
      <c r="T1475" s="19"/>
      <c r="U1475" s="19"/>
      <c r="V1475" s="19"/>
      <c r="W1475" s="19"/>
      <c r="X1475" s="19"/>
      <c r="Y1475" s="19"/>
      <c r="Z1475" s="19"/>
      <c r="AA1475" s="19"/>
      <c r="AB1475" s="19"/>
      <c r="AC1475" s="19"/>
      <c r="AD1475" s="19"/>
      <c r="AE1475" s="19"/>
      <c r="AF1475" s="19"/>
      <c r="AG1475" s="19"/>
      <c r="AH1475" s="19"/>
      <c r="AI1475" s="19"/>
      <c r="AJ1475" s="19"/>
      <c r="AK1475" s="19"/>
      <c r="AL1475" s="19"/>
      <c r="AM1475" s="19"/>
      <c r="AN1475" s="19"/>
      <c r="AO1475" s="19"/>
      <c r="AP1475" s="19"/>
      <c r="AQ1475" s="19"/>
      <c r="AR1475" s="19"/>
      <c r="AS1475" s="19"/>
      <c r="AT1475" s="19"/>
      <c r="AU1475" s="19"/>
      <c r="AV1475" s="19"/>
      <c r="AW1475" s="19"/>
      <c r="AX1475" s="19"/>
      <c r="GA1475" s="54"/>
    </row>
    <row r="1476" spans="1:183" s="18" customFormat="1">
      <c r="A1476" s="51"/>
      <c r="B1476" s="52"/>
      <c r="C1476" s="52"/>
      <c r="D1476" s="52"/>
      <c r="E1476" s="53"/>
      <c r="F1476" s="52"/>
      <c r="G1476" s="52"/>
      <c r="H1476" s="52"/>
      <c r="I1476" s="53"/>
      <c r="J1476" s="52"/>
      <c r="K1476" s="52"/>
      <c r="L1476" s="52"/>
      <c r="M1476" s="52"/>
      <c r="N1476" s="19"/>
      <c r="O1476" s="19"/>
      <c r="P1476" s="19"/>
      <c r="Q1476" s="19"/>
      <c r="R1476" s="19"/>
      <c r="S1476" s="19"/>
      <c r="T1476" s="19"/>
      <c r="U1476" s="19"/>
      <c r="V1476" s="19"/>
      <c r="W1476" s="19"/>
      <c r="X1476" s="19"/>
      <c r="Y1476" s="19"/>
      <c r="Z1476" s="19"/>
      <c r="AA1476" s="19"/>
      <c r="AB1476" s="19"/>
      <c r="AC1476" s="19"/>
      <c r="AD1476" s="19"/>
      <c r="AE1476" s="19"/>
      <c r="AF1476" s="19"/>
      <c r="AG1476" s="19"/>
      <c r="AH1476" s="19"/>
      <c r="AI1476" s="19"/>
      <c r="AJ1476" s="19"/>
      <c r="AK1476" s="19"/>
      <c r="AL1476" s="19"/>
      <c r="AM1476" s="19"/>
      <c r="AN1476" s="19"/>
      <c r="AO1476" s="19"/>
      <c r="AP1476" s="19"/>
      <c r="AQ1476" s="19"/>
      <c r="AR1476" s="19"/>
      <c r="AS1476" s="19"/>
      <c r="AT1476" s="19"/>
      <c r="AU1476" s="19"/>
      <c r="AV1476" s="19"/>
      <c r="AW1476" s="19"/>
      <c r="AX1476" s="19"/>
      <c r="GA1476" s="54"/>
    </row>
    <row r="1477" spans="1:183" s="18" customFormat="1">
      <c r="A1477" s="51"/>
      <c r="B1477" s="52"/>
      <c r="C1477" s="52"/>
      <c r="D1477" s="52"/>
      <c r="E1477" s="53"/>
      <c r="F1477" s="52"/>
      <c r="G1477" s="52"/>
      <c r="H1477" s="52"/>
      <c r="I1477" s="53"/>
      <c r="J1477" s="52"/>
      <c r="K1477" s="52"/>
      <c r="L1477" s="52"/>
      <c r="M1477" s="52"/>
      <c r="N1477" s="19"/>
      <c r="O1477" s="19"/>
      <c r="P1477" s="19"/>
      <c r="Q1477" s="19"/>
      <c r="R1477" s="19"/>
      <c r="S1477" s="19"/>
      <c r="T1477" s="19"/>
      <c r="U1477" s="19"/>
      <c r="V1477" s="19"/>
      <c r="W1477" s="19"/>
      <c r="X1477" s="19"/>
      <c r="Y1477" s="19"/>
      <c r="Z1477" s="19"/>
      <c r="AA1477" s="19"/>
      <c r="AB1477" s="19"/>
      <c r="AC1477" s="19"/>
      <c r="AD1477" s="19"/>
      <c r="AE1477" s="19"/>
      <c r="AF1477" s="19"/>
      <c r="AG1477" s="19"/>
      <c r="AH1477" s="19"/>
      <c r="AI1477" s="19"/>
      <c r="AJ1477" s="19"/>
      <c r="AK1477" s="19"/>
      <c r="AL1477" s="19"/>
      <c r="AM1477" s="19"/>
      <c r="AN1477" s="19"/>
      <c r="AO1477" s="19"/>
      <c r="AP1477" s="19"/>
      <c r="AQ1477" s="19"/>
      <c r="AR1477" s="19"/>
      <c r="AS1477" s="19"/>
      <c r="AT1477" s="19"/>
      <c r="AU1477" s="19"/>
      <c r="AV1477" s="19"/>
      <c r="AW1477" s="19"/>
      <c r="AX1477" s="19"/>
      <c r="GA1477" s="54"/>
    </row>
    <row r="1478" spans="1:183" s="18" customFormat="1">
      <c r="A1478" s="51"/>
      <c r="B1478" s="52"/>
      <c r="C1478" s="52"/>
      <c r="D1478" s="52"/>
      <c r="E1478" s="53"/>
      <c r="F1478" s="52"/>
      <c r="G1478" s="52"/>
      <c r="H1478" s="52"/>
      <c r="I1478" s="53"/>
      <c r="J1478" s="52"/>
      <c r="K1478" s="52"/>
      <c r="L1478" s="52"/>
      <c r="M1478" s="52"/>
      <c r="N1478" s="19"/>
      <c r="O1478" s="19"/>
      <c r="P1478" s="19"/>
      <c r="Q1478" s="19"/>
      <c r="R1478" s="19"/>
      <c r="S1478" s="19"/>
      <c r="T1478" s="19"/>
      <c r="U1478" s="19"/>
      <c r="V1478" s="19"/>
      <c r="W1478" s="19"/>
      <c r="X1478" s="19"/>
      <c r="Y1478" s="19"/>
      <c r="Z1478" s="19"/>
      <c r="AA1478" s="19"/>
      <c r="AB1478" s="19"/>
      <c r="AC1478" s="19"/>
      <c r="AD1478" s="19"/>
      <c r="AE1478" s="19"/>
      <c r="AF1478" s="19"/>
      <c r="AG1478" s="19"/>
      <c r="AH1478" s="19"/>
      <c r="AI1478" s="19"/>
      <c r="AJ1478" s="19"/>
      <c r="AK1478" s="19"/>
      <c r="AL1478" s="19"/>
      <c r="AM1478" s="19"/>
      <c r="AN1478" s="19"/>
      <c r="AO1478" s="19"/>
      <c r="AP1478" s="19"/>
      <c r="AQ1478" s="19"/>
      <c r="AR1478" s="19"/>
      <c r="AS1478" s="19"/>
      <c r="AT1478" s="19"/>
      <c r="AU1478" s="19"/>
      <c r="AV1478" s="19"/>
      <c r="AW1478" s="19"/>
      <c r="AX1478" s="19"/>
      <c r="GA1478" s="54"/>
    </row>
    <row r="1479" spans="1:183" s="18" customFormat="1">
      <c r="A1479" s="51"/>
      <c r="B1479" s="52"/>
      <c r="C1479" s="52"/>
      <c r="D1479" s="52"/>
      <c r="E1479" s="53"/>
      <c r="F1479" s="52"/>
      <c r="G1479" s="52"/>
      <c r="H1479" s="52"/>
      <c r="I1479" s="53"/>
      <c r="J1479" s="52"/>
      <c r="K1479" s="52"/>
      <c r="L1479" s="52"/>
      <c r="M1479" s="52"/>
      <c r="N1479" s="19"/>
      <c r="O1479" s="19"/>
      <c r="P1479" s="19"/>
      <c r="Q1479" s="19"/>
      <c r="R1479" s="19"/>
      <c r="S1479" s="19"/>
      <c r="T1479" s="19"/>
      <c r="U1479" s="19"/>
      <c r="V1479" s="19"/>
      <c r="W1479" s="19"/>
      <c r="X1479" s="19"/>
      <c r="Y1479" s="19"/>
      <c r="Z1479" s="19"/>
      <c r="AA1479" s="19"/>
      <c r="AB1479" s="19"/>
      <c r="AC1479" s="19"/>
      <c r="AD1479" s="19"/>
      <c r="AE1479" s="19"/>
      <c r="AF1479" s="19"/>
      <c r="AG1479" s="19"/>
      <c r="AH1479" s="19"/>
      <c r="AI1479" s="19"/>
      <c r="AJ1479" s="19"/>
      <c r="AK1479" s="19"/>
      <c r="AL1479" s="19"/>
      <c r="AM1479" s="19"/>
      <c r="AN1479" s="19"/>
      <c r="AO1479" s="19"/>
      <c r="AP1479" s="19"/>
      <c r="AQ1479" s="19"/>
      <c r="AR1479" s="19"/>
      <c r="AS1479" s="19"/>
      <c r="AT1479" s="19"/>
      <c r="AU1479" s="19"/>
      <c r="AV1479" s="19"/>
      <c r="AW1479" s="19"/>
      <c r="AX1479" s="19"/>
      <c r="GA1479" s="54"/>
    </row>
    <row r="1480" spans="1:183" s="18" customFormat="1">
      <c r="A1480" s="51"/>
      <c r="B1480" s="52"/>
      <c r="C1480" s="52"/>
      <c r="D1480" s="52"/>
      <c r="E1480" s="53"/>
      <c r="F1480" s="52"/>
      <c r="G1480" s="52"/>
      <c r="H1480" s="52"/>
      <c r="I1480" s="53"/>
      <c r="J1480" s="52"/>
      <c r="K1480" s="52"/>
      <c r="L1480" s="52"/>
      <c r="M1480" s="52"/>
      <c r="N1480" s="19"/>
      <c r="O1480" s="19"/>
      <c r="P1480" s="19"/>
      <c r="Q1480" s="19"/>
      <c r="R1480" s="19"/>
      <c r="S1480" s="19"/>
      <c r="T1480" s="19"/>
      <c r="U1480" s="19"/>
      <c r="V1480" s="19"/>
      <c r="W1480" s="19"/>
      <c r="X1480" s="19"/>
      <c r="Y1480" s="19"/>
      <c r="Z1480" s="19"/>
      <c r="AA1480" s="19"/>
      <c r="AB1480" s="19"/>
      <c r="AC1480" s="19"/>
      <c r="AD1480" s="19"/>
      <c r="AE1480" s="19"/>
      <c r="AF1480" s="19"/>
      <c r="AG1480" s="19"/>
      <c r="AH1480" s="19"/>
      <c r="AI1480" s="19"/>
      <c r="AJ1480" s="19"/>
      <c r="AK1480" s="19"/>
      <c r="AL1480" s="19"/>
      <c r="AM1480" s="19"/>
      <c r="AN1480" s="19"/>
      <c r="AO1480" s="19"/>
      <c r="AP1480" s="19"/>
      <c r="AQ1480" s="19"/>
      <c r="AR1480" s="19"/>
      <c r="AS1480" s="19"/>
      <c r="AT1480" s="19"/>
      <c r="AU1480" s="19"/>
      <c r="AV1480" s="19"/>
      <c r="AW1480" s="19"/>
      <c r="AX1480" s="19"/>
      <c r="GA1480" s="54"/>
    </row>
    <row r="1481" spans="1:183" s="18" customFormat="1">
      <c r="A1481" s="51"/>
      <c r="B1481" s="52"/>
      <c r="C1481" s="52"/>
      <c r="D1481" s="52"/>
      <c r="E1481" s="53"/>
      <c r="F1481" s="52"/>
      <c r="G1481" s="52"/>
      <c r="H1481" s="52"/>
      <c r="I1481" s="53"/>
      <c r="J1481" s="52"/>
      <c r="K1481" s="52"/>
      <c r="L1481" s="52"/>
      <c r="M1481" s="52"/>
      <c r="N1481" s="19"/>
      <c r="O1481" s="19"/>
      <c r="P1481" s="19"/>
      <c r="Q1481" s="19"/>
      <c r="R1481" s="19"/>
      <c r="S1481" s="19"/>
      <c r="T1481" s="19"/>
      <c r="U1481" s="19"/>
      <c r="V1481" s="19"/>
      <c r="W1481" s="19"/>
      <c r="X1481" s="19"/>
      <c r="Y1481" s="19"/>
      <c r="Z1481" s="19"/>
      <c r="AA1481" s="19"/>
      <c r="AB1481" s="19"/>
      <c r="AC1481" s="19"/>
      <c r="AD1481" s="19"/>
      <c r="AE1481" s="19"/>
      <c r="AF1481" s="19"/>
      <c r="AG1481" s="19"/>
      <c r="AH1481" s="19"/>
      <c r="AI1481" s="19"/>
      <c r="AJ1481" s="19"/>
      <c r="AK1481" s="19"/>
      <c r="AL1481" s="19"/>
      <c r="AM1481" s="19"/>
      <c r="AN1481" s="19"/>
      <c r="AO1481" s="19"/>
      <c r="AP1481" s="19"/>
      <c r="AQ1481" s="19"/>
      <c r="AR1481" s="19"/>
      <c r="AS1481" s="19"/>
      <c r="AT1481" s="19"/>
      <c r="AU1481" s="19"/>
      <c r="AV1481" s="19"/>
      <c r="AW1481" s="19"/>
      <c r="AX1481" s="19"/>
      <c r="GA1481" s="54"/>
    </row>
    <row r="1482" spans="1:183" s="18" customFormat="1">
      <c r="A1482" s="51"/>
      <c r="B1482" s="52"/>
      <c r="C1482" s="52"/>
      <c r="D1482" s="52"/>
      <c r="E1482" s="53"/>
      <c r="F1482" s="52"/>
      <c r="G1482" s="52"/>
      <c r="H1482" s="52"/>
      <c r="I1482" s="53"/>
      <c r="J1482" s="52"/>
      <c r="K1482" s="52"/>
      <c r="L1482" s="52"/>
      <c r="M1482" s="52"/>
      <c r="N1482" s="19"/>
      <c r="O1482" s="19"/>
      <c r="P1482" s="19"/>
      <c r="Q1482" s="19"/>
      <c r="R1482" s="19"/>
      <c r="S1482" s="19"/>
      <c r="T1482" s="19"/>
      <c r="U1482" s="19"/>
      <c r="V1482" s="19"/>
      <c r="W1482" s="19"/>
      <c r="X1482" s="19"/>
      <c r="Y1482" s="19"/>
      <c r="Z1482" s="19"/>
      <c r="AA1482" s="19"/>
      <c r="AB1482" s="19"/>
      <c r="AC1482" s="19"/>
      <c r="AD1482" s="19"/>
      <c r="AE1482" s="19"/>
      <c r="AF1482" s="19"/>
      <c r="AG1482" s="19"/>
      <c r="AH1482" s="19"/>
      <c r="AI1482" s="19"/>
      <c r="AJ1482" s="19"/>
      <c r="AK1482" s="19"/>
      <c r="AL1482" s="19"/>
      <c r="AM1482" s="19"/>
      <c r="AN1482" s="19"/>
      <c r="AO1482" s="19"/>
      <c r="AP1482" s="19"/>
      <c r="AQ1482" s="19"/>
      <c r="AR1482" s="19"/>
      <c r="AS1482" s="19"/>
      <c r="AT1482" s="19"/>
      <c r="AU1482" s="19"/>
      <c r="AV1482" s="19"/>
      <c r="AW1482" s="19"/>
      <c r="AX1482" s="19"/>
      <c r="GA1482" s="54"/>
    </row>
    <row r="1483" spans="1:183" s="18" customFormat="1">
      <c r="A1483" s="51"/>
      <c r="B1483" s="52"/>
      <c r="C1483" s="52"/>
      <c r="D1483" s="52"/>
      <c r="E1483" s="53"/>
      <c r="F1483" s="52"/>
      <c r="G1483" s="52"/>
      <c r="H1483" s="52"/>
      <c r="I1483" s="53"/>
      <c r="J1483" s="52"/>
      <c r="K1483" s="52"/>
      <c r="L1483" s="52"/>
      <c r="M1483" s="52"/>
      <c r="N1483" s="19"/>
      <c r="O1483" s="19"/>
      <c r="P1483" s="19"/>
      <c r="Q1483" s="19"/>
      <c r="R1483" s="19"/>
      <c r="S1483" s="19"/>
      <c r="T1483" s="19"/>
      <c r="U1483" s="19"/>
      <c r="V1483" s="19"/>
      <c r="W1483" s="19"/>
      <c r="X1483" s="19"/>
      <c r="Y1483" s="19"/>
      <c r="Z1483" s="19"/>
      <c r="AA1483" s="19"/>
      <c r="AB1483" s="19"/>
      <c r="AC1483" s="19"/>
      <c r="AD1483" s="19"/>
      <c r="AE1483" s="19"/>
      <c r="AF1483" s="19"/>
      <c r="AG1483" s="19"/>
      <c r="AH1483" s="19"/>
      <c r="AI1483" s="19"/>
      <c r="AJ1483" s="19"/>
      <c r="AK1483" s="19"/>
      <c r="AL1483" s="19"/>
      <c r="AM1483" s="19"/>
      <c r="AN1483" s="19"/>
      <c r="AO1483" s="19"/>
      <c r="AP1483" s="19"/>
      <c r="AQ1483" s="19"/>
      <c r="AR1483" s="19"/>
      <c r="AS1483" s="19"/>
      <c r="AT1483" s="19"/>
      <c r="AU1483" s="19"/>
      <c r="AV1483" s="19"/>
      <c r="AW1483" s="19"/>
      <c r="AX1483" s="19"/>
      <c r="GA1483" s="54"/>
    </row>
    <row r="1484" spans="1:183" s="18" customFormat="1">
      <c r="A1484" s="51"/>
      <c r="B1484" s="52"/>
      <c r="C1484" s="52"/>
      <c r="D1484" s="52"/>
      <c r="E1484" s="53"/>
      <c r="F1484" s="52"/>
      <c r="G1484" s="52"/>
      <c r="H1484" s="52"/>
      <c r="I1484" s="53"/>
      <c r="J1484" s="52"/>
      <c r="K1484" s="52"/>
      <c r="L1484" s="52"/>
      <c r="M1484" s="52"/>
      <c r="N1484" s="19"/>
      <c r="O1484" s="19"/>
      <c r="P1484" s="19"/>
      <c r="Q1484" s="19"/>
      <c r="R1484" s="19"/>
      <c r="S1484" s="19"/>
      <c r="T1484" s="19"/>
      <c r="U1484" s="19"/>
      <c r="V1484" s="19"/>
      <c r="W1484" s="19"/>
      <c r="X1484" s="19"/>
      <c r="Y1484" s="19"/>
      <c r="Z1484" s="19"/>
      <c r="AA1484" s="19"/>
      <c r="AB1484" s="19"/>
      <c r="AC1484" s="19"/>
      <c r="AD1484" s="19"/>
      <c r="AE1484" s="19"/>
      <c r="AF1484" s="19"/>
      <c r="AG1484" s="19"/>
      <c r="AH1484" s="19"/>
      <c r="AI1484" s="19"/>
      <c r="AJ1484" s="19"/>
      <c r="AK1484" s="19"/>
      <c r="AL1484" s="19"/>
      <c r="AM1484" s="19"/>
      <c r="AN1484" s="19"/>
      <c r="AO1484" s="19"/>
      <c r="AP1484" s="19"/>
      <c r="AQ1484" s="19"/>
      <c r="AR1484" s="19"/>
      <c r="AS1484" s="19"/>
      <c r="AT1484" s="19"/>
      <c r="AU1484" s="19"/>
      <c r="AV1484" s="19"/>
      <c r="AW1484" s="19"/>
      <c r="AX1484" s="19"/>
      <c r="GA1484" s="54"/>
    </row>
    <row r="1485" spans="1:183" s="18" customFormat="1">
      <c r="A1485" s="51"/>
      <c r="B1485" s="52"/>
      <c r="C1485" s="52"/>
      <c r="D1485" s="52"/>
      <c r="E1485" s="53"/>
      <c r="F1485" s="52"/>
      <c r="G1485" s="52"/>
      <c r="H1485" s="52"/>
      <c r="I1485" s="53"/>
      <c r="J1485" s="52"/>
      <c r="K1485" s="52"/>
      <c r="L1485" s="52"/>
      <c r="M1485" s="52"/>
      <c r="N1485" s="19"/>
      <c r="O1485" s="19"/>
      <c r="P1485" s="19"/>
      <c r="Q1485" s="19"/>
      <c r="R1485" s="19"/>
      <c r="S1485" s="19"/>
      <c r="T1485" s="19"/>
      <c r="U1485" s="19"/>
      <c r="V1485" s="19"/>
      <c r="W1485" s="19"/>
      <c r="X1485" s="19"/>
      <c r="Y1485" s="19"/>
      <c r="Z1485" s="19"/>
      <c r="AA1485" s="19"/>
      <c r="AB1485" s="19"/>
      <c r="AC1485" s="19"/>
      <c r="AD1485" s="19"/>
      <c r="AE1485" s="19"/>
      <c r="AF1485" s="19"/>
      <c r="AG1485" s="19"/>
      <c r="AH1485" s="19"/>
      <c r="AI1485" s="19"/>
      <c r="AJ1485" s="19"/>
      <c r="AK1485" s="19"/>
      <c r="AL1485" s="19"/>
      <c r="AM1485" s="19"/>
      <c r="AN1485" s="19"/>
      <c r="AO1485" s="19"/>
      <c r="AP1485" s="19"/>
      <c r="AQ1485" s="19"/>
      <c r="AR1485" s="19"/>
      <c r="AS1485" s="19"/>
      <c r="AT1485" s="19"/>
      <c r="AU1485" s="19"/>
      <c r="AV1485" s="19"/>
      <c r="AW1485" s="19"/>
      <c r="AX1485" s="19"/>
      <c r="GA1485" s="54"/>
    </row>
    <row r="1486" spans="1:183" s="18" customFormat="1">
      <c r="A1486" s="51"/>
      <c r="B1486" s="52"/>
      <c r="C1486" s="52"/>
      <c r="D1486" s="52"/>
      <c r="E1486" s="53"/>
      <c r="F1486" s="52"/>
      <c r="G1486" s="52"/>
      <c r="H1486" s="52"/>
      <c r="I1486" s="53"/>
      <c r="J1486" s="52"/>
      <c r="K1486" s="52"/>
      <c r="L1486" s="52"/>
      <c r="M1486" s="52"/>
      <c r="N1486" s="19"/>
      <c r="O1486" s="19"/>
      <c r="P1486" s="19"/>
      <c r="Q1486" s="19"/>
      <c r="R1486" s="19"/>
      <c r="S1486" s="19"/>
      <c r="T1486" s="19"/>
      <c r="U1486" s="19"/>
      <c r="V1486" s="19"/>
      <c r="W1486" s="19"/>
      <c r="X1486" s="19"/>
      <c r="Y1486" s="19"/>
      <c r="Z1486" s="19"/>
      <c r="AA1486" s="19"/>
      <c r="AB1486" s="19"/>
      <c r="AC1486" s="19"/>
      <c r="AD1486" s="19"/>
      <c r="AE1486" s="19"/>
      <c r="AF1486" s="19"/>
      <c r="AG1486" s="19"/>
      <c r="AH1486" s="19"/>
      <c r="AI1486" s="19"/>
      <c r="AJ1486" s="19"/>
      <c r="AK1486" s="19"/>
      <c r="AL1486" s="19"/>
      <c r="AM1486" s="19"/>
      <c r="AN1486" s="19"/>
      <c r="AO1486" s="19"/>
      <c r="AP1486" s="19"/>
      <c r="AQ1486" s="19"/>
      <c r="AR1486" s="19"/>
      <c r="AS1486" s="19"/>
      <c r="AT1486" s="19"/>
      <c r="AU1486" s="19"/>
      <c r="AV1486" s="19"/>
      <c r="AW1486" s="19"/>
      <c r="AX1486" s="19"/>
      <c r="GA1486" s="54"/>
    </row>
    <row r="1487" spans="1:183" s="18" customFormat="1">
      <c r="A1487" s="51"/>
      <c r="B1487" s="52"/>
      <c r="C1487" s="52"/>
      <c r="D1487" s="52"/>
      <c r="E1487" s="53"/>
      <c r="F1487" s="52"/>
      <c r="G1487" s="52"/>
      <c r="H1487" s="52"/>
      <c r="I1487" s="53"/>
      <c r="J1487" s="52"/>
      <c r="K1487" s="52"/>
      <c r="L1487" s="52"/>
      <c r="M1487" s="52"/>
      <c r="N1487" s="19"/>
      <c r="O1487" s="19"/>
      <c r="P1487" s="19"/>
      <c r="Q1487" s="19"/>
      <c r="R1487" s="19"/>
      <c r="S1487" s="19"/>
      <c r="T1487" s="19"/>
      <c r="U1487" s="19"/>
      <c r="V1487" s="19"/>
      <c r="W1487" s="19"/>
      <c r="X1487" s="19"/>
      <c r="Y1487" s="19"/>
      <c r="Z1487" s="19"/>
      <c r="AA1487" s="19"/>
      <c r="AB1487" s="19"/>
      <c r="AC1487" s="19"/>
      <c r="AD1487" s="19"/>
      <c r="AE1487" s="19"/>
      <c r="AF1487" s="19"/>
      <c r="AG1487" s="19"/>
      <c r="AH1487" s="19"/>
      <c r="AI1487" s="19"/>
      <c r="AJ1487" s="19"/>
      <c r="AK1487" s="19"/>
      <c r="AL1487" s="19"/>
      <c r="AM1487" s="19"/>
      <c r="AN1487" s="19"/>
      <c r="AO1487" s="19"/>
      <c r="AP1487" s="19"/>
      <c r="AQ1487" s="19"/>
      <c r="AR1487" s="19"/>
      <c r="AS1487" s="19"/>
      <c r="AT1487" s="19"/>
      <c r="AU1487" s="19"/>
      <c r="AV1487" s="19"/>
      <c r="AW1487" s="19"/>
      <c r="AX1487" s="19"/>
      <c r="GA1487" s="54"/>
    </row>
    <row r="1488" spans="1:183" s="18" customFormat="1">
      <c r="A1488" s="51"/>
      <c r="B1488" s="52"/>
      <c r="C1488" s="52"/>
      <c r="D1488" s="52"/>
      <c r="E1488" s="53"/>
      <c r="F1488" s="52"/>
      <c r="G1488" s="52"/>
      <c r="H1488" s="52"/>
      <c r="I1488" s="53"/>
      <c r="J1488" s="52"/>
      <c r="K1488" s="52"/>
      <c r="L1488" s="52"/>
      <c r="M1488" s="52"/>
      <c r="N1488" s="19"/>
      <c r="O1488" s="19"/>
      <c r="P1488" s="19"/>
      <c r="Q1488" s="19"/>
      <c r="R1488" s="19"/>
      <c r="S1488" s="19"/>
      <c r="T1488" s="19"/>
      <c r="U1488" s="19"/>
      <c r="V1488" s="19"/>
      <c r="W1488" s="19"/>
      <c r="X1488" s="19"/>
      <c r="Y1488" s="19"/>
      <c r="Z1488" s="19"/>
      <c r="AA1488" s="19"/>
      <c r="AB1488" s="19"/>
      <c r="AC1488" s="19"/>
      <c r="AD1488" s="19"/>
      <c r="AE1488" s="19"/>
      <c r="AF1488" s="19"/>
      <c r="AG1488" s="19"/>
      <c r="AH1488" s="19"/>
      <c r="AI1488" s="19"/>
      <c r="AJ1488" s="19"/>
      <c r="AK1488" s="19"/>
      <c r="AL1488" s="19"/>
      <c r="AM1488" s="19"/>
      <c r="AN1488" s="19"/>
      <c r="AO1488" s="19"/>
      <c r="AP1488" s="19"/>
      <c r="AQ1488" s="19"/>
      <c r="AR1488" s="19"/>
      <c r="AS1488" s="19"/>
      <c r="AT1488" s="19"/>
      <c r="AU1488" s="19"/>
      <c r="AV1488" s="19"/>
      <c r="AW1488" s="19"/>
      <c r="AX1488" s="19"/>
      <c r="GA1488" s="54"/>
    </row>
    <row r="1489" spans="1:183" s="18" customFormat="1">
      <c r="A1489" s="51"/>
      <c r="B1489" s="52"/>
      <c r="C1489" s="52"/>
      <c r="D1489" s="52"/>
      <c r="E1489" s="53"/>
      <c r="F1489" s="52"/>
      <c r="G1489" s="52"/>
      <c r="H1489" s="52"/>
      <c r="I1489" s="53"/>
      <c r="J1489" s="52"/>
      <c r="K1489" s="52"/>
      <c r="L1489" s="52"/>
      <c r="M1489" s="52"/>
      <c r="N1489" s="19"/>
      <c r="O1489" s="19"/>
      <c r="P1489" s="19"/>
      <c r="Q1489" s="19"/>
      <c r="R1489" s="19"/>
      <c r="S1489" s="19"/>
      <c r="T1489" s="19"/>
      <c r="U1489" s="19"/>
      <c r="V1489" s="19"/>
      <c r="W1489" s="19"/>
      <c r="X1489" s="19"/>
      <c r="Y1489" s="19"/>
      <c r="Z1489" s="19"/>
      <c r="AA1489" s="19"/>
      <c r="AB1489" s="19"/>
      <c r="AC1489" s="19"/>
      <c r="AD1489" s="19"/>
      <c r="AE1489" s="19"/>
      <c r="AF1489" s="19"/>
      <c r="AG1489" s="19"/>
      <c r="AH1489" s="19"/>
      <c r="AI1489" s="19"/>
      <c r="AJ1489" s="19"/>
      <c r="AK1489" s="19"/>
      <c r="AL1489" s="19"/>
      <c r="AM1489" s="19"/>
      <c r="AN1489" s="19"/>
      <c r="AO1489" s="19"/>
      <c r="AP1489" s="19"/>
      <c r="AQ1489" s="19"/>
      <c r="AR1489" s="19"/>
      <c r="AS1489" s="19"/>
      <c r="AT1489" s="19"/>
      <c r="AU1489" s="19"/>
      <c r="AV1489" s="19"/>
      <c r="AW1489" s="19"/>
      <c r="AX1489" s="19"/>
      <c r="GA1489" s="54"/>
    </row>
    <row r="1490" spans="1:183" s="18" customFormat="1">
      <c r="A1490" s="51"/>
      <c r="B1490" s="52"/>
      <c r="C1490" s="52"/>
      <c r="D1490" s="52"/>
      <c r="E1490" s="53"/>
      <c r="F1490" s="52"/>
      <c r="G1490" s="52"/>
      <c r="H1490" s="52"/>
      <c r="I1490" s="53"/>
      <c r="J1490" s="52"/>
      <c r="K1490" s="52"/>
      <c r="L1490" s="52"/>
      <c r="M1490" s="52"/>
      <c r="N1490" s="19"/>
      <c r="O1490" s="19"/>
      <c r="P1490" s="19"/>
      <c r="Q1490" s="19"/>
      <c r="R1490" s="19"/>
      <c r="S1490" s="19"/>
      <c r="T1490" s="19"/>
      <c r="U1490" s="19"/>
      <c r="V1490" s="19"/>
      <c r="W1490" s="19"/>
      <c r="X1490" s="19"/>
      <c r="Y1490" s="19"/>
      <c r="Z1490" s="19"/>
      <c r="AA1490" s="19"/>
      <c r="AB1490" s="19"/>
      <c r="AC1490" s="19"/>
      <c r="AD1490" s="19"/>
      <c r="AE1490" s="19"/>
      <c r="AF1490" s="19"/>
      <c r="AG1490" s="19"/>
      <c r="AH1490" s="19"/>
      <c r="AI1490" s="19"/>
      <c r="AJ1490" s="19"/>
      <c r="AK1490" s="19"/>
      <c r="AL1490" s="19"/>
      <c r="AM1490" s="19"/>
      <c r="AN1490" s="19"/>
      <c r="AO1490" s="19"/>
      <c r="AP1490" s="19"/>
      <c r="AQ1490" s="19"/>
      <c r="AR1490" s="19"/>
      <c r="AS1490" s="19"/>
      <c r="AT1490" s="19"/>
      <c r="AU1490" s="19"/>
      <c r="AV1490" s="19"/>
      <c r="AW1490" s="19"/>
      <c r="AX1490" s="19"/>
      <c r="GA1490" s="54"/>
    </row>
    <row r="1491" spans="1:183" s="18" customFormat="1">
      <c r="A1491" s="51"/>
      <c r="B1491" s="52"/>
      <c r="C1491" s="52"/>
      <c r="D1491" s="52"/>
      <c r="E1491" s="53"/>
      <c r="F1491" s="52"/>
      <c r="G1491" s="52"/>
      <c r="H1491" s="52"/>
      <c r="I1491" s="53"/>
      <c r="J1491" s="52"/>
      <c r="K1491" s="52"/>
      <c r="L1491" s="52"/>
      <c r="M1491" s="52"/>
      <c r="N1491" s="19"/>
      <c r="O1491" s="19"/>
      <c r="P1491" s="19"/>
      <c r="Q1491" s="19"/>
      <c r="R1491" s="19"/>
      <c r="S1491" s="19"/>
      <c r="T1491" s="19"/>
      <c r="U1491" s="19"/>
      <c r="V1491" s="19"/>
      <c r="W1491" s="19"/>
      <c r="X1491" s="19"/>
      <c r="Y1491" s="19"/>
      <c r="Z1491" s="19"/>
      <c r="AA1491" s="19"/>
      <c r="AB1491" s="19"/>
      <c r="AC1491" s="19"/>
      <c r="AD1491" s="19"/>
      <c r="AE1491" s="19"/>
      <c r="AF1491" s="19"/>
      <c r="AG1491" s="19"/>
      <c r="AH1491" s="19"/>
      <c r="AI1491" s="19"/>
      <c r="AJ1491" s="19"/>
      <c r="AK1491" s="19"/>
      <c r="AL1491" s="19"/>
      <c r="AM1491" s="19"/>
      <c r="AN1491" s="19"/>
      <c r="AO1491" s="19"/>
      <c r="AP1491" s="19"/>
      <c r="AQ1491" s="19"/>
      <c r="AR1491" s="19"/>
      <c r="AS1491" s="19"/>
      <c r="AT1491" s="19"/>
      <c r="AU1491" s="19"/>
      <c r="AV1491" s="19"/>
      <c r="AW1491" s="19"/>
      <c r="AX1491" s="19"/>
      <c r="GA1491" s="54"/>
    </row>
    <row r="1492" spans="1:183" s="18" customFormat="1">
      <c r="A1492" s="51"/>
      <c r="B1492" s="52"/>
      <c r="C1492" s="52"/>
      <c r="D1492" s="52"/>
      <c r="E1492" s="53"/>
      <c r="F1492" s="52"/>
      <c r="G1492" s="52"/>
      <c r="H1492" s="52"/>
      <c r="I1492" s="53"/>
      <c r="J1492" s="52"/>
      <c r="K1492" s="52"/>
      <c r="L1492" s="52"/>
      <c r="M1492" s="52"/>
      <c r="N1492" s="19"/>
      <c r="O1492" s="19"/>
      <c r="P1492" s="19"/>
      <c r="Q1492" s="19"/>
      <c r="R1492" s="19"/>
      <c r="S1492" s="19"/>
      <c r="T1492" s="19"/>
      <c r="U1492" s="19"/>
      <c r="V1492" s="19"/>
      <c r="W1492" s="19"/>
      <c r="X1492" s="19"/>
      <c r="Y1492" s="19"/>
      <c r="Z1492" s="19"/>
      <c r="AA1492" s="19"/>
      <c r="AB1492" s="19"/>
      <c r="AC1492" s="19"/>
      <c r="AD1492" s="19"/>
      <c r="AE1492" s="19"/>
      <c r="AF1492" s="19"/>
      <c r="AG1492" s="19"/>
      <c r="AH1492" s="19"/>
      <c r="AI1492" s="19"/>
      <c r="AJ1492" s="19"/>
      <c r="AK1492" s="19"/>
      <c r="AL1492" s="19"/>
      <c r="AM1492" s="19"/>
      <c r="AN1492" s="19"/>
      <c r="AO1492" s="19"/>
      <c r="AP1492" s="19"/>
      <c r="AQ1492" s="19"/>
      <c r="AR1492" s="19"/>
      <c r="AS1492" s="19"/>
      <c r="AT1492" s="19"/>
      <c r="AU1492" s="19"/>
      <c r="AV1492" s="19"/>
      <c r="AW1492" s="19"/>
      <c r="AX1492" s="19"/>
      <c r="GA1492" s="54"/>
    </row>
    <row r="1493" spans="1:183" s="18" customFormat="1">
      <c r="A1493" s="51"/>
      <c r="B1493" s="52"/>
      <c r="C1493" s="52"/>
      <c r="D1493" s="52"/>
      <c r="E1493" s="53"/>
      <c r="F1493" s="52"/>
      <c r="G1493" s="52"/>
      <c r="H1493" s="52"/>
      <c r="I1493" s="53"/>
      <c r="J1493" s="52"/>
      <c r="K1493" s="52"/>
      <c r="L1493" s="52"/>
      <c r="M1493" s="52"/>
      <c r="N1493" s="19"/>
      <c r="O1493" s="19"/>
      <c r="P1493" s="19"/>
      <c r="Q1493" s="19"/>
      <c r="R1493" s="19"/>
      <c r="S1493" s="19"/>
      <c r="T1493" s="19"/>
      <c r="U1493" s="19"/>
      <c r="V1493" s="19"/>
      <c r="W1493" s="19"/>
      <c r="X1493" s="19"/>
      <c r="Y1493" s="19"/>
      <c r="Z1493" s="19"/>
      <c r="AA1493" s="19"/>
      <c r="AB1493" s="19"/>
      <c r="AC1493" s="19"/>
      <c r="AD1493" s="19"/>
      <c r="AE1493" s="19"/>
      <c r="AF1493" s="19"/>
      <c r="AG1493" s="19"/>
      <c r="AH1493" s="19"/>
      <c r="AI1493" s="19"/>
      <c r="AJ1493" s="19"/>
      <c r="AK1493" s="19"/>
      <c r="AL1493" s="19"/>
      <c r="AM1493" s="19"/>
      <c r="AN1493" s="19"/>
      <c r="AO1493" s="19"/>
      <c r="AP1493" s="19"/>
      <c r="AQ1493" s="19"/>
      <c r="AR1493" s="19"/>
      <c r="AS1493" s="19"/>
      <c r="AT1493" s="19"/>
      <c r="AU1493" s="19"/>
      <c r="AV1493" s="19"/>
      <c r="AW1493" s="19"/>
      <c r="AX1493" s="19"/>
      <c r="GA1493" s="54"/>
    </row>
    <row r="1494" spans="1:183" s="18" customFormat="1">
      <c r="A1494" s="51"/>
      <c r="B1494" s="52"/>
      <c r="C1494" s="52"/>
      <c r="D1494" s="52"/>
      <c r="E1494" s="53"/>
      <c r="F1494" s="52"/>
      <c r="G1494" s="52"/>
      <c r="H1494" s="52"/>
      <c r="I1494" s="53"/>
      <c r="J1494" s="52"/>
      <c r="K1494" s="52"/>
      <c r="L1494" s="52"/>
      <c r="M1494" s="52"/>
      <c r="N1494" s="19"/>
      <c r="O1494" s="19"/>
      <c r="P1494" s="19"/>
      <c r="Q1494" s="19"/>
      <c r="R1494" s="19"/>
      <c r="S1494" s="19"/>
      <c r="T1494" s="19"/>
      <c r="U1494" s="19"/>
      <c r="V1494" s="19"/>
      <c r="W1494" s="19"/>
      <c r="X1494" s="19"/>
      <c r="Y1494" s="19"/>
      <c r="Z1494" s="19"/>
      <c r="AA1494" s="19"/>
      <c r="AB1494" s="19"/>
      <c r="AC1494" s="19"/>
      <c r="AD1494" s="19"/>
      <c r="AE1494" s="19"/>
      <c r="AF1494" s="19"/>
      <c r="AG1494" s="19"/>
      <c r="AH1494" s="19"/>
      <c r="AI1494" s="19"/>
      <c r="AJ1494" s="19"/>
      <c r="AK1494" s="19"/>
      <c r="AL1494" s="19"/>
      <c r="AM1494" s="19"/>
      <c r="AN1494" s="19"/>
      <c r="AO1494" s="19"/>
      <c r="AP1494" s="19"/>
      <c r="AQ1494" s="19"/>
      <c r="AR1494" s="19"/>
      <c r="AS1494" s="19"/>
      <c r="AT1494" s="19"/>
      <c r="AU1494" s="19"/>
      <c r="AV1494" s="19"/>
      <c r="AW1494" s="19"/>
      <c r="AX1494" s="19"/>
      <c r="GA1494" s="54"/>
    </row>
    <row r="1495" spans="1:183" s="18" customFormat="1">
      <c r="A1495" s="51"/>
      <c r="B1495" s="52"/>
      <c r="C1495" s="52"/>
      <c r="D1495" s="52"/>
      <c r="E1495" s="53"/>
      <c r="F1495" s="52"/>
      <c r="G1495" s="52"/>
      <c r="H1495" s="52"/>
      <c r="I1495" s="53"/>
      <c r="J1495" s="52"/>
      <c r="K1495" s="52"/>
      <c r="L1495" s="52"/>
      <c r="M1495" s="52"/>
      <c r="N1495" s="19"/>
      <c r="O1495" s="19"/>
      <c r="P1495" s="19"/>
      <c r="Q1495" s="19"/>
      <c r="R1495" s="19"/>
      <c r="S1495" s="19"/>
      <c r="T1495" s="19"/>
      <c r="U1495" s="19"/>
      <c r="V1495" s="19"/>
      <c r="W1495" s="19"/>
      <c r="X1495" s="19"/>
      <c r="Y1495" s="19"/>
      <c r="Z1495" s="19"/>
      <c r="AA1495" s="19"/>
      <c r="AB1495" s="19"/>
      <c r="AC1495" s="19"/>
      <c r="AD1495" s="19"/>
      <c r="AE1495" s="19"/>
      <c r="AF1495" s="19"/>
      <c r="AG1495" s="19"/>
      <c r="AH1495" s="19"/>
      <c r="AI1495" s="19"/>
      <c r="AJ1495" s="19"/>
      <c r="AK1495" s="19"/>
      <c r="AL1495" s="19"/>
      <c r="AM1495" s="19"/>
      <c r="AN1495" s="19"/>
      <c r="AO1495" s="19"/>
      <c r="AP1495" s="19"/>
      <c r="AQ1495" s="19"/>
      <c r="AR1495" s="19"/>
      <c r="AS1495" s="19"/>
      <c r="AT1495" s="19"/>
      <c r="AU1495" s="19"/>
      <c r="AV1495" s="19"/>
      <c r="AW1495" s="19"/>
      <c r="AX1495" s="19"/>
      <c r="GA1495" s="54"/>
    </row>
    <row r="1496" spans="1:183" s="18" customFormat="1">
      <c r="A1496" s="51"/>
      <c r="B1496" s="52"/>
      <c r="C1496" s="52"/>
      <c r="D1496" s="52"/>
      <c r="E1496" s="53"/>
      <c r="F1496" s="52"/>
      <c r="G1496" s="52"/>
      <c r="H1496" s="52"/>
      <c r="I1496" s="53"/>
      <c r="J1496" s="52"/>
      <c r="K1496" s="52"/>
      <c r="L1496" s="52"/>
      <c r="M1496" s="52"/>
      <c r="N1496" s="19"/>
      <c r="O1496" s="19"/>
      <c r="P1496" s="19"/>
      <c r="Q1496" s="19"/>
      <c r="R1496" s="19"/>
      <c r="S1496" s="19"/>
      <c r="T1496" s="19"/>
      <c r="U1496" s="19"/>
      <c r="V1496" s="19"/>
      <c r="W1496" s="19"/>
      <c r="X1496" s="19"/>
      <c r="Y1496" s="19"/>
      <c r="Z1496" s="19"/>
      <c r="AA1496" s="19"/>
      <c r="AB1496" s="19"/>
      <c r="AC1496" s="19"/>
      <c r="AD1496" s="19"/>
      <c r="AE1496" s="19"/>
      <c r="AF1496" s="19"/>
      <c r="AG1496" s="19"/>
      <c r="AH1496" s="19"/>
      <c r="AI1496" s="19"/>
      <c r="AJ1496" s="19"/>
      <c r="AK1496" s="19"/>
      <c r="AL1496" s="19"/>
      <c r="AM1496" s="19"/>
      <c r="AN1496" s="19"/>
      <c r="AO1496" s="19"/>
      <c r="AP1496" s="19"/>
      <c r="AQ1496" s="19"/>
      <c r="AR1496" s="19"/>
      <c r="AS1496" s="19"/>
      <c r="AT1496" s="19"/>
      <c r="AU1496" s="19"/>
      <c r="AV1496" s="19"/>
      <c r="AW1496" s="19"/>
      <c r="AX1496" s="19"/>
      <c r="GA1496" s="54"/>
    </row>
    <row r="1497" spans="1:183" s="18" customFormat="1">
      <c r="A1497" s="51"/>
      <c r="B1497" s="52"/>
      <c r="C1497" s="52"/>
      <c r="D1497" s="52"/>
      <c r="E1497" s="53"/>
      <c r="F1497" s="52"/>
      <c r="G1497" s="52"/>
      <c r="H1497" s="52"/>
      <c r="I1497" s="53"/>
      <c r="J1497" s="52"/>
      <c r="K1497" s="52"/>
      <c r="L1497" s="52"/>
      <c r="M1497" s="52"/>
      <c r="N1497" s="19"/>
      <c r="O1497" s="19"/>
      <c r="P1497" s="19"/>
      <c r="Q1497" s="19"/>
      <c r="R1497" s="19"/>
      <c r="S1497" s="19"/>
      <c r="T1497" s="19"/>
      <c r="U1497" s="19"/>
      <c r="V1497" s="19"/>
      <c r="W1497" s="19"/>
      <c r="X1497" s="19"/>
      <c r="Y1497" s="19"/>
      <c r="Z1497" s="19"/>
      <c r="AA1497" s="19"/>
      <c r="AB1497" s="19"/>
      <c r="AC1497" s="19"/>
      <c r="AD1497" s="19"/>
      <c r="AE1497" s="19"/>
      <c r="AF1497" s="19"/>
      <c r="AG1497" s="19"/>
      <c r="AH1497" s="19"/>
      <c r="AI1497" s="19"/>
      <c r="AJ1497" s="19"/>
      <c r="AK1497" s="19"/>
      <c r="AL1497" s="19"/>
      <c r="AM1497" s="19"/>
      <c r="AN1497" s="19"/>
      <c r="AO1497" s="19"/>
      <c r="AP1497" s="19"/>
      <c r="AQ1497" s="19"/>
      <c r="AR1497" s="19"/>
      <c r="AS1497" s="19"/>
      <c r="AT1497" s="19"/>
      <c r="AU1497" s="19"/>
      <c r="AV1497" s="19"/>
      <c r="AW1497" s="19"/>
      <c r="AX1497" s="19"/>
      <c r="GA1497" s="54"/>
    </row>
    <row r="1498" spans="1:183" s="18" customFormat="1">
      <c r="A1498" s="51"/>
      <c r="B1498" s="52"/>
      <c r="C1498" s="52"/>
      <c r="D1498" s="52"/>
      <c r="E1498" s="53"/>
      <c r="F1498" s="52"/>
      <c r="G1498" s="52"/>
      <c r="H1498" s="52"/>
      <c r="I1498" s="53"/>
      <c r="J1498" s="52"/>
      <c r="K1498" s="52"/>
      <c r="L1498" s="52"/>
      <c r="M1498" s="52"/>
      <c r="N1498" s="19"/>
      <c r="O1498" s="19"/>
      <c r="P1498" s="19"/>
      <c r="Q1498" s="19"/>
      <c r="R1498" s="19"/>
      <c r="S1498" s="19"/>
      <c r="T1498" s="19"/>
      <c r="U1498" s="19"/>
      <c r="V1498" s="19"/>
      <c r="W1498" s="19"/>
      <c r="X1498" s="19"/>
      <c r="Y1498" s="19"/>
      <c r="Z1498" s="19"/>
      <c r="AA1498" s="19"/>
      <c r="AB1498" s="19"/>
      <c r="AC1498" s="19"/>
      <c r="AD1498" s="19"/>
      <c r="AE1498" s="19"/>
      <c r="AF1498" s="19"/>
      <c r="AG1498" s="19"/>
      <c r="AH1498" s="19"/>
      <c r="AI1498" s="19"/>
      <c r="AJ1498" s="19"/>
      <c r="AK1498" s="19"/>
      <c r="AL1498" s="19"/>
      <c r="AM1498" s="19"/>
      <c r="AN1498" s="19"/>
      <c r="AO1498" s="19"/>
      <c r="AP1498" s="19"/>
      <c r="AQ1498" s="19"/>
      <c r="AR1498" s="19"/>
      <c r="AS1498" s="19"/>
      <c r="AT1498" s="19"/>
      <c r="AU1498" s="19"/>
      <c r="AV1498" s="19"/>
      <c r="AW1498" s="19"/>
      <c r="AX1498" s="19"/>
      <c r="GA1498" s="54"/>
    </row>
    <row r="1499" spans="1:183" s="18" customFormat="1">
      <c r="A1499" s="51"/>
      <c r="B1499" s="52"/>
      <c r="C1499" s="52"/>
      <c r="D1499" s="52"/>
      <c r="E1499" s="53"/>
      <c r="F1499" s="52"/>
      <c r="G1499" s="52"/>
      <c r="H1499" s="52"/>
      <c r="I1499" s="53"/>
      <c r="J1499" s="52"/>
      <c r="K1499" s="52"/>
      <c r="L1499" s="52"/>
      <c r="M1499" s="52"/>
      <c r="N1499" s="19"/>
      <c r="O1499" s="19"/>
      <c r="P1499" s="19"/>
      <c r="Q1499" s="19"/>
      <c r="R1499" s="19"/>
      <c r="S1499" s="19"/>
      <c r="T1499" s="19"/>
      <c r="U1499" s="19"/>
      <c r="V1499" s="19"/>
      <c r="W1499" s="19"/>
      <c r="X1499" s="19"/>
      <c r="Y1499" s="19"/>
      <c r="Z1499" s="19"/>
      <c r="AA1499" s="19"/>
      <c r="AB1499" s="19"/>
      <c r="AC1499" s="19"/>
      <c r="AD1499" s="19"/>
      <c r="AE1499" s="19"/>
      <c r="AF1499" s="19"/>
      <c r="AG1499" s="19"/>
      <c r="AH1499" s="19"/>
      <c r="AI1499" s="19"/>
      <c r="AJ1499" s="19"/>
      <c r="AK1499" s="19"/>
      <c r="AL1499" s="19"/>
      <c r="AM1499" s="19"/>
      <c r="AN1499" s="19"/>
      <c r="AO1499" s="19"/>
      <c r="AP1499" s="19"/>
      <c r="AQ1499" s="19"/>
      <c r="AR1499" s="19"/>
      <c r="AS1499" s="19"/>
      <c r="AT1499" s="19"/>
      <c r="AU1499" s="19"/>
      <c r="AV1499" s="19"/>
      <c r="AW1499" s="19"/>
      <c r="AX1499" s="19"/>
      <c r="GA1499" s="54"/>
    </row>
    <row r="1500" spans="1:183" s="18" customFormat="1">
      <c r="A1500" s="51"/>
      <c r="B1500" s="52"/>
      <c r="C1500" s="52"/>
      <c r="D1500" s="52"/>
      <c r="E1500" s="53"/>
      <c r="F1500" s="52"/>
      <c r="G1500" s="52"/>
      <c r="H1500" s="52"/>
      <c r="I1500" s="53"/>
      <c r="J1500" s="52"/>
      <c r="K1500" s="52"/>
      <c r="L1500" s="52"/>
      <c r="M1500" s="52"/>
      <c r="N1500" s="19"/>
      <c r="O1500" s="19"/>
      <c r="P1500" s="19"/>
      <c r="Q1500" s="19"/>
      <c r="R1500" s="19"/>
      <c r="S1500" s="19"/>
      <c r="T1500" s="19"/>
      <c r="U1500" s="19"/>
      <c r="V1500" s="19"/>
      <c r="W1500" s="19"/>
      <c r="X1500" s="19"/>
      <c r="Y1500" s="19"/>
      <c r="Z1500" s="19"/>
      <c r="AA1500" s="19"/>
      <c r="AB1500" s="19"/>
      <c r="AC1500" s="19"/>
      <c r="AD1500" s="19"/>
      <c r="AE1500" s="19"/>
      <c r="AF1500" s="19"/>
      <c r="AG1500" s="19"/>
      <c r="AH1500" s="19"/>
      <c r="AI1500" s="19"/>
      <c r="AJ1500" s="19"/>
      <c r="AK1500" s="19"/>
      <c r="AL1500" s="19"/>
      <c r="AM1500" s="19"/>
      <c r="AN1500" s="19"/>
      <c r="AO1500" s="19"/>
      <c r="AP1500" s="19"/>
      <c r="AQ1500" s="19"/>
      <c r="AR1500" s="19"/>
      <c r="AS1500" s="19"/>
      <c r="AT1500" s="19"/>
      <c r="AU1500" s="19"/>
      <c r="AV1500" s="19"/>
      <c r="AW1500" s="19"/>
      <c r="AX1500" s="19"/>
      <c r="GA1500" s="54"/>
    </row>
    <row r="1501" spans="1:183" s="18" customFormat="1">
      <c r="A1501" s="51"/>
      <c r="B1501" s="52"/>
      <c r="C1501" s="52"/>
      <c r="D1501" s="52"/>
      <c r="E1501" s="53"/>
      <c r="F1501" s="52"/>
      <c r="G1501" s="52"/>
      <c r="H1501" s="52"/>
      <c r="I1501" s="53"/>
      <c r="J1501" s="52"/>
      <c r="K1501" s="52"/>
      <c r="L1501" s="52"/>
      <c r="M1501" s="52"/>
      <c r="N1501" s="19"/>
      <c r="O1501" s="19"/>
      <c r="P1501" s="19"/>
      <c r="Q1501" s="19"/>
      <c r="R1501" s="19"/>
      <c r="S1501" s="19"/>
      <c r="T1501" s="19"/>
      <c r="U1501" s="19"/>
      <c r="V1501" s="19"/>
      <c r="W1501" s="19"/>
      <c r="X1501" s="19"/>
      <c r="Y1501" s="19"/>
      <c r="Z1501" s="19"/>
      <c r="AA1501" s="19"/>
      <c r="AB1501" s="19"/>
      <c r="AC1501" s="19"/>
      <c r="AD1501" s="19"/>
      <c r="AE1501" s="19"/>
      <c r="AF1501" s="19"/>
      <c r="AG1501" s="19"/>
      <c r="AH1501" s="19"/>
      <c r="AI1501" s="19"/>
      <c r="AJ1501" s="19"/>
      <c r="AK1501" s="19"/>
      <c r="AL1501" s="19"/>
      <c r="AM1501" s="19"/>
      <c r="AN1501" s="19"/>
      <c r="AO1501" s="19"/>
      <c r="AP1501" s="19"/>
      <c r="AQ1501" s="19"/>
      <c r="AR1501" s="19"/>
      <c r="AS1501" s="19"/>
      <c r="AT1501" s="19"/>
      <c r="AU1501" s="19"/>
      <c r="AV1501" s="19"/>
      <c r="AW1501" s="19"/>
      <c r="AX1501" s="19"/>
      <c r="GA1501" s="54"/>
    </row>
    <row r="1502" spans="1:183" s="18" customFormat="1">
      <c r="A1502" s="51"/>
      <c r="B1502" s="52"/>
      <c r="C1502" s="52"/>
      <c r="D1502" s="52"/>
      <c r="E1502" s="53"/>
      <c r="F1502" s="52"/>
      <c r="G1502" s="52"/>
      <c r="H1502" s="52"/>
      <c r="I1502" s="53"/>
      <c r="J1502" s="52"/>
      <c r="K1502" s="52"/>
      <c r="L1502" s="52"/>
      <c r="M1502" s="52"/>
      <c r="N1502" s="19"/>
      <c r="O1502" s="19"/>
      <c r="P1502" s="19"/>
      <c r="Q1502" s="19"/>
      <c r="R1502" s="19"/>
      <c r="S1502" s="19"/>
      <c r="T1502" s="19"/>
      <c r="U1502" s="19"/>
      <c r="V1502" s="19"/>
      <c r="W1502" s="19"/>
      <c r="X1502" s="19"/>
      <c r="Y1502" s="19"/>
      <c r="Z1502" s="19"/>
      <c r="AA1502" s="19"/>
      <c r="AB1502" s="19"/>
      <c r="AC1502" s="19"/>
      <c r="AD1502" s="19"/>
      <c r="AE1502" s="19"/>
      <c r="AF1502" s="19"/>
      <c r="AG1502" s="19"/>
      <c r="AH1502" s="19"/>
      <c r="AI1502" s="19"/>
      <c r="AJ1502" s="19"/>
      <c r="AK1502" s="19"/>
      <c r="AL1502" s="19"/>
      <c r="AM1502" s="19"/>
      <c r="AN1502" s="19"/>
      <c r="AO1502" s="19"/>
      <c r="AP1502" s="19"/>
      <c r="AQ1502" s="19"/>
      <c r="AR1502" s="19"/>
      <c r="AS1502" s="19"/>
      <c r="AT1502" s="19"/>
      <c r="AU1502" s="19"/>
      <c r="AV1502" s="19"/>
      <c r="AW1502" s="19"/>
      <c r="AX1502" s="19"/>
      <c r="GA1502" s="54"/>
    </row>
    <row r="1503" spans="1:183" s="18" customFormat="1">
      <c r="A1503" s="51"/>
      <c r="B1503" s="52"/>
      <c r="C1503" s="52"/>
      <c r="D1503" s="52"/>
      <c r="E1503" s="53"/>
      <c r="F1503" s="52"/>
      <c r="G1503" s="52"/>
      <c r="H1503" s="52"/>
      <c r="I1503" s="53"/>
      <c r="J1503" s="52"/>
      <c r="K1503" s="52"/>
      <c r="L1503" s="52"/>
      <c r="M1503" s="52"/>
      <c r="N1503" s="19"/>
      <c r="O1503" s="19"/>
      <c r="P1503" s="19"/>
      <c r="Q1503" s="19"/>
      <c r="R1503" s="19"/>
      <c r="S1503" s="19"/>
      <c r="T1503" s="19"/>
      <c r="U1503" s="19"/>
      <c r="V1503" s="19"/>
      <c r="W1503" s="19"/>
      <c r="X1503" s="19"/>
      <c r="Y1503" s="19"/>
      <c r="Z1503" s="19"/>
      <c r="AA1503" s="19"/>
      <c r="AB1503" s="19"/>
      <c r="AC1503" s="19"/>
      <c r="AD1503" s="19"/>
      <c r="AE1503" s="19"/>
      <c r="AF1503" s="19"/>
      <c r="AG1503" s="19"/>
      <c r="AH1503" s="19"/>
      <c r="AI1503" s="19"/>
      <c r="AJ1503" s="19"/>
      <c r="AK1503" s="19"/>
      <c r="AL1503" s="19"/>
      <c r="AM1503" s="19"/>
      <c r="AN1503" s="19"/>
      <c r="AO1503" s="19"/>
      <c r="AP1503" s="19"/>
      <c r="AQ1503" s="19"/>
      <c r="AR1503" s="19"/>
      <c r="AS1503" s="19"/>
      <c r="AT1503" s="19"/>
      <c r="AU1503" s="19"/>
      <c r="AV1503" s="19"/>
      <c r="AW1503" s="19"/>
      <c r="AX1503" s="19"/>
      <c r="GA1503" s="54"/>
    </row>
    <row r="1504" spans="1:183" s="18" customFormat="1">
      <c r="A1504" s="51"/>
      <c r="B1504" s="52"/>
      <c r="C1504" s="52"/>
      <c r="D1504" s="52"/>
      <c r="E1504" s="53"/>
      <c r="F1504" s="52"/>
      <c r="G1504" s="52"/>
      <c r="H1504" s="52"/>
      <c r="I1504" s="53"/>
      <c r="J1504" s="52"/>
      <c r="K1504" s="52"/>
      <c r="L1504" s="52"/>
      <c r="M1504" s="52"/>
      <c r="N1504" s="19"/>
      <c r="O1504" s="19"/>
      <c r="P1504" s="19"/>
      <c r="Q1504" s="19"/>
      <c r="R1504" s="19"/>
      <c r="S1504" s="19"/>
      <c r="T1504" s="19"/>
      <c r="U1504" s="19"/>
      <c r="V1504" s="19"/>
      <c r="W1504" s="19"/>
      <c r="X1504" s="19"/>
      <c r="Y1504" s="19"/>
      <c r="Z1504" s="19"/>
      <c r="AA1504" s="19"/>
      <c r="AB1504" s="19"/>
      <c r="AC1504" s="19"/>
      <c r="AD1504" s="19"/>
      <c r="AE1504" s="19"/>
      <c r="AF1504" s="19"/>
      <c r="AG1504" s="19"/>
      <c r="AH1504" s="19"/>
      <c r="AI1504" s="19"/>
      <c r="AJ1504" s="19"/>
      <c r="AK1504" s="19"/>
      <c r="AL1504" s="19"/>
      <c r="AM1504" s="19"/>
      <c r="AN1504" s="19"/>
      <c r="AO1504" s="19"/>
      <c r="AP1504" s="19"/>
      <c r="AQ1504" s="19"/>
      <c r="AR1504" s="19"/>
      <c r="AS1504" s="19"/>
      <c r="AT1504" s="19"/>
      <c r="AU1504" s="19"/>
      <c r="AV1504" s="19"/>
      <c r="AW1504" s="19"/>
      <c r="AX1504" s="19"/>
      <c r="GA1504" s="54"/>
    </row>
    <row r="1505" spans="1:183" s="18" customFormat="1">
      <c r="A1505" s="51"/>
      <c r="B1505" s="52"/>
      <c r="C1505" s="52"/>
      <c r="D1505" s="52"/>
      <c r="E1505" s="53"/>
      <c r="F1505" s="52"/>
      <c r="G1505" s="52"/>
      <c r="H1505" s="52"/>
      <c r="I1505" s="53"/>
      <c r="J1505" s="52"/>
      <c r="K1505" s="52"/>
      <c r="L1505" s="52"/>
      <c r="M1505" s="52"/>
      <c r="N1505" s="19"/>
      <c r="O1505" s="19"/>
      <c r="P1505" s="19"/>
      <c r="Q1505" s="19"/>
      <c r="R1505" s="19"/>
      <c r="S1505" s="19"/>
      <c r="T1505" s="19"/>
      <c r="U1505" s="19"/>
      <c r="V1505" s="19"/>
      <c r="W1505" s="19"/>
      <c r="X1505" s="19"/>
      <c r="Y1505" s="19"/>
      <c r="Z1505" s="19"/>
      <c r="AA1505" s="19"/>
      <c r="AB1505" s="19"/>
      <c r="AC1505" s="19"/>
      <c r="AD1505" s="19"/>
      <c r="AE1505" s="19"/>
      <c r="AF1505" s="19"/>
      <c r="AG1505" s="19"/>
      <c r="AH1505" s="19"/>
      <c r="AI1505" s="19"/>
      <c r="AJ1505" s="19"/>
      <c r="AK1505" s="19"/>
      <c r="AL1505" s="19"/>
      <c r="AM1505" s="19"/>
      <c r="AN1505" s="19"/>
      <c r="AO1505" s="19"/>
      <c r="AP1505" s="19"/>
      <c r="AQ1505" s="19"/>
      <c r="AR1505" s="19"/>
      <c r="AS1505" s="19"/>
      <c r="AT1505" s="19"/>
      <c r="AU1505" s="19"/>
      <c r="AV1505" s="19"/>
      <c r="AW1505" s="19"/>
      <c r="AX1505" s="19"/>
      <c r="GA1505" s="54"/>
    </row>
    <row r="1506" spans="1:183" s="18" customFormat="1">
      <c r="A1506" s="51"/>
      <c r="B1506" s="52"/>
      <c r="C1506" s="52"/>
      <c r="D1506" s="52"/>
      <c r="E1506" s="53"/>
      <c r="F1506" s="52"/>
      <c r="G1506" s="52"/>
      <c r="H1506" s="52"/>
      <c r="I1506" s="53"/>
      <c r="J1506" s="52"/>
      <c r="K1506" s="52"/>
      <c r="L1506" s="52"/>
      <c r="M1506" s="52"/>
      <c r="N1506" s="19"/>
      <c r="O1506" s="19"/>
      <c r="P1506" s="19"/>
      <c r="Q1506" s="19"/>
      <c r="R1506" s="19"/>
      <c r="S1506" s="19"/>
      <c r="T1506" s="19"/>
      <c r="U1506" s="19"/>
      <c r="V1506" s="19"/>
      <c r="W1506" s="19"/>
      <c r="X1506" s="19"/>
      <c r="Y1506" s="19"/>
      <c r="Z1506" s="19"/>
      <c r="AA1506" s="19"/>
      <c r="AB1506" s="19"/>
      <c r="AC1506" s="19"/>
      <c r="AD1506" s="19"/>
      <c r="AE1506" s="19"/>
      <c r="AF1506" s="19"/>
      <c r="AG1506" s="19"/>
      <c r="AH1506" s="19"/>
      <c r="AI1506" s="19"/>
      <c r="AJ1506" s="19"/>
      <c r="AK1506" s="19"/>
      <c r="AL1506" s="19"/>
      <c r="AM1506" s="19"/>
      <c r="AN1506" s="19"/>
      <c r="AO1506" s="19"/>
      <c r="AP1506" s="19"/>
      <c r="AQ1506" s="19"/>
      <c r="AR1506" s="19"/>
      <c r="AS1506" s="19"/>
      <c r="AT1506" s="19"/>
      <c r="AU1506" s="19"/>
      <c r="AV1506" s="19"/>
      <c r="AW1506" s="19"/>
      <c r="AX1506" s="19"/>
      <c r="GA1506" s="54"/>
    </row>
    <row r="1507" spans="1:183" s="18" customFormat="1">
      <c r="A1507" s="51"/>
      <c r="B1507" s="52"/>
      <c r="C1507" s="52"/>
      <c r="D1507" s="52"/>
      <c r="E1507" s="53"/>
      <c r="F1507" s="52"/>
      <c r="G1507" s="52"/>
      <c r="H1507" s="52"/>
      <c r="I1507" s="53"/>
      <c r="J1507" s="52"/>
      <c r="K1507" s="52"/>
      <c r="L1507" s="52"/>
      <c r="M1507" s="52"/>
      <c r="N1507" s="19"/>
      <c r="O1507" s="19"/>
      <c r="P1507" s="19"/>
      <c r="Q1507" s="19"/>
      <c r="R1507" s="19"/>
      <c r="S1507" s="19"/>
      <c r="T1507" s="19"/>
      <c r="U1507" s="19"/>
      <c r="V1507" s="19"/>
      <c r="W1507" s="19"/>
      <c r="X1507" s="19"/>
      <c r="Y1507" s="19"/>
      <c r="Z1507" s="19"/>
      <c r="AA1507" s="19"/>
      <c r="AB1507" s="19"/>
      <c r="AC1507" s="19"/>
      <c r="AD1507" s="19"/>
      <c r="AE1507" s="19"/>
      <c r="AF1507" s="19"/>
      <c r="AG1507" s="19"/>
      <c r="AH1507" s="19"/>
      <c r="AI1507" s="19"/>
      <c r="AJ1507" s="19"/>
      <c r="AK1507" s="19"/>
      <c r="AL1507" s="19"/>
      <c r="AM1507" s="19"/>
      <c r="AN1507" s="19"/>
      <c r="AO1507" s="19"/>
      <c r="AP1507" s="19"/>
      <c r="AQ1507" s="19"/>
      <c r="AR1507" s="19"/>
      <c r="AS1507" s="19"/>
      <c r="AT1507" s="19"/>
      <c r="AU1507" s="19"/>
      <c r="AV1507" s="19"/>
      <c r="AW1507" s="19"/>
      <c r="AX1507" s="19"/>
      <c r="GA1507" s="54"/>
    </row>
    <row r="1508" spans="1:183" s="18" customFormat="1">
      <c r="A1508" s="51"/>
      <c r="B1508" s="52"/>
      <c r="C1508" s="52"/>
      <c r="D1508" s="52"/>
      <c r="E1508" s="53"/>
      <c r="F1508" s="52"/>
      <c r="G1508" s="52"/>
      <c r="H1508" s="52"/>
      <c r="I1508" s="53"/>
      <c r="J1508" s="52"/>
      <c r="K1508" s="52"/>
      <c r="L1508" s="52"/>
      <c r="M1508" s="52"/>
      <c r="N1508" s="19"/>
      <c r="O1508" s="19"/>
      <c r="P1508" s="19"/>
      <c r="Q1508" s="19"/>
      <c r="R1508" s="19"/>
      <c r="S1508" s="19"/>
      <c r="T1508" s="19"/>
      <c r="U1508" s="19"/>
      <c r="V1508" s="19"/>
      <c r="W1508" s="19"/>
      <c r="X1508" s="19"/>
      <c r="Y1508" s="19"/>
      <c r="Z1508" s="19"/>
      <c r="AA1508" s="19"/>
      <c r="AB1508" s="19"/>
      <c r="AC1508" s="19"/>
      <c r="AD1508" s="19"/>
      <c r="AE1508" s="19"/>
      <c r="AF1508" s="19"/>
      <c r="AG1508" s="19"/>
      <c r="AH1508" s="19"/>
      <c r="AI1508" s="19"/>
      <c r="AJ1508" s="19"/>
      <c r="AK1508" s="19"/>
      <c r="AL1508" s="19"/>
      <c r="AM1508" s="19"/>
      <c r="AN1508" s="19"/>
      <c r="AO1508" s="19"/>
      <c r="AP1508" s="19"/>
      <c r="AQ1508" s="19"/>
      <c r="AR1508" s="19"/>
      <c r="AS1508" s="19"/>
      <c r="AT1508" s="19"/>
      <c r="AU1508" s="19"/>
      <c r="AV1508" s="19"/>
      <c r="AW1508" s="19"/>
      <c r="AX1508" s="19"/>
      <c r="GA1508" s="54"/>
    </row>
    <row r="1509" spans="1:183" s="18" customFormat="1">
      <c r="A1509" s="51"/>
      <c r="B1509" s="52"/>
      <c r="C1509" s="52"/>
      <c r="D1509" s="52"/>
      <c r="E1509" s="53"/>
      <c r="F1509" s="52"/>
      <c r="G1509" s="52"/>
      <c r="H1509" s="52"/>
      <c r="I1509" s="53"/>
      <c r="J1509" s="52"/>
      <c r="K1509" s="52"/>
      <c r="L1509" s="52"/>
      <c r="M1509" s="52"/>
      <c r="N1509" s="19"/>
      <c r="O1509" s="19"/>
      <c r="P1509" s="19"/>
      <c r="Q1509" s="19"/>
      <c r="R1509" s="19"/>
      <c r="S1509" s="19"/>
      <c r="T1509" s="19"/>
      <c r="U1509" s="19"/>
      <c r="V1509" s="19"/>
      <c r="W1509" s="19"/>
      <c r="X1509" s="19"/>
      <c r="Y1509" s="19"/>
      <c r="Z1509" s="19"/>
      <c r="AA1509" s="19"/>
      <c r="AB1509" s="19"/>
      <c r="AC1509" s="19"/>
      <c r="AD1509" s="19"/>
      <c r="AE1509" s="19"/>
      <c r="AF1509" s="19"/>
      <c r="AG1509" s="19"/>
      <c r="AH1509" s="19"/>
      <c r="AI1509" s="19"/>
      <c r="AJ1509" s="19"/>
      <c r="AK1509" s="19"/>
      <c r="AL1509" s="19"/>
      <c r="AM1509" s="19"/>
      <c r="AN1509" s="19"/>
      <c r="AO1509" s="19"/>
      <c r="AP1509" s="19"/>
      <c r="AQ1509" s="19"/>
      <c r="AR1509" s="19"/>
      <c r="AS1509" s="19"/>
      <c r="AT1509" s="19"/>
      <c r="AU1509" s="19"/>
      <c r="AV1509" s="19"/>
      <c r="AW1509" s="19"/>
      <c r="AX1509" s="19"/>
      <c r="GA1509" s="54"/>
    </row>
    <row r="1510" spans="1:183" s="18" customFormat="1">
      <c r="A1510" s="51"/>
      <c r="B1510" s="52"/>
      <c r="C1510" s="52"/>
      <c r="D1510" s="52"/>
      <c r="E1510" s="53"/>
      <c r="F1510" s="52"/>
      <c r="G1510" s="52"/>
      <c r="H1510" s="52"/>
      <c r="I1510" s="53"/>
      <c r="J1510" s="52"/>
      <c r="K1510" s="52"/>
      <c r="L1510" s="52"/>
      <c r="M1510" s="52"/>
      <c r="N1510" s="19"/>
      <c r="O1510" s="19"/>
      <c r="P1510" s="19"/>
      <c r="Q1510" s="19"/>
      <c r="R1510" s="19"/>
      <c r="S1510" s="19"/>
      <c r="T1510" s="19"/>
      <c r="U1510" s="19"/>
      <c r="V1510" s="19"/>
      <c r="W1510" s="19"/>
      <c r="X1510" s="19"/>
      <c r="Y1510" s="19"/>
      <c r="Z1510" s="19"/>
      <c r="AA1510" s="19"/>
      <c r="AB1510" s="19"/>
      <c r="AC1510" s="19"/>
      <c r="AD1510" s="19"/>
      <c r="AE1510" s="19"/>
      <c r="AF1510" s="19"/>
      <c r="AG1510" s="19"/>
      <c r="AH1510" s="19"/>
      <c r="AI1510" s="19"/>
      <c r="AJ1510" s="19"/>
      <c r="AK1510" s="19"/>
      <c r="AL1510" s="19"/>
      <c r="AM1510" s="19"/>
      <c r="AN1510" s="19"/>
      <c r="AO1510" s="19"/>
      <c r="AP1510" s="19"/>
      <c r="AQ1510" s="19"/>
      <c r="AR1510" s="19"/>
      <c r="AS1510" s="19"/>
      <c r="AT1510" s="19"/>
      <c r="AU1510" s="19"/>
      <c r="AV1510" s="19"/>
      <c r="AW1510" s="19"/>
      <c r="AX1510" s="19"/>
      <c r="GA1510" s="54"/>
    </row>
    <row r="1511" spans="1:183" s="18" customFormat="1">
      <c r="A1511" s="51"/>
      <c r="B1511" s="52"/>
      <c r="C1511" s="52"/>
      <c r="D1511" s="52"/>
      <c r="E1511" s="53"/>
      <c r="F1511" s="52"/>
      <c r="G1511" s="52"/>
      <c r="H1511" s="52"/>
      <c r="I1511" s="53"/>
      <c r="J1511" s="52"/>
      <c r="K1511" s="52"/>
      <c r="L1511" s="52"/>
      <c r="M1511" s="52"/>
      <c r="N1511" s="19"/>
      <c r="O1511" s="19"/>
      <c r="P1511" s="19"/>
      <c r="Q1511" s="19"/>
      <c r="R1511" s="19"/>
      <c r="S1511" s="19"/>
      <c r="T1511" s="19"/>
      <c r="U1511" s="19"/>
      <c r="V1511" s="19"/>
      <c r="W1511" s="19"/>
      <c r="X1511" s="19"/>
      <c r="Y1511" s="19"/>
      <c r="Z1511" s="19"/>
      <c r="AA1511" s="19"/>
      <c r="AB1511" s="19"/>
      <c r="AC1511" s="19"/>
      <c r="AD1511" s="19"/>
      <c r="AE1511" s="19"/>
      <c r="AF1511" s="19"/>
      <c r="AG1511" s="19"/>
      <c r="AH1511" s="19"/>
      <c r="AI1511" s="19"/>
      <c r="AJ1511" s="19"/>
      <c r="AK1511" s="19"/>
      <c r="AL1511" s="19"/>
      <c r="AM1511" s="19"/>
      <c r="AN1511" s="19"/>
      <c r="AO1511" s="19"/>
      <c r="AP1511" s="19"/>
      <c r="AQ1511" s="19"/>
      <c r="AR1511" s="19"/>
      <c r="AS1511" s="19"/>
      <c r="AT1511" s="19"/>
      <c r="AU1511" s="19"/>
      <c r="AV1511" s="19"/>
      <c r="AW1511" s="19"/>
      <c r="AX1511" s="19"/>
      <c r="GA1511" s="54"/>
    </row>
    <row r="1512" spans="1:183" s="18" customFormat="1">
      <c r="A1512" s="51"/>
      <c r="B1512" s="52"/>
      <c r="C1512" s="52"/>
      <c r="D1512" s="52"/>
      <c r="E1512" s="53"/>
      <c r="F1512" s="52"/>
      <c r="G1512" s="52"/>
      <c r="H1512" s="52"/>
      <c r="I1512" s="53"/>
      <c r="J1512" s="52"/>
      <c r="K1512" s="52"/>
      <c r="L1512" s="52"/>
      <c r="M1512" s="52"/>
      <c r="N1512" s="19"/>
      <c r="O1512" s="19"/>
      <c r="P1512" s="19"/>
      <c r="Q1512" s="19"/>
      <c r="R1512" s="19"/>
      <c r="S1512" s="19"/>
      <c r="T1512" s="19"/>
      <c r="U1512" s="19"/>
      <c r="V1512" s="19"/>
      <c r="W1512" s="19"/>
      <c r="X1512" s="19"/>
      <c r="Y1512" s="19"/>
      <c r="Z1512" s="19"/>
      <c r="AA1512" s="19"/>
      <c r="AB1512" s="19"/>
      <c r="AC1512" s="19"/>
      <c r="AD1512" s="19"/>
      <c r="AE1512" s="19"/>
      <c r="AF1512" s="19"/>
      <c r="AG1512" s="19"/>
      <c r="AH1512" s="19"/>
      <c r="AI1512" s="19"/>
      <c r="AJ1512" s="19"/>
      <c r="AK1512" s="19"/>
      <c r="AL1512" s="19"/>
      <c r="AM1512" s="19"/>
      <c r="AN1512" s="19"/>
      <c r="AO1512" s="19"/>
      <c r="AP1512" s="19"/>
      <c r="AQ1512" s="19"/>
      <c r="AR1512" s="19"/>
      <c r="AS1512" s="19"/>
      <c r="AT1512" s="19"/>
      <c r="AU1512" s="19"/>
      <c r="AV1512" s="19"/>
      <c r="AW1512" s="19"/>
      <c r="AX1512" s="19"/>
      <c r="GA1512" s="54"/>
    </row>
    <row r="1513" spans="1:183" s="18" customFormat="1">
      <c r="A1513" s="51"/>
      <c r="B1513" s="52"/>
      <c r="C1513" s="52"/>
      <c r="D1513" s="52"/>
      <c r="E1513" s="53"/>
      <c r="F1513" s="52"/>
      <c r="G1513" s="52"/>
      <c r="H1513" s="52"/>
      <c r="I1513" s="53"/>
      <c r="J1513" s="52"/>
      <c r="K1513" s="52"/>
      <c r="L1513" s="52"/>
      <c r="M1513" s="52"/>
      <c r="N1513" s="19"/>
      <c r="O1513" s="19"/>
      <c r="P1513" s="19"/>
      <c r="Q1513" s="19"/>
      <c r="R1513" s="19"/>
      <c r="S1513" s="19"/>
      <c r="T1513" s="19"/>
      <c r="U1513" s="19"/>
      <c r="V1513" s="19"/>
      <c r="W1513" s="19"/>
      <c r="X1513" s="19"/>
      <c r="Y1513" s="19"/>
      <c r="Z1513" s="19"/>
      <c r="AA1513" s="19"/>
      <c r="AB1513" s="19"/>
      <c r="AC1513" s="19"/>
      <c r="AD1513" s="19"/>
      <c r="AE1513" s="19"/>
      <c r="AF1513" s="19"/>
      <c r="AG1513" s="19"/>
      <c r="AH1513" s="19"/>
      <c r="AI1513" s="19"/>
      <c r="AJ1513" s="19"/>
      <c r="AK1513" s="19"/>
      <c r="AL1513" s="19"/>
      <c r="AM1513" s="19"/>
      <c r="AN1513" s="19"/>
      <c r="AO1513" s="19"/>
      <c r="AP1513" s="19"/>
      <c r="AQ1513" s="19"/>
      <c r="AR1513" s="19"/>
      <c r="AS1513" s="19"/>
      <c r="AT1513" s="19"/>
      <c r="AU1513" s="19"/>
      <c r="AV1513" s="19"/>
      <c r="AW1513" s="19"/>
      <c r="AX1513" s="19"/>
      <c r="GA1513" s="54"/>
    </row>
    <row r="1514" spans="1:183" s="18" customFormat="1">
      <c r="A1514" s="51"/>
      <c r="B1514" s="52"/>
      <c r="C1514" s="52"/>
      <c r="D1514" s="52"/>
      <c r="E1514" s="53"/>
      <c r="F1514" s="52"/>
      <c r="G1514" s="52"/>
      <c r="H1514" s="52"/>
      <c r="I1514" s="53"/>
      <c r="J1514" s="52"/>
      <c r="K1514" s="52"/>
      <c r="L1514" s="52"/>
      <c r="M1514" s="52"/>
      <c r="N1514" s="19"/>
      <c r="O1514" s="19"/>
      <c r="P1514" s="19"/>
      <c r="Q1514" s="19"/>
      <c r="R1514" s="19"/>
      <c r="S1514" s="19"/>
      <c r="T1514" s="19"/>
      <c r="U1514" s="19"/>
      <c r="V1514" s="19"/>
      <c r="W1514" s="19"/>
      <c r="X1514" s="19"/>
      <c r="Y1514" s="19"/>
      <c r="Z1514" s="19"/>
      <c r="AA1514" s="19"/>
      <c r="AB1514" s="19"/>
      <c r="AC1514" s="19"/>
      <c r="AD1514" s="19"/>
      <c r="AE1514" s="19"/>
      <c r="AF1514" s="19"/>
      <c r="AG1514" s="19"/>
      <c r="AH1514" s="19"/>
      <c r="AI1514" s="19"/>
      <c r="AJ1514" s="19"/>
      <c r="AK1514" s="19"/>
      <c r="AL1514" s="19"/>
      <c r="AM1514" s="19"/>
      <c r="AN1514" s="19"/>
      <c r="AO1514" s="19"/>
      <c r="AP1514" s="19"/>
      <c r="AQ1514" s="19"/>
      <c r="AR1514" s="19"/>
      <c r="AS1514" s="19"/>
      <c r="AT1514" s="19"/>
      <c r="AU1514" s="19"/>
      <c r="AV1514" s="19"/>
      <c r="AW1514" s="19"/>
      <c r="AX1514" s="19"/>
      <c r="GA1514" s="54"/>
    </row>
    <row r="1515" spans="1:183" s="18" customFormat="1">
      <c r="A1515" s="51"/>
      <c r="B1515" s="52"/>
      <c r="C1515" s="52"/>
      <c r="D1515" s="52"/>
      <c r="E1515" s="53"/>
      <c r="F1515" s="52"/>
      <c r="G1515" s="52"/>
      <c r="H1515" s="52"/>
      <c r="I1515" s="53"/>
      <c r="J1515" s="52"/>
      <c r="K1515" s="52"/>
      <c r="L1515" s="52"/>
      <c r="M1515" s="52"/>
      <c r="N1515" s="19"/>
      <c r="O1515" s="19"/>
      <c r="P1515" s="19"/>
      <c r="Q1515" s="19"/>
      <c r="R1515" s="19"/>
      <c r="S1515" s="19"/>
      <c r="T1515" s="19"/>
      <c r="U1515" s="19"/>
      <c r="V1515" s="19"/>
      <c r="W1515" s="19"/>
      <c r="X1515" s="19"/>
      <c r="Y1515" s="19"/>
      <c r="Z1515" s="19"/>
      <c r="AA1515" s="19"/>
      <c r="AB1515" s="19"/>
      <c r="AC1515" s="19"/>
      <c r="AD1515" s="19"/>
      <c r="AE1515" s="19"/>
      <c r="AF1515" s="19"/>
      <c r="AG1515" s="19"/>
      <c r="AH1515" s="19"/>
      <c r="AI1515" s="19"/>
      <c r="AJ1515" s="19"/>
      <c r="AK1515" s="19"/>
      <c r="AL1515" s="19"/>
      <c r="AM1515" s="19"/>
      <c r="AN1515" s="19"/>
      <c r="AO1515" s="19"/>
      <c r="AP1515" s="19"/>
      <c r="AQ1515" s="19"/>
      <c r="AR1515" s="19"/>
      <c r="AS1515" s="19"/>
      <c r="AT1515" s="19"/>
      <c r="AU1515" s="19"/>
      <c r="AV1515" s="19"/>
      <c r="AW1515" s="19"/>
      <c r="AX1515" s="19"/>
      <c r="GA1515" s="54"/>
    </row>
    <row r="1516" spans="1:183" s="18" customFormat="1">
      <c r="A1516" s="51"/>
      <c r="B1516" s="52"/>
      <c r="C1516" s="52"/>
      <c r="D1516" s="52"/>
      <c r="E1516" s="53"/>
      <c r="F1516" s="52"/>
      <c r="G1516" s="52"/>
      <c r="H1516" s="52"/>
      <c r="I1516" s="53"/>
      <c r="J1516" s="52"/>
      <c r="K1516" s="52"/>
      <c r="L1516" s="52"/>
      <c r="M1516" s="52"/>
      <c r="N1516" s="19"/>
      <c r="O1516" s="19"/>
      <c r="P1516" s="19"/>
      <c r="Q1516" s="19"/>
      <c r="R1516" s="19"/>
      <c r="S1516" s="19"/>
      <c r="T1516" s="19"/>
      <c r="U1516" s="19"/>
      <c r="V1516" s="19"/>
      <c r="W1516" s="19"/>
      <c r="X1516" s="19"/>
      <c r="Y1516" s="19"/>
      <c r="Z1516" s="19"/>
      <c r="AA1516" s="19"/>
      <c r="AB1516" s="19"/>
      <c r="AC1516" s="19"/>
      <c r="AD1516" s="19"/>
      <c r="AE1516" s="19"/>
      <c r="AF1516" s="19"/>
      <c r="AG1516" s="19"/>
      <c r="AH1516" s="19"/>
      <c r="AI1516" s="19"/>
      <c r="AJ1516" s="19"/>
      <c r="AK1516" s="19"/>
      <c r="AL1516" s="19"/>
      <c r="AM1516" s="19"/>
      <c r="AN1516" s="19"/>
      <c r="AO1516" s="19"/>
      <c r="AP1516" s="19"/>
      <c r="AQ1516" s="19"/>
      <c r="AR1516" s="19"/>
      <c r="AS1516" s="19"/>
      <c r="AT1516" s="19"/>
      <c r="AU1516" s="19"/>
      <c r="AV1516" s="19"/>
      <c r="AW1516" s="19"/>
      <c r="AX1516" s="19"/>
      <c r="GA1516" s="54"/>
    </row>
    <row r="1517" spans="1:183" s="18" customFormat="1">
      <c r="A1517" s="51"/>
      <c r="B1517" s="52"/>
      <c r="C1517" s="52"/>
      <c r="D1517" s="52"/>
      <c r="E1517" s="53"/>
      <c r="F1517" s="52"/>
      <c r="G1517" s="52"/>
      <c r="H1517" s="52"/>
      <c r="I1517" s="53"/>
      <c r="J1517" s="52"/>
      <c r="K1517" s="52"/>
      <c r="L1517" s="52"/>
      <c r="M1517" s="52"/>
      <c r="N1517" s="19"/>
      <c r="O1517" s="19"/>
      <c r="P1517" s="19"/>
      <c r="Q1517" s="19"/>
      <c r="R1517" s="19"/>
      <c r="S1517" s="19"/>
      <c r="T1517" s="19"/>
      <c r="U1517" s="19"/>
      <c r="V1517" s="19"/>
      <c r="W1517" s="19"/>
      <c r="X1517" s="19"/>
      <c r="Y1517" s="19"/>
      <c r="Z1517" s="19"/>
      <c r="AA1517" s="19"/>
      <c r="AB1517" s="19"/>
      <c r="AC1517" s="19"/>
      <c r="AD1517" s="19"/>
      <c r="AE1517" s="19"/>
      <c r="AF1517" s="19"/>
      <c r="AG1517" s="19"/>
      <c r="AH1517" s="19"/>
      <c r="AI1517" s="19"/>
      <c r="AJ1517" s="19"/>
      <c r="AK1517" s="19"/>
      <c r="AL1517" s="19"/>
      <c r="AM1517" s="19"/>
      <c r="AN1517" s="19"/>
      <c r="AO1517" s="19"/>
      <c r="AP1517" s="19"/>
      <c r="AQ1517" s="19"/>
      <c r="AR1517" s="19"/>
      <c r="AS1517" s="19"/>
      <c r="AT1517" s="19"/>
      <c r="AU1517" s="19"/>
      <c r="AV1517" s="19"/>
      <c r="AW1517" s="19"/>
      <c r="AX1517" s="19"/>
      <c r="GA1517" s="54"/>
    </row>
    <row r="1518" spans="1:183" s="18" customFormat="1">
      <c r="A1518" s="51"/>
      <c r="B1518" s="52"/>
      <c r="C1518" s="52"/>
      <c r="D1518" s="52"/>
      <c r="E1518" s="53"/>
      <c r="F1518" s="52"/>
      <c r="G1518" s="52"/>
      <c r="H1518" s="52"/>
      <c r="I1518" s="53"/>
      <c r="J1518" s="52"/>
      <c r="K1518" s="52"/>
      <c r="L1518" s="52"/>
      <c r="M1518" s="52"/>
      <c r="N1518" s="19"/>
      <c r="O1518" s="19"/>
      <c r="P1518" s="19"/>
      <c r="Q1518" s="19"/>
      <c r="R1518" s="19"/>
      <c r="S1518" s="19"/>
      <c r="T1518" s="19"/>
      <c r="U1518" s="19"/>
      <c r="V1518" s="19"/>
      <c r="W1518" s="19"/>
      <c r="X1518" s="19"/>
      <c r="Y1518" s="19"/>
      <c r="Z1518" s="19"/>
      <c r="AA1518" s="19"/>
      <c r="AB1518" s="19"/>
      <c r="AC1518" s="19"/>
      <c r="AD1518" s="19"/>
      <c r="AE1518" s="19"/>
      <c r="AF1518" s="19"/>
      <c r="AG1518" s="19"/>
      <c r="AH1518" s="19"/>
      <c r="AI1518" s="19"/>
      <c r="AJ1518" s="19"/>
      <c r="AK1518" s="19"/>
      <c r="AL1518" s="19"/>
      <c r="AM1518" s="19"/>
      <c r="AN1518" s="19"/>
      <c r="AO1518" s="19"/>
      <c r="AP1518" s="19"/>
      <c r="AQ1518" s="19"/>
      <c r="AR1518" s="19"/>
      <c r="AS1518" s="19"/>
      <c r="AT1518" s="19"/>
      <c r="AU1518" s="19"/>
      <c r="AV1518" s="19"/>
      <c r="AW1518" s="19"/>
      <c r="AX1518" s="19"/>
      <c r="GA1518" s="54"/>
    </row>
    <row r="1519" spans="1:183" s="18" customFormat="1">
      <c r="A1519" s="51"/>
      <c r="B1519" s="52"/>
      <c r="C1519" s="52"/>
      <c r="D1519" s="52"/>
      <c r="E1519" s="53"/>
      <c r="F1519" s="52"/>
      <c r="G1519" s="52"/>
      <c r="H1519" s="52"/>
      <c r="I1519" s="53"/>
      <c r="J1519" s="52"/>
      <c r="K1519" s="52"/>
      <c r="L1519" s="52"/>
      <c r="M1519" s="52"/>
      <c r="N1519" s="19"/>
      <c r="O1519" s="19"/>
      <c r="P1519" s="19"/>
      <c r="Q1519" s="19"/>
      <c r="R1519" s="19"/>
      <c r="S1519" s="19"/>
      <c r="T1519" s="19"/>
      <c r="U1519" s="19"/>
      <c r="V1519" s="19"/>
      <c r="W1519" s="19"/>
      <c r="X1519" s="19"/>
      <c r="Y1519" s="19"/>
      <c r="Z1519" s="19"/>
      <c r="AA1519" s="19"/>
      <c r="AB1519" s="19"/>
      <c r="AC1519" s="19"/>
      <c r="AD1519" s="19"/>
      <c r="AE1519" s="19"/>
      <c r="AF1519" s="19"/>
      <c r="AG1519" s="19"/>
      <c r="AH1519" s="19"/>
      <c r="AI1519" s="19"/>
      <c r="AJ1519" s="19"/>
      <c r="AK1519" s="19"/>
      <c r="AL1519" s="19"/>
      <c r="AM1519" s="19"/>
      <c r="AN1519" s="19"/>
      <c r="AO1519" s="19"/>
      <c r="AP1519" s="19"/>
      <c r="AQ1519" s="19"/>
      <c r="AR1519" s="19"/>
      <c r="AS1519" s="19"/>
      <c r="AT1519" s="19"/>
      <c r="AU1519" s="19"/>
      <c r="AV1519" s="19"/>
      <c r="AW1519" s="19"/>
      <c r="AX1519" s="19"/>
      <c r="GA1519" s="54"/>
    </row>
    <row r="1520" spans="1:183" s="18" customFormat="1">
      <c r="A1520" s="51"/>
      <c r="B1520" s="52"/>
      <c r="C1520" s="52"/>
      <c r="D1520" s="52"/>
      <c r="E1520" s="53"/>
      <c r="F1520" s="52"/>
      <c r="G1520" s="52"/>
      <c r="H1520" s="52"/>
      <c r="I1520" s="53"/>
      <c r="J1520" s="52"/>
      <c r="K1520" s="52"/>
      <c r="L1520" s="52"/>
      <c r="M1520" s="52"/>
      <c r="N1520" s="19"/>
      <c r="O1520" s="19"/>
      <c r="P1520" s="19"/>
      <c r="Q1520" s="19"/>
      <c r="R1520" s="19"/>
      <c r="S1520" s="19"/>
      <c r="T1520" s="19"/>
      <c r="U1520" s="19"/>
      <c r="V1520" s="19"/>
      <c r="W1520" s="19"/>
      <c r="X1520" s="19"/>
      <c r="Y1520" s="19"/>
      <c r="Z1520" s="19"/>
      <c r="AA1520" s="19"/>
      <c r="AB1520" s="19"/>
      <c r="AC1520" s="19"/>
      <c r="AD1520" s="19"/>
      <c r="AE1520" s="19"/>
      <c r="AF1520" s="19"/>
      <c r="AG1520" s="19"/>
      <c r="AH1520" s="19"/>
      <c r="AI1520" s="19"/>
      <c r="AJ1520" s="19"/>
      <c r="AK1520" s="19"/>
      <c r="AL1520" s="19"/>
      <c r="AM1520" s="19"/>
      <c r="AN1520" s="19"/>
      <c r="AO1520" s="19"/>
      <c r="AP1520" s="19"/>
      <c r="AQ1520" s="19"/>
      <c r="AR1520" s="19"/>
      <c r="AS1520" s="19"/>
      <c r="AT1520" s="19"/>
      <c r="AU1520" s="19"/>
      <c r="AV1520" s="19"/>
      <c r="AW1520" s="19"/>
      <c r="AX1520" s="19"/>
      <c r="GA1520" s="54"/>
    </row>
    <row r="1521" spans="1:183" s="18" customFormat="1">
      <c r="A1521" s="51"/>
      <c r="B1521" s="52"/>
      <c r="C1521" s="52"/>
      <c r="D1521" s="52"/>
      <c r="E1521" s="53"/>
      <c r="F1521" s="52"/>
      <c r="G1521" s="52"/>
      <c r="H1521" s="52"/>
      <c r="I1521" s="53"/>
      <c r="J1521" s="52"/>
      <c r="K1521" s="52"/>
      <c r="L1521" s="52"/>
      <c r="M1521" s="52"/>
      <c r="N1521" s="19"/>
      <c r="O1521" s="19"/>
      <c r="P1521" s="19"/>
      <c r="Q1521" s="19"/>
      <c r="R1521" s="19"/>
      <c r="S1521" s="19"/>
      <c r="T1521" s="19"/>
      <c r="U1521" s="19"/>
      <c r="V1521" s="19"/>
      <c r="W1521" s="19"/>
      <c r="X1521" s="19"/>
      <c r="Y1521" s="19"/>
      <c r="Z1521" s="19"/>
      <c r="AA1521" s="19"/>
      <c r="AB1521" s="19"/>
      <c r="AC1521" s="19"/>
      <c r="AD1521" s="19"/>
      <c r="AE1521" s="19"/>
      <c r="AF1521" s="19"/>
      <c r="AG1521" s="19"/>
      <c r="AH1521" s="19"/>
      <c r="AI1521" s="19"/>
      <c r="AJ1521" s="19"/>
      <c r="AK1521" s="19"/>
      <c r="AL1521" s="19"/>
      <c r="AM1521" s="19"/>
      <c r="AN1521" s="19"/>
      <c r="AO1521" s="19"/>
      <c r="AP1521" s="19"/>
      <c r="AQ1521" s="19"/>
      <c r="AR1521" s="19"/>
      <c r="AS1521" s="19"/>
      <c r="AT1521" s="19"/>
      <c r="AU1521" s="19"/>
      <c r="AV1521" s="19"/>
      <c r="AW1521" s="19"/>
      <c r="AX1521" s="19"/>
      <c r="GA1521" s="54"/>
    </row>
    <row r="1522" spans="1:183" s="18" customFormat="1">
      <c r="A1522" s="51"/>
      <c r="B1522" s="52"/>
      <c r="C1522" s="52"/>
      <c r="D1522" s="52"/>
      <c r="E1522" s="53"/>
      <c r="F1522" s="52"/>
      <c r="G1522" s="52"/>
      <c r="H1522" s="52"/>
      <c r="I1522" s="53"/>
      <c r="J1522" s="52"/>
      <c r="K1522" s="52"/>
      <c r="L1522" s="52"/>
      <c r="M1522" s="52"/>
      <c r="N1522" s="19"/>
      <c r="O1522" s="19"/>
      <c r="P1522" s="19"/>
      <c r="Q1522" s="19"/>
      <c r="R1522" s="19"/>
      <c r="S1522" s="19"/>
      <c r="T1522" s="19"/>
      <c r="U1522" s="19"/>
      <c r="V1522" s="19"/>
      <c r="W1522" s="19"/>
      <c r="X1522" s="19"/>
      <c r="Y1522" s="19"/>
      <c r="Z1522" s="19"/>
      <c r="AA1522" s="19"/>
      <c r="AB1522" s="19"/>
      <c r="AC1522" s="19"/>
      <c r="AD1522" s="19"/>
      <c r="AE1522" s="19"/>
      <c r="AF1522" s="19"/>
      <c r="AG1522" s="19"/>
      <c r="AH1522" s="19"/>
      <c r="AI1522" s="19"/>
      <c r="AJ1522" s="19"/>
      <c r="AK1522" s="19"/>
      <c r="AL1522" s="19"/>
      <c r="AM1522" s="19"/>
      <c r="AN1522" s="19"/>
      <c r="AO1522" s="19"/>
      <c r="AP1522" s="19"/>
      <c r="AQ1522" s="19"/>
      <c r="AR1522" s="19"/>
      <c r="AS1522" s="19"/>
      <c r="AT1522" s="19"/>
      <c r="AU1522" s="19"/>
      <c r="AV1522" s="19"/>
      <c r="AW1522" s="19"/>
      <c r="AX1522" s="19"/>
      <c r="GA1522" s="54"/>
    </row>
    <row r="1523" spans="1:183" s="18" customFormat="1">
      <c r="A1523" s="51"/>
      <c r="B1523" s="52"/>
      <c r="C1523" s="52"/>
      <c r="D1523" s="52"/>
      <c r="E1523" s="53"/>
      <c r="F1523" s="52"/>
      <c r="G1523" s="52"/>
      <c r="H1523" s="52"/>
      <c r="I1523" s="53"/>
      <c r="J1523" s="52"/>
      <c r="K1523" s="52"/>
      <c r="L1523" s="52"/>
      <c r="M1523" s="52"/>
      <c r="N1523" s="19"/>
      <c r="O1523" s="19"/>
      <c r="P1523" s="19"/>
      <c r="Q1523" s="19"/>
      <c r="R1523" s="19"/>
      <c r="S1523" s="19"/>
      <c r="T1523" s="19"/>
      <c r="U1523" s="19"/>
      <c r="V1523" s="19"/>
      <c r="W1523" s="19"/>
      <c r="X1523" s="19"/>
      <c r="Y1523" s="19"/>
      <c r="Z1523" s="19"/>
      <c r="AA1523" s="19"/>
      <c r="AB1523" s="19"/>
      <c r="AC1523" s="19"/>
      <c r="AD1523" s="19"/>
      <c r="AE1523" s="19"/>
      <c r="AF1523" s="19"/>
      <c r="AG1523" s="19"/>
      <c r="AH1523" s="19"/>
      <c r="AI1523" s="19"/>
      <c r="AJ1523" s="19"/>
      <c r="AK1523" s="19"/>
      <c r="AL1523" s="19"/>
      <c r="AM1523" s="19"/>
      <c r="AN1523" s="19"/>
      <c r="AO1523" s="19"/>
      <c r="AP1523" s="19"/>
      <c r="AQ1523" s="19"/>
      <c r="AR1523" s="19"/>
      <c r="AS1523" s="19"/>
      <c r="AT1523" s="19"/>
      <c r="AU1523" s="19"/>
      <c r="AV1523" s="19"/>
      <c r="AW1523" s="19"/>
      <c r="AX1523" s="19"/>
      <c r="GA1523" s="54"/>
    </row>
    <row r="1524" spans="1:183" s="18" customFormat="1">
      <c r="A1524" s="51"/>
      <c r="B1524" s="52"/>
      <c r="C1524" s="52"/>
      <c r="D1524" s="52"/>
      <c r="E1524" s="53"/>
      <c r="F1524" s="52"/>
      <c r="G1524" s="52"/>
      <c r="H1524" s="52"/>
      <c r="I1524" s="53"/>
      <c r="J1524" s="52"/>
      <c r="K1524" s="52"/>
      <c r="L1524" s="52"/>
      <c r="M1524" s="52"/>
      <c r="N1524" s="19"/>
      <c r="O1524" s="19"/>
      <c r="P1524" s="19"/>
      <c r="Q1524" s="19"/>
      <c r="R1524" s="19"/>
      <c r="S1524" s="19"/>
      <c r="T1524" s="19"/>
      <c r="U1524" s="19"/>
      <c r="V1524" s="19"/>
      <c r="W1524" s="19"/>
      <c r="X1524" s="19"/>
      <c r="Y1524" s="19"/>
      <c r="Z1524" s="19"/>
      <c r="AA1524" s="19"/>
      <c r="AB1524" s="19"/>
      <c r="AC1524" s="19"/>
      <c r="AD1524" s="19"/>
      <c r="AE1524" s="19"/>
      <c r="AF1524" s="19"/>
      <c r="AG1524" s="19"/>
      <c r="AH1524" s="19"/>
      <c r="AI1524" s="19"/>
      <c r="AJ1524" s="19"/>
      <c r="AK1524" s="19"/>
      <c r="AL1524" s="19"/>
      <c r="AM1524" s="19"/>
      <c r="AN1524" s="19"/>
      <c r="AO1524" s="19"/>
      <c r="AP1524" s="19"/>
      <c r="AQ1524" s="19"/>
      <c r="AR1524" s="19"/>
      <c r="AS1524" s="19"/>
      <c r="AT1524" s="19"/>
      <c r="AU1524" s="19"/>
      <c r="AV1524" s="19"/>
      <c r="AW1524" s="19"/>
      <c r="AX1524" s="19"/>
      <c r="GA1524" s="54"/>
    </row>
    <row r="1525" spans="1:183" s="18" customFormat="1">
      <c r="A1525" s="51"/>
      <c r="B1525" s="52"/>
      <c r="C1525" s="52"/>
      <c r="D1525" s="52"/>
      <c r="E1525" s="53"/>
      <c r="F1525" s="52"/>
      <c r="G1525" s="52"/>
      <c r="H1525" s="52"/>
      <c r="I1525" s="53"/>
      <c r="J1525" s="52"/>
      <c r="K1525" s="52"/>
      <c r="L1525" s="52"/>
      <c r="M1525" s="52"/>
      <c r="N1525" s="19"/>
      <c r="O1525" s="19"/>
      <c r="P1525" s="19"/>
      <c r="Q1525" s="19"/>
      <c r="R1525" s="19"/>
      <c r="S1525" s="19"/>
      <c r="T1525" s="19"/>
      <c r="U1525" s="19"/>
      <c r="V1525" s="19"/>
      <c r="W1525" s="19"/>
      <c r="X1525" s="19"/>
      <c r="Y1525" s="19"/>
      <c r="Z1525" s="19"/>
      <c r="AA1525" s="19"/>
      <c r="AB1525" s="19"/>
      <c r="AC1525" s="19"/>
      <c r="AD1525" s="19"/>
      <c r="AE1525" s="19"/>
      <c r="AF1525" s="19"/>
      <c r="AG1525" s="19"/>
      <c r="AH1525" s="19"/>
      <c r="AI1525" s="19"/>
      <c r="AJ1525" s="19"/>
      <c r="AK1525" s="19"/>
      <c r="AL1525" s="19"/>
      <c r="AM1525" s="19"/>
      <c r="AN1525" s="19"/>
      <c r="AO1525" s="19"/>
      <c r="AP1525" s="19"/>
      <c r="AQ1525" s="19"/>
      <c r="AR1525" s="19"/>
      <c r="AS1525" s="19"/>
      <c r="AT1525" s="19"/>
      <c r="AU1525" s="19"/>
      <c r="AV1525" s="19"/>
      <c r="AW1525" s="19"/>
      <c r="AX1525" s="19"/>
      <c r="GA1525" s="54"/>
    </row>
    <row r="1526" spans="1:183" s="18" customFormat="1">
      <c r="A1526" s="51"/>
      <c r="B1526" s="52"/>
      <c r="C1526" s="52"/>
      <c r="D1526" s="52"/>
      <c r="E1526" s="53"/>
      <c r="F1526" s="52"/>
      <c r="G1526" s="52"/>
      <c r="H1526" s="52"/>
      <c r="I1526" s="53"/>
      <c r="J1526" s="52"/>
      <c r="K1526" s="52"/>
      <c r="L1526" s="52"/>
      <c r="M1526" s="52"/>
      <c r="N1526" s="19"/>
      <c r="O1526" s="19"/>
      <c r="P1526" s="19"/>
      <c r="Q1526" s="19"/>
      <c r="R1526" s="19"/>
      <c r="S1526" s="19"/>
      <c r="T1526" s="19"/>
      <c r="U1526" s="19"/>
      <c r="V1526" s="19"/>
      <c r="W1526" s="19"/>
      <c r="X1526" s="19"/>
      <c r="Y1526" s="19"/>
      <c r="Z1526" s="19"/>
      <c r="AA1526" s="19"/>
      <c r="AB1526" s="19"/>
      <c r="AC1526" s="19"/>
      <c r="AD1526" s="19"/>
      <c r="AE1526" s="19"/>
      <c r="AF1526" s="19"/>
      <c r="AG1526" s="19"/>
      <c r="AH1526" s="19"/>
      <c r="AI1526" s="19"/>
      <c r="AJ1526" s="19"/>
      <c r="AK1526" s="19"/>
      <c r="AL1526" s="19"/>
      <c r="AM1526" s="19"/>
      <c r="AN1526" s="19"/>
      <c r="AO1526" s="19"/>
      <c r="AP1526" s="19"/>
      <c r="AQ1526" s="19"/>
      <c r="AR1526" s="19"/>
      <c r="AS1526" s="19"/>
      <c r="AT1526" s="19"/>
      <c r="AU1526" s="19"/>
      <c r="AV1526" s="19"/>
      <c r="AW1526" s="19"/>
      <c r="AX1526" s="19"/>
      <c r="GA1526" s="54"/>
    </row>
    <row r="1527" spans="1:183" s="18" customFormat="1">
      <c r="A1527" s="51"/>
      <c r="B1527" s="52"/>
      <c r="C1527" s="52"/>
      <c r="D1527" s="52"/>
      <c r="E1527" s="53"/>
      <c r="F1527" s="52"/>
      <c r="G1527" s="52"/>
      <c r="H1527" s="52"/>
      <c r="I1527" s="53"/>
      <c r="J1527" s="52"/>
      <c r="K1527" s="52"/>
      <c r="L1527" s="52"/>
      <c r="M1527" s="52"/>
      <c r="N1527" s="19"/>
      <c r="O1527" s="19"/>
      <c r="P1527" s="19"/>
      <c r="Q1527" s="19"/>
      <c r="R1527" s="19"/>
      <c r="S1527" s="19"/>
      <c r="T1527" s="19"/>
      <c r="U1527" s="19"/>
      <c r="V1527" s="19"/>
      <c r="W1527" s="19"/>
      <c r="X1527" s="19"/>
      <c r="Y1527" s="19"/>
      <c r="Z1527" s="19"/>
      <c r="AA1527" s="19"/>
      <c r="AB1527" s="19"/>
      <c r="AC1527" s="19"/>
      <c r="AD1527" s="19"/>
      <c r="AE1527" s="19"/>
      <c r="AF1527" s="19"/>
      <c r="AG1527" s="19"/>
      <c r="AH1527" s="19"/>
      <c r="AI1527" s="19"/>
      <c r="AJ1527" s="19"/>
      <c r="AK1527" s="19"/>
      <c r="AL1527" s="19"/>
      <c r="AM1527" s="19"/>
      <c r="AN1527" s="19"/>
      <c r="AO1527" s="19"/>
      <c r="AP1527" s="19"/>
      <c r="AQ1527" s="19"/>
      <c r="AR1527" s="19"/>
      <c r="AS1527" s="19"/>
      <c r="AT1527" s="19"/>
      <c r="AU1527" s="19"/>
      <c r="AV1527" s="19"/>
      <c r="AW1527" s="19"/>
      <c r="AX1527" s="19"/>
      <c r="GA1527" s="54"/>
    </row>
    <row r="1528" spans="1:183" s="18" customFormat="1">
      <c r="A1528" s="51"/>
      <c r="B1528" s="52"/>
      <c r="C1528" s="52"/>
      <c r="D1528" s="52"/>
      <c r="E1528" s="53"/>
      <c r="F1528" s="52"/>
      <c r="G1528" s="52"/>
      <c r="H1528" s="52"/>
      <c r="I1528" s="53"/>
      <c r="J1528" s="52"/>
      <c r="K1528" s="52"/>
      <c r="L1528" s="52"/>
      <c r="M1528" s="52"/>
      <c r="N1528" s="19"/>
      <c r="O1528" s="19"/>
      <c r="P1528" s="19"/>
      <c r="Q1528" s="19"/>
      <c r="R1528" s="19"/>
      <c r="S1528" s="19"/>
      <c r="T1528" s="19"/>
      <c r="U1528" s="19"/>
      <c r="V1528" s="19"/>
      <c r="W1528" s="19"/>
      <c r="X1528" s="19"/>
      <c r="Y1528" s="19"/>
      <c r="Z1528" s="19"/>
      <c r="AA1528" s="19"/>
      <c r="AB1528" s="19"/>
      <c r="AC1528" s="19"/>
      <c r="AD1528" s="19"/>
      <c r="AE1528" s="19"/>
      <c r="AF1528" s="19"/>
      <c r="AG1528" s="19"/>
      <c r="AH1528" s="19"/>
      <c r="AI1528" s="19"/>
      <c r="AJ1528" s="19"/>
      <c r="AK1528" s="19"/>
      <c r="AL1528" s="19"/>
      <c r="AM1528" s="19"/>
      <c r="AN1528" s="19"/>
      <c r="AO1528" s="19"/>
      <c r="AP1528" s="19"/>
      <c r="AQ1528" s="19"/>
      <c r="AR1528" s="19"/>
      <c r="AS1528" s="19"/>
      <c r="AT1528" s="19"/>
      <c r="AU1528" s="19"/>
      <c r="AV1528" s="19"/>
      <c r="AW1528" s="19"/>
      <c r="AX1528" s="19"/>
      <c r="GA1528" s="54"/>
    </row>
    <row r="1529" spans="1:183" s="18" customFormat="1">
      <c r="A1529" s="51"/>
      <c r="B1529" s="52"/>
      <c r="C1529" s="52"/>
      <c r="D1529" s="52"/>
      <c r="E1529" s="53"/>
      <c r="F1529" s="52"/>
      <c r="G1529" s="52"/>
      <c r="H1529" s="52"/>
      <c r="I1529" s="53"/>
      <c r="J1529" s="52"/>
      <c r="K1529" s="52"/>
      <c r="L1529" s="52"/>
      <c r="M1529" s="52"/>
      <c r="N1529" s="19"/>
      <c r="O1529" s="19"/>
      <c r="P1529" s="19"/>
      <c r="Q1529" s="19"/>
      <c r="R1529" s="19"/>
      <c r="S1529" s="19"/>
      <c r="T1529" s="19"/>
      <c r="U1529" s="19"/>
      <c r="V1529" s="19"/>
      <c r="W1529" s="19"/>
      <c r="X1529" s="19"/>
      <c r="Y1529" s="19"/>
      <c r="Z1529" s="19"/>
      <c r="AA1529" s="19"/>
      <c r="AB1529" s="19"/>
      <c r="AC1529" s="19"/>
      <c r="AD1529" s="19"/>
      <c r="AE1529" s="19"/>
      <c r="AF1529" s="19"/>
      <c r="AG1529" s="19"/>
      <c r="AH1529" s="19"/>
      <c r="AI1529" s="19"/>
      <c r="AJ1529" s="19"/>
      <c r="AK1529" s="19"/>
      <c r="AL1529" s="19"/>
      <c r="AM1529" s="19"/>
      <c r="AN1529" s="19"/>
      <c r="AO1529" s="19"/>
      <c r="AP1529" s="19"/>
      <c r="AQ1529" s="19"/>
      <c r="AR1529" s="19"/>
      <c r="AS1529" s="19"/>
      <c r="AT1529" s="19"/>
      <c r="AU1529" s="19"/>
      <c r="AV1529" s="19"/>
      <c r="AW1529" s="19"/>
      <c r="AX1529" s="19"/>
      <c r="GA1529" s="54"/>
    </row>
    <row r="1530" spans="1:183" s="18" customFormat="1">
      <c r="A1530" s="51"/>
      <c r="B1530" s="52"/>
      <c r="C1530" s="52"/>
      <c r="D1530" s="52"/>
      <c r="E1530" s="53"/>
      <c r="F1530" s="52"/>
      <c r="G1530" s="52"/>
      <c r="H1530" s="52"/>
      <c r="I1530" s="53"/>
      <c r="J1530" s="52"/>
      <c r="K1530" s="52"/>
      <c r="L1530" s="52"/>
      <c r="M1530" s="52"/>
      <c r="N1530" s="19"/>
      <c r="O1530" s="19"/>
      <c r="P1530" s="19"/>
      <c r="Q1530" s="19"/>
      <c r="R1530" s="19"/>
      <c r="S1530" s="19"/>
      <c r="T1530" s="19"/>
      <c r="U1530" s="19"/>
      <c r="V1530" s="19"/>
      <c r="W1530" s="19"/>
      <c r="X1530" s="19"/>
      <c r="Y1530" s="19"/>
      <c r="Z1530" s="19"/>
      <c r="AA1530" s="19"/>
      <c r="AB1530" s="19"/>
      <c r="AC1530" s="19"/>
      <c r="AD1530" s="19"/>
      <c r="AE1530" s="19"/>
      <c r="AF1530" s="19"/>
      <c r="AG1530" s="19"/>
      <c r="AH1530" s="19"/>
      <c r="AI1530" s="19"/>
      <c r="AJ1530" s="19"/>
      <c r="AK1530" s="19"/>
      <c r="AL1530" s="19"/>
      <c r="AM1530" s="19"/>
      <c r="AN1530" s="19"/>
      <c r="AO1530" s="19"/>
      <c r="AP1530" s="19"/>
      <c r="AQ1530" s="19"/>
      <c r="AR1530" s="19"/>
      <c r="AS1530" s="19"/>
      <c r="AT1530" s="19"/>
      <c r="AU1530" s="19"/>
      <c r="AV1530" s="19"/>
      <c r="AW1530" s="19"/>
      <c r="AX1530" s="19"/>
      <c r="GA1530" s="54"/>
    </row>
    <row r="1531" spans="1:183" s="18" customFormat="1">
      <c r="A1531" s="51"/>
      <c r="B1531" s="52"/>
      <c r="C1531" s="52"/>
      <c r="D1531" s="52"/>
      <c r="E1531" s="53"/>
      <c r="F1531" s="52"/>
      <c r="G1531" s="52"/>
      <c r="H1531" s="52"/>
      <c r="I1531" s="53"/>
      <c r="J1531" s="52"/>
      <c r="K1531" s="52"/>
      <c r="L1531" s="52"/>
      <c r="M1531" s="52"/>
      <c r="N1531" s="19"/>
      <c r="O1531" s="19"/>
      <c r="P1531" s="19"/>
      <c r="Q1531" s="19"/>
      <c r="R1531" s="19"/>
      <c r="S1531" s="19"/>
      <c r="T1531" s="19"/>
      <c r="U1531" s="19"/>
      <c r="V1531" s="19"/>
      <c r="W1531" s="19"/>
      <c r="X1531" s="19"/>
      <c r="Y1531" s="19"/>
      <c r="Z1531" s="19"/>
      <c r="AA1531" s="19"/>
      <c r="AB1531" s="19"/>
      <c r="AC1531" s="19"/>
      <c r="AD1531" s="19"/>
      <c r="AE1531" s="19"/>
      <c r="AF1531" s="19"/>
      <c r="AG1531" s="19"/>
      <c r="AH1531" s="19"/>
      <c r="AI1531" s="19"/>
      <c r="AJ1531" s="19"/>
      <c r="AK1531" s="19"/>
      <c r="AL1531" s="19"/>
      <c r="AM1531" s="19"/>
      <c r="AN1531" s="19"/>
      <c r="AO1531" s="19"/>
      <c r="AP1531" s="19"/>
      <c r="AQ1531" s="19"/>
      <c r="AR1531" s="19"/>
      <c r="AS1531" s="19"/>
      <c r="AT1531" s="19"/>
      <c r="AU1531" s="19"/>
      <c r="AV1531" s="19"/>
      <c r="AW1531" s="19"/>
      <c r="AX1531" s="19"/>
      <c r="GA1531" s="54"/>
    </row>
    <row r="1532" spans="1:183" s="18" customFormat="1">
      <c r="A1532" s="51"/>
      <c r="B1532" s="52"/>
      <c r="C1532" s="52"/>
      <c r="D1532" s="52"/>
      <c r="E1532" s="53"/>
      <c r="F1532" s="52"/>
      <c r="G1532" s="52"/>
      <c r="H1532" s="52"/>
      <c r="I1532" s="53"/>
      <c r="J1532" s="52"/>
      <c r="K1532" s="52"/>
      <c r="L1532" s="52"/>
      <c r="M1532" s="52"/>
      <c r="N1532" s="19"/>
      <c r="O1532" s="19"/>
      <c r="P1532" s="19"/>
      <c r="Q1532" s="19"/>
      <c r="R1532" s="19"/>
      <c r="S1532" s="19"/>
      <c r="T1532" s="19"/>
      <c r="U1532" s="19"/>
      <c r="V1532" s="19"/>
      <c r="W1532" s="19"/>
      <c r="X1532" s="19"/>
      <c r="Y1532" s="19"/>
      <c r="Z1532" s="19"/>
      <c r="AA1532" s="19"/>
      <c r="AB1532" s="19"/>
      <c r="AC1532" s="19"/>
      <c r="AD1532" s="19"/>
      <c r="AE1532" s="19"/>
      <c r="AF1532" s="19"/>
      <c r="AG1532" s="19"/>
      <c r="AH1532" s="19"/>
      <c r="AI1532" s="19"/>
      <c r="AJ1532" s="19"/>
      <c r="AK1532" s="19"/>
      <c r="AL1532" s="19"/>
      <c r="AM1532" s="19"/>
      <c r="AN1532" s="19"/>
      <c r="AO1532" s="19"/>
      <c r="AP1532" s="19"/>
      <c r="AQ1532" s="19"/>
      <c r="AR1532" s="19"/>
      <c r="AS1532" s="19"/>
      <c r="AT1532" s="19"/>
      <c r="AU1532" s="19"/>
      <c r="AV1532" s="19"/>
      <c r="AW1532" s="19"/>
      <c r="AX1532" s="19"/>
      <c r="GA1532" s="54"/>
    </row>
    <row r="1533" spans="1:183" s="18" customFormat="1">
      <c r="A1533" s="51"/>
      <c r="B1533" s="52"/>
      <c r="C1533" s="52"/>
      <c r="D1533" s="52"/>
      <c r="E1533" s="53"/>
      <c r="F1533" s="52"/>
      <c r="G1533" s="52"/>
      <c r="H1533" s="52"/>
      <c r="I1533" s="53"/>
      <c r="J1533" s="52"/>
      <c r="K1533" s="52"/>
      <c r="L1533" s="52"/>
      <c r="M1533" s="52"/>
      <c r="N1533" s="19"/>
      <c r="O1533" s="19"/>
      <c r="P1533" s="19"/>
      <c r="Q1533" s="19"/>
      <c r="R1533" s="19"/>
      <c r="S1533" s="19"/>
      <c r="T1533" s="19"/>
      <c r="U1533" s="19"/>
      <c r="V1533" s="19"/>
      <c r="W1533" s="19"/>
      <c r="X1533" s="19"/>
      <c r="Y1533" s="19"/>
      <c r="Z1533" s="19"/>
      <c r="AA1533" s="19"/>
      <c r="AB1533" s="19"/>
      <c r="AC1533" s="19"/>
      <c r="AD1533" s="19"/>
      <c r="AE1533" s="19"/>
      <c r="AF1533" s="19"/>
      <c r="AG1533" s="19"/>
      <c r="AH1533" s="19"/>
      <c r="AI1533" s="19"/>
      <c r="AJ1533" s="19"/>
      <c r="AK1533" s="19"/>
      <c r="AL1533" s="19"/>
      <c r="AM1533" s="19"/>
      <c r="AN1533" s="19"/>
      <c r="AO1533" s="19"/>
      <c r="AP1533" s="19"/>
      <c r="AQ1533" s="19"/>
      <c r="AR1533" s="19"/>
      <c r="AS1533" s="19"/>
      <c r="AT1533" s="19"/>
      <c r="AU1533" s="19"/>
      <c r="AV1533" s="19"/>
      <c r="AW1533" s="19"/>
      <c r="AX1533" s="19"/>
      <c r="GA1533" s="54"/>
    </row>
    <row r="1534" spans="1:183" s="18" customFormat="1">
      <c r="A1534" s="51"/>
      <c r="B1534" s="52"/>
      <c r="C1534" s="52"/>
      <c r="D1534" s="52"/>
      <c r="E1534" s="53"/>
      <c r="F1534" s="52"/>
      <c r="G1534" s="52"/>
      <c r="H1534" s="52"/>
      <c r="I1534" s="53"/>
      <c r="J1534" s="52"/>
      <c r="K1534" s="52"/>
      <c r="L1534" s="52"/>
      <c r="M1534" s="52"/>
      <c r="N1534" s="19"/>
      <c r="O1534" s="19"/>
      <c r="P1534" s="19"/>
      <c r="Q1534" s="19"/>
      <c r="R1534" s="19"/>
      <c r="S1534" s="19"/>
      <c r="T1534" s="19"/>
      <c r="U1534" s="19"/>
      <c r="V1534" s="19"/>
      <c r="W1534" s="19"/>
      <c r="X1534" s="19"/>
      <c r="Y1534" s="19"/>
      <c r="Z1534" s="19"/>
      <c r="AA1534" s="19"/>
      <c r="AB1534" s="19"/>
      <c r="AC1534" s="19"/>
      <c r="AD1534" s="19"/>
      <c r="AE1534" s="19"/>
      <c r="AF1534" s="19"/>
      <c r="AG1534" s="19"/>
      <c r="AH1534" s="19"/>
      <c r="AI1534" s="19"/>
      <c r="AJ1534" s="19"/>
      <c r="AK1534" s="19"/>
      <c r="AL1534" s="19"/>
      <c r="AM1534" s="19"/>
      <c r="AN1534" s="19"/>
      <c r="AO1534" s="19"/>
      <c r="AP1534" s="19"/>
      <c r="AQ1534" s="19"/>
      <c r="AR1534" s="19"/>
      <c r="AS1534" s="19"/>
      <c r="AT1534" s="19"/>
      <c r="AU1534" s="19"/>
      <c r="AV1534" s="19"/>
      <c r="AW1534" s="19"/>
      <c r="AX1534" s="19"/>
      <c r="GA1534" s="54"/>
    </row>
    <row r="1535" spans="1:183" s="18" customFormat="1">
      <c r="A1535" s="51"/>
      <c r="B1535" s="52"/>
      <c r="C1535" s="52"/>
      <c r="D1535" s="52"/>
      <c r="E1535" s="53"/>
      <c r="F1535" s="52"/>
      <c r="G1535" s="52"/>
      <c r="H1535" s="52"/>
      <c r="I1535" s="53"/>
      <c r="J1535" s="52"/>
      <c r="K1535" s="52"/>
      <c r="L1535" s="52"/>
      <c r="M1535" s="52"/>
      <c r="N1535" s="19"/>
      <c r="O1535" s="19"/>
      <c r="P1535" s="19"/>
      <c r="Q1535" s="19"/>
      <c r="R1535" s="19"/>
      <c r="S1535" s="19"/>
      <c r="T1535" s="19"/>
      <c r="U1535" s="19"/>
      <c r="V1535" s="19"/>
      <c r="W1535" s="19"/>
      <c r="X1535" s="19"/>
      <c r="Y1535" s="19"/>
      <c r="Z1535" s="19"/>
      <c r="AA1535" s="19"/>
      <c r="AB1535" s="19"/>
      <c r="AC1535" s="19"/>
      <c r="AD1535" s="19"/>
      <c r="AE1535" s="19"/>
      <c r="AF1535" s="19"/>
      <c r="AG1535" s="19"/>
      <c r="AH1535" s="19"/>
      <c r="AI1535" s="19"/>
      <c r="AJ1535" s="19"/>
      <c r="AK1535" s="19"/>
      <c r="AL1535" s="19"/>
      <c r="AM1535" s="19"/>
      <c r="AN1535" s="19"/>
      <c r="AO1535" s="19"/>
      <c r="AP1535" s="19"/>
      <c r="AQ1535" s="19"/>
      <c r="AR1535" s="19"/>
      <c r="AS1535" s="19"/>
      <c r="AT1535" s="19"/>
      <c r="AU1535" s="19"/>
      <c r="AV1535" s="19"/>
      <c r="AW1535" s="19"/>
      <c r="AX1535" s="19"/>
      <c r="GA1535" s="54"/>
    </row>
    <row r="1536" spans="1:183" s="18" customFormat="1">
      <c r="A1536" s="51"/>
      <c r="B1536" s="52"/>
      <c r="C1536" s="52"/>
      <c r="D1536" s="52"/>
      <c r="E1536" s="53"/>
      <c r="F1536" s="52"/>
      <c r="G1536" s="52"/>
      <c r="H1536" s="52"/>
      <c r="I1536" s="53"/>
      <c r="J1536" s="52"/>
      <c r="K1536" s="52"/>
      <c r="L1536" s="52"/>
      <c r="M1536" s="52"/>
      <c r="N1536" s="19"/>
      <c r="O1536" s="19"/>
      <c r="P1536" s="19"/>
      <c r="Q1536" s="19"/>
      <c r="R1536" s="19"/>
      <c r="S1536" s="19"/>
      <c r="T1536" s="19"/>
      <c r="U1536" s="19"/>
      <c r="V1536" s="19"/>
      <c r="W1536" s="19"/>
      <c r="X1536" s="19"/>
      <c r="Y1536" s="19"/>
      <c r="Z1536" s="19"/>
      <c r="AA1536" s="19"/>
      <c r="AB1536" s="19"/>
      <c r="AC1536" s="19"/>
      <c r="AD1536" s="19"/>
      <c r="AE1536" s="19"/>
      <c r="AF1536" s="19"/>
      <c r="AG1536" s="19"/>
      <c r="AH1536" s="19"/>
      <c r="AI1536" s="19"/>
      <c r="AJ1536" s="19"/>
      <c r="AK1536" s="19"/>
      <c r="AL1536" s="19"/>
      <c r="AM1536" s="19"/>
      <c r="AN1536" s="19"/>
      <c r="AO1536" s="19"/>
      <c r="AP1536" s="19"/>
      <c r="AQ1536" s="19"/>
      <c r="AR1536" s="19"/>
      <c r="AS1536" s="19"/>
      <c r="AT1536" s="19"/>
      <c r="AU1536" s="19"/>
      <c r="AV1536" s="19"/>
      <c r="AW1536" s="19"/>
      <c r="AX1536" s="19"/>
      <c r="GA1536" s="54"/>
    </row>
    <row r="1537" spans="1:183" s="18" customFormat="1">
      <c r="A1537" s="51"/>
      <c r="B1537" s="52"/>
      <c r="C1537" s="52"/>
      <c r="D1537" s="52"/>
      <c r="E1537" s="53"/>
      <c r="F1537" s="52"/>
      <c r="G1537" s="52"/>
      <c r="H1537" s="52"/>
      <c r="I1537" s="53"/>
      <c r="J1537" s="52"/>
      <c r="K1537" s="52"/>
      <c r="L1537" s="52"/>
      <c r="M1537" s="52"/>
      <c r="N1537" s="19"/>
      <c r="O1537" s="19"/>
      <c r="P1537" s="19"/>
      <c r="Q1537" s="19"/>
      <c r="R1537" s="19"/>
      <c r="S1537" s="19"/>
      <c r="T1537" s="19"/>
      <c r="U1537" s="19"/>
      <c r="V1537" s="19"/>
      <c r="W1537" s="19"/>
      <c r="X1537" s="19"/>
      <c r="Y1537" s="19"/>
      <c r="Z1537" s="19"/>
      <c r="AA1537" s="19"/>
      <c r="AB1537" s="19"/>
      <c r="AC1537" s="19"/>
      <c r="AD1537" s="19"/>
      <c r="AE1537" s="19"/>
      <c r="AF1537" s="19"/>
      <c r="AG1537" s="19"/>
      <c r="AH1537" s="19"/>
      <c r="AI1537" s="19"/>
      <c r="AJ1537" s="19"/>
      <c r="AK1537" s="19"/>
      <c r="AL1537" s="19"/>
      <c r="AM1537" s="19"/>
      <c r="AN1537" s="19"/>
      <c r="AO1537" s="19"/>
      <c r="AP1537" s="19"/>
      <c r="AQ1537" s="19"/>
      <c r="AR1537" s="19"/>
      <c r="AS1537" s="19"/>
      <c r="AT1537" s="19"/>
      <c r="AU1537" s="19"/>
      <c r="AV1537" s="19"/>
      <c r="AW1537" s="19"/>
      <c r="AX1537" s="19"/>
      <c r="GA1537" s="54"/>
    </row>
    <row r="1538" spans="1:183" s="18" customFormat="1">
      <c r="A1538" s="51"/>
      <c r="B1538" s="52"/>
      <c r="C1538" s="52"/>
      <c r="D1538" s="52"/>
      <c r="E1538" s="53"/>
      <c r="F1538" s="52"/>
      <c r="G1538" s="52"/>
      <c r="H1538" s="52"/>
      <c r="I1538" s="53"/>
      <c r="J1538" s="52"/>
      <c r="K1538" s="52"/>
      <c r="L1538" s="52"/>
      <c r="M1538" s="52"/>
      <c r="N1538" s="19"/>
      <c r="O1538" s="19"/>
      <c r="P1538" s="19"/>
      <c r="Q1538" s="19"/>
      <c r="R1538" s="19"/>
      <c r="S1538" s="19"/>
      <c r="T1538" s="19"/>
      <c r="U1538" s="19"/>
      <c r="V1538" s="19"/>
      <c r="W1538" s="19"/>
      <c r="X1538" s="19"/>
      <c r="Y1538" s="19"/>
      <c r="Z1538" s="19"/>
      <c r="AA1538" s="19"/>
      <c r="AB1538" s="19"/>
      <c r="AC1538" s="19"/>
      <c r="AD1538" s="19"/>
      <c r="AE1538" s="19"/>
      <c r="AF1538" s="19"/>
      <c r="AG1538" s="19"/>
      <c r="AH1538" s="19"/>
      <c r="AI1538" s="19"/>
      <c r="AJ1538" s="19"/>
      <c r="AK1538" s="19"/>
      <c r="AL1538" s="19"/>
      <c r="AM1538" s="19"/>
      <c r="AN1538" s="19"/>
      <c r="AO1538" s="19"/>
      <c r="AP1538" s="19"/>
      <c r="AQ1538" s="19"/>
      <c r="AR1538" s="19"/>
      <c r="AS1538" s="19"/>
      <c r="AT1538" s="19"/>
      <c r="AU1538" s="19"/>
      <c r="AV1538" s="19"/>
      <c r="AW1538" s="19"/>
      <c r="AX1538" s="19"/>
      <c r="GA1538" s="54"/>
    </row>
    <row r="1539" spans="1:183" s="18" customFormat="1">
      <c r="A1539" s="51"/>
      <c r="B1539" s="52"/>
      <c r="C1539" s="52"/>
      <c r="D1539" s="52"/>
      <c r="E1539" s="53"/>
      <c r="F1539" s="52"/>
      <c r="G1539" s="52"/>
      <c r="H1539" s="52"/>
      <c r="I1539" s="53"/>
      <c r="J1539" s="52"/>
      <c r="K1539" s="52"/>
      <c r="L1539" s="52"/>
      <c r="M1539" s="52"/>
      <c r="N1539" s="19"/>
      <c r="O1539" s="19"/>
      <c r="P1539" s="19"/>
      <c r="Q1539" s="19"/>
      <c r="R1539" s="19"/>
      <c r="S1539" s="19"/>
      <c r="T1539" s="19"/>
      <c r="U1539" s="19"/>
      <c r="V1539" s="19"/>
      <c r="W1539" s="19"/>
      <c r="X1539" s="19"/>
      <c r="Y1539" s="19"/>
      <c r="Z1539" s="19"/>
      <c r="AA1539" s="19"/>
      <c r="AB1539" s="19"/>
      <c r="AC1539" s="19"/>
      <c r="AD1539" s="19"/>
      <c r="AE1539" s="19"/>
      <c r="AF1539" s="19"/>
      <c r="AG1539" s="19"/>
      <c r="AH1539" s="19"/>
      <c r="AI1539" s="19"/>
      <c r="AJ1539" s="19"/>
      <c r="AK1539" s="19"/>
      <c r="AL1539" s="19"/>
      <c r="AM1539" s="19"/>
      <c r="AN1539" s="19"/>
      <c r="AO1539" s="19"/>
      <c r="AP1539" s="19"/>
      <c r="AQ1539" s="19"/>
      <c r="AR1539" s="19"/>
      <c r="AS1539" s="19"/>
      <c r="AT1539" s="19"/>
      <c r="AU1539" s="19"/>
      <c r="AV1539" s="19"/>
      <c r="AW1539" s="19"/>
      <c r="AX1539" s="19"/>
      <c r="GA1539" s="54"/>
    </row>
    <row r="1540" spans="1:183" s="18" customFormat="1">
      <c r="A1540" s="51"/>
      <c r="B1540" s="52"/>
      <c r="C1540" s="52"/>
      <c r="D1540" s="52"/>
      <c r="E1540" s="53"/>
      <c r="F1540" s="52"/>
      <c r="G1540" s="52"/>
      <c r="H1540" s="52"/>
      <c r="I1540" s="53"/>
      <c r="J1540" s="52"/>
      <c r="K1540" s="52"/>
      <c r="L1540" s="52"/>
      <c r="M1540" s="52"/>
      <c r="N1540" s="19"/>
      <c r="O1540" s="19"/>
      <c r="P1540" s="19"/>
      <c r="Q1540" s="19"/>
      <c r="R1540" s="19"/>
      <c r="S1540" s="19"/>
      <c r="T1540" s="19"/>
      <c r="U1540" s="19"/>
      <c r="V1540" s="19"/>
      <c r="W1540" s="19"/>
      <c r="X1540" s="19"/>
      <c r="Y1540" s="19"/>
      <c r="Z1540" s="19"/>
      <c r="AA1540" s="19"/>
      <c r="AB1540" s="19"/>
      <c r="AC1540" s="19"/>
      <c r="AD1540" s="19"/>
      <c r="AE1540" s="19"/>
      <c r="AF1540" s="19"/>
      <c r="AG1540" s="19"/>
      <c r="AH1540" s="19"/>
      <c r="AI1540" s="19"/>
      <c r="AJ1540" s="19"/>
      <c r="AK1540" s="19"/>
      <c r="AL1540" s="19"/>
      <c r="AM1540" s="19"/>
      <c r="AN1540" s="19"/>
      <c r="AO1540" s="19"/>
      <c r="AP1540" s="19"/>
      <c r="AQ1540" s="19"/>
      <c r="AR1540" s="19"/>
      <c r="AS1540" s="19"/>
      <c r="AT1540" s="19"/>
      <c r="AU1540" s="19"/>
      <c r="AV1540" s="19"/>
      <c r="AW1540" s="19"/>
      <c r="AX1540" s="19"/>
      <c r="GA1540" s="54"/>
    </row>
    <row r="1541" spans="1:183" s="18" customFormat="1">
      <c r="A1541" s="51"/>
      <c r="B1541" s="52"/>
      <c r="C1541" s="52"/>
      <c r="D1541" s="52"/>
      <c r="E1541" s="53"/>
      <c r="F1541" s="52"/>
      <c r="G1541" s="52"/>
      <c r="H1541" s="52"/>
      <c r="I1541" s="53"/>
      <c r="J1541" s="52"/>
      <c r="K1541" s="52"/>
      <c r="L1541" s="52"/>
      <c r="M1541" s="52"/>
      <c r="N1541" s="19"/>
      <c r="O1541" s="19"/>
      <c r="P1541" s="19"/>
      <c r="Q1541" s="19"/>
      <c r="R1541" s="19"/>
      <c r="S1541" s="19"/>
      <c r="T1541" s="19"/>
      <c r="U1541" s="19"/>
      <c r="V1541" s="19"/>
      <c r="W1541" s="19"/>
      <c r="X1541" s="19"/>
      <c r="Y1541" s="19"/>
      <c r="Z1541" s="19"/>
      <c r="AA1541" s="19"/>
      <c r="AB1541" s="19"/>
      <c r="AC1541" s="19"/>
      <c r="AD1541" s="19"/>
      <c r="AE1541" s="19"/>
      <c r="AF1541" s="19"/>
      <c r="AG1541" s="19"/>
      <c r="AH1541" s="19"/>
      <c r="AI1541" s="19"/>
      <c r="AJ1541" s="19"/>
      <c r="AK1541" s="19"/>
      <c r="AL1541" s="19"/>
      <c r="AM1541" s="19"/>
      <c r="AN1541" s="19"/>
      <c r="AO1541" s="19"/>
      <c r="AP1541" s="19"/>
      <c r="AQ1541" s="19"/>
      <c r="AR1541" s="19"/>
      <c r="AS1541" s="19"/>
      <c r="AT1541" s="19"/>
      <c r="AU1541" s="19"/>
      <c r="AV1541" s="19"/>
      <c r="AW1541" s="19"/>
      <c r="AX1541" s="19"/>
      <c r="GA1541" s="54"/>
    </row>
    <row r="1542" spans="1:183" s="18" customFormat="1">
      <c r="A1542" s="51"/>
      <c r="B1542" s="52"/>
      <c r="C1542" s="52"/>
      <c r="D1542" s="52"/>
      <c r="E1542" s="53"/>
      <c r="F1542" s="52"/>
      <c r="G1542" s="52"/>
      <c r="H1542" s="52"/>
      <c r="I1542" s="53"/>
      <c r="J1542" s="52"/>
      <c r="K1542" s="52"/>
      <c r="L1542" s="52"/>
      <c r="M1542" s="52"/>
      <c r="N1542" s="19"/>
      <c r="O1542" s="19"/>
      <c r="P1542" s="19"/>
      <c r="Q1542" s="19"/>
      <c r="R1542" s="19"/>
      <c r="S1542" s="19"/>
      <c r="T1542" s="19"/>
      <c r="U1542" s="19"/>
      <c r="V1542" s="19"/>
      <c r="W1542" s="19"/>
      <c r="X1542" s="19"/>
      <c r="Y1542" s="19"/>
      <c r="Z1542" s="19"/>
      <c r="AA1542" s="19"/>
      <c r="AB1542" s="19"/>
      <c r="AC1542" s="19"/>
      <c r="AD1542" s="19"/>
      <c r="AE1542" s="19"/>
      <c r="AF1542" s="19"/>
      <c r="AG1542" s="19"/>
      <c r="AH1542" s="19"/>
      <c r="AI1542" s="19"/>
      <c r="AJ1542" s="19"/>
      <c r="AK1542" s="19"/>
      <c r="AL1542" s="19"/>
      <c r="AM1542" s="19"/>
      <c r="AN1542" s="19"/>
      <c r="AO1542" s="19"/>
      <c r="AP1542" s="19"/>
      <c r="AQ1542" s="19"/>
      <c r="AR1542" s="19"/>
      <c r="AS1542" s="19"/>
      <c r="AT1542" s="19"/>
      <c r="AU1542" s="19"/>
      <c r="AV1542" s="19"/>
      <c r="AW1542" s="19"/>
      <c r="AX1542" s="19"/>
      <c r="GA1542" s="54"/>
    </row>
    <row r="1543" spans="1:183" s="18" customFormat="1">
      <c r="A1543" s="51"/>
      <c r="B1543" s="52"/>
      <c r="C1543" s="52"/>
      <c r="D1543" s="52"/>
      <c r="E1543" s="53"/>
      <c r="F1543" s="52"/>
      <c r="G1543" s="52"/>
      <c r="H1543" s="52"/>
      <c r="I1543" s="53"/>
      <c r="J1543" s="52"/>
      <c r="K1543" s="52"/>
      <c r="L1543" s="52"/>
      <c r="M1543" s="52"/>
      <c r="N1543" s="19"/>
      <c r="O1543" s="19"/>
      <c r="P1543" s="19"/>
      <c r="Q1543" s="19"/>
      <c r="R1543" s="19"/>
      <c r="S1543" s="19"/>
      <c r="T1543" s="19"/>
      <c r="U1543" s="19"/>
      <c r="V1543" s="19"/>
      <c r="W1543" s="19"/>
      <c r="X1543" s="19"/>
      <c r="Y1543" s="19"/>
      <c r="Z1543" s="19"/>
      <c r="AA1543" s="19"/>
      <c r="AB1543" s="19"/>
      <c r="AC1543" s="19"/>
      <c r="AD1543" s="19"/>
      <c r="AE1543" s="19"/>
      <c r="AF1543" s="19"/>
      <c r="AG1543" s="19"/>
      <c r="AH1543" s="19"/>
      <c r="AI1543" s="19"/>
      <c r="AJ1543" s="19"/>
      <c r="AK1543" s="19"/>
      <c r="AL1543" s="19"/>
      <c r="AM1543" s="19"/>
      <c r="AN1543" s="19"/>
      <c r="AO1543" s="19"/>
      <c r="AP1543" s="19"/>
      <c r="AQ1543" s="19"/>
      <c r="AR1543" s="19"/>
      <c r="AS1543" s="19"/>
      <c r="AT1543" s="19"/>
      <c r="AU1543" s="19"/>
      <c r="AV1543" s="19"/>
      <c r="AW1543" s="19"/>
      <c r="AX1543" s="19"/>
      <c r="GA1543" s="54"/>
    </row>
    <row r="1544" spans="1:183" s="18" customFormat="1">
      <c r="A1544" s="51"/>
      <c r="B1544" s="52"/>
      <c r="C1544" s="52"/>
      <c r="D1544" s="52"/>
      <c r="E1544" s="53"/>
      <c r="F1544" s="52"/>
      <c r="G1544" s="52"/>
      <c r="H1544" s="52"/>
      <c r="I1544" s="53"/>
      <c r="J1544" s="52"/>
      <c r="K1544" s="52"/>
      <c r="L1544" s="52"/>
      <c r="M1544" s="52"/>
      <c r="N1544" s="19"/>
      <c r="O1544" s="19"/>
      <c r="P1544" s="19"/>
      <c r="Q1544" s="19"/>
      <c r="R1544" s="19"/>
      <c r="S1544" s="19"/>
      <c r="T1544" s="19"/>
      <c r="U1544" s="19"/>
      <c r="V1544" s="19"/>
      <c r="W1544" s="19"/>
      <c r="X1544" s="19"/>
      <c r="Y1544" s="19"/>
      <c r="Z1544" s="19"/>
      <c r="AA1544" s="19"/>
      <c r="AB1544" s="19"/>
      <c r="AC1544" s="19"/>
      <c r="AD1544" s="19"/>
      <c r="AE1544" s="19"/>
      <c r="AF1544" s="19"/>
      <c r="AG1544" s="19"/>
      <c r="AH1544" s="19"/>
      <c r="AI1544" s="19"/>
      <c r="AJ1544" s="19"/>
      <c r="AK1544" s="19"/>
      <c r="AL1544" s="19"/>
      <c r="AM1544" s="19"/>
      <c r="AN1544" s="19"/>
      <c r="AO1544" s="19"/>
      <c r="AP1544" s="19"/>
      <c r="AQ1544" s="19"/>
      <c r="AR1544" s="19"/>
      <c r="AS1544" s="19"/>
      <c r="AT1544" s="19"/>
      <c r="AU1544" s="19"/>
      <c r="AV1544" s="19"/>
      <c r="AW1544" s="19"/>
      <c r="AX1544" s="19"/>
      <c r="GA1544" s="54"/>
    </row>
    <row r="1545" spans="1:183" s="18" customFormat="1">
      <c r="A1545" s="51"/>
      <c r="B1545" s="52"/>
      <c r="C1545" s="52"/>
      <c r="D1545" s="52"/>
      <c r="E1545" s="53"/>
      <c r="F1545" s="52"/>
      <c r="G1545" s="52"/>
      <c r="H1545" s="52"/>
      <c r="I1545" s="53"/>
      <c r="J1545" s="52"/>
      <c r="K1545" s="52"/>
      <c r="L1545" s="52"/>
      <c r="M1545" s="52"/>
      <c r="N1545" s="19"/>
      <c r="O1545" s="19"/>
      <c r="P1545" s="19"/>
      <c r="Q1545" s="19"/>
      <c r="R1545" s="19"/>
      <c r="S1545" s="19"/>
      <c r="T1545" s="19"/>
      <c r="U1545" s="19"/>
      <c r="V1545" s="19"/>
      <c r="W1545" s="19"/>
      <c r="X1545" s="19"/>
      <c r="Y1545" s="19"/>
      <c r="Z1545" s="19"/>
      <c r="AA1545" s="19"/>
      <c r="AB1545" s="19"/>
      <c r="AC1545" s="19"/>
      <c r="AD1545" s="19"/>
      <c r="AE1545" s="19"/>
      <c r="AF1545" s="19"/>
      <c r="AG1545" s="19"/>
      <c r="AH1545" s="19"/>
      <c r="AI1545" s="19"/>
      <c r="AJ1545" s="19"/>
      <c r="AK1545" s="19"/>
      <c r="AL1545" s="19"/>
      <c r="AM1545" s="19"/>
      <c r="AN1545" s="19"/>
      <c r="AO1545" s="19"/>
      <c r="AP1545" s="19"/>
      <c r="AQ1545" s="19"/>
      <c r="AR1545" s="19"/>
      <c r="AS1545" s="19"/>
      <c r="AT1545" s="19"/>
      <c r="AU1545" s="19"/>
      <c r="AV1545" s="19"/>
      <c r="AW1545" s="19"/>
      <c r="AX1545" s="19"/>
      <c r="GA1545" s="54"/>
    </row>
    <row r="1546" spans="1:183" s="18" customFormat="1">
      <c r="A1546" s="51"/>
      <c r="B1546" s="52"/>
      <c r="C1546" s="52"/>
      <c r="D1546" s="52"/>
      <c r="E1546" s="53"/>
      <c r="F1546" s="52"/>
      <c r="G1546" s="52"/>
      <c r="H1546" s="52"/>
      <c r="I1546" s="53"/>
      <c r="J1546" s="52"/>
      <c r="K1546" s="52"/>
      <c r="L1546" s="52"/>
      <c r="M1546" s="52"/>
      <c r="N1546" s="19"/>
      <c r="O1546" s="19"/>
      <c r="P1546" s="19"/>
      <c r="Q1546" s="19"/>
      <c r="R1546" s="19"/>
      <c r="S1546" s="19"/>
      <c r="T1546" s="19"/>
      <c r="U1546" s="19"/>
      <c r="V1546" s="19"/>
      <c r="W1546" s="19"/>
      <c r="X1546" s="19"/>
      <c r="Y1546" s="19"/>
      <c r="Z1546" s="19"/>
      <c r="AA1546" s="19"/>
      <c r="AB1546" s="19"/>
      <c r="AC1546" s="19"/>
      <c r="AD1546" s="19"/>
      <c r="AE1546" s="19"/>
      <c r="AF1546" s="19"/>
      <c r="AG1546" s="19"/>
      <c r="AH1546" s="19"/>
      <c r="AI1546" s="19"/>
      <c r="AJ1546" s="19"/>
      <c r="AK1546" s="19"/>
      <c r="AL1546" s="19"/>
      <c r="AM1546" s="19"/>
      <c r="AN1546" s="19"/>
      <c r="AO1546" s="19"/>
      <c r="AP1546" s="19"/>
      <c r="AQ1546" s="19"/>
      <c r="AR1546" s="19"/>
      <c r="AS1546" s="19"/>
      <c r="AT1546" s="19"/>
      <c r="AU1546" s="19"/>
      <c r="AV1546" s="19"/>
      <c r="AW1546" s="19"/>
      <c r="AX1546" s="19"/>
      <c r="GA1546" s="54"/>
    </row>
    <row r="1547" spans="1:183" s="18" customFormat="1">
      <c r="A1547" s="51"/>
      <c r="B1547" s="52"/>
      <c r="C1547" s="52"/>
      <c r="D1547" s="52"/>
      <c r="E1547" s="53"/>
      <c r="F1547" s="52"/>
      <c r="G1547" s="52"/>
      <c r="H1547" s="52"/>
      <c r="I1547" s="53"/>
      <c r="J1547" s="52"/>
      <c r="K1547" s="52"/>
      <c r="L1547" s="52"/>
      <c r="M1547" s="52"/>
      <c r="N1547" s="19"/>
      <c r="O1547" s="19"/>
      <c r="P1547" s="19"/>
      <c r="Q1547" s="19"/>
      <c r="R1547" s="19"/>
      <c r="S1547" s="19"/>
      <c r="T1547" s="19"/>
      <c r="U1547" s="19"/>
      <c r="V1547" s="19"/>
      <c r="W1547" s="19"/>
      <c r="X1547" s="19"/>
      <c r="Y1547" s="19"/>
      <c r="Z1547" s="19"/>
      <c r="AA1547" s="19"/>
      <c r="AB1547" s="19"/>
      <c r="AC1547" s="19"/>
      <c r="AD1547" s="19"/>
      <c r="AE1547" s="19"/>
      <c r="AF1547" s="19"/>
      <c r="AG1547" s="19"/>
      <c r="AH1547" s="19"/>
      <c r="AI1547" s="19"/>
      <c r="AJ1547" s="19"/>
      <c r="AK1547" s="19"/>
      <c r="AL1547" s="19"/>
      <c r="AM1547" s="19"/>
      <c r="AN1547" s="19"/>
      <c r="AO1547" s="19"/>
      <c r="AP1547" s="19"/>
      <c r="AQ1547" s="19"/>
      <c r="AR1547" s="19"/>
      <c r="AS1547" s="19"/>
      <c r="AT1547" s="19"/>
      <c r="AU1547" s="19"/>
      <c r="AV1547" s="19"/>
      <c r="AW1547" s="19"/>
      <c r="AX1547" s="19"/>
      <c r="GA1547" s="54"/>
    </row>
    <row r="1548" spans="1:183" s="18" customFormat="1">
      <c r="A1548" s="51"/>
      <c r="B1548" s="52"/>
      <c r="C1548" s="52"/>
      <c r="D1548" s="52"/>
      <c r="E1548" s="53"/>
      <c r="F1548" s="52"/>
      <c r="G1548" s="52"/>
      <c r="H1548" s="52"/>
      <c r="I1548" s="53"/>
      <c r="J1548" s="52"/>
      <c r="K1548" s="52"/>
      <c r="L1548" s="52"/>
      <c r="M1548" s="52"/>
      <c r="N1548" s="19"/>
      <c r="O1548" s="19"/>
      <c r="P1548" s="19"/>
      <c r="Q1548" s="19"/>
      <c r="R1548" s="19"/>
      <c r="S1548" s="19"/>
      <c r="T1548" s="19"/>
      <c r="U1548" s="19"/>
      <c r="V1548" s="19"/>
      <c r="W1548" s="19"/>
      <c r="X1548" s="19"/>
      <c r="Y1548" s="19"/>
      <c r="Z1548" s="19"/>
      <c r="AA1548" s="19"/>
      <c r="AB1548" s="19"/>
      <c r="AC1548" s="19"/>
      <c r="AD1548" s="19"/>
      <c r="AE1548" s="19"/>
      <c r="AF1548" s="19"/>
      <c r="AG1548" s="19"/>
      <c r="AH1548" s="19"/>
      <c r="AI1548" s="19"/>
      <c r="AJ1548" s="19"/>
      <c r="AK1548" s="19"/>
      <c r="AL1548" s="19"/>
      <c r="AM1548" s="19"/>
      <c r="AN1548" s="19"/>
      <c r="AO1548" s="19"/>
      <c r="AP1548" s="19"/>
      <c r="AQ1548" s="19"/>
      <c r="AR1548" s="19"/>
      <c r="AS1548" s="19"/>
      <c r="AT1548" s="19"/>
      <c r="AU1548" s="19"/>
      <c r="AV1548" s="19"/>
      <c r="AW1548" s="19"/>
      <c r="AX1548" s="19"/>
      <c r="GA1548" s="54"/>
    </row>
    <row r="1549" spans="1:183" s="18" customFormat="1">
      <c r="A1549" s="51"/>
      <c r="B1549" s="52"/>
      <c r="C1549" s="52"/>
      <c r="D1549" s="52"/>
      <c r="E1549" s="53"/>
      <c r="F1549" s="52"/>
      <c r="G1549" s="52"/>
      <c r="H1549" s="52"/>
      <c r="I1549" s="53"/>
      <c r="J1549" s="52"/>
      <c r="K1549" s="52"/>
      <c r="L1549" s="52"/>
      <c r="M1549" s="52"/>
      <c r="N1549" s="19"/>
      <c r="O1549" s="19"/>
      <c r="P1549" s="19"/>
      <c r="Q1549" s="19"/>
      <c r="R1549" s="19"/>
      <c r="S1549" s="19"/>
      <c r="T1549" s="19"/>
      <c r="U1549" s="19"/>
      <c r="V1549" s="19"/>
      <c r="W1549" s="19"/>
      <c r="X1549" s="19"/>
      <c r="Y1549" s="19"/>
      <c r="Z1549" s="19"/>
      <c r="AA1549" s="19"/>
      <c r="AB1549" s="19"/>
      <c r="AC1549" s="19"/>
      <c r="AD1549" s="19"/>
      <c r="AE1549" s="19"/>
      <c r="AF1549" s="19"/>
      <c r="AG1549" s="19"/>
      <c r="AH1549" s="19"/>
      <c r="AI1549" s="19"/>
      <c r="AJ1549" s="19"/>
      <c r="AK1549" s="19"/>
      <c r="AL1549" s="19"/>
      <c r="AM1549" s="19"/>
      <c r="AN1549" s="19"/>
      <c r="AO1549" s="19"/>
      <c r="AP1549" s="19"/>
      <c r="AQ1549" s="19"/>
      <c r="AR1549" s="19"/>
      <c r="AS1549" s="19"/>
      <c r="AT1549" s="19"/>
      <c r="AU1549" s="19"/>
      <c r="AV1549" s="19"/>
      <c r="AW1549" s="19"/>
      <c r="AX1549" s="19"/>
      <c r="GA1549" s="54"/>
    </row>
    <row r="1550" spans="1:183" s="18" customFormat="1">
      <c r="A1550" s="51"/>
      <c r="B1550" s="52"/>
      <c r="C1550" s="52"/>
      <c r="D1550" s="52"/>
      <c r="E1550" s="53"/>
      <c r="F1550" s="52"/>
      <c r="G1550" s="52"/>
      <c r="H1550" s="52"/>
      <c r="I1550" s="53"/>
      <c r="J1550" s="52"/>
      <c r="K1550" s="52"/>
      <c r="L1550" s="52"/>
      <c r="M1550" s="52"/>
      <c r="N1550" s="19"/>
      <c r="O1550" s="19"/>
      <c r="P1550" s="19"/>
      <c r="Q1550" s="19"/>
      <c r="R1550" s="19"/>
      <c r="S1550" s="19"/>
      <c r="T1550" s="19"/>
      <c r="U1550" s="19"/>
      <c r="V1550" s="19"/>
      <c r="W1550" s="19"/>
      <c r="X1550" s="19"/>
      <c r="Y1550" s="19"/>
      <c r="Z1550" s="19"/>
      <c r="AA1550" s="19"/>
      <c r="AB1550" s="19"/>
      <c r="AC1550" s="19"/>
      <c r="AD1550" s="19"/>
      <c r="AE1550" s="19"/>
      <c r="AF1550" s="19"/>
      <c r="AG1550" s="19"/>
      <c r="AH1550" s="19"/>
      <c r="AI1550" s="19"/>
      <c r="AJ1550" s="19"/>
      <c r="AK1550" s="19"/>
      <c r="AL1550" s="19"/>
      <c r="AM1550" s="19"/>
      <c r="AN1550" s="19"/>
      <c r="AO1550" s="19"/>
      <c r="AP1550" s="19"/>
      <c r="AQ1550" s="19"/>
      <c r="AR1550" s="19"/>
      <c r="AS1550" s="19"/>
      <c r="AT1550" s="19"/>
      <c r="AU1550" s="19"/>
      <c r="AV1550" s="19"/>
      <c r="AW1550" s="19"/>
      <c r="AX1550" s="19"/>
      <c r="GA1550" s="54"/>
    </row>
    <row r="1551" spans="1:183" s="18" customFormat="1">
      <c r="A1551" s="51"/>
      <c r="B1551" s="52"/>
      <c r="C1551" s="52"/>
      <c r="D1551" s="52"/>
      <c r="E1551" s="53"/>
      <c r="F1551" s="52"/>
      <c r="G1551" s="52"/>
      <c r="H1551" s="52"/>
      <c r="I1551" s="53"/>
      <c r="J1551" s="52"/>
      <c r="K1551" s="52"/>
      <c r="L1551" s="52"/>
      <c r="M1551" s="52"/>
      <c r="N1551" s="19"/>
      <c r="O1551" s="19"/>
      <c r="P1551" s="19"/>
      <c r="Q1551" s="19"/>
      <c r="R1551" s="19"/>
      <c r="S1551" s="19"/>
      <c r="T1551" s="19"/>
      <c r="U1551" s="19"/>
      <c r="V1551" s="19"/>
      <c r="W1551" s="19"/>
      <c r="X1551" s="19"/>
      <c r="Y1551" s="19"/>
      <c r="Z1551" s="19"/>
      <c r="AA1551" s="19"/>
      <c r="AB1551" s="19"/>
      <c r="AC1551" s="19"/>
      <c r="AD1551" s="19"/>
      <c r="AE1551" s="19"/>
      <c r="AF1551" s="19"/>
      <c r="AG1551" s="19"/>
      <c r="AH1551" s="19"/>
      <c r="AI1551" s="19"/>
      <c r="AJ1551" s="19"/>
      <c r="AK1551" s="19"/>
      <c r="AL1551" s="19"/>
      <c r="AM1551" s="19"/>
      <c r="AN1551" s="19"/>
      <c r="AO1551" s="19"/>
      <c r="AP1551" s="19"/>
      <c r="AQ1551" s="19"/>
      <c r="AR1551" s="19"/>
      <c r="AS1551" s="19"/>
      <c r="AT1551" s="19"/>
      <c r="AU1551" s="19"/>
      <c r="AV1551" s="19"/>
      <c r="AW1551" s="19"/>
      <c r="AX1551" s="19"/>
      <c r="GA1551" s="54"/>
    </row>
    <row r="1552" spans="1:183" s="18" customFormat="1">
      <c r="A1552" s="51"/>
      <c r="B1552" s="52"/>
      <c r="C1552" s="52"/>
      <c r="D1552" s="52"/>
      <c r="E1552" s="53"/>
      <c r="F1552" s="52"/>
      <c r="G1552" s="52"/>
      <c r="H1552" s="52"/>
      <c r="I1552" s="53"/>
      <c r="J1552" s="52"/>
      <c r="K1552" s="52"/>
      <c r="L1552" s="52"/>
      <c r="M1552" s="52"/>
      <c r="N1552" s="19"/>
      <c r="O1552" s="19"/>
      <c r="P1552" s="19"/>
      <c r="Q1552" s="19"/>
      <c r="R1552" s="19"/>
      <c r="S1552" s="19"/>
      <c r="T1552" s="19"/>
      <c r="U1552" s="19"/>
      <c r="V1552" s="19"/>
      <c r="W1552" s="19"/>
      <c r="X1552" s="19"/>
      <c r="Y1552" s="19"/>
      <c r="Z1552" s="19"/>
      <c r="AA1552" s="19"/>
      <c r="AB1552" s="19"/>
      <c r="AC1552" s="19"/>
      <c r="AD1552" s="19"/>
      <c r="AE1552" s="19"/>
      <c r="AF1552" s="19"/>
      <c r="AG1552" s="19"/>
      <c r="AH1552" s="19"/>
      <c r="AI1552" s="19"/>
      <c r="AJ1552" s="19"/>
      <c r="AK1552" s="19"/>
      <c r="AL1552" s="19"/>
      <c r="AM1552" s="19"/>
      <c r="AN1552" s="19"/>
      <c r="AO1552" s="19"/>
      <c r="AP1552" s="19"/>
      <c r="AQ1552" s="19"/>
      <c r="AR1552" s="19"/>
      <c r="AS1552" s="19"/>
      <c r="AT1552" s="19"/>
      <c r="AU1552" s="19"/>
      <c r="AV1552" s="19"/>
      <c r="AW1552" s="19"/>
      <c r="AX1552" s="19"/>
      <c r="GA1552" s="54"/>
    </row>
    <row r="1553" spans="1:183" s="18" customFormat="1">
      <c r="A1553" s="51"/>
      <c r="B1553" s="52"/>
      <c r="C1553" s="52"/>
      <c r="D1553" s="52"/>
      <c r="E1553" s="53"/>
      <c r="F1553" s="52"/>
      <c r="G1553" s="52"/>
      <c r="H1553" s="52"/>
      <c r="I1553" s="53"/>
      <c r="J1553" s="52"/>
      <c r="K1553" s="52"/>
      <c r="L1553" s="52"/>
      <c r="M1553" s="52"/>
      <c r="N1553" s="19"/>
      <c r="O1553" s="19"/>
      <c r="P1553" s="19"/>
      <c r="Q1553" s="19"/>
      <c r="R1553" s="19"/>
      <c r="S1553" s="19"/>
      <c r="T1553" s="19"/>
      <c r="U1553" s="19"/>
      <c r="V1553" s="19"/>
      <c r="W1553" s="19"/>
      <c r="X1553" s="19"/>
      <c r="Y1553" s="19"/>
      <c r="Z1553" s="19"/>
      <c r="AA1553" s="19"/>
      <c r="AB1553" s="19"/>
      <c r="AC1553" s="19"/>
      <c r="AD1553" s="19"/>
      <c r="AE1553" s="19"/>
      <c r="AF1553" s="19"/>
      <c r="AG1553" s="19"/>
      <c r="AH1553" s="19"/>
      <c r="AI1553" s="19"/>
      <c r="AJ1553" s="19"/>
      <c r="AK1553" s="19"/>
      <c r="AL1553" s="19"/>
      <c r="AM1553" s="19"/>
      <c r="AN1553" s="19"/>
      <c r="AO1553" s="19"/>
      <c r="AP1553" s="19"/>
      <c r="AQ1553" s="19"/>
      <c r="AR1553" s="19"/>
      <c r="AS1553" s="19"/>
      <c r="AT1553" s="19"/>
      <c r="AU1553" s="19"/>
      <c r="AV1553" s="19"/>
      <c r="AW1553" s="19"/>
      <c r="AX1553" s="19"/>
      <c r="GA1553" s="54"/>
    </row>
    <row r="1554" spans="1:183" s="18" customFormat="1">
      <c r="A1554" s="51"/>
      <c r="B1554" s="52"/>
      <c r="C1554" s="52"/>
      <c r="D1554" s="52"/>
      <c r="E1554" s="53"/>
      <c r="F1554" s="52"/>
      <c r="G1554" s="52"/>
      <c r="H1554" s="52"/>
      <c r="I1554" s="53"/>
      <c r="J1554" s="52"/>
      <c r="K1554" s="52"/>
      <c r="L1554" s="52"/>
      <c r="M1554" s="52"/>
      <c r="N1554" s="19"/>
      <c r="O1554" s="19"/>
      <c r="P1554" s="19"/>
      <c r="Q1554" s="19"/>
      <c r="R1554" s="19"/>
      <c r="S1554" s="19"/>
      <c r="T1554" s="19"/>
      <c r="U1554" s="19"/>
      <c r="V1554" s="19"/>
      <c r="W1554" s="19"/>
      <c r="X1554" s="19"/>
      <c r="Y1554" s="19"/>
      <c r="Z1554" s="19"/>
      <c r="AA1554" s="19"/>
      <c r="AB1554" s="19"/>
      <c r="AC1554" s="19"/>
      <c r="AD1554" s="19"/>
      <c r="AE1554" s="19"/>
      <c r="AF1554" s="19"/>
      <c r="AG1554" s="19"/>
      <c r="AH1554" s="19"/>
      <c r="AI1554" s="19"/>
      <c r="AJ1554" s="19"/>
      <c r="AK1554" s="19"/>
      <c r="AL1554" s="19"/>
      <c r="AM1554" s="19"/>
      <c r="AN1554" s="19"/>
      <c r="AO1554" s="19"/>
      <c r="AP1554" s="19"/>
      <c r="AQ1554" s="19"/>
      <c r="AR1554" s="19"/>
      <c r="AS1554" s="19"/>
      <c r="AT1554" s="19"/>
      <c r="AU1554" s="19"/>
      <c r="AV1554" s="19"/>
      <c r="AW1554" s="19"/>
      <c r="AX1554" s="19"/>
      <c r="GA1554" s="54"/>
    </row>
    <row r="1555" spans="1:183" s="18" customFormat="1">
      <c r="A1555" s="51"/>
      <c r="B1555" s="52"/>
      <c r="C1555" s="52"/>
      <c r="D1555" s="52"/>
      <c r="E1555" s="53"/>
      <c r="F1555" s="52"/>
      <c r="G1555" s="52"/>
      <c r="H1555" s="52"/>
      <c r="I1555" s="53"/>
      <c r="J1555" s="52"/>
      <c r="K1555" s="52"/>
      <c r="L1555" s="52"/>
      <c r="M1555" s="52"/>
      <c r="N1555" s="19"/>
      <c r="O1555" s="19"/>
      <c r="P1555" s="19"/>
      <c r="Q1555" s="19"/>
      <c r="R1555" s="19"/>
      <c r="S1555" s="19"/>
      <c r="T1555" s="19"/>
      <c r="U1555" s="19"/>
      <c r="V1555" s="19"/>
      <c r="W1555" s="19"/>
      <c r="X1555" s="19"/>
      <c r="Y1555" s="19"/>
      <c r="Z1555" s="19"/>
      <c r="AA1555" s="19"/>
      <c r="AB1555" s="19"/>
      <c r="AC1555" s="19"/>
      <c r="AD1555" s="19"/>
      <c r="AE1555" s="19"/>
      <c r="AF1555" s="19"/>
      <c r="AG1555" s="19"/>
      <c r="AH1555" s="19"/>
      <c r="AI1555" s="19"/>
      <c r="AJ1555" s="19"/>
      <c r="AK1555" s="19"/>
      <c r="AL1555" s="19"/>
      <c r="AM1555" s="19"/>
      <c r="AN1555" s="19"/>
      <c r="AO1555" s="19"/>
      <c r="AP1555" s="19"/>
      <c r="AQ1555" s="19"/>
      <c r="AR1555" s="19"/>
      <c r="AS1555" s="19"/>
      <c r="AT1555" s="19"/>
      <c r="AU1555" s="19"/>
      <c r="AV1555" s="19"/>
      <c r="AW1555" s="19"/>
      <c r="AX1555" s="19"/>
      <c r="GA1555" s="54"/>
    </row>
    <row r="1556" spans="1:183" s="18" customFormat="1">
      <c r="A1556" s="51"/>
      <c r="B1556" s="52"/>
      <c r="C1556" s="52"/>
      <c r="D1556" s="52"/>
      <c r="E1556" s="53"/>
      <c r="F1556" s="52"/>
      <c r="G1556" s="52"/>
      <c r="H1556" s="52"/>
      <c r="I1556" s="53"/>
      <c r="J1556" s="52"/>
      <c r="K1556" s="52"/>
      <c r="L1556" s="52"/>
      <c r="M1556" s="52"/>
      <c r="N1556" s="19"/>
      <c r="O1556" s="19"/>
      <c r="P1556" s="19"/>
      <c r="Q1556" s="19"/>
      <c r="R1556" s="19"/>
      <c r="S1556" s="19"/>
      <c r="T1556" s="19"/>
      <c r="U1556" s="19"/>
      <c r="V1556" s="19"/>
      <c r="W1556" s="19"/>
      <c r="X1556" s="19"/>
      <c r="Y1556" s="19"/>
      <c r="Z1556" s="19"/>
      <c r="AA1556" s="19"/>
      <c r="AB1556" s="19"/>
      <c r="AC1556" s="19"/>
      <c r="AD1556" s="19"/>
      <c r="AE1556" s="19"/>
      <c r="AF1556" s="19"/>
      <c r="AG1556" s="19"/>
      <c r="AH1556" s="19"/>
      <c r="AI1556" s="19"/>
      <c r="AJ1556" s="19"/>
      <c r="AK1556" s="19"/>
      <c r="AL1556" s="19"/>
      <c r="AM1556" s="19"/>
      <c r="AN1556" s="19"/>
      <c r="AO1556" s="19"/>
      <c r="AP1556" s="19"/>
      <c r="AQ1556" s="19"/>
      <c r="AR1556" s="19"/>
      <c r="AS1556" s="19"/>
      <c r="AT1556" s="19"/>
      <c r="AU1556" s="19"/>
      <c r="AV1556" s="19"/>
      <c r="AW1556" s="19"/>
      <c r="AX1556" s="19"/>
      <c r="GA1556" s="54"/>
    </row>
    <row r="1557" spans="1:183" s="18" customFormat="1">
      <c r="A1557" s="51"/>
      <c r="B1557" s="52"/>
      <c r="C1557" s="52"/>
      <c r="D1557" s="52"/>
      <c r="E1557" s="53"/>
      <c r="F1557" s="52"/>
      <c r="G1557" s="52"/>
      <c r="H1557" s="52"/>
      <c r="I1557" s="53"/>
      <c r="J1557" s="52"/>
      <c r="K1557" s="52"/>
      <c r="L1557" s="52"/>
      <c r="M1557" s="52"/>
      <c r="N1557" s="19"/>
      <c r="O1557" s="19"/>
      <c r="P1557" s="19"/>
      <c r="Q1557" s="19"/>
      <c r="R1557" s="19"/>
      <c r="S1557" s="19"/>
      <c r="T1557" s="19"/>
      <c r="U1557" s="19"/>
      <c r="V1557" s="19"/>
      <c r="W1557" s="19"/>
      <c r="X1557" s="19"/>
      <c r="Y1557" s="19"/>
      <c r="Z1557" s="19"/>
      <c r="AA1557" s="19"/>
      <c r="AB1557" s="19"/>
      <c r="AC1557" s="19"/>
      <c r="AD1557" s="19"/>
      <c r="AE1557" s="19"/>
      <c r="AF1557" s="19"/>
      <c r="AG1557" s="19"/>
      <c r="AH1557" s="19"/>
      <c r="AI1557" s="19"/>
      <c r="AJ1557" s="19"/>
      <c r="AK1557" s="19"/>
      <c r="AL1557" s="19"/>
      <c r="AM1557" s="19"/>
      <c r="AN1557" s="19"/>
      <c r="AO1557" s="19"/>
      <c r="AP1557" s="19"/>
      <c r="AQ1557" s="19"/>
      <c r="AR1557" s="19"/>
      <c r="AS1557" s="19"/>
      <c r="AT1557" s="19"/>
      <c r="AU1557" s="19"/>
      <c r="AV1557" s="19"/>
      <c r="AW1557" s="19"/>
      <c r="AX1557" s="19"/>
      <c r="GA1557" s="54"/>
    </row>
    <row r="1558" spans="1:183" s="18" customFormat="1">
      <c r="A1558" s="51"/>
      <c r="B1558" s="52"/>
      <c r="C1558" s="52"/>
      <c r="D1558" s="52"/>
      <c r="E1558" s="53"/>
      <c r="F1558" s="52"/>
      <c r="G1558" s="52"/>
      <c r="H1558" s="52"/>
      <c r="I1558" s="53"/>
      <c r="J1558" s="52"/>
      <c r="K1558" s="52"/>
      <c r="L1558" s="52"/>
      <c r="M1558" s="52"/>
      <c r="N1558" s="19"/>
      <c r="O1558" s="19"/>
      <c r="P1558" s="19"/>
      <c r="Q1558" s="19"/>
      <c r="R1558" s="19"/>
      <c r="S1558" s="19"/>
      <c r="T1558" s="19"/>
      <c r="U1558" s="19"/>
      <c r="V1558" s="19"/>
      <c r="W1558" s="19"/>
      <c r="X1558" s="19"/>
      <c r="Y1558" s="19"/>
      <c r="Z1558" s="19"/>
      <c r="AA1558" s="19"/>
      <c r="AB1558" s="19"/>
      <c r="AC1558" s="19"/>
      <c r="AD1558" s="19"/>
      <c r="AE1558" s="19"/>
      <c r="AF1558" s="19"/>
      <c r="AG1558" s="19"/>
      <c r="AH1558" s="19"/>
      <c r="AI1558" s="19"/>
      <c r="AJ1558" s="19"/>
      <c r="AK1558" s="19"/>
      <c r="AL1558" s="19"/>
      <c r="AM1558" s="19"/>
      <c r="AN1558" s="19"/>
      <c r="AO1558" s="19"/>
      <c r="AP1558" s="19"/>
      <c r="AQ1558" s="19"/>
      <c r="AR1558" s="19"/>
      <c r="AS1558" s="19"/>
      <c r="AT1558" s="19"/>
      <c r="AU1558" s="19"/>
      <c r="AV1558" s="19"/>
      <c r="AW1558" s="19"/>
      <c r="AX1558" s="19"/>
      <c r="GA1558" s="54"/>
    </row>
    <row r="1559" spans="1:183" s="18" customFormat="1">
      <c r="A1559" s="51"/>
      <c r="B1559" s="52"/>
      <c r="C1559" s="52"/>
      <c r="D1559" s="52"/>
      <c r="E1559" s="53"/>
      <c r="F1559" s="52"/>
      <c r="G1559" s="52"/>
      <c r="H1559" s="52"/>
      <c r="I1559" s="53"/>
      <c r="J1559" s="52"/>
      <c r="K1559" s="52"/>
      <c r="L1559" s="52"/>
      <c r="M1559" s="52"/>
      <c r="N1559" s="19"/>
      <c r="O1559" s="19"/>
      <c r="P1559" s="19"/>
      <c r="Q1559" s="19"/>
      <c r="R1559" s="19"/>
      <c r="S1559" s="19"/>
      <c r="T1559" s="19"/>
      <c r="U1559" s="19"/>
      <c r="V1559" s="19"/>
      <c r="W1559" s="19"/>
      <c r="X1559" s="19"/>
      <c r="Y1559" s="19"/>
      <c r="Z1559" s="19"/>
      <c r="AA1559" s="19"/>
      <c r="AB1559" s="19"/>
      <c r="AC1559" s="19"/>
      <c r="AD1559" s="19"/>
      <c r="AE1559" s="19"/>
      <c r="AF1559" s="19"/>
      <c r="AG1559" s="19"/>
      <c r="AH1559" s="19"/>
      <c r="AI1559" s="19"/>
      <c r="AJ1559" s="19"/>
      <c r="AK1559" s="19"/>
      <c r="AL1559" s="19"/>
      <c r="AM1559" s="19"/>
      <c r="AN1559" s="19"/>
      <c r="AO1559" s="19"/>
      <c r="AP1559" s="19"/>
      <c r="AQ1559" s="19"/>
      <c r="AR1559" s="19"/>
      <c r="AS1559" s="19"/>
      <c r="AT1559" s="19"/>
      <c r="AU1559" s="19"/>
      <c r="AV1559" s="19"/>
      <c r="AW1559" s="19"/>
      <c r="AX1559" s="19"/>
      <c r="GA1559" s="54"/>
    </row>
    <row r="1560" spans="1:183" s="18" customFormat="1">
      <c r="A1560" s="51"/>
      <c r="B1560" s="52"/>
      <c r="C1560" s="52"/>
      <c r="D1560" s="52"/>
      <c r="E1560" s="53"/>
      <c r="F1560" s="52"/>
      <c r="G1560" s="52"/>
      <c r="H1560" s="52"/>
      <c r="I1560" s="53"/>
      <c r="J1560" s="52"/>
      <c r="K1560" s="52"/>
      <c r="L1560" s="52"/>
      <c r="M1560" s="52"/>
      <c r="N1560" s="19"/>
      <c r="O1560" s="19"/>
      <c r="P1560" s="19"/>
      <c r="Q1560" s="19"/>
      <c r="R1560" s="19"/>
      <c r="S1560" s="19"/>
      <c r="T1560" s="19"/>
      <c r="U1560" s="19"/>
      <c r="V1560" s="19"/>
      <c r="W1560" s="19"/>
      <c r="X1560" s="19"/>
      <c r="Y1560" s="19"/>
      <c r="Z1560" s="19"/>
      <c r="AA1560" s="19"/>
      <c r="AB1560" s="19"/>
      <c r="AC1560" s="19"/>
      <c r="AD1560" s="19"/>
      <c r="AE1560" s="19"/>
      <c r="AF1560" s="19"/>
      <c r="AG1560" s="19"/>
      <c r="AH1560" s="19"/>
      <c r="AI1560" s="19"/>
      <c r="AJ1560" s="19"/>
      <c r="AK1560" s="19"/>
      <c r="AL1560" s="19"/>
      <c r="AM1560" s="19"/>
      <c r="AN1560" s="19"/>
      <c r="AO1560" s="19"/>
      <c r="AP1560" s="19"/>
      <c r="AQ1560" s="19"/>
      <c r="AR1560" s="19"/>
      <c r="AS1560" s="19"/>
      <c r="AT1560" s="19"/>
      <c r="AU1560" s="19"/>
      <c r="AV1560" s="19"/>
      <c r="AW1560" s="19"/>
      <c r="AX1560" s="19"/>
      <c r="GA1560" s="54"/>
    </row>
    <row r="1561" spans="1:183" s="18" customFormat="1">
      <c r="A1561" s="51"/>
      <c r="B1561" s="52"/>
      <c r="C1561" s="52"/>
      <c r="D1561" s="52"/>
      <c r="E1561" s="53"/>
      <c r="F1561" s="52"/>
      <c r="G1561" s="52"/>
      <c r="H1561" s="52"/>
      <c r="I1561" s="53"/>
      <c r="J1561" s="52"/>
      <c r="K1561" s="52"/>
      <c r="L1561" s="52"/>
      <c r="M1561" s="52"/>
      <c r="N1561" s="19"/>
      <c r="O1561" s="19"/>
      <c r="P1561" s="19"/>
      <c r="Q1561" s="19"/>
      <c r="R1561" s="19"/>
      <c r="S1561" s="19"/>
      <c r="T1561" s="19"/>
      <c r="U1561" s="19"/>
      <c r="V1561" s="19"/>
      <c r="W1561" s="19"/>
      <c r="X1561" s="19"/>
      <c r="Y1561" s="19"/>
      <c r="Z1561" s="19"/>
      <c r="AA1561" s="19"/>
      <c r="AB1561" s="19"/>
      <c r="AC1561" s="19"/>
      <c r="AD1561" s="19"/>
      <c r="AE1561" s="19"/>
      <c r="AF1561" s="19"/>
      <c r="AG1561" s="19"/>
      <c r="AH1561" s="19"/>
      <c r="AI1561" s="19"/>
      <c r="AJ1561" s="19"/>
      <c r="AK1561" s="19"/>
      <c r="AL1561" s="19"/>
      <c r="AM1561" s="19"/>
      <c r="AN1561" s="19"/>
      <c r="AO1561" s="19"/>
      <c r="AP1561" s="19"/>
      <c r="AQ1561" s="19"/>
      <c r="AR1561" s="19"/>
      <c r="AS1561" s="19"/>
      <c r="AT1561" s="19"/>
      <c r="AU1561" s="19"/>
      <c r="AV1561" s="19"/>
      <c r="AW1561" s="19"/>
      <c r="AX1561" s="19"/>
      <c r="GA1561" s="54"/>
    </row>
    <row r="1562" spans="1:183" s="18" customFormat="1">
      <c r="A1562" s="51"/>
      <c r="B1562" s="52"/>
      <c r="C1562" s="52"/>
      <c r="D1562" s="52"/>
      <c r="E1562" s="53"/>
      <c r="F1562" s="52"/>
      <c r="G1562" s="52"/>
      <c r="H1562" s="52"/>
      <c r="I1562" s="53"/>
      <c r="J1562" s="52"/>
      <c r="K1562" s="52"/>
      <c r="L1562" s="52"/>
      <c r="M1562" s="52"/>
      <c r="N1562" s="19"/>
      <c r="O1562" s="19"/>
      <c r="P1562" s="19"/>
      <c r="Q1562" s="19"/>
      <c r="R1562" s="19"/>
      <c r="S1562" s="19"/>
      <c r="T1562" s="19"/>
      <c r="U1562" s="19"/>
      <c r="V1562" s="19"/>
      <c r="W1562" s="19"/>
      <c r="X1562" s="19"/>
      <c r="Y1562" s="19"/>
      <c r="Z1562" s="19"/>
      <c r="AA1562" s="19"/>
      <c r="AB1562" s="19"/>
      <c r="AC1562" s="19"/>
      <c r="AD1562" s="19"/>
      <c r="AE1562" s="19"/>
      <c r="AF1562" s="19"/>
      <c r="AG1562" s="19"/>
      <c r="AH1562" s="19"/>
      <c r="AI1562" s="19"/>
      <c r="AJ1562" s="19"/>
      <c r="AK1562" s="19"/>
      <c r="AL1562" s="19"/>
      <c r="AM1562" s="19"/>
      <c r="AN1562" s="19"/>
      <c r="AO1562" s="19"/>
      <c r="AP1562" s="19"/>
      <c r="AQ1562" s="19"/>
      <c r="AR1562" s="19"/>
      <c r="AS1562" s="19"/>
      <c r="AT1562" s="19"/>
      <c r="AU1562" s="19"/>
      <c r="AV1562" s="19"/>
      <c r="AW1562" s="19"/>
      <c r="AX1562" s="19"/>
      <c r="GA1562" s="54"/>
    </row>
    <row r="1563" spans="1:183" s="18" customFormat="1">
      <c r="A1563" s="51"/>
      <c r="B1563" s="52"/>
      <c r="C1563" s="52"/>
      <c r="D1563" s="52"/>
      <c r="E1563" s="53"/>
      <c r="F1563" s="52"/>
      <c r="G1563" s="52"/>
      <c r="H1563" s="52"/>
      <c r="I1563" s="53"/>
      <c r="J1563" s="52"/>
      <c r="K1563" s="52"/>
      <c r="L1563" s="52"/>
      <c r="M1563" s="52"/>
      <c r="N1563" s="19"/>
      <c r="O1563" s="19"/>
      <c r="P1563" s="19"/>
      <c r="Q1563" s="19"/>
      <c r="R1563" s="19"/>
      <c r="S1563" s="19"/>
      <c r="T1563" s="19"/>
      <c r="U1563" s="19"/>
      <c r="V1563" s="19"/>
      <c r="W1563" s="19"/>
      <c r="X1563" s="19"/>
      <c r="Y1563" s="19"/>
      <c r="Z1563" s="19"/>
      <c r="AA1563" s="19"/>
      <c r="AB1563" s="19"/>
      <c r="AC1563" s="19"/>
      <c r="AD1563" s="19"/>
      <c r="AE1563" s="19"/>
      <c r="AF1563" s="19"/>
      <c r="AG1563" s="19"/>
      <c r="AH1563" s="19"/>
      <c r="AI1563" s="19"/>
      <c r="AJ1563" s="19"/>
      <c r="AK1563" s="19"/>
      <c r="AL1563" s="19"/>
      <c r="AM1563" s="19"/>
      <c r="AN1563" s="19"/>
      <c r="AO1563" s="19"/>
      <c r="AP1563" s="19"/>
      <c r="AQ1563" s="19"/>
      <c r="AR1563" s="19"/>
      <c r="AS1563" s="19"/>
      <c r="AT1563" s="19"/>
      <c r="AU1563" s="19"/>
      <c r="AV1563" s="19"/>
      <c r="AW1563" s="19"/>
      <c r="AX1563" s="19"/>
      <c r="GA1563" s="54"/>
    </row>
    <row r="1564" spans="1:183" s="18" customFormat="1">
      <c r="A1564" s="51"/>
      <c r="B1564" s="52"/>
      <c r="C1564" s="52"/>
      <c r="D1564" s="52"/>
      <c r="E1564" s="53"/>
      <c r="F1564" s="52"/>
      <c r="G1564" s="52"/>
      <c r="H1564" s="52"/>
      <c r="I1564" s="53"/>
      <c r="J1564" s="52"/>
      <c r="K1564" s="52"/>
      <c r="L1564" s="52"/>
      <c r="M1564" s="52"/>
      <c r="N1564" s="19"/>
      <c r="O1564" s="19"/>
      <c r="P1564" s="19"/>
      <c r="Q1564" s="19"/>
      <c r="R1564" s="19"/>
      <c r="S1564" s="19"/>
      <c r="T1564" s="19"/>
      <c r="U1564" s="19"/>
      <c r="V1564" s="19"/>
      <c r="W1564" s="19"/>
      <c r="X1564" s="19"/>
      <c r="Y1564" s="19"/>
      <c r="Z1564" s="19"/>
      <c r="AA1564" s="19"/>
      <c r="AB1564" s="19"/>
      <c r="AC1564" s="19"/>
      <c r="AD1564" s="19"/>
      <c r="AE1564" s="19"/>
      <c r="AF1564" s="19"/>
      <c r="AG1564" s="19"/>
      <c r="AH1564" s="19"/>
      <c r="AI1564" s="19"/>
      <c r="AJ1564" s="19"/>
      <c r="AK1564" s="19"/>
      <c r="AL1564" s="19"/>
      <c r="AM1564" s="19"/>
      <c r="AN1564" s="19"/>
      <c r="AO1564" s="19"/>
      <c r="AP1564" s="19"/>
      <c r="AQ1564" s="19"/>
      <c r="AR1564" s="19"/>
      <c r="AS1564" s="19"/>
      <c r="AT1564" s="19"/>
      <c r="AU1564" s="19"/>
      <c r="AV1564" s="19"/>
      <c r="AW1564" s="19"/>
      <c r="AX1564" s="19"/>
      <c r="GA1564" s="54"/>
    </row>
    <row r="1565" spans="1:183" s="18" customFormat="1">
      <c r="A1565" s="51"/>
      <c r="B1565" s="52"/>
      <c r="C1565" s="52"/>
      <c r="D1565" s="52"/>
      <c r="E1565" s="53"/>
      <c r="F1565" s="52"/>
      <c r="G1565" s="52"/>
      <c r="H1565" s="52"/>
      <c r="I1565" s="53"/>
      <c r="J1565" s="52"/>
      <c r="K1565" s="52"/>
      <c r="L1565" s="52"/>
      <c r="M1565" s="52"/>
      <c r="N1565" s="19"/>
      <c r="O1565" s="19"/>
      <c r="P1565" s="19"/>
      <c r="Q1565" s="19"/>
      <c r="R1565" s="19"/>
      <c r="S1565" s="19"/>
      <c r="T1565" s="19"/>
      <c r="U1565" s="19"/>
      <c r="V1565" s="19"/>
      <c r="W1565" s="19"/>
      <c r="X1565" s="19"/>
      <c r="Y1565" s="19"/>
      <c r="Z1565" s="19"/>
      <c r="AA1565" s="19"/>
      <c r="AB1565" s="19"/>
      <c r="AC1565" s="19"/>
      <c r="AD1565" s="19"/>
      <c r="AE1565" s="19"/>
      <c r="AF1565" s="19"/>
      <c r="AG1565" s="19"/>
      <c r="AH1565" s="19"/>
      <c r="AI1565" s="19"/>
      <c r="AJ1565" s="19"/>
      <c r="AK1565" s="19"/>
      <c r="AL1565" s="19"/>
      <c r="AM1565" s="19"/>
      <c r="AN1565" s="19"/>
      <c r="AO1565" s="19"/>
      <c r="AP1565" s="19"/>
      <c r="AQ1565" s="19"/>
      <c r="AR1565" s="19"/>
      <c r="AS1565" s="19"/>
      <c r="AT1565" s="19"/>
      <c r="AU1565" s="19"/>
      <c r="AV1565" s="19"/>
      <c r="AW1565" s="19"/>
      <c r="AX1565" s="19"/>
      <c r="GA1565" s="54"/>
    </row>
    <row r="1566" spans="1:183" s="18" customFormat="1">
      <c r="A1566" s="51"/>
      <c r="B1566" s="52"/>
      <c r="C1566" s="52"/>
      <c r="D1566" s="52"/>
      <c r="E1566" s="53"/>
      <c r="F1566" s="52"/>
      <c r="G1566" s="52"/>
      <c r="H1566" s="52"/>
      <c r="I1566" s="53"/>
      <c r="J1566" s="52"/>
      <c r="K1566" s="52"/>
      <c r="L1566" s="52"/>
      <c r="M1566" s="52"/>
      <c r="N1566" s="19"/>
      <c r="O1566" s="19"/>
      <c r="P1566" s="19"/>
      <c r="Q1566" s="19"/>
      <c r="R1566" s="19"/>
      <c r="S1566" s="19"/>
      <c r="T1566" s="19"/>
      <c r="U1566" s="19"/>
      <c r="V1566" s="19"/>
      <c r="W1566" s="19"/>
      <c r="X1566" s="19"/>
      <c r="Y1566" s="19"/>
      <c r="Z1566" s="19"/>
      <c r="AA1566" s="19"/>
      <c r="AB1566" s="19"/>
      <c r="AC1566" s="19"/>
      <c r="AD1566" s="19"/>
      <c r="AE1566" s="19"/>
      <c r="AF1566" s="19"/>
      <c r="AG1566" s="19"/>
      <c r="AH1566" s="19"/>
      <c r="AI1566" s="19"/>
      <c r="AJ1566" s="19"/>
      <c r="AK1566" s="19"/>
      <c r="AL1566" s="19"/>
      <c r="AM1566" s="19"/>
      <c r="AN1566" s="19"/>
      <c r="AO1566" s="19"/>
      <c r="AP1566" s="19"/>
      <c r="AQ1566" s="19"/>
      <c r="AR1566" s="19"/>
      <c r="AS1566" s="19"/>
      <c r="AT1566" s="19"/>
      <c r="AU1566" s="19"/>
      <c r="AV1566" s="19"/>
      <c r="AW1566" s="19"/>
      <c r="AX1566" s="19"/>
      <c r="GA1566" s="54"/>
    </row>
    <row r="1567" spans="1:183" s="18" customFormat="1">
      <c r="A1567" s="51"/>
      <c r="B1567" s="52"/>
      <c r="C1567" s="52"/>
      <c r="D1567" s="52"/>
      <c r="E1567" s="53"/>
      <c r="F1567" s="52"/>
      <c r="G1567" s="52"/>
      <c r="H1567" s="52"/>
      <c r="I1567" s="53"/>
      <c r="J1567" s="52"/>
      <c r="K1567" s="52"/>
      <c r="L1567" s="52"/>
      <c r="M1567" s="52"/>
      <c r="N1567" s="19"/>
      <c r="O1567" s="19"/>
      <c r="P1567" s="19"/>
      <c r="Q1567" s="19"/>
      <c r="R1567" s="19"/>
      <c r="S1567" s="19"/>
      <c r="T1567" s="19"/>
      <c r="U1567" s="19"/>
      <c r="V1567" s="19"/>
      <c r="W1567" s="19"/>
      <c r="X1567" s="19"/>
      <c r="Y1567" s="19"/>
      <c r="Z1567" s="19"/>
      <c r="AA1567" s="19"/>
      <c r="AB1567" s="19"/>
      <c r="AC1567" s="19"/>
      <c r="AD1567" s="19"/>
      <c r="AE1567" s="19"/>
      <c r="AF1567" s="19"/>
      <c r="AG1567" s="19"/>
      <c r="AH1567" s="19"/>
      <c r="AI1567" s="19"/>
      <c r="AJ1567" s="19"/>
      <c r="AK1567" s="19"/>
      <c r="AL1567" s="19"/>
      <c r="AM1567" s="19"/>
      <c r="AN1567" s="19"/>
      <c r="AO1567" s="19"/>
      <c r="AP1567" s="19"/>
      <c r="AQ1567" s="19"/>
      <c r="AR1567" s="19"/>
      <c r="AS1567" s="19"/>
      <c r="AT1567" s="19"/>
      <c r="AU1567" s="19"/>
      <c r="AV1567" s="19"/>
      <c r="AW1567" s="19"/>
      <c r="AX1567" s="19"/>
      <c r="GA1567" s="54"/>
    </row>
    <row r="1568" spans="1:183" s="18" customFormat="1">
      <c r="A1568" s="51"/>
      <c r="B1568" s="52"/>
      <c r="C1568" s="52"/>
      <c r="D1568" s="52"/>
      <c r="E1568" s="53"/>
      <c r="F1568" s="52"/>
      <c r="G1568" s="52"/>
      <c r="H1568" s="52"/>
      <c r="I1568" s="53"/>
      <c r="J1568" s="52"/>
      <c r="K1568" s="52"/>
      <c r="L1568" s="52"/>
      <c r="M1568" s="52"/>
      <c r="N1568" s="19"/>
      <c r="O1568" s="19"/>
      <c r="P1568" s="19"/>
      <c r="Q1568" s="19"/>
      <c r="R1568" s="19"/>
      <c r="S1568" s="19"/>
      <c r="T1568" s="19"/>
      <c r="U1568" s="19"/>
      <c r="V1568" s="19"/>
      <c r="W1568" s="19"/>
      <c r="X1568" s="19"/>
      <c r="Y1568" s="19"/>
      <c r="Z1568" s="19"/>
      <c r="AA1568" s="19"/>
      <c r="AB1568" s="19"/>
      <c r="AC1568" s="19"/>
      <c r="AD1568" s="19"/>
      <c r="AE1568" s="19"/>
      <c r="AF1568" s="19"/>
      <c r="AG1568" s="19"/>
      <c r="AH1568" s="19"/>
      <c r="AI1568" s="19"/>
      <c r="AJ1568" s="19"/>
      <c r="AK1568" s="19"/>
      <c r="AL1568" s="19"/>
      <c r="AM1568" s="19"/>
      <c r="AN1568" s="19"/>
      <c r="AO1568" s="19"/>
      <c r="AP1568" s="19"/>
      <c r="AQ1568" s="19"/>
      <c r="AR1568" s="19"/>
      <c r="AS1568" s="19"/>
      <c r="AT1568" s="19"/>
      <c r="AU1568" s="19"/>
      <c r="AV1568" s="19"/>
      <c r="AW1568" s="19"/>
      <c r="AX1568" s="19"/>
      <c r="GA1568" s="54"/>
    </row>
    <row r="1569" spans="1:183" s="18" customFormat="1">
      <c r="A1569" s="51"/>
      <c r="B1569" s="52"/>
      <c r="C1569" s="52"/>
      <c r="D1569" s="52"/>
      <c r="E1569" s="53"/>
      <c r="F1569" s="52"/>
      <c r="G1569" s="52"/>
      <c r="H1569" s="52"/>
      <c r="I1569" s="53"/>
      <c r="J1569" s="52"/>
      <c r="K1569" s="52"/>
      <c r="L1569" s="52"/>
      <c r="M1569" s="52"/>
      <c r="N1569" s="19"/>
      <c r="O1569" s="19"/>
      <c r="P1569" s="19"/>
      <c r="Q1569" s="19"/>
      <c r="R1569" s="19"/>
      <c r="S1569" s="19"/>
      <c r="T1569" s="19"/>
      <c r="U1569" s="19"/>
      <c r="V1569" s="19"/>
      <c r="W1569" s="19"/>
      <c r="X1569" s="19"/>
      <c r="Y1569" s="19"/>
      <c r="Z1569" s="19"/>
      <c r="AA1569" s="19"/>
      <c r="AB1569" s="19"/>
      <c r="AC1569" s="19"/>
      <c r="AD1569" s="19"/>
      <c r="AE1569" s="19"/>
      <c r="AF1569" s="19"/>
      <c r="AG1569" s="19"/>
      <c r="AH1569" s="19"/>
      <c r="AI1569" s="19"/>
      <c r="AJ1569" s="19"/>
      <c r="AK1569" s="19"/>
      <c r="AL1569" s="19"/>
      <c r="AM1569" s="19"/>
      <c r="AN1569" s="19"/>
      <c r="AO1569" s="19"/>
      <c r="AP1569" s="19"/>
      <c r="AQ1569" s="19"/>
      <c r="AR1569" s="19"/>
      <c r="AS1569" s="19"/>
      <c r="AT1569" s="19"/>
      <c r="AU1569" s="19"/>
      <c r="AV1569" s="19"/>
      <c r="AW1569" s="19"/>
      <c r="AX1569" s="19"/>
      <c r="GA1569" s="54"/>
    </row>
    <row r="1570" spans="1:183" s="18" customFormat="1">
      <c r="A1570" s="51"/>
      <c r="B1570" s="52"/>
      <c r="C1570" s="52"/>
      <c r="D1570" s="52"/>
      <c r="E1570" s="53"/>
      <c r="F1570" s="52"/>
      <c r="G1570" s="52"/>
      <c r="H1570" s="52"/>
      <c r="I1570" s="53"/>
      <c r="J1570" s="52"/>
      <c r="K1570" s="52"/>
      <c r="L1570" s="52"/>
      <c r="M1570" s="52"/>
      <c r="N1570" s="19"/>
      <c r="O1570" s="19"/>
      <c r="P1570" s="19"/>
      <c r="Q1570" s="19"/>
      <c r="R1570" s="19"/>
      <c r="S1570" s="19"/>
      <c r="T1570" s="19"/>
      <c r="U1570" s="19"/>
      <c r="V1570" s="19"/>
      <c r="W1570" s="19"/>
      <c r="X1570" s="19"/>
      <c r="Y1570" s="19"/>
      <c r="Z1570" s="19"/>
      <c r="AA1570" s="19"/>
      <c r="AB1570" s="19"/>
      <c r="AC1570" s="19"/>
      <c r="AD1570" s="19"/>
      <c r="AE1570" s="19"/>
      <c r="AF1570" s="19"/>
      <c r="AG1570" s="19"/>
      <c r="AH1570" s="19"/>
      <c r="AI1570" s="19"/>
      <c r="AJ1570" s="19"/>
      <c r="AK1570" s="19"/>
      <c r="AL1570" s="19"/>
      <c r="AM1570" s="19"/>
      <c r="AN1570" s="19"/>
      <c r="AO1570" s="19"/>
      <c r="AP1570" s="19"/>
      <c r="AQ1570" s="19"/>
      <c r="AR1570" s="19"/>
      <c r="AS1570" s="19"/>
      <c r="AT1570" s="19"/>
      <c r="AU1570" s="19"/>
      <c r="AV1570" s="19"/>
      <c r="AW1570" s="19"/>
      <c r="AX1570" s="19"/>
      <c r="GA1570" s="54"/>
    </row>
    <row r="1571" spans="1:183" s="18" customFormat="1">
      <c r="A1571" s="51"/>
      <c r="B1571" s="52"/>
      <c r="C1571" s="52"/>
      <c r="D1571" s="52"/>
      <c r="E1571" s="53"/>
      <c r="F1571" s="52"/>
      <c r="G1571" s="52"/>
      <c r="H1571" s="52"/>
      <c r="I1571" s="53"/>
      <c r="J1571" s="52"/>
      <c r="K1571" s="52"/>
      <c r="L1571" s="52"/>
      <c r="M1571" s="52"/>
      <c r="N1571" s="19"/>
      <c r="O1571" s="19"/>
      <c r="P1571" s="19"/>
      <c r="Q1571" s="19"/>
      <c r="R1571" s="19"/>
      <c r="S1571" s="19"/>
      <c r="T1571" s="19"/>
      <c r="U1571" s="19"/>
      <c r="V1571" s="19"/>
      <c r="W1571" s="19"/>
      <c r="X1571" s="19"/>
      <c r="Y1571" s="19"/>
      <c r="Z1571" s="19"/>
      <c r="AA1571" s="19"/>
      <c r="AB1571" s="19"/>
      <c r="AC1571" s="19"/>
      <c r="AD1571" s="19"/>
      <c r="AE1571" s="19"/>
      <c r="AF1571" s="19"/>
      <c r="AG1571" s="19"/>
      <c r="AH1571" s="19"/>
      <c r="AI1571" s="19"/>
      <c r="AJ1571" s="19"/>
      <c r="AK1571" s="19"/>
      <c r="AL1571" s="19"/>
      <c r="AM1571" s="19"/>
      <c r="AN1571" s="19"/>
      <c r="AO1571" s="19"/>
      <c r="AP1571" s="19"/>
      <c r="AQ1571" s="19"/>
      <c r="AR1571" s="19"/>
      <c r="AS1571" s="19"/>
      <c r="AT1571" s="19"/>
      <c r="AU1571" s="19"/>
      <c r="AV1571" s="19"/>
      <c r="AW1571" s="19"/>
      <c r="AX1571" s="19"/>
      <c r="GA1571" s="54"/>
    </row>
    <row r="1572" spans="1:183" s="18" customFormat="1">
      <c r="A1572" s="51"/>
      <c r="B1572" s="52"/>
      <c r="C1572" s="52"/>
      <c r="D1572" s="52"/>
      <c r="E1572" s="53"/>
      <c r="F1572" s="52"/>
      <c r="G1572" s="52"/>
      <c r="H1572" s="52"/>
      <c r="I1572" s="53"/>
      <c r="J1572" s="52"/>
      <c r="K1572" s="52"/>
      <c r="L1572" s="52"/>
      <c r="M1572" s="52"/>
      <c r="N1572" s="19"/>
      <c r="O1572" s="19"/>
      <c r="P1572" s="19"/>
      <c r="Q1572" s="19"/>
      <c r="R1572" s="19"/>
      <c r="S1572" s="19"/>
      <c r="T1572" s="19"/>
      <c r="U1572" s="19"/>
      <c r="V1572" s="19"/>
      <c r="W1572" s="19"/>
      <c r="X1572" s="19"/>
      <c r="Y1572" s="19"/>
      <c r="Z1572" s="19"/>
      <c r="AA1572" s="19"/>
      <c r="AB1572" s="19"/>
      <c r="AC1572" s="19"/>
      <c r="AD1572" s="19"/>
      <c r="AE1572" s="19"/>
      <c r="AF1572" s="19"/>
      <c r="AG1572" s="19"/>
      <c r="AH1572" s="19"/>
      <c r="AI1572" s="19"/>
      <c r="AJ1572" s="19"/>
      <c r="AK1572" s="19"/>
      <c r="AL1572" s="19"/>
      <c r="AM1572" s="19"/>
      <c r="AN1572" s="19"/>
      <c r="AO1572" s="19"/>
      <c r="AP1572" s="19"/>
      <c r="AQ1572" s="19"/>
      <c r="AR1572" s="19"/>
      <c r="AS1572" s="19"/>
      <c r="AT1572" s="19"/>
      <c r="AU1572" s="19"/>
      <c r="AV1572" s="19"/>
      <c r="AW1572" s="19"/>
      <c r="AX1572" s="19"/>
      <c r="GA1572" s="54"/>
    </row>
    <row r="1573" spans="1:183" s="18" customFormat="1">
      <c r="A1573" s="51"/>
      <c r="B1573" s="52"/>
      <c r="C1573" s="52"/>
      <c r="D1573" s="52"/>
      <c r="E1573" s="53"/>
      <c r="F1573" s="52"/>
      <c r="G1573" s="52"/>
      <c r="H1573" s="52"/>
      <c r="I1573" s="53"/>
      <c r="J1573" s="52"/>
      <c r="K1573" s="52"/>
      <c r="L1573" s="52"/>
      <c r="M1573" s="52"/>
      <c r="N1573" s="19"/>
      <c r="O1573" s="19"/>
      <c r="P1573" s="19"/>
      <c r="Q1573" s="19"/>
      <c r="R1573" s="19"/>
      <c r="S1573" s="19"/>
      <c r="T1573" s="19"/>
      <c r="U1573" s="19"/>
      <c r="V1573" s="19"/>
      <c r="W1573" s="19"/>
      <c r="X1573" s="19"/>
      <c r="Y1573" s="19"/>
      <c r="Z1573" s="19"/>
      <c r="AA1573" s="19"/>
      <c r="AB1573" s="19"/>
      <c r="AC1573" s="19"/>
      <c r="AD1573" s="19"/>
      <c r="AE1573" s="19"/>
      <c r="AF1573" s="19"/>
      <c r="AG1573" s="19"/>
      <c r="AH1573" s="19"/>
      <c r="AI1573" s="19"/>
      <c r="AJ1573" s="19"/>
      <c r="AK1573" s="19"/>
      <c r="AL1573" s="19"/>
      <c r="AM1573" s="19"/>
      <c r="AN1573" s="19"/>
      <c r="AO1573" s="19"/>
      <c r="AP1573" s="19"/>
      <c r="AQ1573" s="19"/>
      <c r="AR1573" s="19"/>
      <c r="AS1573" s="19"/>
      <c r="AT1573" s="19"/>
      <c r="AU1573" s="19"/>
      <c r="AV1573" s="19"/>
      <c r="AW1573" s="19"/>
      <c r="AX1573" s="19"/>
      <c r="GA1573" s="54"/>
    </row>
    <row r="1574" spans="1:183" s="18" customFormat="1">
      <c r="A1574" s="51"/>
      <c r="B1574" s="52"/>
      <c r="C1574" s="52"/>
      <c r="D1574" s="52"/>
      <c r="E1574" s="53"/>
      <c r="F1574" s="52"/>
      <c r="G1574" s="52"/>
      <c r="H1574" s="52"/>
      <c r="I1574" s="53"/>
      <c r="J1574" s="52"/>
      <c r="K1574" s="52"/>
      <c r="L1574" s="52"/>
      <c r="M1574" s="52"/>
      <c r="N1574" s="19"/>
      <c r="O1574" s="19"/>
      <c r="P1574" s="19"/>
      <c r="Q1574" s="19"/>
      <c r="R1574" s="19"/>
      <c r="S1574" s="19"/>
      <c r="T1574" s="19"/>
      <c r="U1574" s="19"/>
      <c r="V1574" s="19"/>
      <c r="W1574" s="19"/>
      <c r="X1574" s="19"/>
      <c r="Y1574" s="19"/>
      <c r="Z1574" s="19"/>
      <c r="AA1574" s="19"/>
      <c r="AB1574" s="19"/>
      <c r="AC1574" s="19"/>
      <c r="AD1574" s="19"/>
      <c r="AE1574" s="19"/>
      <c r="AF1574" s="19"/>
      <c r="AG1574" s="19"/>
      <c r="AH1574" s="19"/>
      <c r="AI1574" s="19"/>
      <c r="AJ1574" s="19"/>
      <c r="AK1574" s="19"/>
      <c r="AL1574" s="19"/>
      <c r="AM1574" s="19"/>
      <c r="AN1574" s="19"/>
      <c r="AO1574" s="19"/>
      <c r="AP1574" s="19"/>
      <c r="AQ1574" s="19"/>
      <c r="AR1574" s="19"/>
      <c r="AS1574" s="19"/>
      <c r="AT1574" s="19"/>
      <c r="AU1574" s="19"/>
      <c r="AV1574" s="19"/>
      <c r="AW1574" s="19"/>
      <c r="AX1574" s="19"/>
      <c r="GA1574" s="54"/>
    </row>
    <row r="1575" spans="1:183" s="18" customFormat="1">
      <c r="A1575" s="51"/>
      <c r="B1575" s="52"/>
      <c r="C1575" s="52"/>
      <c r="D1575" s="52"/>
      <c r="E1575" s="53"/>
      <c r="F1575" s="52"/>
      <c r="G1575" s="52"/>
      <c r="H1575" s="52"/>
      <c r="I1575" s="53"/>
      <c r="J1575" s="52"/>
      <c r="K1575" s="52"/>
      <c r="L1575" s="52"/>
      <c r="M1575" s="52"/>
      <c r="N1575" s="19"/>
      <c r="O1575" s="19"/>
      <c r="P1575" s="19"/>
      <c r="Q1575" s="19"/>
      <c r="R1575" s="19"/>
      <c r="S1575" s="19"/>
      <c r="T1575" s="19"/>
      <c r="U1575" s="19"/>
      <c r="V1575" s="19"/>
      <c r="W1575" s="19"/>
      <c r="X1575" s="19"/>
      <c r="Y1575" s="19"/>
      <c r="Z1575" s="19"/>
      <c r="AA1575" s="19"/>
      <c r="AB1575" s="19"/>
      <c r="AC1575" s="19"/>
      <c r="AD1575" s="19"/>
      <c r="AE1575" s="19"/>
      <c r="AF1575" s="19"/>
      <c r="AG1575" s="19"/>
      <c r="AH1575" s="19"/>
      <c r="AI1575" s="19"/>
      <c r="AJ1575" s="19"/>
      <c r="AK1575" s="19"/>
      <c r="AL1575" s="19"/>
      <c r="AM1575" s="19"/>
      <c r="AN1575" s="19"/>
      <c r="AO1575" s="19"/>
      <c r="AP1575" s="19"/>
      <c r="AQ1575" s="19"/>
      <c r="AR1575" s="19"/>
      <c r="AS1575" s="19"/>
      <c r="AT1575" s="19"/>
      <c r="AU1575" s="19"/>
      <c r="AV1575" s="19"/>
      <c r="AW1575" s="19"/>
      <c r="AX1575" s="19"/>
      <c r="GA1575" s="54"/>
    </row>
    <row r="1576" spans="1:183" s="18" customFormat="1">
      <c r="A1576" s="51"/>
      <c r="B1576" s="52"/>
      <c r="C1576" s="52"/>
      <c r="D1576" s="52"/>
      <c r="E1576" s="53"/>
      <c r="F1576" s="52"/>
      <c r="G1576" s="52"/>
      <c r="H1576" s="52"/>
      <c r="I1576" s="53"/>
      <c r="J1576" s="52"/>
      <c r="K1576" s="52"/>
      <c r="L1576" s="52"/>
      <c r="M1576" s="52"/>
      <c r="N1576" s="19"/>
      <c r="O1576" s="19"/>
      <c r="P1576" s="19"/>
      <c r="Q1576" s="19"/>
      <c r="R1576" s="19"/>
      <c r="S1576" s="19"/>
      <c r="T1576" s="19"/>
      <c r="U1576" s="19"/>
      <c r="V1576" s="19"/>
      <c r="W1576" s="19"/>
      <c r="X1576" s="19"/>
      <c r="Y1576" s="19"/>
      <c r="Z1576" s="19"/>
      <c r="AA1576" s="19"/>
      <c r="AB1576" s="19"/>
      <c r="AC1576" s="19"/>
      <c r="AD1576" s="19"/>
      <c r="AE1576" s="19"/>
      <c r="AF1576" s="19"/>
      <c r="AG1576" s="19"/>
      <c r="AH1576" s="19"/>
      <c r="AI1576" s="19"/>
      <c r="AJ1576" s="19"/>
      <c r="AK1576" s="19"/>
      <c r="AL1576" s="19"/>
      <c r="AM1576" s="19"/>
      <c r="AN1576" s="19"/>
      <c r="AO1576" s="19"/>
      <c r="AP1576" s="19"/>
      <c r="AQ1576" s="19"/>
      <c r="AR1576" s="19"/>
      <c r="AS1576" s="19"/>
      <c r="AT1576" s="19"/>
      <c r="AU1576" s="19"/>
      <c r="AV1576" s="19"/>
      <c r="AW1576" s="19"/>
      <c r="AX1576" s="19"/>
      <c r="GA1576" s="54"/>
    </row>
    <row r="1577" spans="1:183" s="18" customFormat="1">
      <c r="A1577" s="51"/>
      <c r="B1577" s="52"/>
      <c r="C1577" s="52"/>
      <c r="D1577" s="52"/>
      <c r="E1577" s="53"/>
      <c r="F1577" s="52"/>
      <c r="G1577" s="52"/>
      <c r="H1577" s="52"/>
      <c r="I1577" s="53"/>
      <c r="J1577" s="52"/>
      <c r="K1577" s="52"/>
      <c r="L1577" s="52"/>
      <c r="M1577" s="52"/>
      <c r="N1577" s="19"/>
      <c r="O1577" s="19"/>
      <c r="P1577" s="19"/>
      <c r="Q1577" s="19"/>
      <c r="R1577" s="19"/>
      <c r="S1577" s="19"/>
      <c r="T1577" s="19"/>
      <c r="U1577" s="19"/>
      <c r="V1577" s="19"/>
      <c r="W1577" s="19"/>
      <c r="X1577" s="19"/>
      <c r="Y1577" s="19"/>
      <c r="Z1577" s="19"/>
      <c r="AA1577" s="19"/>
      <c r="AB1577" s="19"/>
      <c r="AC1577" s="19"/>
      <c r="AD1577" s="19"/>
      <c r="AE1577" s="19"/>
      <c r="AF1577" s="19"/>
      <c r="AG1577" s="19"/>
      <c r="AH1577" s="19"/>
      <c r="AI1577" s="19"/>
      <c r="AJ1577" s="19"/>
      <c r="AK1577" s="19"/>
      <c r="AL1577" s="19"/>
      <c r="AM1577" s="19"/>
      <c r="AN1577" s="19"/>
      <c r="AO1577" s="19"/>
      <c r="AP1577" s="19"/>
      <c r="AQ1577" s="19"/>
      <c r="AR1577" s="19"/>
      <c r="AS1577" s="19"/>
      <c r="AT1577" s="19"/>
      <c r="AU1577" s="19"/>
      <c r="AV1577" s="19"/>
      <c r="AW1577" s="19"/>
      <c r="AX1577" s="19"/>
      <c r="GA1577" s="54"/>
    </row>
    <row r="1578" spans="1:183" s="18" customFormat="1">
      <c r="A1578" s="51"/>
      <c r="B1578" s="52"/>
      <c r="C1578" s="52"/>
      <c r="D1578" s="52"/>
      <c r="E1578" s="53"/>
      <c r="F1578" s="52"/>
      <c r="G1578" s="52"/>
      <c r="H1578" s="52"/>
      <c r="I1578" s="53"/>
      <c r="J1578" s="52"/>
      <c r="K1578" s="52"/>
      <c r="L1578" s="52"/>
      <c r="M1578" s="52"/>
      <c r="N1578" s="19"/>
      <c r="O1578" s="19"/>
      <c r="P1578" s="19"/>
      <c r="Q1578" s="19"/>
      <c r="R1578" s="19"/>
      <c r="S1578" s="19"/>
      <c r="T1578" s="19"/>
      <c r="U1578" s="19"/>
      <c r="V1578" s="19"/>
      <c r="W1578" s="19"/>
      <c r="X1578" s="19"/>
      <c r="Y1578" s="19"/>
      <c r="Z1578" s="19"/>
      <c r="AA1578" s="19"/>
      <c r="AB1578" s="19"/>
      <c r="AC1578" s="19"/>
      <c r="AD1578" s="19"/>
      <c r="AE1578" s="19"/>
      <c r="AF1578" s="19"/>
      <c r="AG1578" s="19"/>
      <c r="AH1578" s="19"/>
      <c r="AI1578" s="19"/>
      <c r="AJ1578" s="19"/>
      <c r="AK1578" s="19"/>
      <c r="AL1578" s="19"/>
      <c r="AM1578" s="19"/>
      <c r="AN1578" s="19"/>
      <c r="AO1578" s="19"/>
      <c r="AP1578" s="19"/>
      <c r="AQ1578" s="19"/>
      <c r="AR1578" s="19"/>
      <c r="AS1578" s="19"/>
      <c r="AT1578" s="19"/>
      <c r="AU1578" s="19"/>
      <c r="AV1578" s="19"/>
      <c r="AW1578" s="19"/>
      <c r="AX1578" s="19"/>
      <c r="GA1578" s="54"/>
    </row>
    <row r="1579" spans="1:183" s="18" customFormat="1">
      <c r="A1579" s="51"/>
      <c r="B1579" s="52"/>
      <c r="C1579" s="52"/>
      <c r="D1579" s="52"/>
      <c r="E1579" s="53"/>
      <c r="F1579" s="52"/>
      <c r="G1579" s="52"/>
      <c r="H1579" s="52"/>
      <c r="I1579" s="53"/>
      <c r="J1579" s="52"/>
      <c r="K1579" s="52"/>
      <c r="L1579" s="52"/>
      <c r="M1579" s="52"/>
      <c r="N1579" s="19"/>
      <c r="O1579" s="19"/>
      <c r="P1579" s="19"/>
      <c r="Q1579" s="19"/>
      <c r="R1579" s="19"/>
      <c r="S1579" s="19"/>
      <c r="T1579" s="19"/>
      <c r="U1579" s="19"/>
      <c r="V1579" s="19"/>
      <c r="W1579" s="19"/>
      <c r="X1579" s="19"/>
      <c r="Y1579" s="19"/>
      <c r="Z1579" s="19"/>
      <c r="AA1579" s="19"/>
      <c r="AB1579" s="19"/>
      <c r="AC1579" s="19"/>
      <c r="AD1579" s="19"/>
      <c r="AE1579" s="19"/>
      <c r="AF1579" s="19"/>
      <c r="AG1579" s="19"/>
      <c r="AH1579" s="19"/>
      <c r="AI1579" s="19"/>
      <c r="AJ1579" s="19"/>
      <c r="AK1579" s="19"/>
      <c r="AL1579" s="19"/>
      <c r="AM1579" s="19"/>
      <c r="AN1579" s="19"/>
      <c r="AO1579" s="19"/>
      <c r="AP1579" s="19"/>
      <c r="AQ1579" s="19"/>
      <c r="AR1579" s="19"/>
      <c r="AS1579" s="19"/>
      <c r="AT1579" s="19"/>
      <c r="AU1579" s="19"/>
      <c r="AV1579" s="19"/>
      <c r="AW1579" s="19"/>
      <c r="AX1579" s="19"/>
      <c r="GA1579" s="54"/>
    </row>
    <row r="1580" spans="1:183" s="18" customFormat="1">
      <c r="A1580" s="51"/>
      <c r="B1580" s="52"/>
      <c r="C1580" s="52"/>
      <c r="D1580" s="52"/>
      <c r="E1580" s="53"/>
      <c r="F1580" s="52"/>
      <c r="G1580" s="52"/>
      <c r="H1580" s="52"/>
      <c r="I1580" s="53"/>
      <c r="J1580" s="52"/>
      <c r="K1580" s="52"/>
      <c r="L1580" s="52"/>
      <c r="M1580" s="52"/>
      <c r="N1580" s="19"/>
      <c r="O1580" s="19"/>
      <c r="P1580" s="19"/>
      <c r="Q1580" s="19"/>
      <c r="R1580" s="19"/>
      <c r="S1580" s="19"/>
      <c r="T1580" s="19"/>
      <c r="U1580" s="19"/>
      <c r="V1580" s="19"/>
      <c r="W1580" s="19"/>
      <c r="X1580" s="19"/>
      <c r="Y1580" s="19"/>
      <c r="Z1580" s="19"/>
      <c r="AA1580" s="19"/>
      <c r="AB1580" s="19"/>
      <c r="AC1580" s="19"/>
      <c r="AD1580" s="19"/>
      <c r="AE1580" s="19"/>
      <c r="AF1580" s="19"/>
      <c r="AG1580" s="19"/>
      <c r="AH1580" s="19"/>
      <c r="AI1580" s="19"/>
      <c r="AJ1580" s="19"/>
      <c r="AK1580" s="19"/>
      <c r="AL1580" s="19"/>
      <c r="AM1580" s="19"/>
      <c r="AN1580" s="19"/>
      <c r="AO1580" s="19"/>
      <c r="AP1580" s="19"/>
      <c r="AQ1580" s="19"/>
      <c r="AR1580" s="19"/>
      <c r="AS1580" s="19"/>
      <c r="AT1580" s="19"/>
      <c r="AU1580" s="19"/>
      <c r="AV1580" s="19"/>
      <c r="AW1580" s="19"/>
      <c r="AX1580" s="19"/>
      <c r="GA1580" s="54"/>
    </row>
    <row r="1581" spans="1:183" s="18" customFormat="1">
      <c r="A1581" s="51"/>
      <c r="B1581" s="52"/>
      <c r="C1581" s="52"/>
      <c r="D1581" s="52"/>
      <c r="E1581" s="53"/>
      <c r="F1581" s="52"/>
      <c r="G1581" s="52"/>
      <c r="H1581" s="52"/>
      <c r="I1581" s="53"/>
      <c r="J1581" s="52"/>
      <c r="K1581" s="52"/>
      <c r="L1581" s="52"/>
      <c r="M1581" s="52"/>
      <c r="N1581" s="19"/>
      <c r="O1581" s="19"/>
      <c r="P1581" s="19"/>
      <c r="Q1581" s="19"/>
      <c r="R1581" s="19"/>
      <c r="S1581" s="19"/>
      <c r="T1581" s="19"/>
      <c r="U1581" s="19"/>
      <c r="V1581" s="19"/>
      <c r="W1581" s="19"/>
      <c r="X1581" s="19"/>
      <c r="Y1581" s="19"/>
      <c r="Z1581" s="19"/>
      <c r="AA1581" s="19"/>
      <c r="AB1581" s="19"/>
      <c r="AC1581" s="19"/>
      <c r="AD1581" s="19"/>
      <c r="AE1581" s="19"/>
      <c r="AF1581" s="19"/>
      <c r="AG1581" s="19"/>
      <c r="AH1581" s="19"/>
      <c r="AI1581" s="19"/>
      <c r="AJ1581" s="19"/>
      <c r="AK1581" s="19"/>
      <c r="AL1581" s="19"/>
      <c r="AM1581" s="19"/>
      <c r="AN1581" s="19"/>
      <c r="AO1581" s="19"/>
      <c r="AP1581" s="19"/>
      <c r="AQ1581" s="19"/>
      <c r="AR1581" s="19"/>
      <c r="AS1581" s="19"/>
      <c r="AT1581" s="19"/>
      <c r="AU1581" s="19"/>
      <c r="AV1581" s="19"/>
      <c r="AW1581" s="19"/>
      <c r="AX1581" s="19"/>
      <c r="GA1581" s="54"/>
    </row>
    <row r="1582" spans="1:183" s="18" customFormat="1">
      <c r="A1582" s="51"/>
      <c r="B1582" s="52"/>
      <c r="C1582" s="52"/>
      <c r="D1582" s="52"/>
      <c r="E1582" s="53"/>
      <c r="F1582" s="52"/>
      <c r="G1582" s="52"/>
      <c r="H1582" s="52"/>
      <c r="I1582" s="53"/>
      <c r="J1582" s="52"/>
      <c r="K1582" s="52"/>
      <c r="L1582" s="52"/>
      <c r="M1582" s="52"/>
      <c r="N1582" s="19"/>
      <c r="O1582" s="19"/>
      <c r="P1582" s="19"/>
      <c r="Q1582" s="19"/>
      <c r="R1582" s="19"/>
      <c r="S1582" s="19"/>
      <c r="T1582" s="19"/>
      <c r="U1582" s="19"/>
      <c r="V1582" s="19"/>
      <c r="W1582" s="19"/>
      <c r="X1582" s="19"/>
      <c r="Y1582" s="19"/>
      <c r="Z1582" s="19"/>
      <c r="AA1582" s="19"/>
      <c r="AB1582" s="19"/>
      <c r="AC1582" s="19"/>
      <c r="AD1582" s="19"/>
      <c r="AE1582" s="19"/>
      <c r="AF1582" s="19"/>
      <c r="AG1582" s="19"/>
      <c r="AH1582" s="19"/>
      <c r="AI1582" s="19"/>
      <c r="AJ1582" s="19"/>
      <c r="AK1582" s="19"/>
      <c r="AL1582" s="19"/>
      <c r="AM1582" s="19"/>
      <c r="AN1582" s="19"/>
      <c r="AO1582" s="19"/>
      <c r="AP1582" s="19"/>
      <c r="AQ1582" s="19"/>
      <c r="AR1582" s="19"/>
      <c r="AS1582" s="19"/>
      <c r="AT1582" s="19"/>
      <c r="AU1582" s="19"/>
      <c r="AV1582" s="19"/>
      <c r="AW1582" s="19"/>
      <c r="AX1582" s="19"/>
      <c r="GA1582" s="54"/>
    </row>
    <row r="1583" spans="1:183" s="18" customFormat="1">
      <c r="A1583" s="51"/>
      <c r="B1583" s="52"/>
      <c r="C1583" s="52"/>
      <c r="D1583" s="52"/>
      <c r="E1583" s="53"/>
      <c r="F1583" s="52"/>
      <c r="G1583" s="52"/>
      <c r="H1583" s="52"/>
      <c r="I1583" s="53"/>
      <c r="J1583" s="52"/>
      <c r="K1583" s="52"/>
      <c r="L1583" s="52"/>
      <c r="M1583" s="52"/>
      <c r="N1583" s="19"/>
      <c r="O1583" s="19"/>
      <c r="P1583" s="19"/>
      <c r="Q1583" s="19"/>
      <c r="R1583" s="19"/>
      <c r="S1583" s="19"/>
      <c r="T1583" s="19"/>
      <c r="U1583" s="19"/>
      <c r="V1583" s="19"/>
      <c r="W1583" s="19"/>
      <c r="X1583" s="19"/>
      <c r="Y1583" s="19"/>
      <c r="Z1583" s="19"/>
      <c r="AA1583" s="19"/>
      <c r="AB1583" s="19"/>
      <c r="AC1583" s="19"/>
      <c r="AD1583" s="19"/>
      <c r="AE1583" s="19"/>
      <c r="AF1583" s="19"/>
      <c r="AG1583" s="19"/>
      <c r="AH1583" s="19"/>
      <c r="AI1583" s="19"/>
      <c r="AJ1583" s="19"/>
      <c r="AK1583" s="19"/>
      <c r="AL1583" s="19"/>
      <c r="AM1583" s="19"/>
      <c r="AN1583" s="19"/>
      <c r="AO1583" s="19"/>
      <c r="AP1583" s="19"/>
      <c r="AQ1583" s="19"/>
      <c r="AR1583" s="19"/>
      <c r="AS1583" s="19"/>
      <c r="AT1583" s="19"/>
      <c r="AU1583" s="19"/>
      <c r="AV1583" s="19"/>
      <c r="AW1583" s="19"/>
      <c r="AX1583" s="19"/>
      <c r="GA1583" s="54"/>
    </row>
    <row r="1584" spans="1:183" s="18" customFormat="1">
      <c r="A1584" s="51"/>
      <c r="B1584" s="52"/>
      <c r="C1584" s="52"/>
      <c r="D1584" s="52"/>
      <c r="E1584" s="53"/>
      <c r="F1584" s="52"/>
      <c r="G1584" s="52"/>
      <c r="H1584" s="52"/>
      <c r="I1584" s="53"/>
      <c r="J1584" s="52"/>
      <c r="K1584" s="52"/>
      <c r="L1584" s="52"/>
      <c r="M1584" s="52"/>
      <c r="N1584" s="19"/>
      <c r="O1584" s="19"/>
      <c r="P1584" s="19"/>
      <c r="Q1584" s="19"/>
      <c r="R1584" s="19"/>
      <c r="S1584" s="19"/>
      <c r="T1584" s="19"/>
      <c r="U1584" s="19"/>
      <c r="V1584" s="19"/>
      <c r="W1584" s="19"/>
      <c r="X1584" s="19"/>
      <c r="Y1584" s="19"/>
      <c r="Z1584" s="19"/>
      <c r="AA1584" s="19"/>
      <c r="AB1584" s="19"/>
      <c r="AC1584" s="19"/>
      <c r="AD1584" s="19"/>
      <c r="AE1584" s="19"/>
      <c r="AF1584" s="19"/>
      <c r="AG1584" s="19"/>
      <c r="AH1584" s="19"/>
      <c r="AI1584" s="19"/>
      <c r="AJ1584" s="19"/>
      <c r="AK1584" s="19"/>
      <c r="AL1584" s="19"/>
      <c r="AM1584" s="19"/>
      <c r="AN1584" s="19"/>
      <c r="AO1584" s="19"/>
      <c r="AP1584" s="19"/>
      <c r="AQ1584" s="19"/>
      <c r="AR1584" s="19"/>
      <c r="AS1584" s="19"/>
      <c r="AT1584" s="19"/>
      <c r="AU1584" s="19"/>
      <c r="AV1584" s="19"/>
      <c r="AW1584" s="19"/>
      <c r="AX1584" s="19"/>
      <c r="GA1584" s="54"/>
    </row>
    <row r="1585" spans="1:183" s="18" customFormat="1">
      <c r="A1585" s="51"/>
      <c r="B1585" s="52"/>
      <c r="C1585" s="52"/>
      <c r="D1585" s="52"/>
      <c r="E1585" s="53"/>
      <c r="F1585" s="52"/>
      <c r="G1585" s="52"/>
      <c r="H1585" s="52"/>
      <c r="I1585" s="53"/>
      <c r="J1585" s="52"/>
      <c r="K1585" s="52"/>
      <c r="L1585" s="52"/>
      <c r="M1585" s="52"/>
      <c r="N1585" s="19"/>
      <c r="O1585" s="19"/>
      <c r="P1585" s="19"/>
      <c r="Q1585" s="19"/>
      <c r="R1585" s="19"/>
      <c r="S1585" s="19"/>
      <c r="T1585" s="19"/>
      <c r="U1585" s="19"/>
      <c r="V1585" s="19"/>
      <c r="W1585" s="19"/>
      <c r="X1585" s="19"/>
      <c r="Y1585" s="19"/>
      <c r="Z1585" s="19"/>
      <c r="AA1585" s="19"/>
      <c r="AB1585" s="19"/>
      <c r="AC1585" s="19"/>
      <c r="AD1585" s="19"/>
      <c r="AE1585" s="19"/>
      <c r="AF1585" s="19"/>
      <c r="AG1585" s="19"/>
      <c r="AH1585" s="19"/>
      <c r="AI1585" s="19"/>
      <c r="AJ1585" s="19"/>
      <c r="AK1585" s="19"/>
      <c r="AL1585" s="19"/>
      <c r="AM1585" s="19"/>
      <c r="AN1585" s="19"/>
      <c r="AO1585" s="19"/>
      <c r="AP1585" s="19"/>
      <c r="AQ1585" s="19"/>
      <c r="AR1585" s="19"/>
      <c r="AS1585" s="19"/>
      <c r="AT1585" s="19"/>
      <c r="AU1585" s="19"/>
      <c r="AV1585" s="19"/>
      <c r="AW1585" s="19"/>
      <c r="AX1585" s="19"/>
      <c r="GA1585" s="54"/>
    </row>
    <row r="1586" spans="1:183" s="18" customFormat="1">
      <c r="A1586" s="51"/>
      <c r="B1586" s="52"/>
      <c r="C1586" s="52"/>
      <c r="D1586" s="52"/>
      <c r="E1586" s="53"/>
      <c r="F1586" s="52"/>
      <c r="G1586" s="52"/>
      <c r="H1586" s="52"/>
      <c r="I1586" s="53"/>
      <c r="J1586" s="52"/>
      <c r="K1586" s="52"/>
      <c r="L1586" s="52"/>
      <c r="M1586" s="52"/>
      <c r="N1586" s="19"/>
      <c r="O1586" s="19"/>
      <c r="P1586" s="19"/>
      <c r="Q1586" s="19"/>
      <c r="R1586" s="19"/>
      <c r="S1586" s="19"/>
      <c r="T1586" s="19"/>
      <c r="U1586" s="19"/>
      <c r="V1586" s="19"/>
      <c r="W1586" s="19"/>
      <c r="X1586" s="19"/>
      <c r="Y1586" s="19"/>
      <c r="Z1586" s="19"/>
      <c r="AA1586" s="19"/>
      <c r="AB1586" s="19"/>
      <c r="AC1586" s="19"/>
      <c r="AD1586" s="19"/>
      <c r="AE1586" s="19"/>
      <c r="AF1586" s="19"/>
      <c r="AG1586" s="19"/>
      <c r="AH1586" s="19"/>
      <c r="AI1586" s="19"/>
      <c r="AJ1586" s="19"/>
      <c r="AK1586" s="19"/>
      <c r="AL1586" s="19"/>
      <c r="AM1586" s="19"/>
      <c r="AN1586" s="19"/>
      <c r="AO1586" s="19"/>
      <c r="AP1586" s="19"/>
      <c r="AQ1586" s="19"/>
      <c r="AR1586" s="19"/>
      <c r="AS1586" s="19"/>
      <c r="AT1586" s="19"/>
      <c r="AU1586" s="19"/>
      <c r="AV1586" s="19"/>
      <c r="AW1586" s="19"/>
      <c r="AX1586" s="19"/>
      <c r="GA1586" s="54"/>
    </row>
    <row r="1587" spans="1:183" s="18" customFormat="1">
      <c r="A1587" s="51"/>
      <c r="B1587" s="52"/>
      <c r="C1587" s="52"/>
      <c r="D1587" s="52"/>
      <c r="E1587" s="53"/>
      <c r="F1587" s="52"/>
      <c r="G1587" s="52"/>
      <c r="H1587" s="52"/>
      <c r="I1587" s="53"/>
      <c r="J1587" s="52"/>
      <c r="K1587" s="52"/>
      <c r="L1587" s="52"/>
      <c r="M1587" s="52"/>
      <c r="N1587" s="19"/>
      <c r="O1587" s="19"/>
      <c r="P1587" s="19"/>
      <c r="Q1587" s="19"/>
      <c r="R1587" s="19"/>
      <c r="S1587" s="19"/>
      <c r="T1587" s="19"/>
      <c r="U1587" s="19"/>
      <c r="V1587" s="19"/>
      <c r="W1587" s="19"/>
      <c r="X1587" s="19"/>
      <c r="Y1587" s="19"/>
      <c r="Z1587" s="19"/>
      <c r="AA1587" s="19"/>
      <c r="AB1587" s="19"/>
      <c r="AC1587" s="19"/>
      <c r="AD1587" s="19"/>
      <c r="AE1587" s="19"/>
      <c r="AF1587" s="19"/>
      <c r="AG1587" s="19"/>
      <c r="AH1587" s="19"/>
      <c r="AI1587" s="19"/>
      <c r="AJ1587" s="19"/>
      <c r="AK1587" s="19"/>
      <c r="AL1587" s="19"/>
      <c r="AM1587" s="19"/>
      <c r="AN1587" s="19"/>
      <c r="AO1587" s="19"/>
      <c r="AP1587" s="19"/>
      <c r="AQ1587" s="19"/>
      <c r="AR1587" s="19"/>
      <c r="AS1587" s="19"/>
      <c r="AT1587" s="19"/>
      <c r="AU1587" s="19"/>
      <c r="AV1587" s="19"/>
      <c r="AW1587" s="19"/>
      <c r="AX1587" s="19"/>
      <c r="GA1587" s="54"/>
    </row>
    <row r="1588" spans="1:183" s="18" customFormat="1">
      <c r="A1588" s="51"/>
      <c r="B1588" s="52"/>
      <c r="C1588" s="52"/>
      <c r="D1588" s="52"/>
      <c r="E1588" s="53"/>
      <c r="F1588" s="52"/>
      <c r="G1588" s="52"/>
      <c r="H1588" s="52"/>
      <c r="I1588" s="53"/>
      <c r="J1588" s="52"/>
      <c r="K1588" s="52"/>
      <c r="L1588" s="52"/>
      <c r="M1588" s="52"/>
      <c r="N1588" s="19"/>
      <c r="O1588" s="19"/>
      <c r="P1588" s="19"/>
      <c r="Q1588" s="19"/>
      <c r="R1588" s="19"/>
      <c r="S1588" s="19"/>
      <c r="T1588" s="19"/>
      <c r="U1588" s="19"/>
      <c r="V1588" s="19"/>
      <c r="W1588" s="19"/>
      <c r="X1588" s="19"/>
      <c r="Y1588" s="19"/>
      <c r="Z1588" s="19"/>
      <c r="AA1588" s="19"/>
      <c r="AB1588" s="19"/>
      <c r="AC1588" s="19"/>
      <c r="AD1588" s="19"/>
      <c r="AE1588" s="19"/>
      <c r="AF1588" s="19"/>
      <c r="AG1588" s="19"/>
      <c r="AH1588" s="19"/>
      <c r="AI1588" s="19"/>
      <c r="AJ1588" s="19"/>
      <c r="AK1588" s="19"/>
      <c r="AL1588" s="19"/>
      <c r="AM1588" s="19"/>
      <c r="AN1588" s="19"/>
      <c r="AO1588" s="19"/>
      <c r="AP1588" s="19"/>
      <c r="AQ1588" s="19"/>
      <c r="AR1588" s="19"/>
      <c r="AS1588" s="19"/>
      <c r="AT1588" s="19"/>
      <c r="AU1588" s="19"/>
      <c r="AV1588" s="19"/>
      <c r="AW1588" s="19"/>
      <c r="AX1588" s="19"/>
      <c r="GA1588" s="54"/>
    </row>
    <row r="1589" spans="1:183" s="18" customFormat="1">
      <c r="A1589" s="51"/>
      <c r="B1589" s="52"/>
      <c r="C1589" s="52"/>
      <c r="D1589" s="52"/>
      <c r="E1589" s="53"/>
      <c r="F1589" s="52"/>
      <c r="G1589" s="52"/>
      <c r="H1589" s="52"/>
      <c r="I1589" s="53"/>
      <c r="J1589" s="52"/>
      <c r="K1589" s="52"/>
      <c r="L1589" s="52"/>
      <c r="M1589" s="52"/>
      <c r="N1589" s="19"/>
      <c r="O1589" s="19"/>
      <c r="P1589" s="19"/>
      <c r="Q1589" s="19"/>
      <c r="R1589" s="19"/>
      <c r="S1589" s="19"/>
      <c r="T1589" s="19"/>
      <c r="U1589" s="19"/>
      <c r="V1589" s="19"/>
      <c r="W1589" s="19"/>
      <c r="X1589" s="19"/>
      <c r="Y1589" s="19"/>
      <c r="Z1589" s="19"/>
      <c r="AA1589" s="19"/>
      <c r="AB1589" s="19"/>
      <c r="AC1589" s="19"/>
      <c r="AD1589" s="19"/>
      <c r="AE1589" s="19"/>
      <c r="AF1589" s="19"/>
      <c r="AG1589" s="19"/>
      <c r="AH1589" s="19"/>
      <c r="AI1589" s="19"/>
      <c r="AJ1589" s="19"/>
      <c r="AK1589" s="19"/>
      <c r="AL1589" s="19"/>
      <c r="AM1589" s="19"/>
      <c r="AN1589" s="19"/>
      <c r="AO1589" s="19"/>
      <c r="AP1589" s="19"/>
      <c r="AQ1589" s="19"/>
      <c r="AR1589" s="19"/>
      <c r="AS1589" s="19"/>
      <c r="AT1589" s="19"/>
      <c r="AU1589" s="19"/>
      <c r="AV1589" s="19"/>
      <c r="AW1589" s="19"/>
      <c r="AX1589" s="19"/>
      <c r="GA1589" s="54"/>
    </row>
    <row r="1590" spans="1:183" s="18" customFormat="1">
      <c r="A1590" s="51"/>
      <c r="B1590" s="52"/>
      <c r="C1590" s="52"/>
      <c r="D1590" s="52"/>
      <c r="E1590" s="53"/>
      <c r="F1590" s="52"/>
      <c r="G1590" s="52"/>
      <c r="H1590" s="52"/>
      <c r="I1590" s="53"/>
      <c r="J1590" s="52"/>
      <c r="K1590" s="52"/>
      <c r="L1590" s="52"/>
      <c r="M1590" s="52"/>
      <c r="N1590" s="19"/>
      <c r="O1590" s="19"/>
      <c r="P1590" s="19"/>
      <c r="Q1590" s="19"/>
      <c r="R1590" s="19"/>
      <c r="S1590" s="19"/>
      <c r="T1590" s="19"/>
      <c r="U1590" s="19"/>
      <c r="V1590" s="19"/>
      <c r="W1590" s="19"/>
      <c r="X1590" s="19"/>
      <c r="Y1590" s="19"/>
      <c r="Z1590" s="19"/>
      <c r="AA1590" s="19"/>
      <c r="AB1590" s="19"/>
      <c r="AC1590" s="19"/>
      <c r="AD1590" s="19"/>
      <c r="AE1590" s="19"/>
      <c r="AF1590" s="19"/>
      <c r="AG1590" s="19"/>
      <c r="AH1590" s="19"/>
      <c r="AI1590" s="19"/>
      <c r="AJ1590" s="19"/>
      <c r="AK1590" s="19"/>
      <c r="AL1590" s="19"/>
      <c r="AM1590" s="19"/>
      <c r="AN1590" s="19"/>
      <c r="AO1590" s="19"/>
      <c r="AP1590" s="19"/>
      <c r="AQ1590" s="19"/>
      <c r="AR1590" s="19"/>
      <c r="AS1590" s="19"/>
      <c r="AT1590" s="19"/>
      <c r="AU1590" s="19"/>
      <c r="AV1590" s="19"/>
      <c r="AW1590" s="19"/>
      <c r="AX1590" s="19"/>
      <c r="GA1590" s="54"/>
    </row>
    <row r="1591" spans="1:183" s="18" customFormat="1">
      <c r="A1591" s="51"/>
      <c r="B1591" s="52"/>
      <c r="C1591" s="52"/>
      <c r="D1591" s="52"/>
      <c r="E1591" s="53"/>
      <c r="F1591" s="52"/>
      <c r="G1591" s="52"/>
      <c r="H1591" s="52"/>
      <c r="I1591" s="53"/>
      <c r="J1591" s="52"/>
      <c r="K1591" s="52"/>
      <c r="L1591" s="52"/>
      <c r="M1591" s="52"/>
      <c r="N1591" s="19"/>
      <c r="O1591" s="19"/>
      <c r="P1591" s="19"/>
      <c r="Q1591" s="19"/>
      <c r="R1591" s="19"/>
      <c r="S1591" s="19"/>
      <c r="T1591" s="19"/>
      <c r="U1591" s="19"/>
      <c r="V1591" s="19"/>
      <c r="W1591" s="19"/>
      <c r="X1591" s="19"/>
      <c r="Y1591" s="19"/>
      <c r="Z1591" s="19"/>
      <c r="AA1591" s="19"/>
      <c r="AB1591" s="19"/>
      <c r="AC1591" s="19"/>
      <c r="AD1591" s="19"/>
      <c r="AE1591" s="19"/>
      <c r="AF1591" s="19"/>
      <c r="AG1591" s="19"/>
      <c r="AH1591" s="19"/>
      <c r="AI1591" s="19"/>
      <c r="AJ1591" s="19"/>
      <c r="AK1591" s="19"/>
      <c r="AL1591" s="19"/>
      <c r="AM1591" s="19"/>
      <c r="AN1591" s="19"/>
      <c r="AO1591" s="19"/>
      <c r="AP1591" s="19"/>
      <c r="AQ1591" s="19"/>
      <c r="AR1591" s="19"/>
      <c r="AS1591" s="19"/>
      <c r="AT1591" s="19"/>
      <c r="AU1591" s="19"/>
      <c r="AV1591" s="19"/>
      <c r="AW1591" s="19"/>
      <c r="AX1591" s="19"/>
      <c r="GA1591" s="54"/>
    </row>
    <row r="1592" spans="1:183" s="18" customFormat="1">
      <c r="A1592" s="51"/>
      <c r="B1592" s="52"/>
      <c r="C1592" s="52"/>
      <c r="D1592" s="52"/>
      <c r="E1592" s="53"/>
      <c r="F1592" s="52"/>
      <c r="G1592" s="52"/>
      <c r="H1592" s="52"/>
      <c r="I1592" s="53"/>
      <c r="J1592" s="52"/>
      <c r="K1592" s="52"/>
      <c r="L1592" s="52"/>
      <c r="M1592" s="52"/>
      <c r="N1592" s="19"/>
      <c r="O1592" s="19"/>
      <c r="P1592" s="19"/>
      <c r="Q1592" s="19"/>
      <c r="R1592" s="19"/>
      <c r="S1592" s="19"/>
      <c r="T1592" s="19"/>
      <c r="U1592" s="19"/>
      <c r="V1592" s="19"/>
      <c r="W1592" s="19"/>
      <c r="X1592" s="19"/>
      <c r="Y1592" s="19"/>
      <c r="Z1592" s="19"/>
      <c r="AA1592" s="19"/>
      <c r="AB1592" s="19"/>
      <c r="AC1592" s="19"/>
      <c r="AD1592" s="19"/>
      <c r="AE1592" s="19"/>
      <c r="AF1592" s="19"/>
      <c r="AG1592" s="19"/>
      <c r="AH1592" s="19"/>
      <c r="AI1592" s="19"/>
      <c r="AJ1592" s="19"/>
      <c r="AK1592" s="19"/>
      <c r="AL1592" s="19"/>
      <c r="AM1592" s="19"/>
      <c r="AN1592" s="19"/>
      <c r="AO1592" s="19"/>
      <c r="AP1592" s="19"/>
      <c r="AQ1592" s="19"/>
      <c r="AR1592" s="19"/>
      <c r="AS1592" s="19"/>
      <c r="AT1592" s="19"/>
      <c r="AU1592" s="19"/>
      <c r="AV1592" s="19"/>
      <c r="AW1592" s="19"/>
      <c r="AX1592" s="19"/>
      <c r="GA1592" s="54"/>
    </row>
    <row r="1593" spans="1:183" s="18" customFormat="1">
      <c r="A1593" s="51"/>
      <c r="B1593" s="52"/>
      <c r="C1593" s="52"/>
      <c r="D1593" s="52"/>
      <c r="E1593" s="53"/>
      <c r="F1593" s="52"/>
      <c r="G1593" s="52"/>
      <c r="H1593" s="52"/>
      <c r="I1593" s="53"/>
      <c r="J1593" s="52"/>
      <c r="K1593" s="52"/>
      <c r="L1593" s="52"/>
      <c r="M1593" s="52"/>
      <c r="N1593" s="19"/>
      <c r="O1593" s="19"/>
      <c r="P1593" s="19"/>
      <c r="Q1593" s="19"/>
      <c r="R1593" s="19"/>
      <c r="S1593" s="19"/>
      <c r="T1593" s="19"/>
      <c r="U1593" s="19"/>
      <c r="V1593" s="19"/>
      <c r="W1593" s="19"/>
      <c r="X1593" s="19"/>
      <c r="Y1593" s="19"/>
      <c r="Z1593" s="19"/>
      <c r="AA1593" s="19"/>
      <c r="AB1593" s="19"/>
      <c r="AC1593" s="19"/>
      <c r="AD1593" s="19"/>
      <c r="AE1593" s="19"/>
      <c r="AF1593" s="19"/>
      <c r="AG1593" s="19"/>
      <c r="AH1593" s="19"/>
      <c r="AI1593" s="19"/>
      <c r="AJ1593" s="19"/>
      <c r="AK1593" s="19"/>
      <c r="AL1593" s="19"/>
      <c r="AM1593" s="19"/>
      <c r="AN1593" s="19"/>
      <c r="AO1593" s="19"/>
      <c r="AP1593" s="19"/>
      <c r="AQ1593" s="19"/>
      <c r="AR1593" s="19"/>
      <c r="AS1593" s="19"/>
      <c r="AT1593" s="19"/>
      <c r="AU1593" s="19"/>
      <c r="AV1593" s="19"/>
      <c r="AW1593" s="19"/>
      <c r="AX1593" s="19"/>
      <c r="GA1593" s="54"/>
    </row>
    <row r="1594" spans="1:183" s="18" customFormat="1">
      <c r="A1594" s="51"/>
      <c r="B1594" s="52"/>
      <c r="C1594" s="52"/>
      <c r="D1594" s="52"/>
      <c r="E1594" s="53"/>
      <c r="F1594" s="52"/>
      <c r="G1594" s="52"/>
      <c r="H1594" s="52"/>
      <c r="I1594" s="53"/>
      <c r="J1594" s="52"/>
      <c r="K1594" s="52"/>
      <c r="L1594" s="52"/>
      <c r="M1594" s="52"/>
      <c r="N1594" s="19"/>
      <c r="O1594" s="19"/>
      <c r="P1594" s="19"/>
      <c r="Q1594" s="19"/>
      <c r="R1594" s="19"/>
      <c r="S1594" s="19"/>
      <c r="T1594" s="19"/>
      <c r="U1594" s="19"/>
      <c r="V1594" s="19"/>
      <c r="W1594" s="19"/>
      <c r="X1594" s="19"/>
      <c r="Y1594" s="19"/>
      <c r="Z1594" s="19"/>
      <c r="AA1594" s="19"/>
      <c r="AB1594" s="19"/>
      <c r="AC1594" s="19"/>
      <c r="AD1594" s="19"/>
      <c r="AE1594" s="19"/>
      <c r="AF1594" s="19"/>
      <c r="AG1594" s="19"/>
      <c r="AH1594" s="19"/>
      <c r="AI1594" s="19"/>
      <c r="AJ1594" s="19"/>
      <c r="AK1594" s="19"/>
      <c r="AL1594" s="19"/>
      <c r="AM1594" s="19"/>
      <c r="AN1594" s="19"/>
      <c r="AO1594" s="19"/>
      <c r="AP1594" s="19"/>
      <c r="AQ1594" s="19"/>
      <c r="AR1594" s="19"/>
      <c r="AS1594" s="19"/>
      <c r="AT1594" s="19"/>
      <c r="AU1594" s="19"/>
      <c r="AV1594" s="19"/>
      <c r="AW1594" s="19"/>
      <c r="AX1594" s="19"/>
      <c r="GA1594" s="54"/>
    </row>
    <row r="1595" spans="1:183" s="18" customFormat="1">
      <c r="A1595" s="51"/>
      <c r="B1595" s="52"/>
      <c r="C1595" s="52"/>
      <c r="D1595" s="52"/>
      <c r="E1595" s="53"/>
      <c r="F1595" s="52"/>
      <c r="G1595" s="52"/>
      <c r="H1595" s="52"/>
      <c r="I1595" s="53"/>
      <c r="J1595" s="52"/>
      <c r="K1595" s="52"/>
      <c r="L1595" s="52"/>
      <c r="M1595" s="52"/>
      <c r="N1595" s="19"/>
      <c r="O1595" s="19"/>
      <c r="P1595" s="19"/>
      <c r="Q1595" s="19"/>
      <c r="R1595" s="19"/>
      <c r="S1595" s="19"/>
      <c r="T1595" s="19"/>
      <c r="U1595" s="19"/>
      <c r="V1595" s="19"/>
      <c r="W1595" s="19"/>
      <c r="X1595" s="19"/>
      <c r="Y1595" s="19"/>
      <c r="Z1595" s="19"/>
      <c r="AA1595" s="19"/>
      <c r="AB1595" s="19"/>
      <c r="AC1595" s="19"/>
      <c r="AD1595" s="19"/>
      <c r="AE1595" s="19"/>
      <c r="AF1595" s="19"/>
      <c r="AG1595" s="19"/>
      <c r="AH1595" s="19"/>
      <c r="AI1595" s="19"/>
      <c r="AJ1595" s="19"/>
      <c r="AK1595" s="19"/>
      <c r="AL1595" s="19"/>
      <c r="AM1595" s="19"/>
      <c r="AN1595" s="19"/>
      <c r="AO1595" s="19"/>
      <c r="AP1595" s="19"/>
      <c r="AQ1595" s="19"/>
      <c r="AR1595" s="19"/>
      <c r="AS1595" s="19"/>
      <c r="AT1595" s="19"/>
      <c r="AU1595" s="19"/>
      <c r="AV1595" s="19"/>
      <c r="AW1595" s="19"/>
      <c r="AX1595" s="19"/>
      <c r="GA1595" s="54"/>
    </row>
    <row r="1596" spans="1:183" s="18" customFormat="1">
      <c r="A1596" s="51"/>
      <c r="B1596" s="52"/>
      <c r="C1596" s="52"/>
      <c r="D1596" s="52"/>
      <c r="E1596" s="53"/>
      <c r="F1596" s="52"/>
      <c r="G1596" s="52"/>
      <c r="H1596" s="52"/>
      <c r="I1596" s="53"/>
      <c r="J1596" s="52"/>
      <c r="K1596" s="52"/>
      <c r="L1596" s="52"/>
      <c r="M1596" s="52"/>
      <c r="N1596" s="19"/>
      <c r="O1596" s="19"/>
      <c r="P1596" s="19"/>
      <c r="Q1596" s="19"/>
      <c r="R1596" s="19"/>
      <c r="S1596" s="19"/>
      <c r="T1596" s="19"/>
      <c r="U1596" s="19"/>
      <c r="V1596" s="19"/>
      <c r="W1596" s="19"/>
      <c r="X1596" s="19"/>
      <c r="Y1596" s="19"/>
      <c r="Z1596" s="19"/>
      <c r="AA1596" s="19"/>
      <c r="AB1596" s="19"/>
      <c r="AC1596" s="19"/>
      <c r="AD1596" s="19"/>
      <c r="AE1596" s="19"/>
      <c r="AF1596" s="19"/>
      <c r="AG1596" s="19"/>
      <c r="AH1596" s="19"/>
      <c r="AI1596" s="19"/>
      <c r="AJ1596" s="19"/>
      <c r="AK1596" s="19"/>
      <c r="AL1596" s="19"/>
      <c r="AM1596" s="19"/>
      <c r="AN1596" s="19"/>
      <c r="AO1596" s="19"/>
      <c r="AP1596" s="19"/>
      <c r="AQ1596" s="19"/>
      <c r="AR1596" s="19"/>
      <c r="AS1596" s="19"/>
      <c r="AT1596" s="19"/>
      <c r="AU1596" s="19"/>
      <c r="AV1596" s="19"/>
      <c r="AW1596" s="19"/>
      <c r="AX1596" s="19"/>
      <c r="GA1596" s="54"/>
    </row>
    <row r="1597" spans="1:183" s="18" customFormat="1">
      <c r="A1597" s="51"/>
      <c r="B1597" s="52"/>
      <c r="C1597" s="52"/>
      <c r="D1597" s="52"/>
      <c r="E1597" s="53"/>
      <c r="F1597" s="52"/>
      <c r="G1597" s="52"/>
      <c r="H1597" s="52"/>
      <c r="I1597" s="53"/>
      <c r="J1597" s="52"/>
      <c r="K1597" s="52"/>
      <c r="L1597" s="52"/>
      <c r="M1597" s="52"/>
      <c r="N1597" s="19"/>
      <c r="O1597" s="19"/>
      <c r="P1597" s="19"/>
      <c r="Q1597" s="19"/>
      <c r="R1597" s="19"/>
      <c r="S1597" s="19"/>
      <c r="T1597" s="19"/>
      <c r="U1597" s="19"/>
      <c r="V1597" s="19"/>
      <c r="W1597" s="19"/>
      <c r="X1597" s="19"/>
      <c r="Y1597" s="19"/>
      <c r="Z1597" s="19"/>
      <c r="AA1597" s="19"/>
      <c r="AB1597" s="19"/>
      <c r="AC1597" s="19"/>
      <c r="AD1597" s="19"/>
      <c r="AE1597" s="19"/>
      <c r="AF1597" s="19"/>
      <c r="AG1597" s="19"/>
      <c r="AH1597" s="19"/>
      <c r="AI1597" s="19"/>
      <c r="AJ1597" s="19"/>
      <c r="AK1597" s="19"/>
      <c r="AL1597" s="19"/>
      <c r="AM1597" s="19"/>
      <c r="AN1597" s="19"/>
      <c r="AO1597" s="19"/>
      <c r="AP1597" s="19"/>
      <c r="AQ1597" s="19"/>
      <c r="AR1597" s="19"/>
      <c r="AS1597" s="19"/>
      <c r="AT1597" s="19"/>
      <c r="AU1597" s="19"/>
      <c r="AV1597" s="19"/>
      <c r="AW1597" s="19"/>
      <c r="AX1597" s="19"/>
      <c r="GA1597" s="54"/>
    </row>
    <row r="1598" spans="1:183" s="18" customFormat="1">
      <c r="A1598" s="51"/>
      <c r="B1598" s="52"/>
      <c r="C1598" s="52"/>
      <c r="D1598" s="52"/>
      <c r="E1598" s="53"/>
      <c r="F1598" s="52"/>
      <c r="G1598" s="52"/>
      <c r="H1598" s="52"/>
      <c r="I1598" s="53"/>
      <c r="J1598" s="52"/>
      <c r="K1598" s="52"/>
      <c r="L1598" s="52"/>
      <c r="M1598" s="52"/>
      <c r="N1598" s="19"/>
      <c r="O1598" s="19"/>
      <c r="P1598" s="19"/>
      <c r="Q1598" s="19"/>
      <c r="R1598" s="19"/>
      <c r="S1598" s="19"/>
      <c r="T1598" s="19"/>
      <c r="U1598" s="19"/>
      <c r="V1598" s="19"/>
      <c r="W1598" s="19"/>
      <c r="X1598" s="19"/>
      <c r="Y1598" s="19"/>
      <c r="Z1598" s="19"/>
      <c r="AA1598" s="19"/>
      <c r="AB1598" s="19"/>
      <c r="AC1598" s="19"/>
      <c r="AD1598" s="19"/>
      <c r="AE1598" s="19"/>
      <c r="AF1598" s="19"/>
      <c r="AG1598" s="19"/>
      <c r="AH1598" s="19"/>
      <c r="AI1598" s="19"/>
      <c r="AJ1598" s="19"/>
      <c r="AK1598" s="19"/>
      <c r="AL1598" s="19"/>
      <c r="AM1598" s="19"/>
      <c r="AN1598" s="19"/>
      <c r="AO1598" s="19"/>
      <c r="AP1598" s="19"/>
      <c r="AQ1598" s="19"/>
      <c r="AR1598" s="19"/>
      <c r="AS1598" s="19"/>
      <c r="AT1598" s="19"/>
      <c r="AU1598" s="19"/>
      <c r="AV1598" s="19"/>
      <c r="AW1598" s="19"/>
      <c r="AX1598" s="19"/>
      <c r="GA1598" s="54"/>
    </row>
    <row r="1599" spans="1:183" s="18" customFormat="1">
      <c r="A1599" s="51"/>
      <c r="B1599" s="52"/>
      <c r="C1599" s="52"/>
      <c r="D1599" s="52"/>
      <c r="E1599" s="53"/>
      <c r="F1599" s="52"/>
      <c r="G1599" s="52"/>
      <c r="H1599" s="52"/>
      <c r="I1599" s="53"/>
      <c r="J1599" s="52"/>
      <c r="K1599" s="52"/>
      <c r="L1599" s="52"/>
      <c r="M1599" s="52"/>
      <c r="N1599" s="19"/>
      <c r="O1599" s="19"/>
      <c r="P1599" s="19"/>
      <c r="Q1599" s="19"/>
      <c r="R1599" s="19"/>
      <c r="S1599" s="19"/>
      <c r="T1599" s="19"/>
      <c r="U1599" s="19"/>
      <c r="V1599" s="19"/>
      <c r="W1599" s="19"/>
      <c r="X1599" s="19"/>
      <c r="Y1599" s="19"/>
      <c r="Z1599" s="19"/>
      <c r="AA1599" s="19"/>
      <c r="AB1599" s="19"/>
      <c r="AC1599" s="19"/>
      <c r="AD1599" s="19"/>
      <c r="AE1599" s="19"/>
      <c r="AF1599" s="19"/>
      <c r="AG1599" s="19"/>
      <c r="AH1599" s="19"/>
      <c r="AI1599" s="19"/>
      <c r="AJ1599" s="19"/>
      <c r="AK1599" s="19"/>
      <c r="AL1599" s="19"/>
      <c r="AM1599" s="19"/>
      <c r="AN1599" s="19"/>
      <c r="AO1599" s="19"/>
      <c r="AP1599" s="19"/>
      <c r="AQ1599" s="19"/>
      <c r="AR1599" s="19"/>
      <c r="AS1599" s="19"/>
      <c r="AT1599" s="19"/>
      <c r="AU1599" s="19"/>
      <c r="AV1599" s="19"/>
      <c r="AW1599" s="19"/>
      <c r="AX1599" s="19"/>
      <c r="GA1599" s="54"/>
    </row>
    <row r="1600" spans="1:183" s="18" customFormat="1">
      <c r="A1600" s="51"/>
      <c r="B1600" s="52"/>
      <c r="C1600" s="52"/>
      <c r="D1600" s="52"/>
      <c r="E1600" s="53"/>
      <c r="F1600" s="52"/>
      <c r="G1600" s="52"/>
      <c r="H1600" s="52"/>
      <c r="I1600" s="53"/>
      <c r="J1600" s="52"/>
      <c r="K1600" s="52"/>
      <c r="L1600" s="52"/>
      <c r="M1600" s="52"/>
      <c r="N1600" s="19"/>
      <c r="O1600" s="19"/>
      <c r="P1600" s="19"/>
      <c r="Q1600" s="19"/>
      <c r="R1600" s="19"/>
      <c r="S1600" s="19"/>
      <c r="T1600" s="19"/>
      <c r="U1600" s="19"/>
      <c r="V1600" s="19"/>
      <c r="W1600" s="19"/>
      <c r="X1600" s="19"/>
      <c r="Y1600" s="19"/>
      <c r="Z1600" s="19"/>
      <c r="AA1600" s="19"/>
      <c r="AB1600" s="19"/>
      <c r="AC1600" s="19"/>
      <c r="AD1600" s="19"/>
      <c r="AE1600" s="19"/>
      <c r="AF1600" s="19"/>
      <c r="AG1600" s="19"/>
      <c r="AH1600" s="19"/>
      <c r="AI1600" s="19"/>
      <c r="AJ1600" s="19"/>
      <c r="AK1600" s="19"/>
      <c r="AL1600" s="19"/>
      <c r="AM1600" s="19"/>
      <c r="AN1600" s="19"/>
      <c r="AO1600" s="19"/>
      <c r="AP1600" s="19"/>
      <c r="AQ1600" s="19"/>
      <c r="AR1600" s="19"/>
      <c r="AS1600" s="19"/>
      <c r="AT1600" s="19"/>
      <c r="AU1600" s="19"/>
      <c r="AV1600" s="19"/>
      <c r="AW1600" s="19"/>
      <c r="AX1600" s="19"/>
      <c r="GA1600" s="54"/>
    </row>
    <row r="1601" spans="1:183" s="18" customFormat="1">
      <c r="A1601" s="51"/>
      <c r="B1601" s="52"/>
      <c r="C1601" s="52"/>
      <c r="D1601" s="52"/>
      <c r="E1601" s="53"/>
      <c r="F1601" s="52"/>
      <c r="G1601" s="52"/>
      <c r="H1601" s="52"/>
      <c r="I1601" s="53"/>
      <c r="J1601" s="52"/>
      <c r="K1601" s="52"/>
      <c r="L1601" s="52"/>
      <c r="M1601" s="52"/>
      <c r="N1601" s="19"/>
      <c r="O1601" s="19"/>
      <c r="P1601" s="19"/>
      <c r="Q1601" s="19"/>
      <c r="R1601" s="19"/>
      <c r="S1601" s="19"/>
      <c r="T1601" s="19"/>
      <c r="U1601" s="19"/>
      <c r="V1601" s="19"/>
      <c r="W1601" s="19"/>
      <c r="X1601" s="19"/>
      <c r="Y1601" s="19"/>
      <c r="Z1601" s="19"/>
      <c r="AA1601" s="19"/>
      <c r="AB1601" s="19"/>
      <c r="AC1601" s="19"/>
      <c r="AD1601" s="19"/>
      <c r="AE1601" s="19"/>
      <c r="AF1601" s="19"/>
      <c r="AG1601" s="19"/>
      <c r="AH1601" s="19"/>
      <c r="AI1601" s="19"/>
      <c r="AJ1601" s="19"/>
      <c r="AK1601" s="19"/>
      <c r="AL1601" s="19"/>
      <c r="AM1601" s="19"/>
      <c r="AN1601" s="19"/>
      <c r="AO1601" s="19"/>
      <c r="AP1601" s="19"/>
      <c r="AQ1601" s="19"/>
      <c r="AR1601" s="19"/>
      <c r="AS1601" s="19"/>
      <c r="AT1601" s="19"/>
      <c r="AU1601" s="19"/>
      <c r="AV1601" s="19"/>
      <c r="AW1601" s="19"/>
      <c r="AX1601" s="19"/>
      <c r="GA1601" s="54"/>
    </row>
    <row r="1602" spans="1:183" s="18" customFormat="1">
      <c r="A1602" s="51"/>
      <c r="B1602" s="52"/>
      <c r="C1602" s="52"/>
      <c r="D1602" s="52"/>
      <c r="E1602" s="53"/>
      <c r="F1602" s="52"/>
      <c r="G1602" s="52"/>
      <c r="H1602" s="52"/>
      <c r="I1602" s="53"/>
      <c r="J1602" s="52"/>
      <c r="K1602" s="52"/>
      <c r="L1602" s="52"/>
      <c r="M1602" s="52"/>
      <c r="N1602" s="19"/>
      <c r="O1602" s="19"/>
      <c r="P1602" s="19"/>
      <c r="Q1602" s="19"/>
      <c r="R1602" s="19"/>
      <c r="S1602" s="19"/>
      <c r="T1602" s="19"/>
      <c r="U1602" s="19"/>
      <c r="V1602" s="19"/>
      <c r="W1602" s="19"/>
      <c r="X1602" s="19"/>
      <c r="Y1602" s="19"/>
      <c r="Z1602" s="19"/>
      <c r="AA1602" s="19"/>
      <c r="AB1602" s="19"/>
      <c r="AC1602" s="19"/>
      <c r="AD1602" s="19"/>
      <c r="AE1602" s="19"/>
      <c r="AF1602" s="19"/>
      <c r="AG1602" s="19"/>
      <c r="AH1602" s="19"/>
      <c r="AI1602" s="19"/>
      <c r="AJ1602" s="19"/>
      <c r="AK1602" s="19"/>
      <c r="AL1602" s="19"/>
      <c r="AM1602" s="19"/>
      <c r="AN1602" s="19"/>
      <c r="AO1602" s="19"/>
      <c r="AP1602" s="19"/>
      <c r="AQ1602" s="19"/>
      <c r="AR1602" s="19"/>
      <c r="AS1602" s="19"/>
      <c r="AT1602" s="19"/>
      <c r="AU1602" s="19"/>
      <c r="AV1602" s="19"/>
      <c r="AW1602" s="19"/>
      <c r="AX1602" s="19"/>
      <c r="GA1602" s="54"/>
    </row>
    <row r="1603" spans="1:183" s="18" customFormat="1">
      <c r="A1603" s="51"/>
      <c r="B1603" s="52"/>
      <c r="C1603" s="52"/>
      <c r="D1603" s="52"/>
      <c r="E1603" s="53"/>
      <c r="F1603" s="52"/>
      <c r="G1603" s="52"/>
      <c r="H1603" s="52"/>
      <c r="I1603" s="53"/>
      <c r="J1603" s="52"/>
      <c r="K1603" s="52"/>
      <c r="L1603" s="52"/>
      <c r="M1603" s="52"/>
      <c r="N1603" s="19"/>
      <c r="O1603" s="19"/>
      <c r="P1603" s="19"/>
      <c r="Q1603" s="19"/>
      <c r="R1603" s="19"/>
      <c r="S1603" s="19"/>
      <c r="T1603" s="19"/>
      <c r="U1603" s="19"/>
      <c r="V1603" s="19"/>
      <c r="W1603" s="19"/>
      <c r="X1603" s="19"/>
      <c r="Y1603" s="19"/>
      <c r="Z1603" s="19"/>
      <c r="AA1603" s="19"/>
      <c r="AB1603" s="19"/>
      <c r="AC1603" s="19"/>
      <c r="AD1603" s="19"/>
      <c r="AE1603" s="19"/>
      <c r="AF1603" s="19"/>
      <c r="AG1603" s="19"/>
      <c r="AH1603" s="19"/>
      <c r="AI1603" s="19"/>
      <c r="AJ1603" s="19"/>
      <c r="AK1603" s="19"/>
      <c r="AL1603" s="19"/>
      <c r="AM1603" s="19"/>
      <c r="AN1603" s="19"/>
      <c r="AO1603" s="19"/>
      <c r="AP1603" s="19"/>
      <c r="AQ1603" s="19"/>
      <c r="AR1603" s="19"/>
      <c r="AS1603" s="19"/>
      <c r="AT1603" s="19"/>
      <c r="AU1603" s="19"/>
      <c r="AV1603" s="19"/>
      <c r="AW1603" s="19"/>
      <c r="AX1603" s="19"/>
      <c r="GA1603" s="54"/>
    </row>
    <row r="1604" spans="1:183" s="18" customFormat="1">
      <c r="A1604" s="51"/>
      <c r="B1604" s="52"/>
      <c r="C1604" s="52"/>
      <c r="D1604" s="52"/>
      <c r="E1604" s="53"/>
      <c r="F1604" s="52"/>
      <c r="G1604" s="52"/>
      <c r="H1604" s="52"/>
      <c r="I1604" s="53"/>
      <c r="J1604" s="52"/>
      <c r="K1604" s="52"/>
      <c r="L1604" s="52"/>
      <c r="M1604" s="52"/>
      <c r="N1604" s="19"/>
      <c r="O1604" s="19"/>
      <c r="P1604" s="19"/>
      <c r="Q1604" s="19"/>
      <c r="R1604" s="19"/>
      <c r="S1604" s="19"/>
      <c r="T1604" s="19"/>
      <c r="U1604" s="19"/>
      <c r="V1604" s="19"/>
      <c r="W1604" s="19"/>
      <c r="X1604" s="19"/>
      <c r="Y1604" s="19"/>
      <c r="Z1604" s="19"/>
      <c r="AA1604" s="19"/>
      <c r="AB1604" s="19"/>
      <c r="AC1604" s="19"/>
      <c r="AD1604" s="19"/>
      <c r="AE1604" s="19"/>
      <c r="AF1604" s="19"/>
      <c r="AG1604" s="19"/>
      <c r="AH1604" s="19"/>
      <c r="AI1604" s="19"/>
      <c r="AJ1604" s="19"/>
      <c r="AK1604" s="19"/>
      <c r="AL1604" s="19"/>
      <c r="AM1604" s="19"/>
      <c r="AN1604" s="19"/>
      <c r="AO1604" s="19"/>
      <c r="AP1604" s="19"/>
      <c r="AQ1604" s="19"/>
      <c r="AR1604" s="19"/>
      <c r="AS1604" s="19"/>
      <c r="AT1604" s="19"/>
      <c r="AU1604" s="19"/>
      <c r="AV1604" s="19"/>
      <c r="AW1604" s="19"/>
      <c r="AX1604" s="19"/>
      <c r="GA1604" s="54"/>
    </row>
    <row r="1605" spans="1:183" s="18" customFormat="1">
      <c r="A1605" s="51"/>
      <c r="B1605" s="52"/>
      <c r="C1605" s="52"/>
      <c r="D1605" s="52"/>
      <c r="E1605" s="53"/>
      <c r="F1605" s="52"/>
      <c r="G1605" s="52"/>
      <c r="H1605" s="52"/>
      <c r="I1605" s="53"/>
      <c r="J1605" s="52"/>
      <c r="K1605" s="52"/>
      <c r="L1605" s="52"/>
      <c r="M1605" s="52"/>
      <c r="N1605" s="19"/>
      <c r="O1605" s="19"/>
      <c r="P1605" s="19"/>
      <c r="Q1605" s="19"/>
      <c r="R1605" s="19"/>
      <c r="S1605" s="19"/>
      <c r="T1605" s="19"/>
      <c r="U1605" s="19"/>
      <c r="V1605" s="19"/>
      <c r="W1605" s="19"/>
      <c r="X1605" s="19"/>
      <c r="Y1605" s="19"/>
      <c r="Z1605" s="19"/>
      <c r="AA1605" s="19"/>
      <c r="AB1605" s="19"/>
      <c r="AC1605" s="19"/>
      <c r="AD1605" s="19"/>
      <c r="AE1605" s="19"/>
      <c r="AF1605" s="19"/>
      <c r="AG1605" s="19"/>
      <c r="AH1605" s="19"/>
      <c r="AI1605" s="19"/>
      <c r="AJ1605" s="19"/>
      <c r="AK1605" s="19"/>
      <c r="AL1605" s="19"/>
      <c r="AM1605" s="19"/>
      <c r="AN1605" s="19"/>
      <c r="AO1605" s="19"/>
      <c r="AP1605" s="19"/>
      <c r="AQ1605" s="19"/>
      <c r="AR1605" s="19"/>
      <c r="AS1605" s="19"/>
      <c r="AT1605" s="19"/>
      <c r="AU1605" s="19"/>
      <c r="AV1605" s="19"/>
      <c r="AW1605" s="19"/>
      <c r="AX1605" s="19"/>
      <c r="GA1605" s="54"/>
    </row>
    <row r="1606" spans="1:183" s="18" customFormat="1">
      <c r="A1606" s="51"/>
      <c r="B1606" s="52"/>
      <c r="C1606" s="52"/>
      <c r="D1606" s="52"/>
      <c r="E1606" s="53"/>
      <c r="F1606" s="52"/>
      <c r="G1606" s="52"/>
      <c r="H1606" s="52"/>
      <c r="I1606" s="53"/>
      <c r="J1606" s="52"/>
      <c r="K1606" s="52"/>
      <c r="L1606" s="52"/>
      <c r="M1606" s="52"/>
      <c r="N1606" s="19"/>
      <c r="O1606" s="19"/>
      <c r="P1606" s="19"/>
      <c r="Q1606" s="19"/>
      <c r="R1606" s="19"/>
      <c r="S1606" s="19"/>
      <c r="T1606" s="19"/>
      <c r="U1606" s="19"/>
      <c r="V1606" s="19"/>
      <c r="W1606" s="19"/>
      <c r="X1606" s="19"/>
      <c r="Y1606" s="19"/>
      <c r="Z1606" s="19"/>
      <c r="AA1606" s="19"/>
      <c r="AB1606" s="19"/>
      <c r="AC1606" s="19"/>
      <c r="AD1606" s="19"/>
      <c r="AE1606" s="19"/>
      <c r="AF1606" s="19"/>
      <c r="AG1606" s="19"/>
      <c r="AH1606" s="19"/>
      <c r="AI1606" s="19"/>
      <c r="AJ1606" s="19"/>
      <c r="AK1606" s="19"/>
      <c r="AL1606" s="19"/>
      <c r="AM1606" s="19"/>
      <c r="AN1606" s="19"/>
      <c r="AO1606" s="19"/>
      <c r="AP1606" s="19"/>
      <c r="AQ1606" s="19"/>
      <c r="AR1606" s="19"/>
      <c r="AS1606" s="19"/>
      <c r="AT1606" s="19"/>
      <c r="AU1606" s="19"/>
      <c r="AV1606" s="19"/>
      <c r="AW1606" s="19"/>
      <c r="AX1606" s="19"/>
      <c r="GA1606" s="54"/>
    </row>
    <row r="1607" spans="1:183" s="18" customFormat="1">
      <c r="A1607" s="51"/>
      <c r="B1607" s="52"/>
      <c r="C1607" s="52"/>
      <c r="D1607" s="52"/>
      <c r="E1607" s="53"/>
      <c r="F1607" s="52"/>
      <c r="G1607" s="52"/>
      <c r="H1607" s="52"/>
      <c r="I1607" s="53"/>
      <c r="J1607" s="52"/>
      <c r="K1607" s="52"/>
      <c r="L1607" s="52"/>
      <c r="M1607" s="52"/>
      <c r="N1607" s="19"/>
      <c r="O1607" s="19"/>
      <c r="P1607" s="19"/>
      <c r="Q1607" s="19"/>
      <c r="R1607" s="19"/>
      <c r="S1607" s="19"/>
      <c r="T1607" s="19"/>
      <c r="U1607" s="19"/>
      <c r="V1607" s="19"/>
      <c r="W1607" s="19"/>
      <c r="X1607" s="19"/>
      <c r="Y1607" s="19"/>
      <c r="Z1607" s="19"/>
      <c r="AA1607" s="19"/>
      <c r="AB1607" s="19"/>
      <c r="AC1607" s="19"/>
      <c r="AD1607" s="19"/>
      <c r="AE1607" s="19"/>
      <c r="AF1607" s="19"/>
      <c r="AG1607" s="19"/>
      <c r="AH1607" s="19"/>
      <c r="AI1607" s="19"/>
      <c r="AJ1607" s="19"/>
      <c r="AK1607" s="19"/>
      <c r="AL1607" s="19"/>
      <c r="AM1607" s="19"/>
      <c r="AN1607" s="19"/>
      <c r="AO1607" s="19"/>
      <c r="AP1607" s="19"/>
      <c r="AQ1607" s="19"/>
      <c r="AR1607" s="19"/>
      <c r="AS1607" s="19"/>
      <c r="AT1607" s="19"/>
      <c r="AU1607" s="19"/>
      <c r="AV1607" s="19"/>
      <c r="AW1607" s="19"/>
      <c r="AX1607" s="19"/>
      <c r="GA1607" s="54"/>
    </row>
    <row r="1608" spans="1:183" s="18" customFormat="1">
      <c r="A1608" s="51"/>
      <c r="B1608" s="52"/>
      <c r="C1608" s="52"/>
      <c r="D1608" s="52"/>
      <c r="E1608" s="53"/>
      <c r="F1608" s="52"/>
      <c r="G1608" s="52"/>
      <c r="H1608" s="52"/>
      <c r="I1608" s="53"/>
      <c r="J1608" s="52"/>
      <c r="K1608" s="52"/>
      <c r="L1608" s="52"/>
      <c r="M1608" s="52"/>
      <c r="N1608" s="19"/>
      <c r="O1608" s="19"/>
      <c r="P1608" s="19"/>
      <c r="Q1608" s="19"/>
      <c r="R1608" s="19"/>
      <c r="S1608" s="19"/>
      <c r="T1608" s="19"/>
      <c r="U1608" s="19"/>
      <c r="V1608" s="19"/>
      <c r="W1608" s="19"/>
      <c r="X1608" s="19"/>
      <c r="Y1608" s="19"/>
      <c r="Z1608" s="19"/>
      <c r="AA1608" s="19"/>
      <c r="AB1608" s="19"/>
      <c r="AC1608" s="19"/>
      <c r="AD1608" s="19"/>
      <c r="AE1608" s="19"/>
      <c r="AF1608" s="19"/>
      <c r="AG1608" s="19"/>
      <c r="AH1608" s="19"/>
      <c r="AI1608" s="19"/>
      <c r="AJ1608" s="19"/>
      <c r="AK1608" s="19"/>
      <c r="AL1608" s="19"/>
      <c r="AM1608" s="19"/>
      <c r="AN1608" s="19"/>
      <c r="AO1608" s="19"/>
      <c r="AP1608" s="19"/>
      <c r="AQ1608" s="19"/>
      <c r="AR1608" s="19"/>
      <c r="AS1608" s="19"/>
      <c r="AT1608" s="19"/>
      <c r="AU1608" s="19"/>
      <c r="AV1608" s="19"/>
      <c r="AW1608" s="19"/>
      <c r="AX1608" s="19"/>
      <c r="GA1608" s="54"/>
    </row>
    <row r="1609" spans="1:183" s="18" customFormat="1">
      <c r="A1609" s="51"/>
      <c r="B1609" s="52"/>
      <c r="C1609" s="52"/>
      <c r="D1609" s="52"/>
      <c r="E1609" s="53"/>
      <c r="F1609" s="52"/>
      <c r="G1609" s="52"/>
      <c r="H1609" s="52"/>
      <c r="I1609" s="53"/>
      <c r="J1609" s="52"/>
      <c r="K1609" s="52"/>
      <c r="L1609" s="52"/>
      <c r="M1609" s="52"/>
      <c r="N1609" s="19"/>
      <c r="O1609" s="19"/>
      <c r="P1609" s="19"/>
      <c r="Q1609" s="19"/>
      <c r="R1609" s="19"/>
      <c r="S1609" s="19"/>
      <c r="T1609" s="19"/>
      <c r="U1609" s="19"/>
      <c r="V1609" s="19"/>
      <c r="W1609" s="19"/>
      <c r="X1609" s="19"/>
      <c r="Y1609" s="19"/>
      <c r="Z1609" s="19"/>
      <c r="AA1609" s="19"/>
      <c r="AB1609" s="19"/>
      <c r="AC1609" s="19"/>
      <c r="AD1609" s="19"/>
      <c r="AE1609" s="19"/>
      <c r="AF1609" s="19"/>
      <c r="AG1609" s="19"/>
      <c r="AH1609" s="19"/>
      <c r="AI1609" s="19"/>
      <c r="AJ1609" s="19"/>
      <c r="AK1609" s="19"/>
      <c r="AL1609" s="19"/>
      <c r="AM1609" s="19"/>
      <c r="AN1609" s="19"/>
      <c r="AO1609" s="19"/>
      <c r="AP1609" s="19"/>
      <c r="AQ1609" s="19"/>
      <c r="AR1609" s="19"/>
      <c r="AS1609" s="19"/>
      <c r="AT1609" s="19"/>
      <c r="AU1609" s="19"/>
      <c r="AV1609" s="19"/>
      <c r="AW1609" s="19"/>
      <c r="AX1609" s="19"/>
      <c r="GA1609" s="54"/>
    </row>
    <row r="1610" spans="1:183" s="18" customFormat="1">
      <c r="A1610" s="51"/>
      <c r="B1610" s="52"/>
      <c r="C1610" s="52"/>
      <c r="D1610" s="52"/>
      <c r="E1610" s="53"/>
      <c r="F1610" s="52"/>
      <c r="G1610" s="52"/>
      <c r="H1610" s="52"/>
      <c r="I1610" s="53"/>
      <c r="J1610" s="52"/>
      <c r="K1610" s="52"/>
      <c r="L1610" s="52"/>
      <c r="M1610" s="52"/>
      <c r="N1610" s="19"/>
      <c r="O1610" s="19"/>
      <c r="P1610" s="19"/>
      <c r="Q1610" s="19"/>
      <c r="R1610" s="19"/>
      <c r="S1610" s="19"/>
      <c r="T1610" s="19"/>
      <c r="U1610" s="19"/>
      <c r="V1610" s="19"/>
      <c r="W1610" s="19"/>
      <c r="X1610" s="19"/>
      <c r="Y1610" s="19"/>
      <c r="Z1610" s="19"/>
      <c r="AA1610" s="19"/>
      <c r="AB1610" s="19"/>
      <c r="AC1610" s="19"/>
      <c r="AD1610" s="19"/>
      <c r="AE1610" s="19"/>
      <c r="AF1610" s="19"/>
      <c r="AG1610" s="19"/>
      <c r="AH1610" s="19"/>
      <c r="AI1610" s="19"/>
      <c r="AJ1610" s="19"/>
      <c r="AK1610" s="19"/>
      <c r="AL1610" s="19"/>
      <c r="AM1610" s="19"/>
      <c r="AN1610" s="19"/>
      <c r="AO1610" s="19"/>
      <c r="AP1610" s="19"/>
      <c r="AQ1610" s="19"/>
      <c r="AR1610" s="19"/>
      <c r="AS1610" s="19"/>
      <c r="AT1610" s="19"/>
      <c r="AU1610" s="19"/>
      <c r="AV1610" s="19"/>
      <c r="AW1610" s="19"/>
      <c r="AX1610" s="19"/>
      <c r="GA1610" s="54"/>
    </row>
    <row r="1611" spans="1:183" s="18" customFormat="1">
      <c r="A1611" s="51"/>
      <c r="B1611" s="52"/>
      <c r="C1611" s="52"/>
      <c r="D1611" s="52"/>
      <c r="E1611" s="53"/>
      <c r="F1611" s="52"/>
      <c r="G1611" s="52"/>
      <c r="H1611" s="52"/>
      <c r="I1611" s="53"/>
      <c r="J1611" s="52"/>
      <c r="K1611" s="52"/>
      <c r="L1611" s="52"/>
      <c r="M1611" s="52"/>
      <c r="N1611" s="19"/>
      <c r="O1611" s="19"/>
      <c r="P1611" s="19"/>
      <c r="Q1611" s="19"/>
      <c r="R1611" s="19"/>
      <c r="S1611" s="19"/>
      <c r="T1611" s="19"/>
      <c r="U1611" s="19"/>
      <c r="V1611" s="19"/>
      <c r="W1611" s="19"/>
      <c r="X1611" s="19"/>
      <c r="Y1611" s="19"/>
      <c r="Z1611" s="19"/>
      <c r="AA1611" s="19"/>
      <c r="AB1611" s="19"/>
      <c r="AC1611" s="19"/>
      <c r="AD1611" s="19"/>
      <c r="AE1611" s="19"/>
      <c r="AF1611" s="19"/>
      <c r="AG1611" s="19"/>
      <c r="AH1611" s="19"/>
      <c r="AI1611" s="19"/>
      <c r="AJ1611" s="19"/>
      <c r="AK1611" s="19"/>
      <c r="AL1611" s="19"/>
      <c r="AM1611" s="19"/>
      <c r="AN1611" s="19"/>
      <c r="AO1611" s="19"/>
      <c r="AP1611" s="19"/>
      <c r="AQ1611" s="19"/>
      <c r="AR1611" s="19"/>
      <c r="AS1611" s="19"/>
      <c r="AT1611" s="19"/>
      <c r="AU1611" s="19"/>
      <c r="AV1611" s="19"/>
      <c r="AW1611" s="19"/>
      <c r="AX1611" s="19"/>
      <c r="GA1611" s="54"/>
    </row>
    <row r="1612" spans="1:183" s="18" customFormat="1">
      <c r="A1612" s="51"/>
      <c r="B1612" s="52"/>
      <c r="C1612" s="52"/>
      <c r="D1612" s="52"/>
      <c r="E1612" s="53"/>
      <c r="F1612" s="52"/>
      <c r="G1612" s="52"/>
      <c r="H1612" s="52"/>
      <c r="I1612" s="53"/>
      <c r="J1612" s="52"/>
      <c r="K1612" s="52"/>
      <c r="L1612" s="52"/>
      <c r="M1612" s="52"/>
      <c r="N1612" s="19"/>
      <c r="O1612" s="19"/>
      <c r="P1612" s="19"/>
      <c r="Q1612" s="19"/>
      <c r="R1612" s="19"/>
      <c r="S1612" s="19"/>
      <c r="T1612" s="19"/>
      <c r="U1612" s="19"/>
      <c r="V1612" s="19"/>
      <c r="W1612" s="19"/>
      <c r="X1612" s="19"/>
      <c r="Y1612" s="19"/>
      <c r="Z1612" s="19"/>
      <c r="AA1612" s="19"/>
      <c r="AB1612" s="19"/>
      <c r="AC1612" s="19"/>
      <c r="AD1612" s="19"/>
      <c r="AE1612" s="19"/>
      <c r="AF1612" s="19"/>
      <c r="AG1612" s="19"/>
      <c r="AH1612" s="19"/>
      <c r="AI1612" s="19"/>
      <c r="AJ1612" s="19"/>
      <c r="AK1612" s="19"/>
      <c r="AL1612" s="19"/>
      <c r="AM1612" s="19"/>
      <c r="AN1612" s="19"/>
      <c r="AO1612" s="19"/>
      <c r="AP1612" s="19"/>
      <c r="AQ1612" s="19"/>
      <c r="AR1612" s="19"/>
      <c r="AS1612" s="19"/>
      <c r="AT1612" s="19"/>
      <c r="AU1612" s="19"/>
      <c r="AV1612" s="19"/>
      <c r="AW1612" s="19"/>
      <c r="AX1612" s="19"/>
      <c r="GA1612" s="54"/>
    </row>
    <row r="1613" spans="1:183" s="18" customFormat="1">
      <c r="A1613" s="51"/>
      <c r="B1613" s="52"/>
      <c r="C1613" s="52"/>
      <c r="D1613" s="52"/>
      <c r="E1613" s="53"/>
      <c r="F1613" s="52"/>
      <c r="G1613" s="52"/>
      <c r="H1613" s="52"/>
      <c r="I1613" s="53"/>
      <c r="J1613" s="52"/>
      <c r="K1613" s="52"/>
      <c r="L1613" s="52"/>
      <c r="M1613" s="52"/>
      <c r="N1613" s="19"/>
      <c r="O1613" s="19"/>
      <c r="P1613" s="19"/>
      <c r="Q1613" s="19"/>
      <c r="R1613" s="19"/>
      <c r="S1613" s="19"/>
      <c r="T1613" s="19"/>
      <c r="U1613" s="19"/>
      <c r="V1613" s="19"/>
      <c r="W1613" s="19"/>
      <c r="X1613" s="19"/>
      <c r="Y1613" s="19"/>
      <c r="Z1613" s="19"/>
      <c r="AA1613" s="19"/>
      <c r="AB1613" s="19"/>
      <c r="AC1613" s="19"/>
      <c r="AD1613" s="19"/>
      <c r="AE1613" s="19"/>
      <c r="AF1613" s="19"/>
      <c r="AG1613" s="19"/>
      <c r="AH1613" s="19"/>
      <c r="AI1613" s="19"/>
      <c r="AJ1613" s="19"/>
      <c r="AK1613" s="19"/>
      <c r="AL1613" s="19"/>
      <c r="AM1613" s="19"/>
      <c r="AN1613" s="19"/>
      <c r="AO1613" s="19"/>
      <c r="AP1613" s="19"/>
      <c r="AQ1613" s="19"/>
      <c r="AR1613" s="19"/>
      <c r="AS1613" s="19"/>
      <c r="AT1613" s="19"/>
      <c r="AU1613" s="19"/>
      <c r="AV1613" s="19"/>
      <c r="AW1613" s="19"/>
      <c r="AX1613" s="19"/>
      <c r="GA1613" s="54"/>
    </row>
    <row r="1614" spans="1:183" s="18" customFormat="1">
      <c r="A1614" s="51"/>
      <c r="B1614" s="52"/>
      <c r="C1614" s="52"/>
      <c r="D1614" s="52"/>
      <c r="E1614" s="53"/>
      <c r="F1614" s="52"/>
      <c r="G1614" s="52"/>
      <c r="H1614" s="52"/>
      <c r="I1614" s="53"/>
      <c r="J1614" s="52"/>
      <c r="K1614" s="52"/>
      <c r="L1614" s="52"/>
      <c r="M1614" s="52"/>
      <c r="N1614" s="19"/>
      <c r="O1614" s="19"/>
      <c r="P1614" s="19"/>
      <c r="Q1614" s="19"/>
      <c r="R1614" s="19"/>
      <c r="S1614" s="19"/>
      <c r="T1614" s="19"/>
      <c r="U1614" s="19"/>
      <c r="V1614" s="19"/>
      <c r="W1614" s="19"/>
      <c r="X1614" s="19"/>
      <c r="Y1614" s="19"/>
      <c r="Z1614" s="19"/>
      <c r="AA1614" s="19"/>
      <c r="AB1614" s="19"/>
      <c r="AC1614" s="19"/>
      <c r="AD1614" s="19"/>
      <c r="AE1614" s="19"/>
      <c r="AF1614" s="19"/>
      <c r="AG1614" s="19"/>
      <c r="AH1614" s="19"/>
      <c r="AI1614" s="19"/>
      <c r="AJ1614" s="19"/>
      <c r="AK1614" s="19"/>
      <c r="AL1614" s="19"/>
      <c r="AM1614" s="19"/>
      <c r="AN1614" s="19"/>
      <c r="AO1614" s="19"/>
      <c r="AP1614" s="19"/>
      <c r="AQ1614" s="19"/>
      <c r="AR1614" s="19"/>
      <c r="AS1614" s="19"/>
      <c r="AT1614" s="19"/>
      <c r="AU1614" s="19"/>
      <c r="AV1614" s="19"/>
      <c r="AW1614" s="19"/>
      <c r="AX1614" s="19"/>
      <c r="GA1614" s="54"/>
    </row>
    <row r="1615" spans="1:183" s="18" customFormat="1">
      <c r="A1615" s="51"/>
      <c r="B1615" s="52"/>
      <c r="C1615" s="52"/>
      <c r="D1615" s="52"/>
      <c r="E1615" s="53"/>
      <c r="F1615" s="52"/>
      <c r="G1615" s="52"/>
      <c r="H1615" s="52"/>
      <c r="I1615" s="53"/>
      <c r="J1615" s="52"/>
      <c r="K1615" s="52"/>
      <c r="L1615" s="52"/>
      <c r="M1615" s="52"/>
      <c r="N1615" s="19"/>
      <c r="O1615" s="19"/>
      <c r="P1615" s="19"/>
      <c r="Q1615" s="19"/>
      <c r="R1615" s="19"/>
      <c r="S1615" s="19"/>
      <c r="T1615" s="19"/>
      <c r="U1615" s="19"/>
      <c r="V1615" s="19"/>
      <c r="W1615" s="19"/>
      <c r="X1615" s="19"/>
      <c r="Y1615" s="19"/>
      <c r="Z1615" s="19"/>
      <c r="AA1615" s="19"/>
      <c r="AB1615" s="19"/>
      <c r="AC1615" s="19"/>
      <c r="AD1615" s="19"/>
      <c r="AE1615" s="19"/>
      <c r="AF1615" s="19"/>
      <c r="AG1615" s="19"/>
      <c r="AH1615" s="19"/>
      <c r="AI1615" s="19"/>
      <c r="AJ1615" s="19"/>
      <c r="AK1615" s="19"/>
      <c r="AL1615" s="19"/>
      <c r="AM1615" s="19"/>
      <c r="AN1615" s="19"/>
      <c r="AO1615" s="19"/>
      <c r="AP1615" s="19"/>
      <c r="AQ1615" s="19"/>
      <c r="AR1615" s="19"/>
      <c r="AS1615" s="19"/>
      <c r="AT1615" s="19"/>
      <c r="AU1615" s="19"/>
      <c r="AV1615" s="19"/>
      <c r="AW1615" s="19"/>
      <c r="AX1615" s="19"/>
      <c r="GA1615" s="54"/>
    </row>
    <row r="1616" spans="1:183" s="18" customFormat="1">
      <c r="A1616" s="51"/>
      <c r="B1616" s="52"/>
      <c r="C1616" s="52"/>
      <c r="D1616" s="52"/>
      <c r="E1616" s="53"/>
      <c r="F1616" s="52"/>
      <c r="G1616" s="52"/>
      <c r="H1616" s="52"/>
      <c r="I1616" s="53"/>
      <c r="J1616" s="52"/>
      <c r="K1616" s="52"/>
      <c r="L1616" s="52"/>
      <c r="M1616" s="52"/>
      <c r="N1616" s="19"/>
      <c r="O1616" s="19"/>
      <c r="P1616" s="19"/>
      <c r="Q1616" s="19"/>
      <c r="R1616" s="19"/>
      <c r="S1616" s="19"/>
      <c r="T1616" s="19"/>
      <c r="U1616" s="19"/>
      <c r="V1616" s="19"/>
      <c r="W1616" s="19"/>
      <c r="X1616" s="19"/>
      <c r="Y1616" s="19"/>
      <c r="Z1616" s="19"/>
      <c r="AA1616" s="19"/>
      <c r="AB1616" s="19"/>
      <c r="AC1616" s="19"/>
      <c r="AD1616" s="19"/>
      <c r="AE1616" s="19"/>
      <c r="AF1616" s="19"/>
      <c r="AG1616" s="19"/>
      <c r="AH1616" s="19"/>
      <c r="AI1616" s="19"/>
      <c r="AJ1616" s="19"/>
      <c r="AK1616" s="19"/>
      <c r="AL1616" s="19"/>
      <c r="AM1616" s="19"/>
      <c r="AN1616" s="19"/>
      <c r="AO1616" s="19"/>
      <c r="AP1616" s="19"/>
      <c r="AQ1616" s="19"/>
      <c r="AR1616" s="19"/>
      <c r="AS1616" s="19"/>
      <c r="AT1616" s="19"/>
      <c r="AU1616" s="19"/>
      <c r="AV1616" s="19"/>
      <c r="AW1616" s="19"/>
      <c r="AX1616" s="19"/>
      <c r="GA1616" s="54"/>
    </row>
    <row r="1617" spans="1:183" s="18" customFormat="1">
      <c r="A1617" s="51"/>
      <c r="B1617" s="52"/>
      <c r="C1617" s="52"/>
      <c r="D1617" s="52"/>
      <c r="E1617" s="53"/>
      <c r="F1617" s="52"/>
      <c r="G1617" s="52"/>
      <c r="H1617" s="52"/>
      <c r="I1617" s="53"/>
      <c r="J1617" s="52"/>
      <c r="K1617" s="52"/>
      <c r="L1617" s="52"/>
      <c r="M1617" s="52"/>
      <c r="N1617" s="19"/>
      <c r="O1617" s="19"/>
      <c r="P1617" s="19"/>
      <c r="Q1617" s="19"/>
      <c r="R1617" s="19"/>
      <c r="S1617" s="19"/>
      <c r="T1617" s="19"/>
      <c r="U1617" s="19"/>
      <c r="V1617" s="19"/>
      <c r="W1617" s="19"/>
      <c r="X1617" s="19"/>
      <c r="Y1617" s="19"/>
      <c r="Z1617" s="19"/>
      <c r="AA1617" s="19"/>
      <c r="AB1617" s="19"/>
      <c r="AC1617" s="19"/>
      <c r="AD1617" s="19"/>
      <c r="AE1617" s="19"/>
      <c r="AF1617" s="19"/>
      <c r="AG1617" s="19"/>
      <c r="AH1617" s="19"/>
      <c r="AI1617" s="19"/>
      <c r="AJ1617" s="19"/>
      <c r="AK1617" s="19"/>
      <c r="AL1617" s="19"/>
      <c r="AM1617" s="19"/>
      <c r="AN1617" s="19"/>
      <c r="AO1617" s="19"/>
      <c r="AP1617" s="19"/>
      <c r="AQ1617" s="19"/>
      <c r="AR1617" s="19"/>
      <c r="AS1617" s="19"/>
      <c r="AT1617" s="19"/>
      <c r="AU1617" s="19"/>
      <c r="AV1617" s="19"/>
      <c r="AW1617" s="19"/>
      <c r="AX1617" s="19"/>
      <c r="GA1617" s="54"/>
    </row>
    <row r="1618" spans="1:183" s="18" customFormat="1">
      <c r="A1618" s="51"/>
      <c r="B1618" s="52"/>
      <c r="C1618" s="52"/>
      <c r="D1618" s="52"/>
      <c r="E1618" s="53"/>
      <c r="F1618" s="52"/>
      <c r="G1618" s="52"/>
      <c r="H1618" s="52"/>
      <c r="I1618" s="53"/>
      <c r="J1618" s="52"/>
      <c r="K1618" s="52"/>
      <c r="L1618" s="52"/>
      <c r="M1618" s="52"/>
      <c r="N1618" s="19"/>
      <c r="O1618" s="19"/>
      <c r="P1618" s="19"/>
      <c r="Q1618" s="19"/>
      <c r="R1618" s="19"/>
      <c r="S1618" s="19"/>
      <c r="T1618" s="19"/>
      <c r="U1618" s="19"/>
      <c r="V1618" s="19"/>
      <c r="W1618" s="19"/>
      <c r="X1618" s="19"/>
      <c r="Y1618" s="19"/>
      <c r="Z1618" s="19"/>
      <c r="AA1618" s="19"/>
      <c r="AB1618" s="19"/>
      <c r="AC1618" s="19"/>
      <c r="AD1618" s="19"/>
      <c r="AE1618" s="19"/>
      <c r="AF1618" s="19"/>
      <c r="AG1618" s="19"/>
      <c r="AH1618" s="19"/>
      <c r="AI1618" s="19"/>
      <c r="AJ1618" s="19"/>
      <c r="AK1618" s="19"/>
      <c r="AL1618" s="19"/>
      <c r="AM1618" s="19"/>
      <c r="AN1618" s="19"/>
      <c r="AO1618" s="19"/>
      <c r="AP1618" s="19"/>
      <c r="AQ1618" s="19"/>
      <c r="AR1618" s="19"/>
      <c r="AS1618" s="19"/>
      <c r="AT1618" s="19"/>
      <c r="AU1618" s="19"/>
      <c r="AV1618" s="19"/>
      <c r="AW1618" s="19"/>
      <c r="AX1618" s="19"/>
      <c r="GA1618" s="54"/>
    </row>
    <row r="1619" spans="1:183" s="18" customFormat="1">
      <c r="A1619" s="51"/>
      <c r="B1619" s="52"/>
      <c r="C1619" s="52"/>
      <c r="D1619" s="52"/>
      <c r="E1619" s="53"/>
      <c r="F1619" s="52"/>
      <c r="G1619" s="52"/>
      <c r="H1619" s="52"/>
      <c r="I1619" s="53"/>
      <c r="J1619" s="52"/>
      <c r="K1619" s="52"/>
      <c r="L1619" s="52"/>
      <c r="M1619" s="52"/>
      <c r="N1619" s="19"/>
      <c r="O1619" s="19"/>
      <c r="P1619" s="19"/>
      <c r="Q1619" s="19"/>
      <c r="R1619" s="19"/>
      <c r="S1619" s="19"/>
      <c r="T1619" s="19"/>
      <c r="U1619" s="19"/>
      <c r="V1619" s="19"/>
      <c r="W1619" s="19"/>
      <c r="X1619" s="19"/>
      <c r="Y1619" s="19"/>
      <c r="Z1619" s="19"/>
      <c r="AA1619" s="19"/>
      <c r="AB1619" s="19"/>
      <c r="AC1619" s="19"/>
      <c r="AD1619" s="19"/>
      <c r="AE1619" s="19"/>
      <c r="AF1619" s="19"/>
      <c r="AG1619" s="19"/>
      <c r="AH1619" s="19"/>
      <c r="AI1619" s="19"/>
      <c r="AJ1619" s="19"/>
      <c r="AK1619" s="19"/>
      <c r="AL1619" s="19"/>
      <c r="AM1619" s="19"/>
      <c r="AN1619" s="19"/>
      <c r="AO1619" s="19"/>
      <c r="AP1619" s="19"/>
      <c r="AQ1619" s="19"/>
      <c r="AR1619" s="19"/>
      <c r="AS1619" s="19"/>
      <c r="AT1619" s="19"/>
      <c r="AU1619" s="19"/>
      <c r="AV1619" s="19"/>
      <c r="AW1619" s="19"/>
      <c r="AX1619" s="19"/>
      <c r="GA1619" s="54"/>
    </row>
    <row r="1620" spans="1:183" s="18" customFormat="1">
      <c r="A1620" s="51"/>
      <c r="B1620" s="52"/>
      <c r="C1620" s="52"/>
      <c r="D1620" s="52"/>
      <c r="E1620" s="53"/>
      <c r="F1620" s="52"/>
      <c r="G1620" s="52"/>
      <c r="H1620" s="52"/>
      <c r="I1620" s="53"/>
      <c r="J1620" s="52"/>
      <c r="K1620" s="52"/>
      <c r="L1620" s="52"/>
      <c r="M1620" s="52"/>
      <c r="N1620" s="19"/>
      <c r="O1620" s="19"/>
      <c r="P1620" s="19"/>
      <c r="Q1620" s="19"/>
      <c r="R1620" s="19"/>
      <c r="S1620" s="19"/>
      <c r="T1620" s="19"/>
      <c r="U1620" s="19"/>
      <c r="V1620" s="19"/>
      <c r="W1620" s="19"/>
      <c r="X1620" s="19"/>
      <c r="Y1620" s="19"/>
      <c r="Z1620" s="19"/>
      <c r="AA1620" s="19"/>
      <c r="AB1620" s="19"/>
      <c r="AC1620" s="19"/>
      <c r="AD1620" s="19"/>
      <c r="AE1620" s="19"/>
      <c r="AF1620" s="19"/>
      <c r="AG1620" s="19"/>
      <c r="AH1620" s="19"/>
      <c r="AI1620" s="19"/>
      <c r="AJ1620" s="19"/>
      <c r="AK1620" s="19"/>
      <c r="AL1620" s="19"/>
      <c r="AM1620" s="19"/>
      <c r="AN1620" s="19"/>
      <c r="AO1620" s="19"/>
      <c r="AP1620" s="19"/>
      <c r="AQ1620" s="19"/>
      <c r="AR1620" s="19"/>
      <c r="AS1620" s="19"/>
      <c r="AT1620" s="19"/>
      <c r="AU1620" s="19"/>
      <c r="AV1620" s="19"/>
      <c r="AW1620" s="19"/>
      <c r="AX1620" s="19"/>
      <c r="GA1620" s="54"/>
    </row>
    <row r="1621" spans="1:183" s="18" customFormat="1">
      <c r="A1621" s="51"/>
      <c r="B1621" s="52"/>
      <c r="C1621" s="52"/>
      <c r="D1621" s="52"/>
      <c r="E1621" s="53"/>
      <c r="F1621" s="52"/>
      <c r="G1621" s="52"/>
      <c r="H1621" s="52"/>
      <c r="I1621" s="53"/>
      <c r="J1621" s="52"/>
      <c r="K1621" s="52"/>
      <c r="L1621" s="52"/>
      <c r="M1621" s="52"/>
      <c r="N1621" s="19"/>
      <c r="O1621" s="19"/>
      <c r="P1621" s="19"/>
      <c r="Q1621" s="19"/>
      <c r="R1621" s="19"/>
      <c r="S1621" s="19"/>
      <c r="T1621" s="19"/>
      <c r="U1621" s="19"/>
      <c r="V1621" s="19"/>
      <c r="W1621" s="19"/>
      <c r="X1621" s="19"/>
      <c r="Y1621" s="19"/>
      <c r="Z1621" s="19"/>
      <c r="AA1621" s="19"/>
      <c r="AB1621" s="19"/>
      <c r="AC1621" s="19"/>
      <c r="AD1621" s="19"/>
      <c r="AE1621" s="19"/>
      <c r="AF1621" s="19"/>
      <c r="AG1621" s="19"/>
      <c r="AH1621" s="19"/>
      <c r="AI1621" s="19"/>
      <c r="AJ1621" s="19"/>
      <c r="AK1621" s="19"/>
      <c r="AL1621" s="19"/>
      <c r="AM1621" s="19"/>
      <c r="AN1621" s="19"/>
      <c r="AO1621" s="19"/>
      <c r="AP1621" s="19"/>
      <c r="AQ1621" s="19"/>
      <c r="AR1621" s="19"/>
      <c r="AS1621" s="19"/>
      <c r="AT1621" s="19"/>
      <c r="AU1621" s="19"/>
      <c r="AV1621" s="19"/>
      <c r="AW1621" s="19"/>
      <c r="AX1621" s="19"/>
      <c r="GA1621" s="54"/>
    </row>
    <row r="1622" spans="1:183" s="18" customFormat="1">
      <c r="A1622" s="51"/>
      <c r="B1622" s="52"/>
      <c r="C1622" s="52"/>
      <c r="D1622" s="52"/>
      <c r="E1622" s="53"/>
      <c r="F1622" s="52"/>
      <c r="G1622" s="52"/>
      <c r="H1622" s="52"/>
      <c r="I1622" s="53"/>
      <c r="J1622" s="52"/>
      <c r="K1622" s="52"/>
      <c r="L1622" s="52"/>
      <c r="M1622" s="52"/>
      <c r="N1622" s="19"/>
      <c r="O1622" s="19"/>
      <c r="P1622" s="19"/>
      <c r="Q1622" s="19"/>
      <c r="R1622" s="19"/>
      <c r="S1622" s="19"/>
      <c r="T1622" s="19"/>
      <c r="U1622" s="19"/>
      <c r="V1622" s="19"/>
      <c r="W1622" s="19"/>
      <c r="X1622" s="19"/>
      <c r="Y1622" s="19"/>
      <c r="Z1622" s="19"/>
      <c r="AA1622" s="19"/>
      <c r="AB1622" s="19"/>
      <c r="AC1622" s="19"/>
      <c r="AD1622" s="19"/>
      <c r="AE1622" s="19"/>
      <c r="AF1622" s="19"/>
      <c r="AG1622" s="19"/>
      <c r="AH1622" s="19"/>
      <c r="AI1622" s="19"/>
      <c r="AJ1622" s="19"/>
      <c r="AK1622" s="19"/>
      <c r="AL1622" s="19"/>
      <c r="AM1622" s="19"/>
      <c r="AN1622" s="19"/>
      <c r="AO1622" s="19"/>
      <c r="AP1622" s="19"/>
      <c r="AQ1622" s="19"/>
      <c r="AR1622" s="19"/>
      <c r="AS1622" s="19"/>
      <c r="AT1622" s="19"/>
      <c r="AU1622" s="19"/>
      <c r="AV1622" s="19"/>
      <c r="AW1622" s="19"/>
      <c r="AX1622" s="19"/>
      <c r="GA1622" s="54"/>
    </row>
    <row r="1623" spans="1:183" s="18" customFormat="1">
      <c r="A1623" s="51"/>
      <c r="B1623" s="52"/>
      <c r="C1623" s="52"/>
      <c r="D1623" s="52"/>
      <c r="E1623" s="53"/>
      <c r="F1623" s="52"/>
      <c r="G1623" s="52"/>
      <c r="H1623" s="52"/>
      <c r="I1623" s="53"/>
      <c r="J1623" s="52"/>
      <c r="K1623" s="52"/>
      <c r="L1623" s="52"/>
      <c r="M1623" s="52"/>
      <c r="N1623" s="19"/>
      <c r="O1623" s="19"/>
      <c r="P1623" s="19"/>
      <c r="Q1623" s="19"/>
      <c r="R1623" s="19"/>
      <c r="S1623" s="19"/>
      <c r="T1623" s="19"/>
      <c r="U1623" s="19"/>
      <c r="V1623" s="19"/>
      <c r="W1623" s="19"/>
      <c r="X1623" s="19"/>
      <c r="Y1623" s="19"/>
      <c r="Z1623" s="19"/>
      <c r="AA1623" s="19"/>
      <c r="AB1623" s="19"/>
      <c r="AC1623" s="19"/>
      <c r="AD1623" s="19"/>
      <c r="AE1623" s="19"/>
      <c r="AF1623" s="19"/>
      <c r="AG1623" s="19"/>
      <c r="AH1623" s="19"/>
      <c r="AI1623" s="19"/>
      <c r="AJ1623" s="19"/>
      <c r="AK1623" s="19"/>
      <c r="AL1623" s="19"/>
      <c r="AM1623" s="19"/>
      <c r="AN1623" s="19"/>
      <c r="AO1623" s="19"/>
      <c r="AP1623" s="19"/>
      <c r="AQ1623" s="19"/>
      <c r="AR1623" s="19"/>
      <c r="AS1623" s="19"/>
      <c r="AT1623" s="19"/>
      <c r="AU1623" s="19"/>
      <c r="AV1623" s="19"/>
      <c r="AW1623" s="19"/>
      <c r="AX1623" s="19"/>
      <c r="GA1623" s="54"/>
    </row>
    <row r="1624" spans="1:183" s="18" customFormat="1">
      <c r="A1624" s="51"/>
      <c r="B1624" s="52"/>
      <c r="C1624" s="52"/>
      <c r="D1624" s="52"/>
      <c r="E1624" s="53"/>
      <c r="F1624" s="52"/>
      <c r="G1624" s="52"/>
      <c r="H1624" s="52"/>
      <c r="I1624" s="53"/>
      <c r="J1624" s="52"/>
      <c r="K1624" s="52"/>
      <c r="L1624" s="52"/>
      <c r="M1624" s="52"/>
      <c r="N1624" s="19"/>
      <c r="O1624" s="19"/>
      <c r="P1624" s="19"/>
      <c r="Q1624" s="19"/>
      <c r="R1624" s="19"/>
      <c r="S1624" s="19"/>
      <c r="T1624" s="19"/>
      <c r="U1624" s="19"/>
      <c r="V1624" s="19"/>
      <c r="W1624" s="19"/>
      <c r="X1624" s="19"/>
      <c r="Y1624" s="19"/>
      <c r="Z1624" s="19"/>
      <c r="AA1624" s="19"/>
      <c r="AB1624" s="19"/>
      <c r="AC1624" s="19"/>
      <c r="AD1624" s="19"/>
      <c r="AE1624" s="19"/>
      <c r="AF1624" s="19"/>
      <c r="AG1624" s="19"/>
      <c r="AH1624" s="19"/>
      <c r="AI1624" s="19"/>
      <c r="AJ1624" s="19"/>
      <c r="AK1624" s="19"/>
      <c r="AL1624" s="19"/>
      <c r="AM1624" s="19"/>
      <c r="AN1624" s="19"/>
      <c r="AO1624" s="19"/>
      <c r="AP1624" s="19"/>
      <c r="AQ1624" s="19"/>
      <c r="AR1624" s="19"/>
      <c r="AS1624" s="19"/>
      <c r="AT1624" s="19"/>
      <c r="AU1624" s="19"/>
      <c r="AV1624" s="19"/>
      <c r="AW1624" s="19"/>
      <c r="AX1624" s="19"/>
      <c r="GA1624" s="54"/>
    </row>
    <row r="1625" spans="1:183" s="18" customFormat="1">
      <c r="A1625" s="51"/>
      <c r="B1625" s="52"/>
      <c r="C1625" s="52"/>
      <c r="D1625" s="52"/>
      <c r="E1625" s="53"/>
      <c r="F1625" s="52"/>
      <c r="G1625" s="52"/>
      <c r="H1625" s="52"/>
      <c r="I1625" s="53"/>
      <c r="J1625" s="52"/>
      <c r="K1625" s="52"/>
      <c r="L1625" s="52"/>
      <c r="M1625" s="52"/>
      <c r="N1625" s="19"/>
      <c r="O1625" s="19"/>
      <c r="P1625" s="19"/>
      <c r="Q1625" s="19"/>
      <c r="R1625" s="19"/>
      <c r="S1625" s="19"/>
      <c r="T1625" s="19"/>
      <c r="U1625" s="19"/>
      <c r="V1625" s="19"/>
      <c r="W1625" s="19"/>
      <c r="X1625" s="19"/>
      <c r="Y1625" s="19"/>
      <c r="Z1625" s="19"/>
      <c r="AA1625" s="19"/>
      <c r="AB1625" s="19"/>
      <c r="AC1625" s="19"/>
      <c r="AD1625" s="19"/>
      <c r="AE1625" s="19"/>
      <c r="AF1625" s="19"/>
      <c r="AG1625" s="19"/>
      <c r="AH1625" s="19"/>
      <c r="AI1625" s="19"/>
      <c r="AJ1625" s="19"/>
      <c r="AK1625" s="19"/>
      <c r="AL1625" s="19"/>
      <c r="AM1625" s="19"/>
      <c r="AN1625" s="19"/>
      <c r="AO1625" s="19"/>
      <c r="AP1625" s="19"/>
      <c r="AQ1625" s="19"/>
      <c r="AR1625" s="19"/>
      <c r="AS1625" s="19"/>
      <c r="AT1625" s="19"/>
      <c r="AU1625" s="19"/>
      <c r="AV1625" s="19"/>
      <c r="AW1625" s="19"/>
      <c r="AX1625" s="19"/>
      <c r="GA1625" s="54"/>
    </row>
    <row r="1626" spans="1:183" s="18" customFormat="1">
      <c r="A1626" s="51"/>
      <c r="B1626" s="52"/>
      <c r="C1626" s="52"/>
      <c r="D1626" s="52"/>
      <c r="E1626" s="53"/>
      <c r="F1626" s="52"/>
      <c r="G1626" s="52"/>
      <c r="H1626" s="52"/>
      <c r="I1626" s="53"/>
      <c r="J1626" s="52"/>
      <c r="K1626" s="52"/>
      <c r="L1626" s="52"/>
      <c r="M1626" s="52"/>
      <c r="N1626" s="19"/>
      <c r="O1626" s="19"/>
      <c r="P1626" s="19"/>
      <c r="Q1626" s="19"/>
      <c r="R1626" s="19"/>
      <c r="S1626" s="19"/>
      <c r="T1626" s="19"/>
      <c r="U1626" s="19"/>
      <c r="V1626" s="19"/>
      <c r="W1626" s="19"/>
      <c r="X1626" s="19"/>
      <c r="Y1626" s="19"/>
      <c r="Z1626" s="19"/>
      <c r="AA1626" s="19"/>
      <c r="AB1626" s="19"/>
      <c r="AC1626" s="19"/>
      <c r="AD1626" s="19"/>
      <c r="AE1626" s="19"/>
      <c r="AF1626" s="19"/>
      <c r="AG1626" s="19"/>
      <c r="AH1626" s="19"/>
      <c r="AI1626" s="19"/>
      <c r="AJ1626" s="19"/>
      <c r="AK1626" s="19"/>
      <c r="AL1626" s="19"/>
      <c r="AM1626" s="19"/>
      <c r="AN1626" s="19"/>
      <c r="AO1626" s="19"/>
      <c r="AP1626" s="19"/>
      <c r="AQ1626" s="19"/>
      <c r="AR1626" s="19"/>
      <c r="AS1626" s="19"/>
      <c r="AT1626" s="19"/>
      <c r="AU1626" s="19"/>
      <c r="AV1626" s="19"/>
      <c r="AW1626" s="19"/>
      <c r="AX1626" s="19"/>
      <c r="GA1626" s="54"/>
    </row>
    <row r="1627" spans="1:183" s="18" customFormat="1">
      <c r="A1627" s="51"/>
      <c r="B1627" s="52"/>
      <c r="C1627" s="52"/>
      <c r="D1627" s="52"/>
      <c r="E1627" s="53"/>
      <c r="F1627" s="52"/>
      <c r="G1627" s="52"/>
      <c r="H1627" s="52"/>
      <c r="I1627" s="53"/>
      <c r="J1627" s="52"/>
      <c r="K1627" s="52"/>
      <c r="L1627" s="52"/>
      <c r="M1627" s="52"/>
      <c r="N1627" s="19"/>
      <c r="O1627" s="19"/>
      <c r="P1627" s="19"/>
      <c r="Q1627" s="19"/>
      <c r="R1627" s="19"/>
      <c r="S1627" s="19"/>
      <c r="T1627" s="19"/>
      <c r="U1627" s="19"/>
      <c r="V1627" s="19"/>
      <c r="W1627" s="19"/>
      <c r="X1627" s="19"/>
      <c r="Y1627" s="19"/>
      <c r="Z1627" s="19"/>
      <c r="AA1627" s="19"/>
      <c r="AB1627" s="19"/>
      <c r="AC1627" s="19"/>
      <c r="AD1627" s="19"/>
      <c r="AE1627" s="19"/>
      <c r="AF1627" s="19"/>
      <c r="AG1627" s="19"/>
      <c r="AH1627" s="19"/>
      <c r="AI1627" s="19"/>
      <c r="AJ1627" s="19"/>
      <c r="AK1627" s="19"/>
      <c r="AL1627" s="19"/>
      <c r="AM1627" s="19"/>
      <c r="AN1627" s="19"/>
      <c r="AO1627" s="19"/>
      <c r="AP1627" s="19"/>
      <c r="AQ1627" s="19"/>
      <c r="AR1627" s="19"/>
      <c r="AS1627" s="19"/>
      <c r="AT1627" s="19"/>
      <c r="AU1627" s="19"/>
      <c r="AV1627" s="19"/>
      <c r="AW1627" s="19"/>
      <c r="AX1627" s="19"/>
      <c r="GA1627" s="54"/>
    </row>
    <row r="1628" spans="1:183" s="18" customFormat="1">
      <c r="A1628" s="51"/>
      <c r="B1628" s="52"/>
      <c r="C1628" s="52"/>
      <c r="D1628" s="52"/>
      <c r="E1628" s="53"/>
      <c r="F1628" s="52"/>
      <c r="G1628" s="52"/>
      <c r="H1628" s="52"/>
      <c r="I1628" s="53"/>
      <c r="J1628" s="52"/>
      <c r="K1628" s="52"/>
      <c r="L1628" s="52"/>
      <c r="M1628" s="52"/>
      <c r="N1628" s="19"/>
      <c r="O1628" s="19"/>
      <c r="P1628" s="19"/>
      <c r="Q1628" s="19"/>
      <c r="R1628" s="19"/>
      <c r="S1628" s="19"/>
      <c r="T1628" s="19"/>
      <c r="U1628" s="19"/>
      <c r="V1628" s="19"/>
      <c r="W1628" s="19"/>
      <c r="X1628" s="19"/>
      <c r="Y1628" s="19"/>
      <c r="Z1628" s="19"/>
      <c r="AA1628" s="19"/>
      <c r="AB1628" s="19"/>
      <c r="AC1628" s="19"/>
      <c r="AD1628" s="19"/>
      <c r="AE1628" s="19"/>
      <c r="AF1628" s="19"/>
      <c r="AG1628" s="19"/>
      <c r="AH1628" s="19"/>
      <c r="AI1628" s="19"/>
      <c r="AJ1628" s="19"/>
      <c r="AK1628" s="19"/>
      <c r="AL1628" s="19"/>
      <c r="AM1628" s="19"/>
      <c r="AN1628" s="19"/>
      <c r="AO1628" s="19"/>
      <c r="AP1628" s="19"/>
      <c r="AQ1628" s="19"/>
      <c r="AR1628" s="19"/>
      <c r="AS1628" s="19"/>
      <c r="AT1628" s="19"/>
      <c r="AU1628" s="19"/>
      <c r="AV1628" s="19"/>
      <c r="AW1628" s="19"/>
      <c r="AX1628" s="19"/>
      <c r="GA1628" s="54"/>
    </row>
    <row r="1629" spans="1:183" s="18" customFormat="1">
      <c r="A1629" s="51"/>
      <c r="B1629" s="52"/>
      <c r="C1629" s="52"/>
      <c r="D1629" s="52"/>
      <c r="E1629" s="53"/>
      <c r="F1629" s="52"/>
      <c r="G1629" s="52"/>
      <c r="H1629" s="52"/>
      <c r="I1629" s="53"/>
      <c r="J1629" s="52"/>
      <c r="K1629" s="52"/>
      <c r="L1629" s="52"/>
      <c r="M1629" s="52"/>
      <c r="N1629" s="19"/>
      <c r="O1629" s="19"/>
      <c r="P1629" s="19"/>
      <c r="Q1629" s="19"/>
      <c r="R1629" s="19"/>
      <c r="S1629" s="19"/>
      <c r="T1629" s="19"/>
      <c r="U1629" s="19"/>
      <c r="V1629" s="19"/>
      <c r="W1629" s="19"/>
      <c r="X1629" s="19"/>
      <c r="Y1629" s="19"/>
      <c r="Z1629" s="19"/>
      <c r="AA1629" s="19"/>
      <c r="AB1629" s="19"/>
      <c r="AC1629" s="19"/>
      <c r="AD1629" s="19"/>
      <c r="AE1629" s="19"/>
      <c r="AF1629" s="19"/>
      <c r="AG1629" s="19"/>
      <c r="AH1629" s="19"/>
      <c r="AI1629" s="19"/>
      <c r="AJ1629" s="19"/>
      <c r="AK1629" s="19"/>
      <c r="AL1629" s="19"/>
      <c r="AM1629" s="19"/>
      <c r="AN1629" s="19"/>
      <c r="AO1629" s="19"/>
      <c r="AP1629" s="19"/>
      <c r="AQ1629" s="19"/>
      <c r="AR1629" s="19"/>
      <c r="AS1629" s="19"/>
      <c r="AT1629" s="19"/>
      <c r="AU1629" s="19"/>
      <c r="AV1629" s="19"/>
      <c r="AW1629" s="19"/>
      <c r="AX1629" s="19"/>
      <c r="GA1629" s="54"/>
    </row>
    <row r="1630" spans="1:183" s="18" customFormat="1">
      <c r="A1630" s="51"/>
      <c r="B1630" s="52"/>
      <c r="C1630" s="52"/>
      <c r="D1630" s="52"/>
      <c r="E1630" s="53"/>
      <c r="F1630" s="52"/>
      <c r="G1630" s="52"/>
      <c r="H1630" s="52"/>
      <c r="I1630" s="53"/>
      <c r="J1630" s="52"/>
      <c r="K1630" s="52"/>
      <c r="L1630" s="52"/>
      <c r="M1630" s="52"/>
      <c r="N1630" s="19"/>
      <c r="O1630" s="19"/>
      <c r="P1630" s="19"/>
      <c r="Q1630" s="19"/>
      <c r="R1630" s="19"/>
      <c r="S1630" s="19"/>
      <c r="T1630" s="19"/>
      <c r="U1630" s="19"/>
      <c r="V1630" s="19"/>
      <c r="W1630" s="19"/>
      <c r="X1630" s="19"/>
      <c r="Y1630" s="19"/>
      <c r="Z1630" s="19"/>
      <c r="AA1630" s="19"/>
      <c r="AB1630" s="19"/>
      <c r="AC1630" s="19"/>
      <c r="AD1630" s="19"/>
      <c r="AE1630" s="19"/>
      <c r="AF1630" s="19"/>
      <c r="AG1630" s="19"/>
      <c r="AH1630" s="19"/>
      <c r="AI1630" s="19"/>
      <c r="AJ1630" s="19"/>
      <c r="AK1630" s="19"/>
      <c r="AL1630" s="19"/>
      <c r="AM1630" s="19"/>
      <c r="AN1630" s="19"/>
      <c r="AO1630" s="19"/>
      <c r="AP1630" s="19"/>
      <c r="AQ1630" s="19"/>
      <c r="AR1630" s="19"/>
      <c r="AS1630" s="19"/>
      <c r="AT1630" s="19"/>
      <c r="AU1630" s="19"/>
      <c r="AV1630" s="19"/>
      <c r="AW1630" s="19"/>
      <c r="AX1630" s="19"/>
      <c r="GA1630" s="54"/>
    </row>
    <row r="1631" spans="1:183" s="18" customFormat="1">
      <c r="A1631" s="51"/>
      <c r="B1631" s="52"/>
      <c r="C1631" s="52"/>
      <c r="D1631" s="52"/>
      <c r="E1631" s="53"/>
      <c r="F1631" s="52"/>
      <c r="G1631" s="52"/>
      <c r="H1631" s="52"/>
      <c r="I1631" s="53"/>
      <c r="J1631" s="52"/>
      <c r="K1631" s="52"/>
      <c r="L1631" s="52"/>
      <c r="M1631" s="52"/>
      <c r="N1631" s="19"/>
      <c r="O1631" s="19"/>
      <c r="P1631" s="19"/>
      <c r="Q1631" s="19"/>
      <c r="R1631" s="19"/>
      <c r="S1631" s="19"/>
      <c r="T1631" s="19"/>
      <c r="U1631" s="19"/>
      <c r="V1631" s="19"/>
      <c r="W1631" s="19"/>
      <c r="X1631" s="19"/>
      <c r="Y1631" s="19"/>
      <c r="Z1631" s="19"/>
      <c r="AA1631" s="19"/>
      <c r="AB1631" s="19"/>
      <c r="AC1631" s="19"/>
      <c r="AD1631" s="19"/>
      <c r="AE1631" s="19"/>
      <c r="AF1631" s="19"/>
      <c r="AG1631" s="19"/>
      <c r="AH1631" s="19"/>
      <c r="AI1631" s="19"/>
      <c r="AJ1631" s="19"/>
      <c r="AK1631" s="19"/>
      <c r="AL1631" s="19"/>
      <c r="AM1631" s="19"/>
      <c r="AN1631" s="19"/>
      <c r="AO1631" s="19"/>
      <c r="AP1631" s="19"/>
      <c r="AQ1631" s="19"/>
      <c r="AR1631" s="19"/>
      <c r="AS1631" s="19"/>
      <c r="AT1631" s="19"/>
      <c r="AU1631" s="19"/>
      <c r="AV1631" s="19"/>
      <c r="AW1631" s="19"/>
      <c r="AX1631" s="19"/>
      <c r="GA1631" s="54"/>
    </row>
    <row r="1632" spans="1:183" s="18" customFormat="1">
      <c r="A1632" s="51"/>
      <c r="B1632" s="52"/>
      <c r="C1632" s="52"/>
      <c r="D1632" s="52"/>
      <c r="E1632" s="53"/>
      <c r="F1632" s="52"/>
      <c r="G1632" s="52"/>
      <c r="H1632" s="52"/>
      <c r="I1632" s="53"/>
      <c r="J1632" s="52"/>
      <c r="K1632" s="52"/>
      <c r="L1632" s="52"/>
      <c r="M1632" s="52"/>
      <c r="N1632" s="19"/>
      <c r="O1632" s="19"/>
      <c r="P1632" s="19"/>
      <c r="Q1632" s="19"/>
      <c r="R1632" s="19"/>
      <c r="S1632" s="19"/>
      <c r="T1632" s="19"/>
      <c r="U1632" s="19"/>
      <c r="V1632" s="19"/>
      <c r="W1632" s="19"/>
      <c r="X1632" s="19"/>
      <c r="Y1632" s="19"/>
      <c r="Z1632" s="19"/>
      <c r="AA1632" s="19"/>
      <c r="AB1632" s="19"/>
      <c r="AC1632" s="19"/>
      <c r="AD1632" s="19"/>
      <c r="AE1632" s="19"/>
      <c r="AF1632" s="19"/>
      <c r="AG1632" s="19"/>
      <c r="AH1632" s="19"/>
      <c r="AI1632" s="19"/>
      <c r="AJ1632" s="19"/>
      <c r="AK1632" s="19"/>
      <c r="AL1632" s="19"/>
      <c r="AM1632" s="19"/>
      <c r="AN1632" s="19"/>
      <c r="AO1632" s="19"/>
      <c r="AP1632" s="19"/>
      <c r="AQ1632" s="19"/>
      <c r="AR1632" s="19"/>
      <c r="AS1632" s="19"/>
      <c r="AT1632" s="19"/>
      <c r="AU1632" s="19"/>
      <c r="AV1632" s="19"/>
      <c r="AW1632" s="19"/>
      <c r="AX1632" s="19"/>
      <c r="GA1632" s="54"/>
    </row>
    <row r="1633" spans="1:183" s="18" customFormat="1">
      <c r="A1633" s="51"/>
      <c r="B1633" s="52"/>
      <c r="C1633" s="52"/>
      <c r="D1633" s="52"/>
      <c r="E1633" s="53"/>
      <c r="F1633" s="52"/>
      <c r="G1633" s="52"/>
      <c r="H1633" s="52"/>
      <c r="I1633" s="53"/>
      <c r="J1633" s="52"/>
      <c r="K1633" s="52"/>
      <c r="L1633" s="52"/>
      <c r="M1633" s="52"/>
      <c r="N1633" s="19"/>
      <c r="O1633" s="19"/>
      <c r="P1633" s="19"/>
      <c r="Q1633" s="19"/>
      <c r="R1633" s="19"/>
      <c r="S1633" s="19"/>
      <c r="T1633" s="19"/>
      <c r="U1633" s="19"/>
      <c r="V1633" s="19"/>
      <c r="W1633" s="19"/>
      <c r="X1633" s="19"/>
      <c r="Y1633" s="19"/>
      <c r="Z1633" s="19"/>
      <c r="AA1633" s="19"/>
      <c r="AB1633" s="19"/>
      <c r="AC1633" s="19"/>
      <c r="AD1633" s="19"/>
      <c r="AE1633" s="19"/>
      <c r="AF1633" s="19"/>
      <c r="AG1633" s="19"/>
      <c r="AH1633" s="19"/>
      <c r="AI1633" s="19"/>
      <c r="AJ1633" s="19"/>
      <c r="AK1633" s="19"/>
      <c r="AL1633" s="19"/>
      <c r="AM1633" s="19"/>
      <c r="AN1633" s="19"/>
      <c r="AO1633" s="19"/>
      <c r="AP1633" s="19"/>
      <c r="AQ1633" s="19"/>
      <c r="AR1633" s="19"/>
      <c r="AS1633" s="19"/>
      <c r="AT1633" s="19"/>
      <c r="AU1633" s="19"/>
      <c r="AV1633" s="19"/>
      <c r="AW1633" s="19"/>
      <c r="AX1633" s="19"/>
      <c r="GA1633" s="54"/>
    </row>
    <row r="1634" spans="1:183" s="18" customFormat="1">
      <c r="A1634" s="51"/>
      <c r="B1634" s="52"/>
      <c r="C1634" s="52"/>
      <c r="D1634" s="52"/>
      <c r="E1634" s="53"/>
      <c r="F1634" s="52"/>
      <c r="G1634" s="52"/>
      <c r="H1634" s="52"/>
      <c r="I1634" s="53"/>
      <c r="J1634" s="52"/>
      <c r="K1634" s="52"/>
      <c r="L1634" s="52"/>
      <c r="M1634" s="52"/>
      <c r="N1634" s="19"/>
      <c r="O1634" s="19"/>
      <c r="P1634" s="19"/>
      <c r="Q1634" s="19"/>
      <c r="R1634" s="19"/>
      <c r="S1634" s="19"/>
      <c r="T1634" s="19"/>
      <c r="U1634" s="19"/>
      <c r="V1634" s="19"/>
      <c r="W1634" s="19"/>
      <c r="X1634" s="19"/>
      <c r="Y1634" s="19"/>
      <c r="Z1634" s="19"/>
      <c r="AA1634" s="19"/>
      <c r="AB1634" s="19"/>
      <c r="AC1634" s="19"/>
      <c r="AD1634" s="19"/>
      <c r="AE1634" s="19"/>
      <c r="AF1634" s="19"/>
      <c r="AG1634" s="19"/>
      <c r="AH1634" s="19"/>
      <c r="AI1634" s="19"/>
      <c r="AJ1634" s="19"/>
      <c r="AK1634" s="19"/>
      <c r="AL1634" s="19"/>
      <c r="AM1634" s="19"/>
      <c r="AN1634" s="19"/>
      <c r="AO1634" s="19"/>
      <c r="AP1634" s="19"/>
      <c r="AQ1634" s="19"/>
      <c r="AR1634" s="19"/>
      <c r="AS1634" s="19"/>
      <c r="AT1634" s="19"/>
      <c r="AU1634" s="19"/>
      <c r="AV1634" s="19"/>
      <c r="AW1634" s="19"/>
      <c r="AX1634" s="19"/>
      <c r="GA1634" s="54"/>
    </row>
    <row r="1635" spans="1:183" s="18" customFormat="1">
      <c r="A1635" s="51"/>
      <c r="B1635" s="52"/>
      <c r="C1635" s="52"/>
      <c r="D1635" s="52"/>
      <c r="E1635" s="53"/>
      <c r="F1635" s="52"/>
      <c r="G1635" s="52"/>
      <c r="H1635" s="52"/>
      <c r="I1635" s="53"/>
      <c r="J1635" s="52"/>
      <c r="K1635" s="52"/>
      <c r="L1635" s="52"/>
      <c r="M1635" s="52"/>
      <c r="N1635" s="19"/>
      <c r="O1635" s="19"/>
      <c r="P1635" s="19"/>
      <c r="Q1635" s="19"/>
      <c r="R1635" s="19"/>
      <c r="S1635" s="19"/>
      <c r="T1635" s="19"/>
      <c r="U1635" s="19"/>
      <c r="V1635" s="19"/>
      <c r="W1635" s="19"/>
      <c r="X1635" s="19"/>
      <c r="Y1635" s="19"/>
      <c r="Z1635" s="19"/>
      <c r="AA1635" s="19"/>
      <c r="AB1635" s="19"/>
      <c r="AC1635" s="19"/>
      <c r="AD1635" s="19"/>
      <c r="AE1635" s="19"/>
      <c r="AF1635" s="19"/>
      <c r="AG1635" s="19"/>
      <c r="AH1635" s="19"/>
      <c r="AI1635" s="19"/>
      <c r="AJ1635" s="19"/>
      <c r="AK1635" s="19"/>
      <c r="AL1635" s="19"/>
      <c r="AM1635" s="19"/>
      <c r="AN1635" s="19"/>
      <c r="AO1635" s="19"/>
      <c r="AP1635" s="19"/>
      <c r="AQ1635" s="19"/>
      <c r="AR1635" s="19"/>
      <c r="AS1635" s="19"/>
      <c r="AT1635" s="19"/>
      <c r="AU1635" s="19"/>
      <c r="AV1635" s="19"/>
      <c r="AW1635" s="19"/>
      <c r="AX1635" s="19"/>
      <c r="GA1635" s="54"/>
    </row>
    <row r="1636" spans="1:183" s="18" customFormat="1">
      <c r="A1636" s="51"/>
      <c r="B1636" s="52"/>
      <c r="C1636" s="52"/>
      <c r="D1636" s="52"/>
      <c r="E1636" s="53"/>
      <c r="F1636" s="52"/>
      <c r="G1636" s="52"/>
      <c r="H1636" s="52"/>
      <c r="I1636" s="53"/>
      <c r="J1636" s="52"/>
      <c r="K1636" s="52"/>
      <c r="L1636" s="52"/>
      <c r="M1636" s="52"/>
      <c r="N1636" s="19"/>
      <c r="O1636" s="19"/>
      <c r="P1636" s="19"/>
      <c r="Q1636" s="19"/>
      <c r="R1636" s="19"/>
      <c r="S1636" s="19"/>
      <c r="T1636" s="19"/>
      <c r="U1636" s="19"/>
      <c r="V1636" s="19"/>
      <c r="W1636" s="19"/>
      <c r="X1636" s="19"/>
      <c r="Y1636" s="19"/>
      <c r="Z1636" s="19"/>
      <c r="AA1636" s="19"/>
      <c r="AB1636" s="19"/>
      <c r="AC1636" s="19"/>
      <c r="AD1636" s="19"/>
      <c r="AE1636" s="19"/>
      <c r="AF1636" s="19"/>
      <c r="AG1636" s="19"/>
      <c r="AH1636" s="19"/>
      <c r="AI1636" s="19"/>
      <c r="AJ1636" s="19"/>
      <c r="AK1636" s="19"/>
      <c r="AL1636" s="19"/>
      <c r="AM1636" s="19"/>
      <c r="AN1636" s="19"/>
      <c r="AO1636" s="19"/>
      <c r="AP1636" s="19"/>
      <c r="AQ1636" s="19"/>
      <c r="AR1636" s="19"/>
      <c r="AS1636" s="19"/>
      <c r="AT1636" s="19"/>
      <c r="AU1636" s="19"/>
      <c r="AV1636" s="19"/>
      <c r="AW1636" s="19"/>
      <c r="AX1636" s="19"/>
      <c r="GA1636" s="54"/>
    </row>
    <row r="1637" spans="1:183" s="18" customFormat="1">
      <c r="A1637" s="51"/>
      <c r="B1637" s="52"/>
      <c r="C1637" s="52"/>
      <c r="D1637" s="52"/>
      <c r="E1637" s="53"/>
      <c r="F1637" s="52"/>
      <c r="G1637" s="52"/>
      <c r="H1637" s="52"/>
      <c r="I1637" s="53"/>
      <c r="J1637" s="52"/>
      <c r="K1637" s="52"/>
      <c r="L1637" s="52"/>
      <c r="M1637" s="52"/>
      <c r="N1637" s="19"/>
      <c r="O1637" s="19"/>
      <c r="P1637" s="19"/>
      <c r="Q1637" s="19"/>
      <c r="R1637" s="19"/>
      <c r="S1637" s="19"/>
      <c r="T1637" s="19"/>
      <c r="U1637" s="19"/>
      <c r="V1637" s="19"/>
      <c r="W1637" s="19"/>
      <c r="X1637" s="19"/>
      <c r="Y1637" s="19"/>
      <c r="Z1637" s="19"/>
      <c r="AA1637" s="19"/>
      <c r="AB1637" s="19"/>
      <c r="AC1637" s="19"/>
      <c r="AD1637" s="19"/>
      <c r="AE1637" s="19"/>
      <c r="AF1637" s="19"/>
      <c r="AG1637" s="19"/>
      <c r="AH1637" s="19"/>
      <c r="AI1637" s="19"/>
      <c r="AJ1637" s="19"/>
      <c r="AK1637" s="19"/>
      <c r="AL1637" s="19"/>
      <c r="AM1637" s="19"/>
      <c r="AN1637" s="19"/>
      <c r="AO1637" s="19"/>
      <c r="AP1637" s="19"/>
      <c r="AQ1637" s="19"/>
      <c r="AR1637" s="19"/>
      <c r="AS1637" s="19"/>
      <c r="AT1637" s="19"/>
      <c r="AU1637" s="19"/>
      <c r="AV1637" s="19"/>
      <c r="AW1637" s="19"/>
      <c r="AX1637" s="19"/>
      <c r="GA1637" s="54"/>
    </row>
    <row r="1638" spans="1:183" s="18" customFormat="1">
      <c r="A1638" s="51"/>
      <c r="B1638" s="52"/>
      <c r="C1638" s="52"/>
      <c r="D1638" s="52"/>
      <c r="E1638" s="53"/>
      <c r="F1638" s="52"/>
      <c r="G1638" s="52"/>
      <c r="H1638" s="52"/>
      <c r="I1638" s="53"/>
      <c r="J1638" s="52"/>
      <c r="K1638" s="52"/>
      <c r="L1638" s="52"/>
      <c r="M1638" s="52"/>
      <c r="N1638" s="19"/>
      <c r="O1638" s="19"/>
      <c r="P1638" s="19"/>
      <c r="Q1638" s="19"/>
      <c r="R1638" s="19"/>
      <c r="S1638" s="19"/>
      <c r="T1638" s="19"/>
      <c r="U1638" s="19"/>
      <c r="V1638" s="19"/>
      <c r="W1638" s="19"/>
      <c r="X1638" s="19"/>
      <c r="Y1638" s="19"/>
      <c r="Z1638" s="19"/>
      <c r="AA1638" s="19"/>
      <c r="AB1638" s="19"/>
      <c r="AC1638" s="19"/>
      <c r="AD1638" s="19"/>
      <c r="AE1638" s="19"/>
      <c r="AF1638" s="19"/>
      <c r="AG1638" s="19"/>
      <c r="AH1638" s="19"/>
      <c r="AI1638" s="19"/>
      <c r="AJ1638" s="19"/>
      <c r="AK1638" s="19"/>
      <c r="AL1638" s="19"/>
      <c r="AM1638" s="19"/>
      <c r="AN1638" s="19"/>
      <c r="AO1638" s="19"/>
      <c r="AP1638" s="19"/>
      <c r="AQ1638" s="19"/>
      <c r="AR1638" s="19"/>
      <c r="AS1638" s="19"/>
      <c r="AT1638" s="19"/>
      <c r="AU1638" s="19"/>
      <c r="AV1638" s="19"/>
      <c r="AW1638" s="19"/>
      <c r="AX1638" s="19"/>
      <c r="GA1638" s="54"/>
    </row>
    <row r="1639" spans="1:183" s="18" customFormat="1">
      <c r="A1639" s="51"/>
      <c r="B1639" s="52"/>
      <c r="C1639" s="52"/>
      <c r="D1639" s="52"/>
      <c r="E1639" s="53"/>
      <c r="F1639" s="52"/>
      <c r="G1639" s="52"/>
      <c r="H1639" s="52"/>
      <c r="I1639" s="53"/>
      <c r="J1639" s="52"/>
      <c r="K1639" s="52"/>
      <c r="L1639" s="52"/>
      <c r="M1639" s="52"/>
      <c r="N1639" s="19"/>
      <c r="O1639" s="19"/>
      <c r="P1639" s="19"/>
      <c r="Q1639" s="19"/>
      <c r="R1639" s="19"/>
      <c r="S1639" s="19"/>
      <c r="T1639" s="19"/>
      <c r="U1639" s="19"/>
      <c r="V1639" s="19"/>
      <c r="W1639" s="19"/>
      <c r="X1639" s="19"/>
      <c r="Y1639" s="19"/>
      <c r="Z1639" s="19"/>
      <c r="AA1639" s="19"/>
      <c r="AB1639" s="19"/>
      <c r="AC1639" s="19"/>
      <c r="AD1639" s="19"/>
      <c r="AE1639" s="19"/>
      <c r="AF1639" s="19"/>
      <c r="AG1639" s="19"/>
      <c r="AH1639" s="19"/>
      <c r="AI1639" s="19"/>
      <c r="AJ1639" s="19"/>
      <c r="AK1639" s="19"/>
      <c r="AL1639" s="19"/>
      <c r="AM1639" s="19"/>
      <c r="AN1639" s="19"/>
      <c r="AO1639" s="19"/>
      <c r="AP1639" s="19"/>
      <c r="AQ1639" s="19"/>
      <c r="AR1639" s="19"/>
      <c r="AS1639" s="19"/>
      <c r="AT1639" s="19"/>
      <c r="AU1639" s="19"/>
      <c r="AV1639" s="19"/>
      <c r="AW1639" s="19"/>
      <c r="AX1639" s="19"/>
      <c r="GA1639" s="54"/>
    </row>
    <row r="1640" spans="1:183" s="18" customFormat="1">
      <c r="A1640" s="51"/>
      <c r="B1640" s="52"/>
      <c r="C1640" s="52"/>
      <c r="D1640" s="52"/>
      <c r="E1640" s="53"/>
      <c r="F1640" s="52"/>
      <c r="G1640" s="52"/>
      <c r="H1640" s="52"/>
      <c r="I1640" s="53"/>
      <c r="J1640" s="52"/>
      <c r="K1640" s="52"/>
      <c r="L1640" s="52"/>
      <c r="M1640" s="52"/>
      <c r="N1640" s="19"/>
      <c r="O1640" s="19"/>
      <c r="P1640" s="19"/>
      <c r="Q1640" s="19"/>
      <c r="R1640" s="19"/>
      <c r="S1640" s="19"/>
      <c r="T1640" s="19"/>
      <c r="U1640" s="19"/>
      <c r="V1640" s="19"/>
      <c r="W1640" s="19"/>
      <c r="X1640" s="19"/>
      <c r="Y1640" s="19"/>
      <c r="Z1640" s="19"/>
      <c r="AA1640" s="19"/>
      <c r="AB1640" s="19"/>
      <c r="AC1640" s="19"/>
      <c r="AD1640" s="19"/>
      <c r="AE1640" s="19"/>
      <c r="AF1640" s="19"/>
      <c r="AG1640" s="19"/>
      <c r="AH1640" s="19"/>
      <c r="AI1640" s="19"/>
      <c r="AJ1640" s="19"/>
      <c r="AK1640" s="19"/>
      <c r="AL1640" s="19"/>
      <c r="AM1640" s="19"/>
      <c r="AN1640" s="19"/>
      <c r="AO1640" s="19"/>
      <c r="AP1640" s="19"/>
      <c r="AQ1640" s="19"/>
      <c r="AR1640" s="19"/>
      <c r="AS1640" s="19"/>
      <c r="AT1640" s="19"/>
      <c r="AU1640" s="19"/>
      <c r="AV1640" s="19"/>
      <c r="AW1640" s="19"/>
      <c r="AX1640" s="19"/>
      <c r="GA1640" s="54"/>
    </row>
    <row r="1641" spans="1:183" s="18" customFormat="1">
      <c r="A1641" s="51"/>
      <c r="B1641" s="52"/>
      <c r="C1641" s="52"/>
      <c r="D1641" s="52"/>
      <c r="E1641" s="53"/>
      <c r="F1641" s="52"/>
      <c r="G1641" s="52"/>
      <c r="H1641" s="52"/>
      <c r="I1641" s="53"/>
      <c r="J1641" s="52"/>
      <c r="K1641" s="52"/>
      <c r="L1641" s="52"/>
      <c r="M1641" s="52"/>
      <c r="N1641" s="19"/>
      <c r="O1641" s="19"/>
      <c r="P1641" s="19"/>
      <c r="Q1641" s="19"/>
      <c r="R1641" s="19"/>
      <c r="S1641" s="19"/>
      <c r="T1641" s="19"/>
      <c r="U1641" s="19"/>
      <c r="V1641" s="19"/>
      <c r="W1641" s="19"/>
      <c r="X1641" s="19"/>
      <c r="Y1641" s="19"/>
      <c r="Z1641" s="19"/>
      <c r="AA1641" s="19"/>
      <c r="AB1641" s="19"/>
      <c r="AC1641" s="19"/>
      <c r="AD1641" s="19"/>
      <c r="AE1641" s="19"/>
      <c r="AF1641" s="19"/>
      <c r="AG1641" s="19"/>
      <c r="AH1641" s="19"/>
      <c r="AI1641" s="19"/>
      <c r="AJ1641" s="19"/>
      <c r="AK1641" s="19"/>
      <c r="AL1641" s="19"/>
      <c r="AM1641" s="19"/>
      <c r="AN1641" s="19"/>
      <c r="AO1641" s="19"/>
      <c r="AP1641" s="19"/>
      <c r="AQ1641" s="19"/>
      <c r="AR1641" s="19"/>
      <c r="AS1641" s="19"/>
      <c r="AT1641" s="19"/>
      <c r="AU1641" s="19"/>
      <c r="AV1641" s="19"/>
      <c r="AW1641" s="19"/>
      <c r="AX1641" s="19"/>
      <c r="GA1641" s="54"/>
    </row>
    <row r="1642" spans="1:183" s="18" customFormat="1">
      <c r="A1642" s="51"/>
      <c r="B1642" s="52"/>
      <c r="C1642" s="52"/>
      <c r="D1642" s="52"/>
      <c r="E1642" s="53"/>
      <c r="F1642" s="52"/>
      <c r="G1642" s="52"/>
      <c r="H1642" s="52"/>
      <c r="I1642" s="53"/>
      <c r="J1642" s="52"/>
      <c r="K1642" s="52"/>
      <c r="L1642" s="52"/>
      <c r="M1642" s="52"/>
      <c r="N1642" s="19"/>
      <c r="O1642" s="19"/>
      <c r="P1642" s="19"/>
      <c r="Q1642" s="19"/>
      <c r="R1642" s="19"/>
      <c r="S1642" s="19"/>
      <c r="T1642" s="19"/>
      <c r="U1642" s="19"/>
      <c r="V1642" s="19"/>
      <c r="W1642" s="19"/>
      <c r="X1642" s="19"/>
      <c r="Y1642" s="19"/>
      <c r="Z1642" s="19"/>
      <c r="AA1642" s="19"/>
      <c r="AB1642" s="19"/>
      <c r="AC1642" s="19"/>
      <c r="AD1642" s="19"/>
      <c r="AE1642" s="19"/>
      <c r="AF1642" s="19"/>
      <c r="AG1642" s="19"/>
      <c r="AH1642" s="19"/>
      <c r="AI1642" s="19"/>
      <c r="AJ1642" s="19"/>
      <c r="AK1642" s="19"/>
      <c r="AL1642" s="19"/>
      <c r="AM1642" s="19"/>
      <c r="AN1642" s="19"/>
      <c r="AO1642" s="19"/>
      <c r="AP1642" s="19"/>
      <c r="AQ1642" s="19"/>
      <c r="AR1642" s="19"/>
      <c r="AS1642" s="19"/>
      <c r="AT1642" s="19"/>
      <c r="AU1642" s="19"/>
      <c r="AV1642" s="19"/>
      <c r="AW1642" s="19"/>
      <c r="AX1642" s="19"/>
      <c r="GA1642" s="54"/>
    </row>
    <row r="1643" spans="1:183" s="18" customFormat="1">
      <c r="A1643" s="51"/>
      <c r="B1643" s="52"/>
      <c r="C1643" s="52"/>
      <c r="D1643" s="52"/>
      <c r="E1643" s="53"/>
      <c r="F1643" s="52"/>
      <c r="G1643" s="52"/>
      <c r="H1643" s="52"/>
      <c r="I1643" s="53"/>
      <c r="J1643" s="52"/>
      <c r="K1643" s="52"/>
      <c r="L1643" s="52"/>
      <c r="M1643" s="52"/>
      <c r="N1643" s="19"/>
      <c r="O1643" s="19"/>
      <c r="P1643" s="19"/>
      <c r="Q1643" s="19"/>
      <c r="R1643" s="19"/>
      <c r="S1643" s="19"/>
      <c r="T1643" s="19"/>
      <c r="U1643" s="19"/>
      <c r="V1643" s="19"/>
      <c r="W1643" s="19"/>
      <c r="X1643" s="19"/>
      <c r="Y1643" s="19"/>
      <c r="Z1643" s="19"/>
      <c r="AA1643" s="19"/>
      <c r="AB1643" s="19"/>
      <c r="AC1643" s="19"/>
      <c r="AD1643" s="19"/>
      <c r="AE1643" s="19"/>
      <c r="AF1643" s="19"/>
      <c r="AG1643" s="19"/>
      <c r="AH1643" s="19"/>
      <c r="AI1643" s="19"/>
      <c r="AJ1643" s="19"/>
      <c r="AK1643" s="19"/>
      <c r="AL1643" s="19"/>
      <c r="AM1643" s="19"/>
      <c r="AN1643" s="19"/>
      <c r="AO1643" s="19"/>
      <c r="AP1643" s="19"/>
      <c r="AQ1643" s="19"/>
      <c r="AR1643" s="19"/>
      <c r="AS1643" s="19"/>
      <c r="AT1643" s="19"/>
      <c r="AU1643" s="19"/>
      <c r="AV1643" s="19"/>
      <c r="AW1643" s="19"/>
      <c r="AX1643" s="19"/>
      <c r="GA1643" s="54"/>
    </row>
    <row r="1644" spans="1:183" s="18" customFormat="1">
      <c r="A1644" s="51"/>
      <c r="B1644" s="52"/>
      <c r="C1644" s="52"/>
      <c r="D1644" s="52"/>
      <c r="E1644" s="53"/>
      <c r="F1644" s="52"/>
      <c r="G1644" s="52"/>
      <c r="H1644" s="52"/>
      <c r="I1644" s="53"/>
      <c r="J1644" s="52"/>
      <c r="K1644" s="52"/>
      <c r="L1644" s="52"/>
      <c r="M1644" s="52"/>
      <c r="N1644" s="19"/>
      <c r="O1644" s="19"/>
      <c r="P1644" s="19"/>
      <c r="Q1644" s="19"/>
      <c r="R1644" s="19"/>
      <c r="S1644" s="19"/>
      <c r="T1644" s="19"/>
      <c r="U1644" s="19"/>
      <c r="V1644" s="19"/>
      <c r="W1644" s="19"/>
      <c r="X1644" s="19"/>
      <c r="Y1644" s="19"/>
      <c r="Z1644" s="19"/>
      <c r="AA1644" s="19"/>
      <c r="AB1644" s="19"/>
      <c r="AC1644" s="19"/>
      <c r="AD1644" s="19"/>
      <c r="AE1644" s="19"/>
      <c r="AF1644" s="19"/>
      <c r="AG1644" s="19"/>
      <c r="AH1644" s="19"/>
      <c r="AI1644" s="19"/>
      <c r="AJ1644" s="19"/>
      <c r="AK1644" s="19"/>
      <c r="AL1644" s="19"/>
      <c r="AM1644" s="19"/>
      <c r="AN1644" s="19"/>
      <c r="AO1644" s="19"/>
      <c r="AP1644" s="19"/>
      <c r="AQ1644" s="19"/>
      <c r="AR1644" s="19"/>
      <c r="AS1644" s="19"/>
      <c r="AT1644" s="19"/>
      <c r="AU1644" s="19"/>
      <c r="AV1644" s="19"/>
      <c r="AW1644" s="19"/>
      <c r="AX1644" s="19"/>
      <c r="GA1644" s="54"/>
    </row>
    <row r="1645" spans="1:183" s="18" customFormat="1">
      <c r="A1645" s="51"/>
      <c r="B1645" s="52"/>
      <c r="C1645" s="52"/>
      <c r="D1645" s="52"/>
      <c r="E1645" s="53"/>
      <c r="F1645" s="52"/>
      <c r="G1645" s="52"/>
      <c r="H1645" s="52"/>
      <c r="I1645" s="53"/>
      <c r="J1645" s="52"/>
      <c r="K1645" s="52"/>
      <c r="L1645" s="52"/>
      <c r="M1645" s="52"/>
      <c r="N1645" s="19"/>
      <c r="O1645" s="19"/>
      <c r="P1645" s="19"/>
      <c r="Q1645" s="19"/>
      <c r="R1645" s="19"/>
      <c r="S1645" s="19"/>
      <c r="T1645" s="19"/>
      <c r="U1645" s="19"/>
      <c r="V1645" s="19"/>
      <c r="W1645" s="19"/>
      <c r="X1645" s="19"/>
      <c r="Y1645" s="19"/>
      <c r="Z1645" s="19"/>
      <c r="AA1645" s="19"/>
      <c r="AB1645" s="19"/>
      <c r="AC1645" s="19"/>
      <c r="AD1645" s="19"/>
      <c r="AE1645" s="19"/>
      <c r="AF1645" s="19"/>
      <c r="AG1645" s="19"/>
      <c r="AH1645" s="19"/>
      <c r="AI1645" s="19"/>
      <c r="AJ1645" s="19"/>
      <c r="AK1645" s="19"/>
      <c r="AL1645" s="19"/>
      <c r="AM1645" s="19"/>
      <c r="AN1645" s="19"/>
      <c r="AO1645" s="19"/>
      <c r="AP1645" s="19"/>
      <c r="AQ1645" s="19"/>
      <c r="AR1645" s="19"/>
      <c r="AS1645" s="19"/>
      <c r="AT1645" s="19"/>
      <c r="AU1645" s="19"/>
      <c r="AV1645" s="19"/>
      <c r="AW1645" s="19"/>
      <c r="AX1645" s="19"/>
      <c r="GA1645" s="54"/>
    </row>
    <row r="1646" spans="1:183" s="18" customFormat="1">
      <c r="A1646" s="51"/>
      <c r="B1646" s="52"/>
      <c r="C1646" s="52"/>
      <c r="D1646" s="52"/>
      <c r="E1646" s="53"/>
      <c r="F1646" s="52"/>
      <c r="G1646" s="52"/>
      <c r="H1646" s="52"/>
      <c r="I1646" s="53"/>
      <c r="J1646" s="52"/>
      <c r="K1646" s="52"/>
      <c r="L1646" s="52"/>
      <c r="M1646" s="52"/>
      <c r="N1646" s="19"/>
      <c r="O1646" s="19"/>
      <c r="P1646" s="19"/>
      <c r="Q1646" s="19"/>
      <c r="R1646" s="19"/>
      <c r="S1646" s="19"/>
      <c r="T1646" s="19"/>
      <c r="U1646" s="19"/>
      <c r="V1646" s="19"/>
      <c r="W1646" s="19"/>
      <c r="X1646" s="19"/>
      <c r="Y1646" s="19"/>
      <c r="Z1646" s="19"/>
      <c r="AA1646" s="19"/>
      <c r="AB1646" s="19"/>
      <c r="AC1646" s="19"/>
      <c r="AD1646" s="19"/>
      <c r="AE1646" s="19"/>
      <c r="AF1646" s="19"/>
      <c r="AG1646" s="19"/>
      <c r="AH1646" s="19"/>
      <c r="AI1646" s="19"/>
      <c r="AJ1646" s="19"/>
      <c r="AK1646" s="19"/>
      <c r="AL1646" s="19"/>
      <c r="AM1646" s="19"/>
      <c r="AN1646" s="19"/>
      <c r="AO1646" s="19"/>
      <c r="AP1646" s="19"/>
      <c r="AQ1646" s="19"/>
      <c r="AR1646" s="19"/>
      <c r="AS1646" s="19"/>
      <c r="AT1646" s="19"/>
      <c r="AU1646" s="19"/>
      <c r="AV1646" s="19"/>
      <c r="AW1646" s="19"/>
      <c r="AX1646" s="19"/>
      <c r="GA1646" s="54"/>
    </row>
    <row r="1647" spans="1:183" s="18" customFormat="1">
      <c r="A1647" s="51"/>
      <c r="B1647" s="52"/>
      <c r="C1647" s="52"/>
      <c r="D1647" s="52"/>
      <c r="E1647" s="53"/>
      <c r="F1647" s="52"/>
      <c r="G1647" s="52"/>
      <c r="H1647" s="52"/>
      <c r="I1647" s="53"/>
      <c r="J1647" s="52"/>
      <c r="K1647" s="52"/>
      <c r="L1647" s="52"/>
      <c r="M1647" s="52"/>
      <c r="N1647" s="19"/>
      <c r="O1647" s="19"/>
      <c r="P1647" s="19"/>
      <c r="Q1647" s="19"/>
      <c r="R1647" s="19"/>
      <c r="S1647" s="19"/>
      <c r="T1647" s="19"/>
      <c r="U1647" s="19"/>
      <c r="V1647" s="19"/>
      <c r="W1647" s="19"/>
      <c r="X1647" s="19"/>
      <c r="Y1647" s="19"/>
      <c r="Z1647" s="19"/>
      <c r="AA1647" s="19"/>
      <c r="AB1647" s="19"/>
      <c r="AC1647" s="19"/>
      <c r="AD1647" s="19"/>
      <c r="AE1647" s="19"/>
      <c r="AF1647" s="19"/>
      <c r="AG1647" s="19"/>
      <c r="AH1647" s="19"/>
      <c r="AI1647" s="19"/>
      <c r="AJ1647" s="19"/>
      <c r="AK1647" s="19"/>
      <c r="AL1647" s="19"/>
      <c r="AM1647" s="19"/>
      <c r="AN1647" s="19"/>
      <c r="AO1647" s="19"/>
      <c r="AP1647" s="19"/>
      <c r="AQ1647" s="19"/>
      <c r="AR1647" s="19"/>
      <c r="AS1647" s="19"/>
      <c r="AT1647" s="19"/>
      <c r="AU1647" s="19"/>
      <c r="AV1647" s="19"/>
      <c r="AW1647" s="19"/>
      <c r="AX1647" s="19"/>
      <c r="GA1647" s="54"/>
    </row>
    <row r="1648" spans="1:183" s="18" customFormat="1">
      <c r="A1648" s="51"/>
      <c r="B1648" s="52"/>
      <c r="C1648" s="52"/>
      <c r="D1648" s="52"/>
      <c r="E1648" s="53"/>
      <c r="F1648" s="52"/>
      <c r="G1648" s="52"/>
      <c r="H1648" s="52"/>
      <c r="I1648" s="53"/>
      <c r="J1648" s="52"/>
      <c r="K1648" s="52"/>
      <c r="L1648" s="52"/>
      <c r="M1648" s="52"/>
      <c r="N1648" s="19"/>
      <c r="O1648" s="19"/>
      <c r="P1648" s="19"/>
      <c r="Q1648" s="19"/>
      <c r="R1648" s="19"/>
      <c r="S1648" s="19"/>
      <c r="T1648" s="19"/>
      <c r="U1648" s="19"/>
      <c r="V1648" s="19"/>
      <c r="W1648" s="19"/>
      <c r="X1648" s="19"/>
      <c r="Y1648" s="19"/>
      <c r="Z1648" s="19"/>
      <c r="AA1648" s="19"/>
      <c r="AB1648" s="19"/>
      <c r="AC1648" s="19"/>
      <c r="AD1648" s="19"/>
      <c r="AE1648" s="19"/>
      <c r="AF1648" s="19"/>
      <c r="AG1648" s="19"/>
      <c r="AH1648" s="19"/>
      <c r="AI1648" s="19"/>
      <c r="AJ1648" s="19"/>
      <c r="AK1648" s="19"/>
      <c r="AL1648" s="19"/>
      <c r="AM1648" s="19"/>
      <c r="AN1648" s="19"/>
      <c r="AO1648" s="19"/>
      <c r="AP1648" s="19"/>
      <c r="AQ1648" s="19"/>
      <c r="AR1648" s="19"/>
      <c r="AS1648" s="19"/>
      <c r="AT1648" s="19"/>
      <c r="AU1648" s="19"/>
      <c r="AV1648" s="19"/>
      <c r="AW1648" s="19"/>
      <c r="AX1648" s="19"/>
      <c r="GA1648" s="54"/>
    </row>
    <row r="1649" spans="1:183" s="18" customFormat="1">
      <c r="A1649" s="51"/>
      <c r="B1649" s="52"/>
      <c r="C1649" s="52"/>
      <c r="D1649" s="52"/>
      <c r="E1649" s="53"/>
      <c r="F1649" s="52"/>
      <c r="G1649" s="52"/>
      <c r="H1649" s="52"/>
      <c r="I1649" s="53"/>
      <c r="J1649" s="52"/>
      <c r="K1649" s="52"/>
      <c r="L1649" s="52"/>
      <c r="M1649" s="52"/>
      <c r="N1649" s="19"/>
      <c r="O1649" s="19"/>
      <c r="P1649" s="19"/>
      <c r="Q1649" s="19"/>
      <c r="R1649" s="19"/>
      <c r="S1649" s="19"/>
      <c r="T1649" s="19"/>
      <c r="U1649" s="19"/>
      <c r="V1649" s="19"/>
      <c r="W1649" s="19"/>
      <c r="X1649" s="19"/>
      <c r="Y1649" s="19"/>
      <c r="Z1649" s="19"/>
      <c r="AA1649" s="19"/>
      <c r="AB1649" s="19"/>
      <c r="AC1649" s="19"/>
      <c r="AD1649" s="19"/>
      <c r="AE1649" s="19"/>
      <c r="AF1649" s="19"/>
      <c r="AG1649" s="19"/>
      <c r="AH1649" s="19"/>
      <c r="AI1649" s="19"/>
      <c r="AJ1649" s="19"/>
      <c r="AK1649" s="19"/>
      <c r="AL1649" s="19"/>
      <c r="AM1649" s="19"/>
      <c r="AN1649" s="19"/>
      <c r="AO1649" s="19"/>
      <c r="AP1649" s="19"/>
      <c r="AQ1649" s="19"/>
      <c r="AR1649" s="19"/>
      <c r="AS1649" s="19"/>
      <c r="AT1649" s="19"/>
      <c r="AU1649" s="19"/>
      <c r="AV1649" s="19"/>
      <c r="AW1649" s="19"/>
      <c r="AX1649" s="19"/>
      <c r="GA1649" s="54"/>
    </row>
    <row r="1650" spans="1:183" s="18" customFormat="1">
      <c r="A1650" s="51"/>
      <c r="B1650" s="52"/>
      <c r="C1650" s="52"/>
      <c r="D1650" s="52"/>
      <c r="E1650" s="53"/>
      <c r="F1650" s="52"/>
      <c r="G1650" s="52"/>
      <c r="H1650" s="52"/>
      <c r="I1650" s="53"/>
      <c r="J1650" s="52"/>
      <c r="K1650" s="52"/>
      <c r="L1650" s="52"/>
      <c r="M1650" s="52"/>
      <c r="N1650" s="19"/>
      <c r="O1650" s="19"/>
      <c r="P1650" s="19"/>
      <c r="Q1650" s="19"/>
      <c r="R1650" s="19"/>
      <c r="S1650" s="19"/>
      <c r="T1650" s="19"/>
      <c r="U1650" s="19"/>
      <c r="V1650" s="19"/>
      <c r="W1650" s="19"/>
      <c r="X1650" s="19"/>
      <c r="Y1650" s="19"/>
      <c r="Z1650" s="19"/>
      <c r="AA1650" s="19"/>
      <c r="AB1650" s="19"/>
      <c r="AC1650" s="19"/>
      <c r="AD1650" s="19"/>
      <c r="AE1650" s="19"/>
      <c r="AF1650" s="19"/>
      <c r="AG1650" s="19"/>
      <c r="AH1650" s="19"/>
      <c r="AI1650" s="19"/>
      <c r="AJ1650" s="19"/>
      <c r="AK1650" s="19"/>
      <c r="AL1650" s="19"/>
      <c r="AM1650" s="19"/>
      <c r="AN1650" s="19"/>
      <c r="AO1650" s="19"/>
      <c r="AP1650" s="19"/>
      <c r="AQ1650" s="19"/>
      <c r="AR1650" s="19"/>
      <c r="AS1650" s="19"/>
      <c r="AT1650" s="19"/>
      <c r="AU1650" s="19"/>
      <c r="AV1650" s="19"/>
      <c r="AW1650" s="19"/>
      <c r="AX1650" s="19"/>
      <c r="GA1650" s="54"/>
    </row>
    <row r="1651" spans="1:183" s="18" customFormat="1">
      <c r="A1651" s="51"/>
      <c r="B1651" s="52"/>
      <c r="C1651" s="52"/>
      <c r="D1651" s="52"/>
      <c r="E1651" s="53"/>
      <c r="F1651" s="52"/>
      <c r="G1651" s="52"/>
      <c r="H1651" s="52"/>
      <c r="I1651" s="53"/>
      <c r="J1651" s="52"/>
      <c r="K1651" s="52"/>
      <c r="L1651" s="52"/>
      <c r="M1651" s="52"/>
      <c r="N1651" s="19"/>
      <c r="O1651" s="19"/>
      <c r="P1651" s="19"/>
      <c r="Q1651" s="19"/>
      <c r="R1651" s="19"/>
      <c r="S1651" s="19"/>
      <c r="T1651" s="19"/>
      <c r="U1651" s="19"/>
      <c r="V1651" s="19"/>
      <c r="W1651" s="19"/>
      <c r="X1651" s="19"/>
      <c r="Y1651" s="19"/>
      <c r="Z1651" s="19"/>
      <c r="AA1651" s="19"/>
      <c r="AB1651" s="19"/>
      <c r="AC1651" s="19"/>
      <c r="AD1651" s="19"/>
      <c r="AE1651" s="19"/>
      <c r="AF1651" s="19"/>
      <c r="AG1651" s="19"/>
      <c r="AH1651" s="19"/>
      <c r="AI1651" s="19"/>
      <c r="AJ1651" s="19"/>
      <c r="AK1651" s="19"/>
      <c r="AL1651" s="19"/>
      <c r="AM1651" s="19"/>
      <c r="AN1651" s="19"/>
      <c r="AO1651" s="19"/>
      <c r="AP1651" s="19"/>
      <c r="AQ1651" s="19"/>
      <c r="AR1651" s="19"/>
      <c r="AS1651" s="19"/>
      <c r="AT1651" s="19"/>
      <c r="AU1651" s="19"/>
      <c r="AV1651" s="19"/>
      <c r="AW1651" s="19"/>
      <c r="AX1651" s="19"/>
      <c r="GA1651" s="54"/>
    </row>
    <row r="1652" spans="1:183" s="18" customFormat="1">
      <c r="A1652" s="51"/>
      <c r="B1652" s="52"/>
      <c r="C1652" s="52"/>
      <c r="D1652" s="52"/>
      <c r="E1652" s="53"/>
      <c r="F1652" s="52"/>
      <c r="G1652" s="52"/>
      <c r="H1652" s="52"/>
      <c r="I1652" s="53"/>
      <c r="J1652" s="52"/>
      <c r="K1652" s="52"/>
      <c r="L1652" s="52"/>
      <c r="M1652" s="52"/>
      <c r="N1652" s="19"/>
      <c r="O1652" s="19"/>
      <c r="P1652" s="19"/>
      <c r="Q1652" s="19"/>
      <c r="R1652" s="19"/>
      <c r="S1652" s="19"/>
      <c r="T1652" s="19"/>
      <c r="U1652" s="19"/>
      <c r="V1652" s="19"/>
      <c r="W1652" s="19"/>
      <c r="X1652" s="19"/>
      <c r="Y1652" s="19"/>
      <c r="Z1652" s="19"/>
      <c r="AA1652" s="19"/>
      <c r="AB1652" s="19"/>
      <c r="AC1652" s="19"/>
      <c r="AD1652" s="19"/>
      <c r="AE1652" s="19"/>
      <c r="AF1652" s="19"/>
      <c r="AG1652" s="19"/>
      <c r="AH1652" s="19"/>
      <c r="AI1652" s="19"/>
      <c r="AJ1652" s="19"/>
      <c r="AK1652" s="19"/>
      <c r="AL1652" s="19"/>
      <c r="AM1652" s="19"/>
      <c r="AN1652" s="19"/>
      <c r="AO1652" s="19"/>
      <c r="AP1652" s="19"/>
      <c r="AQ1652" s="19"/>
      <c r="AR1652" s="19"/>
      <c r="AS1652" s="19"/>
      <c r="AT1652" s="19"/>
      <c r="AU1652" s="19"/>
      <c r="AV1652" s="19"/>
      <c r="AW1652" s="19"/>
      <c r="AX1652" s="19"/>
      <c r="GA1652" s="54"/>
    </row>
    <row r="1653" spans="1:183" s="18" customFormat="1">
      <c r="A1653" s="51"/>
      <c r="B1653" s="52"/>
      <c r="C1653" s="52"/>
      <c r="D1653" s="52"/>
      <c r="E1653" s="53"/>
      <c r="F1653" s="52"/>
      <c r="G1653" s="52"/>
      <c r="H1653" s="52"/>
      <c r="I1653" s="53"/>
      <c r="J1653" s="52"/>
      <c r="K1653" s="52"/>
      <c r="L1653" s="52"/>
      <c r="M1653" s="52"/>
      <c r="N1653" s="19"/>
      <c r="O1653" s="19"/>
      <c r="P1653" s="19"/>
      <c r="Q1653" s="19"/>
      <c r="R1653" s="19"/>
      <c r="S1653" s="19"/>
      <c r="T1653" s="19"/>
      <c r="U1653" s="19"/>
      <c r="V1653" s="19"/>
      <c r="W1653" s="19"/>
      <c r="X1653" s="19"/>
      <c r="Y1653" s="19"/>
      <c r="Z1653" s="19"/>
      <c r="AA1653" s="19"/>
      <c r="AB1653" s="19"/>
      <c r="AC1653" s="19"/>
      <c r="AD1653" s="19"/>
      <c r="AE1653" s="19"/>
      <c r="AF1653" s="19"/>
      <c r="AG1653" s="19"/>
      <c r="AH1653" s="19"/>
      <c r="AI1653" s="19"/>
      <c r="AJ1653" s="19"/>
      <c r="AK1653" s="19"/>
      <c r="AL1653" s="19"/>
      <c r="AM1653" s="19"/>
      <c r="AN1653" s="19"/>
      <c r="AO1653" s="19"/>
      <c r="AP1653" s="19"/>
      <c r="AQ1653" s="19"/>
      <c r="AR1653" s="19"/>
      <c r="AS1653" s="19"/>
      <c r="AT1653" s="19"/>
      <c r="AU1653" s="19"/>
      <c r="AV1653" s="19"/>
      <c r="AW1653" s="19"/>
      <c r="AX1653" s="19"/>
      <c r="GA1653" s="54"/>
    </row>
    <row r="1654" spans="1:183" s="18" customFormat="1">
      <c r="A1654" s="51"/>
      <c r="B1654" s="52"/>
      <c r="C1654" s="52"/>
      <c r="D1654" s="52"/>
      <c r="E1654" s="53"/>
      <c r="F1654" s="52"/>
      <c r="G1654" s="52"/>
      <c r="H1654" s="52"/>
      <c r="I1654" s="53"/>
      <c r="J1654" s="52"/>
      <c r="K1654" s="52"/>
      <c r="L1654" s="52"/>
      <c r="M1654" s="52"/>
      <c r="N1654" s="19"/>
      <c r="O1654" s="19"/>
      <c r="P1654" s="19"/>
      <c r="Q1654" s="19"/>
      <c r="R1654" s="19"/>
      <c r="S1654" s="19"/>
      <c r="T1654" s="19"/>
      <c r="U1654" s="19"/>
      <c r="V1654" s="19"/>
      <c r="W1654" s="19"/>
      <c r="X1654" s="19"/>
      <c r="Y1654" s="19"/>
      <c r="Z1654" s="19"/>
      <c r="AA1654" s="19"/>
      <c r="AB1654" s="19"/>
      <c r="AC1654" s="19"/>
      <c r="AD1654" s="19"/>
      <c r="AE1654" s="19"/>
      <c r="AF1654" s="19"/>
      <c r="AG1654" s="19"/>
      <c r="AH1654" s="19"/>
      <c r="AI1654" s="19"/>
      <c r="AJ1654" s="19"/>
      <c r="AK1654" s="19"/>
      <c r="AL1654" s="19"/>
      <c r="AM1654" s="19"/>
      <c r="AN1654" s="19"/>
      <c r="AO1654" s="19"/>
      <c r="AP1654" s="19"/>
      <c r="AQ1654" s="19"/>
      <c r="AR1654" s="19"/>
      <c r="AS1654" s="19"/>
      <c r="AT1654" s="19"/>
      <c r="AU1654" s="19"/>
      <c r="AV1654" s="19"/>
      <c r="AW1654" s="19"/>
      <c r="AX1654" s="19"/>
      <c r="GA1654" s="54"/>
    </row>
    <row r="1655" spans="1:183" s="18" customFormat="1">
      <c r="A1655" s="51"/>
      <c r="B1655" s="52"/>
      <c r="C1655" s="52"/>
      <c r="D1655" s="52"/>
      <c r="E1655" s="53"/>
      <c r="F1655" s="52"/>
      <c r="G1655" s="52"/>
      <c r="H1655" s="52"/>
      <c r="I1655" s="53"/>
      <c r="J1655" s="52"/>
      <c r="K1655" s="52"/>
      <c r="L1655" s="52"/>
      <c r="M1655" s="52"/>
      <c r="N1655" s="19"/>
      <c r="O1655" s="19"/>
      <c r="P1655" s="19"/>
      <c r="Q1655" s="19"/>
      <c r="R1655" s="19"/>
      <c r="S1655" s="19"/>
      <c r="T1655" s="19"/>
      <c r="U1655" s="19"/>
      <c r="V1655" s="19"/>
      <c r="W1655" s="19"/>
      <c r="X1655" s="19"/>
      <c r="Y1655" s="19"/>
      <c r="Z1655" s="19"/>
      <c r="AA1655" s="19"/>
      <c r="AB1655" s="19"/>
      <c r="AC1655" s="19"/>
      <c r="AD1655" s="19"/>
      <c r="AE1655" s="19"/>
      <c r="AF1655" s="19"/>
      <c r="AG1655" s="19"/>
      <c r="AH1655" s="19"/>
      <c r="AI1655" s="19"/>
      <c r="AJ1655" s="19"/>
      <c r="AK1655" s="19"/>
      <c r="AL1655" s="19"/>
      <c r="AM1655" s="19"/>
      <c r="AN1655" s="19"/>
      <c r="AO1655" s="19"/>
      <c r="AP1655" s="19"/>
      <c r="AQ1655" s="19"/>
      <c r="AR1655" s="19"/>
      <c r="AS1655" s="19"/>
      <c r="AT1655" s="19"/>
      <c r="AU1655" s="19"/>
      <c r="AV1655" s="19"/>
      <c r="AW1655" s="19"/>
      <c r="AX1655" s="19"/>
      <c r="GA1655" s="54"/>
    </row>
    <row r="1656" spans="1:183" s="18" customFormat="1">
      <c r="A1656" s="51"/>
      <c r="B1656" s="52"/>
      <c r="C1656" s="52"/>
      <c r="D1656" s="52"/>
      <c r="E1656" s="53"/>
      <c r="F1656" s="52"/>
      <c r="G1656" s="52"/>
      <c r="H1656" s="52"/>
      <c r="I1656" s="53"/>
      <c r="J1656" s="52"/>
      <c r="K1656" s="52"/>
      <c r="L1656" s="52"/>
      <c r="M1656" s="52"/>
      <c r="N1656" s="19"/>
      <c r="O1656" s="19"/>
      <c r="P1656" s="19"/>
      <c r="Q1656" s="19"/>
      <c r="R1656" s="19"/>
      <c r="S1656" s="19"/>
      <c r="T1656" s="19"/>
      <c r="U1656" s="19"/>
      <c r="V1656" s="19"/>
      <c r="W1656" s="19"/>
      <c r="X1656" s="19"/>
      <c r="Y1656" s="19"/>
      <c r="Z1656" s="19"/>
      <c r="AA1656" s="19"/>
      <c r="AB1656" s="19"/>
      <c r="AC1656" s="19"/>
      <c r="AD1656" s="19"/>
      <c r="AE1656" s="19"/>
      <c r="AF1656" s="19"/>
      <c r="AG1656" s="19"/>
      <c r="AH1656" s="19"/>
      <c r="AI1656" s="19"/>
      <c r="AJ1656" s="19"/>
      <c r="AK1656" s="19"/>
      <c r="AL1656" s="19"/>
      <c r="AM1656" s="19"/>
      <c r="AN1656" s="19"/>
      <c r="AO1656" s="19"/>
      <c r="AP1656" s="19"/>
      <c r="AQ1656" s="19"/>
      <c r="AR1656" s="19"/>
      <c r="AS1656" s="19"/>
      <c r="AT1656" s="19"/>
      <c r="AU1656" s="19"/>
      <c r="AV1656" s="19"/>
      <c r="AW1656" s="19"/>
      <c r="AX1656" s="19"/>
      <c r="GA1656" s="54"/>
    </row>
    <row r="1657" spans="1:183" s="18" customFormat="1">
      <c r="A1657" s="51"/>
      <c r="B1657" s="52"/>
      <c r="C1657" s="52"/>
      <c r="D1657" s="52"/>
      <c r="E1657" s="53"/>
      <c r="F1657" s="52"/>
      <c r="G1657" s="52"/>
      <c r="H1657" s="52"/>
      <c r="I1657" s="53"/>
      <c r="J1657" s="52"/>
      <c r="K1657" s="52"/>
      <c r="L1657" s="52"/>
      <c r="M1657" s="52"/>
      <c r="N1657" s="19"/>
      <c r="O1657" s="19"/>
      <c r="P1657" s="19"/>
      <c r="Q1657" s="19"/>
      <c r="R1657" s="19"/>
      <c r="S1657" s="19"/>
      <c r="T1657" s="19"/>
      <c r="U1657" s="19"/>
      <c r="V1657" s="19"/>
      <c r="W1657" s="19"/>
      <c r="X1657" s="19"/>
      <c r="Y1657" s="19"/>
      <c r="Z1657" s="19"/>
      <c r="AA1657" s="19"/>
      <c r="AB1657" s="19"/>
      <c r="AC1657" s="19"/>
      <c r="AD1657" s="19"/>
      <c r="AE1657" s="19"/>
      <c r="AF1657" s="19"/>
      <c r="AG1657" s="19"/>
      <c r="AH1657" s="19"/>
      <c r="AI1657" s="19"/>
      <c r="AJ1657" s="19"/>
      <c r="AK1657" s="19"/>
      <c r="AL1657" s="19"/>
      <c r="AM1657" s="19"/>
      <c r="AN1657" s="19"/>
      <c r="AO1657" s="19"/>
      <c r="AP1657" s="19"/>
      <c r="AQ1657" s="19"/>
      <c r="AR1657" s="19"/>
      <c r="AS1657" s="19"/>
      <c r="AT1657" s="19"/>
      <c r="AU1657" s="19"/>
      <c r="AV1657" s="19"/>
      <c r="AW1657" s="19"/>
      <c r="AX1657" s="19"/>
      <c r="GA1657" s="54"/>
    </row>
    <row r="1658" spans="1:183" s="18" customFormat="1">
      <c r="A1658" s="51"/>
      <c r="B1658" s="52"/>
      <c r="C1658" s="52"/>
      <c r="D1658" s="52"/>
      <c r="E1658" s="53"/>
      <c r="F1658" s="52"/>
      <c r="G1658" s="52"/>
      <c r="H1658" s="52"/>
      <c r="I1658" s="53"/>
      <c r="J1658" s="52"/>
      <c r="K1658" s="52"/>
      <c r="L1658" s="52"/>
      <c r="M1658" s="52"/>
      <c r="N1658" s="19"/>
      <c r="O1658" s="19"/>
      <c r="P1658" s="19"/>
      <c r="Q1658" s="19"/>
      <c r="R1658" s="19"/>
      <c r="S1658" s="19"/>
      <c r="T1658" s="19"/>
      <c r="U1658" s="19"/>
      <c r="V1658" s="19"/>
      <c r="W1658" s="19"/>
      <c r="X1658" s="19"/>
      <c r="Y1658" s="19"/>
      <c r="Z1658" s="19"/>
      <c r="AA1658" s="19"/>
      <c r="AB1658" s="19"/>
      <c r="AC1658" s="19"/>
      <c r="AD1658" s="19"/>
      <c r="AE1658" s="19"/>
      <c r="AF1658" s="19"/>
      <c r="AG1658" s="19"/>
      <c r="AH1658" s="19"/>
      <c r="AI1658" s="19"/>
      <c r="AJ1658" s="19"/>
      <c r="AK1658" s="19"/>
      <c r="AL1658" s="19"/>
      <c r="AM1658" s="19"/>
      <c r="AN1658" s="19"/>
      <c r="AO1658" s="19"/>
      <c r="AP1658" s="19"/>
      <c r="AQ1658" s="19"/>
      <c r="AR1658" s="19"/>
      <c r="AS1658" s="19"/>
      <c r="AT1658" s="19"/>
      <c r="AU1658" s="19"/>
      <c r="AV1658" s="19"/>
      <c r="AW1658" s="19"/>
      <c r="AX1658" s="19"/>
      <c r="GA1658" s="54"/>
    </row>
    <row r="1659" spans="1:183" s="18" customFormat="1">
      <c r="A1659" s="51"/>
      <c r="B1659" s="52"/>
      <c r="C1659" s="52"/>
      <c r="D1659" s="52"/>
      <c r="E1659" s="53"/>
      <c r="F1659" s="52"/>
      <c r="G1659" s="52"/>
      <c r="H1659" s="52"/>
      <c r="I1659" s="53"/>
      <c r="J1659" s="52"/>
      <c r="K1659" s="52"/>
      <c r="L1659" s="52"/>
      <c r="M1659" s="52"/>
      <c r="N1659" s="19"/>
      <c r="O1659" s="19"/>
      <c r="P1659" s="19"/>
      <c r="Q1659" s="19"/>
      <c r="R1659" s="19"/>
      <c r="S1659" s="19"/>
      <c r="T1659" s="19"/>
      <c r="U1659" s="19"/>
      <c r="V1659" s="19"/>
      <c r="W1659" s="19"/>
      <c r="X1659" s="19"/>
      <c r="Y1659" s="19"/>
      <c r="Z1659" s="19"/>
      <c r="AA1659" s="19"/>
      <c r="AB1659" s="19"/>
      <c r="AC1659" s="19"/>
      <c r="AD1659" s="19"/>
      <c r="AE1659" s="19"/>
      <c r="AF1659" s="19"/>
      <c r="AG1659" s="19"/>
      <c r="AH1659" s="19"/>
      <c r="AI1659" s="19"/>
      <c r="AJ1659" s="19"/>
      <c r="AK1659" s="19"/>
      <c r="AL1659" s="19"/>
      <c r="AM1659" s="19"/>
      <c r="AN1659" s="19"/>
      <c r="AO1659" s="19"/>
      <c r="AP1659" s="19"/>
      <c r="AQ1659" s="19"/>
      <c r="AR1659" s="19"/>
      <c r="AS1659" s="19"/>
      <c r="AT1659" s="19"/>
      <c r="AU1659" s="19"/>
      <c r="AV1659" s="19"/>
      <c r="AW1659" s="19"/>
      <c r="AX1659" s="19"/>
      <c r="GA1659" s="54"/>
    </row>
    <row r="1660" spans="1:183" s="18" customFormat="1">
      <c r="A1660" s="51"/>
      <c r="B1660" s="52"/>
      <c r="C1660" s="52"/>
      <c r="D1660" s="52"/>
      <c r="E1660" s="53"/>
      <c r="F1660" s="52"/>
      <c r="G1660" s="52"/>
      <c r="H1660" s="52"/>
      <c r="I1660" s="53"/>
      <c r="J1660" s="52"/>
      <c r="K1660" s="52"/>
      <c r="L1660" s="52"/>
      <c r="M1660" s="52"/>
      <c r="N1660" s="19"/>
      <c r="O1660" s="19"/>
      <c r="P1660" s="19"/>
      <c r="Q1660" s="19"/>
      <c r="R1660" s="19"/>
      <c r="S1660" s="19"/>
      <c r="T1660" s="19"/>
      <c r="U1660" s="19"/>
      <c r="V1660" s="19"/>
      <c r="W1660" s="19"/>
      <c r="X1660" s="19"/>
      <c r="Y1660" s="19"/>
      <c r="Z1660" s="19"/>
      <c r="AA1660" s="19"/>
      <c r="AB1660" s="19"/>
      <c r="AC1660" s="19"/>
      <c r="AD1660" s="19"/>
      <c r="AE1660" s="19"/>
      <c r="AF1660" s="19"/>
      <c r="AG1660" s="19"/>
      <c r="AH1660" s="19"/>
      <c r="AI1660" s="19"/>
      <c r="AJ1660" s="19"/>
      <c r="AK1660" s="19"/>
      <c r="AL1660" s="19"/>
      <c r="AM1660" s="19"/>
      <c r="AN1660" s="19"/>
      <c r="AO1660" s="19"/>
      <c r="AP1660" s="19"/>
      <c r="AQ1660" s="19"/>
      <c r="AR1660" s="19"/>
      <c r="AS1660" s="19"/>
      <c r="AT1660" s="19"/>
      <c r="AU1660" s="19"/>
      <c r="AV1660" s="19"/>
      <c r="AW1660" s="19"/>
      <c r="AX1660" s="19"/>
      <c r="GA1660" s="54"/>
    </row>
    <row r="1661" spans="1:183" s="18" customFormat="1">
      <c r="A1661" s="51"/>
      <c r="B1661" s="52"/>
      <c r="C1661" s="52"/>
      <c r="D1661" s="52"/>
      <c r="E1661" s="53"/>
      <c r="F1661" s="52"/>
      <c r="G1661" s="52"/>
      <c r="H1661" s="52"/>
      <c r="I1661" s="53"/>
      <c r="J1661" s="52"/>
      <c r="K1661" s="52"/>
      <c r="L1661" s="52"/>
      <c r="M1661" s="52"/>
      <c r="N1661" s="19"/>
      <c r="O1661" s="19"/>
      <c r="P1661" s="19"/>
      <c r="Q1661" s="19"/>
      <c r="R1661" s="19"/>
      <c r="S1661" s="19"/>
      <c r="T1661" s="19"/>
      <c r="U1661" s="19"/>
      <c r="V1661" s="19"/>
      <c r="W1661" s="19"/>
      <c r="X1661" s="19"/>
      <c r="Y1661" s="19"/>
      <c r="Z1661" s="19"/>
      <c r="AA1661" s="19"/>
      <c r="AB1661" s="19"/>
      <c r="AC1661" s="19"/>
      <c r="AD1661" s="19"/>
      <c r="AE1661" s="19"/>
      <c r="AF1661" s="19"/>
      <c r="AG1661" s="19"/>
      <c r="AH1661" s="19"/>
      <c r="AI1661" s="19"/>
      <c r="AJ1661" s="19"/>
      <c r="AK1661" s="19"/>
      <c r="AL1661" s="19"/>
      <c r="AM1661" s="19"/>
      <c r="AN1661" s="19"/>
      <c r="AO1661" s="19"/>
      <c r="AP1661" s="19"/>
      <c r="AQ1661" s="19"/>
      <c r="AR1661" s="19"/>
      <c r="AS1661" s="19"/>
      <c r="AT1661" s="19"/>
      <c r="AU1661" s="19"/>
      <c r="AV1661" s="19"/>
      <c r="AW1661" s="19"/>
      <c r="AX1661" s="19"/>
      <c r="GA1661" s="54"/>
    </row>
    <row r="1662" spans="1:183" s="18" customFormat="1">
      <c r="A1662" s="51"/>
      <c r="B1662" s="52"/>
      <c r="C1662" s="52"/>
      <c r="D1662" s="52"/>
      <c r="E1662" s="53"/>
      <c r="F1662" s="52"/>
      <c r="G1662" s="52"/>
      <c r="H1662" s="52"/>
      <c r="I1662" s="53"/>
      <c r="J1662" s="52"/>
      <c r="K1662" s="52"/>
      <c r="L1662" s="52"/>
      <c r="M1662" s="52"/>
      <c r="N1662" s="19"/>
      <c r="O1662" s="19"/>
      <c r="P1662" s="19"/>
      <c r="Q1662" s="19"/>
      <c r="R1662" s="19"/>
      <c r="S1662" s="19"/>
      <c r="T1662" s="19"/>
      <c r="U1662" s="19"/>
      <c r="V1662" s="19"/>
      <c r="W1662" s="19"/>
      <c r="X1662" s="19"/>
      <c r="Y1662" s="19"/>
      <c r="Z1662" s="19"/>
      <c r="AA1662" s="19"/>
      <c r="AB1662" s="19"/>
      <c r="AC1662" s="19"/>
      <c r="AD1662" s="19"/>
      <c r="AE1662" s="19"/>
      <c r="AF1662" s="19"/>
      <c r="AG1662" s="19"/>
      <c r="AH1662" s="19"/>
      <c r="AI1662" s="19"/>
      <c r="AJ1662" s="19"/>
      <c r="AK1662" s="19"/>
      <c r="AL1662" s="19"/>
      <c r="AM1662" s="19"/>
      <c r="AN1662" s="19"/>
      <c r="AO1662" s="19"/>
      <c r="AP1662" s="19"/>
      <c r="AQ1662" s="19"/>
      <c r="AR1662" s="19"/>
      <c r="AS1662" s="19"/>
      <c r="AT1662" s="19"/>
      <c r="AU1662" s="19"/>
      <c r="AV1662" s="19"/>
      <c r="AW1662" s="19"/>
      <c r="AX1662" s="19"/>
      <c r="GA1662" s="54"/>
    </row>
    <row r="1663" spans="1:183" s="18" customFormat="1">
      <c r="A1663" s="51"/>
      <c r="B1663" s="52"/>
      <c r="C1663" s="52"/>
      <c r="D1663" s="52"/>
      <c r="E1663" s="53"/>
      <c r="F1663" s="52"/>
      <c r="G1663" s="52"/>
      <c r="H1663" s="52"/>
      <c r="I1663" s="53"/>
      <c r="J1663" s="52"/>
      <c r="K1663" s="52"/>
      <c r="L1663" s="52"/>
      <c r="M1663" s="52"/>
      <c r="N1663" s="19"/>
      <c r="O1663" s="19"/>
      <c r="P1663" s="19"/>
      <c r="Q1663" s="19"/>
      <c r="R1663" s="19"/>
      <c r="S1663" s="19"/>
      <c r="T1663" s="19"/>
      <c r="U1663" s="19"/>
      <c r="V1663" s="19"/>
      <c r="W1663" s="19"/>
      <c r="X1663" s="19"/>
      <c r="Y1663" s="19"/>
      <c r="Z1663" s="19"/>
      <c r="AA1663" s="19"/>
      <c r="AB1663" s="19"/>
      <c r="AC1663" s="19"/>
      <c r="AD1663" s="19"/>
      <c r="AE1663" s="19"/>
      <c r="AF1663" s="19"/>
      <c r="AG1663" s="19"/>
      <c r="AH1663" s="19"/>
      <c r="AI1663" s="19"/>
      <c r="AJ1663" s="19"/>
      <c r="AK1663" s="19"/>
      <c r="AL1663" s="19"/>
      <c r="AM1663" s="19"/>
      <c r="AN1663" s="19"/>
      <c r="AO1663" s="19"/>
      <c r="AP1663" s="19"/>
      <c r="AQ1663" s="19"/>
      <c r="AR1663" s="19"/>
      <c r="AS1663" s="19"/>
      <c r="AT1663" s="19"/>
      <c r="AU1663" s="19"/>
      <c r="AV1663" s="19"/>
      <c r="AW1663" s="19"/>
      <c r="AX1663" s="19"/>
      <c r="GA1663" s="54"/>
    </row>
    <row r="1664" spans="1:183" s="18" customFormat="1">
      <c r="A1664" s="51"/>
      <c r="B1664" s="52"/>
      <c r="C1664" s="52"/>
      <c r="D1664" s="52"/>
      <c r="E1664" s="53"/>
      <c r="F1664" s="52"/>
      <c r="G1664" s="52"/>
      <c r="H1664" s="52"/>
      <c r="I1664" s="53"/>
      <c r="J1664" s="52"/>
      <c r="K1664" s="52"/>
      <c r="L1664" s="52"/>
      <c r="M1664" s="52"/>
      <c r="N1664" s="19"/>
      <c r="O1664" s="19"/>
      <c r="P1664" s="19"/>
      <c r="Q1664" s="19"/>
      <c r="R1664" s="19"/>
      <c r="S1664" s="19"/>
      <c r="T1664" s="19"/>
      <c r="U1664" s="19"/>
      <c r="V1664" s="19"/>
      <c r="W1664" s="19"/>
      <c r="X1664" s="19"/>
      <c r="Y1664" s="19"/>
      <c r="Z1664" s="19"/>
      <c r="AA1664" s="19"/>
      <c r="AB1664" s="19"/>
      <c r="AC1664" s="19"/>
      <c r="AD1664" s="19"/>
      <c r="AE1664" s="19"/>
      <c r="AF1664" s="19"/>
      <c r="AG1664" s="19"/>
      <c r="AH1664" s="19"/>
      <c r="AI1664" s="19"/>
      <c r="AJ1664" s="19"/>
      <c r="AK1664" s="19"/>
      <c r="AL1664" s="19"/>
      <c r="AM1664" s="19"/>
      <c r="AN1664" s="19"/>
      <c r="AO1664" s="19"/>
      <c r="AP1664" s="19"/>
      <c r="AQ1664" s="19"/>
      <c r="AR1664" s="19"/>
      <c r="AS1664" s="19"/>
      <c r="AT1664" s="19"/>
      <c r="AU1664" s="19"/>
      <c r="AV1664" s="19"/>
      <c r="AW1664" s="19"/>
      <c r="AX1664" s="19"/>
      <c r="GA1664" s="54"/>
    </row>
    <row r="1665" spans="1:183" s="18" customFormat="1">
      <c r="A1665" s="51"/>
      <c r="B1665" s="52"/>
      <c r="C1665" s="52"/>
      <c r="D1665" s="52"/>
      <c r="E1665" s="53"/>
      <c r="F1665" s="52"/>
      <c r="G1665" s="52"/>
      <c r="H1665" s="52"/>
      <c r="I1665" s="53"/>
      <c r="J1665" s="52"/>
      <c r="K1665" s="52"/>
      <c r="L1665" s="52"/>
      <c r="M1665" s="52"/>
      <c r="N1665" s="19"/>
      <c r="O1665" s="19"/>
      <c r="P1665" s="19"/>
      <c r="Q1665" s="19"/>
      <c r="R1665" s="19"/>
      <c r="S1665" s="19"/>
      <c r="T1665" s="19"/>
      <c r="U1665" s="19"/>
      <c r="V1665" s="19"/>
      <c r="W1665" s="19"/>
      <c r="X1665" s="19"/>
      <c r="Y1665" s="19"/>
      <c r="Z1665" s="19"/>
      <c r="AA1665" s="19"/>
      <c r="AB1665" s="19"/>
      <c r="AC1665" s="19"/>
      <c r="AD1665" s="19"/>
      <c r="AE1665" s="19"/>
      <c r="AF1665" s="19"/>
      <c r="AG1665" s="19"/>
      <c r="AH1665" s="19"/>
      <c r="AI1665" s="19"/>
      <c r="AJ1665" s="19"/>
      <c r="AK1665" s="19"/>
      <c r="AL1665" s="19"/>
      <c r="AM1665" s="19"/>
      <c r="AN1665" s="19"/>
      <c r="AO1665" s="19"/>
      <c r="AP1665" s="19"/>
      <c r="AQ1665" s="19"/>
      <c r="AR1665" s="19"/>
      <c r="AS1665" s="19"/>
      <c r="AT1665" s="19"/>
      <c r="AU1665" s="19"/>
      <c r="AV1665" s="19"/>
      <c r="AW1665" s="19"/>
      <c r="AX1665" s="19"/>
      <c r="GA1665" s="54"/>
    </row>
    <row r="1666" spans="1:183" s="18" customFormat="1">
      <c r="A1666" s="51"/>
      <c r="B1666" s="52"/>
      <c r="C1666" s="52"/>
      <c r="D1666" s="52"/>
      <c r="E1666" s="53"/>
      <c r="F1666" s="52"/>
      <c r="G1666" s="52"/>
      <c r="H1666" s="52"/>
      <c r="I1666" s="53"/>
      <c r="J1666" s="52"/>
      <c r="K1666" s="52"/>
      <c r="L1666" s="52"/>
      <c r="M1666" s="52"/>
      <c r="N1666" s="19"/>
      <c r="O1666" s="19"/>
      <c r="P1666" s="19"/>
      <c r="Q1666" s="19"/>
      <c r="R1666" s="19"/>
      <c r="S1666" s="19"/>
      <c r="T1666" s="19"/>
      <c r="U1666" s="19"/>
      <c r="V1666" s="19"/>
      <c r="W1666" s="19"/>
      <c r="X1666" s="19"/>
      <c r="Y1666" s="19"/>
      <c r="Z1666" s="19"/>
      <c r="AA1666" s="19"/>
      <c r="AB1666" s="19"/>
      <c r="AC1666" s="19"/>
      <c r="AD1666" s="19"/>
      <c r="AE1666" s="19"/>
      <c r="AF1666" s="19"/>
      <c r="AG1666" s="19"/>
      <c r="AH1666" s="19"/>
      <c r="AI1666" s="19"/>
      <c r="AJ1666" s="19"/>
      <c r="AK1666" s="19"/>
      <c r="AL1666" s="19"/>
      <c r="AM1666" s="19"/>
      <c r="AN1666" s="19"/>
      <c r="AO1666" s="19"/>
      <c r="AP1666" s="19"/>
      <c r="AQ1666" s="19"/>
      <c r="AR1666" s="19"/>
      <c r="AS1666" s="19"/>
      <c r="AT1666" s="19"/>
      <c r="AU1666" s="19"/>
      <c r="AV1666" s="19"/>
      <c r="AW1666" s="19"/>
      <c r="AX1666" s="19"/>
      <c r="GA1666" s="54"/>
    </row>
    <row r="1667" spans="1:183" s="18" customFormat="1">
      <c r="A1667" s="51"/>
      <c r="B1667" s="52"/>
      <c r="C1667" s="52"/>
      <c r="D1667" s="52"/>
      <c r="E1667" s="53"/>
      <c r="F1667" s="52"/>
      <c r="G1667" s="52"/>
      <c r="H1667" s="52"/>
      <c r="I1667" s="53"/>
      <c r="J1667" s="52"/>
      <c r="K1667" s="52"/>
      <c r="L1667" s="52"/>
      <c r="M1667" s="52"/>
      <c r="N1667" s="19"/>
      <c r="O1667" s="19"/>
      <c r="P1667" s="19"/>
      <c r="Q1667" s="19"/>
      <c r="R1667" s="19"/>
      <c r="S1667" s="19"/>
      <c r="T1667" s="19"/>
      <c r="U1667" s="19"/>
      <c r="V1667" s="19"/>
      <c r="W1667" s="19"/>
      <c r="X1667" s="19"/>
      <c r="Y1667" s="19"/>
      <c r="Z1667" s="19"/>
      <c r="AA1667" s="19"/>
      <c r="AB1667" s="19"/>
      <c r="AC1667" s="19"/>
      <c r="AD1667" s="19"/>
      <c r="AE1667" s="19"/>
      <c r="AF1667" s="19"/>
      <c r="AG1667" s="19"/>
      <c r="AH1667" s="19"/>
      <c r="AI1667" s="19"/>
      <c r="AJ1667" s="19"/>
      <c r="AK1667" s="19"/>
      <c r="AL1667" s="19"/>
      <c r="AM1667" s="19"/>
      <c r="AN1667" s="19"/>
      <c r="AO1667" s="19"/>
      <c r="AP1667" s="19"/>
      <c r="AQ1667" s="19"/>
      <c r="AR1667" s="19"/>
      <c r="AS1667" s="19"/>
      <c r="AT1667" s="19"/>
      <c r="AU1667" s="19"/>
      <c r="AV1667" s="19"/>
      <c r="AW1667" s="19"/>
      <c r="AX1667" s="19"/>
      <c r="GA1667" s="54"/>
    </row>
    <row r="1668" spans="1:183" s="18" customFormat="1">
      <c r="A1668" s="51"/>
      <c r="B1668" s="52"/>
      <c r="C1668" s="52"/>
      <c r="D1668" s="52"/>
      <c r="E1668" s="53"/>
      <c r="F1668" s="52"/>
      <c r="G1668" s="52"/>
      <c r="H1668" s="52"/>
      <c r="I1668" s="53"/>
      <c r="J1668" s="52"/>
      <c r="K1668" s="52"/>
      <c r="L1668" s="52"/>
      <c r="M1668" s="52"/>
      <c r="N1668" s="19"/>
      <c r="O1668" s="19"/>
      <c r="P1668" s="19"/>
      <c r="Q1668" s="19"/>
      <c r="R1668" s="19"/>
      <c r="S1668" s="19"/>
      <c r="T1668" s="19"/>
      <c r="U1668" s="19"/>
      <c r="V1668" s="19"/>
      <c r="W1668" s="19"/>
      <c r="X1668" s="19"/>
      <c r="Y1668" s="19"/>
      <c r="Z1668" s="19"/>
      <c r="AA1668" s="19"/>
      <c r="AB1668" s="19"/>
      <c r="AC1668" s="19"/>
      <c r="AD1668" s="19"/>
      <c r="AE1668" s="19"/>
      <c r="AF1668" s="19"/>
      <c r="AG1668" s="19"/>
      <c r="AH1668" s="19"/>
      <c r="AI1668" s="19"/>
      <c r="AJ1668" s="19"/>
      <c r="AK1668" s="19"/>
      <c r="AL1668" s="19"/>
      <c r="AM1668" s="19"/>
      <c r="AN1668" s="19"/>
      <c r="AO1668" s="19"/>
      <c r="AP1668" s="19"/>
      <c r="AQ1668" s="19"/>
      <c r="AR1668" s="19"/>
      <c r="AS1668" s="19"/>
      <c r="AT1668" s="19"/>
      <c r="AU1668" s="19"/>
      <c r="AV1668" s="19"/>
      <c r="AW1668" s="19"/>
      <c r="AX1668" s="19"/>
      <c r="GA1668" s="54"/>
    </row>
    <row r="1669" spans="1:183" s="18" customFormat="1">
      <c r="A1669" s="51"/>
      <c r="B1669" s="52"/>
      <c r="C1669" s="52"/>
      <c r="D1669" s="52"/>
      <c r="E1669" s="53"/>
      <c r="F1669" s="52"/>
      <c r="G1669" s="52"/>
      <c r="H1669" s="52"/>
      <c r="I1669" s="53"/>
      <c r="J1669" s="52"/>
      <c r="K1669" s="52"/>
      <c r="L1669" s="52"/>
      <c r="M1669" s="52"/>
      <c r="N1669" s="19"/>
      <c r="O1669" s="19"/>
      <c r="P1669" s="19"/>
      <c r="Q1669" s="19"/>
      <c r="R1669" s="19"/>
      <c r="S1669" s="19"/>
      <c r="T1669" s="19"/>
      <c r="U1669" s="19"/>
      <c r="V1669" s="19"/>
      <c r="W1669" s="19"/>
      <c r="X1669" s="19"/>
      <c r="Y1669" s="19"/>
      <c r="Z1669" s="19"/>
      <c r="AA1669" s="19"/>
      <c r="AB1669" s="19"/>
      <c r="AC1669" s="19"/>
      <c r="AD1669" s="19"/>
      <c r="AE1669" s="19"/>
      <c r="AF1669" s="19"/>
      <c r="AG1669" s="19"/>
      <c r="AH1669" s="19"/>
      <c r="AI1669" s="19"/>
      <c r="AJ1669" s="19"/>
      <c r="AK1669" s="19"/>
      <c r="AL1669" s="19"/>
      <c r="AM1669" s="19"/>
      <c r="AN1669" s="19"/>
      <c r="AO1669" s="19"/>
      <c r="AP1669" s="19"/>
      <c r="AQ1669" s="19"/>
      <c r="AR1669" s="19"/>
      <c r="AS1669" s="19"/>
      <c r="AT1669" s="19"/>
      <c r="AU1669" s="19"/>
      <c r="AV1669" s="19"/>
      <c r="AW1669" s="19"/>
      <c r="AX1669" s="19"/>
      <c r="GA1669" s="54"/>
    </row>
    <row r="1670" spans="1:183" s="18" customFormat="1">
      <c r="A1670" s="51"/>
      <c r="B1670" s="52"/>
      <c r="C1670" s="52"/>
      <c r="D1670" s="52"/>
      <c r="E1670" s="53"/>
      <c r="F1670" s="52"/>
      <c r="G1670" s="52"/>
      <c r="H1670" s="52"/>
      <c r="I1670" s="53"/>
      <c r="J1670" s="52"/>
      <c r="K1670" s="52"/>
      <c r="L1670" s="52"/>
      <c r="M1670" s="52"/>
      <c r="N1670" s="19"/>
      <c r="O1670" s="19"/>
      <c r="P1670" s="19"/>
      <c r="Q1670" s="19"/>
      <c r="R1670" s="19"/>
      <c r="S1670" s="19"/>
      <c r="T1670" s="19"/>
      <c r="U1670" s="19"/>
      <c r="V1670" s="19"/>
      <c r="W1670" s="19"/>
      <c r="X1670" s="19"/>
      <c r="Y1670" s="19"/>
      <c r="Z1670" s="19"/>
      <c r="AA1670" s="19"/>
      <c r="AB1670" s="19"/>
      <c r="AC1670" s="19"/>
      <c r="AD1670" s="19"/>
      <c r="AE1670" s="19"/>
      <c r="AF1670" s="19"/>
      <c r="AG1670" s="19"/>
      <c r="AH1670" s="19"/>
      <c r="AI1670" s="19"/>
      <c r="AJ1670" s="19"/>
      <c r="AK1670" s="19"/>
      <c r="AL1670" s="19"/>
      <c r="AM1670" s="19"/>
      <c r="AN1670" s="19"/>
      <c r="AO1670" s="19"/>
      <c r="AP1670" s="19"/>
      <c r="AQ1670" s="19"/>
      <c r="AR1670" s="19"/>
      <c r="AS1670" s="19"/>
      <c r="AT1670" s="19"/>
      <c r="AU1670" s="19"/>
      <c r="AV1670" s="19"/>
      <c r="AW1670" s="19"/>
      <c r="AX1670" s="19"/>
      <c r="GA1670" s="54"/>
    </row>
    <row r="1671" spans="1:183" s="18" customFormat="1">
      <c r="A1671" s="51"/>
      <c r="B1671" s="52"/>
      <c r="C1671" s="52"/>
      <c r="D1671" s="52"/>
      <c r="E1671" s="53"/>
      <c r="F1671" s="52"/>
      <c r="G1671" s="52"/>
      <c r="H1671" s="52"/>
      <c r="I1671" s="53"/>
      <c r="J1671" s="52"/>
      <c r="K1671" s="52"/>
      <c r="L1671" s="52"/>
      <c r="M1671" s="52"/>
      <c r="N1671" s="19"/>
      <c r="O1671" s="19"/>
      <c r="P1671" s="19"/>
      <c r="Q1671" s="19"/>
      <c r="R1671" s="19"/>
      <c r="S1671" s="19"/>
      <c r="T1671" s="19"/>
      <c r="U1671" s="19"/>
      <c r="V1671" s="19"/>
      <c r="W1671" s="19"/>
      <c r="X1671" s="19"/>
      <c r="Y1671" s="19"/>
      <c r="Z1671" s="19"/>
      <c r="AA1671" s="19"/>
      <c r="AB1671" s="19"/>
      <c r="AC1671" s="19"/>
      <c r="AD1671" s="19"/>
      <c r="AE1671" s="19"/>
      <c r="AF1671" s="19"/>
      <c r="AG1671" s="19"/>
      <c r="AH1671" s="19"/>
      <c r="AI1671" s="19"/>
      <c r="AJ1671" s="19"/>
      <c r="AK1671" s="19"/>
      <c r="AL1671" s="19"/>
      <c r="AM1671" s="19"/>
      <c r="AN1671" s="19"/>
      <c r="AO1671" s="19"/>
      <c r="AP1671" s="19"/>
      <c r="AQ1671" s="19"/>
      <c r="AR1671" s="19"/>
      <c r="AS1671" s="19"/>
      <c r="AT1671" s="19"/>
      <c r="AU1671" s="19"/>
      <c r="AV1671" s="19"/>
      <c r="AW1671" s="19"/>
      <c r="AX1671" s="19"/>
      <c r="GA1671" s="54"/>
    </row>
    <row r="1672" spans="1:183" s="18" customFormat="1">
      <c r="A1672" s="51"/>
      <c r="B1672" s="52"/>
      <c r="C1672" s="52"/>
      <c r="D1672" s="52"/>
      <c r="E1672" s="53"/>
      <c r="F1672" s="52"/>
      <c r="G1672" s="52"/>
      <c r="H1672" s="52"/>
      <c r="I1672" s="53"/>
      <c r="J1672" s="52"/>
      <c r="K1672" s="52"/>
      <c r="L1672" s="52"/>
      <c r="M1672" s="52"/>
      <c r="N1672" s="19"/>
      <c r="O1672" s="19"/>
      <c r="P1672" s="19"/>
      <c r="Q1672" s="19"/>
      <c r="R1672" s="19"/>
      <c r="S1672" s="19"/>
      <c r="T1672" s="19"/>
      <c r="U1672" s="19"/>
      <c r="V1672" s="19"/>
      <c r="W1672" s="19"/>
      <c r="X1672" s="19"/>
      <c r="Y1672" s="19"/>
      <c r="Z1672" s="19"/>
      <c r="AA1672" s="19"/>
      <c r="AB1672" s="19"/>
      <c r="AC1672" s="19"/>
      <c r="AD1672" s="19"/>
      <c r="AE1672" s="19"/>
      <c r="AF1672" s="19"/>
      <c r="AG1672" s="19"/>
      <c r="AH1672" s="19"/>
      <c r="AI1672" s="19"/>
      <c r="AJ1672" s="19"/>
      <c r="AK1672" s="19"/>
      <c r="AL1672" s="19"/>
      <c r="AM1672" s="19"/>
      <c r="AN1672" s="19"/>
      <c r="AO1672" s="19"/>
      <c r="AP1672" s="19"/>
      <c r="AQ1672" s="19"/>
      <c r="AR1672" s="19"/>
      <c r="AS1672" s="19"/>
      <c r="AT1672" s="19"/>
      <c r="AU1672" s="19"/>
      <c r="AV1672" s="19"/>
      <c r="AW1672" s="19"/>
      <c r="AX1672" s="19"/>
      <c r="GA1672" s="54"/>
    </row>
    <row r="1673" spans="1:183" s="18" customFormat="1">
      <c r="A1673" s="51"/>
      <c r="B1673" s="52"/>
      <c r="C1673" s="52"/>
      <c r="D1673" s="52"/>
      <c r="E1673" s="53"/>
      <c r="F1673" s="52"/>
      <c r="G1673" s="52"/>
      <c r="H1673" s="52"/>
      <c r="I1673" s="53"/>
      <c r="J1673" s="52"/>
      <c r="K1673" s="52"/>
      <c r="L1673" s="52"/>
      <c r="M1673" s="52"/>
      <c r="N1673" s="19"/>
      <c r="O1673" s="19"/>
      <c r="P1673" s="19"/>
      <c r="Q1673" s="19"/>
      <c r="R1673" s="19"/>
      <c r="S1673" s="19"/>
      <c r="T1673" s="19"/>
      <c r="U1673" s="19"/>
      <c r="V1673" s="19"/>
      <c r="W1673" s="19"/>
      <c r="X1673" s="19"/>
      <c r="Y1673" s="19"/>
      <c r="Z1673" s="19"/>
      <c r="AA1673" s="19"/>
      <c r="AB1673" s="19"/>
      <c r="AC1673" s="19"/>
      <c r="AD1673" s="19"/>
      <c r="AE1673" s="19"/>
      <c r="AF1673" s="19"/>
      <c r="AG1673" s="19"/>
      <c r="AH1673" s="19"/>
      <c r="AI1673" s="19"/>
      <c r="AJ1673" s="19"/>
      <c r="AK1673" s="19"/>
      <c r="AL1673" s="19"/>
      <c r="AM1673" s="19"/>
      <c r="AN1673" s="19"/>
      <c r="AO1673" s="19"/>
      <c r="AP1673" s="19"/>
      <c r="AQ1673" s="19"/>
      <c r="AR1673" s="19"/>
      <c r="AS1673" s="19"/>
      <c r="AT1673" s="19"/>
      <c r="AU1673" s="19"/>
      <c r="AV1673" s="19"/>
      <c r="AW1673" s="19"/>
      <c r="AX1673" s="19"/>
      <c r="GA1673" s="54"/>
    </row>
    <row r="1674" spans="1:183" s="18" customFormat="1">
      <c r="A1674" s="51"/>
      <c r="B1674" s="52"/>
      <c r="C1674" s="52"/>
      <c r="D1674" s="52"/>
      <c r="E1674" s="53"/>
      <c r="F1674" s="52"/>
      <c r="G1674" s="52"/>
      <c r="H1674" s="52"/>
      <c r="I1674" s="53"/>
      <c r="J1674" s="52"/>
      <c r="K1674" s="52"/>
      <c r="L1674" s="52"/>
      <c r="M1674" s="52"/>
      <c r="N1674" s="19"/>
      <c r="O1674" s="19"/>
      <c r="P1674" s="19"/>
      <c r="Q1674" s="19"/>
      <c r="R1674" s="19"/>
      <c r="S1674" s="19"/>
      <c r="T1674" s="19"/>
      <c r="U1674" s="19"/>
      <c r="V1674" s="19"/>
      <c r="W1674" s="19"/>
      <c r="X1674" s="19"/>
      <c r="Y1674" s="19"/>
      <c r="Z1674" s="19"/>
      <c r="AA1674" s="19"/>
      <c r="AB1674" s="19"/>
      <c r="AC1674" s="19"/>
      <c r="AD1674" s="19"/>
      <c r="AE1674" s="19"/>
      <c r="AF1674" s="19"/>
      <c r="AG1674" s="19"/>
      <c r="AH1674" s="19"/>
      <c r="AI1674" s="19"/>
      <c r="AJ1674" s="19"/>
      <c r="AK1674" s="19"/>
      <c r="AL1674" s="19"/>
      <c r="AM1674" s="19"/>
      <c r="AN1674" s="19"/>
      <c r="AO1674" s="19"/>
      <c r="AP1674" s="19"/>
      <c r="AQ1674" s="19"/>
      <c r="AR1674" s="19"/>
      <c r="AS1674" s="19"/>
      <c r="AT1674" s="19"/>
      <c r="AU1674" s="19"/>
      <c r="AV1674" s="19"/>
      <c r="AW1674" s="19"/>
      <c r="AX1674" s="19"/>
      <c r="GA1674" s="54"/>
    </row>
    <row r="1675" spans="1:183" s="18" customFormat="1">
      <c r="A1675" s="51"/>
      <c r="B1675" s="52"/>
      <c r="C1675" s="52"/>
      <c r="D1675" s="52"/>
      <c r="E1675" s="53"/>
      <c r="F1675" s="52"/>
      <c r="G1675" s="52"/>
      <c r="H1675" s="52"/>
      <c r="I1675" s="53"/>
      <c r="J1675" s="52"/>
      <c r="K1675" s="52"/>
      <c r="L1675" s="52"/>
      <c r="M1675" s="52"/>
      <c r="N1675" s="19"/>
      <c r="O1675" s="19"/>
      <c r="P1675" s="19"/>
      <c r="Q1675" s="19"/>
      <c r="R1675" s="19"/>
      <c r="S1675" s="19"/>
      <c r="T1675" s="19"/>
      <c r="U1675" s="19"/>
      <c r="V1675" s="19"/>
      <c r="W1675" s="19"/>
      <c r="X1675" s="19"/>
      <c r="Y1675" s="19"/>
      <c r="Z1675" s="19"/>
      <c r="AA1675" s="19"/>
      <c r="AB1675" s="19"/>
      <c r="AC1675" s="19"/>
      <c r="AD1675" s="19"/>
      <c r="AE1675" s="19"/>
      <c r="AF1675" s="19"/>
      <c r="AG1675" s="19"/>
      <c r="AH1675" s="19"/>
      <c r="AI1675" s="19"/>
      <c r="AJ1675" s="19"/>
      <c r="AK1675" s="19"/>
      <c r="AL1675" s="19"/>
      <c r="AM1675" s="19"/>
      <c r="AN1675" s="19"/>
      <c r="AO1675" s="19"/>
      <c r="AP1675" s="19"/>
      <c r="AQ1675" s="19"/>
      <c r="AR1675" s="19"/>
      <c r="AS1675" s="19"/>
      <c r="AT1675" s="19"/>
      <c r="AU1675" s="19"/>
      <c r="AV1675" s="19"/>
      <c r="AW1675" s="19"/>
      <c r="AX1675" s="19"/>
      <c r="GA1675" s="54"/>
    </row>
    <row r="1676" spans="1:183" s="18" customFormat="1">
      <c r="A1676" s="51"/>
      <c r="B1676" s="52"/>
      <c r="C1676" s="52"/>
      <c r="D1676" s="52"/>
      <c r="E1676" s="53"/>
      <c r="F1676" s="52"/>
      <c r="G1676" s="52"/>
      <c r="H1676" s="52"/>
      <c r="I1676" s="53"/>
      <c r="J1676" s="52"/>
      <c r="K1676" s="52"/>
      <c r="L1676" s="52"/>
      <c r="M1676" s="52"/>
      <c r="N1676" s="19"/>
      <c r="O1676" s="19"/>
      <c r="P1676" s="19"/>
      <c r="Q1676" s="19"/>
      <c r="R1676" s="19"/>
      <c r="S1676" s="19"/>
      <c r="T1676" s="19"/>
      <c r="U1676" s="19"/>
      <c r="V1676" s="19"/>
      <c r="W1676" s="19"/>
      <c r="X1676" s="19"/>
      <c r="Y1676" s="19"/>
      <c r="Z1676" s="19"/>
      <c r="AA1676" s="19"/>
      <c r="AB1676" s="19"/>
      <c r="AC1676" s="19"/>
      <c r="AD1676" s="19"/>
      <c r="AE1676" s="19"/>
      <c r="AF1676" s="19"/>
      <c r="AG1676" s="19"/>
      <c r="AH1676" s="19"/>
      <c r="AI1676" s="19"/>
      <c r="AJ1676" s="19"/>
      <c r="AK1676" s="19"/>
      <c r="AL1676" s="19"/>
      <c r="AM1676" s="19"/>
      <c r="AN1676" s="19"/>
      <c r="AO1676" s="19"/>
      <c r="AP1676" s="19"/>
      <c r="AQ1676" s="19"/>
      <c r="AR1676" s="19"/>
      <c r="AS1676" s="19"/>
      <c r="AT1676" s="19"/>
      <c r="AU1676" s="19"/>
      <c r="AV1676" s="19"/>
      <c r="AW1676" s="19"/>
      <c r="AX1676" s="19"/>
      <c r="GA1676" s="54"/>
    </row>
    <row r="1677" spans="1:183" s="18" customFormat="1">
      <c r="A1677" s="51"/>
      <c r="B1677" s="52"/>
      <c r="C1677" s="52"/>
      <c r="D1677" s="52"/>
      <c r="E1677" s="53"/>
      <c r="F1677" s="52"/>
      <c r="G1677" s="52"/>
      <c r="H1677" s="52"/>
      <c r="I1677" s="53"/>
      <c r="J1677" s="52"/>
      <c r="K1677" s="52"/>
      <c r="L1677" s="52"/>
      <c r="M1677" s="52"/>
      <c r="N1677" s="19"/>
      <c r="O1677" s="19"/>
      <c r="P1677" s="19"/>
      <c r="Q1677" s="19"/>
      <c r="R1677" s="19"/>
      <c r="S1677" s="19"/>
      <c r="T1677" s="19"/>
      <c r="U1677" s="19"/>
      <c r="V1677" s="19"/>
      <c r="W1677" s="19"/>
      <c r="X1677" s="19"/>
      <c r="Y1677" s="19"/>
      <c r="Z1677" s="19"/>
      <c r="AA1677" s="19"/>
      <c r="AB1677" s="19"/>
      <c r="AC1677" s="19"/>
      <c r="AD1677" s="19"/>
      <c r="AE1677" s="19"/>
      <c r="AF1677" s="19"/>
      <c r="AG1677" s="19"/>
      <c r="AH1677" s="19"/>
      <c r="AI1677" s="19"/>
      <c r="AJ1677" s="19"/>
      <c r="AK1677" s="19"/>
      <c r="AL1677" s="19"/>
      <c r="AM1677" s="19"/>
      <c r="AN1677" s="19"/>
      <c r="AO1677" s="19"/>
      <c r="AP1677" s="19"/>
      <c r="AQ1677" s="19"/>
      <c r="AR1677" s="19"/>
      <c r="AS1677" s="19"/>
      <c r="AT1677" s="19"/>
      <c r="AU1677" s="19"/>
      <c r="AV1677" s="19"/>
      <c r="AW1677" s="19"/>
      <c r="AX1677" s="19"/>
      <c r="GA1677" s="54"/>
    </row>
    <row r="1678" spans="1:183" s="18" customFormat="1">
      <c r="A1678" s="51"/>
      <c r="B1678" s="52"/>
      <c r="C1678" s="52"/>
      <c r="D1678" s="52"/>
      <c r="E1678" s="53"/>
      <c r="F1678" s="52"/>
      <c r="G1678" s="52"/>
      <c r="H1678" s="52"/>
      <c r="I1678" s="53"/>
      <c r="J1678" s="52"/>
      <c r="K1678" s="52"/>
      <c r="L1678" s="52"/>
      <c r="M1678" s="52"/>
      <c r="N1678" s="19"/>
      <c r="O1678" s="19"/>
      <c r="P1678" s="19"/>
      <c r="Q1678" s="19"/>
      <c r="R1678" s="19"/>
      <c r="S1678" s="19"/>
      <c r="T1678" s="19"/>
      <c r="U1678" s="19"/>
      <c r="V1678" s="19"/>
      <c r="W1678" s="19"/>
      <c r="X1678" s="19"/>
      <c r="Y1678" s="19"/>
      <c r="Z1678" s="19"/>
      <c r="AA1678" s="19"/>
      <c r="AB1678" s="19"/>
      <c r="AC1678" s="19"/>
      <c r="AD1678" s="19"/>
      <c r="AE1678" s="19"/>
      <c r="AF1678" s="19"/>
      <c r="AG1678" s="19"/>
      <c r="AH1678" s="19"/>
      <c r="AI1678" s="19"/>
      <c r="AJ1678" s="19"/>
      <c r="AK1678" s="19"/>
      <c r="AL1678" s="19"/>
      <c r="AM1678" s="19"/>
      <c r="AN1678" s="19"/>
      <c r="AO1678" s="19"/>
      <c r="AP1678" s="19"/>
      <c r="AQ1678" s="19"/>
      <c r="AR1678" s="19"/>
      <c r="AS1678" s="19"/>
      <c r="AT1678" s="19"/>
      <c r="AU1678" s="19"/>
      <c r="AV1678" s="19"/>
      <c r="AW1678" s="19"/>
      <c r="AX1678" s="19"/>
      <c r="GA1678" s="54"/>
    </row>
    <row r="1679" spans="1:183" s="18" customFormat="1">
      <c r="A1679" s="51"/>
      <c r="B1679" s="52"/>
      <c r="C1679" s="52"/>
      <c r="D1679" s="52"/>
      <c r="E1679" s="53"/>
      <c r="F1679" s="52"/>
      <c r="G1679" s="52"/>
      <c r="H1679" s="52"/>
      <c r="I1679" s="53"/>
      <c r="J1679" s="52"/>
      <c r="K1679" s="52"/>
      <c r="L1679" s="52"/>
      <c r="M1679" s="52"/>
      <c r="N1679" s="19"/>
      <c r="O1679" s="19"/>
      <c r="P1679" s="19"/>
      <c r="Q1679" s="19"/>
      <c r="R1679" s="19"/>
      <c r="S1679" s="19"/>
      <c r="T1679" s="19"/>
      <c r="U1679" s="19"/>
      <c r="V1679" s="19"/>
      <c r="W1679" s="19"/>
      <c r="X1679" s="19"/>
      <c r="Y1679" s="19"/>
      <c r="Z1679" s="19"/>
      <c r="AA1679" s="19"/>
      <c r="AB1679" s="19"/>
      <c r="AC1679" s="19"/>
      <c r="AD1679" s="19"/>
      <c r="AE1679" s="19"/>
      <c r="AF1679" s="19"/>
      <c r="AG1679" s="19"/>
      <c r="AH1679" s="19"/>
      <c r="AI1679" s="19"/>
      <c r="AJ1679" s="19"/>
      <c r="AK1679" s="19"/>
      <c r="AL1679" s="19"/>
      <c r="AM1679" s="19"/>
      <c r="AN1679" s="19"/>
      <c r="AO1679" s="19"/>
      <c r="AP1679" s="19"/>
      <c r="AQ1679" s="19"/>
      <c r="AR1679" s="19"/>
      <c r="AS1679" s="19"/>
      <c r="AT1679" s="19"/>
      <c r="AU1679" s="19"/>
      <c r="AV1679" s="19"/>
      <c r="AW1679" s="19"/>
      <c r="AX1679" s="19"/>
      <c r="GA1679" s="54"/>
    </row>
    <row r="1680" spans="1:183" s="18" customFormat="1">
      <c r="A1680" s="51"/>
      <c r="B1680" s="52"/>
      <c r="C1680" s="52"/>
      <c r="D1680" s="52"/>
      <c r="E1680" s="53"/>
      <c r="F1680" s="52"/>
      <c r="G1680" s="52"/>
      <c r="H1680" s="52"/>
      <c r="I1680" s="53"/>
      <c r="J1680" s="52"/>
      <c r="K1680" s="52"/>
      <c r="L1680" s="52"/>
      <c r="M1680" s="52"/>
      <c r="N1680" s="19"/>
      <c r="O1680" s="19"/>
      <c r="P1680" s="19"/>
      <c r="Q1680" s="19"/>
      <c r="R1680" s="19"/>
      <c r="S1680" s="19"/>
      <c r="T1680" s="19"/>
      <c r="U1680" s="19"/>
      <c r="V1680" s="19"/>
      <c r="W1680" s="19"/>
      <c r="X1680" s="19"/>
      <c r="Y1680" s="19"/>
      <c r="Z1680" s="19"/>
      <c r="AA1680" s="19"/>
      <c r="AB1680" s="19"/>
      <c r="AC1680" s="19"/>
      <c r="AD1680" s="19"/>
      <c r="AE1680" s="19"/>
      <c r="AF1680" s="19"/>
      <c r="AG1680" s="19"/>
      <c r="AH1680" s="19"/>
      <c r="AI1680" s="19"/>
      <c r="AJ1680" s="19"/>
      <c r="AK1680" s="19"/>
      <c r="AL1680" s="19"/>
      <c r="AM1680" s="19"/>
      <c r="AN1680" s="19"/>
      <c r="AO1680" s="19"/>
      <c r="AP1680" s="19"/>
      <c r="AQ1680" s="19"/>
      <c r="AR1680" s="19"/>
      <c r="AS1680" s="19"/>
      <c r="AT1680" s="19"/>
      <c r="AU1680" s="19"/>
      <c r="AV1680" s="19"/>
      <c r="AW1680" s="19"/>
      <c r="AX1680" s="19"/>
      <c r="GA1680" s="54"/>
    </row>
    <row r="1681" spans="1:183" s="18" customFormat="1">
      <c r="A1681" s="51"/>
      <c r="B1681" s="52"/>
      <c r="C1681" s="52"/>
      <c r="D1681" s="52"/>
      <c r="E1681" s="53"/>
      <c r="F1681" s="52"/>
      <c r="G1681" s="52"/>
      <c r="H1681" s="52"/>
      <c r="I1681" s="53"/>
      <c r="J1681" s="52"/>
      <c r="K1681" s="52"/>
      <c r="L1681" s="52"/>
      <c r="M1681" s="52"/>
      <c r="N1681" s="19"/>
      <c r="O1681" s="19"/>
      <c r="P1681" s="19"/>
      <c r="Q1681" s="19"/>
      <c r="R1681" s="19"/>
      <c r="S1681" s="19"/>
      <c r="T1681" s="19"/>
      <c r="U1681" s="19"/>
      <c r="V1681" s="19"/>
      <c r="W1681" s="19"/>
      <c r="X1681" s="19"/>
      <c r="Y1681" s="19"/>
      <c r="Z1681" s="19"/>
      <c r="AA1681" s="19"/>
      <c r="AB1681" s="19"/>
      <c r="AC1681" s="19"/>
      <c r="AD1681" s="19"/>
      <c r="AE1681" s="19"/>
      <c r="AF1681" s="19"/>
      <c r="AG1681" s="19"/>
      <c r="AH1681" s="19"/>
      <c r="AI1681" s="19"/>
      <c r="AJ1681" s="19"/>
      <c r="AK1681" s="19"/>
      <c r="AL1681" s="19"/>
      <c r="AM1681" s="19"/>
      <c r="AN1681" s="19"/>
      <c r="AO1681" s="19"/>
      <c r="AP1681" s="19"/>
      <c r="AQ1681" s="19"/>
      <c r="AR1681" s="19"/>
      <c r="AS1681" s="19"/>
      <c r="AT1681" s="19"/>
      <c r="AU1681" s="19"/>
      <c r="AV1681" s="19"/>
      <c r="AW1681" s="19"/>
      <c r="AX1681" s="19"/>
      <c r="GA1681" s="54"/>
    </row>
    <row r="1682" spans="1:183" s="18" customFormat="1">
      <c r="A1682" s="51"/>
      <c r="B1682" s="52"/>
      <c r="C1682" s="52"/>
      <c r="D1682" s="52"/>
      <c r="E1682" s="53"/>
      <c r="F1682" s="52"/>
      <c r="G1682" s="52"/>
      <c r="H1682" s="52"/>
      <c r="I1682" s="53"/>
      <c r="J1682" s="52"/>
      <c r="K1682" s="52"/>
      <c r="L1682" s="52"/>
      <c r="M1682" s="52"/>
      <c r="N1682" s="19"/>
      <c r="O1682" s="19"/>
      <c r="P1682" s="19"/>
      <c r="Q1682" s="19"/>
      <c r="R1682" s="19"/>
      <c r="S1682" s="19"/>
      <c r="T1682" s="19"/>
      <c r="U1682" s="19"/>
      <c r="V1682" s="19"/>
      <c r="W1682" s="19"/>
      <c r="X1682" s="19"/>
      <c r="Y1682" s="19"/>
      <c r="Z1682" s="19"/>
      <c r="AA1682" s="19"/>
      <c r="AB1682" s="19"/>
      <c r="AC1682" s="19"/>
      <c r="AD1682" s="19"/>
      <c r="AE1682" s="19"/>
      <c r="AF1682" s="19"/>
      <c r="AG1682" s="19"/>
      <c r="AH1682" s="19"/>
      <c r="AI1682" s="19"/>
      <c r="AJ1682" s="19"/>
      <c r="AK1682" s="19"/>
      <c r="AL1682" s="19"/>
      <c r="AM1682" s="19"/>
      <c r="AN1682" s="19"/>
      <c r="AO1682" s="19"/>
      <c r="AP1682" s="19"/>
      <c r="AQ1682" s="19"/>
      <c r="AR1682" s="19"/>
      <c r="AS1682" s="19"/>
      <c r="AT1682" s="19"/>
      <c r="AU1682" s="19"/>
      <c r="AV1682" s="19"/>
      <c r="AW1682" s="19"/>
      <c r="AX1682" s="19"/>
      <c r="GA1682" s="54"/>
    </row>
    <row r="1683" spans="1:183" s="18" customFormat="1">
      <c r="A1683" s="51"/>
      <c r="B1683" s="52"/>
      <c r="C1683" s="52"/>
      <c r="D1683" s="52"/>
      <c r="E1683" s="53"/>
      <c r="F1683" s="52"/>
      <c r="G1683" s="52"/>
      <c r="H1683" s="52"/>
      <c r="I1683" s="53"/>
      <c r="J1683" s="52"/>
      <c r="K1683" s="52"/>
      <c r="L1683" s="52"/>
      <c r="M1683" s="52"/>
      <c r="N1683" s="19"/>
      <c r="O1683" s="19"/>
      <c r="P1683" s="19"/>
      <c r="Q1683" s="19"/>
      <c r="R1683" s="19"/>
      <c r="S1683" s="19"/>
      <c r="T1683" s="19"/>
      <c r="U1683" s="19"/>
      <c r="V1683" s="19"/>
      <c r="W1683" s="19"/>
      <c r="X1683" s="19"/>
      <c r="Y1683" s="19"/>
      <c r="Z1683" s="19"/>
      <c r="AA1683" s="19"/>
      <c r="AB1683" s="19"/>
      <c r="AC1683" s="19"/>
      <c r="AD1683" s="19"/>
      <c r="AE1683" s="19"/>
      <c r="AF1683" s="19"/>
      <c r="AG1683" s="19"/>
      <c r="AH1683" s="19"/>
      <c r="AI1683" s="19"/>
      <c r="AJ1683" s="19"/>
      <c r="AK1683" s="19"/>
      <c r="AL1683" s="19"/>
      <c r="AM1683" s="19"/>
      <c r="AN1683" s="19"/>
      <c r="AO1683" s="19"/>
      <c r="AP1683" s="19"/>
      <c r="AQ1683" s="19"/>
      <c r="AR1683" s="19"/>
      <c r="AS1683" s="19"/>
      <c r="AT1683" s="19"/>
      <c r="AU1683" s="19"/>
      <c r="AV1683" s="19"/>
      <c r="AW1683" s="19"/>
      <c r="AX1683" s="19"/>
      <c r="GA1683" s="54"/>
    </row>
    <row r="1684" spans="1:183" s="18" customFormat="1">
      <c r="A1684" s="51"/>
      <c r="B1684" s="52"/>
      <c r="C1684" s="52"/>
      <c r="D1684" s="52"/>
      <c r="E1684" s="53"/>
      <c r="F1684" s="52"/>
      <c r="G1684" s="52"/>
      <c r="H1684" s="52"/>
      <c r="I1684" s="53"/>
      <c r="J1684" s="52"/>
      <c r="K1684" s="52"/>
      <c r="L1684" s="52"/>
      <c r="M1684" s="52"/>
      <c r="N1684" s="19"/>
      <c r="O1684" s="19"/>
      <c r="P1684" s="19"/>
      <c r="Q1684" s="19"/>
      <c r="R1684" s="19"/>
      <c r="S1684" s="19"/>
      <c r="T1684" s="19"/>
      <c r="U1684" s="19"/>
      <c r="V1684" s="19"/>
      <c r="W1684" s="19"/>
      <c r="X1684" s="19"/>
      <c r="Y1684" s="19"/>
      <c r="Z1684" s="19"/>
      <c r="AA1684" s="19"/>
      <c r="AB1684" s="19"/>
      <c r="AC1684" s="19"/>
      <c r="AD1684" s="19"/>
      <c r="AE1684" s="19"/>
      <c r="AF1684" s="19"/>
      <c r="AG1684" s="19"/>
      <c r="AH1684" s="19"/>
      <c r="AI1684" s="19"/>
      <c r="AJ1684" s="19"/>
      <c r="AK1684" s="19"/>
      <c r="AL1684" s="19"/>
      <c r="AM1684" s="19"/>
      <c r="AN1684" s="19"/>
      <c r="AO1684" s="19"/>
      <c r="AP1684" s="19"/>
      <c r="AQ1684" s="19"/>
      <c r="AR1684" s="19"/>
      <c r="AS1684" s="19"/>
      <c r="AT1684" s="19"/>
      <c r="AU1684" s="19"/>
      <c r="AV1684" s="19"/>
      <c r="AW1684" s="19"/>
      <c r="AX1684" s="19"/>
      <c r="GA1684" s="54"/>
    </row>
    <row r="1685" spans="1:183" s="18" customFormat="1">
      <c r="A1685" s="51"/>
      <c r="B1685" s="52"/>
      <c r="C1685" s="52"/>
      <c r="D1685" s="52"/>
      <c r="E1685" s="53"/>
      <c r="F1685" s="52"/>
      <c r="G1685" s="52"/>
      <c r="H1685" s="52"/>
      <c r="I1685" s="53"/>
      <c r="J1685" s="52"/>
      <c r="K1685" s="52"/>
      <c r="L1685" s="52"/>
      <c r="M1685" s="52"/>
      <c r="N1685" s="19"/>
      <c r="O1685" s="19"/>
      <c r="P1685" s="19"/>
      <c r="Q1685" s="19"/>
      <c r="R1685" s="19"/>
      <c r="S1685" s="19"/>
      <c r="T1685" s="19"/>
      <c r="U1685" s="19"/>
      <c r="V1685" s="19"/>
      <c r="W1685" s="19"/>
      <c r="X1685" s="19"/>
      <c r="Y1685" s="19"/>
      <c r="Z1685" s="19"/>
      <c r="AA1685" s="19"/>
      <c r="AB1685" s="19"/>
      <c r="AC1685" s="19"/>
      <c r="AD1685" s="19"/>
      <c r="AE1685" s="19"/>
      <c r="AF1685" s="19"/>
      <c r="AG1685" s="19"/>
      <c r="AH1685" s="19"/>
      <c r="AI1685" s="19"/>
      <c r="AJ1685" s="19"/>
      <c r="AK1685" s="19"/>
      <c r="AL1685" s="19"/>
      <c r="AM1685" s="19"/>
      <c r="AN1685" s="19"/>
      <c r="AO1685" s="19"/>
      <c r="AP1685" s="19"/>
      <c r="AQ1685" s="19"/>
      <c r="AR1685" s="19"/>
      <c r="AS1685" s="19"/>
      <c r="AT1685" s="19"/>
      <c r="AU1685" s="19"/>
      <c r="AV1685" s="19"/>
      <c r="AW1685" s="19"/>
      <c r="AX1685" s="19"/>
      <c r="GA1685" s="54"/>
    </row>
    <row r="1686" spans="1:183" s="18" customFormat="1">
      <c r="A1686" s="51"/>
      <c r="B1686" s="52"/>
      <c r="C1686" s="52"/>
      <c r="D1686" s="52"/>
      <c r="E1686" s="53"/>
      <c r="F1686" s="52"/>
      <c r="G1686" s="52"/>
      <c r="H1686" s="52"/>
      <c r="I1686" s="53"/>
      <c r="J1686" s="52"/>
      <c r="K1686" s="52"/>
      <c r="L1686" s="52"/>
      <c r="M1686" s="52"/>
      <c r="N1686" s="19"/>
      <c r="O1686" s="19"/>
      <c r="P1686" s="19"/>
      <c r="Q1686" s="19"/>
      <c r="R1686" s="19"/>
      <c r="S1686" s="19"/>
      <c r="T1686" s="19"/>
      <c r="U1686" s="19"/>
      <c r="V1686" s="19"/>
      <c r="W1686" s="19"/>
      <c r="X1686" s="19"/>
      <c r="Y1686" s="19"/>
      <c r="Z1686" s="19"/>
      <c r="AA1686" s="19"/>
      <c r="AB1686" s="19"/>
      <c r="AC1686" s="19"/>
      <c r="AD1686" s="19"/>
      <c r="AE1686" s="19"/>
      <c r="AF1686" s="19"/>
      <c r="AG1686" s="19"/>
      <c r="AH1686" s="19"/>
      <c r="AI1686" s="19"/>
      <c r="AJ1686" s="19"/>
      <c r="AK1686" s="19"/>
      <c r="AL1686" s="19"/>
      <c r="AM1686" s="19"/>
      <c r="AN1686" s="19"/>
      <c r="AO1686" s="19"/>
      <c r="AP1686" s="19"/>
      <c r="AQ1686" s="19"/>
      <c r="AR1686" s="19"/>
      <c r="AS1686" s="19"/>
      <c r="AT1686" s="19"/>
      <c r="AU1686" s="19"/>
      <c r="AV1686" s="19"/>
      <c r="AW1686" s="19"/>
      <c r="AX1686" s="19"/>
      <c r="GA1686" s="54"/>
    </row>
    <row r="1687" spans="1:183" s="18" customFormat="1">
      <c r="A1687" s="51"/>
      <c r="B1687" s="52"/>
      <c r="C1687" s="52"/>
      <c r="D1687" s="52"/>
      <c r="E1687" s="53"/>
      <c r="F1687" s="52"/>
      <c r="G1687" s="52"/>
      <c r="H1687" s="52"/>
      <c r="I1687" s="53"/>
      <c r="J1687" s="52"/>
      <c r="K1687" s="52"/>
      <c r="L1687" s="52"/>
      <c r="M1687" s="52"/>
      <c r="N1687" s="19"/>
      <c r="O1687" s="19"/>
      <c r="P1687" s="19"/>
      <c r="Q1687" s="19"/>
      <c r="R1687" s="19"/>
      <c r="S1687" s="19"/>
      <c r="T1687" s="19"/>
      <c r="U1687" s="19"/>
      <c r="V1687" s="19"/>
      <c r="W1687" s="19"/>
      <c r="X1687" s="19"/>
      <c r="Y1687" s="19"/>
      <c r="Z1687" s="19"/>
      <c r="AA1687" s="19"/>
      <c r="AB1687" s="19"/>
      <c r="AC1687" s="19"/>
      <c r="AD1687" s="19"/>
      <c r="AE1687" s="19"/>
      <c r="AF1687" s="19"/>
      <c r="AG1687" s="19"/>
      <c r="AH1687" s="19"/>
      <c r="AI1687" s="19"/>
      <c r="AJ1687" s="19"/>
      <c r="AK1687" s="19"/>
      <c r="AL1687" s="19"/>
      <c r="AM1687" s="19"/>
      <c r="AN1687" s="19"/>
      <c r="AO1687" s="19"/>
      <c r="AP1687" s="19"/>
      <c r="AQ1687" s="19"/>
      <c r="AR1687" s="19"/>
      <c r="AS1687" s="19"/>
      <c r="AT1687" s="19"/>
      <c r="AU1687" s="19"/>
      <c r="AV1687" s="19"/>
      <c r="AW1687" s="19"/>
      <c r="AX1687" s="19"/>
      <c r="GA1687" s="54"/>
    </row>
    <row r="1688" spans="1:183" s="18" customFormat="1">
      <c r="A1688" s="51"/>
      <c r="B1688" s="52"/>
      <c r="C1688" s="52"/>
      <c r="D1688" s="52"/>
      <c r="E1688" s="53"/>
      <c r="F1688" s="52"/>
      <c r="G1688" s="52"/>
      <c r="H1688" s="52"/>
      <c r="I1688" s="53"/>
      <c r="J1688" s="52"/>
      <c r="K1688" s="52"/>
      <c r="L1688" s="52"/>
      <c r="M1688" s="52"/>
      <c r="N1688" s="19"/>
      <c r="O1688" s="19"/>
      <c r="P1688" s="19"/>
      <c r="Q1688" s="19"/>
      <c r="R1688" s="19"/>
      <c r="S1688" s="19"/>
      <c r="T1688" s="19"/>
      <c r="U1688" s="19"/>
      <c r="V1688" s="19"/>
      <c r="W1688" s="19"/>
      <c r="X1688" s="19"/>
      <c r="Y1688" s="19"/>
      <c r="Z1688" s="19"/>
      <c r="AA1688" s="19"/>
      <c r="AB1688" s="19"/>
      <c r="AC1688" s="19"/>
      <c r="AD1688" s="19"/>
      <c r="AE1688" s="19"/>
      <c r="AF1688" s="19"/>
      <c r="AG1688" s="19"/>
      <c r="AH1688" s="19"/>
      <c r="AI1688" s="19"/>
      <c r="AJ1688" s="19"/>
      <c r="AK1688" s="19"/>
      <c r="AL1688" s="19"/>
      <c r="AM1688" s="19"/>
      <c r="AN1688" s="19"/>
      <c r="AO1688" s="19"/>
      <c r="AP1688" s="19"/>
      <c r="AQ1688" s="19"/>
      <c r="AR1688" s="19"/>
      <c r="AS1688" s="19"/>
      <c r="AT1688" s="19"/>
      <c r="AU1688" s="19"/>
      <c r="AV1688" s="19"/>
      <c r="AW1688" s="19"/>
      <c r="AX1688" s="19"/>
      <c r="GA1688" s="54"/>
    </row>
    <row r="1689" spans="1:183" s="18" customFormat="1">
      <c r="A1689" s="51"/>
      <c r="B1689" s="52"/>
      <c r="C1689" s="52"/>
      <c r="D1689" s="52"/>
      <c r="E1689" s="53"/>
      <c r="F1689" s="52"/>
      <c r="G1689" s="52"/>
      <c r="H1689" s="52"/>
      <c r="I1689" s="53"/>
      <c r="J1689" s="52"/>
      <c r="K1689" s="52"/>
      <c r="L1689" s="52"/>
      <c r="M1689" s="52"/>
      <c r="N1689" s="19"/>
      <c r="O1689" s="19"/>
      <c r="P1689" s="19"/>
      <c r="Q1689" s="19"/>
      <c r="R1689" s="19"/>
      <c r="S1689" s="19"/>
      <c r="T1689" s="19"/>
      <c r="U1689" s="19"/>
      <c r="V1689" s="19"/>
      <c r="W1689" s="19"/>
      <c r="X1689" s="19"/>
      <c r="Y1689" s="19"/>
      <c r="Z1689" s="19"/>
      <c r="AA1689" s="19"/>
      <c r="AB1689" s="19"/>
      <c r="AC1689" s="19"/>
      <c r="AD1689" s="19"/>
      <c r="AE1689" s="19"/>
      <c r="AF1689" s="19"/>
      <c r="AG1689" s="19"/>
      <c r="AH1689" s="19"/>
      <c r="AI1689" s="19"/>
      <c r="AJ1689" s="19"/>
      <c r="AK1689" s="19"/>
      <c r="AL1689" s="19"/>
      <c r="AM1689" s="19"/>
      <c r="AN1689" s="19"/>
      <c r="AO1689" s="19"/>
      <c r="AP1689" s="19"/>
      <c r="AQ1689" s="19"/>
      <c r="AR1689" s="19"/>
      <c r="AS1689" s="19"/>
      <c r="AT1689" s="19"/>
      <c r="AU1689" s="19"/>
      <c r="AV1689" s="19"/>
      <c r="AW1689" s="19"/>
      <c r="AX1689" s="19"/>
      <c r="GA1689" s="54"/>
    </row>
    <row r="1690" spans="1:183" s="18" customFormat="1">
      <c r="A1690" s="51"/>
      <c r="B1690" s="52"/>
      <c r="C1690" s="52"/>
      <c r="D1690" s="52"/>
      <c r="E1690" s="53"/>
      <c r="F1690" s="52"/>
      <c r="G1690" s="52"/>
      <c r="H1690" s="52"/>
      <c r="I1690" s="53"/>
      <c r="J1690" s="52"/>
      <c r="K1690" s="52"/>
      <c r="L1690" s="52"/>
      <c r="M1690" s="52"/>
      <c r="N1690" s="19"/>
      <c r="O1690" s="19"/>
      <c r="P1690" s="19"/>
      <c r="Q1690" s="19"/>
      <c r="R1690" s="19"/>
      <c r="S1690" s="19"/>
      <c r="T1690" s="19"/>
      <c r="U1690" s="19"/>
      <c r="V1690" s="19"/>
      <c r="W1690" s="19"/>
      <c r="X1690" s="19"/>
      <c r="Y1690" s="19"/>
      <c r="Z1690" s="19"/>
      <c r="AA1690" s="19"/>
      <c r="AB1690" s="19"/>
      <c r="AC1690" s="19"/>
      <c r="AD1690" s="19"/>
      <c r="AE1690" s="19"/>
      <c r="AF1690" s="19"/>
      <c r="AG1690" s="19"/>
      <c r="AH1690" s="19"/>
      <c r="AI1690" s="19"/>
      <c r="AJ1690" s="19"/>
      <c r="AK1690" s="19"/>
      <c r="AL1690" s="19"/>
      <c r="AM1690" s="19"/>
      <c r="AN1690" s="19"/>
      <c r="AO1690" s="19"/>
      <c r="AP1690" s="19"/>
      <c r="AQ1690" s="19"/>
      <c r="AR1690" s="19"/>
      <c r="AS1690" s="19"/>
      <c r="AT1690" s="19"/>
      <c r="AU1690" s="19"/>
      <c r="AV1690" s="19"/>
      <c r="AW1690" s="19"/>
      <c r="AX1690" s="19"/>
      <c r="GA1690" s="54"/>
    </row>
    <row r="1691" spans="1:183" s="18" customFormat="1">
      <c r="A1691" s="51"/>
      <c r="B1691" s="52"/>
      <c r="C1691" s="52"/>
      <c r="D1691" s="52"/>
      <c r="E1691" s="53"/>
      <c r="F1691" s="52"/>
      <c r="G1691" s="52"/>
      <c r="H1691" s="52"/>
      <c r="I1691" s="53"/>
      <c r="J1691" s="52"/>
      <c r="K1691" s="52"/>
      <c r="L1691" s="52"/>
      <c r="M1691" s="52"/>
      <c r="N1691" s="19"/>
      <c r="O1691" s="19"/>
      <c r="P1691" s="19"/>
      <c r="Q1691" s="19"/>
      <c r="R1691" s="19"/>
      <c r="S1691" s="19"/>
      <c r="T1691" s="19"/>
      <c r="U1691" s="19"/>
      <c r="V1691" s="19"/>
      <c r="W1691" s="19"/>
      <c r="X1691" s="19"/>
      <c r="Y1691" s="19"/>
      <c r="Z1691" s="19"/>
      <c r="AA1691" s="19"/>
      <c r="AB1691" s="19"/>
      <c r="AC1691" s="19"/>
      <c r="AD1691" s="19"/>
      <c r="AE1691" s="19"/>
      <c r="AF1691" s="19"/>
      <c r="AG1691" s="19"/>
      <c r="AH1691" s="19"/>
      <c r="AI1691" s="19"/>
      <c r="AJ1691" s="19"/>
      <c r="AK1691" s="19"/>
      <c r="AL1691" s="19"/>
      <c r="AM1691" s="19"/>
      <c r="AN1691" s="19"/>
      <c r="AO1691" s="19"/>
      <c r="AP1691" s="19"/>
      <c r="AQ1691" s="19"/>
      <c r="AR1691" s="19"/>
      <c r="AS1691" s="19"/>
      <c r="AT1691" s="19"/>
      <c r="AU1691" s="19"/>
      <c r="AV1691" s="19"/>
      <c r="AW1691" s="19"/>
      <c r="AX1691" s="19"/>
      <c r="GA1691" s="54"/>
    </row>
    <row r="1692" spans="1:183" s="18" customFormat="1">
      <c r="A1692" s="51"/>
      <c r="B1692" s="52"/>
      <c r="C1692" s="52"/>
      <c r="D1692" s="52"/>
      <c r="E1692" s="53"/>
      <c r="F1692" s="52"/>
      <c r="G1692" s="52"/>
      <c r="H1692" s="52"/>
      <c r="I1692" s="53"/>
      <c r="J1692" s="52"/>
      <c r="K1692" s="52"/>
      <c r="L1692" s="52"/>
      <c r="M1692" s="52"/>
      <c r="N1692" s="19"/>
      <c r="O1692" s="19"/>
      <c r="P1692" s="19"/>
      <c r="Q1692" s="19"/>
      <c r="R1692" s="19"/>
      <c r="S1692" s="19"/>
      <c r="T1692" s="19"/>
      <c r="U1692" s="19"/>
      <c r="V1692" s="19"/>
      <c r="W1692" s="19"/>
      <c r="X1692" s="19"/>
      <c r="Y1692" s="19"/>
      <c r="Z1692" s="19"/>
      <c r="AA1692" s="19"/>
      <c r="AB1692" s="19"/>
      <c r="AC1692" s="19"/>
      <c r="AD1692" s="19"/>
      <c r="AE1692" s="19"/>
      <c r="AF1692" s="19"/>
      <c r="AG1692" s="19"/>
      <c r="AH1692" s="19"/>
      <c r="AI1692" s="19"/>
      <c r="AJ1692" s="19"/>
      <c r="AK1692" s="19"/>
      <c r="AL1692" s="19"/>
      <c r="AM1692" s="19"/>
      <c r="AN1692" s="19"/>
      <c r="AO1692" s="19"/>
      <c r="AP1692" s="19"/>
      <c r="AQ1692" s="19"/>
      <c r="AR1692" s="19"/>
      <c r="AS1692" s="19"/>
      <c r="AT1692" s="19"/>
      <c r="AU1692" s="19"/>
      <c r="AV1692" s="19"/>
      <c r="AW1692" s="19"/>
      <c r="AX1692" s="19"/>
      <c r="GA1692" s="54"/>
    </row>
    <row r="1693" spans="1:183" s="18" customFormat="1">
      <c r="A1693" s="51"/>
      <c r="B1693" s="52"/>
      <c r="C1693" s="52"/>
      <c r="D1693" s="52"/>
      <c r="E1693" s="53"/>
      <c r="F1693" s="52"/>
      <c r="G1693" s="52"/>
      <c r="H1693" s="52"/>
      <c r="I1693" s="53"/>
      <c r="J1693" s="52"/>
      <c r="K1693" s="52"/>
      <c r="L1693" s="52"/>
      <c r="M1693" s="52"/>
      <c r="N1693" s="19"/>
      <c r="O1693" s="19"/>
      <c r="P1693" s="19"/>
      <c r="Q1693" s="19"/>
      <c r="R1693" s="19"/>
      <c r="S1693" s="19"/>
      <c r="T1693" s="19"/>
      <c r="U1693" s="19"/>
      <c r="V1693" s="19"/>
      <c r="W1693" s="19"/>
      <c r="X1693" s="19"/>
      <c r="Y1693" s="19"/>
      <c r="Z1693" s="19"/>
      <c r="AA1693" s="19"/>
      <c r="AB1693" s="19"/>
      <c r="AC1693" s="19"/>
      <c r="AD1693" s="19"/>
      <c r="AE1693" s="19"/>
      <c r="AF1693" s="19"/>
      <c r="AG1693" s="19"/>
      <c r="AH1693" s="19"/>
      <c r="AI1693" s="19"/>
      <c r="AJ1693" s="19"/>
      <c r="AK1693" s="19"/>
      <c r="AL1693" s="19"/>
      <c r="AM1693" s="19"/>
      <c r="AN1693" s="19"/>
      <c r="AO1693" s="19"/>
      <c r="AP1693" s="19"/>
      <c r="AQ1693" s="19"/>
      <c r="AR1693" s="19"/>
      <c r="AS1693" s="19"/>
      <c r="AT1693" s="19"/>
      <c r="AU1693" s="19"/>
      <c r="AV1693" s="19"/>
      <c r="AW1693" s="19"/>
      <c r="AX1693" s="19"/>
      <c r="GA1693" s="54"/>
    </row>
    <row r="1694" spans="1:183" s="18" customFormat="1">
      <c r="A1694" s="51"/>
      <c r="B1694" s="52"/>
      <c r="C1694" s="52"/>
      <c r="D1694" s="52"/>
      <c r="E1694" s="53"/>
      <c r="F1694" s="52"/>
      <c r="G1694" s="52"/>
      <c r="H1694" s="52"/>
      <c r="I1694" s="53"/>
      <c r="J1694" s="52"/>
      <c r="K1694" s="52"/>
      <c r="L1694" s="52"/>
      <c r="M1694" s="52"/>
      <c r="N1694" s="19"/>
      <c r="O1694" s="19"/>
      <c r="P1694" s="19"/>
      <c r="Q1694" s="19"/>
      <c r="R1694" s="19"/>
      <c r="S1694" s="19"/>
      <c r="T1694" s="19"/>
      <c r="U1694" s="19"/>
      <c r="V1694" s="19"/>
      <c r="W1694" s="19"/>
      <c r="X1694" s="19"/>
      <c r="Y1694" s="19"/>
      <c r="Z1694" s="19"/>
      <c r="AA1694" s="19"/>
      <c r="AB1694" s="19"/>
      <c r="AC1694" s="19"/>
      <c r="AD1694" s="19"/>
      <c r="AE1694" s="19"/>
      <c r="AF1694" s="19"/>
      <c r="AG1694" s="19"/>
      <c r="AH1694" s="19"/>
      <c r="AI1694" s="19"/>
      <c r="AJ1694" s="19"/>
      <c r="AK1694" s="19"/>
      <c r="AL1694" s="19"/>
      <c r="AM1694" s="19"/>
      <c r="AN1694" s="19"/>
      <c r="AO1694" s="19"/>
      <c r="AP1694" s="19"/>
      <c r="AQ1694" s="19"/>
      <c r="AR1694" s="19"/>
      <c r="AS1694" s="19"/>
      <c r="AT1694" s="19"/>
      <c r="AU1694" s="19"/>
      <c r="AV1694" s="19"/>
      <c r="AW1694" s="19"/>
      <c r="AX1694" s="19"/>
      <c r="GA1694" s="54"/>
    </row>
    <row r="1695" spans="1:183" s="18" customFormat="1">
      <c r="A1695" s="51"/>
      <c r="B1695" s="52"/>
      <c r="C1695" s="52"/>
      <c r="D1695" s="52"/>
      <c r="E1695" s="53"/>
      <c r="F1695" s="52"/>
      <c r="G1695" s="52"/>
      <c r="H1695" s="52"/>
      <c r="I1695" s="53"/>
      <c r="J1695" s="52"/>
      <c r="K1695" s="52"/>
      <c r="L1695" s="52"/>
      <c r="M1695" s="52"/>
      <c r="N1695" s="19"/>
      <c r="O1695" s="19"/>
      <c r="P1695" s="19"/>
      <c r="Q1695" s="19"/>
      <c r="R1695" s="19"/>
      <c r="S1695" s="19"/>
      <c r="T1695" s="19"/>
      <c r="U1695" s="19"/>
      <c r="V1695" s="19"/>
      <c r="W1695" s="19"/>
      <c r="X1695" s="19"/>
      <c r="Y1695" s="19"/>
      <c r="Z1695" s="19"/>
      <c r="AA1695" s="19"/>
      <c r="AB1695" s="19"/>
      <c r="AC1695" s="19"/>
      <c r="AD1695" s="19"/>
      <c r="AE1695" s="19"/>
      <c r="AF1695" s="19"/>
      <c r="AG1695" s="19"/>
      <c r="AH1695" s="19"/>
      <c r="AI1695" s="19"/>
      <c r="AJ1695" s="19"/>
      <c r="AK1695" s="19"/>
      <c r="AL1695" s="19"/>
      <c r="AM1695" s="19"/>
      <c r="AN1695" s="19"/>
      <c r="AO1695" s="19"/>
      <c r="AP1695" s="19"/>
      <c r="AQ1695" s="19"/>
      <c r="AR1695" s="19"/>
      <c r="AS1695" s="19"/>
      <c r="AT1695" s="19"/>
      <c r="AU1695" s="19"/>
      <c r="AV1695" s="19"/>
      <c r="AW1695" s="19"/>
      <c r="AX1695" s="19"/>
      <c r="GA1695" s="54"/>
    </row>
    <row r="1696" spans="1:183" s="18" customFormat="1">
      <c r="A1696" s="51"/>
      <c r="B1696" s="52"/>
      <c r="C1696" s="52"/>
      <c r="D1696" s="52"/>
      <c r="E1696" s="53"/>
      <c r="F1696" s="52"/>
      <c r="G1696" s="52"/>
      <c r="H1696" s="52"/>
      <c r="I1696" s="53"/>
      <c r="J1696" s="52"/>
      <c r="K1696" s="52"/>
      <c r="L1696" s="52"/>
      <c r="M1696" s="52"/>
      <c r="N1696" s="19"/>
      <c r="O1696" s="19"/>
      <c r="P1696" s="19"/>
      <c r="Q1696" s="19"/>
      <c r="R1696" s="19"/>
      <c r="S1696" s="19"/>
      <c r="T1696" s="19"/>
      <c r="U1696" s="19"/>
      <c r="V1696" s="19"/>
      <c r="W1696" s="19"/>
      <c r="X1696" s="19"/>
      <c r="Y1696" s="19"/>
      <c r="Z1696" s="19"/>
      <c r="AA1696" s="19"/>
      <c r="AB1696" s="19"/>
      <c r="AC1696" s="19"/>
      <c r="AD1696" s="19"/>
      <c r="AE1696" s="19"/>
      <c r="AF1696" s="19"/>
      <c r="AG1696" s="19"/>
      <c r="AH1696" s="19"/>
      <c r="AI1696" s="19"/>
      <c r="AJ1696" s="19"/>
      <c r="AK1696" s="19"/>
      <c r="AL1696" s="19"/>
      <c r="AM1696" s="19"/>
      <c r="AN1696" s="19"/>
      <c r="AO1696" s="19"/>
      <c r="AP1696" s="19"/>
      <c r="AQ1696" s="19"/>
      <c r="AR1696" s="19"/>
      <c r="AS1696" s="19"/>
      <c r="AT1696" s="19"/>
      <c r="AU1696" s="19"/>
      <c r="AV1696" s="19"/>
      <c r="AW1696" s="19"/>
      <c r="AX1696" s="19"/>
      <c r="GA1696" s="54"/>
    </row>
    <row r="1697" spans="1:183" s="18" customFormat="1">
      <c r="A1697" s="51"/>
      <c r="B1697" s="52"/>
      <c r="C1697" s="52"/>
      <c r="D1697" s="52"/>
      <c r="E1697" s="53"/>
      <c r="F1697" s="52"/>
      <c r="G1697" s="52"/>
      <c r="H1697" s="52"/>
      <c r="I1697" s="53"/>
      <c r="J1697" s="52"/>
      <c r="K1697" s="52"/>
      <c r="L1697" s="52"/>
      <c r="M1697" s="52"/>
      <c r="N1697" s="19"/>
      <c r="O1697" s="19"/>
      <c r="P1697" s="19"/>
      <c r="Q1697" s="19"/>
      <c r="R1697" s="19"/>
      <c r="S1697" s="19"/>
      <c r="T1697" s="19"/>
      <c r="U1697" s="19"/>
      <c r="V1697" s="19"/>
      <c r="W1697" s="19"/>
      <c r="X1697" s="19"/>
      <c r="Y1697" s="19"/>
      <c r="Z1697" s="19"/>
      <c r="AA1697" s="19"/>
      <c r="AB1697" s="19"/>
      <c r="AC1697" s="19"/>
      <c r="AD1697" s="19"/>
      <c r="AE1697" s="19"/>
      <c r="AF1697" s="19"/>
      <c r="AG1697" s="19"/>
      <c r="AH1697" s="19"/>
      <c r="AI1697" s="19"/>
      <c r="AJ1697" s="19"/>
      <c r="AK1697" s="19"/>
      <c r="AL1697" s="19"/>
      <c r="AM1697" s="19"/>
      <c r="AN1697" s="19"/>
      <c r="AO1697" s="19"/>
      <c r="AP1697" s="19"/>
      <c r="AQ1697" s="19"/>
      <c r="AR1697" s="19"/>
      <c r="AS1697" s="19"/>
      <c r="AT1697" s="19"/>
      <c r="AU1697" s="19"/>
      <c r="AV1697" s="19"/>
      <c r="AW1697" s="19"/>
      <c r="AX1697" s="19"/>
      <c r="GA1697" s="54"/>
    </row>
    <row r="1698" spans="1:183" s="18" customFormat="1">
      <c r="A1698" s="51"/>
      <c r="B1698" s="52"/>
      <c r="C1698" s="52"/>
      <c r="D1698" s="52"/>
      <c r="E1698" s="53"/>
      <c r="F1698" s="52"/>
      <c r="G1698" s="52"/>
      <c r="H1698" s="52"/>
      <c r="I1698" s="53"/>
      <c r="J1698" s="52"/>
      <c r="K1698" s="52"/>
      <c r="L1698" s="52"/>
      <c r="M1698" s="52"/>
      <c r="N1698" s="19"/>
      <c r="O1698" s="19"/>
      <c r="P1698" s="19"/>
      <c r="Q1698" s="19"/>
      <c r="R1698" s="19"/>
      <c r="S1698" s="19"/>
      <c r="T1698" s="19"/>
      <c r="U1698" s="19"/>
      <c r="V1698" s="19"/>
      <c r="W1698" s="19"/>
      <c r="X1698" s="19"/>
      <c r="Y1698" s="19"/>
      <c r="Z1698" s="19"/>
      <c r="AA1698" s="19"/>
      <c r="AB1698" s="19"/>
      <c r="AC1698" s="19"/>
      <c r="AD1698" s="19"/>
      <c r="AE1698" s="19"/>
      <c r="AF1698" s="19"/>
      <c r="AG1698" s="19"/>
      <c r="AH1698" s="19"/>
      <c r="AI1698" s="19"/>
      <c r="AJ1698" s="19"/>
      <c r="AK1698" s="19"/>
      <c r="AL1698" s="19"/>
      <c r="AM1698" s="19"/>
      <c r="AN1698" s="19"/>
      <c r="AO1698" s="19"/>
      <c r="AP1698" s="19"/>
      <c r="AQ1698" s="19"/>
      <c r="AR1698" s="19"/>
      <c r="AS1698" s="19"/>
      <c r="AT1698" s="19"/>
      <c r="AU1698" s="19"/>
      <c r="AV1698" s="19"/>
      <c r="AW1698" s="19"/>
      <c r="AX1698" s="19"/>
      <c r="GA1698" s="54"/>
    </row>
    <row r="1699" spans="1:183" s="18" customFormat="1">
      <c r="A1699" s="51"/>
      <c r="B1699" s="52"/>
      <c r="C1699" s="52"/>
      <c r="D1699" s="52"/>
      <c r="E1699" s="53"/>
      <c r="F1699" s="52"/>
      <c r="G1699" s="52"/>
      <c r="H1699" s="52"/>
      <c r="I1699" s="53"/>
      <c r="J1699" s="52"/>
      <c r="K1699" s="52"/>
      <c r="L1699" s="52"/>
      <c r="M1699" s="52"/>
      <c r="N1699" s="19"/>
      <c r="O1699" s="19"/>
      <c r="P1699" s="19"/>
      <c r="Q1699" s="19"/>
      <c r="R1699" s="19"/>
      <c r="S1699" s="19"/>
      <c r="T1699" s="19"/>
      <c r="U1699" s="19"/>
      <c r="V1699" s="19"/>
      <c r="W1699" s="19"/>
      <c r="X1699" s="19"/>
      <c r="Y1699" s="19"/>
      <c r="Z1699" s="19"/>
      <c r="AA1699" s="19"/>
      <c r="AB1699" s="19"/>
      <c r="AC1699" s="19"/>
      <c r="AD1699" s="19"/>
      <c r="AE1699" s="19"/>
      <c r="AF1699" s="19"/>
      <c r="AG1699" s="19"/>
      <c r="AH1699" s="19"/>
      <c r="AI1699" s="19"/>
      <c r="AJ1699" s="19"/>
      <c r="AK1699" s="19"/>
      <c r="AL1699" s="19"/>
      <c r="AM1699" s="19"/>
      <c r="AN1699" s="19"/>
      <c r="AO1699" s="19"/>
      <c r="AP1699" s="19"/>
      <c r="AQ1699" s="19"/>
      <c r="AR1699" s="19"/>
      <c r="AS1699" s="19"/>
      <c r="AT1699" s="19"/>
      <c r="AU1699" s="19"/>
      <c r="AV1699" s="19"/>
      <c r="AW1699" s="19"/>
      <c r="AX1699" s="19"/>
      <c r="GA1699" s="54"/>
    </row>
    <row r="1700" spans="1:183" s="18" customFormat="1">
      <c r="A1700" s="51"/>
      <c r="B1700" s="52"/>
      <c r="C1700" s="52"/>
      <c r="D1700" s="52"/>
      <c r="E1700" s="53"/>
      <c r="F1700" s="52"/>
      <c r="G1700" s="52"/>
      <c r="H1700" s="52"/>
      <c r="I1700" s="53"/>
      <c r="J1700" s="52"/>
      <c r="K1700" s="52"/>
      <c r="L1700" s="52"/>
      <c r="M1700" s="52"/>
      <c r="N1700" s="19"/>
      <c r="O1700" s="19"/>
      <c r="P1700" s="19"/>
      <c r="Q1700" s="19"/>
      <c r="R1700" s="19"/>
      <c r="S1700" s="19"/>
      <c r="T1700" s="19"/>
      <c r="U1700" s="19"/>
      <c r="V1700" s="19"/>
      <c r="W1700" s="19"/>
      <c r="X1700" s="19"/>
      <c r="Y1700" s="19"/>
      <c r="Z1700" s="19"/>
      <c r="AA1700" s="19"/>
      <c r="AB1700" s="19"/>
      <c r="AC1700" s="19"/>
      <c r="AD1700" s="19"/>
      <c r="AE1700" s="19"/>
      <c r="AF1700" s="19"/>
      <c r="AG1700" s="19"/>
      <c r="AH1700" s="19"/>
      <c r="AI1700" s="19"/>
      <c r="AJ1700" s="19"/>
      <c r="AK1700" s="19"/>
      <c r="AL1700" s="19"/>
      <c r="AM1700" s="19"/>
      <c r="AN1700" s="19"/>
      <c r="AO1700" s="19"/>
      <c r="AP1700" s="19"/>
      <c r="AQ1700" s="19"/>
      <c r="AR1700" s="19"/>
      <c r="AS1700" s="19"/>
      <c r="AT1700" s="19"/>
      <c r="AU1700" s="19"/>
      <c r="AV1700" s="19"/>
      <c r="AW1700" s="19"/>
      <c r="AX1700" s="19"/>
      <c r="GA1700" s="54"/>
    </row>
    <row r="1701" spans="1:183" s="18" customFormat="1">
      <c r="A1701" s="51"/>
      <c r="B1701" s="52"/>
      <c r="C1701" s="52"/>
      <c r="D1701" s="52"/>
      <c r="E1701" s="53"/>
      <c r="F1701" s="52"/>
      <c r="G1701" s="52"/>
      <c r="H1701" s="52"/>
      <c r="I1701" s="53"/>
      <c r="J1701" s="52"/>
      <c r="K1701" s="52"/>
      <c r="L1701" s="52"/>
      <c r="M1701" s="52"/>
      <c r="N1701" s="19"/>
      <c r="O1701" s="19"/>
      <c r="P1701" s="19"/>
      <c r="Q1701" s="19"/>
      <c r="R1701" s="19"/>
      <c r="S1701" s="19"/>
      <c r="T1701" s="19"/>
      <c r="U1701" s="19"/>
      <c r="V1701" s="19"/>
      <c r="W1701" s="19"/>
      <c r="X1701" s="19"/>
      <c r="Y1701" s="19"/>
      <c r="Z1701" s="19"/>
      <c r="AA1701" s="19"/>
      <c r="AB1701" s="19"/>
      <c r="AC1701" s="19"/>
      <c r="AD1701" s="19"/>
      <c r="AE1701" s="19"/>
      <c r="AF1701" s="19"/>
      <c r="AG1701" s="19"/>
      <c r="AH1701" s="19"/>
      <c r="AI1701" s="19"/>
      <c r="AJ1701" s="19"/>
      <c r="AK1701" s="19"/>
      <c r="AL1701" s="19"/>
      <c r="AM1701" s="19"/>
      <c r="AN1701" s="19"/>
      <c r="AO1701" s="19"/>
      <c r="AP1701" s="19"/>
      <c r="AQ1701" s="19"/>
      <c r="AR1701" s="19"/>
      <c r="AS1701" s="19"/>
      <c r="AT1701" s="19"/>
      <c r="AU1701" s="19"/>
      <c r="AV1701" s="19"/>
      <c r="AW1701" s="19"/>
      <c r="AX1701" s="19"/>
      <c r="GA1701" s="54"/>
    </row>
    <row r="1702" spans="1:183" s="18" customFormat="1">
      <c r="A1702" s="51"/>
      <c r="B1702" s="52"/>
      <c r="C1702" s="52"/>
      <c r="D1702" s="52"/>
      <c r="E1702" s="53"/>
      <c r="F1702" s="52"/>
      <c r="G1702" s="52"/>
      <c r="H1702" s="52"/>
      <c r="I1702" s="53"/>
      <c r="J1702" s="52"/>
      <c r="K1702" s="52"/>
      <c r="L1702" s="52"/>
      <c r="M1702" s="52"/>
      <c r="N1702" s="19"/>
      <c r="O1702" s="19"/>
      <c r="P1702" s="19"/>
      <c r="Q1702" s="19"/>
      <c r="R1702" s="19"/>
      <c r="S1702" s="19"/>
      <c r="T1702" s="19"/>
      <c r="U1702" s="19"/>
      <c r="V1702" s="19"/>
      <c r="W1702" s="19"/>
      <c r="X1702" s="19"/>
      <c r="Y1702" s="19"/>
      <c r="Z1702" s="19"/>
      <c r="AA1702" s="19"/>
      <c r="AB1702" s="19"/>
      <c r="AC1702" s="19"/>
      <c r="AD1702" s="19"/>
      <c r="AE1702" s="19"/>
      <c r="AF1702" s="19"/>
      <c r="AG1702" s="19"/>
      <c r="AH1702" s="19"/>
      <c r="AI1702" s="19"/>
      <c r="AJ1702" s="19"/>
      <c r="AK1702" s="19"/>
      <c r="AL1702" s="19"/>
      <c r="AM1702" s="19"/>
      <c r="AN1702" s="19"/>
      <c r="AO1702" s="19"/>
      <c r="AP1702" s="19"/>
      <c r="AQ1702" s="19"/>
      <c r="AR1702" s="19"/>
      <c r="AS1702" s="19"/>
      <c r="AT1702" s="19"/>
      <c r="AU1702" s="19"/>
      <c r="AV1702" s="19"/>
      <c r="AW1702" s="19"/>
      <c r="AX1702" s="19"/>
      <c r="GA1702" s="54"/>
    </row>
    <row r="1703" spans="1:183" s="18" customFormat="1">
      <c r="A1703" s="51"/>
      <c r="B1703" s="52"/>
      <c r="C1703" s="52"/>
      <c r="D1703" s="52"/>
      <c r="E1703" s="53"/>
      <c r="F1703" s="52"/>
      <c r="G1703" s="52"/>
      <c r="H1703" s="52"/>
      <c r="I1703" s="53"/>
      <c r="J1703" s="52"/>
      <c r="K1703" s="52"/>
      <c r="L1703" s="52"/>
      <c r="M1703" s="52"/>
      <c r="N1703" s="19"/>
      <c r="O1703" s="19"/>
      <c r="P1703" s="19"/>
      <c r="Q1703" s="19"/>
      <c r="R1703" s="19"/>
      <c r="S1703" s="19"/>
      <c r="T1703" s="19"/>
      <c r="U1703" s="19"/>
      <c r="V1703" s="19"/>
      <c r="W1703" s="19"/>
      <c r="X1703" s="19"/>
      <c r="Y1703" s="19"/>
      <c r="Z1703" s="19"/>
      <c r="AA1703" s="19"/>
      <c r="AB1703" s="19"/>
      <c r="AC1703" s="19"/>
      <c r="AD1703" s="19"/>
      <c r="AE1703" s="19"/>
      <c r="AF1703" s="19"/>
      <c r="AG1703" s="19"/>
      <c r="AH1703" s="19"/>
      <c r="AI1703" s="19"/>
      <c r="AJ1703" s="19"/>
      <c r="AK1703" s="19"/>
      <c r="AL1703" s="19"/>
      <c r="AM1703" s="19"/>
      <c r="AN1703" s="19"/>
      <c r="AO1703" s="19"/>
      <c r="AP1703" s="19"/>
      <c r="AQ1703" s="19"/>
      <c r="AR1703" s="19"/>
      <c r="AS1703" s="19"/>
      <c r="AT1703" s="19"/>
      <c r="AU1703" s="19"/>
      <c r="AV1703" s="19"/>
      <c r="AW1703" s="19"/>
      <c r="AX1703" s="19"/>
      <c r="GA1703" s="54"/>
    </row>
    <row r="1704" spans="1:183" s="18" customFormat="1">
      <c r="A1704" s="51"/>
      <c r="B1704" s="52"/>
      <c r="C1704" s="52"/>
      <c r="D1704" s="52"/>
      <c r="E1704" s="53"/>
      <c r="F1704" s="52"/>
      <c r="G1704" s="52"/>
      <c r="H1704" s="52"/>
      <c r="I1704" s="53"/>
      <c r="J1704" s="52"/>
      <c r="K1704" s="52"/>
      <c r="L1704" s="52"/>
      <c r="M1704" s="52"/>
      <c r="N1704" s="19"/>
      <c r="O1704" s="19"/>
      <c r="P1704" s="19"/>
      <c r="Q1704" s="19"/>
      <c r="R1704" s="19"/>
      <c r="S1704" s="19"/>
      <c r="T1704" s="19"/>
      <c r="U1704" s="19"/>
      <c r="V1704" s="19"/>
      <c r="W1704" s="19"/>
      <c r="X1704" s="19"/>
      <c r="Y1704" s="19"/>
      <c r="Z1704" s="19"/>
      <c r="AA1704" s="19"/>
      <c r="AB1704" s="19"/>
      <c r="AC1704" s="19"/>
      <c r="AD1704" s="19"/>
      <c r="AE1704" s="19"/>
      <c r="AF1704" s="19"/>
      <c r="AG1704" s="19"/>
      <c r="AH1704" s="19"/>
      <c r="AI1704" s="19"/>
      <c r="AJ1704" s="19"/>
      <c r="AK1704" s="19"/>
      <c r="AL1704" s="19"/>
      <c r="AM1704" s="19"/>
      <c r="AN1704" s="19"/>
      <c r="AO1704" s="19"/>
      <c r="AP1704" s="19"/>
      <c r="AQ1704" s="19"/>
      <c r="AR1704" s="19"/>
      <c r="AS1704" s="19"/>
      <c r="AT1704" s="19"/>
      <c r="AU1704" s="19"/>
      <c r="AV1704" s="19"/>
      <c r="AW1704" s="19"/>
      <c r="AX1704" s="19"/>
      <c r="GA1704" s="54"/>
    </row>
    <row r="1705" spans="1:183" s="18" customFormat="1">
      <c r="A1705" s="51"/>
      <c r="B1705" s="52"/>
      <c r="C1705" s="52"/>
      <c r="D1705" s="52"/>
      <c r="E1705" s="53"/>
      <c r="F1705" s="52"/>
      <c r="G1705" s="52"/>
      <c r="H1705" s="52"/>
      <c r="I1705" s="53"/>
      <c r="J1705" s="52"/>
      <c r="K1705" s="52"/>
      <c r="L1705" s="52"/>
      <c r="M1705" s="52"/>
      <c r="N1705" s="19"/>
      <c r="O1705" s="19"/>
      <c r="P1705" s="19"/>
      <c r="Q1705" s="19"/>
      <c r="R1705" s="19"/>
      <c r="S1705" s="19"/>
      <c r="T1705" s="19"/>
      <c r="U1705" s="19"/>
      <c r="V1705" s="19"/>
      <c r="W1705" s="19"/>
      <c r="X1705" s="19"/>
      <c r="Y1705" s="19"/>
      <c r="Z1705" s="19"/>
      <c r="AA1705" s="19"/>
      <c r="AB1705" s="19"/>
      <c r="AC1705" s="19"/>
      <c r="AD1705" s="19"/>
      <c r="AE1705" s="19"/>
      <c r="AF1705" s="19"/>
      <c r="AG1705" s="19"/>
      <c r="AH1705" s="19"/>
      <c r="AI1705" s="19"/>
      <c r="AJ1705" s="19"/>
      <c r="AK1705" s="19"/>
      <c r="AL1705" s="19"/>
      <c r="AM1705" s="19"/>
      <c r="AN1705" s="19"/>
      <c r="AO1705" s="19"/>
      <c r="AP1705" s="19"/>
      <c r="AQ1705" s="19"/>
      <c r="AR1705" s="19"/>
      <c r="AS1705" s="19"/>
      <c r="AT1705" s="19"/>
      <c r="AU1705" s="19"/>
      <c r="AV1705" s="19"/>
      <c r="AW1705" s="19"/>
      <c r="AX1705" s="19"/>
      <c r="GA1705" s="54"/>
    </row>
    <row r="1706" spans="1:183" s="18" customFormat="1">
      <c r="A1706" s="51"/>
      <c r="B1706" s="52"/>
      <c r="C1706" s="52"/>
      <c r="D1706" s="52"/>
      <c r="E1706" s="53"/>
      <c r="F1706" s="52"/>
      <c r="G1706" s="52"/>
      <c r="H1706" s="52"/>
      <c r="I1706" s="53"/>
      <c r="J1706" s="52"/>
      <c r="K1706" s="52"/>
      <c r="L1706" s="52"/>
      <c r="M1706" s="52"/>
      <c r="N1706" s="19"/>
      <c r="O1706" s="19"/>
      <c r="P1706" s="19"/>
      <c r="Q1706" s="19"/>
      <c r="R1706" s="19"/>
      <c r="S1706" s="19"/>
      <c r="T1706" s="19"/>
      <c r="U1706" s="19"/>
      <c r="V1706" s="19"/>
      <c r="W1706" s="19"/>
      <c r="X1706" s="19"/>
      <c r="Y1706" s="19"/>
      <c r="Z1706" s="19"/>
      <c r="AA1706" s="19"/>
      <c r="AB1706" s="19"/>
      <c r="AC1706" s="19"/>
      <c r="AD1706" s="19"/>
      <c r="AE1706" s="19"/>
      <c r="AF1706" s="19"/>
      <c r="AG1706" s="19"/>
      <c r="AH1706" s="19"/>
      <c r="AI1706" s="19"/>
      <c r="AJ1706" s="19"/>
      <c r="AK1706" s="19"/>
      <c r="AL1706" s="19"/>
      <c r="AM1706" s="19"/>
      <c r="AN1706" s="19"/>
      <c r="AO1706" s="19"/>
      <c r="AP1706" s="19"/>
      <c r="AQ1706" s="19"/>
      <c r="AR1706" s="19"/>
      <c r="AS1706" s="19"/>
      <c r="AT1706" s="19"/>
      <c r="AU1706" s="19"/>
      <c r="AV1706" s="19"/>
      <c r="AW1706" s="19"/>
      <c r="AX1706" s="19"/>
      <c r="GA1706" s="54"/>
    </row>
    <row r="1707" spans="1:183" s="18" customFormat="1">
      <c r="A1707" s="51"/>
      <c r="B1707" s="52"/>
      <c r="C1707" s="52"/>
      <c r="D1707" s="52"/>
      <c r="E1707" s="53"/>
      <c r="F1707" s="52"/>
      <c r="G1707" s="52"/>
      <c r="H1707" s="52"/>
      <c r="I1707" s="53"/>
      <c r="J1707" s="52"/>
      <c r="K1707" s="52"/>
      <c r="L1707" s="52"/>
      <c r="M1707" s="52"/>
      <c r="N1707" s="19"/>
      <c r="O1707" s="19"/>
      <c r="P1707" s="19"/>
      <c r="Q1707" s="19"/>
      <c r="R1707" s="19"/>
      <c r="S1707" s="19"/>
      <c r="T1707" s="19"/>
      <c r="U1707" s="19"/>
      <c r="V1707" s="19"/>
      <c r="W1707" s="19"/>
      <c r="X1707" s="19"/>
      <c r="Y1707" s="19"/>
      <c r="Z1707" s="19"/>
      <c r="AA1707" s="19"/>
      <c r="AB1707" s="19"/>
      <c r="AC1707" s="19"/>
      <c r="AD1707" s="19"/>
      <c r="AE1707" s="19"/>
      <c r="AF1707" s="19"/>
      <c r="AG1707" s="19"/>
      <c r="AH1707" s="19"/>
      <c r="AI1707" s="19"/>
      <c r="AJ1707" s="19"/>
      <c r="AK1707" s="19"/>
      <c r="AL1707" s="19"/>
      <c r="AM1707" s="19"/>
      <c r="AN1707" s="19"/>
      <c r="AO1707" s="19"/>
      <c r="AP1707" s="19"/>
      <c r="AQ1707" s="19"/>
      <c r="AR1707" s="19"/>
      <c r="AS1707" s="19"/>
      <c r="AT1707" s="19"/>
      <c r="AU1707" s="19"/>
      <c r="AV1707" s="19"/>
      <c r="AW1707" s="19"/>
      <c r="AX1707" s="19"/>
      <c r="GA1707" s="54"/>
    </row>
    <row r="1708" spans="1:183" s="18" customFormat="1">
      <c r="A1708" s="51"/>
      <c r="B1708" s="52"/>
      <c r="C1708" s="52"/>
      <c r="D1708" s="52"/>
      <c r="E1708" s="53"/>
      <c r="F1708" s="52"/>
      <c r="G1708" s="52"/>
      <c r="H1708" s="52"/>
      <c r="I1708" s="53"/>
      <c r="J1708" s="52"/>
      <c r="K1708" s="52"/>
      <c r="L1708" s="52"/>
      <c r="M1708" s="52"/>
      <c r="N1708" s="19"/>
      <c r="O1708" s="19"/>
      <c r="P1708" s="19"/>
      <c r="Q1708" s="19"/>
      <c r="R1708" s="19"/>
      <c r="S1708" s="19"/>
      <c r="T1708" s="19"/>
      <c r="U1708" s="19"/>
      <c r="V1708" s="19"/>
      <c r="W1708" s="19"/>
      <c r="X1708" s="19"/>
      <c r="Y1708" s="19"/>
      <c r="Z1708" s="19"/>
      <c r="AA1708" s="19"/>
      <c r="AB1708" s="19"/>
      <c r="AC1708" s="19"/>
      <c r="AD1708" s="19"/>
      <c r="AE1708" s="19"/>
      <c r="AF1708" s="19"/>
      <c r="AG1708" s="19"/>
      <c r="AH1708" s="19"/>
      <c r="AI1708" s="19"/>
      <c r="AJ1708" s="19"/>
      <c r="AK1708" s="19"/>
      <c r="AL1708" s="19"/>
      <c r="AM1708" s="19"/>
      <c r="AN1708" s="19"/>
      <c r="AO1708" s="19"/>
      <c r="AP1708" s="19"/>
      <c r="AQ1708" s="19"/>
      <c r="AR1708" s="19"/>
      <c r="AS1708" s="19"/>
      <c r="AT1708" s="19"/>
      <c r="AU1708" s="19"/>
      <c r="AV1708" s="19"/>
      <c r="AW1708" s="19"/>
      <c r="AX1708" s="19"/>
      <c r="GA1708" s="54"/>
    </row>
    <row r="1709" spans="1:183" s="18" customFormat="1">
      <c r="A1709" s="51"/>
      <c r="B1709" s="52"/>
      <c r="C1709" s="52"/>
      <c r="D1709" s="52"/>
      <c r="E1709" s="53"/>
      <c r="F1709" s="52"/>
      <c r="G1709" s="52"/>
      <c r="H1709" s="52"/>
      <c r="I1709" s="53"/>
      <c r="J1709" s="52"/>
      <c r="K1709" s="52"/>
      <c r="L1709" s="52"/>
      <c r="M1709" s="52"/>
      <c r="N1709" s="19"/>
      <c r="O1709" s="19"/>
      <c r="P1709" s="19"/>
      <c r="Q1709" s="19"/>
      <c r="R1709" s="19"/>
      <c r="S1709" s="19"/>
      <c r="T1709" s="19"/>
      <c r="U1709" s="19"/>
      <c r="V1709" s="19"/>
      <c r="W1709" s="19"/>
      <c r="X1709" s="19"/>
      <c r="Y1709" s="19"/>
      <c r="Z1709" s="19"/>
      <c r="AA1709" s="19"/>
      <c r="AB1709" s="19"/>
      <c r="AC1709" s="19"/>
      <c r="AD1709" s="19"/>
      <c r="AE1709" s="19"/>
      <c r="AF1709" s="19"/>
      <c r="AG1709" s="19"/>
      <c r="AH1709" s="19"/>
      <c r="AI1709" s="19"/>
      <c r="AJ1709" s="19"/>
      <c r="AK1709" s="19"/>
      <c r="AL1709" s="19"/>
      <c r="AM1709" s="19"/>
      <c r="AN1709" s="19"/>
      <c r="AO1709" s="19"/>
      <c r="AP1709" s="19"/>
      <c r="AQ1709" s="19"/>
      <c r="AR1709" s="19"/>
      <c r="AS1709" s="19"/>
      <c r="AT1709" s="19"/>
      <c r="AU1709" s="19"/>
      <c r="AV1709" s="19"/>
      <c r="AW1709" s="19"/>
      <c r="AX1709" s="19"/>
      <c r="GA1709" s="54"/>
    </row>
    <row r="1710" spans="1:183" s="18" customFormat="1">
      <c r="A1710" s="51"/>
      <c r="B1710" s="52"/>
      <c r="C1710" s="52"/>
      <c r="D1710" s="52"/>
      <c r="E1710" s="53"/>
      <c r="F1710" s="52"/>
      <c r="G1710" s="52"/>
      <c r="H1710" s="52"/>
      <c r="I1710" s="53"/>
      <c r="J1710" s="52"/>
      <c r="K1710" s="52"/>
      <c r="L1710" s="52"/>
      <c r="M1710" s="52"/>
      <c r="N1710" s="19"/>
      <c r="O1710" s="19"/>
      <c r="P1710" s="19"/>
      <c r="Q1710" s="19"/>
      <c r="R1710" s="19"/>
      <c r="S1710" s="19"/>
      <c r="T1710" s="19"/>
      <c r="U1710" s="19"/>
      <c r="V1710" s="19"/>
      <c r="W1710" s="19"/>
      <c r="X1710" s="19"/>
      <c r="Y1710" s="19"/>
      <c r="Z1710" s="19"/>
      <c r="AA1710" s="19"/>
      <c r="AB1710" s="19"/>
      <c r="AC1710" s="19"/>
      <c r="AD1710" s="19"/>
      <c r="AE1710" s="19"/>
      <c r="AF1710" s="19"/>
      <c r="AG1710" s="19"/>
      <c r="AH1710" s="19"/>
      <c r="AI1710" s="19"/>
      <c r="AJ1710" s="19"/>
      <c r="AK1710" s="19"/>
      <c r="AL1710" s="19"/>
      <c r="AM1710" s="19"/>
      <c r="AN1710" s="19"/>
      <c r="AO1710" s="19"/>
      <c r="AP1710" s="19"/>
      <c r="AQ1710" s="19"/>
      <c r="AR1710" s="19"/>
      <c r="AS1710" s="19"/>
      <c r="AT1710" s="19"/>
      <c r="AU1710" s="19"/>
      <c r="AV1710" s="19"/>
      <c r="AW1710" s="19"/>
      <c r="AX1710" s="19"/>
      <c r="GA1710" s="54"/>
    </row>
    <row r="1711" spans="1:183" s="18" customFormat="1">
      <c r="A1711" s="51"/>
      <c r="B1711" s="52"/>
      <c r="C1711" s="52"/>
      <c r="D1711" s="52"/>
      <c r="E1711" s="53"/>
      <c r="F1711" s="52"/>
      <c r="G1711" s="52"/>
      <c r="H1711" s="52"/>
      <c r="I1711" s="53"/>
      <c r="J1711" s="52"/>
      <c r="K1711" s="52"/>
      <c r="L1711" s="52"/>
      <c r="M1711" s="52"/>
      <c r="N1711" s="19"/>
      <c r="O1711" s="19"/>
      <c r="P1711" s="19"/>
      <c r="Q1711" s="19"/>
      <c r="R1711" s="19"/>
      <c r="S1711" s="19"/>
      <c r="T1711" s="19"/>
      <c r="U1711" s="19"/>
      <c r="V1711" s="19"/>
      <c r="W1711" s="19"/>
      <c r="X1711" s="19"/>
      <c r="Y1711" s="19"/>
      <c r="Z1711" s="19"/>
      <c r="AA1711" s="19"/>
      <c r="AB1711" s="19"/>
      <c r="AC1711" s="19"/>
      <c r="AD1711" s="19"/>
      <c r="AE1711" s="19"/>
      <c r="AF1711" s="19"/>
      <c r="AG1711" s="19"/>
      <c r="AH1711" s="19"/>
      <c r="AI1711" s="19"/>
      <c r="AJ1711" s="19"/>
      <c r="AK1711" s="19"/>
      <c r="AL1711" s="19"/>
      <c r="AM1711" s="19"/>
      <c r="AN1711" s="19"/>
      <c r="AO1711" s="19"/>
      <c r="AP1711" s="19"/>
      <c r="AQ1711" s="19"/>
      <c r="AR1711" s="19"/>
      <c r="AS1711" s="19"/>
      <c r="AT1711" s="19"/>
      <c r="AU1711" s="19"/>
      <c r="AV1711" s="19"/>
      <c r="AW1711" s="19"/>
      <c r="AX1711" s="19"/>
      <c r="GA1711" s="54"/>
    </row>
    <row r="1712" spans="1:183" s="18" customFormat="1">
      <c r="A1712" s="51"/>
      <c r="B1712" s="52"/>
      <c r="C1712" s="52"/>
      <c r="D1712" s="52"/>
      <c r="E1712" s="53"/>
      <c r="F1712" s="52"/>
      <c r="G1712" s="52"/>
      <c r="H1712" s="52"/>
      <c r="I1712" s="53"/>
      <c r="J1712" s="52"/>
      <c r="K1712" s="52"/>
      <c r="L1712" s="52"/>
      <c r="M1712" s="52"/>
      <c r="N1712" s="19"/>
      <c r="O1712" s="19"/>
      <c r="P1712" s="19"/>
      <c r="Q1712" s="19"/>
      <c r="R1712" s="19"/>
      <c r="S1712" s="19"/>
      <c r="T1712" s="19"/>
      <c r="U1712" s="19"/>
      <c r="V1712" s="19"/>
      <c r="W1712" s="19"/>
      <c r="X1712" s="19"/>
      <c r="Y1712" s="19"/>
      <c r="Z1712" s="19"/>
      <c r="AA1712" s="19"/>
      <c r="AB1712" s="19"/>
      <c r="AC1712" s="19"/>
      <c r="AD1712" s="19"/>
      <c r="AE1712" s="19"/>
      <c r="AF1712" s="19"/>
      <c r="AG1712" s="19"/>
      <c r="AH1712" s="19"/>
      <c r="AI1712" s="19"/>
      <c r="AJ1712" s="19"/>
      <c r="AK1712" s="19"/>
      <c r="AL1712" s="19"/>
      <c r="AM1712" s="19"/>
      <c r="AN1712" s="19"/>
      <c r="AO1712" s="19"/>
      <c r="AP1712" s="19"/>
      <c r="AQ1712" s="19"/>
      <c r="AR1712" s="19"/>
      <c r="AS1712" s="19"/>
      <c r="AT1712" s="19"/>
      <c r="AU1712" s="19"/>
      <c r="AV1712" s="19"/>
      <c r="AW1712" s="19"/>
      <c r="AX1712" s="19"/>
      <c r="GA1712" s="54"/>
    </row>
    <row r="1713" spans="1:183" s="18" customFormat="1">
      <c r="A1713" s="51"/>
      <c r="B1713" s="52"/>
      <c r="C1713" s="52"/>
      <c r="D1713" s="52"/>
      <c r="E1713" s="53"/>
      <c r="F1713" s="52"/>
      <c r="G1713" s="52"/>
      <c r="H1713" s="52"/>
      <c r="I1713" s="53"/>
      <c r="J1713" s="52"/>
      <c r="K1713" s="52"/>
      <c r="L1713" s="52"/>
      <c r="M1713" s="52"/>
      <c r="N1713" s="19"/>
      <c r="O1713" s="19"/>
      <c r="P1713" s="19"/>
      <c r="Q1713" s="19"/>
      <c r="R1713" s="19"/>
      <c r="S1713" s="19"/>
      <c r="T1713" s="19"/>
      <c r="U1713" s="19"/>
      <c r="V1713" s="19"/>
      <c r="W1713" s="19"/>
      <c r="X1713" s="19"/>
      <c r="Y1713" s="19"/>
      <c r="Z1713" s="19"/>
      <c r="AA1713" s="19"/>
      <c r="AB1713" s="19"/>
      <c r="AC1713" s="19"/>
      <c r="AD1713" s="19"/>
      <c r="AE1713" s="19"/>
      <c r="AF1713" s="19"/>
      <c r="AG1713" s="19"/>
      <c r="AH1713" s="19"/>
      <c r="AI1713" s="19"/>
      <c r="AJ1713" s="19"/>
      <c r="AK1713" s="19"/>
      <c r="AL1713" s="19"/>
      <c r="AM1713" s="19"/>
      <c r="AN1713" s="19"/>
      <c r="AO1713" s="19"/>
      <c r="AP1713" s="19"/>
      <c r="AQ1713" s="19"/>
      <c r="AR1713" s="19"/>
      <c r="AS1713" s="19"/>
      <c r="AT1713" s="19"/>
      <c r="AU1713" s="19"/>
      <c r="AV1713" s="19"/>
      <c r="AW1713" s="19"/>
      <c r="AX1713" s="19"/>
      <c r="GA1713" s="54"/>
    </row>
    <row r="1714" spans="1:183" s="18" customFormat="1">
      <c r="A1714" s="51"/>
      <c r="B1714" s="52"/>
      <c r="C1714" s="52"/>
      <c r="D1714" s="52"/>
      <c r="E1714" s="53"/>
      <c r="F1714" s="52"/>
      <c r="G1714" s="52"/>
      <c r="H1714" s="52"/>
      <c r="I1714" s="53"/>
      <c r="J1714" s="52"/>
      <c r="K1714" s="52"/>
      <c r="L1714" s="52"/>
      <c r="M1714" s="52"/>
      <c r="N1714" s="19"/>
      <c r="O1714" s="19"/>
      <c r="P1714" s="19"/>
      <c r="Q1714" s="19"/>
      <c r="R1714" s="19"/>
      <c r="S1714" s="19"/>
      <c r="T1714" s="19"/>
      <c r="U1714" s="19"/>
      <c r="V1714" s="19"/>
      <c r="W1714" s="19"/>
      <c r="X1714" s="19"/>
      <c r="Y1714" s="19"/>
      <c r="Z1714" s="19"/>
      <c r="AA1714" s="19"/>
      <c r="AB1714" s="19"/>
      <c r="AC1714" s="19"/>
      <c r="AD1714" s="19"/>
      <c r="AE1714" s="19"/>
      <c r="AF1714" s="19"/>
      <c r="AG1714" s="19"/>
      <c r="AH1714" s="19"/>
      <c r="AI1714" s="19"/>
      <c r="AJ1714" s="19"/>
      <c r="AK1714" s="19"/>
      <c r="AL1714" s="19"/>
      <c r="AM1714" s="19"/>
      <c r="AN1714" s="19"/>
      <c r="AO1714" s="19"/>
      <c r="AP1714" s="19"/>
      <c r="AQ1714" s="19"/>
      <c r="AR1714" s="19"/>
      <c r="AS1714" s="19"/>
      <c r="AT1714" s="19"/>
      <c r="AU1714" s="19"/>
      <c r="AV1714" s="19"/>
      <c r="AW1714" s="19"/>
      <c r="AX1714" s="19"/>
      <c r="GA1714" s="54"/>
    </row>
    <row r="1715" spans="1:183" s="18" customFormat="1">
      <c r="A1715" s="51"/>
      <c r="B1715" s="52"/>
      <c r="C1715" s="52"/>
      <c r="D1715" s="52"/>
      <c r="E1715" s="53"/>
      <c r="F1715" s="52"/>
      <c r="G1715" s="52"/>
      <c r="H1715" s="52"/>
      <c r="I1715" s="53"/>
      <c r="J1715" s="52"/>
      <c r="K1715" s="52"/>
      <c r="L1715" s="52"/>
      <c r="M1715" s="52"/>
      <c r="N1715" s="19"/>
      <c r="O1715" s="19"/>
      <c r="P1715" s="19"/>
      <c r="Q1715" s="19"/>
      <c r="R1715" s="19"/>
      <c r="S1715" s="19"/>
      <c r="T1715" s="19"/>
      <c r="U1715" s="19"/>
      <c r="V1715" s="19"/>
      <c r="W1715" s="19"/>
      <c r="X1715" s="19"/>
      <c r="Y1715" s="19"/>
      <c r="Z1715" s="19"/>
      <c r="AA1715" s="19"/>
      <c r="AB1715" s="19"/>
      <c r="AC1715" s="19"/>
      <c r="AD1715" s="19"/>
      <c r="AE1715" s="19"/>
      <c r="AF1715" s="19"/>
      <c r="AG1715" s="19"/>
      <c r="AH1715" s="19"/>
      <c r="AI1715" s="19"/>
      <c r="AJ1715" s="19"/>
      <c r="AK1715" s="19"/>
      <c r="AL1715" s="19"/>
      <c r="AM1715" s="19"/>
      <c r="AN1715" s="19"/>
      <c r="AO1715" s="19"/>
      <c r="AP1715" s="19"/>
      <c r="AQ1715" s="19"/>
      <c r="AR1715" s="19"/>
      <c r="AS1715" s="19"/>
      <c r="AT1715" s="19"/>
      <c r="AU1715" s="19"/>
      <c r="AV1715" s="19"/>
      <c r="AW1715" s="19"/>
      <c r="AX1715" s="19"/>
      <c r="GA1715" s="54"/>
    </row>
    <row r="1716" spans="1:183" s="18" customFormat="1">
      <c r="A1716" s="51"/>
      <c r="B1716" s="52"/>
      <c r="C1716" s="52"/>
      <c r="D1716" s="52"/>
      <c r="E1716" s="53"/>
      <c r="F1716" s="52"/>
      <c r="G1716" s="52"/>
      <c r="H1716" s="52"/>
      <c r="I1716" s="53"/>
      <c r="J1716" s="52"/>
      <c r="K1716" s="52"/>
      <c r="L1716" s="52"/>
      <c r="M1716" s="52"/>
      <c r="N1716" s="19"/>
      <c r="O1716" s="19"/>
      <c r="P1716" s="19"/>
      <c r="Q1716" s="19"/>
      <c r="R1716" s="19"/>
      <c r="S1716" s="19"/>
      <c r="T1716" s="19"/>
      <c r="U1716" s="19"/>
      <c r="V1716" s="19"/>
      <c r="W1716" s="19"/>
      <c r="X1716" s="19"/>
      <c r="Y1716" s="19"/>
      <c r="Z1716" s="19"/>
      <c r="AA1716" s="19"/>
      <c r="AB1716" s="19"/>
      <c r="AC1716" s="19"/>
      <c r="AD1716" s="19"/>
      <c r="AE1716" s="19"/>
      <c r="AF1716" s="19"/>
      <c r="AG1716" s="19"/>
      <c r="AH1716" s="19"/>
      <c r="AI1716" s="19"/>
      <c r="AJ1716" s="19"/>
      <c r="AK1716" s="19"/>
      <c r="AL1716" s="19"/>
      <c r="AM1716" s="19"/>
      <c r="AN1716" s="19"/>
      <c r="AO1716" s="19"/>
      <c r="AP1716" s="19"/>
      <c r="AQ1716" s="19"/>
      <c r="AR1716" s="19"/>
      <c r="AS1716" s="19"/>
      <c r="AT1716" s="19"/>
      <c r="AU1716" s="19"/>
      <c r="AV1716" s="19"/>
      <c r="AW1716" s="19"/>
      <c r="AX1716" s="19"/>
      <c r="GA1716" s="54"/>
    </row>
    <row r="1717" spans="1:183" s="18" customFormat="1">
      <c r="A1717" s="51"/>
      <c r="B1717" s="52"/>
      <c r="C1717" s="52"/>
      <c r="D1717" s="52"/>
      <c r="E1717" s="53"/>
      <c r="F1717" s="52"/>
      <c r="G1717" s="52"/>
      <c r="H1717" s="52"/>
      <c r="I1717" s="53"/>
      <c r="J1717" s="52"/>
      <c r="K1717" s="52"/>
      <c r="L1717" s="52"/>
      <c r="M1717" s="52"/>
      <c r="N1717" s="19"/>
      <c r="O1717" s="19"/>
      <c r="P1717" s="19"/>
      <c r="Q1717" s="19"/>
      <c r="R1717" s="19"/>
      <c r="S1717" s="19"/>
      <c r="T1717" s="19"/>
      <c r="U1717" s="19"/>
      <c r="V1717" s="19"/>
      <c r="W1717" s="19"/>
      <c r="X1717" s="19"/>
      <c r="Y1717" s="19"/>
      <c r="Z1717" s="19"/>
      <c r="AA1717" s="19"/>
      <c r="AB1717" s="19"/>
      <c r="AC1717" s="19"/>
      <c r="AD1717" s="19"/>
      <c r="AE1717" s="19"/>
      <c r="AF1717" s="19"/>
      <c r="AG1717" s="19"/>
      <c r="AH1717" s="19"/>
      <c r="AI1717" s="19"/>
      <c r="AJ1717" s="19"/>
      <c r="AK1717" s="19"/>
      <c r="AL1717" s="19"/>
      <c r="AM1717" s="19"/>
      <c r="AN1717" s="19"/>
      <c r="AO1717" s="19"/>
      <c r="AP1717" s="19"/>
      <c r="AQ1717" s="19"/>
      <c r="AR1717" s="19"/>
      <c r="AS1717" s="19"/>
      <c r="AT1717" s="19"/>
      <c r="AU1717" s="19"/>
      <c r="AV1717" s="19"/>
      <c r="AW1717" s="19"/>
      <c r="AX1717" s="19"/>
      <c r="GA1717" s="54"/>
    </row>
    <row r="1718" spans="1:183" s="18" customFormat="1">
      <c r="A1718" s="51"/>
      <c r="B1718" s="52"/>
      <c r="C1718" s="52"/>
      <c r="D1718" s="52"/>
      <c r="E1718" s="53"/>
      <c r="F1718" s="52"/>
      <c r="G1718" s="52"/>
      <c r="H1718" s="52"/>
      <c r="I1718" s="53"/>
      <c r="J1718" s="52"/>
      <c r="K1718" s="52"/>
      <c r="L1718" s="52"/>
      <c r="M1718" s="52"/>
      <c r="N1718" s="19"/>
      <c r="O1718" s="19"/>
      <c r="P1718" s="19"/>
      <c r="Q1718" s="19"/>
      <c r="R1718" s="19"/>
      <c r="S1718" s="19"/>
      <c r="T1718" s="19"/>
      <c r="U1718" s="19"/>
      <c r="V1718" s="19"/>
      <c r="W1718" s="19"/>
      <c r="X1718" s="19"/>
      <c r="Y1718" s="19"/>
      <c r="Z1718" s="19"/>
      <c r="AA1718" s="19"/>
      <c r="AB1718" s="19"/>
      <c r="AC1718" s="19"/>
      <c r="AD1718" s="19"/>
      <c r="AE1718" s="19"/>
      <c r="AF1718" s="19"/>
      <c r="AG1718" s="19"/>
      <c r="AH1718" s="19"/>
      <c r="AI1718" s="19"/>
      <c r="AJ1718" s="19"/>
      <c r="AK1718" s="19"/>
      <c r="AL1718" s="19"/>
      <c r="AM1718" s="19"/>
      <c r="AN1718" s="19"/>
      <c r="AO1718" s="19"/>
      <c r="AP1718" s="19"/>
      <c r="AQ1718" s="19"/>
      <c r="AR1718" s="19"/>
      <c r="AS1718" s="19"/>
      <c r="AT1718" s="19"/>
      <c r="AU1718" s="19"/>
      <c r="AV1718" s="19"/>
      <c r="AW1718" s="19"/>
      <c r="AX1718" s="19"/>
      <c r="GA1718" s="54"/>
    </row>
    <row r="1719" spans="1:183" s="18" customFormat="1">
      <c r="A1719" s="51"/>
      <c r="B1719" s="52"/>
      <c r="C1719" s="52"/>
      <c r="D1719" s="52"/>
      <c r="E1719" s="53"/>
      <c r="F1719" s="52"/>
      <c r="G1719" s="52"/>
      <c r="H1719" s="52"/>
      <c r="I1719" s="53"/>
      <c r="J1719" s="52"/>
      <c r="K1719" s="52"/>
      <c r="L1719" s="52"/>
      <c r="M1719" s="52"/>
      <c r="N1719" s="19"/>
      <c r="O1719" s="19"/>
      <c r="P1719" s="19"/>
      <c r="Q1719" s="19"/>
      <c r="R1719" s="19"/>
      <c r="S1719" s="19"/>
      <c r="T1719" s="19"/>
      <c r="U1719" s="19"/>
      <c r="V1719" s="19"/>
      <c r="W1719" s="19"/>
      <c r="X1719" s="19"/>
      <c r="Y1719" s="19"/>
      <c r="Z1719" s="19"/>
      <c r="AA1719" s="19"/>
      <c r="AB1719" s="19"/>
      <c r="AC1719" s="19"/>
      <c r="AD1719" s="19"/>
      <c r="AE1719" s="19"/>
      <c r="AF1719" s="19"/>
      <c r="AG1719" s="19"/>
      <c r="AH1719" s="19"/>
      <c r="AI1719" s="19"/>
      <c r="AJ1719" s="19"/>
      <c r="AK1719" s="19"/>
      <c r="AL1719" s="19"/>
      <c r="AM1719" s="19"/>
      <c r="AN1719" s="19"/>
      <c r="AO1719" s="19"/>
      <c r="AP1719" s="19"/>
      <c r="AQ1719" s="19"/>
      <c r="AR1719" s="19"/>
      <c r="AS1719" s="19"/>
      <c r="AT1719" s="19"/>
      <c r="AU1719" s="19"/>
      <c r="AV1719" s="19"/>
      <c r="AW1719" s="19"/>
      <c r="AX1719" s="19"/>
      <c r="GA1719" s="54"/>
    </row>
    <row r="1720" spans="1:183" s="18" customFormat="1">
      <c r="A1720" s="51"/>
      <c r="B1720" s="52"/>
      <c r="C1720" s="52"/>
      <c r="D1720" s="52"/>
      <c r="E1720" s="53"/>
      <c r="F1720" s="52"/>
      <c r="G1720" s="52"/>
      <c r="H1720" s="52"/>
      <c r="I1720" s="53"/>
      <c r="J1720" s="52"/>
      <c r="K1720" s="52"/>
      <c r="L1720" s="52"/>
      <c r="M1720" s="52"/>
      <c r="N1720" s="19"/>
      <c r="O1720" s="19"/>
      <c r="P1720" s="19"/>
      <c r="Q1720" s="19"/>
      <c r="R1720" s="19"/>
      <c r="S1720" s="19"/>
      <c r="T1720" s="19"/>
      <c r="U1720" s="19"/>
      <c r="V1720" s="19"/>
      <c r="W1720" s="19"/>
      <c r="X1720" s="19"/>
      <c r="Y1720" s="19"/>
      <c r="Z1720" s="19"/>
      <c r="AA1720" s="19"/>
      <c r="AB1720" s="19"/>
      <c r="AC1720" s="19"/>
      <c r="AD1720" s="19"/>
      <c r="AE1720" s="19"/>
      <c r="AF1720" s="19"/>
      <c r="AG1720" s="19"/>
      <c r="AH1720" s="19"/>
      <c r="AI1720" s="19"/>
      <c r="AJ1720" s="19"/>
      <c r="AK1720" s="19"/>
      <c r="AL1720" s="19"/>
      <c r="AM1720" s="19"/>
      <c r="AN1720" s="19"/>
      <c r="AO1720" s="19"/>
      <c r="AP1720" s="19"/>
      <c r="AQ1720" s="19"/>
      <c r="AR1720" s="19"/>
      <c r="AS1720" s="19"/>
      <c r="AT1720" s="19"/>
      <c r="AU1720" s="19"/>
      <c r="AV1720" s="19"/>
      <c r="AW1720" s="19"/>
      <c r="AX1720" s="19"/>
      <c r="GA1720" s="54"/>
    </row>
    <row r="1721" spans="1:183" s="18" customFormat="1">
      <c r="A1721" s="51"/>
      <c r="B1721" s="52"/>
      <c r="C1721" s="52"/>
      <c r="D1721" s="52"/>
      <c r="E1721" s="53"/>
      <c r="F1721" s="52"/>
      <c r="G1721" s="52"/>
      <c r="H1721" s="52"/>
      <c r="I1721" s="53"/>
      <c r="J1721" s="52"/>
      <c r="K1721" s="52"/>
      <c r="L1721" s="52"/>
      <c r="M1721" s="52"/>
      <c r="N1721" s="19"/>
      <c r="O1721" s="19"/>
      <c r="P1721" s="19"/>
      <c r="Q1721" s="19"/>
      <c r="R1721" s="19"/>
      <c r="S1721" s="19"/>
      <c r="T1721" s="19"/>
      <c r="U1721" s="19"/>
      <c r="V1721" s="19"/>
      <c r="W1721" s="19"/>
      <c r="X1721" s="19"/>
      <c r="Y1721" s="19"/>
      <c r="Z1721" s="19"/>
      <c r="AA1721" s="19"/>
      <c r="AB1721" s="19"/>
      <c r="AC1721" s="19"/>
      <c r="AD1721" s="19"/>
      <c r="AE1721" s="19"/>
      <c r="AF1721" s="19"/>
      <c r="AG1721" s="19"/>
      <c r="AH1721" s="19"/>
      <c r="AI1721" s="19"/>
      <c r="AJ1721" s="19"/>
      <c r="AK1721" s="19"/>
      <c r="AL1721" s="19"/>
      <c r="AM1721" s="19"/>
      <c r="AN1721" s="19"/>
      <c r="AO1721" s="19"/>
      <c r="AP1721" s="19"/>
      <c r="AQ1721" s="19"/>
      <c r="AR1721" s="19"/>
      <c r="AS1721" s="19"/>
      <c r="AT1721" s="19"/>
      <c r="AU1721" s="19"/>
      <c r="AV1721" s="19"/>
      <c r="AW1721" s="19"/>
      <c r="AX1721" s="19"/>
      <c r="GA1721" s="54"/>
    </row>
    <row r="1722" spans="1:183" s="18" customFormat="1">
      <c r="A1722" s="51"/>
      <c r="B1722" s="52"/>
      <c r="C1722" s="52"/>
      <c r="D1722" s="52"/>
      <c r="E1722" s="53"/>
      <c r="F1722" s="52"/>
      <c r="G1722" s="52"/>
      <c r="H1722" s="52"/>
      <c r="I1722" s="53"/>
      <c r="J1722" s="52"/>
      <c r="K1722" s="52"/>
      <c r="L1722" s="52"/>
      <c r="M1722" s="52"/>
      <c r="N1722" s="19"/>
      <c r="O1722" s="19"/>
      <c r="P1722" s="19"/>
      <c r="Q1722" s="19"/>
      <c r="R1722" s="19"/>
      <c r="S1722" s="19"/>
      <c r="T1722" s="19"/>
      <c r="U1722" s="19"/>
      <c r="V1722" s="19"/>
      <c r="W1722" s="19"/>
      <c r="X1722" s="19"/>
      <c r="Y1722" s="19"/>
      <c r="Z1722" s="19"/>
      <c r="AA1722" s="19"/>
      <c r="AB1722" s="19"/>
      <c r="AC1722" s="19"/>
      <c r="AD1722" s="19"/>
      <c r="AE1722" s="19"/>
      <c r="AF1722" s="19"/>
      <c r="AG1722" s="19"/>
      <c r="AH1722" s="19"/>
      <c r="AI1722" s="19"/>
      <c r="AJ1722" s="19"/>
      <c r="AK1722" s="19"/>
      <c r="AL1722" s="19"/>
      <c r="AM1722" s="19"/>
      <c r="AN1722" s="19"/>
      <c r="AO1722" s="19"/>
      <c r="AP1722" s="19"/>
      <c r="AQ1722" s="19"/>
      <c r="AR1722" s="19"/>
      <c r="AS1722" s="19"/>
      <c r="AT1722" s="19"/>
      <c r="AU1722" s="19"/>
      <c r="AV1722" s="19"/>
      <c r="AW1722" s="19"/>
      <c r="AX1722" s="19"/>
      <c r="GA1722" s="54"/>
    </row>
    <row r="1723" spans="1:183" s="18" customFormat="1">
      <c r="A1723" s="51"/>
      <c r="B1723" s="52"/>
      <c r="C1723" s="52"/>
      <c r="D1723" s="52"/>
      <c r="E1723" s="53"/>
      <c r="F1723" s="52"/>
      <c r="G1723" s="52"/>
      <c r="H1723" s="52"/>
      <c r="I1723" s="53"/>
      <c r="J1723" s="52"/>
      <c r="K1723" s="52"/>
      <c r="L1723" s="52"/>
      <c r="M1723" s="52"/>
      <c r="N1723" s="19"/>
      <c r="O1723" s="19"/>
      <c r="P1723" s="19"/>
      <c r="Q1723" s="19"/>
      <c r="R1723" s="19"/>
      <c r="S1723" s="19"/>
      <c r="T1723" s="19"/>
      <c r="U1723" s="19"/>
      <c r="V1723" s="19"/>
      <c r="W1723" s="19"/>
      <c r="X1723" s="19"/>
      <c r="Y1723" s="19"/>
      <c r="Z1723" s="19"/>
      <c r="AA1723" s="19"/>
      <c r="AB1723" s="19"/>
      <c r="AC1723" s="19"/>
      <c r="AD1723" s="19"/>
      <c r="AE1723" s="19"/>
      <c r="AF1723" s="19"/>
      <c r="AG1723" s="19"/>
      <c r="AH1723" s="19"/>
      <c r="AI1723" s="19"/>
      <c r="AJ1723" s="19"/>
      <c r="AK1723" s="19"/>
      <c r="AL1723" s="19"/>
      <c r="AM1723" s="19"/>
      <c r="AN1723" s="19"/>
      <c r="AO1723" s="19"/>
      <c r="AP1723" s="19"/>
      <c r="AQ1723" s="19"/>
      <c r="AR1723" s="19"/>
      <c r="AS1723" s="19"/>
      <c r="AT1723" s="19"/>
      <c r="AU1723" s="19"/>
      <c r="AV1723" s="19"/>
      <c r="AW1723" s="19"/>
      <c r="AX1723" s="19"/>
      <c r="GA1723" s="54"/>
    </row>
    <row r="1724" spans="1:183" s="18" customFormat="1">
      <c r="A1724" s="51"/>
      <c r="B1724" s="52"/>
      <c r="C1724" s="52"/>
      <c r="D1724" s="52"/>
      <c r="E1724" s="53"/>
      <c r="F1724" s="52"/>
      <c r="G1724" s="52"/>
      <c r="H1724" s="52"/>
      <c r="I1724" s="53"/>
      <c r="J1724" s="52"/>
      <c r="K1724" s="52"/>
      <c r="L1724" s="52"/>
      <c r="M1724" s="52"/>
      <c r="N1724" s="19"/>
      <c r="O1724" s="19"/>
      <c r="P1724" s="19"/>
      <c r="Q1724" s="19"/>
      <c r="R1724" s="19"/>
      <c r="S1724" s="19"/>
      <c r="T1724" s="19"/>
      <c r="U1724" s="19"/>
      <c r="V1724" s="19"/>
      <c r="W1724" s="19"/>
      <c r="X1724" s="19"/>
      <c r="Y1724" s="19"/>
      <c r="Z1724" s="19"/>
      <c r="AA1724" s="19"/>
      <c r="AB1724" s="19"/>
      <c r="AC1724" s="19"/>
      <c r="AD1724" s="19"/>
      <c r="AE1724" s="19"/>
      <c r="AF1724" s="19"/>
      <c r="AG1724" s="19"/>
      <c r="AH1724" s="19"/>
      <c r="AI1724" s="19"/>
      <c r="AJ1724" s="19"/>
      <c r="AK1724" s="19"/>
      <c r="AL1724" s="19"/>
      <c r="AM1724" s="19"/>
      <c r="AN1724" s="19"/>
      <c r="AO1724" s="19"/>
      <c r="AP1724" s="19"/>
      <c r="AQ1724" s="19"/>
      <c r="AR1724" s="19"/>
      <c r="AS1724" s="19"/>
      <c r="AT1724" s="19"/>
      <c r="AU1724" s="19"/>
      <c r="AV1724" s="19"/>
      <c r="AW1724" s="19"/>
      <c r="AX1724" s="19"/>
      <c r="GA1724" s="54"/>
    </row>
    <row r="1725" spans="1:183" s="18" customFormat="1">
      <c r="A1725" s="51"/>
      <c r="B1725" s="52"/>
      <c r="C1725" s="52"/>
      <c r="D1725" s="52"/>
      <c r="E1725" s="53"/>
      <c r="F1725" s="52"/>
      <c r="G1725" s="52"/>
      <c r="H1725" s="52"/>
      <c r="I1725" s="53"/>
      <c r="J1725" s="52"/>
      <c r="K1725" s="52"/>
      <c r="L1725" s="52"/>
      <c r="M1725" s="52"/>
      <c r="N1725" s="19"/>
      <c r="O1725" s="19"/>
      <c r="P1725" s="19"/>
      <c r="Q1725" s="19"/>
      <c r="R1725" s="19"/>
      <c r="S1725" s="19"/>
      <c r="T1725" s="19"/>
      <c r="U1725" s="19"/>
      <c r="V1725" s="19"/>
      <c r="W1725" s="19"/>
      <c r="X1725" s="19"/>
      <c r="Y1725" s="19"/>
      <c r="Z1725" s="19"/>
      <c r="AA1725" s="19"/>
      <c r="AB1725" s="19"/>
      <c r="AC1725" s="19"/>
      <c r="AD1725" s="19"/>
      <c r="AE1725" s="19"/>
      <c r="AF1725" s="19"/>
      <c r="AG1725" s="19"/>
      <c r="AH1725" s="19"/>
      <c r="AI1725" s="19"/>
      <c r="AJ1725" s="19"/>
      <c r="AK1725" s="19"/>
      <c r="AL1725" s="19"/>
      <c r="AM1725" s="19"/>
      <c r="AN1725" s="19"/>
      <c r="AO1725" s="19"/>
      <c r="AP1725" s="19"/>
      <c r="AQ1725" s="19"/>
      <c r="AR1725" s="19"/>
      <c r="AS1725" s="19"/>
      <c r="AT1725" s="19"/>
      <c r="AU1725" s="19"/>
      <c r="AV1725" s="19"/>
      <c r="AW1725" s="19"/>
      <c r="AX1725" s="19"/>
      <c r="GA1725" s="54"/>
    </row>
    <row r="1726" spans="1:183" s="18" customFormat="1">
      <c r="A1726" s="51"/>
      <c r="B1726" s="52"/>
      <c r="C1726" s="52"/>
      <c r="D1726" s="52"/>
      <c r="E1726" s="53"/>
      <c r="F1726" s="52"/>
      <c r="G1726" s="52"/>
      <c r="H1726" s="52"/>
      <c r="I1726" s="53"/>
      <c r="J1726" s="52"/>
      <c r="K1726" s="52"/>
      <c r="L1726" s="52"/>
      <c r="M1726" s="52"/>
      <c r="N1726" s="19"/>
      <c r="O1726" s="19"/>
      <c r="P1726" s="19"/>
      <c r="Q1726" s="19"/>
      <c r="R1726" s="19"/>
      <c r="S1726" s="19"/>
      <c r="T1726" s="19"/>
      <c r="U1726" s="19"/>
      <c r="V1726" s="19"/>
      <c r="W1726" s="19"/>
      <c r="X1726" s="19"/>
      <c r="Y1726" s="19"/>
      <c r="Z1726" s="19"/>
      <c r="AA1726" s="19"/>
      <c r="AB1726" s="19"/>
      <c r="AC1726" s="19"/>
      <c r="AD1726" s="19"/>
      <c r="AE1726" s="19"/>
      <c r="AF1726" s="19"/>
      <c r="AG1726" s="19"/>
      <c r="AH1726" s="19"/>
      <c r="AI1726" s="19"/>
      <c r="AJ1726" s="19"/>
      <c r="AK1726" s="19"/>
      <c r="AL1726" s="19"/>
      <c r="AM1726" s="19"/>
      <c r="AN1726" s="19"/>
      <c r="AO1726" s="19"/>
      <c r="AP1726" s="19"/>
      <c r="AQ1726" s="19"/>
      <c r="AR1726" s="19"/>
      <c r="AS1726" s="19"/>
      <c r="AT1726" s="19"/>
      <c r="AU1726" s="19"/>
      <c r="AV1726" s="19"/>
      <c r="AW1726" s="19"/>
      <c r="AX1726" s="19"/>
      <c r="GA1726" s="54"/>
    </row>
    <row r="1727" spans="1:183" s="18" customFormat="1">
      <c r="A1727" s="51"/>
      <c r="B1727" s="52"/>
      <c r="C1727" s="52"/>
      <c r="D1727" s="52"/>
      <c r="E1727" s="53"/>
      <c r="F1727" s="52"/>
      <c r="G1727" s="52"/>
      <c r="H1727" s="52"/>
      <c r="I1727" s="53"/>
      <c r="J1727" s="52"/>
      <c r="K1727" s="52"/>
      <c r="L1727" s="52"/>
      <c r="M1727" s="52"/>
      <c r="N1727" s="19"/>
      <c r="O1727" s="19"/>
      <c r="P1727" s="19"/>
      <c r="Q1727" s="19"/>
      <c r="R1727" s="19"/>
      <c r="S1727" s="19"/>
      <c r="T1727" s="19"/>
      <c r="U1727" s="19"/>
      <c r="V1727" s="19"/>
      <c r="W1727" s="19"/>
      <c r="X1727" s="19"/>
      <c r="Y1727" s="19"/>
      <c r="Z1727" s="19"/>
      <c r="AA1727" s="19"/>
      <c r="AB1727" s="19"/>
      <c r="AC1727" s="19"/>
      <c r="AD1727" s="19"/>
      <c r="AE1727" s="19"/>
      <c r="AF1727" s="19"/>
      <c r="AG1727" s="19"/>
      <c r="AH1727" s="19"/>
      <c r="AI1727" s="19"/>
      <c r="AJ1727" s="19"/>
      <c r="AK1727" s="19"/>
      <c r="AL1727" s="19"/>
      <c r="AM1727" s="19"/>
      <c r="AN1727" s="19"/>
      <c r="AO1727" s="19"/>
      <c r="AP1727" s="19"/>
      <c r="AQ1727" s="19"/>
      <c r="AR1727" s="19"/>
      <c r="AS1727" s="19"/>
      <c r="AT1727" s="19"/>
      <c r="AU1727" s="19"/>
      <c r="AV1727" s="19"/>
      <c r="AW1727" s="19"/>
      <c r="AX1727" s="19"/>
      <c r="GA1727" s="54"/>
    </row>
    <row r="1728" spans="1:183" s="18" customFormat="1">
      <c r="A1728" s="51"/>
      <c r="B1728" s="52"/>
      <c r="C1728" s="52"/>
      <c r="D1728" s="52"/>
      <c r="E1728" s="53"/>
      <c r="F1728" s="52"/>
      <c r="G1728" s="52"/>
      <c r="H1728" s="52"/>
      <c r="I1728" s="53"/>
      <c r="J1728" s="52"/>
      <c r="K1728" s="52"/>
      <c r="L1728" s="52"/>
      <c r="M1728" s="52"/>
      <c r="N1728" s="19"/>
      <c r="O1728" s="19"/>
      <c r="P1728" s="19"/>
      <c r="Q1728" s="19"/>
      <c r="R1728" s="19"/>
      <c r="S1728" s="19"/>
      <c r="T1728" s="19"/>
      <c r="U1728" s="19"/>
      <c r="V1728" s="19"/>
      <c r="W1728" s="19"/>
      <c r="X1728" s="19"/>
      <c r="Y1728" s="19"/>
      <c r="Z1728" s="19"/>
      <c r="AA1728" s="19"/>
      <c r="AB1728" s="19"/>
      <c r="AC1728" s="19"/>
      <c r="AD1728" s="19"/>
      <c r="AE1728" s="19"/>
      <c r="AF1728" s="19"/>
      <c r="AG1728" s="19"/>
      <c r="AH1728" s="19"/>
      <c r="AI1728" s="19"/>
      <c r="AJ1728" s="19"/>
      <c r="AK1728" s="19"/>
      <c r="AL1728" s="19"/>
      <c r="AM1728" s="19"/>
      <c r="AN1728" s="19"/>
      <c r="AO1728" s="19"/>
      <c r="AP1728" s="19"/>
      <c r="AQ1728" s="19"/>
      <c r="AR1728" s="19"/>
      <c r="AS1728" s="19"/>
      <c r="AT1728" s="19"/>
      <c r="AU1728" s="19"/>
      <c r="AV1728" s="19"/>
      <c r="AW1728" s="19"/>
      <c r="AX1728" s="19"/>
      <c r="GA1728" s="54"/>
    </row>
    <row r="1729" spans="1:183" s="18" customFormat="1">
      <c r="A1729" s="51"/>
      <c r="B1729" s="52"/>
      <c r="C1729" s="52"/>
      <c r="D1729" s="52"/>
      <c r="E1729" s="53"/>
      <c r="F1729" s="52"/>
      <c r="G1729" s="52"/>
      <c r="H1729" s="52"/>
      <c r="I1729" s="53"/>
      <c r="J1729" s="52"/>
      <c r="K1729" s="52"/>
      <c r="L1729" s="52"/>
      <c r="M1729" s="52"/>
      <c r="N1729" s="19"/>
      <c r="O1729" s="19"/>
      <c r="P1729" s="19"/>
      <c r="Q1729" s="19"/>
      <c r="R1729" s="19"/>
      <c r="S1729" s="19"/>
      <c r="T1729" s="19"/>
      <c r="U1729" s="19"/>
      <c r="V1729" s="19"/>
      <c r="W1729" s="19"/>
      <c r="X1729" s="19"/>
      <c r="Y1729" s="19"/>
      <c r="Z1729" s="19"/>
      <c r="AA1729" s="19"/>
      <c r="AB1729" s="19"/>
      <c r="AC1729" s="19"/>
      <c r="AD1729" s="19"/>
      <c r="AE1729" s="19"/>
      <c r="AF1729" s="19"/>
      <c r="AG1729" s="19"/>
      <c r="AH1729" s="19"/>
      <c r="AI1729" s="19"/>
      <c r="AJ1729" s="19"/>
      <c r="AK1729" s="19"/>
      <c r="AL1729" s="19"/>
      <c r="AM1729" s="19"/>
      <c r="AN1729" s="19"/>
      <c r="AO1729" s="19"/>
      <c r="AP1729" s="19"/>
      <c r="AQ1729" s="19"/>
      <c r="AR1729" s="19"/>
      <c r="AS1729" s="19"/>
      <c r="AT1729" s="19"/>
      <c r="AU1729" s="19"/>
      <c r="AV1729" s="19"/>
      <c r="AW1729" s="19"/>
      <c r="AX1729" s="19"/>
      <c r="GA1729" s="54"/>
    </row>
    <row r="1730" spans="1:183" s="18" customFormat="1">
      <c r="A1730" s="51"/>
      <c r="B1730" s="52"/>
      <c r="C1730" s="52"/>
      <c r="D1730" s="52"/>
      <c r="E1730" s="53"/>
      <c r="F1730" s="52"/>
      <c r="G1730" s="52"/>
      <c r="H1730" s="52"/>
      <c r="I1730" s="53"/>
      <c r="J1730" s="52"/>
      <c r="K1730" s="52"/>
      <c r="L1730" s="52"/>
      <c r="M1730" s="52"/>
      <c r="N1730" s="19"/>
      <c r="O1730" s="19"/>
      <c r="P1730" s="19"/>
      <c r="Q1730" s="19"/>
      <c r="R1730" s="19"/>
      <c r="S1730" s="19"/>
      <c r="T1730" s="19"/>
      <c r="U1730" s="19"/>
      <c r="V1730" s="19"/>
      <c r="W1730" s="19"/>
      <c r="X1730" s="19"/>
      <c r="Y1730" s="19"/>
      <c r="Z1730" s="19"/>
      <c r="AA1730" s="19"/>
      <c r="AB1730" s="19"/>
      <c r="AC1730" s="19"/>
      <c r="AD1730" s="19"/>
      <c r="AE1730" s="19"/>
      <c r="AF1730" s="19"/>
      <c r="AG1730" s="19"/>
      <c r="AH1730" s="19"/>
      <c r="AI1730" s="19"/>
      <c r="AJ1730" s="19"/>
      <c r="AK1730" s="19"/>
      <c r="AL1730" s="19"/>
      <c r="AM1730" s="19"/>
      <c r="AN1730" s="19"/>
      <c r="AO1730" s="19"/>
      <c r="AP1730" s="19"/>
      <c r="AQ1730" s="19"/>
      <c r="AR1730" s="19"/>
      <c r="AS1730" s="19"/>
      <c r="AT1730" s="19"/>
      <c r="AU1730" s="19"/>
      <c r="AV1730" s="19"/>
      <c r="AW1730" s="19"/>
      <c r="AX1730" s="19"/>
      <c r="GA1730" s="54"/>
    </row>
    <row r="1731" spans="1:183" s="18" customFormat="1">
      <c r="A1731" s="51"/>
      <c r="B1731" s="52"/>
      <c r="C1731" s="52"/>
      <c r="D1731" s="52"/>
      <c r="E1731" s="53"/>
      <c r="F1731" s="52"/>
      <c r="G1731" s="52"/>
      <c r="H1731" s="52"/>
      <c r="I1731" s="53"/>
      <c r="J1731" s="52"/>
      <c r="K1731" s="52"/>
      <c r="L1731" s="52"/>
      <c r="M1731" s="52"/>
      <c r="N1731" s="19"/>
      <c r="O1731" s="19"/>
      <c r="P1731" s="19"/>
      <c r="Q1731" s="19"/>
      <c r="R1731" s="19"/>
      <c r="S1731" s="19"/>
      <c r="T1731" s="19"/>
      <c r="U1731" s="19"/>
      <c r="V1731" s="19"/>
      <c r="W1731" s="19"/>
      <c r="X1731" s="19"/>
      <c r="Y1731" s="19"/>
      <c r="Z1731" s="19"/>
      <c r="AA1731" s="19"/>
      <c r="AB1731" s="19"/>
      <c r="AC1731" s="19"/>
      <c r="AD1731" s="19"/>
      <c r="AE1731" s="19"/>
      <c r="AF1731" s="19"/>
      <c r="AG1731" s="19"/>
      <c r="AH1731" s="19"/>
      <c r="AI1731" s="19"/>
      <c r="AJ1731" s="19"/>
      <c r="AK1731" s="19"/>
      <c r="AL1731" s="19"/>
      <c r="AM1731" s="19"/>
      <c r="AN1731" s="19"/>
      <c r="AO1731" s="19"/>
      <c r="AP1731" s="19"/>
      <c r="AQ1731" s="19"/>
      <c r="AR1731" s="19"/>
      <c r="AS1731" s="19"/>
      <c r="AT1731" s="19"/>
      <c r="AU1731" s="19"/>
      <c r="AV1731" s="19"/>
      <c r="AW1731" s="19"/>
      <c r="AX1731" s="19"/>
      <c r="GA1731" s="54"/>
    </row>
    <row r="1732" spans="1:183" s="18" customFormat="1">
      <c r="A1732" s="51"/>
      <c r="B1732" s="52"/>
      <c r="C1732" s="52"/>
      <c r="D1732" s="52"/>
      <c r="E1732" s="53"/>
      <c r="F1732" s="52"/>
      <c r="G1732" s="52"/>
      <c r="H1732" s="52"/>
      <c r="I1732" s="53"/>
      <c r="J1732" s="52"/>
      <c r="K1732" s="52"/>
      <c r="L1732" s="52"/>
      <c r="M1732" s="52"/>
      <c r="N1732" s="19"/>
      <c r="O1732" s="19"/>
      <c r="P1732" s="19"/>
      <c r="Q1732" s="19"/>
      <c r="R1732" s="19"/>
      <c r="S1732" s="19"/>
      <c r="T1732" s="19"/>
      <c r="U1732" s="19"/>
      <c r="V1732" s="19"/>
      <c r="W1732" s="19"/>
      <c r="X1732" s="19"/>
      <c r="Y1732" s="19"/>
      <c r="Z1732" s="19"/>
      <c r="AA1732" s="19"/>
      <c r="AB1732" s="19"/>
      <c r="AC1732" s="19"/>
      <c r="AD1732" s="19"/>
      <c r="AE1732" s="19"/>
      <c r="AF1732" s="19"/>
      <c r="AG1732" s="19"/>
      <c r="AH1732" s="19"/>
      <c r="AI1732" s="19"/>
      <c r="AJ1732" s="19"/>
      <c r="AK1732" s="19"/>
      <c r="AL1732" s="19"/>
      <c r="AM1732" s="19"/>
      <c r="AN1732" s="19"/>
      <c r="AO1732" s="19"/>
      <c r="AP1732" s="19"/>
      <c r="AQ1732" s="19"/>
      <c r="AR1732" s="19"/>
      <c r="AS1732" s="19"/>
      <c r="AT1732" s="19"/>
      <c r="AU1732" s="19"/>
      <c r="AV1732" s="19"/>
      <c r="AW1732" s="19"/>
      <c r="AX1732" s="19"/>
      <c r="GA1732" s="54"/>
    </row>
    <row r="1733" spans="1:183" s="18" customFormat="1">
      <c r="A1733" s="51"/>
      <c r="B1733" s="52"/>
      <c r="C1733" s="52"/>
      <c r="D1733" s="52"/>
      <c r="E1733" s="53"/>
      <c r="F1733" s="52"/>
      <c r="G1733" s="52"/>
      <c r="H1733" s="52"/>
      <c r="I1733" s="53"/>
      <c r="J1733" s="52"/>
      <c r="K1733" s="52"/>
      <c r="L1733" s="52"/>
      <c r="M1733" s="52"/>
      <c r="N1733" s="19"/>
      <c r="O1733" s="19"/>
      <c r="P1733" s="19"/>
      <c r="Q1733" s="19"/>
      <c r="R1733" s="19"/>
      <c r="S1733" s="19"/>
      <c r="T1733" s="19"/>
      <c r="U1733" s="19"/>
      <c r="V1733" s="19"/>
      <c r="W1733" s="19"/>
      <c r="X1733" s="19"/>
      <c r="Y1733" s="19"/>
      <c r="Z1733" s="19"/>
      <c r="AA1733" s="19"/>
      <c r="AB1733" s="19"/>
      <c r="AC1733" s="19"/>
      <c r="AD1733" s="19"/>
      <c r="AE1733" s="19"/>
      <c r="AF1733" s="19"/>
      <c r="AG1733" s="19"/>
      <c r="AH1733" s="19"/>
      <c r="AI1733" s="19"/>
      <c r="AJ1733" s="19"/>
      <c r="AK1733" s="19"/>
      <c r="AL1733" s="19"/>
      <c r="AM1733" s="19"/>
      <c r="AN1733" s="19"/>
      <c r="AO1733" s="19"/>
      <c r="AP1733" s="19"/>
      <c r="AQ1733" s="19"/>
      <c r="AR1733" s="19"/>
      <c r="AS1733" s="19"/>
      <c r="AT1733" s="19"/>
      <c r="AU1733" s="19"/>
      <c r="AV1733" s="19"/>
      <c r="AW1733" s="19"/>
      <c r="AX1733" s="19"/>
      <c r="GA1733" s="54"/>
    </row>
    <row r="1734" spans="1:183" s="18" customFormat="1">
      <c r="A1734" s="51"/>
      <c r="B1734" s="52"/>
      <c r="C1734" s="52"/>
      <c r="D1734" s="52"/>
      <c r="E1734" s="53" t="s">
        <v>11</v>
      </c>
      <c r="F1734" s="52"/>
      <c r="G1734" s="52"/>
      <c r="H1734" s="52"/>
      <c r="I1734" s="53"/>
      <c r="J1734" s="52"/>
      <c r="K1734" s="52"/>
      <c r="L1734" s="52"/>
      <c r="M1734" s="52"/>
      <c r="N1734" s="19"/>
      <c r="O1734" s="19"/>
      <c r="P1734" s="19"/>
      <c r="Q1734" s="19"/>
      <c r="R1734" s="19"/>
      <c r="S1734" s="19"/>
      <c r="T1734" s="19"/>
      <c r="U1734" s="19"/>
      <c r="V1734" s="19"/>
      <c r="W1734" s="19"/>
      <c r="X1734" s="19"/>
      <c r="Y1734" s="19"/>
      <c r="Z1734" s="19"/>
      <c r="AA1734" s="19"/>
      <c r="AB1734" s="19"/>
      <c r="AC1734" s="19"/>
      <c r="AD1734" s="19"/>
      <c r="AE1734" s="19"/>
      <c r="AF1734" s="19"/>
      <c r="AG1734" s="19"/>
      <c r="AH1734" s="19"/>
      <c r="AI1734" s="19"/>
      <c r="AJ1734" s="19"/>
      <c r="AK1734" s="19"/>
      <c r="AL1734" s="19"/>
      <c r="AM1734" s="19"/>
      <c r="AN1734" s="19"/>
      <c r="AO1734" s="19"/>
      <c r="AP1734" s="19"/>
      <c r="AQ1734" s="19"/>
      <c r="AR1734" s="19"/>
      <c r="AS1734" s="19"/>
      <c r="AT1734" s="19"/>
      <c r="AU1734" s="19"/>
      <c r="AV1734" s="19"/>
      <c r="AW1734" s="19"/>
      <c r="AX1734" s="19"/>
      <c r="GA1734" s="54"/>
    </row>
    <row r="1735" spans="1:183" ht="12.75" customHeight="1">
      <c r="Z1735" s="19"/>
      <c r="AA1735" s="19"/>
      <c r="AB1735" s="19"/>
      <c r="AC1735" s="19"/>
      <c r="AD1735" s="19"/>
      <c r="AE1735" s="19"/>
      <c r="AF1735" s="19"/>
      <c r="AG1735" s="19"/>
      <c r="AH1735" s="19"/>
      <c r="AI1735" s="19"/>
      <c r="AJ1735" s="19"/>
    </row>
  </sheetData>
  <sheetProtection password="ECEC" sheet="1" objects="1" scenarios="1" formatRows="0" insertRows="0"/>
  <customSheetViews>
    <customSheetView guid="{9FD33A57-86F0-4BF5-A6C0-5833A5B59516}" showGridLines="0" fitToPage="1">
      <pane xSplit="2" ySplit="3" topLeftCell="C4" activePane="bottomRight" state="frozen"/>
      <selection pane="bottomRight" activeCell="E68" sqref="E68:N68"/>
      <pageMargins left="0.43307086614173229" right="0.43307086614173229" top="0.55118110236220474" bottom="0.55118110236220474" header="0.23622047244094491" footer="0.23622047244094491"/>
      <printOptions horizontalCentered="1"/>
      <pageSetup paperSize="9" scale="82" orientation="landscape" horizontalDpi="4294967295" r:id="rId1"/>
      <headerFooter alignWithMargins="0">
        <oddHeader>&amp;C&amp;"Verdana,Bold"&amp;12DAILY PRODUCTION REPORT - KARAMA FIELDS</oddHeader>
        <oddFooter>&amp;CPage &amp;P</oddFooter>
      </headerFooter>
    </customSheetView>
  </customSheetViews>
  <phoneticPr fontId="2" type="noConversion"/>
  <conditionalFormatting sqref="B13:B19">
    <cfRule type="expression" dxfId="220" priority="1236" stopIfTrue="1">
      <formula>$D13="SI"</formula>
    </cfRule>
  </conditionalFormatting>
  <conditionalFormatting sqref="C17:D19">
    <cfRule type="expression" dxfId="219" priority="1242" stopIfTrue="1">
      <formula>OR($D17="SI",$D17="T&amp;A")</formula>
    </cfRule>
  </conditionalFormatting>
  <conditionalFormatting sqref="B16:B17">
    <cfRule type="expression" dxfId="218" priority="1227" stopIfTrue="1">
      <formula>$D16="SI"</formula>
    </cfRule>
  </conditionalFormatting>
  <conditionalFormatting sqref="C17:D17">
    <cfRule type="expression" dxfId="217" priority="1226" stopIfTrue="1">
      <formula>OR($D17="SI",$D17="T&amp;A")</formula>
    </cfRule>
  </conditionalFormatting>
  <conditionalFormatting sqref="B16:B17">
    <cfRule type="expression" dxfId="216" priority="1225" stopIfTrue="1">
      <formula>$D16="SI"</formula>
    </cfRule>
  </conditionalFormatting>
  <conditionalFormatting sqref="C17:D17">
    <cfRule type="expression" dxfId="215" priority="1224" stopIfTrue="1">
      <formula>OR($D17="SI",$D17="T&amp;A")</formula>
    </cfRule>
  </conditionalFormatting>
  <conditionalFormatting sqref="C17:D17">
    <cfRule type="expression" dxfId="214" priority="1223" stopIfTrue="1">
      <formula>OR($D17="SI",$D17="T&amp;A")</formula>
    </cfRule>
  </conditionalFormatting>
  <conditionalFormatting sqref="B16:B17">
    <cfRule type="expression" dxfId="213" priority="1222" stopIfTrue="1">
      <formula>$D16="SI"</formula>
    </cfRule>
  </conditionalFormatting>
  <conditionalFormatting sqref="C17:D17">
    <cfRule type="expression" dxfId="212" priority="1221" stopIfTrue="1">
      <formula>OR($D17="SI",$D17="T&amp;A")</formula>
    </cfRule>
  </conditionalFormatting>
  <conditionalFormatting sqref="C17:D17">
    <cfRule type="expression" dxfId="211" priority="1220" stopIfTrue="1">
      <formula>OR($D17="SI",$D17="T&amp;A")</formula>
    </cfRule>
  </conditionalFormatting>
  <conditionalFormatting sqref="B13:B17">
    <cfRule type="expression" dxfId="210" priority="1197" stopIfTrue="1">
      <formula>$D13="SI"</formula>
    </cfRule>
  </conditionalFormatting>
  <conditionalFormatting sqref="C17:D17">
    <cfRule type="expression" dxfId="209" priority="1194" stopIfTrue="1">
      <formula>OR($D17="SI",$D17="T&amp;A")</formula>
    </cfRule>
  </conditionalFormatting>
  <conditionalFormatting sqref="B13:B17">
    <cfRule type="expression" dxfId="208" priority="1193" stopIfTrue="1">
      <formula>$D13="SI"</formula>
    </cfRule>
  </conditionalFormatting>
  <conditionalFormatting sqref="C17:D17">
    <cfRule type="expression" dxfId="207" priority="1192" stopIfTrue="1">
      <formula>OR($D17="SI",$D17="T&amp;A")</formula>
    </cfRule>
  </conditionalFormatting>
  <conditionalFormatting sqref="B13:B14">
    <cfRule type="expression" dxfId="206" priority="1190" stopIfTrue="1">
      <formula>$D13="SI"</formula>
    </cfRule>
  </conditionalFormatting>
  <conditionalFormatting sqref="B16">
    <cfRule type="expression" dxfId="205" priority="1187" stopIfTrue="1">
      <formula>$D16="SI"</formula>
    </cfRule>
  </conditionalFormatting>
  <conditionalFormatting sqref="B16">
    <cfRule type="expression" dxfId="204" priority="1185" stopIfTrue="1">
      <formula>$D16="SI"</formula>
    </cfRule>
  </conditionalFormatting>
  <conditionalFormatting sqref="B16">
    <cfRule type="expression" dxfId="203" priority="1182" stopIfTrue="1">
      <formula>$D16="SI"</formula>
    </cfRule>
  </conditionalFormatting>
  <conditionalFormatting sqref="B15">
    <cfRule type="expression" dxfId="202" priority="1179" stopIfTrue="1">
      <formula>$D15="SI"</formula>
    </cfRule>
  </conditionalFormatting>
  <conditionalFormatting sqref="B15">
    <cfRule type="expression" dxfId="201" priority="1177" stopIfTrue="1">
      <formula>$D15="SI"</formula>
    </cfRule>
  </conditionalFormatting>
  <conditionalFormatting sqref="B15">
    <cfRule type="expression" dxfId="200" priority="1174" stopIfTrue="1">
      <formula>$D15="SI"</formula>
    </cfRule>
  </conditionalFormatting>
  <conditionalFormatting sqref="B16">
    <cfRule type="expression" dxfId="199" priority="1171" stopIfTrue="1">
      <formula>$D16="SI"</formula>
    </cfRule>
  </conditionalFormatting>
  <conditionalFormatting sqref="B16">
    <cfRule type="expression" dxfId="198" priority="1170" stopIfTrue="1">
      <formula>$D16="SI"</formula>
    </cfRule>
  </conditionalFormatting>
  <conditionalFormatting sqref="B12">
    <cfRule type="expression" dxfId="197" priority="771" stopIfTrue="1">
      <formula>$D12="SI"</formula>
    </cfRule>
  </conditionalFormatting>
  <conditionalFormatting sqref="B12">
    <cfRule type="expression" dxfId="196" priority="767" stopIfTrue="1">
      <formula>$D12="SI"</formula>
    </cfRule>
  </conditionalFormatting>
  <conditionalFormatting sqref="B12">
    <cfRule type="expression" dxfId="195" priority="766" stopIfTrue="1">
      <formula>$D12="SI"</formula>
    </cfRule>
  </conditionalFormatting>
  <conditionalFormatting sqref="B12">
    <cfRule type="expression" dxfId="194" priority="765" stopIfTrue="1">
      <formula>$D12="SI"</formula>
    </cfRule>
  </conditionalFormatting>
  <conditionalFormatting sqref="B11">
    <cfRule type="expression" dxfId="193" priority="388" stopIfTrue="1">
      <formula>$D11="SI"</formula>
    </cfRule>
  </conditionalFormatting>
  <conditionalFormatting sqref="B11">
    <cfRule type="expression" dxfId="192" priority="387" stopIfTrue="1">
      <formula>$D11="SI"</formula>
    </cfRule>
  </conditionalFormatting>
  <conditionalFormatting sqref="B11">
    <cfRule type="expression" dxfId="191" priority="386" stopIfTrue="1">
      <formula>$D11="SI"</formula>
    </cfRule>
  </conditionalFormatting>
  <conditionalFormatting sqref="B11">
    <cfRule type="expression" dxfId="190" priority="385" stopIfTrue="1">
      <formula>$D11="SI"</formula>
    </cfRule>
  </conditionalFormatting>
  <conditionalFormatting sqref="B20">
    <cfRule type="expression" dxfId="189" priority="112" stopIfTrue="1">
      <formula>$D20="SI"</formula>
    </cfRule>
  </conditionalFormatting>
  <conditionalFormatting sqref="B20">
    <cfRule type="expression" dxfId="188" priority="111" stopIfTrue="1">
      <formula>$D20="SI"</formula>
    </cfRule>
  </conditionalFormatting>
  <conditionalFormatting sqref="B20">
    <cfRule type="expression" dxfId="187" priority="110" stopIfTrue="1">
      <formula>$D20="SI"</formula>
    </cfRule>
  </conditionalFormatting>
  <conditionalFormatting sqref="B20">
    <cfRule type="expression" dxfId="186" priority="109" stopIfTrue="1">
      <formula>$D20="SI"</formula>
    </cfRule>
  </conditionalFormatting>
  <conditionalFormatting sqref="B5">
    <cfRule type="expression" dxfId="185" priority="52" stopIfTrue="1">
      <formula>$D5="SI"</formula>
    </cfRule>
  </conditionalFormatting>
  <conditionalFormatting sqref="B5">
    <cfRule type="expression" dxfId="184" priority="51" stopIfTrue="1">
      <formula>$D5="SI"</formula>
    </cfRule>
  </conditionalFormatting>
  <conditionalFormatting sqref="B5">
    <cfRule type="expression" dxfId="183" priority="50" stopIfTrue="1">
      <formula>$D5="SI"</formula>
    </cfRule>
  </conditionalFormatting>
  <conditionalFormatting sqref="B5">
    <cfRule type="expression" dxfId="182" priority="49" stopIfTrue="1">
      <formula>$D5="SI"</formula>
    </cfRule>
  </conditionalFormatting>
  <conditionalFormatting sqref="B6">
    <cfRule type="expression" dxfId="181" priority="44" stopIfTrue="1">
      <formula>$D6="SI"</formula>
    </cfRule>
  </conditionalFormatting>
  <conditionalFormatting sqref="B6">
    <cfRule type="expression" dxfId="180" priority="43" stopIfTrue="1">
      <formula>$D6="SI"</formula>
    </cfRule>
  </conditionalFormatting>
  <conditionalFormatting sqref="B6">
    <cfRule type="expression" dxfId="179" priority="42" stopIfTrue="1">
      <formula>$D6="SI"</formula>
    </cfRule>
  </conditionalFormatting>
  <conditionalFormatting sqref="B6">
    <cfRule type="expression" dxfId="178" priority="41" stopIfTrue="1">
      <formula>$D6="SI"</formula>
    </cfRule>
  </conditionalFormatting>
  <conditionalFormatting sqref="B7">
    <cfRule type="expression" dxfId="177" priority="40" stopIfTrue="1">
      <formula>$D7="SI"</formula>
    </cfRule>
  </conditionalFormatting>
  <conditionalFormatting sqref="B7">
    <cfRule type="expression" dxfId="176" priority="39" stopIfTrue="1">
      <formula>$D7="SI"</formula>
    </cfRule>
  </conditionalFormatting>
  <conditionalFormatting sqref="B7">
    <cfRule type="expression" dxfId="175" priority="38" stopIfTrue="1">
      <formula>$D7="SI"</formula>
    </cfRule>
  </conditionalFormatting>
  <conditionalFormatting sqref="B7">
    <cfRule type="expression" dxfId="174" priority="37" stopIfTrue="1">
      <formula>$D7="SI"</formula>
    </cfRule>
  </conditionalFormatting>
  <conditionalFormatting sqref="B8:B9">
    <cfRule type="expression" dxfId="173" priority="24" stopIfTrue="1">
      <formula>$D8="SI"</formula>
    </cfRule>
  </conditionalFormatting>
  <conditionalFormatting sqref="B8:B9">
    <cfRule type="expression" dxfId="172" priority="23" stopIfTrue="1">
      <formula>$D8="SI"</formula>
    </cfRule>
  </conditionalFormatting>
  <conditionalFormatting sqref="B8:B9">
    <cfRule type="expression" dxfId="171" priority="22" stopIfTrue="1">
      <formula>$D8="SI"</formula>
    </cfRule>
  </conditionalFormatting>
  <conditionalFormatting sqref="B8:B9">
    <cfRule type="expression" dxfId="170" priority="21" stopIfTrue="1">
      <formula>$D8="SI"</formula>
    </cfRule>
  </conditionalFormatting>
  <conditionalFormatting sqref="B10">
    <cfRule type="expression" dxfId="169" priority="20" stopIfTrue="1">
      <formula>$D10="SI"</formula>
    </cfRule>
  </conditionalFormatting>
  <conditionalFormatting sqref="B10">
    <cfRule type="expression" dxfId="168" priority="19" stopIfTrue="1">
      <formula>$D10="SI"</formula>
    </cfRule>
  </conditionalFormatting>
  <conditionalFormatting sqref="B10">
    <cfRule type="expression" dxfId="167" priority="18" stopIfTrue="1">
      <formula>$D10="SI"</formula>
    </cfRule>
  </conditionalFormatting>
  <conditionalFormatting sqref="B10">
    <cfRule type="expression" dxfId="166" priority="17" stopIfTrue="1">
      <formula>$D10="SI"</formula>
    </cfRule>
  </conditionalFormatting>
  <conditionalFormatting sqref="B3">
    <cfRule type="expression" dxfId="165" priority="8" stopIfTrue="1">
      <formula>$D3="SI"</formula>
    </cfRule>
  </conditionalFormatting>
  <conditionalFormatting sqref="B3">
    <cfRule type="expression" dxfId="164" priority="7" stopIfTrue="1">
      <formula>$D3="SI"</formula>
    </cfRule>
  </conditionalFormatting>
  <conditionalFormatting sqref="B3">
    <cfRule type="expression" dxfId="163" priority="6" stopIfTrue="1">
      <formula>$D3="SI"</formula>
    </cfRule>
  </conditionalFormatting>
  <conditionalFormatting sqref="B3">
    <cfRule type="expression" dxfId="162" priority="5" stopIfTrue="1">
      <formula>$D3="SI"</formula>
    </cfRule>
  </conditionalFormatting>
  <conditionalFormatting sqref="B4">
    <cfRule type="expression" dxfId="161" priority="4" stopIfTrue="1">
      <formula>$D4="SI"</formula>
    </cfRule>
  </conditionalFormatting>
  <conditionalFormatting sqref="B4">
    <cfRule type="expression" dxfId="160" priority="3" stopIfTrue="1">
      <formula>$D4="SI"</formula>
    </cfRule>
  </conditionalFormatting>
  <conditionalFormatting sqref="B4">
    <cfRule type="expression" dxfId="159" priority="2" stopIfTrue="1">
      <formula>$D4="SI"</formula>
    </cfRule>
  </conditionalFormatting>
  <conditionalFormatting sqref="B4">
    <cfRule type="expression" dxfId="158" priority="1" stopIfTrue="1">
      <formula>$D4="SI"</formula>
    </cfRule>
  </conditionalFormatting>
  <dataValidations count="5">
    <dataValidation type="whole" allowBlank="1" showInputMessage="1" showErrorMessage="1" errorTitle="DFL DATA" error="Whole number &gt;=0" sqref="H13:H18 E11:H11 E4 E13:G20 E8:G10 K13:L20 K6:L11 K4:L4 E5:F7 G4:H4 G6:G7">
      <formula1>0</formula1>
      <formula2>500000</formula2>
    </dataValidation>
    <dataValidation type="list" allowBlank="1" showInputMessage="1" showErrorMessage="1" errorTitle="WELL STATUS" error="You may only select a Status from the dropdown list." sqref="D13:D20 D8:D11 D3:D4 D6">
      <formula1>WELL_STATUS</formula1>
    </dataValidation>
    <dataValidation type="list" allowBlank="1" showInputMessage="1" showErrorMessage="1" errorTitle="WELL NAME" error="You have entered a well that is not on the master well list.  Please select the well name from the dropdown." sqref="B13:B20 B3:B11">
      <formula1>WELL_NAME</formula1>
    </dataValidation>
    <dataValidation type="list" allowBlank="1" showInputMessage="1" showErrorMessage="1" errorTitle="WELL NAME" error="You have entered a well that is not on the master well list.  Please select the well name from the dropdown." sqref="C13:C20 C3:C11">
      <formula1>ZONE</formula1>
    </dataValidation>
    <dataValidation type="whole" allowBlank="1" showInputMessage="1" showErrorMessage="1" errorTitle="DFL DATA" error="Value must be a whole number &gt;=0" sqref="I13:I20 I6:I11 I4">
      <formula1>0</formula1>
      <formula2>500000</formula2>
    </dataValidation>
  </dataValidations>
  <printOptions horizontalCentered="1"/>
  <pageMargins left="0.43307086614173229" right="0.43307086614173229" top="0.55118110236220474" bottom="0.55118110236220474" header="0.23622047244094491" footer="0.23622047244094491"/>
  <pageSetup paperSize="9" scale="82" orientation="landscape" horizontalDpi="4294967295" r:id="rId2"/>
  <headerFooter alignWithMargins="0">
    <oddHeader>&amp;C&amp;"Verdana,Bold"&amp;12DAILY PRODUCTION REPORT - KARAMA FIELDS</oddHeader>
    <oddFooter>&amp;CPage &amp;P</oddFooter>
  </headerFooter>
  <drawing r:id="rId3"/>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pageSetUpPr fitToPage="1"/>
  </sheetPr>
  <dimension ref="A1:FM4050"/>
  <sheetViews>
    <sheetView workbookViewId="0"/>
  </sheetViews>
  <sheetFormatPr defaultRowHeight="12.75" customHeight="1"/>
  <cols>
    <col min="1" max="1" width="2.7109375" customWidth="1"/>
    <col min="2" max="2" width="32.5703125" bestFit="1" customWidth="1"/>
    <col min="3" max="3" width="15.85546875" customWidth="1"/>
    <col min="4" max="4" width="14.7109375" customWidth="1"/>
    <col min="5" max="5" width="10.140625" customWidth="1"/>
    <col min="6" max="6" width="12.140625" customWidth="1"/>
    <col min="7" max="7" width="8.85546875" customWidth="1"/>
    <col min="8" max="8" width="12.85546875" customWidth="1"/>
    <col min="9" max="9" width="14.5703125" customWidth="1"/>
    <col min="10" max="10" width="33.42578125" customWidth="1"/>
  </cols>
  <sheetData>
    <row r="1" spans="1:36" s="7" customFormat="1" ht="30" customHeight="1">
      <c r="A1" s="32"/>
      <c r="B1" s="47" t="s">
        <v>33</v>
      </c>
      <c r="C1" s="5"/>
      <c r="D1" s="721"/>
      <c r="E1" s="5"/>
      <c r="F1" s="5"/>
      <c r="G1" s="5"/>
      <c r="H1" s="49"/>
      <c r="J1" s="134">
        <f>REPDATE</f>
        <v>46299</v>
      </c>
      <c r="K1" s="9"/>
      <c r="L1" s="9"/>
      <c r="M1" s="9"/>
      <c r="N1" s="9"/>
      <c r="O1" s="9"/>
      <c r="P1" s="9"/>
      <c r="Q1" s="9"/>
      <c r="R1" s="9"/>
      <c r="S1" s="9"/>
      <c r="T1" s="9"/>
      <c r="U1" s="9"/>
      <c r="V1" s="9"/>
      <c r="W1" s="9"/>
      <c r="X1" s="9"/>
      <c r="Y1" s="9"/>
      <c r="Z1" s="9"/>
      <c r="AA1" s="9"/>
      <c r="AB1" s="9"/>
      <c r="AC1" s="9"/>
      <c r="AD1" s="9"/>
      <c r="AE1" s="9"/>
      <c r="AF1" s="9"/>
      <c r="AG1" s="9"/>
      <c r="AH1" s="9"/>
      <c r="AI1" s="9"/>
      <c r="AJ1" s="9"/>
    </row>
    <row r="2" spans="1:36" s="18" customFormat="1" ht="45" customHeight="1">
      <c r="A2" s="19"/>
      <c r="B2" s="711" t="s">
        <v>5</v>
      </c>
      <c r="C2" s="56" t="s">
        <v>1607</v>
      </c>
      <c r="D2" s="56" t="s">
        <v>1608</v>
      </c>
      <c r="E2" s="56" t="s">
        <v>1609</v>
      </c>
      <c r="F2" s="57" t="s">
        <v>1610</v>
      </c>
      <c r="G2" s="57" t="s">
        <v>42</v>
      </c>
      <c r="H2" s="57" t="s">
        <v>1611</v>
      </c>
      <c r="I2" s="57" t="s">
        <v>1612</v>
      </c>
      <c r="J2" s="712" t="s">
        <v>29</v>
      </c>
      <c r="K2" s="19"/>
      <c r="L2" s="19"/>
      <c r="M2" s="19"/>
      <c r="N2" s="19"/>
      <c r="O2" s="19"/>
      <c r="P2" s="19"/>
      <c r="Q2" s="19"/>
      <c r="R2" s="19"/>
      <c r="S2" s="19"/>
      <c r="T2" s="19"/>
      <c r="U2" s="19"/>
      <c r="V2" s="19"/>
      <c r="W2" s="19"/>
      <c r="X2" s="19"/>
      <c r="Y2" s="19"/>
      <c r="Z2" s="19"/>
      <c r="AA2" s="19"/>
      <c r="AB2" s="19"/>
      <c r="AC2" s="19"/>
      <c r="AD2" s="19"/>
      <c r="AE2" s="19"/>
      <c r="AF2" s="19"/>
      <c r="AG2" s="19"/>
      <c r="AH2" s="19"/>
      <c r="AI2" s="19"/>
      <c r="AJ2" s="19"/>
    </row>
    <row r="3" spans="1:36" s="36" customFormat="1" ht="32.25" hidden="1" customHeight="1" thickBot="1">
      <c r="A3" s="35"/>
      <c r="B3" s="20"/>
      <c r="C3" s="50"/>
      <c r="D3" s="715"/>
      <c r="E3" s="14"/>
      <c r="F3" s="14"/>
      <c r="G3" s="14"/>
      <c r="H3" s="14"/>
      <c r="I3" s="209"/>
      <c r="J3" s="14"/>
      <c r="K3" s="35"/>
      <c r="L3" s="35"/>
      <c r="M3" s="35"/>
      <c r="N3" s="35"/>
      <c r="O3" s="35"/>
      <c r="P3" s="35"/>
      <c r="Q3" s="35"/>
      <c r="R3" s="35"/>
      <c r="S3" s="35"/>
      <c r="T3" s="35"/>
      <c r="U3" s="35"/>
      <c r="W3" s="35"/>
      <c r="X3" s="35"/>
      <c r="Y3" s="35"/>
      <c r="Z3" s="35"/>
      <c r="AA3" s="35"/>
      <c r="AB3" s="35"/>
      <c r="AC3" s="35"/>
      <c r="AD3" s="35"/>
      <c r="AE3" s="35"/>
      <c r="AF3" s="35"/>
      <c r="AG3" s="35"/>
      <c r="AH3" s="35"/>
      <c r="AI3" s="35"/>
      <c r="AJ3" s="35"/>
    </row>
    <row r="4" spans="1:36" s="36" customFormat="1" ht="15.75" customHeight="1">
      <c r="A4" s="35"/>
      <c r="B4" s="766"/>
      <c r="C4" s="714"/>
      <c r="D4" s="857"/>
      <c r="E4" s="716"/>
      <c r="F4" s="717"/>
      <c r="G4" s="716"/>
      <c r="H4" s="719"/>
      <c r="I4" s="718"/>
      <c r="J4" s="888"/>
      <c r="K4" s="35"/>
      <c r="L4" s="35"/>
      <c r="M4" s="35"/>
      <c r="N4" s="35"/>
      <c r="O4" s="35"/>
      <c r="P4" s="35"/>
      <c r="Q4" s="35"/>
      <c r="R4" s="35"/>
      <c r="S4" s="35"/>
      <c r="T4" s="35"/>
      <c r="U4" s="35"/>
      <c r="V4" s="35"/>
      <c r="W4" s="35"/>
      <c r="X4" s="35"/>
      <c r="Y4" s="35"/>
      <c r="Z4" s="35"/>
      <c r="AA4" s="35"/>
      <c r="AB4" s="35"/>
      <c r="AC4" s="35"/>
      <c r="AD4" s="35"/>
      <c r="AE4" s="35"/>
      <c r="AF4" s="35"/>
      <c r="AG4" s="35"/>
      <c r="AH4" s="35"/>
      <c r="AI4" s="35"/>
      <c r="AJ4" s="35"/>
    </row>
    <row r="5" spans="1:36" s="36" customFormat="1" ht="15.75" customHeight="1">
      <c r="A5" s="35"/>
      <c r="B5" s="766"/>
      <c r="C5" s="714"/>
      <c r="D5" s="857"/>
      <c r="E5" s="716"/>
      <c r="F5" s="717"/>
      <c r="G5" s="747"/>
      <c r="H5" s="719"/>
      <c r="I5" s="718"/>
      <c r="J5" s="888"/>
      <c r="K5" s="35"/>
      <c r="L5" s="35"/>
      <c r="M5" s="35"/>
      <c r="N5" s="35"/>
      <c r="O5" s="35"/>
      <c r="P5" s="35"/>
      <c r="Q5" s="35"/>
      <c r="R5" s="35"/>
      <c r="S5" s="35"/>
      <c r="T5" s="35"/>
      <c r="U5" s="35"/>
      <c r="V5" s="35"/>
      <c r="W5" s="35"/>
      <c r="X5" s="35"/>
      <c r="Y5" s="35"/>
      <c r="Z5" s="35"/>
      <c r="AA5" s="35"/>
      <c r="AB5" s="35"/>
      <c r="AC5" s="35"/>
      <c r="AD5" s="35"/>
      <c r="AE5" s="35"/>
      <c r="AF5" s="35"/>
      <c r="AG5" s="35"/>
      <c r="AH5" s="35"/>
      <c r="AI5" s="35"/>
      <c r="AJ5" s="35"/>
    </row>
    <row r="6" spans="1:36" s="36" customFormat="1" ht="15.75" customHeight="1">
      <c r="A6" s="35"/>
      <c r="B6" s="766"/>
      <c r="C6" s="714"/>
      <c r="D6" s="857"/>
      <c r="E6" s="716"/>
      <c r="F6" s="717"/>
      <c r="G6" s="747"/>
      <c r="H6" s="719"/>
      <c r="I6" s="718"/>
      <c r="J6" s="720"/>
      <c r="K6" s="35"/>
      <c r="L6" s="35"/>
      <c r="M6" s="35"/>
      <c r="N6" s="35"/>
      <c r="O6" s="35"/>
      <c r="P6" s="35"/>
      <c r="Q6" s="35"/>
      <c r="R6" s="35"/>
      <c r="S6" s="35"/>
      <c r="T6" s="35"/>
      <c r="U6" s="35"/>
      <c r="V6" s="35"/>
      <c r="W6" s="35"/>
      <c r="X6" s="35"/>
      <c r="Y6" s="35"/>
      <c r="Z6" s="35"/>
      <c r="AA6" s="35"/>
      <c r="AB6" s="35"/>
      <c r="AC6" s="35"/>
      <c r="AD6" s="35"/>
      <c r="AE6" s="35"/>
      <c r="AF6" s="35"/>
      <c r="AG6" s="35"/>
      <c r="AH6" s="35"/>
      <c r="AI6" s="35"/>
      <c r="AJ6" s="35"/>
    </row>
    <row r="7" spans="1:36" s="36" customFormat="1" ht="15.75" customHeight="1">
      <c r="A7" s="35"/>
      <c r="B7" s="766"/>
      <c r="C7" s="714"/>
      <c r="D7" s="857"/>
      <c r="E7" s="716"/>
      <c r="F7" s="717"/>
      <c r="G7" s="747"/>
      <c r="H7" s="719"/>
      <c r="I7" s="718"/>
      <c r="J7" s="720"/>
      <c r="K7" s="35"/>
      <c r="L7" s="35"/>
      <c r="M7" s="35"/>
      <c r="N7" s="35"/>
      <c r="O7" s="35"/>
      <c r="P7" s="35"/>
      <c r="Q7" s="35"/>
      <c r="R7" s="35"/>
      <c r="S7" s="35"/>
      <c r="T7" s="35"/>
      <c r="U7" s="35"/>
      <c r="V7" s="35"/>
      <c r="W7" s="35"/>
      <c r="X7" s="35"/>
      <c r="Y7" s="35"/>
      <c r="Z7" s="35"/>
      <c r="AA7" s="35"/>
      <c r="AB7" s="35"/>
      <c r="AC7" s="35"/>
      <c r="AD7" s="35"/>
      <c r="AE7" s="35"/>
      <c r="AF7" s="35"/>
      <c r="AG7" s="35"/>
      <c r="AH7" s="35"/>
      <c r="AI7" s="35"/>
      <c r="AJ7" s="35"/>
    </row>
    <row r="8" spans="1:36" s="36" customFormat="1" ht="15.75" customHeight="1">
      <c r="A8" s="35"/>
      <c r="B8" s="766"/>
      <c r="C8" s="714"/>
      <c r="D8" s="857"/>
      <c r="E8" s="716"/>
      <c r="F8" s="717"/>
      <c r="G8" s="747"/>
      <c r="H8" s="719"/>
      <c r="I8" s="718"/>
      <c r="J8" s="720"/>
      <c r="K8" s="35"/>
      <c r="L8" s="35"/>
      <c r="M8" s="35"/>
      <c r="N8" s="35"/>
      <c r="O8" s="35"/>
      <c r="P8" s="35"/>
      <c r="Q8" s="35"/>
      <c r="R8" s="35"/>
      <c r="S8" s="35"/>
      <c r="T8" s="35"/>
      <c r="U8" s="35"/>
      <c r="V8" s="35"/>
      <c r="W8" s="35"/>
      <c r="X8" s="35"/>
      <c r="Y8" s="35"/>
      <c r="Z8" s="35"/>
      <c r="AA8" s="35"/>
      <c r="AB8" s="35"/>
      <c r="AC8" s="35"/>
      <c r="AD8" s="35"/>
      <c r="AE8" s="35"/>
      <c r="AF8" s="35"/>
      <c r="AG8" s="35"/>
      <c r="AH8" s="35"/>
      <c r="AI8" s="35"/>
      <c r="AJ8" s="35"/>
    </row>
    <row r="9" spans="1:36" s="36" customFormat="1" ht="15.75" customHeight="1">
      <c r="A9" s="35"/>
      <c r="B9" s="766"/>
      <c r="C9" s="714"/>
      <c r="D9" s="857"/>
      <c r="E9" s="716"/>
      <c r="F9" s="717"/>
      <c r="G9" s="747"/>
      <c r="H9" s="719"/>
      <c r="I9" s="718"/>
      <c r="J9" s="720"/>
      <c r="K9" s="35"/>
      <c r="L9" s="35"/>
      <c r="M9" s="35"/>
      <c r="N9" s="35"/>
      <c r="O9" s="35"/>
      <c r="P9" s="35"/>
      <c r="Q9" s="35"/>
      <c r="R9" s="35"/>
      <c r="S9" s="35"/>
      <c r="T9" s="35"/>
      <c r="U9" s="35"/>
      <c r="V9" s="35"/>
      <c r="W9" s="35"/>
      <c r="X9" s="35"/>
      <c r="Y9" s="35"/>
      <c r="Z9" s="35"/>
      <c r="AA9" s="35"/>
      <c r="AB9" s="35"/>
      <c r="AC9" s="35"/>
      <c r="AD9" s="35"/>
      <c r="AE9" s="35"/>
      <c r="AF9" s="35"/>
      <c r="AG9" s="35"/>
      <c r="AH9" s="35"/>
      <c r="AI9" s="35"/>
      <c r="AJ9" s="35"/>
    </row>
    <row r="10" spans="1:36" s="36" customFormat="1" ht="15.75" customHeight="1">
      <c r="A10" s="35"/>
      <c r="B10" s="766"/>
      <c r="C10" s="714"/>
      <c r="D10" s="857"/>
      <c r="E10" s="716"/>
      <c r="F10" s="717"/>
      <c r="G10" s="747"/>
      <c r="H10" s="719"/>
      <c r="I10" s="718"/>
      <c r="J10" s="720"/>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row>
    <row r="11" spans="1:36" s="36" customFormat="1" ht="15.75" customHeight="1">
      <c r="A11" s="35"/>
      <c r="B11" s="766"/>
      <c r="C11" s="714"/>
      <c r="D11" s="857"/>
      <c r="E11" s="716"/>
      <c r="F11" s="717"/>
      <c r="G11" s="747"/>
      <c r="H11" s="719"/>
      <c r="I11" s="718"/>
      <c r="J11" s="720"/>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row>
    <row r="12" spans="1:36" s="36" customFormat="1" ht="15.75" customHeight="1">
      <c r="A12" s="35"/>
      <c r="B12" s="766"/>
      <c r="C12" s="714"/>
      <c r="D12" s="857"/>
      <c r="E12" s="716"/>
      <c r="F12" s="717"/>
      <c r="G12" s="747"/>
      <c r="H12" s="719"/>
      <c r="I12" s="718"/>
      <c r="J12" s="720"/>
      <c r="K12" s="35"/>
      <c r="L12" s="35"/>
      <c r="M12" s="35"/>
      <c r="N12" s="35"/>
      <c r="O12" s="35"/>
      <c r="P12" s="35"/>
      <c r="Q12" s="35"/>
      <c r="R12" s="35"/>
      <c r="S12" s="35"/>
      <c r="T12" s="35"/>
      <c r="U12" s="35"/>
      <c r="V12" s="35"/>
      <c r="W12" s="35"/>
      <c r="X12" s="35"/>
      <c r="Y12" s="35"/>
      <c r="Z12" s="35"/>
      <c r="AA12" s="35"/>
      <c r="AB12" s="35"/>
      <c r="AC12" s="35"/>
      <c r="AD12" s="35"/>
      <c r="AE12" s="35"/>
      <c r="AF12" s="35"/>
      <c r="AG12" s="35"/>
      <c r="AH12" s="35"/>
      <c r="AI12" s="35"/>
      <c r="AJ12" s="35"/>
    </row>
    <row r="13" spans="1:36" s="36" customFormat="1" ht="15" customHeight="1">
      <c r="A13" s="35"/>
      <c r="B13" s="766"/>
      <c r="C13" s="714"/>
      <c r="D13" s="857"/>
      <c r="E13" s="716"/>
      <c r="F13" s="717"/>
      <c r="G13" s="747"/>
      <c r="H13" s="719"/>
      <c r="I13" s="718"/>
      <c r="J13" s="720"/>
      <c r="K13" s="35"/>
      <c r="L13" s="35"/>
      <c r="M13" s="35"/>
      <c r="N13" s="35"/>
      <c r="O13" s="35"/>
      <c r="P13" s="35"/>
      <c r="Q13" s="35"/>
      <c r="R13" s="35"/>
      <c r="S13" s="35"/>
      <c r="T13" s="35"/>
      <c r="U13" s="35"/>
      <c r="V13" s="35"/>
      <c r="W13" s="35"/>
      <c r="X13" s="35"/>
      <c r="Y13" s="35"/>
      <c r="Z13" s="35"/>
      <c r="AA13" s="35"/>
      <c r="AB13" s="35"/>
      <c r="AC13" s="35"/>
      <c r="AD13" s="35"/>
      <c r="AE13" s="35"/>
      <c r="AF13" s="35"/>
      <c r="AG13" s="35"/>
      <c r="AH13" s="35"/>
      <c r="AI13" s="35"/>
      <c r="AJ13" s="35"/>
    </row>
    <row r="14" spans="1:36" s="36" customFormat="1" ht="15.75" customHeight="1">
      <c r="A14" s="35"/>
      <c r="B14" s="766"/>
      <c r="C14" s="714"/>
      <c r="D14" s="857"/>
      <c r="E14" s="716"/>
      <c r="F14" s="717"/>
      <c r="G14" s="718"/>
      <c r="H14" s="719"/>
      <c r="I14" s="719"/>
      <c r="J14" s="720"/>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row>
    <row r="15" spans="1:36" s="36" customFormat="1" ht="15.75" customHeight="1">
      <c r="A15" s="35"/>
      <c r="B15" s="766"/>
      <c r="C15" s="714"/>
      <c r="D15" s="857"/>
      <c r="E15" s="716"/>
      <c r="F15" s="717"/>
      <c r="G15" s="718"/>
      <c r="H15" s="719"/>
      <c r="I15" s="719"/>
      <c r="J15" s="720"/>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row>
    <row r="16" spans="1:36" s="36" customFormat="1" ht="15.75" customHeight="1">
      <c r="A16" s="35"/>
      <c r="B16" s="766"/>
      <c r="C16" s="714"/>
      <c r="D16" s="857"/>
      <c r="E16" s="716"/>
      <c r="F16" s="717"/>
      <c r="G16" s="718"/>
      <c r="H16" s="719"/>
      <c r="I16" s="718"/>
      <c r="J16" s="720"/>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row>
    <row r="17" spans="1:169" s="36" customFormat="1" ht="15.75" customHeight="1">
      <c r="A17" s="35"/>
      <c r="B17" s="766"/>
      <c r="C17" s="714"/>
      <c r="D17" s="857"/>
      <c r="E17" s="716"/>
      <c r="F17" s="717"/>
      <c r="G17" s="718"/>
      <c r="H17" s="719"/>
      <c r="I17" s="718"/>
      <c r="J17" s="720"/>
      <c r="K17" s="35"/>
      <c r="L17" s="35"/>
      <c r="M17" s="35"/>
      <c r="N17" s="35"/>
      <c r="O17" s="35"/>
      <c r="P17" s="35"/>
      <c r="Q17" s="35"/>
      <c r="R17" s="35"/>
      <c r="S17" s="35"/>
      <c r="T17" s="35"/>
      <c r="U17" s="35"/>
      <c r="V17" s="35"/>
      <c r="W17" s="35"/>
      <c r="X17" s="35"/>
      <c r="Y17" s="35"/>
      <c r="Z17" s="35"/>
      <c r="AA17" s="35"/>
      <c r="AB17" s="35"/>
      <c r="AC17" s="35"/>
      <c r="AD17" s="35"/>
      <c r="AE17" s="35"/>
      <c r="AF17" s="35"/>
      <c r="AG17" s="35"/>
      <c r="AH17" s="35"/>
      <c r="AI17" s="35"/>
      <c r="AJ17" s="35"/>
    </row>
    <row r="18" spans="1:169" s="36" customFormat="1" ht="15.75" customHeight="1">
      <c r="A18" s="35"/>
      <c r="B18" s="766"/>
      <c r="C18" s="714"/>
      <c r="D18" s="857"/>
      <c r="E18" s="716"/>
      <c r="F18" s="717"/>
      <c r="G18" s="718"/>
      <c r="H18" s="717"/>
      <c r="I18" s="718"/>
      <c r="J18" s="720"/>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row>
    <row r="19" spans="1:169" s="36" customFormat="1" ht="15.75" customHeight="1">
      <c r="A19" s="35"/>
      <c r="B19" s="766"/>
      <c r="C19" s="714"/>
      <c r="D19" s="857"/>
      <c r="E19" s="716"/>
      <c r="F19" s="717"/>
      <c r="G19" s="718"/>
      <c r="H19" s="719"/>
      <c r="I19" s="719"/>
      <c r="J19" s="720"/>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row>
    <row r="20" spans="1:169" s="36" customFormat="1" ht="15.75" customHeight="1">
      <c r="A20" s="35"/>
      <c r="B20" s="766"/>
      <c r="C20" s="714"/>
      <c r="D20" s="857"/>
      <c r="E20" s="716"/>
      <c r="F20" s="717"/>
      <c r="G20" s="718"/>
      <c r="H20" s="719"/>
      <c r="I20" s="719"/>
      <c r="J20" s="720"/>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row>
    <row r="21" spans="1:169" s="36" customFormat="1" ht="15.75" customHeight="1">
      <c r="A21" s="35"/>
      <c r="B21" s="766"/>
      <c r="C21" s="714"/>
      <c r="D21" s="857"/>
      <c r="E21" s="716"/>
      <c r="F21" s="717"/>
      <c r="G21" s="718"/>
      <c r="H21" s="719"/>
      <c r="I21" s="719"/>
      <c r="J21" s="720"/>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row>
    <row r="22" spans="1:169" s="36" customFormat="1" ht="15.75" customHeight="1">
      <c r="A22" s="35"/>
      <c r="B22" s="766"/>
      <c r="C22" s="714"/>
      <c r="D22" s="857"/>
      <c r="E22" s="716"/>
      <c r="F22" s="717"/>
      <c r="G22" s="718"/>
      <c r="H22" s="719"/>
      <c r="I22" s="719"/>
      <c r="J22" s="720"/>
      <c r="K22" s="35"/>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row>
    <row r="23" spans="1:169" s="36" customFormat="1" ht="15.75" customHeight="1">
      <c r="A23" s="35"/>
      <c r="B23" s="766"/>
      <c r="C23" s="714"/>
      <c r="D23" s="857"/>
      <c r="E23" s="716"/>
      <c r="F23" s="717"/>
      <c r="G23" s="718"/>
      <c r="H23" s="719"/>
      <c r="I23" s="719"/>
      <c r="J23" s="720"/>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row>
    <row r="24" spans="1:169" s="18" customFormat="1" ht="16.5" customHeight="1">
      <c r="A24" s="51"/>
      <c r="B24" s="766"/>
      <c r="C24" s="714"/>
      <c r="D24" s="715"/>
      <c r="E24" s="716"/>
      <c r="F24" s="717"/>
      <c r="G24" s="718"/>
      <c r="H24" s="719"/>
      <c r="I24" s="719"/>
      <c r="J24" s="720"/>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FM24" s="54"/>
    </row>
    <row r="25" spans="1:169" s="18" customFormat="1" ht="18.75" customHeight="1">
      <c r="A25" s="51"/>
      <c r="B25" s="766"/>
      <c r="C25" s="714"/>
      <c r="D25" s="715"/>
      <c r="E25" s="716"/>
      <c r="F25" s="717"/>
      <c r="G25" s="718"/>
      <c r="H25" s="719"/>
      <c r="I25" s="719"/>
      <c r="J25" s="720"/>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FM25" s="54"/>
    </row>
    <row r="26" spans="1:169" s="18" customFormat="1" ht="17.25" customHeight="1">
      <c r="A26" s="51"/>
      <c r="B26" s="766"/>
      <c r="C26" s="714"/>
      <c r="D26" s="715"/>
      <c r="E26" s="716"/>
      <c r="F26" s="717"/>
      <c r="G26" s="718"/>
      <c r="H26" s="719"/>
      <c r="I26" s="719"/>
      <c r="J26" s="720"/>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FM26" s="54"/>
    </row>
    <row r="27" spans="1:169" s="18" customFormat="1" ht="20.25" customHeight="1">
      <c r="A27" s="51"/>
      <c r="B27" s="766"/>
      <c r="C27" s="714"/>
      <c r="D27" s="715"/>
      <c r="E27" s="716"/>
      <c r="F27" s="717"/>
      <c r="G27" s="718"/>
      <c r="H27" s="719"/>
      <c r="I27" s="719"/>
      <c r="J27" s="720"/>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FM27" s="54"/>
    </row>
    <row r="28" spans="1:169" s="18" customFormat="1" ht="16.5" customHeight="1">
      <c r="A28" s="51"/>
      <c r="B28" s="766"/>
      <c r="C28" s="714"/>
      <c r="D28" s="715"/>
      <c r="E28" s="716"/>
      <c r="F28" s="717"/>
      <c r="G28" s="718"/>
      <c r="H28" s="719"/>
      <c r="I28" s="719"/>
      <c r="J28" s="720"/>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FM28" s="54"/>
    </row>
    <row r="29" spans="1:169" s="18" customFormat="1" ht="20.25" customHeight="1">
      <c r="A29" s="51"/>
      <c r="B29" s="713"/>
      <c r="C29" s="714"/>
      <c r="D29" s="715"/>
      <c r="E29" s="716"/>
      <c r="F29" s="717"/>
      <c r="G29" s="718"/>
      <c r="H29" s="719"/>
      <c r="I29" s="719"/>
      <c r="J29" s="720"/>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FM29" s="54"/>
    </row>
    <row r="30" spans="1:169" s="18" customFormat="1" ht="21" customHeight="1">
      <c r="A30" s="51"/>
      <c r="B30" s="713"/>
      <c r="C30" s="714"/>
      <c r="D30" s="715"/>
      <c r="E30" s="716"/>
      <c r="F30" s="717"/>
      <c r="G30" s="718"/>
      <c r="H30" s="719"/>
      <c r="I30" s="719"/>
      <c r="J30" s="720"/>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FM30" s="54"/>
    </row>
    <row r="31" spans="1:169" s="18" customFormat="1" ht="18" customHeight="1">
      <c r="A31" s="51"/>
      <c r="B31" s="713"/>
      <c r="C31" s="714"/>
      <c r="D31" s="715"/>
      <c r="E31" s="716"/>
      <c r="F31" s="717"/>
      <c r="G31" s="718"/>
      <c r="H31" s="719"/>
      <c r="I31" s="719"/>
      <c r="J31" s="720"/>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FM31" s="54"/>
    </row>
    <row r="32" spans="1:169" s="18" customFormat="1" ht="20.25" customHeight="1">
      <c r="A32" s="51"/>
      <c r="B32" s="713"/>
      <c r="C32" s="714"/>
      <c r="D32" s="715"/>
      <c r="E32" s="716"/>
      <c r="F32" s="717"/>
      <c r="G32" s="718"/>
      <c r="H32" s="719"/>
      <c r="I32" s="719"/>
      <c r="J32" s="720"/>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FM32" s="54"/>
    </row>
    <row r="33" spans="1:169" s="18" customFormat="1" ht="19.5" customHeight="1">
      <c r="A33" s="51"/>
      <c r="B33" s="713"/>
      <c r="C33" s="714"/>
      <c r="D33" s="715"/>
      <c r="E33" s="716"/>
      <c r="F33" s="717"/>
      <c r="G33" s="718"/>
      <c r="H33" s="719"/>
      <c r="I33" s="719"/>
      <c r="J33" s="720"/>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FM33" s="54"/>
    </row>
    <row r="34" spans="1:169" s="18" customFormat="1" ht="21" customHeight="1">
      <c r="A34" s="51"/>
      <c r="B34" s="713"/>
      <c r="C34" s="714"/>
      <c r="D34" s="715"/>
      <c r="E34" s="716"/>
      <c r="F34" s="717"/>
      <c r="G34" s="718"/>
      <c r="H34" s="719"/>
      <c r="I34" s="719"/>
      <c r="J34" s="720"/>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FM34" s="54"/>
    </row>
    <row r="35" spans="1:169" s="18" customFormat="1" ht="20.25" customHeight="1">
      <c r="A35" s="51"/>
      <c r="B35" s="713"/>
      <c r="C35" s="714"/>
      <c r="D35" s="715"/>
      <c r="E35" s="716"/>
      <c r="F35" s="717"/>
      <c r="G35" s="718"/>
      <c r="H35" s="719"/>
      <c r="I35" s="719"/>
      <c r="J35" s="720"/>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FM35" s="54"/>
    </row>
    <row r="36" spans="1:169" s="18" customFormat="1" ht="21" customHeight="1">
      <c r="A36" s="51"/>
      <c r="B36" s="713"/>
      <c r="C36" s="714"/>
      <c r="D36" s="715"/>
      <c r="E36" s="716"/>
      <c r="F36" s="717"/>
      <c r="G36" s="718"/>
      <c r="H36" s="719"/>
      <c r="I36" s="719"/>
      <c r="J36" s="720"/>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FM36" s="54"/>
    </row>
    <row r="37" spans="1:169" s="18" customFormat="1" ht="19.5" customHeight="1">
      <c r="A37" s="51"/>
      <c r="B37" s="713"/>
      <c r="C37" s="714"/>
      <c r="D37" s="715"/>
      <c r="E37" s="716"/>
      <c r="F37" s="717"/>
      <c r="G37" s="718"/>
      <c r="H37" s="719"/>
      <c r="I37" s="719"/>
      <c r="J37" s="720"/>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FM37" s="54"/>
    </row>
    <row r="38" spans="1:169" s="18" customFormat="1" ht="19.5" customHeight="1">
      <c r="A38" s="51"/>
      <c r="B38" s="713"/>
      <c r="C38" s="714"/>
      <c r="D38" s="715"/>
      <c r="E38" s="716"/>
      <c r="F38" s="717"/>
      <c r="G38" s="718"/>
      <c r="H38" s="719"/>
      <c r="I38" s="719"/>
      <c r="J38" s="720"/>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FM38" s="54"/>
    </row>
    <row r="39" spans="1:169" s="18" customFormat="1" ht="20.25" customHeight="1">
      <c r="A39" s="51"/>
      <c r="B39" s="713"/>
      <c r="C39" s="714"/>
      <c r="D39" s="715"/>
      <c r="E39" s="716"/>
      <c r="F39" s="717"/>
      <c r="G39" s="718"/>
      <c r="H39" s="719"/>
      <c r="I39" s="719"/>
      <c r="J39" s="720"/>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FM39" s="54"/>
    </row>
    <row r="40" spans="1:169" s="18" customFormat="1" ht="21" customHeight="1">
      <c r="A40" s="51"/>
      <c r="B40" s="713"/>
      <c r="C40" s="714"/>
      <c r="D40" s="715"/>
      <c r="E40" s="716"/>
      <c r="F40" s="717"/>
      <c r="G40" s="718"/>
      <c r="H40" s="719"/>
      <c r="I40" s="719"/>
      <c r="J40" s="720"/>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FM40" s="54"/>
    </row>
    <row r="41" spans="1:169" s="18" customFormat="1" ht="21.75" customHeight="1">
      <c r="A41" s="51"/>
      <c r="B41" s="713"/>
      <c r="C41" s="714"/>
      <c r="D41" s="715"/>
      <c r="E41" s="716"/>
      <c r="F41" s="717"/>
      <c r="G41" s="718"/>
      <c r="H41" s="719"/>
      <c r="I41" s="719"/>
      <c r="J41" s="720"/>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FM41" s="54"/>
    </row>
    <row r="42" spans="1:169" s="18" customFormat="1" ht="19.5" customHeight="1">
      <c r="A42" s="51"/>
      <c r="B42" s="713"/>
      <c r="C42" s="714"/>
      <c r="D42" s="715"/>
      <c r="E42" s="716"/>
      <c r="F42" s="717"/>
      <c r="G42" s="718"/>
      <c r="H42" s="719"/>
      <c r="I42" s="719"/>
      <c r="J42" s="720"/>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FM42" s="54"/>
    </row>
    <row r="43" spans="1:169" s="18" customFormat="1" ht="21" customHeight="1">
      <c r="A43" s="51"/>
      <c r="B43" s="713"/>
      <c r="C43" s="714"/>
      <c r="D43" s="715"/>
      <c r="E43" s="716"/>
      <c r="F43" s="717"/>
      <c r="G43" s="718"/>
      <c r="H43" s="719"/>
      <c r="I43" s="719"/>
      <c r="J43" s="720"/>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FM43" s="54"/>
    </row>
    <row r="44" spans="1:169" s="18" customFormat="1" ht="18.75" customHeight="1">
      <c r="A44" s="51"/>
      <c r="B44" s="713"/>
      <c r="C44" s="714"/>
      <c r="D44" s="715"/>
      <c r="E44" s="716"/>
      <c r="F44" s="717"/>
      <c r="G44" s="718"/>
      <c r="H44" s="719"/>
      <c r="I44" s="719"/>
      <c r="J44" s="720"/>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FM44" s="54"/>
    </row>
    <row r="45" spans="1:169" s="18" customFormat="1" ht="19.5" customHeight="1">
      <c r="A45" s="51"/>
      <c r="B45" s="713"/>
      <c r="C45" s="714"/>
      <c r="D45" s="715"/>
      <c r="E45" s="716"/>
      <c r="F45" s="717"/>
      <c r="G45" s="718"/>
      <c r="H45" s="719"/>
      <c r="I45" s="719"/>
      <c r="J45" s="720"/>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FM45" s="54"/>
    </row>
    <row r="46" spans="1:169" s="18" customFormat="1" ht="24" customHeight="1">
      <c r="A46" s="51"/>
      <c r="B46" s="713"/>
      <c r="C46" s="714"/>
      <c r="D46" s="715"/>
      <c r="E46" s="716"/>
      <c r="F46" s="717"/>
      <c r="G46" s="718"/>
      <c r="H46" s="719"/>
      <c r="I46" s="719"/>
      <c r="J46" s="720"/>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FM46" s="54"/>
    </row>
    <row r="47" spans="1:169" s="18" customFormat="1" ht="21" customHeight="1">
      <c r="A47" s="51"/>
      <c r="B47" s="713"/>
      <c r="C47" s="714"/>
      <c r="D47" s="715"/>
      <c r="E47" s="716"/>
      <c r="F47" s="717"/>
      <c r="G47" s="718"/>
      <c r="H47" s="719"/>
      <c r="I47" s="719"/>
      <c r="J47" s="720"/>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FM47" s="54"/>
    </row>
    <row r="48" spans="1:169" s="18" customFormat="1" ht="21.75" customHeight="1">
      <c r="A48" s="51"/>
      <c r="B48" s="713"/>
      <c r="C48" s="714"/>
      <c r="D48" s="715"/>
      <c r="E48" s="716"/>
      <c r="F48" s="717"/>
      <c r="G48" s="718"/>
      <c r="H48" s="719"/>
      <c r="I48" s="719"/>
      <c r="J48" s="720"/>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FM48" s="54"/>
    </row>
    <row r="49" spans="1:169" s="18" customFormat="1" ht="26.25" customHeight="1">
      <c r="A49" s="51"/>
      <c r="B49" s="713"/>
      <c r="C49" s="714"/>
      <c r="D49" s="715"/>
      <c r="E49" s="716"/>
      <c r="F49" s="717"/>
      <c r="G49" s="718"/>
      <c r="H49" s="719"/>
      <c r="I49" s="719"/>
      <c r="J49" s="720"/>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FM49" s="54"/>
    </row>
    <row r="50" spans="1:169" s="18" customFormat="1" ht="22.5" customHeight="1">
      <c r="A50" s="51"/>
      <c r="B50" s="713"/>
      <c r="C50" s="714"/>
      <c r="D50" s="715"/>
      <c r="E50" s="716"/>
      <c r="F50" s="717"/>
      <c r="G50" s="718"/>
      <c r="H50" s="719"/>
      <c r="I50" s="719"/>
      <c r="J50" s="720"/>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FM50" s="54"/>
    </row>
    <row r="51" spans="1:169" s="18" customFormat="1" ht="19.5" customHeight="1">
      <c r="A51" s="51"/>
      <c r="B51" s="713"/>
      <c r="C51" s="714"/>
      <c r="D51" s="715"/>
      <c r="E51" s="716"/>
      <c r="F51" s="717"/>
      <c r="G51" s="718"/>
      <c r="H51" s="719"/>
      <c r="I51" s="719"/>
      <c r="J51" s="720"/>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FM51" s="54"/>
    </row>
    <row r="52" spans="1:169" s="18" customFormat="1" ht="21.75" customHeight="1">
      <c r="A52" s="51"/>
      <c r="B52" s="713"/>
      <c r="C52" s="714"/>
      <c r="D52" s="715"/>
      <c r="E52" s="716"/>
      <c r="F52" s="717"/>
      <c r="G52" s="718"/>
      <c r="H52" s="719"/>
      <c r="I52" s="719"/>
      <c r="J52" s="720"/>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FM52" s="54"/>
    </row>
    <row r="53" spans="1:169" s="18" customFormat="1">
      <c r="A53" s="51"/>
      <c r="B53" s="713"/>
      <c r="C53" s="714"/>
      <c r="D53" s="715"/>
      <c r="E53" s="716"/>
      <c r="F53" s="717"/>
      <c r="G53" s="718"/>
      <c r="H53" s="719"/>
      <c r="I53" s="719"/>
      <c r="J53" s="720"/>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FM53" s="54"/>
    </row>
    <row r="54" spans="1:169" s="18" customFormat="1">
      <c r="A54" s="51"/>
      <c r="B54" s="713"/>
      <c r="C54" s="714"/>
      <c r="D54" s="715"/>
      <c r="E54" s="716"/>
      <c r="F54" s="717"/>
      <c r="G54" s="718"/>
      <c r="H54" s="719"/>
      <c r="I54" s="719"/>
      <c r="J54" s="720"/>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FM54" s="54"/>
    </row>
    <row r="55" spans="1:169" s="18" customFormat="1">
      <c r="A55" s="51"/>
      <c r="B55" s="713"/>
      <c r="C55" s="714"/>
      <c r="D55" s="715"/>
      <c r="E55" s="716"/>
      <c r="F55" s="717"/>
      <c r="G55" s="718"/>
      <c r="H55" s="719"/>
      <c r="I55" s="719"/>
      <c r="J55" s="720"/>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FM55" s="54"/>
    </row>
    <row r="56" spans="1:169" s="18" customFormat="1">
      <c r="A56" s="51"/>
      <c r="B56" s="713"/>
      <c r="C56" s="714"/>
      <c r="D56" s="715"/>
      <c r="E56" s="716"/>
      <c r="F56" s="717"/>
      <c r="G56" s="718"/>
      <c r="H56" s="719"/>
      <c r="I56" s="719"/>
      <c r="J56" s="720"/>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FM56" s="54"/>
    </row>
    <row r="57" spans="1:169" s="18" customFormat="1">
      <c r="A57" s="51"/>
      <c r="B57" s="713"/>
      <c r="C57" s="714"/>
      <c r="D57" s="715"/>
      <c r="E57" s="716"/>
      <c r="F57" s="717"/>
      <c r="G57" s="718"/>
      <c r="H57" s="719"/>
      <c r="I57" s="719"/>
      <c r="J57" s="720"/>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FM57" s="54"/>
    </row>
    <row r="58" spans="1:169" s="18" customFormat="1">
      <c r="A58" s="51"/>
      <c r="B58" s="713"/>
      <c r="C58" s="714"/>
      <c r="D58" s="715"/>
      <c r="E58" s="716"/>
      <c r="F58" s="717"/>
      <c r="G58" s="718"/>
      <c r="H58" s="719"/>
      <c r="I58" s="719"/>
      <c r="J58" s="720"/>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FM58" s="54"/>
    </row>
    <row r="59" spans="1:169" s="18" customFormat="1">
      <c r="A59" s="51"/>
      <c r="B59" s="713"/>
      <c r="C59" s="714"/>
      <c r="D59" s="715"/>
      <c r="E59" s="716"/>
      <c r="F59" s="717"/>
      <c r="G59" s="718"/>
      <c r="H59" s="719"/>
      <c r="I59" s="719"/>
      <c r="J59" s="720"/>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FM59" s="54"/>
    </row>
    <row r="60" spans="1:169" s="18" customFormat="1">
      <c r="A60" s="51"/>
      <c r="B60" s="713"/>
      <c r="C60" s="714"/>
      <c r="D60" s="715"/>
      <c r="E60" s="716"/>
      <c r="F60" s="717"/>
      <c r="G60" s="718"/>
      <c r="H60" s="719"/>
      <c r="I60" s="719"/>
      <c r="J60" s="720"/>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FM60" s="54"/>
    </row>
    <row r="61" spans="1:169" s="18" customFormat="1">
      <c r="A61" s="51"/>
      <c r="B61" s="713"/>
      <c r="C61" s="714"/>
      <c r="D61" s="715"/>
      <c r="E61" s="716"/>
      <c r="F61" s="717"/>
      <c r="G61" s="718"/>
      <c r="H61" s="719"/>
      <c r="I61" s="719"/>
      <c r="J61" s="720"/>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FM61" s="54"/>
    </row>
    <row r="62" spans="1:169" s="18" customFormat="1">
      <c r="A62" s="51"/>
      <c r="B62" s="713"/>
      <c r="C62" s="714"/>
      <c r="D62" s="715"/>
      <c r="E62" s="716"/>
      <c r="F62" s="717"/>
      <c r="G62" s="718"/>
      <c r="H62" s="719"/>
      <c r="I62" s="719"/>
      <c r="J62" s="720"/>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FM62" s="54"/>
    </row>
    <row r="63" spans="1:169" s="18" customFormat="1">
      <c r="A63" s="51"/>
      <c r="B63" s="713"/>
      <c r="C63" s="714"/>
      <c r="D63" s="715"/>
      <c r="E63" s="716"/>
      <c r="F63" s="717"/>
      <c r="G63" s="718"/>
      <c r="H63" s="719"/>
      <c r="I63" s="719"/>
      <c r="J63" s="720"/>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FM63" s="54"/>
    </row>
    <row r="64" spans="1:169" s="18" customFormat="1">
      <c r="A64" s="51"/>
      <c r="B64" s="713"/>
      <c r="C64" s="714"/>
      <c r="D64" s="715"/>
      <c r="E64" s="716"/>
      <c r="F64" s="717"/>
      <c r="G64" s="718"/>
      <c r="H64" s="719"/>
      <c r="I64" s="719"/>
      <c r="J64" s="720"/>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FM64" s="54"/>
    </row>
    <row r="65" spans="1:169" s="18" customFormat="1">
      <c r="A65" s="51"/>
      <c r="B65" s="713"/>
      <c r="C65" s="714"/>
      <c r="D65" s="715"/>
      <c r="E65" s="716"/>
      <c r="F65" s="717"/>
      <c r="G65" s="718"/>
      <c r="H65" s="719"/>
      <c r="I65" s="719"/>
      <c r="J65" s="720"/>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FM65" s="54"/>
    </row>
    <row r="66" spans="1:169" s="18" customFormat="1">
      <c r="A66" s="51"/>
      <c r="B66" s="713"/>
      <c r="C66" s="714"/>
      <c r="D66" s="715"/>
      <c r="E66" s="716"/>
      <c r="F66" s="717"/>
      <c r="G66" s="718"/>
      <c r="H66" s="719"/>
      <c r="I66" s="719"/>
      <c r="J66" s="720"/>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FM66" s="54"/>
    </row>
    <row r="67" spans="1:169" s="18" customFormat="1">
      <c r="A67" s="51"/>
      <c r="B67" s="713"/>
      <c r="C67" s="714"/>
      <c r="D67" s="715"/>
      <c r="E67" s="716"/>
      <c r="F67" s="717"/>
      <c r="G67" s="718"/>
      <c r="H67" s="719"/>
      <c r="I67" s="719"/>
      <c r="J67" s="720"/>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FM67" s="54"/>
    </row>
    <row r="68" spans="1:169" s="18" customFormat="1">
      <c r="A68" s="51"/>
      <c r="B68" s="713"/>
      <c r="C68" s="714"/>
      <c r="D68" s="715"/>
      <c r="E68" s="716"/>
      <c r="F68" s="717"/>
      <c r="G68" s="718"/>
      <c r="H68" s="719"/>
      <c r="I68" s="719"/>
      <c r="J68" s="720"/>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FM68" s="54"/>
    </row>
    <row r="69" spans="1:169" s="18" customFormat="1">
      <c r="A69" s="51"/>
      <c r="B69" s="713"/>
      <c r="C69" s="714"/>
      <c r="D69" s="715"/>
      <c r="E69" s="716"/>
      <c r="F69" s="717"/>
      <c r="G69" s="718"/>
      <c r="H69" s="719"/>
      <c r="I69" s="719"/>
      <c r="J69" s="720"/>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FM69" s="54"/>
    </row>
    <row r="70" spans="1:169" s="18" customFormat="1">
      <c r="A70" s="51"/>
      <c r="B70" s="713"/>
      <c r="C70" s="714"/>
      <c r="D70" s="715"/>
      <c r="E70" s="716"/>
      <c r="F70" s="717"/>
      <c r="G70" s="718"/>
      <c r="H70" s="719"/>
      <c r="I70" s="719"/>
      <c r="J70" s="720"/>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FM70" s="54"/>
    </row>
    <row r="71" spans="1:169" s="18" customFormat="1">
      <c r="A71" s="51"/>
      <c r="B71" s="713"/>
      <c r="C71" s="714"/>
      <c r="D71" s="715"/>
      <c r="E71" s="716"/>
      <c r="F71" s="717"/>
      <c r="G71" s="718"/>
      <c r="H71" s="719"/>
      <c r="I71" s="719"/>
      <c r="J71" s="720"/>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FM71" s="54"/>
    </row>
    <row r="72" spans="1:169" s="18" customFormat="1">
      <c r="A72" s="51"/>
      <c r="B72" s="713"/>
      <c r="C72" s="714"/>
      <c r="D72" s="715"/>
      <c r="E72" s="716"/>
      <c r="F72" s="717"/>
      <c r="G72" s="718"/>
      <c r="H72" s="719"/>
      <c r="I72" s="719"/>
      <c r="J72" s="720"/>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FM72" s="54"/>
    </row>
    <row r="73" spans="1:169" s="18" customFormat="1">
      <c r="A73" s="51"/>
      <c r="B73" s="713"/>
      <c r="C73" s="714"/>
      <c r="D73" s="715"/>
      <c r="E73" s="716"/>
      <c r="F73" s="717"/>
      <c r="G73" s="718"/>
      <c r="H73" s="719"/>
      <c r="I73" s="719"/>
      <c r="J73" s="720"/>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FM73" s="54"/>
    </row>
    <row r="74" spans="1:169" s="18" customFormat="1">
      <c r="A74" s="51"/>
      <c r="B74" s="713"/>
      <c r="C74" s="714"/>
      <c r="D74" s="715"/>
      <c r="E74" s="716"/>
      <c r="F74" s="717"/>
      <c r="G74" s="718"/>
      <c r="H74" s="719"/>
      <c r="I74" s="719"/>
      <c r="J74" s="720"/>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FM74" s="54"/>
    </row>
    <row r="75" spans="1:169" s="18" customFormat="1">
      <c r="A75" s="51"/>
      <c r="B75" s="713"/>
      <c r="C75" s="714"/>
      <c r="D75" s="715"/>
      <c r="E75" s="716"/>
      <c r="F75" s="717"/>
      <c r="G75" s="718"/>
      <c r="H75" s="719"/>
      <c r="I75" s="719"/>
      <c r="J75" s="720"/>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FM75" s="54"/>
    </row>
    <row r="76" spans="1:169" s="18" customFormat="1">
      <c r="A76" s="51"/>
      <c r="B76" s="713"/>
      <c r="C76" s="714"/>
      <c r="D76" s="715"/>
      <c r="E76" s="716"/>
      <c r="F76" s="717"/>
      <c r="G76" s="718"/>
      <c r="H76" s="719"/>
      <c r="I76" s="719"/>
      <c r="J76" s="720"/>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FM76" s="54"/>
    </row>
    <row r="77" spans="1:169" s="18" customFormat="1">
      <c r="A77" s="51"/>
      <c r="B77" s="713"/>
      <c r="C77" s="714"/>
      <c r="D77" s="715"/>
      <c r="E77" s="716"/>
      <c r="F77" s="717"/>
      <c r="G77" s="718"/>
      <c r="H77" s="719"/>
      <c r="I77" s="719"/>
      <c r="J77" s="720"/>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FM77" s="54"/>
    </row>
    <row r="78" spans="1:169" s="18" customFormat="1">
      <c r="A78" s="51"/>
      <c r="B78" s="713"/>
      <c r="C78" s="714"/>
      <c r="D78" s="715"/>
      <c r="E78" s="716"/>
      <c r="F78" s="717"/>
      <c r="G78" s="718"/>
      <c r="H78" s="719"/>
      <c r="I78" s="719"/>
      <c r="J78" s="720"/>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FM78" s="54"/>
    </row>
    <row r="79" spans="1:169" s="18" customFormat="1">
      <c r="A79" s="51"/>
      <c r="B79" s="713"/>
      <c r="C79" s="714"/>
      <c r="D79" s="715"/>
      <c r="E79" s="716"/>
      <c r="F79" s="717"/>
      <c r="G79" s="718"/>
      <c r="H79" s="719"/>
      <c r="I79" s="719"/>
      <c r="J79" s="720"/>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FM79" s="54"/>
    </row>
    <row r="80" spans="1:169" s="18" customFormat="1">
      <c r="A80" s="51"/>
      <c r="B80" s="713"/>
      <c r="C80" s="714"/>
      <c r="D80" s="715"/>
      <c r="E80" s="716"/>
      <c r="F80" s="717"/>
      <c r="G80" s="718"/>
      <c r="H80" s="719"/>
      <c r="I80" s="719"/>
      <c r="J80" s="720"/>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FM80" s="54"/>
    </row>
    <row r="81" spans="1:169" s="18" customFormat="1">
      <c r="A81" s="51"/>
      <c r="B81" s="713"/>
      <c r="C81" s="714"/>
      <c r="D81" s="715"/>
      <c r="E81" s="716"/>
      <c r="F81" s="717"/>
      <c r="G81" s="718"/>
      <c r="H81" s="719"/>
      <c r="I81" s="719"/>
      <c r="J81" s="720"/>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FM81" s="54"/>
    </row>
    <row r="82" spans="1:169" s="18" customFormat="1">
      <c r="A82" s="51"/>
      <c r="B82" s="713"/>
      <c r="C82" s="714"/>
      <c r="D82" s="715"/>
      <c r="E82" s="716"/>
      <c r="F82" s="717"/>
      <c r="G82" s="718"/>
      <c r="H82" s="719"/>
      <c r="I82" s="719"/>
      <c r="J82" s="720"/>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FM82" s="54"/>
    </row>
    <row r="83" spans="1:169" s="18" customFormat="1">
      <c r="A83" s="51"/>
      <c r="B83" s="713"/>
      <c r="C83" s="714"/>
      <c r="D83" s="715"/>
      <c r="E83" s="716"/>
      <c r="F83" s="717"/>
      <c r="G83" s="718"/>
      <c r="H83" s="719"/>
      <c r="I83" s="719"/>
      <c r="J83" s="720"/>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FM83" s="54"/>
    </row>
    <row r="84" spans="1:169" s="18" customFormat="1">
      <c r="A84" s="51"/>
      <c r="B84" s="713"/>
      <c r="C84" s="714"/>
      <c r="D84" s="715"/>
      <c r="E84" s="716"/>
      <c r="F84" s="717"/>
      <c r="G84" s="718"/>
      <c r="H84" s="719"/>
      <c r="I84" s="719"/>
      <c r="J84" s="720"/>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FM84" s="54"/>
    </row>
    <row r="85" spans="1:169" s="18" customFormat="1">
      <c r="A85" s="51"/>
      <c r="B85" s="713"/>
      <c r="C85" s="714"/>
      <c r="D85" s="715"/>
      <c r="E85" s="716"/>
      <c r="F85" s="717"/>
      <c r="G85" s="718"/>
      <c r="H85" s="719"/>
      <c r="I85" s="719"/>
      <c r="J85" s="720"/>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FM85" s="54"/>
    </row>
    <row r="86" spans="1:169" s="18" customFormat="1">
      <c r="A86" s="51"/>
      <c r="B86" s="713"/>
      <c r="C86" s="714"/>
      <c r="D86" s="715"/>
      <c r="E86" s="716"/>
      <c r="F86" s="717"/>
      <c r="G86" s="718"/>
      <c r="H86" s="719"/>
      <c r="I86" s="719"/>
      <c r="J86" s="720"/>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FM86" s="54"/>
    </row>
    <row r="87" spans="1:169" s="18" customFormat="1">
      <c r="A87" s="51"/>
      <c r="B87" s="713"/>
      <c r="C87" s="714"/>
      <c r="D87" s="715"/>
      <c r="E87" s="716"/>
      <c r="F87" s="717"/>
      <c r="G87" s="718"/>
      <c r="H87" s="719"/>
      <c r="I87" s="719"/>
      <c r="J87" s="720"/>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FM87" s="54"/>
    </row>
    <row r="88" spans="1:169" s="18" customFormat="1">
      <c r="A88" s="51"/>
      <c r="B88" s="713"/>
      <c r="C88" s="714"/>
      <c r="D88" s="715"/>
      <c r="E88" s="716"/>
      <c r="F88" s="717"/>
      <c r="G88" s="718"/>
      <c r="H88" s="719"/>
      <c r="I88" s="719"/>
      <c r="J88" s="720"/>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FM88" s="54"/>
    </row>
    <row r="89" spans="1:169" s="18" customFormat="1">
      <c r="A89" s="51"/>
      <c r="B89" s="713"/>
      <c r="C89" s="714"/>
      <c r="D89" s="715"/>
      <c r="E89" s="716"/>
      <c r="F89" s="717"/>
      <c r="G89" s="718"/>
      <c r="H89" s="719"/>
      <c r="I89" s="719"/>
      <c r="J89" s="720"/>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FM89" s="54"/>
    </row>
    <row r="90" spans="1:169" s="18" customFormat="1">
      <c r="A90" s="51"/>
      <c r="B90" s="713"/>
      <c r="C90" s="714"/>
      <c r="D90" s="715"/>
      <c r="E90" s="716"/>
      <c r="F90" s="717"/>
      <c r="G90" s="718"/>
      <c r="H90" s="719"/>
      <c r="I90" s="719"/>
      <c r="J90" s="720"/>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FM90" s="54"/>
    </row>
    <row r="91" spans="1:169" s="18" customFormat="1">
      <c r="A91" s="51"/>
      <c r="B91" s="713"/>
      <c r="C91" s="714"/>
      <c r="D91" s="715"/>
      <c r="E91" s="716"/>
      <c r="F91" s="717"/>
      <c r="G91" s="718"/>
      <c r="H91" s="719"/>
      <c r="I91" s="719"/>
      <c r="J91" s="720"/>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FM91" s="54"/>
    </row>
    <row r="92" spans="1:169" s="18" customFormat="1">
      <c r="A92" s="51"/>
      <c r="B92" s="713"/>
      <c r="C92" s="714"/>
      <c r="D92" s="715"/>
      <c r="E92" s="716"/>
      <c r="F92" s="717"/>
      <c r="G92" s="718"/>
      <c r="H92" s="719"/>
      <c r="I92" s="719"/>
      <c r="J92" s="720"/>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FM92" s="54"/>
    </row>
    <row r="93" spans="1:169" s="18" customFormat="1">
      <c r="A93" s="51"/>
      <c r="B93" s="713"/>
      <c r="C93" s="714"/>
      <c r="D93" s="715"/>
      <c r="E93" s="716"/>
      <c r="F93" s="717"/>
      <c r="G93" s="718"/>
      <c r="H93" s="719"/>
      <c r="I93" s="719"/>
      <c r="J93" s="720"/>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FM93" s="54"/>
    </row>
    <row r="94" spans="1:169" s="18" customFormat="1">
      <c r="A94" s="51"/>
      <c r="B94" s="713"/>
      <c r="C94" s="714"/>
      <c r="D94" s="715"/>
      <c r="E94" s="716"/>
      <c r="F94" s="717"/>
      <c r="G94" s="718"/>
      <c r="H94" s="719"/>
      <c r="I94" s="719"/>
      <c r="J94" s="720"/>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FM94" s="54"/>
    </row>
    <row r="95" spans="1:169" s="18" customFormat="1">
      <c r="A95" s="51"/>
      <c r="B95" s="713"/>
      <c r="C95" s="714"/>
      <c r="D95" s="715"/>
      <c r="E95" s="716"/>
      <c r="F95" s="717"/>
      <c r="G95" s="718"/>
      <c r="H95" s="719"/>
      <c r="I95" s="719"/>
      <c r="J95" s="720"/>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FM95" s="54"/>
    </row>
    <row r="96" spans="1:169" s="18" customFormat="1">
      <c r="A96" s="51"/>
      <c r="B96" s="713"/>
      <c r="C96" s="714"/>
      <c r="D96" s="715"/>
      <c r="E96" s="716"/>
      <c r="F96" s="717"/>
      <c r="G96" s="718"/>
      <c r="H96" s="719"/>
      <c r="I96" s="719"/>
      <c r="J96" s="720"/>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FM96" s="54"/>
    </row>
    <row r="97" spans="1:169" s="18" customFormat="1">
      <c r="A97" s="51"/>
      <c r="B97" s="713"/>
      <c r="C97" s="714"/>
      <c r="D97" s="715"/>
      <c r="E97" s="716"/>
      <c r="F97" s="717"/>
      <c r="G97" s="718"/>
      <c r="H97" s="719"/>
      <c r="I97" s="719"/>
      <c r="J97" s="720"/>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FM97" s="54"/>
    </row>
    <row r="98" spans="1:169" s="18" customFormat="1">
      <c r="A98" s="51"/>
      <c r="B98" s="713"/>
      <c r="C98" s="714"/>
      <c r="D98" s="715"/>
      <c r="E98" s="716"/>
      <c r="F98" s="717"/>
      <c r="G98" s="718"/>
      <c r="H98" s="719"/>
      <c r="I98" s="719"/>
      <c r="J98" s="720"/>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FM98" s="54"/>
    </row>
    <row r="99" spans="1:169" s="18" customFormat="1">
      <c r="A99" s="51"/>
      <c r="B99" s="713"/>
      <c r="C99" s="714"/>
      <c r="D99" s="715"/>
      <c r="E99" s="716"/>
      <c r="F99" s="717"/>
      <c r="G99" s="718"/>
      <c r="H99" s="719"/>
      <c r="I99" s="719"/>
      <c r="J99" s="720"/>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FM99" s="54"/>
    </row>
    <row r="100" spans="1:169" s="18" customFormat="1">
      <c r="A100" s="51"/>
      <c r="B100" s="713"/>
      <c r="C100" s="714"/>
      <c r="D100" s="715"/>
      <c r="E100" s="716"/>
      <c r="F100" s="717"/>
      <c r="G100" s="718"/>
      <c r="H100" s="719"/>
      <c r="I100" s="719"/>
      <c r="J100" s="720"/>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FM100" s="54"/>
    </row>
    <row r="101" spans="1:169" s="18" customFormat="1">
      <c r="A101" s="51"/>
      <c r="B101" s="713"/>
      <c r="C101" s="714"/>
      <c r="D101" s="715"/>
      <c r="E101" s="716"/>
      <c r="F101" s="717"/>
      <c r="G101" s="718"/>
      <c r="H101" s="719"/>
      <c r="I101" s="719"/>
      <c r="J101" s="720"/>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FM101" s="54"/>
    </row>
    <row r="102" spans="1:169" s="18" customFormat="1">
      <c r="A102" s="51"/>
      <c r="B102" s="713"/>
      <c r="C102" s="714"/>
      <c r="D102" s="715"/>
      <c r="E102" s="716"/>
      <c r="F102" s="717"/>
      <c r="G102" s="718"/>
      <c r="H102" s="719"/>
      <c r="I102" s="719"/>
      <c r="J102" s="720"/>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FM102" s="54"/>
    </row>
    <row r="103" spans="1:169" s="18" customFormat="1">
      <c r="A103" s="51"/>
      <c r="B103" s="713"/>
      <c r="C103" s="714"/>
      <c r="D103" s="715"/>
      <c r="E103" s="716"/>
      <c r="F103" s="717"/>
      <c r="G103" s="718"/>
      <c r="H103" s="719"/>
      <c r="I103" s="719"/>
      <c r="J103" s="720"/>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FM103" s="54"/>
    </row>
    <row r="104" spans="1:169" s="18" customFormat="1">
      <c r="A104" s="51"/>
      <c r="B104" s="713"/>
      <c r="C104" s="714"/>
      <c r="D104" s="715"/>
      <c r="E104" s="716"/>
      <c r="F104" s="717"/>
      <c r="G104" s="718"/>
      <c r="H104" s="719"/>
      <c r="I104" s="719"/>
      <c r="J104" s="720"/>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FM104" s="54"/>
    </row>
    <row r="105" spans="1:169" s="18" customFormat="1">
      <c r="A105" s="51"/>
      <c r="B105" s="713"/>
      <c r="C105" s="714"/>
      <c r="D105" s="715"/>
      <c r="E105" s="716"/>
      <c r="F105" s="717"/>
      <c r="G105" s="718"/>
      <c r="H105" s="719"/>
      <c r="I105" s="719"/>
      <c r="J105" s="720"/>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FM105" s="54"/>
    </row>
    <row r="106" spans="1:169" s="18" customFormat="1">
      <c r="A106" s="51"/>
      <c r="B106" s="713"/>
      <c r="C106" s="714"/>
      <c r="D106" s="715"/>
      <c r="E106" s="716"/>
      <c r="F106" s="717"/>
      <c r="G106" s="718"/>
      <c r="H106" s="719"/>
      <c r="I106" s="719"/>
      <c r="J106" s="720"/>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FM106" s="54"/>
    </row>
    <row r="107" spans="1:169" s="18" customFormat="1">
      <c r="A107" s="51"/>
      <c r="B107" s="713"/>
      <c r="C107" s="714"/>
      <c r="D107" s="715"/>
      <c r="E107" s="716"/>
      <c r="F107" s="717"/>
      <c r="G107" s="718"/>
      <c r="H107" s="719"/>
      <c r="I107" s="719"/>
      <c r="J107" s="720"/>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FM107" s="54"/>
    </row>
    <row r="108" spans="1:169" s="18" customFormat="1">
      <c r="A108" s="51"/>
      <c r="B108" s="713"/>
      <c r="C108" s="714"/>
      <c r="D108" s="715"/>
      <c r="E108" s="716"/>
      <c r="F108" s="717"/>
      <c r="G108" s="718"/>
      <c r="H108" s="719"/>
      <c r="I108" s="719"/>
      <c r="J108" s="720"/>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FM108" s="54"/>
    </row>
    <row r="109" spans="1:169" s="18" customFormat="1">
      <c r="A109" s="51"/>
      <c r="B109" s="713"/>
      <c r="C109" s="714"/>
      <c r="D109" s="715"/>
      <c r="E109" s="716"/>
      <c r="F109" s="717"/>
      <c r="G109" s="718"/>
      <c r="H109" s="719"/>
      <c r="I109" s="719"/>
      <c r="J109" s="720"/>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FM109" s="54"/>
    </row>
    <row r="110" spans="1:169" s="18" customFormat="1">
      <c r="A110" s="51"/>
      <c r="B110" s="713"/>
      <c r="C110" s="714"/>
      <c r="D110" s="715"/>
      <c r="E110" s="716"/>
      <c r="F110" s="717"/>
      <c r="G110" s="718"/>
      <c r="H110" s="719"/>
      <c r="I110" s="719"/>
      <c r="J110" s="720"/>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FM110" s="54"/>
    </row>
    <row r="111" spans="1:169" s="18" customFormat="1">
      <c r="A111" s="51"/>
      <c r="B111" s="713"/>
      <c r="C111" s="714"/>
      <c r="D111" s="715"/>
      <c r="E111" s="716"/>
      <c r="F111" s="717"/>
      <c r="G111" s="718"/>
      <c r="H111" s="719"/>
      <c r="I111" s="719"/>
      <c r="J111" s="720"/>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FM111" s="54"/>
    </row>
    <row r="112" spans="1:169" s="18" customFormat="1">
      <c r="A112" s="51"/>
      <c r="B112" s="713"/>
      <c r="C112" s="714"/>
      <c r="D112" s="715"/>
      <c r="E112" s="716"/>
      <c r="F112" s="717"/>
      <c r="G112" s="718"/>
      <c r="H112" s="719"/>
      <c r="I112" s="719"/>
      <c r="J112" s="720"/>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FM112" s="54"/>
    </row>
    <row r="113" spans="1:169" s="18" customFormat="1">
      <c r="A113" s="51"/>
      <c r="B113" s="713"/>
      <c r="C113" s="714"/>
      <c r="D113" s="715"/>
      <c r="E113" s="716"/>
      <c r="F113" s="717"/>
      <c r="G113" s="718"/>
      <c r="H113" s="719"/>
      <c r="I113" s="719"/>
      <c r="J113" s="720"/>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FM113" s="54"/>
    </row>
    <row r="114" spans="1:169" s="18" customFormat="1">
      <c r="A114" s="51"/>
      <c r="B114" s="713"/>
      <c r="C114" s="714"/>
      <c r="D114" s="715"/>
      <c r="E114" s="716"/>
      <c r="F114" s="717"/>
      <c r="G114" s="718"/>
      <c r="H114" s="719"/>
      <c r="I114" s="719"/>
      <c r="J114" s="720"/>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FM114" s="54"/>
    </row>
    <row r="115" spans="1:169" s="18" customFormat="1">
      <c r="A115" s="51"/>
      <c r="B115" s="713"/>
      <c r="C115" s="714"/>
      <c r="D115" s="715"/>
      <c r="E115" s="716"/>
      <c r="F115" s="717"/>
      <c r="G115" s="718"/>
      <c r="H115" s="719"/>
      <c r="I115" s="719"/>
      <c r="J115" s="720"/>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FM115" s="54"/>
    </row>
    <row r="116" spans="1:169" s="18" customFormat="1">
      <c r="A116" s="51"/>
      <c r="B116" s="713"/>
      <c r="C116" s="714"/>
      <c r="D116" s="715"/>
      <c r="E116" s="716"/>
      <c r="F116" s="717"/>
      <c r="G116" s="718"/>
      <c r="H116" s="719"/>
      <c r="I116" s="719"/>
      <c r="J116" s="720"/>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FM116" s="54"/>
    </row>
    <row r="117" spans="1:169" s="18" customFormat="1">
      <c r="A117" s="51"/>
      <c r="B117" s="713"/>
      <c r="C117" s="714"/>
      <c r="D117" s="715"/>
      <c r="E117" s="716"/>
      <c r="F117" s="717"/>
      <c r="G117" s="718"/>
      <c r="H117" s="719"/>
      <c r="I117" s="719"/>
      <c r="J117" s="720"/>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FM117" s="54"/>
    </row>
    <row r="118" spans="1:169" s="18" customFormat="1">
      <c r="A118" s="51"/>
      <c r="B118" s="713"/>
      <c r="C118" s="714"/>
      <c r="D118" s="715"/>
      <c r="E118" s="716"/>
      <c r="F118" s="717"/>
      <c r="G118" s="718"/>
      <c r="H118" s="719"/>
      <c r="I118" s="719"/>
      <c r="J118" s="720"/>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FM118" s="54"/>
    </row>
    <row r="119" spans="1:169" s="18" customFormat="1">
      <c r="A119" s="51"/>
      <c r="B119" s="713"/>
      <c r="C119" s="714"/>
      <c r="D119" s="715"/>
      <c r="E119" s="716"/>
      <c r="F119" s="717"/>
      <c r="G119" s="718"/>
      <c r="H119" s="719"/>
      <c r="I119" s="719"/>
      <c r="J119" s="720"/>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FM119" s="54"/>
    </row>
    <row r="120" spans="1:169" s="18" customFormat="1">
      <c r="A120" s="51"/>
      <c r="B120" s="713"/>
      <c r="C120" s="714"/>
      <c r="D120" s="715"/>
      <c r="E120" s="716"/>
      <c r="F120" s="717"/>
      <c r="G120" s="718"/>
      <c r="H120" s="719"/>
      <c r="I120" s="719"/>
      <c r="J120" s="720"/>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FM120" s="54"/>
    </row>
    <row r="121" spans="1:169" s="18" customFormat="1">
      <c r="A121" s="51"/>
      <c r="B121" s="713"/>
      <c r="C121" s="714"/>
      <c r="D121" s="715"/>
      <c r="E121" s="716"/>
      <c r="F121" s="717"/>
      <c r="G121" s="718"/>
      <c r="H121" s="719"/>
      <c r="I121" s="719"/>
      <c r="J121" s="720"/>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FM121" s="54"/>
    </row>
    <row r="122" spans="1:169" s="18" customFormat="1">
      <c r="A122" s="51"/>
      <c r="B122" s="713"/>
      <c r="C122" s="714"/>
      <c r="D122" s="715"/>
      <c r="E122" s="716"/>
      <c r="F122" s="717"/>
      <c r="G122" s="718"/>
      <c r="H122" s="719"/>
      <c r="I122" s="719"/>
      <c r="J122" s="720"/>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FM122" s="54"/>
    </row>
    <row r="123" spans="1:169" s="18" customFormat="1">
      <c r="A123" s="51"/>
      <c r="B123" s="713"/>
      <c r="C123" s="714"/>
      <c r="D123" s="715"/>
      <c r="E123" s="716"/>
      <c r="F123" s="717"/>
      <c r="G123" s="718"/>
      <c r="H123" s="719"/>
      <c r="I123" s="719"/>
      <c r="J123" s="720"/>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FM123" s="54"/>
    </row>
    <row r="124" spans="1:169" s="18" customFormat="1">
      <c r="A124" s="51"/>
      <c r="B124" s="713"/>
      <c r="C124" s="714"/>
      <c r="D124" s="715"/>
      <c r="E124" s="716"/>
      <c r="F124" s="717"/>
      <c r="G124" s="718"/>
      <c r="H124" s="719"/>
      <c r="I124" s="719"/>
      <c r="J124" s="720"/>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FM124" s="54"/>
    </row>
    <row r="125" spans="1:169" s="18" customFormat="1">
      <c r="A125" s="51"/>
      <c r="B125" s="713"/>
      <c r="C125" s="714"/>
      <c r="D125" s="715"/>
      <c r="E125" s="716"/>
      <c r="F125" s="717"/>
      <c r="G125" s="718"/>
      <c r="H125" s="719"/>
      <c r="I125" s="719"/>
      <c r="J125" s="720"/>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FM125" s="54"/>
    </row>
    <row r="126" spans="1:169" s="18" customFormat="1">
      <c r="A126" s="51"/>
      <c r="B126" s="713"/>
      <c r="C126" s="714"/>
      <c r="D126" s="715"/>
      <c r="E126" s="716"/>
      <c r="F126" s="717"/>
      <c r="G126" s="718"/>
      <c r="H126" s="719"/>
      <c r="I126" s="719"/>
      <c r="J126" s="720"/>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FM126" s="54"/>
    </row>
    <row r="127" spans="1:169" s="18" customFormat="1">
      <c r="A127" s="51"/>
      <c r="B127" s="713"/>
      <c r="C127" s="714"/>
      <c r="D127" s="715"/>
      <c r="E127" s="716"/>
      <c r="F127" s="717"/>
      <c r="G127" s="718"/>
      <c r="H127" s="719"/>
      <c r="I127" s="719"/>
      <c r="J127" s="720"/>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FM127" s="54"/>
    </row>
    <row r="128" spans="1:169" s="18" customFormat="1">
      <c r="A128" s="51"/>
      <c r="B128" s="713"/>
      <c r="C128" s="714"/>
      <c r="D128" s="715"/>
      <c r="E128" s="716"/>
      <c r="F128" s="717"/>
      <c r="G128" s="718"/>
      <c r="H128" s="719"/>
      <c r="I128" s="719"/>
      <c r="J128" s="720"/>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FM128" s="54"/>
    </row>
    <row r="129" spans="1:169" s="18" customFormat="1">
      <c r="A129" s="51"/>
      <c r="B129" s="713"/>
      <c r="C129" s="714"/>
      <c r="D129" s="715"/>
      <c r="E129" s="716"/>
      <c r="F129" s="717"/>
      <c r="G129" s="718"/>
      <c r="H129" s="719"/>
      <c r="I129" s="719"/>
      <c r="J129" s="720"/>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FM129" s="54"/>
    </row>
    <row r="130" spans="1:169" s="18" customFormat="1">
      <c r="A130" s="51"/>
      <c r="B130" s="713"/>
      <c r="C130" s="714"/>
      <c r="D130" s="715"/>
      <c r="E130" s="716"/>
      <c r="F130" s="717"/>
      <c r="G130" s="718"/>
      <c r="H130" s="719"/>
      <c r="I130" s="719"/>
      <c r="J130" s="720"/>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FM130" s="54"/>
    </row>
    <row r="131" spans="1:169" s="18" customFormat="1">
      <c r="A131" s="51"/>
      <c r="B131" s="713"/>
      <c r="C131" s="714"/>
      <c r="D131" s="715"/>
      <c r="E131" s="716"/>
      <c r="F131" s="717"/>
      <c r="G131" s="718"/>
      <c r="H131" s="719"/>
      <c r="I131" s="719"/>
      <c r="J131" s="720"/>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FM131" s="54"/>
    </row>
    <row r="132" spans="1:169" s="18" customFormat="1">
      <c r="A132" s="51"/>
      <c r="B132" s="713"/>
      <c r="C132" s="714"/>
      <c r="D132" s="715"/>
      <c r="E132" s="716"/>
      <c r="F132" s="717"/>
      <c r="G132" s="718"/>
      <c r="H132" s="719"/>
      <c r="I132" s="719"/>
      <c r="J132" s="720"/>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FM132" s="54"/>
    </row>
    <row r="133" spans="1:169" s="18" customFormat="1">
      <c r="A133" s="51"/>
      <c r="B133" s="713"/>
      <c r="C133" s="714"/>
      <c r="D133" s="715"/>
      <c r="E133" s="716"/>
      <c r="F133" s="717"/>
      <c r="G133" s="718"/>
      <c r="H133" s="719"/>
      <c r="I133" s="719"/>
      <c r="J133" s="720"/>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FM133" s="54"/>
    </row>
    <row r="134" spans="1:169" s="18" customFormat="1">
      <c r="A134" s="51"/>
      <c r="B134" s="713"/>
      <c r="C134" s="714"/>
      <c r="D134" s="715"/>
      <c r="E134" s="716"/>
      <c r="F134" s="717"/>
      <c r="G134" s="718"/>
      <c r="H134" s="719"/>
      <c r="I134" s="719"/>
      <c r="J134" s="720"/>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FM134" s="54"/>
    </row>
    <row r="135" spans="1:169" s="18" customFormat="1">
      <c r="A135" s="51"/>
      <c r="B135" s="713"/>
      <c r="C135" s="714"/>
      <c r="D135" s="715"/>
      <c r="E135" s="716"/>
      <c r="F135" s="717"/>
      <c r="G135" s="718"/>
      <c r="H135" s="719"/>
      <c r="I135" s="719"/>
      <c r="J135" s="720"/>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FM135" s="54"/>
    </row>
    <row r="136" spans="1:169" s="18" customFormat="1">
      <c r="A136" s="51"/>
      <c r="B136" s="713"/>
      <c r="C136" s="714"/>
      <c r="D136" s="715"/>
      <c r="E136" s="716"/>
      <c r="F136" s="717"/>
      <c r="G136" s="718"/>
      <c r="H136" s="719"/>
      <c r="I136" s="719"/>
      <c r="J136" s="720"/>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FM136" s="54"/>
    </row>
    <row r="137" spans="1:169" s="18" customFormat="1">
      <c r="A137" s="51"/>
      <c r="B137" s="713"/>
      <c r="C137" s="714"/>
      <c r="D137" s="715"/>
      <c r="E137" s="716"/>
      <c r="F137" s="717"/>
      <c r="G137" s="718"/>
      <c r="H137" s="719"/>
      <c r="I137" s="719"/>
      <c r="J137" s="720"/>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FM137" s="54"/>
    </row>
    <row r="138" spans="1:169" s="18" customFormat="1">
      <c r="A138" s="51"/>
      <c r="B138" s="713"/>
      <c r="C138" s="714"/>
      <c r="D138" s="715"/>
      <c r="E138" s="716"/>
      <c r="F138" s="717"/>
      <c r="G138" s="718"/>
      <c r="H138" s="719"/>
      <c r="I138" s="719"/>
      <c r="J138" s="720"/>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FM138" s="54"/>
    </row>
    <row r="139" spans="1:169" s="18" customFormat="1">
      <c r="A139" s="51"/>
      <c r="B139" s="713"/>
      <c r="C139" s="714"/>
      <c r="D139" s="715"/>
      <c r="E139" s="716"/>
      <c r="F139" s="717"/>
      <c r="G139" s="718"/>
      <c r="H139" s="719"/>
      <c r="I139" s="719"/>
      <c r="J139" s="720"/>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FM139" s="54"/>
    </row>
    <row r="140" spans="1:169" s="18" customFormat="1">
      <c r="A140" s="51"/>
      <c r="B140" s="713"/>
      <c r="C140" s="714"/>
      <c r="D140" s="715"/>
      <c r="E140" s="716"/>
      <c r="F140" s="717"/>
      <c r="G140" s="718"/>
      <c r="H140" s="719"/>
      <c r="I140" s="719"/>
      <c r="J140" s="720"/>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FM140" s="54"/>
    </row>
    <row r="141" spans="1:169" s="18" customFormat="1">
      <c r="A141" s="51"/>
      <c r="B141" s="713"/>
      <c r="C141" s="714"/>
      <c r="D141" s="715"/>
      <c r="E141" s="716"/>
      <c r="F141" s="717"/>
      <c r="G141" s="718"/>
      <c r="H141" s="719"/>
      <c r="I141" s="719"/>
      <c r="J141" s="720"/>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FM141" s="54"/>
    </row>
    <row r="142" spans="1:169" s="18" customFormat="1">
      <c r="A142" s="51"/>
      <c r="B142" s="713"/>
      <c r="C142" s="714"/>
      <c r="D142" s="715"/>
      <c r="E142" s="716"/>
      <c r="F142" s="717"/>
      <c r="G142" s="718"/>
      <c r="H142" s="719"/>
      <c r="I142" s="719"/>
      <c r="J142" s="720"/>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FM142" s="54"/>
    </row>
    <row r="143" spans="1:169" s="18" customFormat="1">
      <c r="A143" s="51"/>
      <c r="B143" s="713"/>
      <c r="C143" s="714"/>
      <c r="D143" s="715"/>
      <c r="E143" s="716"/>
      <c r="F143" s="717"/>
      <c r="G143" s="718"/>
      <c r="H143" s="719"/>
      <c r="I143" s="719"/>
      <c r="J143" s="720"/>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FM143" s="54"/>
    </row>
    <row r="144" spans="1:169" s="18" customFormat="1">
      <c r="A144" s="51"/>
      <c r="B144" s="713"/>
      <c r="C144" s="714"/>
      <c r="D144" s="715"/>
      <c r="E144" s="716"/>
      <c r="F144" s="717"/>
      <c r="G144" s="718"/>
      <c r="H144" s="719"/>
      <c r="I144" s="719"/>
      <c r="J144" s="720"/>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FM144" s="54"/>
    </row>
    <row r="145" spans="1:169" s="18" customFormat="1">
      <c r="A145" s="51"/>
      <c r="B145" s="713"/>
      <c r="C145" s="714"/>
      <c r="D145" s="715"/>
      <c r="E145" s="716"/>
      <c r="F145" s="717"/>
      <c r="G145" s="718"/>
      <c r="H145" s="719"/>
      <c r="I145" s="719"/>
      <c r="J145" s="720"/>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FM145" s="54"/>
    </row>
    <row r="146" spans="1:169" s="18" customFormat="1">
      <c r="A146" s="51"/>
      <c r="B146" s="713"/>
      <c r="C146" s="714"/>
      <c r="D146" s="715"/>
      <c r="E146" s="716"/>
      <c r="F146" s="717"/>
      <c r="G146" s="718"/>
      <c r="H146" s="719"/>
      <c r="I146" s="719"/>
      <c r="J146" s="720"/>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FM146" s="54"/>
    </row>
    <row r="147" spans="1:169" s="18" customFormat="1">
      <c r="A147" s="51"/>
      <c r="B147" s="713"/>
      <c r="C147" s="714"/>
      <c r="D147" s="715"/>
      <c r="E147" s="716"/>
      <c r="F147" s="717"/>
      <c r="G147" s="718"/>
      <c r="H147" s="719"/>
      <c r="I147" s="719"/>
      <c r="J147" s="720"/>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FM147" s="54"/>
    </row>
    <row r="148" spans="1:169" s="18" customFormat="1">
      <c r="A148" s="51"/>
      <c r="B148" s="713"/>
      <c r="C148" s="714"/>
      <c r="D148" s="715"/>
      <c r="E148" s="716"/>
      <c r="F148" s="717"/>
      <c r="G148" s="718"/>
      <c r="H148" s="719"/>
      <c r="I148" s="719"/>
      <c r="J148" s="720"/>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FM148" s="54"/>
    </row>
    <row r="149" spans="1:169" s="18" customFormat="1">
      <c r="A149" s="51"/>
      <c r="B149" s="713"/>
      <c r="C149" s="714"/>
      <c r="D149" s="715"/>
      <c r="E149" s="716"/>
      <c r="F149" s="717"/>
      <c r="G149" s="718"/>
      <c r="H149" s="719"/>
      <c r="I149" s="719"/>
      <c r="J149" s="720"/>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FM149" s="54"/>
    </row>
    <row r="150" spans="1:169" s="18" customFormat="1">
      <c r="A150" s="51"/>
      <c r="B150" s="713"/>
      <c r="C150" s="714"/>
      <c r="D150" s="715"/>
      <c r="E150" s="716"/>
      <c r="F150" s="717"/>
      <c r="G150" s="718"/>
      <c r="H150" s="719"/>
      <c r="I150" s="719"/>
      <c r="J150" s="720"/>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FM150" s="54"/>
    </row>
    <row r="151" spans="1:169" s="18" customFormat="1">
      <c r="A151" s="51"/>
      <c r="B151" s="713"/>
      <c r="C151" s="714"/>
      <c r="D151" s="715"/>
      <c r="E151" s="716"/>
      <c r="F151" s="717"/>
      <c r="G151" s="718"/>
      <c r="H151" s="719"/>
      <c r="I151" s="719"/>
      <c r="J151" s="720"/>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FM151" s="54"/>
    </row>
    <row r="152" spans="1:169" s="18" customFormat="1">
      <c r="A152" s="51"/>
      <c r="B152" s="713"/>
      <c r="C152" s="714"/>
      <c r="D152" s="715"/>
      <c r="E152" s="716"/>
      <c r="F152" s="717"/>
      <c r="G152" s="718"/>
      <c r="H152" s="719"/>
      <c r="I152" s="719"/>
      <c r="J152" s="720"/>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FM152" s="54"/>
    </row>
    <row r="153" spans="1:169" s="18" customFormat="1">
      <c r="A153" s="51"/>
      <c r="B153" s="713"/>
      <c r="C153" s="714"/>
      <c r="D153" s="715"/>
      <c r="E153" s="716"/>
      <c r="F153" s="717"/>
      <c r="G153" s="718"/>
      <c r="H153" s="719"/>
      <c r="I153" s="719"/>
      <c r="J153" s="720"/>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FM153" s="54"/>
    </row>
    <row r="154" spans="1:169" s="18" customFormat="1">
      <c r="A154" s="51"/>
      <c r="B154" s="713"/>
      <c r="C154" s="714"/>
      <c r="D154" s="715"/>
      <c r="E154" s="716"/>
      <c r="F154" s="717"/>
      <c r="G154" s="718"/>
      <c r="H154" s="719"/>
      <c r="I154" s="719"/>
      <c r="J154" s="720"/>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FM154" s="54"/>
    </row>
    <row r="155" spans="1:169" s="18" customFormat="1">
      <c r="A155" s="51"/>
      <c r="B155" s="713"/>
      <c r="C155" s="714"/>
      <c r="D155" s="715"/>
      <c r="E155" s="716"/>
      <c r="F155" s="717"/>
      <c r="G155" s="718"/>
      <c r="H155" s="719"/>
      <c r="I155" s="719"/>
      <c r="J155" s="720"/>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FM155" s="54"/>
    </row>
    <row r="156" spans="1:169" s="18" customFormat="1">
      <c r="A156" s="51"/>
      <c r="B156" s="713"/>
      <c r="C156" s="714"/>
      <c r="D156" s="715"/>
      <c r="E156" s="716"/>
      <c r="F156" s="717"/>
      <c r="G156" s="718"/>
      <c r="H156" s="719"/>
      <c r="I156" s="719"/>
      <c r="J156" s="720"/>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FM156" s="54"/>
    </row>
    <row r="157" spans="1:169" s="18" customFormat="1">
      <c r="A157" s="51"/>
      <c r="B157" s="713"/>
      <c r="C157" s="714"/>
      <c r="D157" s="715"/>
      <c r="E157" s="716"/>
      <c r="F157" s="717"/>
      <c r="G157" s="718"/>
      <c r="H157" s="719"/>
      <c r="I157" s="719"/>
      <c r="J157" s="720"/>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FM157" s="54"/>
    </row>
    <row r="158" spans="1:169" s="18" customFormat="1">
      <c r="A158" s="51"/>
      <c r="B158" s="713"/>
      <c r="C158" s="714"/>
      <c r="D158" s="715"/>
      <c r="E158" s="716"/>
      <c r="F158" s="717"/>
      <c r="G158" s="718"/>
      <c r="H158" s="719"/>
      <c r="I158" s="719"/>
      <c r="J158" s="720"/>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FM158" s="54"/>
    </row>
    <row r="159" spans="1:169" s="18" customFormat="1">
      <c r="A159" s="51"/>
      <c r="B159" s="713"/>
      <c r="C159" s="714"/>
      <c r="D159" s="715"/>
      <c r="E159" s="716"/>
      <c r="F159" s="717"/>
      <c r="G159" s="718"/>
      <c r="H159" s="719"/>
      <c r="I159" s="719"/>
      <c r="J159" s="720"/>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FM159" s="54"/>
    </row>
    <row r="160" spans="1:169" s="18" customFormat="1">
      <c r="A160" s="51"/>
      <c r="B160" s="713"/>
      <c r="C160" s="714"/>
      <c r="D160" s="715"/>
      <c r="E160" s="716"/>
      <c r="F160" s="717"/>
      <c r="G160" s="718"/>
      <c r="H160" s="719"/>
      <c r="I160" s="719"/>
      <c r="J160" s="720"/>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FM160" s="54"/>
    </row>
    <row r="161" spans="1:169" s="18" customFormat="1">
      <c r="A161" s="51"/>
      <c r="B161" s="713"/>
      <c r="C161" s="714"/>
      <c r="D161" s="715"/>
      <c r="E161" s="716"/>
      <c r="F161" s="717"/>
      <c r="G161" s="718"/>
      <c r="H161" s="719"/>
      <c r="I161" s="719"/>
      <c r="J161" s="720"/>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FM161" s="54"/>
    </row>
    <row r="162" spans="1:169" s="18" customFormat="1">
      <c r="A162" s="51"/>
      <c r="B162" s="713"/>
      <c r="C162" s="714"/>
      <c r="D162" s="715"/>
      <c r="E162" s="716"/>
      <c r="F162" s="717"/>
      <c r="G162" s="718"/>
      <c r="H162" s="719"/>
      <c r="I162" s="719"/>
      <c r="J162" s="720"/>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FM162" s="54"/>
    </row>
    <row r="163" spans="1:169" s="18" customFormat="1">
      <c r="A163" s="51"/>
      <c r="B163" s="713"/>
      <c r="C163" s="714"/>
      <c r="D163" s="715"/>
      <c r="E163" s="716"/>
      <c r="F163" s="717"/>
      <c r="G163" s="718"/>
      <c r="H163" s="719"/>
      <c r="I163" s="719"/>
      <c r="J163" s="720"/>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FM163" s="54"/>
    </row>
    <row r="164" spans="1:169" s="18" customFormat="1">
      <c r="A164" s="51"/>
      <c r="B164" s="713"/>
      <c r="C164" s="714"/>
      <c r="D164" s="715"/>
      <c r="E164" s="716"/>
      <c r="F164" s="717"/>
      <c r="G164" s="718"/>
      <c r="H164" s="719"/>
      <c r="I164" s="719"/>
      <c r="J164" s="720"/>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FM164" s="54"/>
    </row>
    <row r="165" spans="1:169" s="18" customFormat="1">
      <c r="A165" s="51"/>
      <c r="B165" s="713"/>
      <c r="C165" s="714"/>
      <c r="D165" s="715"/>
      <c r="E165" s="716"/>
      <c r="F165" s="717"/>
      <c r="G165" s="718"/>
      <c r="H165" s="719"/>
      <c r="I165" s="719"/>
      <c r="J165" s="720"/>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FM165" s="54"/>
    </row>
    <row r="166" spans="1:169" s="18" customFormat="1">
      <c r="A166" s="51"/>
      <c r="B166" s="713"/>
      <c r="C166" s="714"/>
      <c r="D166" s="715"/>
      <c r="E166" s="716"/>
      <c r="F166" s="717"/>
      <c r="G166" s="718"/>
      <c r="H166" s="719"/>
      <c r="I166" s="719"/>
      <c r="J166" s="720"/>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FM166" s="54"/>
    </row>
    <row r="167" spans="1:169" s="18" customFormat="1">
      <c r="A167" s="51"/>
      <c r="B167" s="713"/>
      <c r="C167" s="714"/>
      <c r="D167" s="715"/>
      <c r="E167" s="716"/>
      <c r="F167" s="717"/>
      <c r="G167" s="718"/>
      <c r="H167" s="719"/>
      <c r="I167" s="719"/>
      <c r="J167" s="720"/>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FM167" s="54"/>
    </row>
    <row r="168" spans="1:169" s="18" customFormat="1">
      <c r="A168" s="51"/>
      <c r="B168" s="713"/>
      <c r="C168" s="714"/>
      <c r="D168" s="715"/>
      <c r="E168" s="716"/>
      <c r="F168" s="717"/>
      <c r="G168" s="718"/>
      <c r="H168" s="719"/>
      <c r="I168" s="719"/>
      <c r="J168" s="720"/>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FM168" s="54"/>
    </row>
    <row r="169" spans="1:169" s="18" customFormat="1">
      <c r="A169" s="51"/>
      <c r="B169" s="713"/>
      <c r="C169" s="714"/>
      <c r="D169" s="715"/>
      <c r="E169" s="716"/>
      <c r="F169" s="717"/>
      <c r="G169" s="718"/>
      <c r="H169" s="719"/>
      <c r="I169" s="719"/>
      <c r="J169" s="720"/>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FM169" s="54"/>
    </row>
    <row r="170" spans="1:169" s="18" customFormat="1">
      <c r="A170" s="51"/>
      <c r="B170" s="713"/>
      <c r="C170" s="714"/>
      <c r="D170" s="715"/>
      <c r="E170" s="716"/>
      <c r="F170" s="717"/>
      <c r="G170" s="718"/>
      <c r="H170" s="719"/>
      <c r="I170" s="719"/>
      <c r="J170" s="720"/>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FM170" s="54"/>
    </row>
    <row r="171" spans="1:169" s="18" customFormat="1">
      <c r="A171" s="51"/>
      <c r="B171" s="713"/>
      <c r="C171" s="714"/>
      <c r="D171" s="715"/>
      <c r="E171" s="716"/>
      <c r="F171" s="717"/>
      <c r="G171" s="718"/>
      <c r="H171" s="719"/>
      <c r="I171" s="719"/>
      <c r="J171" s="720"/>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FM171" s="54"/>
    </row>
    <row r="172" spans="1:169" s="18" customFormat="1">
      <c r="A172" s="51"/>
      <c r="B172" s="713"/>
      <c r="C172" s="714"/>
      <c r="D172" s="715"/>
      <c r="E172" s="716"/>
      <c r="F172" s="717"/>
      <c r="G172" s="718"/>
      <c r="H172" s="719"/>
      <c r="I172" s="719"/>
      <c r="J172" s="720"/>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FM172" s="54"/>
    </row>
    <row r="173" spans="1:169" s="18" customFormat="1">
      <c r="A173" s="51"/>
      <c r="B173" s="713"/>
      <c r="C173" s="714"/>
      <c r="D173" s="715"/>
      <c r="E173" s="716"/>
      <c r="F173" s="717"/>
      <c r="G173" s="718"/>
      <c r="H173" s="719"/>
      <c r="I173" s="719"/>
      <c r="J173" s="720"/>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FM173" s="54"/>
    </row>
    <row r="174" spans="1:169" s="18" customFormat="1">
      <c r="A174" s="51"/>
      <c r="B174" s="713"/>
      <c r="C174" s="714"/>
      <c r="D174" s="715"/>
      <c r="E174" s="716"/>
      <c r="F174" s="717"/>
      <c r="G174" s="718"/>
      <c r="H174" s="719"/>
      <c r="I174" s="719"/>
      <c r="J174" s="720"/>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FM174" s="54"/>
    </row>
    <row r="175" spans="1:169" s="18" customFormat="1">
      <c r="A175" s="51"/>
      <c r="B175" s="713"/>
      <c r="C175" s="714"/>
      <c r="D175" s="715"/>
      <c r="E175" s="716"/>
      <c r="F175" s="717"/>
      <c r="G175" s="718"/>
      <c r="H175" s="719"/>
      <c r="I175" s="719"/>
      <c r="J175" s="720"/>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FM175" s="54"/>
    </row>
    <row r="176" spans="1:169" s="18" customFormat="1">
      <c r="A176" s="51"/>
      <c r="B176" s="713"/>
      <c r="C176" s="714"/>
      <c r="D176" s="715"/>
      <c r="E176" s="716"/>
      <c r="F176" s="717"/>
      <c r="G176" s="718"/>
      <c r="H176" s="719"/>
      <c r="I176" s="719"/>
      <c r="J176" s="720"/>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FM176" s="54"/>
    </row>
    <row r="177" spans="1:169" s="18" customFormat="1">
      <c r="A177" s="51"/>
      <c r="B177" s="713"/>
      <c r="C177" s="714"/>
      <c r="D177" s="715"/>
      <c r="E177" s="716"/>
      <c r="F177" s="717"/>
      <c r="G177" s="718"/>
      <c r="H177" s="719"/>
      <c r="I177" s="719"/>
      <c r="J177" s="720"/>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FM177" s="54"/>
    </row>
    <row r="178" spans="1:169" s="18" customFormat="1">
      <c r="A178" s="51"/>
      <c r="B178" s="713"/>
      <c r="C178" s="714"/>
      <c r="D178" s="715"/>
      <c r="E178" s="716"/>
      <c r="F178" s="717"/>
      <c r="G178" s="718"/>
      <c r="H178" s="719"/>
      <c r="I178" s="719"/>
      <c r="J178" s="720"/>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FM178" s="54"/>
    </row>
    <row r="179" spans="1:169" s="18" customFormat="1">
      <c r="A179" s="51"/>
      <c r="B179" s="713"/>
      <c r="C179" s="714"/>
      <c r="D179" s="715"/>
      <c r="E179" s="716"/>
      <c r="F179" s="717"/>
      <c r="G179" s="718"/>
      <c r="H179" s="719"/>
      <c r="I179" s="719"/>
      <c r="J179" s="720"/>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FM179" s="54"/>
    </row>
    <row r="180" spans="1:169" s="18" customFormat="1">
      <c r="A180" s="51"/>
      <c r="B180" s="713"/>
      <c r="C180" s="714"/>
      <c r="D180" s="715"/>
      <c r="E180" s="716"/>
      <c r="F180" s="717"/>
      <c r="G180" s="718"/>
      <c r="H180" s="719"/>
      <c r="I180" s="719"/>
      <c r="J180" s="720"/>
      <c r="K180" s="19"/>
      <c r="L180" s="19"/>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FM180" s="54"/>
    </row>
    <row r="181" spans="1:169" s="18" customFormat="1">
      <c r="A181" s="51"/>
      <c r="B181" s="713"/>
      <c r="C181" s="714"/>
      <c r="D181" s="715"/>
      <c r="E181" s="716"/>
      <c r="F181" s="717"/>
      <c r="G181" s="718"/>
      <c r="H181" s="719"/>
      <c r="I181" s="719"/>
      <c r="J181" s="720"/>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FM181" s="54"/>
    </row>
    <row r="182" spans="1:169" s="18" customFormat="1">
      <c r="A182" s="51"/>
      <c r="B182" s="713"/>
      <c r="C182" s="714"/>
      <c r="D182" s="715"/>
      <c r="E182" s="716"/>
      <c r="F182" s="717"/>
      <c r="G182" s="718"/>
      <c r="H182" s="719"/>
      <c r="I182" s="719"/>
      <c r="J182" s="720"/>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FM182" s="54"/>
    </row>
    <row r="183" spans="1:169" s="18" customFormat="1">
      <c r="A183" s="51"/>
      <c r="B183" s="713"/>
      <c r="C183" s="714"/>
      <c r="D183" s="715"/>
      <c r="E183" s="716"/>
      <c r="F183" s="717"/>
      <c r="G183" s="718"/>
      <c r="H183" s="719"/>
      <c r="I183" s="719"/>
      <c r="J183" s="720"/>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FM183" s="54"/>
    </row>
    <row r="184" spans="1:169" s="18" customFormat="1">
      <c r="A184" s="51"/>
      <c r="B184" s="713"/>
      <c r="C184" s="714"/>
      <c r="D184" s="715"/>
      <c r="E184" s="716"/>
      <c r="F184" s="717"/>
      <c r="G184" s="718"/>
      <c r="H184" s="719"/>
      <c r="I184" s="719"/>
      <c r="J184" s="720"/>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FM184" s="54"/>
    </row>
    <row r="185" spans="1:169" s="18" customFormat="1">
      <c r="A185" s="51"/>
      <c r="B185" s="713"/>
      <c r="C185" s="714"/>
      <c r="D185" s="715"/>
      <c r="E185" s="716"/>
      <c r="F185" s="717"/>
      <c r="G185" s="718"/>
      <c r="H185" s="719"/>
      <c r="I185" s="719"/>
      <c r="J185" s="720"/>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FM185" s="54"/>
    </row>
    <row r="186" spans="1:169" s="18" customFormat="1">
      <c r="A186" s="51"/>
      <c r="B186" s="713"/>
      <c r="C186" s="714"/>
      <c r="D186" s="715"/>
      <c r="E186" s="716"/>
      <c r="F186" s="717"/>
      <c r="G186" s="718"/>
      <c r="H186" s="719"/>
      <c r="I186" s="719"/>
      <c r="J186" s="720"/>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FM186" s="54"/>
    </row>
    <row r="187" spans="1:169" s="18" customFormat="1">
      <c r="A187" s="51"/>
      <c r="B187" s="713"/>
      <c r="C187" s="714"/>
      <c r="D187" s="715"/>
      <c r="E187" s="716"/>
      <c r="F187" s="717"/>
      <c r="G187" s="718"/>
      <c r="H187" s="719"/>
      <c r="I187" s="719"/>
      <c r="J187" s="720"/>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FM187" s="54"/>
    </row>
    <row r="188" spans="1:169" s="18" customFormat="1">
      <c r="A188" s="51"/>
      <c r="B188" s="713"/>
      <c r="C188" s="714"/>
      <c r="D188" s="715"/>
      <c r="E188" s="716"/>
      <c r="F188" s="717"/>
      <c r="G188" s="718"/>
      <c r="H188" s="719"/>
      <c r="I188" s="719"/>
      <c r="J188" s="720"/>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FM188" s="54"/>
    </row>
    <row r="189" spans="1:169" s="18" customFormat="1">
      <c r="A189" s="51"/>
      <c r="B189" s="713"/>
      <c r="C189" s="714"/>
      <c r="D189" s="715"/>
      <c r="E189" s="716"/>
      <c r="F189" s="717"/>
      <c r="G189" s="718"/>
      <c r="H189" s="719"/>
      <c r="I189" s="719"/>
      <c r="J189" s="720"/>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FM189" s="54"/>
    </row>
    <row r="190" spans="1:169" s="18" customFormat="1">
      <c r="A190" s="51"/>
      <c r="B190" s="713"/>
      <c r="C190" s="714"/>
      <c r="D190" s="715"/>
      <c r="E190" s="716"/>
      <c r="F190" s="717"/>
      <c r="G190" s="718"/>
      <c r="H190" s="719"/>
      <c r="I190" s="719"/>
      <c r="J190" s="720"/>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FM190" s="54"/>
    </row>
    <row r="191" spans="1:169" s="18" customFormat="1">
      <c r="A191" s="51"/>
      <c r="B191" s="713"/>
      <c r="C191" s="714"/>
      <c r="D191" s="715"/>
      <c r="E191" s="716"/>
      <c r="F191" s="717"/>
      <c r="G191" s="718"/>
      <c r="H191" s="719"/>
      <c r="I191" s="719"/>
      <c r="J191" s="720"/>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FM191" s="54"/>
    </row>
    <row r="192" spans="1:169" s="18" customFormat="1">
      <c r="A192" s="51"/>
      <c r="B192" s="713"/>
      <c r="C192" s="714"/>
      <c r="D192" s="715"/>
      <c r="E192" s="716"/>
      <c r="F192" s="717"/>
      <c r="G192" s="718"/>
      <c r="H192" s="719"/>
      <c r="I192" s="719"/>
      <c r="J192" s="720"/>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FM192" s="54"/>
    </row>
    <row r="193" spans="1:169" s="18" customFormat="1">
      <c r="A193" s="51"/>
      <c r="B193" s="713"/>
      <c r="C193" s="714"/>
      <c r="D193" s="715"/>
      <c r="E193" s="716"/>
      <c r="F193" s="717"/>
      <c r="G193" s="718"/>
      <c r="H193" s="719"/>
      <c r="I193" s="719"/>
      <c r="J193" s="720"/>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FM193" s="54"/>
    </row>
    <row r="194" spans="1:169" s="18" customFormat="1">
      <c r="A194" s="51"/>
      <c r="B194" s="713"/>
      <c r="C194" s="714"/>
      <c r="D194" s="715"/>
      <c r="E194" s="716"/>
      <c r="F194" s="717"/>
      <c r="G194" s="718"/>
      <c r="H194" s="719"/>
      <c r="I194" s="719"/>
      <c r="J194" s="720"/>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FM194" s="54"/>
    </row>
    <row r="195" spans="1:169" s="18" customFormat="1">
      <c r="A195" s="51"/>
      <c r="B195" s="713"/>
      <c r="C195" s="714"/>
      <c r="D195" s="715"/>
      <c r="E195" s="716"/>
      <c r="F195" s="717"/>
      <c r="G195" s="718"/>
      <c r="H195" s="719"/>
      <c r="I195" s="719"/>
      <c r="J195" s="720"/>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FM195" s="54"/>
    </row>
    <row r="196" spans="1:169" s="18" customFormat="1">
      <c r="A196" s="51"/>
      <c r="B196" s="713"/>
      <c r="C196" s="714"/>
      <c r="D196" s="715"/>
      <c r="E196" s="716"/>
      <c r="F196" s="717"/>
      <c r="G196" s="718"/>
      <c r="H196" s="719"/>
      <c r="I196" s="719"/>
      <c r="J196" s="720"/>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FM196" s="54"/>
    </row>
    <row r="197" spans="1:169" s="18" customFormat="1">
      <c r="A197" s="51"/>
      <c r="B197" s="713"/>
      <c r="C197" s="714"/>
      <c r="D197" s="715"/>
      <c r="E197" s="716"/>
      <c r="F197" s="717"/>
      <c r="G197" s="718"/>
      <c r="H197" s="719"/>
      <c r="I197" s="719"/>
      <c r="J197" s="720"/>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FM197" s="54"/>
    </row>
    <row r="198" spans="1:169" s="18" customFormat="1">
      <c r="A198" s="51"/>
      <c r="B198" s="713"/>
      <c r="C198" s="714"/>
      <c r="D198" s="715"/>
      <c r="E198" s="716"/>
      <c r="F198" s="717"/>
      <c r="G198" s="718"/>
      <c r="H198" s="719"/>
      <c r="I198" s="719"/>
      <c r="J198" s="720"/>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FM198" s="54"/>
    </row>
    <row r="199" spans="1:169" s="18" customFormat="1">
      <c r="A199" s="51"/>
      <c r="B199" s="713"/>
      <c r="C199" s="714"/>
      <c r="D199" s="715"/>
      <c r="E199" s="716"/>
      <c r="F199" s="717"/>
      <c r="G199" s="718"/>
      <c r="H199" s="719"/>
      <c r="I199" s="719"/>
      <c r="J199" s="720"/>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FM199" s="54"/>
    </row>
    <row r="200" spans="1:169" s="18" customFormat="1">
      <c r="A200" s="51"/>
      <c r="B200" s="713"/>
      <c r="C200" s="714"/>
      <c r="D200" s="715"/>
      <c r="E200" s="716"/>
      <c r="F200" s="717"/>
      <c r="G200" s="718"/>
      <c r="H200" s="719"/>
      <c r="I200" s="719"/>
      <c r="J200" s="720"/>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FM200" s="54"/>
    </row>
    <row r="201" spans="1:169" s="18" customFormat="1">
      <c r="A201" s="51"/>
      <c r="B201" s="713"/>
      <c r="C201" s="714"/>
      <c r="D201" s="715"/>
      <c r="E201" s="716"/>
      <c r="F201" s="717"/>
      <c r="G201" s="718"/>
      <c r="H201" s="719"/>
      <c r="I201" s="719"/>
      <c r="J201" s="720"/>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FM201" s="54"/>
    </row>
    <row r="202" spans="1:169" s="18" customFormat="1">
      <c r="A202" s="51"/>
      <c r="B202" s="713"/>
      <c r="C202" s="714"/>
      <c r="D202" s="715"/>
      <c r="E202" s="716"/>
      <c r="F202" s="717"/>
      <c r="G202" s="718"/>
      <c r="H202" s="719"/>
      <c r="I202" s="719"/>
      <c r="J202" s="720"/>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FM202" s="54"/>
    </row>
    <row r="203" spans="1:169" s="18" customFormat="1">
      <c r="A203" s="51"/>
      <c r="B203" s="713"/>
      <c r="C203" s="714"/>
      <c r="D203" s="715"/>
      <c r="E203" s="716"/>
      <c r="F203" s="717"/>
      <c r="G203" s="718"/>
      <c r="H203" s="719"/>
      <c r="I203" s="719"/>
      <c r="J203" s="720"/>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FM203" s="54"/>
    </row>
    <row r="204" spans="1:169" s="18" customFormat="1">
      <c r="A204" s="51"/>
      <c r="B204" s="713"/>
      <c r="C204" s="714"/>
      <c r="D204" s="715"/>
      <c r="E204" s="716"/>
      <c r="F204" s="717"/>
      <c r="G204" s="718"/>
      <c r="H204" s="719"/>
      <c r="I204" s="719"/>
      <c r="J204" s="720"/>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FM204" s="54"/>
    </row>
    <row r="205" spans="1:169" s="18" customFormat="1">
      <c r="A205" s="51"/>
      <c r="B205" s="713"/>
      <c r="C205" s="714"/>
      <c r="D205" s="715"/>
      <c r="E205" s="716"/>
      <c r="F205" s="717"/>
      <c r="G205" s="718"/>
      <c r="H205" s="719"/>
      <c r="I205" s="719"/>
      <c r="J205" s="720"/>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FM205" s="54"/>
    </row>
    <row r="206" spans="1:169" s="18" customFormat="1">
      <c r="A206" s="51"/>
      <c r="B206" s="713"/>
      <c r="C206" s="714"/>
      <c r="D206" s="715"/>
      <c r="E206" s="716"/>
      <c r="F206" s="717"/>
      <c r="G206" s="718"/>
      <c r="H206" s="719"/>
      <c r="I206" s="719"/>
      <c r="J206" s="720"/>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FM206" s="54"/>
    </row>
    <row r="207" spans="1:169" s="18" customFormat="1">
      <c r="A207" s="51"/>
      <c r="B207" s="713"/>
      <c r="C207" s="714"/>
      <c r="D207" s="715"/>
      <c r="E207" s="716"/>
      <c r="F207" s="717"/>
      <c r="G207" s="718"/>
      <c r="H207" s="719"/>
      <c r="I207" s="719"/>
      <c r="J207" s="720"/>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FM207" s="54"/>
    </row>
    <row r="208" spans="1:169" s="18" customFormat="1">
      <c r="A208" s="51"/>
      <c r="B208" s="713"/>
      <c r="C208" s="714"/>
      <c r="D208" s="715"/>
      <c r="E208" s="716"/>
      <c r="F208" s="717"/>
      <c r="G208" s="718"/>
      <c r="H208" s="719"/>
      <c r="I208" s="719"/>
      <c r="J208" s="720"/>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FM208" s="54"/>
    </row>
    <row r="209" spans="1:169" s="18" customFormat="1">
      <c r="A209" s="51"/>
      <c r="B209" s="713"/>
      <c r="C209" s="714"/>
      <c r="D209" s="715"/>
      <c r="E209" s="716"/>
      <c r="F209" s="717"/>
      <c r="G209" s="718"/>
      <c r="H209" s="719"/>
      <c r="I209" s="719"/>
      <c r="J209" s="720"/>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FM209" s="54"/>
    </row>
    <row r="210" spans="1:169" s="18" customFormat="1">
      <c r="A210" s="51"/>
      <c r="B210" s="713"/>
      <c r="C210" s="714"/>
      <c r="D210" s="715"/>
      <c r="E210" s="716"/>
      <c r="F210" s="717"/>
      <c r="G210" s="718"/>
      <c r="H210" s="719"/>
      <c r="I210" s="719"/>
      <c r="J210" s="720"/>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FM210" s="54"/>
    </row>
    <row r="211" spans="1:169" s="18" customFormat="1">
      <c r="A211" s="51"/>
      <c r="B211" s="713"/>
      <c r="C211" s="714"/>
      <c r="D211" s="715"/>
      <c r="E211" s="716"/>
      <c r="F211" s="717"/>
      <c r="G211" s="718"/>
      <c r="H211" s="719"/>
      <c r="I211" s="719"/>
      <c r="J211" s="720"/>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FM211" s="54"/>
    </row>
    <row r="212" spans="1:169" s="18" customFormat="1">
      <c r="A212" s="51"/>
      <c r="B212" s="713"/>
      <c r="C212" s="714"/>
      <c r="D212" s="715"/>
      <c r="E212" s="716"/>
      <c r="F212" s="717"/>
      <c r="G212" s="718"/>
      <c r="H212" s="719"/>
      <c r="I212" s="719"/>
      <c r="J212" s="720"/>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FM212" s="54"/>
    </row>
    <row r="213" spans="1:169" s="18" customFormat="1">
      <c r="A213" s="51"/>
      <c r="B213" s="713"/>
      <c r="C213" s="714"/>
      <c r="D213" s="715"/>
      <c r="E213" s="716"/>
      <c r="F213" s="717"/>
      <c r="G213" s="718"/>
      <c r="H213" s="719"/>
      <c r="I213" s="719"/>
      <c r="J213" s="720"/>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FM213" s="54"/>
    </row>
    <row r="214" spans="1:169" s="18" customFormat="1">
      <c r="A214" s="51"/>
      <c r="B214" s="713"/>
      <c r="C214" s="714"/>
      <c r="D214" s="715"/>
      <c r="E214" s="716"/>
      <c r="F214" s="717"/>
      <c r="G214" s="718"/>
      <c r="H214" s="719"/>
      <c r="I214" s="719"/>
      <c r="J214" s="720"/>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FM214" s="54"/>
    </row>
    <row r="215" spans="1:169" s="18" customFormat="1">
      <c r="A215" s="51"/>
      <c r="B215" s="713"/>
      <c r="C215" s="714"/>
      <c r="D215" s="715"/>
      <c r="E215" s="716"/>
      <c r="F215" s="717"/>
      <c r="G215" s="718"/>
      <c r="H215" s="719"/>
      <c r="I215" s="719"/>
      <c r="J215" s="720"/>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FM215" s="54"/>
    </row>
    <row r="216" spans="1:169" s="18" customFormat="1">
      <c r="A216" s="51"/>
      <c r="B216" s="713"/>
      <c r="C216" s="714"/>
      <c r="D216" s="715"/>
      <c r="E216" s="716"/>
      <c r="F216" s="717"/>
      <c r="G216" s="718"/>
      <c r="H216" s="719"/>
      <c r="I216" s="719"/>
      <c r="J216" s="720"/>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FM216" s="54"/>
    </row>
    <row r="217" spans="1:169" s="18" customFormat="1">
      <c r="A217" s="51"/>
      <c r="B217" s="713"/>
      <c r="C217" s="714"/>
      <c r="D217" s="715"/>
      <c r="E217" s="716"/>
      <c r="F217" s="717"/>
      <c r="G217" s="718"/>
      <c r="H217" s="719"/>
      <c r="I217" s="719"/>
      <c r="J217" s="720"/>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FM217" s="54"/>
    </row>
    <row r="218" spans="1:169" s="18" customFormat="1">
      <c r="A218" s="51"/>
      <c r="B218" s="713"/>
      <c r="C218" s="714"/>
      <c r="D218" s="715"/>
      <c r="E218" s="716"/>
      <c r="F218" s="717"/>
      <c r="G218" s="718"/>
      <c r="H218" s="719"/>
      <c r="I218" s="719"/>
      <c r="J218" s="720"/>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FM218" s="54"/>
    </row>
    <row r="219" spans="1:169" s="18" customFormat="1">
      <c r="A219" s="51"/>
      <c r="B219" s="713"/>
      <c r="C219" s="714"/>
      <c r="D219" s="715"/>
      <c r="E219" s="716"/>
      <c r="F219" s="717"/>
      <c r="G219" s="718"/>
      <c r="H219" s="719"/>
      <c r="I219" s="719"/>
      <c r="J219" s="720"/>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FM219" s="54"/>
    </row>
    <row r="220" spans="1:169" s="18" customFormat="1">
      <c r="A220" s="51"/>
      <c r="B220" s="713"/>
      <c r="C220" s="714"/>
      <c r="D220" s="715"/>
      <c r="E220" s="716"/>
      <c r="F220" s="717"/>
      <c r="G220" s="718"/>
      <c r="H220" s="719"/>
      <c r="I220" s="719"/>
      <c r="J220" s="720"/>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FM220" s="54"/>
    </row>
    <row r="221" spans="1:169" s="18" customFormat="1">
      <c r="A221" s="51"/>
      <c r="B221" s="713"/>
      <c r="C221" s="714"/>
      <c r="D221" s="715"/>
      <c r="E221" s="716"/>
      <c r="F221" s="717"/>
      <c r="G221" s="718"/>
      <c r="H221" s="719"/>
      <c r="I221" s="719"/>
      <c r="J221" s="720"/>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FM221" s="54"/>
    </row>
    <row r="222" spans="1:169" s="18" customFormat="1">
      <c r="A222" s="51"/>
      <c r="B222" s="713"/>
      <c r="C222" s="714"/>
      <c r="D222" s="715"/>
      <c r="E222" s="716"/>
      <c r="F222" s="717"/>
      <c r="G222" s="718"/>
      <c r="H222" s="719"/>
      <c r="I222" s="719"/>
      <c r="J222" s="720"/>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FM222" s="54"/>
    </row>
    <row r="223" spans="1:169" s="18" customFormat="1">
      <c r="A223" s="51"/>
      <c r="B223" s="713"/>
      <c r="C223" s="714"/>
      <c r="D223" s="715"/>
      <c r="E223" s="716"/>
      <c r="F223" s="717"/>
      <c r="G223" s="718"/>
      <c r="H223" s="719"/>
      <c r="I223" s="719"/>
      <c r="J223" s="720"/>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FM223" s="54"/>
    </row>
    <row r="224" spans="1:169" s="18" customFormat="1">
      <c r="A224" s="51"/>
      <c r="B224" s="713"/>
      <c r="C224" s="714"/>
      <c r="D224" s="715"/>
      <c r="E224" s="716"/>
      <c r="F224" s="717"/>
      <c r="G224" s="718"/>
      <c r="H224" s="719"/>
      <c r="I224" s="719"/>
      <c r="J224" s="720"/>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FM224" s="54"/>
    </row>
    <row r="225" spans="1:169" s="18" customFormat="1">
      <c r="A225" s="51"/>
      <c r="B225" s="713"/>
      <c r="C225" s="714"/>
      <c r="D225" s="715"/>
      <c r="E225" s="716"/>
      <c r="F225" s="717"/>
      <c r="G225" s="718"/>
      <c r="H225" s="719"/>
      <c r="I225" s="719"/>
      <c r="J225" s="720"/>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FM225" s="54"/>
    </row>
    <row r="226" spans="1:169" s="18" customFormat="1">
      <c r="A226" s="51"/>
      <c r="B226" s="713"/>
      <c r="C226" s="714"/>
      <c r="D226" s="715"/>
      <c r="E226" s="716"/>
      <c r="F226" s="717"/>
      <c r="G226" s="718"/>
      <c r="H226" s="719"/>
      <c r="I226" s="719"/>
      <c r="J226" s="720"/>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FM226" s="54"/>
    </row>
    <row r="227" spans="1:169" s="18" customFormat="1">
      <c r="A227" s="51"/>
      <c r="B227" s="713"/>
      <c r="C227" s="714"/>
      <c r="D227" s="715"/>
      <c r="E227" s="716"/>
      <c r="F227" s="717"/>
      <c r="G227" s="718"/>
      <c r="H227" s="719"/>
      <c r="I227" s="719"/>
      <c r="J227" s="720"/>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FM227" s="54"/>
    </row>
    <row r="228" spans="1:169" s="18" customFormat="1">
      <c r="A228" s="51"/>
      <c r="B228" s="713"/>
      <c r="C228" s="714"/>
      <c r="D228" s="715"/>
      <c r="E228" s="716"/>
      <c r="F228" s="717"/>
      <c r="G228" s="718"/>
      <c r="H228" s="719"/>
      <c r="I228" s="719"/>
      <c r="J228" s="720"/>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FM228" s="54"/>
    </row>
    <row r="229" spans="1:169" s="18" customFormat="1">
      <c r="A229" s="51"/>
      <c r="B229" s="713"/>
      <c r="C229" s="714"/>
      <c r="D229" s="715"/>
      <c r="E229" s="716"/>
      <c r="F229" s="717"/>
      <c r="G229" s="718"/>
      <c r="H229" s="719"/>
      <c r="I229" s="719"/>
      <c r="J229" s="720"/>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FM229" s="54"/>
    </row>
    <row r="230" spans="1:169" s="18" customFormat="1">
      <c r="A230" s="51"/>
      <c r="B230" s="713"/>
      <c r="C230" s="714"/>
      <c r="D230" s="715"/>
      <c r="E230" s="716"/>
      <c r="F230" s="717"/>
      <c r="G230" s="718"/>
      <c r="H230" s="719"/>
      <c r="I230" s="719"/>
      <c r="J230" s="720"/>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FM230" s="54"/>
    </row>
    <row r="231" spans="1:169" s="18" customFormat="1">
      <c r="A231" s="51"/>
      <c r="B231" s="713"/>
      <c r="C231" s="714"/>
      <c r="D231" s="715"/>
      <c r="E231" s="716"/>
      <c r="F231" s="717"/>
      <c r="G231" s="718"/>
      <c r="H231" s="719"/>
      <c r="I231" s="719"/>
      <c r="J231" s="720"/>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FM231" s="54"/>
    </row>
    <row r="232" spans="1:169" s="18" customFormat="1">
      <c r="A232" s="51"/>
      <c r="B232" s="713"/>
      <c r="C232" s="714"/>
      <c r="D232" s="715"/>
      <c r="E232" s="716"/>
      <c r="F232" s="717"/>
      <c r="G232" s="718"/>
      <c r="H232" s="719"/>
      <c r="I232" s="719"/>
      <c r="J232" s="720"/>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FM232" s="54"/>
    </row>
    <row r="233" spans="1:169" s="18" customFormat="1">
      <c r="A233" s="51"/>
      <c r="B233" s="713"/>
      <c r="C233" s="714"/>
      <c r="D233" s="715"/>
      <c r="E233" s="716"/>
      <c r="F233" s="717"/>
      <c r="G233" s="718"/>
      <c r="H233" s="719"/>
      <c r="I233" s="719"/>
      <c r="J233" s="720"/>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FM233" s="54"/>
    </row>
    <row r="234" spans="1:169" s="18" customFormat="1">
      <c r="A234" s="51"/>
      <c r="B234" s="713"/>
      <c r="C234" s="714"/>
      <c r="D234" s="715"/>
      <c r="E234" s="716"/>
      <c r="F234" s="717"/>
      <c r="G234" s="718"/>
      <c r="H234" s="719"/>
      <c r="I234" s="719"/>
      <c r="J234" s="720"/>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FM234" s="54"/>
    </row>
    <row r="235" spans="1:169" s="18" customFormat="1">
      <c r="A235" s="51"/>
      <c r="B235" s="713"/>
      <c r="C235" s="714"/>
      <c r="D235" s="715"/>
      <c r="E235" s="716"/>
      <c r="F235" s="717"/>
      <c r="G235" s="718"/>
      <c r="H235" s="719"/>
      <c r="I235" s="719"/>
      <c r="J235" s="720"/>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FM235" s="54"/>
    </row>
    <row r="236" spans="1:169" s="18" customFormat="1">
      <c r="A236" s="51"/>
      <c r="B236" s="713"/>
      <c r="C236" s="714"/>
      <c r="D236" s="715"/>
      <c r="E236" s="716"/>
      <c r="F236" s="717"/>
      <c r="G236" s="718"/>
      <c r="H236" s="719"/>
      <c r="I236" s="719"/>
      <c r="J236" s="720"/>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FM236" s="54"/>
    </row>
    <row r="237" spans="1:169" s="18" customFormat="1">
      <c r="A237" s="51"/>
      <c r="B237" s="713"/>
      <c r="C237" s="714"/>
      <c r="D237" s="715"/>
      <c r="E237" s="716"/>
      <c r="F237" s="717"/>
      <c r="G237" s="718"/>
      <c r="H237" s="719"/>
      <c r="I237" s="719"/>
      <c r="J237" s="720"/>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FM237" s="54"/>
    </row>
    <row r="238" spans="1:169" s="18" customFormat="1">
      <c r="A238" s="51"/>
      <c r="B238" s="713"/>
      <c r="C238" s="714"/>
      <c r="D238" s="715"/>
      <c r="E238" s="716"/>
      <c r="F238" s="717"/>
      <c r="G238" s="718"/>
      <c r="H238" s="719"/>
      <c r="I238" s="719"/>
      <c r="J238" s="720"/>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FM238" s="54"/>
    </row>
    <row r="239" spans="1:169" s="18" customFormat="1">
      <c r="A239" s="51"/>
      <c r="B239" s="713"/>
      <c r="C239" s="714"/>
      <c r="D239" s="715"/>
      <c r="E239" s="716"/>
      <c r="F239" s="717"/>
      <c r="G239" s="718"/>
      <c r="H239" s="719"/>
      <c r="I239" s="719"/>
      <c r="J239" s="720"/>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FM239" s="54"/>
    </row>
    <row r="240" spans="1:169" s="18" customFormat="1">
      <c r="A240" s="51"/>
      <c r="B240" s="713"/>
      <c r="C240" s="714"/>
      <c r="D240" s="715"/>
      <c r="E240" s="716"/>
      <c r="F240" s="717"/>
      <c r="G240" s="718"/>
      <c r="H240" s="719"/>
      <c r="I240" s="719"/>
      <c r="J240" s="720"/>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FM240" s="54"/>
    </row>
    <row r="241" spans="1:169" s="18" customFormat="1">
      <c r="A241" s="51"/>
      <c r="B241" s="713"/>
      <c r="C241" s="714"/>
      <c r="D241" s="715"/>
      <c r="E241" s="716"/>
      <c r="F241" s="717"/>
      <c r="G241" s="718"/>
      <c r="H241" s="719"/>
      <c r="I241" s="719"/>
      <c r="J241" s="720"/>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FM241" s="54"/>
    </row>
    <row r="242" spans="1:169" s="18" customFormat="1">
      <c r="A242" s="51"/>
      <c r="B242" s="713"/>
      <c r="C242" s="714"/>
      <c r="D242" s="715"/>
      <c r="E242" s="716"/>
      <c r="F242" s="717"/>
      <c r="G242" s="718"/>
      <c r="H242" s="719"/>
      <c r="I242" s="719"/>
      <c r="J242" s="720"/>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FM242" s="54"/>
    </row>
    <row r="243" spans="1:169" s="18" customFormat="1">
      <c r="A243" s="51"/>
      <c r="B243" s="713"/>
      <c r="C243" s="714"/>
      <c r="D243" s="715"/>
      <c r="E243" s="716"/>
      <c r="F243" s="717"/>
      <c r="G243" s="718"/>
      <c r="H243" s="719"/>
      <c r="I243" s="719"/>
      <c r="J243" s="720"/>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FM243" s="54"/>
    </row>
    <row r="244" spans="1:169" s="18" customFormat="1">
      <c r="A244" s="51"/>
      <c r="B244" s="713"/>
      <c r="C244" s="714"/>
      <c r="D244" s="715"/>
      <c r="E244" s="716"/>
      <c r="F244" s="717"/>
      <c r="G244" s="718"/>
      <c r="H244" s="719"/>
      <c r="I244" s="719"/>
      <c r="J244" s="720"/>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FM244" s="54"/>
    </row>
    <row r="245" spans="1:169" s="18" customFormat="1">
      <c r="A245" s="51"/>
      <c r="B245" s="713"/>
      <c r="C245" s="714"/>
      <c r="D245" s="715"/>
      <c r="E245" s="716"/>
      <c r="F245" s="717"/>
      <c r="G245" s="718"/>
      <c r="H245" s="719"/>
      <c r="I245" s="719"/>
      <c r="J245" s="720"/>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FM245" s="54"/>
    </row>
    <row r="246" spans="1:169" s="18" customFormat="1">
      <c r="A246" s="51"/>
      <c r="B246" s="713"/>
      <c r="C246" s="714"/>
      <c r="D246" s="715"/>
      <c r="E246" s="716"/>
      <c r="F246" s="717"/>
      <c r="G246" s="718"/>
      <c r="H246" s="719"/>
      <c r="I246" s="719"/>
      <c r="J246" s="720"/>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FM246" s="54"/>
    </row>
    <row r="247" spans="1:169" s="18" customFormat="1">
      <c r="A247" s="51"/>
      <c r="B247" s="713"/>
      <c r="C247" s="714"/>
      <c r="D247" s="715"/>
      <c r="E247" s="716"/>
      <c r="F247" s="717"/>
      <c r="G247" s="718"/>
      <c r="H247" s="719"/>
      <c r="I247" s="719"/>
      <c r="J247" s="720"/>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FM247" s="54"/>
    </row>
    <row r="248" spans="1:169" s="18" customFormat="1">
      <c r="A248" s="51"/>
      <c r="B248" s="713"/>
      <c r="C248" s="714"/>
      <c r="D248" s="715"/>
      <c r="E248" s="716"/>
      <c r="F248" s="717"/>
      <c r="G248" s="718"/>
      <c r="H248" s="719"/>
      <c r="I248" s="719"/>
      <c r="J248" s="720"/>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FM248" s="54"/>
    </row>
    <row r="249" spans="1:169" s="18" customFormat="1">
      <c r="A249" s="51"/>
      <c r="B249" s="713"/>
      <c r="C249" s="714"/>
      <c r="D249" s="715"/>
      <c r="E249" s="716"/>
      <c r="F249" s="717"/>
      <c r="G249" s="718"/>
      <c r="H249" s="719"/>
      <c r="I249" s="719"/>
      <c r="J249" s="720"/>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FM249" s="54"/>
    </row>
    <row r="250" spans="1:169" s="18" customFormat="1">
      <c r="A250" s="51"/>
      <c r="B250" s="713"/>
      <c r="C250" s="714"/>
      <c r="D250" s="715"/>
      <c r="E250" s="716"/>
      <c r="F250" s="717"/>
      <c r="G250" s="718"/>
      <c r="H250" s="719"/>
      <c r="I250" s="719"/>
      <c r="J250" s="720"/>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FM250" s="54"/>
    </row>
    <row r="251" spans="1:169" s="18" customFormat="1">
      <c r="A251" s="51"/>
      <c r="B251" s="713"/>
      <c r="C251" s="714"/>
      <c r="D251" s="715"/>
      <c r="E251" s="716"/>
      <c r="F251" s="717"/>
      <c r="G251" s="718"/>
      <c r="H251" s="719"/>
      <c r="I251" s="719"/>
      <c r="J251" s="720"/>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FM251" s="54"/>
    </row>
    <row r="252" spans="1:169" s="18" customFormat="1">
      <c r="A252" s="51"/>
      <c r="B252" s="713"/>
      <c r="C252" s="714"/>
      <c r="D252" s="715"/>
      <c r="E252" s="716"/>
      <c r="F252" s="717"/>
      <c r="G252" s="718"/>
      <c r="H252" s="719"/>
      <c r="I252" s="719"/>
      <c r="J252" s="720"/>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FM252" s="54"/>
    </row>
    <row r="253" spans="1:169" s="18" customFormat="1">
      <c r="A253" s="51"/>
      <c r="B253" s="713"/>
      <c r="C253" s="714"/>
      <c r="D253" s="715"/>
      <c r="E253" s="716"/>
      <c r="F253" s="717"/>
      <c r="G253" s="718"/>
      <c r="H253" s="719"/>
      <c r="I253" s="719"/>
      <c r="J253" s="720"/>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FM253" s="54"/>
    </row>
    <row r="254" spans="1:169" s="18" customFormat="1">
      <c r="A254" s="51"/>
      <c r="B254" s="713"/>
      <c r="C254" s="714"/>
      <c r="D254" s="715"/>
      <c r="E254" s="716"/>
      <c r="F254" s="717"/>
      <c r="G254" s="718"/>
      <c r="H254" s="719"/>
      <c r="I254" s="719"/>
      <c r="J254" s="720"/>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FM254" s="54"/>
    </row>
    <row r="255" spans="1:169" s="18" customFormat="1">
      <c r="A255" s="51"/>
      <c r="B255" s="713"/>
      <c r="C255" s="714"/>
      <c r="D255" s="715"/>
      <c r="E255" s="716"/>
      <c r="F255" s="717"/>
      <c r="G255" s="718"/>
      <c r="H255" s="719"/>
      <c r="I255" s="719"/>
      <c r="J255" s="720"/>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FM255" s="54"/>
    </row>
    <row r="256" spans="1:169" s="18" customFormat="1">
      <c r="A256" s="51"/>
      <c r="B256" s="713"/>
      <c r="C256" s="714"/>
      <c r="D256" s="715"/>
      <c r="E256" s="716"/>
      <c r="F256" s="717"/>
      <c r="G256" s="718"/>
      <c r="H256" s="719"/>
      <c r="I256" s="719"/>
      <c r="J256" s="720"/>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FM256" s="54"/>
    </row>
    <row r="257" spans="1:169" s="18" customFormat="1">
      <c r="A257" s="51"/>
      <c r="B257" s="713"/>
      <c r="C257" s="714"/>
      <c r="D257" s="715"/>
      <c r="E257" s="716"/>
      <c r="F257" s="717"/>
      <c r="G257" s="718"/>
      <c r="H257" s="719"/>
      <c r="I257" s="719"/>
      <c r="J257" s="720"/>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FM257" s="54"/>
    </row>
    <row r="258" spans="1:169" s="18" customFormat="1">
      <c r="A258" s="51"/>
      <c r="B258" s="713"/>
      <c r="C258" s="714"/>
      <c r="D258" s="715"/>
      <c r="E258" s="716"/>
      <c r="F258" s="717"/>
      <c r="G258" s="718"/>
      <c r="H258" s="719"/>
      <c r="I258" s="719"/>
      <c r="J258" s="720"/>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FM258" s="54"/>
    </row>
    <row r="259" spans="1:169" s="18" customFormat="1">
      <c r="A259" s="51"/>
      <c r="B259" s="713"/>
      <c r="C259" s="714"/>
      <c r="D259" s="715"/>
      <c r="E259" s="716"/>
      <c r="F259" s="717"/>
      <c r="G259" s="718"/>
      <c r="H259" s="719"/>
      <c r="I259" s="719"/>
      <c r="J259" s="720"/>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FM259" s="54"/>
    </row>
    <row r="260" spans="1:169" s="18" customFormat="1">
      <c r="A260" s="51"/>
      <c r="B260" s="713"/>
      <c r="C260" s="714"/>
      <c r="D260" s="715"/>
      <c r="E260" s="716"/>
      <c r="F260" s="717"/>
      <c r="G260" s="718"/>
      <c r="H260" s="719"/>
      <c r="I260" s="719"/>
      <c r="J260" s="720"/>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FM260" s="54"/>
    </row>
    <row r="261" spans="1:169" s="18" customFormat="1">
      <c r="A261" s="51"/>
      <c r="B261" s="713"/>
      <c r="C261" s="714"/>
      <c r="D261" s="715"/>
      <c r="E261" s="716"/>
      <c r="F261" s="717"/>
      <c r="G261" s="718"/>
      <c r="H261" s="719"/>
      <c r="I261" s="719"/>
      <c r="J261" s="720"/>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FM261" s="54"/>
    </row>
    <row r="262" spans="1:169" s="18" customFormat="1">
      <c r="A262" s="51"/>
      <c r="B262" s="713"/>
      <c r="C262" s="714"/>
      <c r="D262" s="715"/>
      <c r="E262" s="716"/>
      <c r="F262" s="717"/>
      <c r="G262" s="718"/>
      <c r="H262" s="719"/>
      <c r="I262" s="719"/>
      <c r="J262" s="720"/>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FM262" s="54"/>
    </row>
    <row r="263" spans="1:169" s="18" customFormat="1">
      <c r="A263" s="51"/>
      <c r="B263" s="713"/>
      <c r="C263" s="714"/>
      <c r="D263" s="715"/>
      <c r="E263" s="716"/>
      <c r="F263" s="717"/>
      <c r="G263" s="718"/>
      <c r="H263" s="719"/>
      <c r="I263" s="719"/>
      <c r="J263" s="720"/>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FM263" s="54"/>
    </row>
    <row r="264" spans="1:169" s="18" customFormat="1">
      <c r="A264" s="51"/>
      <c r="B264" s="713"/>
      <c r="C264" s="714"/>
      <c r="D264" s="715"/>
      <c r="E264" s="716"/>
      <c r="F264" s="717"/>
      <c r="G264" s="718"/>
      <c r="H264" s="719"/>
      <c r="I264" s="719"/>
      <c r="J264" s="720"/>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c r="AH264" s="19"/>
      <c r="AI264" s="19"/>
      <c r="AJ264" s="19"/>
      <c r="FM264" s="54"/>
    </row>
    <row r="265" spans="1:169" s="18" customFormat="1">
      <c r="A265" s="51"/>
      <c r="B265" s="713"/>
      <c r="C265" s="714"/>
      <c r="D265" s="715"/>
      <c r="E265" s="716"/>
      <c r="F265" s="717"/>
      <c r="G265" s="718"/>
      <c r="H265" s="719"/>
      <c r="I265" s="719"/>
      <c r="J265" s="720"/>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c r="FM265" s="54"/>
    </row>
    <row r="266" spans="1:169" s="18" customFormat="1">
      <c r="A266" s="51"/>
      <c r="B266" s="713"/>
      <c r="C266" s="714"/>
      <c r="D266" s="715"/>
      <c r="E266" s="716"/>
      <c r="F266" s="717"/>
      <c r="G266" s="718"/>
      <c r="H266" s="719"/>
      <c r="I266" s="719"/>
      <c r="J266" s="720"/>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c r="AH266" s="19"/>
      <c r="AI266" s="19"/>
      <c r="AJ266" s="19"/>
      <c r="FM266" s="54"/>
    </row>
    <row r="267" spans="1:169" s="18" customFormat="1">
      <c r="A267" s="51"/>
      <c r="B267" s="713"/>
      <c r="C267" s="714"/>
      <c r="D267" s="715"/>
      <c r="E267" s="716"/>
      <c r="F267" s="717"/>
      <c r="G267" s="718"/>
      <c r="H267" s="719"/>
      <c r="I267" s="719"/>
      <c r="J267" s="720"/>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FM267" s="54"/>
    </row>
    <row r="268" spans="1:169" s="18" customFormat="1">
      <c r="A268" s="51"/>
      <c r="B268" s="713"/>
      <c r="C268" s="714"/>
      <c r="D268" s="715"/>
      <c r="E268" s="716"/>
      <c r="F268" s="717"/>
      <c r="G268" s="718"/>
      <c r="H268" s="719"/>
      <c r="I268" s="719"/>
      <c r="J268" s="720"/>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FM268" s="54"/>
    </row>
    <row r="269" spans="1:169" s="18" customFormat="1">
      <c r="A269" s="51"/>
      <c r="B269" s="713"/>
      <c r="C269" s="714"/>
      <c r="D269" s="715"/>
      <c r="E269" s="716"/>
      <c r="F269" s="717"/>
      <c r="G269" s="718"/>
      <c r="H269" s="719"/>
      <c r="I269" s="719"/>
      <c r="J269" s="720"/>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FM269" s="54"/>
    </row>
    <row r="270" spans="1:169" s="18" customFormat="1">
      <c r="A270" s="51"/>
      <c r="B270" s="713"/>
      <c r="C270" s="714"/>
      <c r="D270" s="715"/>
      <c r="E270" s="716"/>
      <c r="F270" s="717"/>
      <c r="G270" s="718"/>
      <c r="H270" s="719"/>
      <c r="I270" s="719"/>
      <c r="J270" s="720"/>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FM270" s="54"/>
    </row>
    <row r="271" spans="1:169" s="18" customFormat="1">
      <c r="A271" s="51"/>
      <c r="B271" s="713"/>
      <c r="C271" s="714"/>
      <c r="D271" s="715"/>
      <c r="E271" s="716"/>
      <c r="F271" s="717"/>
      <c r="G271" s="718"/>
      <c r="H271" s="719"/>
      <c r="I271" s="719"/>
      <c r="J271" s="720"/>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c r="FM271" s="54"/>
    </row>
    <row r="272" spans="1:169" s="18" customFormat="1">
      <c r="A272" s="51"/>
      <c r="B272" s="746"/>
      <c r="C272" s="739"/>
      <c r="D272" s="740"/>
      <c r="E272" s="741"/>
      <c r="F272" s="742"/>
      <c r="G272" s="743"/>
      <c r="H272" s="744"/>
      <c r="I272" s="744"/>
      <c r="J272" s="745"/>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FM272" s="54"/>
    </row>
    <row r="273" spans="1:169" s="18" customFormat="1">
      <c r="A273" s="51"/>
      <c r="B273" s="52"/>
      <c r="C273" s="52"/>
      <c r="D273" s="52"/>
      <c r="E273" s="52"/>
      <c r="F273" s="52"/>
      <c r="G273" s="52"/>
      <c r="H273" s="53"/>
      <c r="I273" s="52"/>
      <c r="J273" s="52"/>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FM273" s="54"/>
    </row>
    <row r="274" spans="1:169" s="18" customFormat="1">
      <c r="A274" s="51"/>
      <c r="B274" s="52"/>
      <c r="C274" s="52"/>
      <c r="D274" s="52"/>
      <c r="E274" s="52"/>
      <c r="F274" s="52"/>
      <c r="G274" s="52"/>
      <c r="H274" s="53"/>
      <c r="I274" s="52"/>
      <c r="J274" s="52"/>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FM274" s="54"/>
    </row>
    <row r="275" spans="1:169" s="18" customFormat="1">
      <c r="A275" s="51"/>
      <c r="B275" s="52"/>
      <c r="C275" s="52"/>
      <c r="D275" s="52"/>
      <c r="E275" s="52"/>
      <c r="F275" s="52"/>
      <c r="G275" s="52"/>
      <c r="H275" s="53"/>
      <c r="I275" s="52"/>
      <c r="J275" s="52"/>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FM275" s="54"/>
    </row>
    <row r="276" spans="1:169" s="18" customFormat="1">
      <c r="A276" s="51"/>
      <c r="B276" s="52"/>
      <c r="C276" s="52"/>
      <c r="D276" s="52"/>
      <c r="E276" s="52"/>
      <c r="F276" s="52"/>
      <c r="G276" s="52"/>
      <c r="H276" s="53"/>
      <c r="I276" s="52"/>
      <c r="J276" s="52"/>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FM276" s="54"/>
    </row>
    <row r="277" spans="1:169" s="18" customFormat="1">
      <c r="A277" s="51"/>
      <c r="B277" s="52"/>
      <c r="C277" s="52"/>
      <c r="D277" s="52"/>
      <c r="E277" s="52"/>
      <c r="F277" s="52"/>
      <c r="G277" s="52"/>
      <c r="H277" s="53"/>
      <c r="I277" s="52"/>
      <c r="J277" s="52"/>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FM277" s="54"/>
    </row>
    <row r="278" spans="1:169" s="18" customFormat="1">
      <c r="A278" s="51"/>
      <c r="B278" s="52"/>
      <c r="C278" s="52"/>
      <c r="D278" s="52"/>
      <c r="E278" s="52"/>
      <c r="F278" s="52"/>
      <c r="G278" s="52"/>
      <c r="H278" s="53"/>
      <c r="I278" s="52"/>
      <c r="J278" s="52"/>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c r="AH278" s="19"/>
      <c r="AI278" s="19"/>
      <c r="AJ278" s="19"/>
      <c r="FM278" s="54"/>
    </row>
    <row r="279" spans="1:169" s="18" customFormat="1">
      <c r="A279" s="51"/>
      <c r="B279" s="52"/>
      <c r="C279" s="52"/>
      <c r="D279" s="52"/>
      <c r="E279" s="52"/>
      <c r="F279" s="52"/>
      <c r="G279" s="52"/>
      <c r="H279" s="53"/>
      <c r="I279" s="52"/>
      <c r="J279" s="52"/>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FM279" s="54"/>
    </row>
    <row r="280" spans="1:169" s="18" customFormat="1">
      <c r="A280" s="51"/>
      <c r="B280" s="52"/>
      <c r="C280" s="52"/>
      <c r="D280" s="52"/>
      <c r="E280" s="52"/>
      <c r="F280" s="52"/>
      <c r="G280" s="52"/>
      <c r="H280" s="53"/>
      <c r="I280" s="52"/>
      <c r="J280" s="52"/>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FM280" s="54"/>
    </row>
    <row r="281" spans="1:169" s="18" customFormat="1">
      <c r="A281" s="51"/>
      <c r="B281" s="52"/>
      <c r="C281" s="52"/>
      <c r="D281" s="52"/>
      <c r="E281" s="52"/>
      <c r="F281" s="52"/>
      <c r="G281" s="52"/>
      <c r="H281" s="53"/>
      <c r="I281" s="52"/>
      <c r="J281" s="52"/>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FM281" s="54"/>
    </row>
    <row r="282" spans="1:169" s="18" customFormat="1">
      <c r="A282" s="51"/>
      <c r="B282" s="52"/>
      <c r="C282" s="52"/>
      <c r="D282" s="52"/>
      <c r="E282" s="52"/>
      <c r="F282" s="52"/>
      <c r="G282" s="52"/>
      <c r="H282" s="53"/>
      <c r="I282" s="52"/>
      <c r="J282" s="52"/>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FM282" s="54"/>
    </row>
    <row r="283" spans="1:169" s="18" customFormat="1">
      <c r="A283" s="51"/>
      <c r="B283" s="52"/>
      <c r="C283" s="52"/>
      <c r="D283" s="52"/>
      <c r="E283" s="52"/>
      <c r="F283" s="52"/>
      <c r="G283" s="52"/>
      <c r="H283" s="53"/>
      <c r="I283" s="52"/>
      <c r="J283" s="52"/>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FM283" s="54"/>
    </row>
    <row r="284" spans="1:169" s="18" customFormat="1">
      <c r="A284" s="51"/>
      <c r="B284" s="52"/>
      <c r="C284" s="52"/>
      <c r="D284" s="52"/>
      <c r="E284" s="52"/>
      <c r="F284" s="52"/>
      <c r="G284" s="52"/>
      <c r="H284" s="53"/>
      <c r="I284" s="52"/>
      <c r="J284" s="52"/>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FM284" s="54"/>
    </row>
    <row r="285" spans="1:169" s="18" customFormat="1">
      <c r="A285" s="51"/>
      <c r="B285" s="52"/>
      <c r="C285" s="52"/>
      <c r="D285" s="52"/>
      <c r="E285" s="52"/>
      <c r="F285" s="52"/>
      <c r="G285" s="52"/>
      <c r="H285" s="53"/>
      <c r="I285" s="52"/>
      <c r="J285" s="52"/>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FM285" s="54"/>
    </row>
    <row r="286" spans="1:169" s="18" customFormat="1">
      <c r="A286" s="51"/>
      <c r="B286" s="52"/>
      <c r="C286" s="52"/>
      <c r="D286" s="52"/>
      <c r="E286" s="52"/>
      <c r="F286" s="52"/>
      <c r="G286" s="52"/>
      <c r="H286" s="53"/>
      <c r="I286" s="52"/>
      <c r="J286" s="52"/>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FM286" s="54"/>
    </row>
    <row r="287" spans="1:169" s="18" customFormat="1">
      <c r="A287" s="51"/>
      <c r="B287" s="52"/>
      <c r="C287" s="52"/>
      <c r="D287" s="52"/>
      <c r="E287" s="52"/>
      <c r="F287" s="52"/>
      <c r="G287" s="52"/>
      <c r="H287" s="53"/>
      <c r="I287" s="52"/>
      <c r="J287" s="52"/>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FM287" s="54"/>
    </row>
    <row r="288" spans="1:169" s="18" customFormat="1">
      <c r="A288" s="51"/>
      <c r="B288" s="52"/>
      <c r="C288" s="52"/>
      <c r="D288" s="52"/>
      <c r="E288" s="52"/>
      <c r="F288" s="52"/>
      <c r="G288" s="52"/>
      <c r="H288" s="53"/>
      <c r="I288" s="52"/>
      <c r="J288" s="52"/>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FM288" s="54"/>
    </row>
    <row r="289" spans="1:169" s="18" customFormat="1">
      <c r="A289" s="51"/>
      <c r="B289" s="52"/>
      <c r="C289" s="52"/>
      <c r="D289" s="52"/>
      <c r="E289" s="52"/>
      <c r="F289" s="52"/>
      <c r="G289" s="52"/>
      <c r="H289" s="53"/>
      <c r="I289" s="52"/>
      <c r="J289" s="52"/>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FM289" s="54"/>
    </row>
    <row r="290" spans="1:169" s="18" customFormat="1">
      <c r="A290" s="51"/>
      <c r="B290" s="52"/>
      <c r="C290" s="52"/>
      <c r="D290" s="52"/>
      <c r="E290" s="52"/>
      <c r="F290" s="52"/>
      <c r="G290" s="52"/>
      <c r="H290" s="53"/>
      <c r="I290" s="52"/>
      <c r="J290" s="52"/>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FM290" s="54"/>
    </row>
    <row r="291" spans="1:169" s="18" customFormat="1">
      <c r="A291" s="51"/>
      <c r="B291" s="52"/>
      <c r="C291" s="52"/>
      <c r="D291" s="52"/>
      <c r="E291" s="52"/>
      <c r="F291" s="52"/>
      <c r="G291" s="52"/>
      <c r="H291" s="53"/>
      <c r="I291" s="52"/>
      <c r="J291" s="52"/>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FM291" s="54"/>
    </row>
    <row r="292" spans="1:169" s="18" customFormat="1">
      <c r="A292" s="51"/>
      <c r="B292" s="52"/>
      <c r="C292" s="52"/>
      <c r="D292" s="52"/>
      <c r="E292" s="52"/>
      <c r="F292" s="52"/>
      <c r="G292" s="52"/>
      <c r="H292" s="53"/>
      <c r="I292" s="52"/>
      <c r="J292" s="52"/>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c r="FM292" s="54"/>
    </row>
    <row r="293" spans="1:169" s="18" customFormat="1">
      <c r="A293" s="51"/>
      <c r="B293" s="52"/>
      <c r="C293" s="52"/>
      <c r="D293" s="52"/>
      <c r="E293" s="52"/>
      <c r="F293" s="52"/>
      <c r="G293" s="52"/>
      <c r="H293" s="53"/>
      <c r="I293" s="52"/>
      <c r="J293" s="52"/>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FM293" s="54"/>
    </row>
    <row r="294" spans="1:169" s="18" customFormat="1">
      <c r="A294" s="51"/>
      <c r="B294" s="52"/>
      <c r="C294" s="52"/>
      <c r="D294" s="52"/>
      <c r="E294" s="52"/>
      <c r="F294" s="52"/>
      <c r="G294" s="52"/>
      <c r="H294" s="53"/>
      <c r="I294" s="52"/>
      <c r="J294" s="52"/>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FM294" s="54"/>
    </row>
    <row r="295" spans="1:169" s="18" customFormat="1">
      <c r="A295" s="51"/>
      <c r="B295" s="52"/>
      <c r="C295" s="52"/>
      <c r="D295" s="52"/>
      <c r="E295" s="52"/>
      <c r="F295" s="52"/>
      <c r="G295" s="52"/>
      <c r="H295" s="53"/>
      <c r="I295" s="52"/>
      <c r="J295" s="52"/>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c r="FM295" s="54"/>
    </row>
    <row r="296" spans="1:169" s="18" customFormat="1">
      <c r="A296" s="51"/>
      <c r="B296" s="52"/>
      <c r="C296" s="52"/>
      <c r="D296" s="52"/>
      <c r="E296" s="52"/>
      <c r="F296" s="52"/>
      <c r="G296" s="52"/>
      <c r="H296" s="53"/>
      <c r="I296" s="52"/>
      <c r="J296" s="52"/>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FM296" s="54"/>
    </row>
    <row r="297" spans="1:169" s="18" customFormat="1">
      <c r="A297" s="51"/>
      <c r="B297" s="52"/>
      <c r="C297" s="52"/>
      <c r="D297" s="52"/>
      <c r="E297" s="52"/>
      <c r="F297" s="52"/>
      <c r="G297" s="52"/>
      <c r="H297" s="53"/>
      <c r="I297" s="52"/>
      <c r="J297" s="52"/>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c r="FM297" s="54"/>
    </row>
    <row r="298" spans="1:169" s="18" customFormat="1">
      <c r="A298" s="51"/>
      <c r="B298" s="52"/>
      <c r="C298" s="52"/>
      <c r="D298" s="52"/>
      <c r="E298" s="52"/>
      <c r="F298" s="52"/>
      <c r="G298" s="52"/>
      <c r="H298" s="53"/>
      <c r="I298" s="52"/>
      <c r="J298" s="52"/>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FM298" s="54"/>
    </row>
    <row r="299" spans="1:169" s="18" customFormat="1">
      <c r="A299" s="51"/>
      <c r="B299" s="52"/>
      <c r="C299" s="52"/>
      <c r="D299" s="52"/>
      <c r="E299" s="52"/>
      <c r="F299" s="52"/>
      <c r="G299" s="52"/>
      <c r="H299" s="53"/>
      <c r="I299" s="52"/>
      <c r="J299" s="52"/>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FM299" s="54"/>
    </row>
    <row r="300" spans="1:169" s="18" customFormat="1">
      <c r="A300" s="51"/>
      <c r="B300" s="52"/>
      <c r="C300" s="52"/>
      <c r="D300" s="52"/>
      <c r="E300" s="52"/>
      <c r="F300" s="52"/>
      <c r="G300" s="52"/>
      <c r="H300" s="53"/>
      <c r="I300" s="52"/>
      <c r="J300" s="52"/>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c r="FM300" s="54"/>
    </row>
    <row r="301" spans="1:169" s="18" customFormat="1">
      <c r="A301" s="51"/>
      <c r="B301" s="52"/>
      <c r="C301" s="52"/>
      <c r="D301" s="52"/>
      <c r="E301" s="52"/>
      <c r="F301" s="52"/>
      <c r="G301" s="52"/>
      <c r="H301" s="53"/>
      <c r="I301" s="52"/>
      <c r="J301" s="52"/>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c r="FM301" s="54"/>
    </row>
    <row r="302" spans="1:169" s="18" customFormat="1">
      <c r="A302" s="51"/>
      <c r="B302" s="52"/>
      <c r="C302" s="52"/>
      <c r="D302" s="52"/>
      <c r="E302" s="52"/>
      <c r="F302" s="52"/>
      <c r="G302" s="52"/>
      <c r="H302" s="53"/>
      <c r="I302" s="52"/>
      <c r="J302" s="52"/>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c r="FM302" s="54"/>
    </row>
    <row r="303" spans="1:169" s="18" customFormat="1">
      <c r="A303" s="51"/>
      <c r="B303" s="52"/>
      <c r="C303" s="52"/>
      <c r="D303" s="52"/>
      <c r="E303" s="52"/>
      <c r="F303" s="52"/>
      <c r="G303" s="52"/>
      <c r="H303" s="53"/>
      <c r="I303" s="52"/>
      <c r="J303" s="52"/>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c r="FM303" s="54"/>
    </row>
    <row r="304" spans="1:169" s="18" customFormat="1">
      <c r="A304" s="51"/>
      <c r="B304" s="52"/>
      <c r="C304" s="52"/>
      <c r="D304" s="52"/>
      <c r="E304" s="52"/>
      <c r="F304" s="52"/>
      <c r="G304" s="52"/>
      <c r="H304" s="53"/>
      <c r="I304" s="52"/>
      <c r="J304" s="52"/>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c r="FM304" s="54"/>
    </row>
    <row r="305" spans="1:169" s="18" customFormat="1">
      <c r="A305" s="51"/>
      <c r="B305" s="52"/>
      <c r="C305" s="52"/>
      <c r="D305" s="52"/>
      <c r="E305" s="52"/>
      <c r="F305" s="52"/>
      <c r="G305" s="52"/>
      <c r="H305" s="53"/>
      <c r="I305" s="52"/>
      <c r="J305" s="52"/>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c r="FM305" s="54"/>
    </row>
    <row r="306" spans="1:169" s="18" customFormat="1">
      <c r="A306" s="51"/>
      <c r="B306" s="52"/>
      <c r="C306" s="52"/>
      <c r="D306" s="52"/>
      <c r="E306" s="52"/>
      <c r="F306" s="52"/>
      <c r="G306" s="52"/>
      <c r="H306" s="53"/>
      <c r="I306" s="52"/>
      <c r="J306" s="52"/>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FM306" s="54"/>
    </row>
    <row r="307" spans="1:169" s="18" customFormat="1">
      <c r="A307" s="51"/>
      <c r="B307" s="52"/>
      <c r="C307" s="52"/>
      <c r="D307" s="52"/>
      <c r="E307" s="52"/>
      <c r="F307" s="52"/>
      <c r="G307" s="52"/>
      <c r="H307" s="53"/>
      <c r="I307" s="52"/>
      <c r="J307" s="52"/>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c r="FM307" s="54"/>
    </row>
    <row r="308" spans="1:169" s="18" customFormat="1">
      <c r="A308" s="51"/>
      <c r="B308" s="52"/>
      <c r="C308" s="52"/>
      <c r="D308" s="52"/>
      <c r="E308" s="52"/>
      <c r="F308" s="52"/>
      <c r="G308" s="52"/>
      <c r="H308" s="53"/>
      <c r="I308" s="52"/>
      <c r="J308" s="52"/>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c r="FM308" s="54"/>
    </row>
    <row r="309" spans="1:169" s="18" customFormat="1">
      <c r="A309" s="51"/>
      <c r="B309" s="52"/>
      <c r="C309" s="52"/>
      <c r="D309" s="52"/>
      <c r="E309" s="52"/>
      <c r="F309" s="52"/>
      <c r="G309" s="52"/>
      <c r="H309" s="53"/>
      <c r="I309" s="52"/>
      <c r="J309" s="52"/>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c r="FM309" s="54"/>
    </row>
    <row r="310" spans="1:169" s="18" customFormat="1">
      <c r="A310" s="51"/>
      <c r="B310" s="52"/>
      <c r="C310" s="52"/>
      <c r="D310" s="52"/>
      <c r="E310" s="52"/>
      <c r="F310" s="52"/>
      <c r="G310" s="52"/>
      <c r="H310" s="53"/>
      <c r="I310" s="52"/>
      <c r="J310" s="52"/>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c r="FM310" s="54"/>
    </row>
    <row r="311" spans="1:169" s="18" customFormat="1">
      <c r="A311" s="51"/>
      <c r="B311" s="52"/>
      <c r="C311" s="52"/>
      <c r="D311" s="52"/>
      <c r="E311" s="52"/>
      <c r="F311" s="52"/>
      <c r="G311" s="52"/>
      <c r="H311" s="53"/>
      <c r="I311" s="52"/>
      <c r="J311" s="52"/>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c r="FM311" s="54"/>
    </row>
    <row r="312" spans="1:169" s="18" customFormat="1">
      <c r="A312" s="51"/>
      <c r="B312" s="52"/>
      <c r="C312" s="52"/>
      <c r="D312" s="52"/>
      <c r="E312" s="52"/>
      <c r="F312" s="52"/>
      <c r="G312" s="52"/>
      <c r="H312" s="53"/>
      <c r="I312" s="52"/>
      <c r="J312" s="52"/>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c r="FM312" s="54"/>
    </row>
    <row r="313" spans="1:169" s="18" customFormat="1">
      <c r="A313" s="51"/>
      <c r="B313" s="52"/>
      <c r="C313" s="52"/>
      <c r="D313" s="52"/>
      <c r="E313" s="52"/>
      <c r="F313" s="52"/>
      <c r="G313" s="52"/>
      <c r="H313" s="53"/>
      <c r="I313" s="52"/>
      <c r="J313" s="52"/>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c r="FM313" s="54"/>
    </row>
    <row r="314" spans="1:169" s="18" customFormat="1">
      <c r="A314" s="51"/>
      <c r="B314" s="52"/>
      <c r="C314" s="52"/>
      <c r="D314" s="52"/>
      <c r="E314" s="52"/>
      <c r="F314" s="52"/>
      <c r="G314" s="52"/>
      <c r="H314" s="53"/>
      <c r="I314" s="52"/>
      <c r="J314" s="52"/>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FM314" s="54"/>
    </row>
    <row r="315" spans="1:169" s="18" customFormat="1">
      <c r="A315" s="51"/>
      <c r="B315" s="52"/>
      <c r="C315" s="52"/>
      <c r="D315" s="52"/>
      <c r="E315" s="52"/>
      <c r="F315" s="52"/>
      <c r="G315" s="52"/>
      <c r="H315" s="53"/>
      <c r="I315" s="52"/>
      <c r="J315" s="52"/>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c r="FM315" s="54"/>
    </row>
    <row r="316" spans="1:169" s="18" customFormat="1">
      <c r="A316" s="51"/>
      <c r="B316" s="52"/>
      <c r="C316" s="52"/>
      <c r="D316" s="52"/>
      <c r="E316" s="52"/>
      <c r="F316" s="52"/>
      <c r="G316" s="52"/>
      <c r="H316" s="53"/>
      <c r="I316" s="52"/>
      <c r="J316" s="52"/>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FM316" s="54"/>
    </row>
    <row r="317" spans="1:169" s="18" customFormat="1">
      <c r="A317" s="51"/>
      <c r="B317" s="52"/>
      <c r="C317" s="52"/>
      <c r="D317" s="52"/>
      <c r="E317" s="52"/>
      <c r="F317" s="52"/>
      <c r="G317" s="52"/>
      <c r="H317" s="53"/>
      <c r="I317" s="52"/>
      <c r="J317" s="52"/>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c r="FM317" s="54"/>
    </row>
    <row r="318" spans="1:169" s="18" customFormat="1">
      <c r="A318" s="51"/>
      <c r="B318" s="52"/>
      <c r="C318" s="52"/>
      <c r="D318" s="52"/>
      <c r="E318" s="52"/>
      <c r="F318" s="52"/>
      <c r="G318" s="52"/>
      <c r="H318" s="53"/>
      <c r="I318" s="52"/>
      <c r="J318" s="52"/>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c r="AH318" s="19"/>
      <c r="AI318" s="19"/>
      <c r="AJ318" s="19"/>
      <c r="FM318" s="54"/>
    </row>
    <row r="319" spans="1:169" s="18" customFormat="1">
      <c r="A319" s="51"/>
      <c r="B319" s="52"/>
      <c r="C319" s="52"/>
      <c r="D319" s="52"/>
      <c r="E319" s="52"/>
      <c r="F319" s="52"/>
      <c r="G319" s="52"/>
      <c r="H319" s="53"/>
      <c r="I319" s="52"/>
      <c r="J319" s="52"/>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c r="FM319" s="54"/>
    </row>
    <row r="320" spans="1:169" s="18" customFormat="1">
      <c r="A320" s="51"/>
      <c r="B320" s="52"/>
      <c r="C320" s="52"/>
      <c r="D320" s="52"/>
      <c r="E320" s="52"/>
      <c r="F320" s="52"/>
      <c r="G320" s="52"/>
      <c r="H320" s="53"/>
      <c r="I320" s="52"/>
      <c r="J320" s="52"/>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c r="AH320" s="19"/>
      <c r="AI320" s="19"/>
      <c r="AJ320" s="19"/>
      <c r="FM320" s="54"/>
    </row>
    <row r="321" spans="1:169" s="18" customFormat="1">
      <c r="A321" s="51"/>
      <c r="B321" s="52"/>
      <c r="C321" s="52"/>
      <c r="D321" s="52"/>
      <c r="E321" s="52"/>
      <c r="F321" s="52"/>
      <c r="G321" s="52"/>
      <c r="H321" s="53"/>
      <c r="I321" s="52"/>
      <c r="J321" s="52"/>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FM321" s="54"/>
    </row>
    <row r="322" spans="1:169" s="18" customFormat="1">
      <c r="A322" s="51"/>
      <c r="B322" s="52"/>
      <c r="C322" s="52"/>
      <c r="D322" s="52"/>
      <c r="E322" s="52"/>
      <c r="F322" s="52"/>
      <c r="G322" s="52"/>
      <c r="H322" s="53"/>
      <c r="I322" s="52"/>
      <c r="J322" s="52"/>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c r="FM322" s="54"/>
    </row>
    <row r="323" spans="1:169" s="18" customFormat="1">
      <c r="A323" s="51"/>
      <c r="B323" s="52"/>
      <c r="C323" s="52"/>
      <c r="D323" s="52"/>
      <c r="E323" s="52"/>
      <c r="F323" s="52"/>
      <c r="G323" s="52"/>
      <c r="H323" s="53"/>
      <c r="I323" s="52"/>
      <c r="J323" s="52"/>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c r="FM323" s="54"/>
    </row>
    <row r="324" spans="1:169" s="18" customFormat="1">
      <c r="A324" s="51"/>
      <c r="B324" s="52"/>
      <c r="C324" s="52"/>
      <c r="D324" s="52"/>
      <c r="E324" s="52"/>
      <c r="F324" s="52"/>
      <c r="G324" s="52"/>
      <c r="H324" s="53"/>
      <c r="I324" s="52"/>
      <c r="J324" s="52"/>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c r="FM324" s="54"/>
    </row>
    <row r="325" spans="1:169" s="18" customFormat="1">
      <c r="A325" s="51"/>
      <c r="B325" s="52"/>
      <c r="C325" s="52"/>
      <c r="D325" s="52"/>
      <c r="E325" s="52"/>
      <c r="F325" s="52"/>
      <c r="G325" s="52"/>
      <c r="H325" s="53"/>
      <c r="I325" s="52"/>
      <c r="J325" s="52"/>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FM325" s="54"/>
    </row>
    <row r="326" spans="1:169" s="18" customFormat="1">
      <c r="A326" s="51"/>
      <c r="B326" s="52"/>
      <c r="C326" s="52"/>
      <c r="D326" s="52"/>
      <c r="E326" s="52"/>
      <c r="F326" s="52"/>
      <c r="G326" s="52"/>
      <c r="H326" s="53"/>
      <c r="I326" s="52"/>
      <c r="J326" s="52"/>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FM326" s="54"/>
    </row>
    <row r="327" spans="1:169" s="18" customFormat="1">
      <c r="A327" s="51"/>
      <c r="B327" s="52"/>
      <c r="C327" s="52"/>
      <c r="D327" s="52"/>
      <c r="E327" s="52"/>
      <c r="F327" s="52"/>
      <c r="G327" s="52"/>
      <c r="H327" s="53"/>
      <c r="I327" s="52"/>
      <c r="J327" s="52"/>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FM327" s="54"/>
    </row>
    <row r="328" spans="1:169" s="18" customFormat="1">
      <c r="A328" s="51"/>
      <c r="B328" s="52"/>
      <c r="C328" s="52"/>
      <c r="D328" s="52"/>
      <c r="E328" s="52"/>
      <c r="F328" s="52"/>
      <c r="G328" s="52"/>
      <c r="H328" s="53"/>
      <c r="I328" s="52"/>
      <c r="J328" s="52"/>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FM328" s="54"/>
    </row>
    <row r="329" spans="1:169" s="18" customFormat="1">
      <c r="A329" s="51"/>
      <c r="B329" s="52"/>
      <c r="C329" s="52"/>
      <c r="D329" s="52"/>
      <c r="E329" s="52"/>
      <c r="F329" s="52"/>
      <c r="G329" s="52"/>
      <c r="H329" s="53"/>
      <c r="I329" s="52"/>
      <c r="J329" s="52"/>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FM329" s="54"/>
    </row>
    <row r="330" spans="1:169" s="18" customFormat="1">
      <c r="A330" s="51"/>
      <c r="B330" s="52"/>
      <c r="C330" s="52"/>
      <c r="D330" s="52"/>
      <c r="E330" s="52"/>
      <c r="F330" s="52"/>
      <c r="G330" s="52"/>
      <c r="H330" s="53"/>
      <c r="I330" s="52"/>
      <c r="J330" s="52"/>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I330" s="19"/>
      <c r="AJ330" s="19"/>
      <c r="FM330" s="54"/>
    </row>
    <row r="331" spans="1:169" s="18" customFormat="1">
      <c r="A331" s="51"/>
      <c r="B331" s="52"/>
      <c r="C331" s="52"/>
      <c r="D331" s="52"/>
      <c r="E331" s="52"/>
      <c r="F331" s="52"/>
      <c r="G331" s="52"/>
      <c r="H331" s="53"/>
      <c r="I331" s="52"/>
      <c r="J331" s="52"/>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c r="FM331" s="54"/>
    </row>
    <row r="332" spans="1:169" s="18" customFormat="1">
      <c r="A332" s="51"/>
      <c r="B332" s="52"/>
      <c r="C332" s="52"/>
      <c r="D332" s="52"/>
      <c r="E332" s="52"/>
      <c r="F332" s="52"/>
      <c r="G332" s="52"/>
      <c r="H332" s="53"/>
      <c r="I332" s="52"/>
      <c r="J332" s="52"/>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FM332" s="54"/>
    </row>
    <row r="333" spans="1:169" s="18" customFormat="1">
      <c r="A333" s="51"/>
      <c r="B333" s="52"/>
      <c r="C333" s="52"/>
      <c r="D333" s="52"/>
      <c r="E333" s="52"/>
      <c r="F333" s="52"/>
      <c r="G333" s="52"/>
      <c r="H333" s="53"/>
      <c r="I333" s="52"/>
      <c r="J333" s="52"/>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FM333" s="54"/>
    </row>
    <row r="334" spans="1:169" s="18" customFormat="1">
      <c r="A334" s="51"/>
      <c r="B334" s="52"/>
      <c r="C334" s="52"/>
      <c r="D334" s="52"/>
      <c r="E334" s="52"/>
      <c r="F334" s="52"/>
      <c r="G334" s="52"/>
      <c r="H334" s="53"/>
      <c r="I334" s="52"/>
      <c r="J334" s="52"/>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c r="FM334" s="54"/>
    </row>
    <row r="335" spans="1:169" s="18" customFormat="1">
      <c r="A335" s="51"/>
      <c r="B335" s="52"/>
      <c r="C335" s="52"/>
      <c r="D335" s="52"/>
      <c r="E335" s="52"/>
      <c r="F335" s="52"/>
      <c r="G335" s="52"/>
      <c r="H335" s="53"/>
      <c r="I335" s="52"/>
      <c r="J335" s="52"/>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FM335" s="54"/>
    </row>
    <row r="336" spans="1:169" s="18" customFormat="1">
      <c r="A336" s="51"/>
      <c r="B336" s="52"/>
      <c r="C336" s="52"/>
      <c r="D336" s="52"/>
      <c r="E336" s="52"/>
      <c r="F336" s="52"/>
      <c r="G336" s="52"/>
      <c r="H336" s="53"/>
      <c r="I336" s="52"/>
      <c r="J336" s="52"/>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c r="FM336" s="54"/>
    </row>
    <row r="337" spans="1:169" s="18" customFormat="1">
      <c r="A337" s="51"/>
      <c r="B337" s="52"/>
      <c r="C337" s="52"/>
      <c r="D337" s="52"/>
      <c r="E337" s="52"/>
      <c r="F337" s="52"/>
      <c r="G337" s="52"/>
      <c r="H337" s="53"/>
      <c r="I337" s="52"/>
      <c r="J337" s="52"/>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c r="FM337" s="54"/>
    </row>
    <row r="338" spans="1:169" s="18" customFormat="1">
      <c r="A338" s="51"/>
      <c r="B338" s="52"/>
      <c r="C338" s="52"/>
      <c r="D338" s="52"/>
      <c r="E338" s="52"/>
      <c r="F338" s="52"/>
      <c r="G338" s="52"/>
      <c r="H338" s="53"/>
      <c r="I338" s="52"/>
      <c r="J338" s="52"/>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c r="AI338" s="19"/>
      <c r="AJ338" s="19"/>
      <c r="FM338" s="54"/>
    </row>
    <row r="339" spans="1:169" s="18" customFormat="1">
      <c r="A339" s="51"/>
      <c r="B339" s="52"/>
      <c r="C339" s="52"/>
      <c r="D339" s="52"/>
      <c r="E339" s="52"/>
      <c r="F339" s="52"/>
      <c r="G339" s="52"/>
      <c r="H339" s="53"/>
      <c r="I339" s="52"/>
      <c r="J339" s="52"/>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FM339" s="54"/>
    </row>
    <row r="340" spans="1:169" s="18" customFormat="1">
      <c r="A340" s="51"/>
      <c r="B340" s="52"/>
      <c r="C340" s="52"/>
      <c r="D340" s="52"/>
      <c r="E340" s="52"/>
      <c r="F340" s="52"/>
      <c r="G340" s="52"/>
      <c r="H340" s="53"/>
      <c r="I340" s="52"/>
      <c r="J340" s="52"/>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c r="FM340" s="54"/>
    </row>
    <row r="341" spans="1:169" s="18" customFormat="1">
      <c r="A341" s="51"/>
      <c r="B341" s="52"/>
      <c r="C341" s="52"/>
      <c r="D341" s="52"/>
      <c r="E341" s="52"/>
      <c r="F341" s="52"/>
      <c r="G341" s="52"/>
      <c r="H341" s="53"/>
      <c r="I341" s="52"/>
      <c r="J341" s="52"/>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c r="FM341" s="54"/>
    </row>
    <row r="342" spans="1:169" s="18" customFormat="1">
      <c r="A342" s="51"/>
      <c r="B342" s="52"/>
      <c r="C342" s="52"/>
      <c r="D342" s="52"/>
      <c r="E342" s="52"/>
      <c r="F342" s="52"/>
      <c r="G342" s="52"/>
      <c r="H342" s="53"/>
      <c r="I342" s="52"/>
      <c r="J342" s="52"/>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FM342" s="54"/>
    </row>
    <row r="343" spans="1:169" s="18" customFormat="1">
      <c r="A343" s="51"/>
      <c r="B343" s="52"/>
      <c r="C343" s="52"/>
      <c r="D343" s="52"/>
      <c r="E343" s="52"/>
      <c r="F343" s="52"/>
      <c r="G343" s="52"/>
      <c r="H343" s="53"/>
      <c r="I343" s="52"/>
      <c r="J343" s="52"/>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c r="AH343" s="19"/>
      <c r="AI343" s="19"/>
      <c r="AJ343" s="19"/>
      <c r="FM343" s="54"/>
    </row>
    <row r="344" spans="1:169" s="18" customFormat="1">
      <c r="A344" s="51"/>
      <c r="B344" s="52"/>
      <c r="C344" s="52"/>
      <c r="D344" s="52"/>
      <c r="E344" s="52"/>
      <c r="F344" s="52"/>
      <c r="G344" s="52"/>
      <c r="H344" s="53"/>
      <c r="I344" s="52"/>
      <c r="J344" s="52"/>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c r="AH344" s="19"/>
      <c r="AI344" s="19"/>
      <c r="AJ344" s="19"/>
      <c r="FM344" s="54"/>
    </row>
    <row r="345" spans="1:169" s="18" customFormat="1">
      <c r="A345" s="51"/>
      <c r="B345" s="52"/>
      <c r="C345" s="52"/>
      <c r="D345" s="52"/>
      <c r="E345" s="52"/>
      <c r="F345" s="52"/>
      <c r="G345" s="52"/>
      <c r="H345" s="53"/>
      <c r="I345" s="52"/>
      <c r="J345" s="52"/>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c r="AH345" s="19"/>
      <c r="AI345" s="19"/>
      <c r="AJ345" s="19"/>
      <c r="FM345" s="54"/>
    </row>
    <row r="346" spans="1:169" s="18" customFormat="1">
      <c r="A346" s="51"/>
      <c r="B346" s="52"/>
      <c r="C346" s="52"/>
      <c r="D346" s="52"/>
      <c r="E346" s="52"/>
      <c r="F346" s="52"/>
      <c r="G346" s="52"/>
      <c r="H346" s="53"/>
      <c r="I346" s="52"/>
      <c r="J346" s="52"/>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c r="FM346" s="54"/>
    </row>
    <row r="347" spans="1:169" s="18" customFormat="1">
      <c r="A347" s="51"/>
      <c r="B347" s="52"/>
      <c r="C347" s="52"/>
      <c r="D347" s="52"/>
      <c r="E347" s="52"/>
      <c r="F347" s="52"/>
      <c r="G347" s="52"/>
      <c r="H347" s="53"/>
      <c r="I347" s="52"/>
      <c r="J347" s="52"/>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c r="FM347" s="54"/>
    </row>
    <row r="348" spans="1:169" s="18" customFormat="1">
      <c r="A348" s="51"/>
      <c r="B348" s="52"/>
      <c r="C348" s="52"/>
      <c r="D348" s="52"/>
      <c r="E348" s="52"/>
      <c r="F348" s="52"/>
      <c r="G348" s="52"/>
      <c r="H348" s="53"/>
      <c r="I348" s="52"/>
      <c r="J348" s="52"/>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I348" s="19"/>
      <c r="AJ348" s="19"/>
      <c r="FM348" s="54"/>
    </row>
    <row r="349" spans="1:169" s="18" customFormat="1">
      <c r="A349" s="51"/>
      <c r="B349" s="52"/>
      <c r="C349" s="52"/>
      <c r="D349" s="52"/>
      <c r="E349" s="52"/>
      <c r="F349" s="52"/>
      <c r="G349" s="52"/>
      <c r="H349" s="53"/>
      <c r="I349" s="52"/>
      <c r="J349" s="52"/>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FM349" s="54"/>
    </row>
    <row r="350" spans="1:169" s="18" customFormat="1">
      <c r="A350" s="51"/>
      <c r="B350" s="52"/>
      <c r="C350" s="52"/>
      <c r="D350" s="52"/>
      <c r="E350" s="52"/>
      <c r="F350" s="52"/>
      <c r="G350" s="52"/>
      <c r="H350" s="53"/>
      <c r="I350" s="52"/>
      <c r="J350" s="52"/>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c r="FM350" s="54"/>
    </row>
    <row r="351" spans="1:169" s="18" customFormat="1">
      <c r="A351" s="51"/>
      <c r="B351" s="52"/>
      <c r="C351" s="52"/>
      <c r="D351" s="52"/>
      <c r="E351" s="52"/>
      <c r="F351" s="52"/>
      <c r="G351" s="52"/>
      <c r="H351" s="53"/>
      <c r="I351" s="52"/>
      <c r="J351" s="52"/>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c r="FM351" s="54"/>
    </row>
    <row r="352" spans="1:169" s="18" customFormat="1">
      <c r="A352" s="51"/>
      <c r="B352" s="52"/>
      <c r="C352" s="52"/>
      <c r="D352" s="52"/>
      <c r="E352" s="52"/>
      <c r="F352" s="52"/>
      <c r="G352" s="52"/>
      <c r="H352" s="53"/>
      <c r="I352" s="52"/>
      <c r="J352" s="52"/>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c r="FM352" s="54"/>
    </row>
    <row r="353" spans="1:169" s="18" customFormat="1">
      <c r="A353" s="51"/>
      <c r="B353" s="52"/>
      <c r="C353" s="52"/>
      <c r="D353" s="52"/>
      <c r="E353" s="52"/>
      <c r="F353" s="52"/>
      <c r="G353" s="52"/>
      <c r="H353" s="53"/>
      <c r="I353" s="52"/>
      <c r="J353" s="52"/>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c r="AH353" s="19"/>
      <c r="AI353" s="19"/>
      <c r="AJ353" s="19"/>
      <c r="FM353" s="54"/>
    </row>
    <row r="354" spans="1:169" s="18" customFormat="1">
      <c r="A354" s="51"/>
      <c r="B354" s="52"/>
      <c r="C354" s="52"/>
      <c r="D354" s="52"/>
      <c r="E354" s="52"/>
      <c r="F354" s="52"/>
      <c r="G354" s="52"/>
      <c r="H354" s="53"/>
      <c r="I354" s="52"/>
      <c r="J354" s="52"/>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c r="AH354" s="19"/>
      <c r="AI354" s="19"/>
      <c r="AJ354" s="19"/>
      <c r="FM354" s="54"/>
    </row>
    <row r="355" spans="1:169" s="18" customFormat="1">
      <c r="A355" s="51"/>
      <c r="B355" s="52"/>
      <c r="C355" s="52"/>
      <c r="D355" s="52"/>
      <c r="E355" s="52"/>
      <c r="F355" s="52"/>
      <c r="G355" s="52"/>
      <c r="H355" s="53"/>
      <c r="I355" s="52"/>
      <c r="J355" s="52"/>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c r="AH355" s="19"/>
      <c r="AI355" s="19"/>
      <c r="AJ355" s="19"/>
      <c r="FM355" s="54"/>
    </row>
    <row r="356" spans="1:169" s="18" customFormat="1">
      <c r="A356" s="51"/>
      <c r="B356" s="52"/>
      <c r="C356" s="52"/>
      <c r="D356" s="52"/>
      <c r="E356" s="52"/>
      <c r="F356" s="52"/>
      <c r="G356" s="52"/>
      <c r="H356" s="53"/>
      <c r="I356" s="52"/>
      <c r="J356" s="52"/>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FM356" s="54"/>
    </row>
    <row r="357" spans="1:169" s="18" customFormat="1">
      <c r="A357" s="51"/>
      <c r="B357" s="52"/>
      <c r="C357" s="52"/>
      <c r="D357" s="52"/>
      <c r="E357" s="52"/>
      <c r="F357" s="52"/>
      <c r="G357" s="52"/>
      <c r="H357" s="53"/>
      <c r="I357" s="52"/>
      <c r="J357" s="52"/>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c r="AH357" s="19"/>
      <c r="AI357" s="19"/>
      <c r="AJ357" s="19"/>
      <c r="FM357" s="54"/>
    </row>
    <row r="358" spans="1:169" s="18" customFormat="1">
      <c r="A358" s="51"/>
      <c r="B358" s="52"/>
      <c r="C358" s="52"/>
      <c r="D358" s="52"/>
      <c r="E358" s="52"/>
      <c r="F358" s="52"/>
      <c r="G358" s="52"/>
      <c r="H358" s="53"/>
      <c r="I358" s="52"/>
      <c r="J358" s="52"/>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c r="AH358" s="19"/>
      <c r="AI358" s="19"/>
      <c r="AJ358" s="19"/>
      <c r="FM358" s="54"/>
    </row>
    <row r="359" spans="1:169" s="18" customFormat="1">
      <c r="A359" s="51"/>
      <c r="B359" s="52"/>
      <c r="C359" s="52"/>
      <c r="D359" s="52"/>
      <c r="E359" s="52"/>
      <c r="F359" s="52"/>
      <c r="G359" s="52"/>
      <c r="H359" s="53"/>
      <c r="I359" s="52"/>
      <c r="J359" s="52"/>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c r="FM359" s="54"/>
    </row>
    <row r="360" spans="1:169" s="18" customFormat="1">
      <c r="A360" s="51"/>
      <c r="B360" s="52"/>
      <c r="C360" s="52"/>
      <c r="D360" s="52"/>
      <c r="E360" s="52"/>
      <c r="F360" s="52"/>
      <c r="G360" s="52"/>
      <c r="H360" s="53"/>
      <c r="I360" s="52"/>
      <c r="J360" s="52"/>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c r="AH360" s="19"/>
      <c r="AI360" s="19"/>
      <c r="AJ360" s="19"/>
      <c r="FM360" s="54"/>
    </row>
    <row r="361" spans="1:169" s="18" customFormat="1">
      <c r="A361" s="51"/>
      <c r="B361" s="52"/>
      <c r="C361" s="52"/>
      <c r="D361" s="52"/>
      <c r="E361" s="52"/>
      <c r="F361" s="52"/>
      <c r="G361" s="52"/>
      <c r="H361" s="53"/>
      <c r="I361" s="52"/>
      <c r="J361" s="52"/>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c r="FM361" s="54"/>
    </row>
    <row r="362" spans="1:169" s="18" customFormat="1">
      <c r="A362" s="51"/>
      <c r="B362" s="52"/>
      <c r="C362" s="52"/>
      <c r="D362" s="52"/>
      <c r="E362" s="52"/>
      <c r="F362" s="52"/>
      <c r="G362" s="52"/>
      <c r="H362" s="53"/>
      <c r="I362" s="52"/>
      <c r="J362" s="52"/>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c r="AH362" s="19"/>
      <c r="AI362" s="19"/>
      <c r="AJ362" s="19"/>
      <c r="FM362" s="54"/>
    </row>
    <row r="363" spans="1:169" s="18" customFormat="1">
      <c r="A363" s="51"/>
      <c r="B363" s="52"/>
      <c r="C363" s="52"/>
      <c r="D363" s="52"/>
      <c r="E363" s="52"/>
      <c r="F363" s="52"/>
      <c r="G363" s="52"/>
      <c r="H363" s="53"/>
      <c r="I363" s="52"/>
      <c r="J363" s="52"/>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FM363" s="54"/>
    </row>
    <row r="364" spans="1:169" s="18" customFormat="1">
      <c r="A364" s="51"/>
      <c r="B364" s="52"/>
      <c r="C364" s="52"/>
      <c r="D364" s="52"/>
      <c r="E364" s="52"/>
      <c r="F364" s="52"/>
      <c r="G364" s="52"/>
      <c r="H364" s="53"/>
      <c r="I364" s="52"/>
      <c r="J364" s="52"/>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c r="AH364" s="19"/>
      <c r="AI364" s="19"/>
      <c r="AJ364" s="19"/>
      <c r="FM364" s="54"/>
    </row>
    <row r="365" spans="1:169" s="18" customFormat="1">
      <c r="A365" s="51"/>
      <c r="B365" s="52"/>
      <c r="C365" s="52"/>
      <c r="D365" s="52"/>
      <c r="E365" s="52"/>
      <c r="F365" s="52"/>
      <c r="G365" s="52"/>
      <c r="H365" s="53"/>
      <c r="I365" s="52"/>
      <c r="J365" s="52"/>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c r="FM365" s="54"/>
    </row>
    <row r="366" spans="1:169" s="18" customFormat="1">
      <c r="A366" s="51"/>
      <c r="B366" s="52"/>
      <c r="C366" s="52"/>
      <c r="D366" s="52"/>
      <c r="E366" s="52"/>
      <c r="F366" s="52"/>
      <c r="G366" s="52"/>
      <c r="H366" s="53"/>
      <c r="I366" s="52"/>
      <c r="J366" s="52"/>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19"/>
      <c r="AJ366" s="19"/>
      <c r="FM366" s="54"/>
    </row>
    <row r="367" spans="1:169" s="18" customFormat="1">
      <c r="A367" s="51"/>
      <c r="B367" s="52"/>
      <c r="C367" s="52"/>
      <c r="D367" s="52"/>
      <c r="E367" s="52"/>
      <c r="F367" s="52"/>
      <c r="G367" s="52"/>
      <c r="H367" s="53"/>
      <c r="I367" s="52"/>
      <c r="J367" s="52"/>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c r="FM367" s="54"/>
    </row>
    <row r="368" spans="1:169" s="18" customFormat="1">
      <c r="A368" s="51"/>
      <c r="B368" s="52"/>
      <c r="C368" s="52"/>
      <c r="D368" s="52"/>
      <c r="E368" s="52"/>
      <c r="F368" s="52"/>
      <c r="G368" s="52"/>
      <c r="H368" s="53"/>
      <c r="I368" s="52"/>
      <c r="J368" s="52"/>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c r="AH368" s="19"/>
      <c r="AI368" s="19"/>
      <c r="AJ368" s="19"/>
      <c r="FM368" s="54"/>
    </row>
    <row r="369" spans="1:169" s="18" customFormat="1">
      <c r="A369" s="51"/>
      <c r="B369" s="52"/>
      <c r="C369" s="52"/>
      <c r="D369" s="52"/>
      <c r="E369" s="52"/>
      <c r="F369" s="52"/>
      <c r="G369" s="52"/>
      <c r="H369" s="53"/>
      <c r="I369" s="52"/>
      <c r="J369" s="52"/>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c r="AH369" s="19"/>
      <c r="AI369" s="19"/>
      <c r="AJ369" s="19"/>
      <c r="FM369" s="54"/>
    </row>
    <row r="370" spans="1:169" s="18" customFormat="1">
      <c r="A370" s="51"/>
      <c r="B370" s="52"/>
      <c r="C370" s="52"/>
      <c r="D370" s="52"/>
      <c r="E370" s="52"/>
      <c r="F370" s="52"/>
      <c r="G370" s="52"/>
      <c r="H370" s="53"/>
      <c r="I370" s="52"/>
      <c r="J370" s="52"/>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c r="AH370" s="19"/>
      <c r="AI370" s="19"/>
      <c r="AJ370" s="19"/>
      <c r="FM370" s="54"/>
    </row>
    <row r="371" spans="1:169" s="18" customFormat="1">
      <c r="A371" s="51"/>
      <c r="B371" s="52"/>
      <c r="C371" s="52"/>
      <c r="D371" s="52"/>
      <c r="E371" s="52"/>
      <c r="F371" s="52"/>
      <c r="G371" s="52"/>
      <c r="H371" s="53"/>
      <c r="I371" s="52"/>
      <c r="J371" s="52"/>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c r="AH371" s="19"/>
      <c r="AI371" s="19"/>
      <c r="AJ371" s="19"/>
      <c r="FM371" s="54"/>
    </row>
    <row r="372" spans="1:169" s="18" customFormat="1">
      <c r="A372" s="51"/>
      <c r="B372" s="52"/>
      <c r="C372" s="52"/>
      <c r="D372" s="52"/>
      <c r="E372" s="52"/>
      <c r="F372" s="52"/>
      <c r="G372" s="52"/>
      <c r="H372" s="53"/>
      <c r="I372" s="52"/>
      <c r="J372" s="52"/>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FM372" s="54"/>
    </row>
    <row r="373" spans="1:169" s="18" customFormat="1">
      <c r="A373" s="51"/>
      <c r="B373" s="52"/>
      <c r="C373" s="52"/>
      <c r="D373" s="52"/>
      <c r="E373" s="52"/>
      <c r="F373" s="52"/>
      <c r="G373" s="52"/>
      <c r="H373" s="53"/>
      <c r="I373" s="52"/>
      <c r="J373" s="52"/>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c r="AH373" s="19"/>
      <c r="AI373" s="19"/>
      <c r="AJ373" s="19"/>
      <c r="FM373" s="54"/>
    </row>
    <row r="374" spans="1:169" s="18" customFormat="1">
      <c r="A374" s="51"/>
      <c r="B374" s="52"/>
      <c r="C374" s="52"/>
      <c r="D374" s="52"/>
      <c r="E374" s="52"/>
      <c r="F374" s="52"/>
      <c r="G374" s="52"/>
      <c r="H374" s="53"/>
      <c r="I374" s="52"/>
      <c r="J374" s="52"/>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c r="AH374" s="19"/>
      <c r="AI374" s="19"/>
      <c r="AJ374" s="19"/>
      <c r="FM374" s="54"/>
    </row>
    <row r="375" spans="1:169" s="18" customFormat="1">
      <c r="A375" s="51"/>
      <c r="B375" s="52"/>
      <c r="C375" s="52"/>
      <c r="D375" s="52"/>
      <c r="E375" s="52"/>
      <c r="F375" s="52"/>
      <c r="G375" s="52"/>
      <c r="H375" s="53"/>
      <c r="I375" s="52"/>
      <c r="J375" s="52"/>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c r="AH375" s="19"/>
      <c r="AI375" s="19"/>
      <c r="AJ375" s="19"/>
      <c r="FM375" s="54"/>
    </row>
    <row r="376" spans="1:169" s="18" customFormat="1">
      <c r="A376" s="51"/>
      <c r="B376" s="52"/>
      <c r="C376" s="52"/>
      <c r="D376" s="52"/>
      <c r="E376" s="52"/>
      <c r="F376" s="52"/>
      <c r="G376" s="52"/>
      <c r="H376" s="53"/>
      <c r="I376" s="52"/>
      <c r="J376" s="52"/>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c r="AH376" s="19"/>
      <c r="AI376" s="19"/>
      <c r="AJ376" s="19"/>
      <c r="FM376" s="54"/>
    </row>
    <row r="377" spans="1:169" s="18" customFormat="1">
      <c r="A377" s="51"/>
      <c r="B377" s="52"/>
      <c r="C377" s="52"/>
      <c r="D377" s="52"/>
      <c r="E377" s="52"/>
      <c r="F377" s="52"/>
      <c r="G377" s="52"/>
      <c r="H377" s="53"/>
      <c r="I377" s="52"/>
      <c r="J377" s="52"/>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c r="AH377" s="19"/>
      <c r="AI377" s="19"/>
      <c r="AJ377" s="19"/>
      <c r="FM377" s="54"/>
    </row>
    <row r="378" spans="1:169" s="18" customFormat="1">
      <c r="A378" s="51"/>
      <c r="B378" s="52"/>
      <c r="C378" s="52"/>
      <c r="D378" s="52"/>
      <c r="E378" s="52"/>
      <c r="F378" s="52"/>
      <c r="G378" s="52"/>
      <c r="H378" s="53"/>
      <c r="I378" s="52"/>
      <c r="J378" s="52"/>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c r="AH378" s="19"/>
      <c r="AI378" s="19"/>
      <c r="AJ378" s="19"/>
      <c r="FM378" s="54"/>
    </row>
    <row r="379" spans="1:169" s="18" customFormat="1">
      <c r="A379" s="51"/>
      <c r="B379" s="52"/>
      <c r="C379" s="52"/>
      <c r="D379" s="52"/>
      <c r="E379" s="52"/>
      <c r="F379" s="52"/>
      <c r="G379" s="52"/>
      <c r="H379" s="53"/>
      <c r="I379" s="52"/>
      <c r="J379" s="52"/>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c r="AH379" s="19"/>
      <c r="AI379" s="19"/>
      <c r="AJ379" s="19"/>
      <c r="FM379" s="54"/>
    </row>
    <row r="380" spans="1:169" s="18" customFormat="1">
      <c r="A380" s="51"/>
      <c r="B380" s="52"/>
      <c r="C380" s="52"/>
      <c r="D380" s="52"/>
      <c r="E380" s="52"/>
      <c r="F380" s="52"/>
      <c r="G380" s="52"/>
      <c r="H380" s="53"/>
      <c r="I380" s="52"/>
      <c r="J380" s="52"/>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c r="AH380" s="19"/>
      <c r="AI380" s="19"/>
      <c r="AJ380" s="19"/>
      <c r="FM380" s="54"/>
    </row>
    <row r="381" spans="1:169" s="18" customFormat="1">
      <c r="A381" s="51"/>
      <c r="B381" s="52"/>
      <c r="C381" s="52"/>
      <c r="D381" s="52"/>
      <c r="E381" s="52"/>
      <c r="F381" s="52"/>
      <c r="G381" s="52"/>
      <c r="H381" s="53"/>
      <c r="I381" s="52"/>
      <c r="J381" s="52"/>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c r="AH381" s="19"/>
      <c r="AI381" s="19"/>
      <c r="AJ381" s="19"/>
      <c r="FM381" s="54"/>
    </row>
    <row r="382" spans="1:169" s="18" customFormat="1">
      <c r="A382" s="51"/>
      <c r="B382" s="52"/>
      <c r="C382" s="52"/>
      <c r="D382" s="52"/>
      <c r="E382" s="52"/>
      <c r="F382" s="52"/>
      <c r="G382" s="52"/>
      <c r="H382" s="53"/>
      <c r="I382" s="52"/>
      <c r="J382" s="52"/>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c r="AH382" s="19"/>
      <c r="AI382" s="19"/>
      <c r="AJ382" s="19"/>
      <c r="FM382" s="54"/>
    </row>
    <row r="383" spans="1:169" s="18" customFormat="1">
      <c r="A383" s="51"/>
      <c r="B383" s="52"/>
      <c r="C383" s="52"/>
      <c r="D383" s="52"/>
      <c r="E383" s="52"/>
      <c r="F383" s="52"/>
      <c r="G383" s="52"/>
      <c r="H383" s="53"/>
      <c r="I383" s="52"/>
      <c r="J383" s="52"/>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c r="AH383" s="19"/>
      <c r="AI383" s="19"/>
      <c r="AJ383" s="19"/>
      <c r="FM383" s="54"/>
    </row>
    <row r="384" spans="1:169" s="18" customFormat="1">
      <c r="A384" s="51"/>
      <c r="B384" s="52"/>
      <c r="C384" s="52"/>
      <c r="D384" s="52"/>
      <c r="E384" s="52"/>
      <c r="F384" s="52"/>
      <c r="G384" s="52"/>
      <c r="H384" s="53"/>
      <c r="I384" s="52"/>
      <c r="J384" s="52"/>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c r="AH384" s="19"/>
      <c r="AI384" s="19"/>
      <c r="AJ384" s="19"/>
      <c r="FM384" s="54"/>
    </row>
    <row r="385" spans="1:169" s="18" customFormat="1">
      <c r="A385" s="51"/>
      <c r="B385" s="52"/>
      <c r="C385" s="52"/>
      <c r="D385" s="52"/>
      <c r="E385" s="52"/>
      <c r="F385" s="52"/>
      <c r="G385" s="52"/>
      <c r="H385" s="53"/>
      <c r="I385" s="52"/>
      <c r="J385" s="52"/>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c r="AH385" s="19"/>
      <c r="AI385" s="19"/>
      <c r="AJ385" s="19"/>
      <c r="FM385" s="54"/>
    </row>
    <row r="386" spans="1:169" s="18" customFormat="1">
      <c r="A386" s="51"/>
      <c r="B386" s="52"/>
      <c r="C386" s="52"/>
      <c r="D386" s="52"/>
      <c r="E386" s="52"/>
      <c r="F386" s="52"/>
      <c r="G386" s="52"/>
      <c r="H386" s="53"/>
      <c r="I386" s="52"/>
      <c r="J386" s="52"/>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c r="AH386" s="19"/>
      <c r="AI386" s="19"/>
      <c r="AJ386" s="19"/>
      <c r="FM386" s="54"/>
    </row>
    <row r="387" spans="1:169" s="18" customFormat="1">
      <c r="A387" s="51"/>
      <c r="B387" s="52"/>
      <c r="C387" s="52"/>
      <c r="D387" s="52"/>
      <c r="E387" s="52"/>
      <c r="F387" s="52"/>
      <c r="G387" s="52"/>
      <c r="H387" s="53"/>
      <c r="I387" s="52"/>
      <c r="J387" s="52"/>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c r="AH387" s="19"/>
      <c r="AI387" s="19"/>
      <c r="AJ387" s="19"/>
      <c r="FM387" s="54"/>
    </row>
    <row r="388" spans="1:169" s="18" customFormat="1">
      <c r="A388" s="51"/>
      <c r="B388" s="52"/>
      <c r="C388" s="52"/>
      <c r="D388" s="52"/>
      <c r="E388" s="52"/>
      <c r="F388" s="52"/>
      <c r="G388" s="52"/>
      <c r="H388" s="53"/>
      <c r="I388" s="52"/>
      <c r="J388" s="52"/>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c r="AH388" s="19"/>
      <c r="AI388" s="19"/>
      <c r="AJ388" s="19"/>
      <c r="FM388" s="54"/>
    </row>
    <row r="389" spans="1:169" s="18" customFormat="1">
      <c r="A389" s="51"/>
      <c r="B389" s="52"/>
      <c r="C389" s="52"/>
      <c r="D389" s="52"/>
      <c r="E389" s="52"/>
      <c r="F389" s="52"/>
      <c r="G389" s="52"/>
      <c r="H389" s="53"/>
      <c r="I389" s="52"/>
      <c r="J389" s="52"/>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c r="AH389" s="19"/>
      <c r="AI389" s="19"/>
      <c r="AJ389" s="19"/>
      <c r="FM389" s="54"/>
    </row>
    <row r="390" spans="1:169" s="18" customFormat="1">
      <c r="A390" s="51"/>
      <c r="B390" s="52"/>
      <c r="C390" s="52"/>
      <c r="D390" s="52"/>
      <c r="E390" s="52"/>
      <c r="F390" s="52"/>
      <c r="G390" s="52"/>
      <c r="H390" s="53"/>
      <c r="I390" s="52"/>
      <c r="J390" s="52"/>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c r="AH390" s="19"/>
      <c r="AI390" s="19"/>
      <c r="AJ390" s="19"/>
      <c r="FM390" s="54"/>
    </row>
    <row r="391" spans="1:169" s="18" customFormat="1">
      <c r="A391" s="51"/>
      <c r="B391" s="52"/>
      <c r="C391" s="52"/>
      <c r="D391" s="52"/>
      <c r="E391" s="52"/>
      <c r="F391" s="52"/>
      <c r="G391" s="52"/>
      <c r="H391" s="53"/>
      <c r="I391" s="52"/>
      <c r="J391" s="52"/>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c r="AH391" s="19"/>
      <c r="AI391" s="19"/>
      <c r="AJ391" s="19"/>
      <c r="FM391" s="54"/>
    </row>
    <row r="392" spans="1:169" s="18" customFormat="1">
      <c r="A392" s="51"/>
      <c r="B392" s="52"/>
      <c r="C392" s="52"/>
      <c r="D392" s="52"/>
      <c r="E392" s="52"/>
      <c r="F392" s="52"/>
      <c r="G392" s="52"/>
      <c r="H392" s="53"/>
      <c r="I392" s="52"/>
      <c r="J392" s="52"/>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c r="AH392" s="19"/>
      <c r="AI392" s="19"/>
      <c r="AJ392" s="19"/>
      <c r="FM392" s="54"/>
    </row>
    <row r="393" spans="1:169" s="18" customFormat="1">
      <c r="A393" s="51"/>
      <c r="B393" s="52"/>
      <c r="C393" s="52"/>
      <c r="D393" s="52"/>
      <c r="E393" s="52"/>
      <c r="F393" s="52"/>
      <c r="G393" s="52"/>
      <c r="H393" s="53"/>
      <c r="I393" s="52"/>
      <c r="J393" s="52"/>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c r="AH393" s="19"/>
      <c r="AI393" s="19"/>
      <c r="AJ393" s="19"/>
      <c r="FM393" s="54"/>
    </row>
    <row r="394" spans="1:169" s="18" customFormat="1">
      <c r="A394" s="51"/>
      <c r="B394" s="52"/>
      <c r="C394" s="52"/>
      <c r="D394" s="52"/>
      <c r="E394" s="52"/>
      <c r="F394" s="52"/>
      <c r="G394" s="52"/>
      <c r="H394" s="53"/>
      <c r="I394" s="52"/>
      <c r="J394" s="52"/>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c r="AH394" s="19"/>
      <c r="AI394" s="19"/>
      <c r="AJ394" s="19"/>
      <c r="FM394" s="54"/>
    </row>
    <row r="395" spans="1:169" s="18" customFormat="1">
      <c r="A395" s="51"/>
      <c r="B395" s="52"/>
      <c r="C395" s="52"/>
      <c r="D395" s="52"/>
      <c r="E395" s="52"/>
      <c r="F395" s="52"/>
      <c r="G395" s="52"/>
      <c r="H395" s="53"/>
      <c r="I395" s="52"/>
      <c r="J395" s="52"/>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c r="AH395" s="19"/>
      <c r="AI395" s="19"/>
      <c r="AJ395" s="19"/>
      <c r="FM395" s="54"/>
    </row>
    <row r="396" spans="1:169" s="18" customFormat="1">
      <c r="A396" s="51"/>
      <c r="B396" s="52"/>
      <c r="C396" s="52"/>
      <c r="D396" s="52"/>
      <c r="E396" s="52"/>
      <c r="F396" s="52"/>
      <c r="G396" s="52"/>
      <c r="H396" s="53"/>
      <c r="I396" s="52"/>
      <c r="J396" s="52"/>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c r="AH396" s="19"/>
      <c r="AI396" s="19"/>
      <c r="AJ396" s="19"/>
      <c r="FM396" s="54"/>
    </row>
    <row r="397" spans="1:169" s="18" customFormat="1">
      <c r="A397" s="51"/>
      <c r="B397" s="52"/>
      <c r="C397" s="52"/>
      <c r="D397" s="52"/>
      <c r="E397" s="52"/>
      <c r="F397" s="52"/>
      <c r="G397" s="52"/>
      <c r="H397" s="53"/>
      <c r="I397" s="52"/>
      <c r="J397" s="52"/>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c r="AH397" s="19"/>
      <c r="AI397" s="19"/>
      <c r="AJ397" s="19"/>
      <c r="FM397" s="54"/>
    </row>
    <row r="398" spans="1:169" s="18" customFormat="1">
      <c r="A398" s="51"/>
      <c r="B398" s="52"/>
      <c r="C398" s="52"/>
      <c r="D398" s="52"/>
      <c r="E398" s="52"/>
      <c r="F398" s="52"/>
      <c r="G398" s="52"/>
      <c r="H398" s="53"/>
      <c r="I398" s="52"/>
      <c r="J398" s="52"/>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c r="AH398" s="19"/>
      <c r="AI398" s="19"/>
      <c r="AJ398" s="19"/>
      <c r="FM398" s="54"/>
    </row>
    <row r="399" spans="1:169" s="18" customFormat="1">
      <c r="A399" s="51"/>
      <c r="B399" s="52"/>
      <c r="C399" s="52"/>
      <c r="D399" s="52"/>
      <c r="E399" s="52"/>
      <c r="F399" s="52"/>
      <c r="G399" s="52"/>
      <c r="H399" s="53"/>
      <c r="I399" s="52"/>
      <c r="J399" s="52"/>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c r="AH399" s="19"/>
      <c r="AI399" s="19"/>
      <c r="AJ399" s="19"/>
      <c r="FM399" s="54"/>
    </row>
    <row r="400" spans="1:169" s="18" customFormat="1">
      <c r="A400" s="51"/>
      <c r="B400" s="52"/>
      <c r="C400" s="52"/>
      <c r="D400" s="52"/>
      <c r="E400" s="52"/>
      <c r="F400" s="52"/>
      <c r="G400" s="52"/>
      <c r="H400" s="53"/>
      <c r="I400" s="52"/>
      <c r="J400" s="52"/>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c r="AH400" s="19"/>
      <c r="AI400" s="19"/>
      <c r="AJ400" s="19"/>
      <c r="FM400" s="54"/>
    </row>
    <row r="401" spans="1:169" s="18" customFormat="1">
      <c r="A401" s="51"/>
      <c r="B401" s="52"/>
      <c r="C401" s="52"/>
      <c r="D401" s="52"/>
      <c r="E401" s="52"/>
      <c r="F401" s="52"/>
      <c r="G401" s="52"/>
      <c r="H401" s="53"/>
      <c r="I401" s="52"/>
      <c r="J401" s="52"/>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c r="AH401" s="19"/>
      <c r="AI401" s="19"/>
      <c r="AJ401" s="19"/>
      <c r="FM401" s="54"/>
    </row>
    <row r="402" spans="1:169" s="18" customFormat="1">
      <c r="A402" s="51"/>
      <c r="B402" s="52"/>
      <c r="C402" s="52"/>
      <c r="D402" s="52"/>
      <c r="E402" s="52"/>
      <c r="F402" s="52"/>
      <c r="G402" s="52"/>
      <c r="H402" s="53"/>
      <c r="I402" s="52"/>
      <c r="J402" s="52"/>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c r="AH402" s="19"/>
      <c r="AI402" s="19"/>
      <c r="AJ402" s="19"/>
      <c r="FM402" s="54"/>
    </row>
    <row r="403" spans="1:169" s="18" customFormat="1">
      <c r="A403" s="51"/>
      <c r="B403" s="52"/>
      <c r="C403" s="52"/>
      <c r="D403" s="52"/>
      <c r="E403" s="52"/>
      <c r="F403" s="52"/>
      <c r="G403" s="52"/>
      <c r="H403" s="53"/>
      <c r="I403" s="52"/>
      <c r="J403" s="52"/>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c r="AH403" s="19"/>
      <c r="AI403" s="19"/>
      <c r="AJ403" s="19"/>
      <c r="FM403" s="54"/>
    </row>
    <row r="404" spans="1:169" s="18" customFormat="1">
      <c r="A404" s="51"/>
      <c r="B404" s="52"/>
      <c r="C404" s="52"/>
      <c r="D404" s="52"/>
      <c r="E404" s="52"/>
      <c r="F404" s="52"/>
      <c r="G404" s="52"/>
      <c r="H404" s="53"/>
      <c r="I404" s="52"/>
      <c r="J404" s="52"/>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c r="AH404" s="19"/>
      <c r="AI404" s="19"/>
      <c r="AJ404" s="19"/>
      <c r="FM404" s="54"/>
    </row>
    <row r="405" spans="1:169" s="18" customFormat="1">
      <c r="A405" s="51"/>
      <c r="B405" s="52"/>
      <c r="C405" s="52"/>
      <c r="D405" s="52"/>
      <c r="E405" s="52"/>
      <c r="F405" s="52"/>
      <c r="G405" s="52"/>
      <c r="H405" s="53"/>
      <c r="I405" s="52"/>
      <c r="J405" s="52"/>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c r="AH405" s="19"/>
      <c r="AI405" s="19"/>
      <c r="AJ405" s="19"/>
      <c r="FM405" s="54"/>
    </row>
    <row r="406" spans="1:169" s="18" customFormat="1">
      <c r="A406" s="51"/>
      <c r="B406" s="52"/>
      <c r="C406" s="52"/>
      <c r="D406" s="52"/>
      <c r="E406" s="52"/>
      <c r="F406" s="52"/>
      <c r="G406" s="52"/>
      <c r="H406" s="53"/>
      <c r="I406" s="52"/>
      <c r="J406" s="52"/>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c r="AH406" s="19"/>
      <c r="AI406" s="19"/>
      <c r="AJ406" s="19"/>
      <c r="FM406" s="54"/>
    </row>
    <row r="407" spans="1:169" s="18" customFormat="1">
      <c r="A407" s="51"/>
      <c r="B407" s="52"/>
      <c r="C407" s="52"/>
      <c r="D407" s="52"/>
      <c r="E407" s="52"/>
      <c r="F407" s="52"/>
      <c r="G407" s="52"/>
      <c r="H407" s="53"/>
      <c r="I407" s="52"/>
      <c r="J407" s="52"/>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c r="AH407" s="19"/>
      <c r="AI407" s="19"/>
      <c r="AJ407" s="19"/>
      <c r="FM407" s="54"/>
    </row>
    <row r="408" spans="1:169" s="18" customFormat="1">
      <c r="A408" s="51"/>
      <c r="B408" s="52"/>
      <c r="C408" s="52"/>
      <c r="D408" s="52"/>
      <c r="E408" s="52"/>
      <c r="F408" s="52"/>
      <c r="G408" s="52"/>
      <c r="H408" s="53"/>
      <c r="I408" s="52"/>
      <c r="J408" s="52"/>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c r="AH408" s="19"/>
      <c r="AI408" s="19"/>
      <c r="AJ408" s="19"/>
      <c r="FM408" s="54"/>
    </row>
    <row r="409" spans="1:169" s="18" customFormat="1">
      <c r="A409" s="51"/>
      <c r="B409" s="52"/>
      <c r="C409" s="52"/>
      <c r="D409" s="52"/>
      <c r="E409" s="52"/>
      <c r="F409" s="52"/>
      <c r="G409" s="52"/>
      <c r="H409" s="53"/>
      <c r="I409" s="52"/>
      <c r="J409" s="52"/>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c r="AH409" s="19"/>
      <c r="AI409" s="19"/>
      <c r="AJ409" s="19"/>
      <c r="FM409" s="54"/>
    </row>
    <row r="410" spans="1:169" s="18" customFormat="1">
      <c r="A410" s="51"/>
      <c r="B410" s="52"/>
      <c r="C410" s="52"/>
      <c r="D410" s="52"/>
      <c r="E410" s="52"/>
      <c r="F410" s="52"/>
      <c r="G410" s="52"/>
      <c r="H410" s="53"/>
      <c r="I410" s="52"/>
      <c r="J410" s="52"/>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c r="AH410" s="19"/>
      <c r="AI410" s="19"/>
      <c r="AJ410" s="19"/>
      <c r="FM410" s="54"/>
    </row>
    <row r="411" spans="1:169" s="18" customFormat="1">
      <c r="A411" s="51"/>
      <c r="B411" s="52"/>
      <c r="C411" s="52"/>
      <c r="D411" s="52"/>
      <c r="E411" s="52"/>
      <c r="F411" s="52"/>
      <c r="G411" s="52"/>
      <c r="H411" s="53"/>
      <c r="I411" s="52"/>
      <c r="J411" s="52"/>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c r="FM411" s="54"/>
    </row>
    <row r="412" spans="1:169" s="18" customFormat="1">
      <c r="A412" s="51"/>
      <c r="B412" s="52"/>
      <c r="C412" s="52"/>
      <c r="D412" s="52"/>
      <c r="E412" s="52"/>
      <c r="F412" s="52"/>
      <c r="G412" s="52"/>
      <c r="H412" s="53"/>
      <c r="I412" s="52"/>
      <c r="J412" s="52"/>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c r="AH412" s="19"/>
      <c r="AI412" s="19"/>
      <c r="AJ412" s="19"/>
      <c r="FM412" s="54"/>
    </row>
    <row r="413" spans="1:169" s="18" customFormat="1">
      <c r="A413" s="51"/>
      <c r="B413" s="52"/>
      <c r="C413" s="52"/>
      <c r="D413" s="52"/>
      <c r="E413" s="52"/>
      <c r="F413" s="52"/>
      <c r="G413" s="52"/>
      <c r="H413" s="53"/>
      <c r="I413" s="52"/>
      <c r="J413" s="52"/>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c r="FM413" s="54"/>
    </row>
    <row r="414" spans="1:169" s="18" customFormat="1">
      <c r="A414" s="51"/>
      <c r="B414" s="52"/>
      <c r="C414" s="52"/>
      <c r="D414" s="52"/>
      <c r="E414" s="52"/>
      <c r="F414" s="52"/>
      <c r="G414" s="52"/>
      <c r="H414" s="53"/>
      <c r="I414" s="52"/>
      <c r="J414" s="52"/>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c r="AH414" s="19"/>
      <c r="AI414" s="19"/>
      <c r="AJ414" s="19"/>
      <c r="FM414" s="54"/>
    </row>
    <row r="415" spans="1:169" s="18" customFormat="1">
      <c r="A415" s="51"/>
      <c r="B415" s="52"/>
      <c r="C415" s="52"/>
      <c r="D415" s="52"/>
      <c r="E415" s="52"/>
      <c r="F415" s="52"/>
      <c r="G415" s="52"/>
      <c r="H415" s="53"/>
      <c r="I415" s="52"/>
      <c r="J415" s="52"/>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c r="FM415" s="54"/>
    </row>
    <row r="416" spans="1:169" s="18" customFormat="1">
      <c r="A416" s="51"/>
      <c r="B416" s="52"/>
      <c r="C416" s="52"/>
      <c r="D416" s="52"/>
      <c r="E416" s="52"/>
      <c r="F416" s="52"/>
      <c r="G416" s="52"/>
      <c r="H416" s="53"/>
      <c r="I416" s="52"/>
      <c r="J416" s="52"/>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c r="AH416" s="19"/>
      <c r="AI416" s="19"/>
      <c r="AJ416" s="19"/>
      <c r="FM416" s="54"/>
    </row>
    <row r="417" spans="1:169" s="18" customFormat="1">
      <c r="A417" s="51"/>
      <c r="B417" s="52"/>
      <c r="C417" s="52"/>
      <c r="D417" s="52"/>
      <c r="E417" s="52"/>
      <c r="F417" s="52"/>
      <c r="G417" s="52"/>
      <c r="H417" s="53"/>
      <c r="I417" s="52"/>
      <c r="J417" s="52"/>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c r="FM417" s="54"/>
    </row>
    <row r="418" spans="1:169" s="18" customFormat="1">
      <c r="A418" s="51"/>
      <c r="B418" s="52"/>
      <c r="C418" s="52"/>
      <c r="D418" s="52"/>
      <c r="E418" s="52"/>
      <c r="F418" s="52"/>
      <c r="G418" s="52"/>
      <c r="H418" s="53"/>
      <c r="I418" s="52"/>
      <c r="J418" s="52"/>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FM418" s="54"/>
    </row>
    <row r="419" spans="1:169" s="18" customFormat="1">
      <c r="A419" s="51"/>
      <c r="B419" s="52"/>
      <c r="C419" s="52"/>
      <c r="D419" s="52"/>
      <c r="E419" s="52"/>
      <c r="F419" s="52"/>
      <c r="G419" s="52"/>
      <c r="H419" s="53"/>
      <c r="I419" s="52"/>
      <c r="J419" s="52"/>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c r="FM419" s="54"/>
    </row>
    <row r="420" spans="1:169" s="18" customFormat="1">
      <c r="A420" s="51"/>
      <c r="B420" s="52"/>
      <c r="C420" s="52"/>
      <c r="D420" s="52"/>
      <c r="E420" s="52"/>
      <c r="F420" s="52"/>
      <c r="G420" s="52"/>
      <c r="H420" s="53"/>
      <c r="I420" s="52"/>
      <c r="J420" s="52"/>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c r="AH420" s="19"/>
      <c r="AI420" s="19"/>
      <c r="AJ420" s="19"/>
      <c r="FM420" s="54"/>
    </row>
    <row r="421" spans="1:169" s="18" customFormat="1">
      <c r="A421" s="51"/>
      <c r="B421" s="52"/>
      <c r="C421" s="52"/>
      <c r="D421" s="52"/>
      <c r="E421" s="52"/>
      <c r="F421" s="52"/>
      <c r="G421" s="52"/>
      <c r="H421" s="53"/>
      <c r="I421" s="52"/>
      <c r="J421" s="52"/>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FM421" s="54"/>
    </row>
    <row r="422" spans="1:169" s="18" customFormat="1">
      <c r="A422" s="51"/>
      <c r="B422" s="52"/>
      <c r="C422" s="52"/>
      <c r="D422" s="52"/>
      <c r="E422" s="52"/>
      <c r="F422" s="52"/>
      <c r="G422" s="52"/>
      <c r="H422" s="53"/>
      <c r="I422" s="52"/>
      <c r="J422" s="52"/>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FM422" s="54"/>
    </row>
    <row r="423" spans="1:169" s="18" customFormat="1">
      <c r="A423" s="51"/>
      <c r="B423" s="52"/>
      <c r="C423" s="52"/>
      <c r="D423" s="52"/>
      <c r="E423" s="52"/>
      <c r="F423" s="52"/>
      <c r="G423" s="52"/>
      <c r="H423" s="53"/>
      <c r="I423" s="52"/>
      <c r="J423" s="52"/>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c r="AH423" s="19"/>
      <c r="AI423" s="19"/>
      <c r="AJ423" s="19"/>
      <c r="FM423" s="54"/>
    </row>
    <row r="424" spans="1:169" s="18" customFormat="1">
      <c r="A424" s="51"/>
      <c r="B424" s="52"/>
      <c r="C424" s="52"/>
      <c r="D424" s="52"/>
      <c r="E424" s="52"/>
      <c r="F424" s="52"/>
      <c r="G424" s="52"/>
      <c r="H424" s="53"/>
      <c r="I424" s="52"/>
      <c r="J424" s="52"/>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FM424" s="54"/>
    </row>
    <row r="425" spans="1:169" s="18" customFormat="1">
      <c r="A425" s="51"/>
      <c r="B425" s="52"/>
      <c r="C425" s="52"/>
      <c r="D425" s="52"/>
      <c r="E425" s="52"/>
      <c r="F425" s="52"/>
      <c r="G425" s="52"/>
      <c r="H425" s="53"/>
      <c r="I425" s="52"/>
      <c r="J425" s="52"/>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c r="AH425" s="19"/>
      <c r="AI425" s="19"/>
      <c r="AJ425" s="19"/>
      <c r="FM425" s="54"/>
    </row>
    <row r="426" spans="1:169" s="18" customFormat="1">
      <c r="A426" s="51"/>
      <c r="B426" s="52"/>
      <c r="C426" s="52"/>
      <c r="D426" s="52"/>
      <c r="E426" s="52"/>
      <c r="F426" s="52"/>
      <c r="G426" s="52"/>
      <c r="H426" s="53"/>
      <c r="I426" s="52"/>
      <c r="J426" s="52"/>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c r="AH426" s="19"/>
      <c r="AI426" s="19"/>
      <c r="AJ426" s="19"/>
      <c r="FM426" s="54"/>
    </row>
    <row r="427" spans="1:169" s="18" customFormat="1">
      <c r="A427" s="51"/>
      <c r="B427" s="52"/>
      <c r="C427" s="52"/>
      <c r="D427" s="52"/>
      <c r="E427" s="52"/>
      <c r="F427" s="52"/>
      <c r="G427" s="52"/>
      <c r="H427" s="53"/>
      <c r="I427" s="52"/>
      <c r="J427" s="52"/>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c r="FM427" s="54"/>
    </row>
    <row r="428" spans="1:169" s="18" customFormat="1">
      <c r="A428" s="51"/>
      <c r="B428" s="52"/>
      <c r="C428" s="52"/>
      <c r="D428" s="52"/>
      <c r="E428" s="52"/>
      <c r="F428" s="52"/>
      <c r="G428" s="52"/>
      <c r="H428" s="53"/>
      <c r="I428" s="52"/>
      <c r="J428" s="52"/>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c r="AH428" s="19"/>
      <c r="AI428" s="19"/>
      <c r="AJ428" s="19"/>
      <c r="FM428" s="54"/>
    </row>
    <row r="429" spans="1:169" s="18" customFormat="1">
      <c r="A429" s="51"/>
      <c r="B429" s="52"/>
      <c r="C429" s="52"/>
      <c r="D429" s="52"/>
      <c r="E429" s="52"/>
      <c r="F429" s="52"/>
      <c r="G429" s="52"/>
      <c r="H429" s="53"/>
      <c r="I429" s="52"/>
      <c r="J429" s="52"/>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c r="FM429" s="54"/>
    </row>
    <row r="430" spans="1:169" s="18" customFormat="1">
      <c r="A430" s="51"/>
      <c r="B430" s="52"/>
      <c r="C430" s="52"/>
      <c r="D430" s="52"/>
      <c r="E430" s="52"/>
      <c r="F430" s="52"/>
      <c r="G430" s="52"/>
      <c r="H430" s="53"/>
      <c r="I430" s="52"/>
      <c r="J430" s="52"/>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c r="AH430" s="19"/>
      <c r="AI430" s="19"/>
      <c r="AJ430" s="19"/>
      <c r="FM430" s="54"/>
    </row>
    <row r="431" spans="1:169" s="18" customFormat="1">
      <c r="A431" s="51"/>
      <c r="B431" s="52"/>
      <c r="C431" s="52"/>
      <c r="D431" s="52"/>
      <c r="E431" s="52"/>
      <c r="F431" s="52"/>
      <c r="G431" s="52"/>
      <c r="H431" s="53"/>
      <c r="I431" s="52"/>
      <c r="J431" s="52"/>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c r="AH431" s="19"/>
      <c r="AI431" s="19"/>
      <c r="AJ431" s="19"/>
      <c r="FM431" s="54"/>
    </row>
    <row r="432" spans="1:169" s="18" customFormat="1">
      <c r="A432" s="51"/>
      <c r="B432" s="52"/>
      <c r="C432" s="52"/>
      <c r="D432" s="52"/>
      <c r="E432" s="52"/>
      <c r="F432" s="52"/>
      <c r="G432" s="52"/>
      <c r="H432" s="53"/>
      <c r="I432" s="52"/>
      <c r="J432" s="52"/>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c r="AH432" s="19"/>
      <c r="AI432" s="19"/>
      <c r="AJ432" s="19"/>
      <c r="FM432" s="54"/>
    </row>
    <row r="433" spans="1:169" s="18" customFormat="1">
      <c r="A433" s="51"/>
      <c r="B433" s="52"/>
      <c r="C433" s="52"/>
      <c r="D433" s="52"/>
      <c r="E433" s="52"/>
      <c r="F433" s="52"/>
      <c r="G433" s="52"/>
      <c r="H433" s="53"/>
      <c r="I433" s="52"/>
      <c r="J433" s="52"/>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c r="FM433" s="54"/>
    </row>
    <row r="434" spans="1:169" s="18" customFormat="1">
      <c r="A434" s="51"/>
      <c r="B434" s="52"/>
      <c r="C434" s="52"/>
      <c r="D434" s="52"/>
      <c r="E434" s="52"/>
      <c r="F434" s="52"/>
      <c r="G434" s="52"/>
      <c r="H434" s="53"/>
      <c r="I434" s="52"/>
      <c r="J434" s="52"/>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c r="AH434" s="19"/>
      <c r="AI434" s="19"/>
      <c r="AJ434" s="19"/>
      <c r="FM434" s="54"/>
    </row>
    <row r="435" spans="1:169" s="18" customFormat="1">
      <c r="A435" s="51"/>
      <c r="B435" s="52"/>
      <c r="C435" s="52"/>
      <c r="D435" s="52"/>
      <c r="E435" s="52"/>
      <c r="F435" s="52"/>
      <c r="G435" s="52"/>
      <c r="H435" s="53"/>
      <c r="I435" s="52"/>
      <c r="J435" s="52"/>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c r="AH435" s="19"/>
      <c r="AI435" s="19"/>
      <c r="AJ435" s="19"/>
      <c r="FM435" s="54"/>
    </row>
    <row r="436" spans="1:169" s="18" customFormat="1">
      <c r="A436" s="51"/>
      <c r="B436" s="52"/>
      <c r="C436" s="52"/>
      <c r="D436" s="52"/>
      <c r="E436" s="52"/>
      <c r="F436" s="52"/>
      <c r="G436" s="52"/>
      <c r="H436" s="53"/>
      <c r="I436" s="52"/>
      <c r="J436" s="52"/>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c r="AH436" s="19"/>
      <c r="AI436" s="19"/>
      <c r="AJ436" s="19"/>
      <c r="FM436" s="54"/>
    </row>
    <row r="437" spans="1:169" s="18" customFormat="1">
      <c r="A437" s="51"/>
      <c r="B437" s="52"/>
      <c r="C437" s="52"/>
      <c r="D437" s="52"/>
      <c r="E437" s="52"/>
      <c r="F437" s="52"/>
      <c r="G437" s="52"/>
      <c r="H437" s="53"/>
      <c r="I437" s="52"/>
      <c r="J437" s="52"/>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c r="AH437" s="19"/>
      <c r="AI437" s="19"/>
      <c r="AJ437" s="19"/>
      <c r="FM437" s="54"/>
    </row>
    <row r="438" spans="1:169" s="18" customFormat="1">
      <c r="A438" s="51"/>
      <c r="B438" s="52"/>
      <c r="C438" s="52"/>
      <c r="D438" s="52"/>
      <c r="E438" s="52"/>
      <c r="F438" s="52"/>
      <c r="G438" s="52"/>
      <c r="H438" s="53"/>
      <c r="I438" s="52"/>
      <c r="J438" s="52"/>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c r="AH438" s="19"/>
      <c r="AI438" s="19"/>
      <c r="AJ438" s="19"/>
      <c r="FM438" s="54"/>
    </row>
    <row r="439" spans="1:169" s="18" customFormat="1">
      <c r="A439" s="51"/>
      <c r="B439" s="52"/>
      <c r="C439" s="52"/>
      <c r="D439" s="52"/>
      <c r="E439" s="52"/>
      <c r="F439" s="52"/>
      <c r="G439" s="52"/>
      <c r="H439" s="53"/>
      <c r="I439" s="52"/>
      <c r="J439" s="52"/>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c r="FM439" s="54"/>
    </row>
    <row r="440" spans="1:169" s="18" customFormat="1">
      <c r="A440" s="51"/>
      <c r="B440" s="52"/>
      <c r="C440" s="52"/>
      <c r="D440" s="52"/>
      <c r="E440" s="52"/>
      <c r="F440" s="52"/>
      <c r="G440" s="52"/>
      <c r="H440" s="53"/>
      <c r="I440" s="52"/>
      <c r="J440" s="52"/>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c r="AH440" s="19"/>
      <c r="AI440" s="19"/>
      <c r="AJ440" s="19"/>
      <c r="FM440" s="54"/>
    </row>
    <row r="441" spans="1:169" s="18" customFormat="1">
      <c r="A441" s="51"/>
      <c r="B441" s="52"/>
      <c r="C441" s="52"/>
      <c r="D441" s="52"/>
      <c r="E441" s="52"/>
      <c r="F441" s="52"/>
      <c r="G441" s="52"/>
      <c r="H441" s="53"/>
      <c r="I441" s="52"/>
      <c r="J441" s="52"/>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c r="FM441" s="54"/>
    </row>
    <row r="442" spans="1:169" s="18" customFormat="1">
      <c r="A442" s="51"/>
      <c r="B442" s="52"/>
      <c r="C442" s="52"/>
      <c r="D442" s="52"/>
      <c r="E442" s="52"/>
      <c r="F442" s="52"/>
      <c r="G442" s="52"/>
      <c r="H442" s="53"/>
      <c r="I442" s="52"/>
      <c r="J442" s="52"/>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FM442" s="54"/>
    </row>
    <row r="443" spans="1:169" s="18" customFormat="1">
      <c r="A443" s="51"/>
      <c r="B443" s="52"/>
      <c r="C443" s="52"/>
      <c r="D443" s="52"/>
      <c r="E443" s="52"/>
      <c r="F443" s="52"/>
      <c r="G443" s="52"/>
      <c r="H443" s="53"/>
      <c r="I443" s="52"/>
      <c r="J443" s="52"/>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c r="AH443" s="19"/>
      <c r="AI443" s="19"/>
      <c r="AJ443" s="19"/>
      <c r="FM443" s="54"/>
    </row>
    <row r="444" spans="1:169" s="18" customFormat="1">
      <c r="A444" s="51"/>
      <c r="B444" s="52"/>
      <c r="C444" s="52"/>
      <c r="D444" s="52"/>
      <c r="E444" s="52"/>
      <c r="F444" s="52"/>
      <c r="G444" s="52"/>
      <c r="H444" s="53"/>
      <c r="I444" s="52"/>
      <c r="J444" s="52"/>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c r="FM444" s="54"/>
    </row>
    <row r="445" spans="1:169" s="18" customFormat="1">
      <c r="A445" s="51"/>
      <c r="B445" s="52"/>
      <c r="C445" s="52"/>
      <c r="D445" s="52"/>
      <c r="E445" s="52"/>
      <c r="F445" s="52"/>
      <c r="G445" s="52"/>
      <c r="H445" s="53"/>
      <c r="I445" s="52"/>
      <c r="J445" s="52"/>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FM445" s="54"/>
    </row>
    <row r="446" spans="1:169" s="18" customFormat="1">
      <c r="A446" s="51"/>
      <c r="B446" s="52"/>
      <c r="C446" s="52"/>
      <c r="D446" s="52"/>
      <c r="E446" s="52"/>
      <c r="F446" s="52"/>
      <c r="G446" s="52"/>
      <c r="H446" s="53"/>
      <c r="I446" s="52"/>
      <c r="J446" s="52"/>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FM446" s="54"/>
    </row>
    <row r="447" spans="1:169" s="18" customFormat="1">
      <c r="A447" s="51"/>
      <c r="B447" s="52"/>
      <c r="C447" s="52"/>
      <c r="D447" s="52"/>
      <c r="E447" s="52"/>
      <c r="F447" s="52"/>
      <c r="G447" s="52"/>
      <c r="H447" s="53"/>
      <c r="I447" s="52"/>
      <c r="J447" s="52"/>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c r="FM447" s="54"/>
    </row>
    <row r="448" spans="1:169" s="18" customFormat="1">
      <c r="A448" s="51"/>
      <c r="B448" s="52"/>
      <c r="C448" s="52"/>
      <c r="D448" s="52"/>
      <c r="E448" s="52"/>
      <c r="F448" s="52"/>
      <c r="G448" s="52"/>
      <c r="H448" s="53"/>
      <c r="I448" s="52"/>
      <c r="J448" s="52"/>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c r="AH448" s="19"/>
      <c r="AI448" s="19"/>
      <c r="AJ448" s="19"/>
      <c r="FM448" s="54"/>
    </row>
    <row r="449" spans="1:169" s="18" customFormat="1">
      <c r="A449" s="51"/>
      <c r="B449" s="52"/>
      <c r="C449" s="52"/>
      <c r="D449" s="52"/>
      <c r="E449" s="52"/>
      <c r="F449" s="52"/>
      <c r="G449" s="52"/>
      <c r="H449" s="53"/>
      <c r="I449" s="52"/>
      <c r="J449" s="52"/>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c r="AH449" s="19"/>
      <c r="AI449" s="19"/>
      <c r="AJ449" s="19"/>
      <c r="FM449" s="54"/>
    </row>
    <row r="450" spans="1:169" s="18" customFormat="1">
      <c r="A450" s="51"/>
      <c r="B450" s="52"/>
      <c r="C450" s="52"/>
      <c r="D450" s="52"/>
      <c r="E450" s="52"/>
      <c r="F450" s="52"/>
      <c r="G450" s="52"/>
      <c r="H450" s="53"/>
      <c r="I450" s="52"/>
      <c r="J450" s="52"/>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c r="AH450" s="19"/>
      <c r="AI450" s="19"/>
      <c r="AJ450" s="19"/>
      <c r="FM450" s="54"/>
    </row>
    <row r="451" spans="1:169" s="18" customFormat="1">
      <c r="A451" s="51"/>
      <c r="B451" s="52"/>
      <c r="C451" s="52"/>
      <c r="D451" s="52"/>
      <c r="E451" s="52"/>
      <c r="F451" s="52"/>
      <c r="G451" s="52"/>
      <c r="H451" s="53"/>
      <c r="I451" s="52"/>
      <c r="J451" s="52"/>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c r="FM451" s="54"/>
    </row>
    <row r="452" spans="1:169" s="18" customFormat="1">
      <c r="A452" s="51"/>
      <c r="B452" s="52"/>
      <c r="C452" s="52"/>
      <c r="D452" s="52"/>
      <c r="E452" s="52"/>
      <c r="F452" s="52"/>
      <c r="G452" s="52"/>
      <c r="H452" s="53"/>
      <c r="I452" s="52"/>
      <c r="J452" s="52"/>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c r="FM452" s="54"/>
    </row>
    <row r="453" spans="1:169" s="18" customFormat="1">
      <c r="A453" s="51"/>
      <c r="B453" s="52"/>
      <c r="C453" s="52"/>
      <c r="D453" s="52"/>
      <c r="E453" s="52"/>
      <c r="F453" s="52"/>
      <c r="G453" s="52"/>
      <c r="H453" s="53"/>
      <c r="I453" s="52"/>
      <c r="J453" s="52"/>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c r="FM453" s="54"/>
    </row>
    <row r="454" spans="1:169" s="18" customFormat="1">
      <c r="A454" s="51"/>
      <c r="B454" s="52"/>
      <c r="C454" s="52"/>
      <c r="D454" s="52"/>
      <c r="E454" s="52"/>
      <c r="F454" s="52"/>
      <c r="G454" s="52"/>
      <c r="H454" s="53"/>
      <c r="I454" s="52"/>
      <c r="J454" s="52"/>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c r="AH454" s="19"/>
      <c r="AI454" s="19"/>
      <c r="AJ454" s="19"/>
      <c r="FM454" s="54"/>
    </row>
    <row r="455" spans="1:169" s="18" customFormat="1">
      <c r="A455" s="51"/>
      <c r="B455" s="52"/>
      <c r="C455" s="52"/>
      <c r="D455" s="52"/>
      <c r="E455" s="52"/>
      <c r="F455" s="52"/>
      <c r="G455" s="52"/>
      <c r="H455" s="53"/>
      <c r="I455" s="52"/>
      <c r="J455" s="52"/>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c r="AH455" s="19"/>
      <c r="AI455" s="19"/>
      <c r="AJ455" s="19"/>
      <c r="FM455" s="54"/>
    </row>
    <row r="456" spans="1:169" s="18" customFormat="1">
      <c r="A456" s="51"/>
      <c r="B456" s="52"/>
      <c r="C456" s="52"/>
      <c r="D456" s="52"/>
      <c r="E456" s="52"/>
      <c r="F456" s="52"/>
      <c r="G456" s="52"/>
      <c r="H456" s="53"/>
      <c r="I456" s="52"/>
      <c r="J456" s="52"/>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c r="AH456" s="19"/>
      <c r="AI456" s="19"/>
      <c r="AJ456" s="19"/>
      <c r="FM456" s="54"/>
    </row>
    <row r="457" spans="1:169" s="18" customFormat="1">
      <c r="A457" s="51"/>
      <c r="B457" s="52"/>
      <c r="C457" s="52"/>
      <c r="D457" s="52"/>
      <c r="E457" s="52"/>
      <c r="F457" s="52"/>
      <c r="G457" s="52"/>
      <c r="H457" s="53"/>
      <c r="I457" s="52"/>
      <c r="J457" s="52"/>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c r="AH457" s="19"/>
      <c r="AI457" s="19"/>
      <c r="AJ457" s="19"/>
      <c r="FM457" s="54"/>
    </row>
    <row r="458" spans="1:169" s="18" customFormat="1">
      <c r="A458" s="51"/>
      <c r="B458" s="52"/>
      <c r="C458" s="52"/>
      <c r="D458" s="52"/>
      <c r="E458" s="52"/>
      <c r="F458" s="52"/>
      <c r="G458" s="52"/>
      <c r="H458" s="53"/>
      <c r="I458" s="52"/>
      <c r="J458" s="52"/>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c r="AH458" s="19"/>
      <c r="AI458" s="19"/>
      <c r="AJ458" s="19"/>
      <c r="FM458" s="54"/>
    </row>
    <row r="459" spans="1:169" s="18" customFormat="1">
      <c r="A459" s="51"/>
      <c r="B459" s="52"/>
      <c r="C459" s="52"/>
      <c r="D459" s="52"/>
      <c r="E459" s="52"/>
      <c r="F459" s="52"/>
      <c r="G459" s="52"/>
      <c r="H459" s="53"/>
      <c r="I459" s="52"/>
      <c r="J459" s="52"/>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c r="AH459" s="19"/>
      <c r="AI459" s="19"/>
      <c r="AJ459" s="19"/>
      <c r="FM459" s="54"/>
    </row>
    <row r="460" spans="1:169" s="18" customFormat="1">
      <c r="A460" s="51"/>
      <c r="B460" s="52"/>
      <c r="C460" s="52"/>
      <c r="D460" s="52"/>
      <c r="E460" s="52"/>
      <c r="F460" s="52"/>
      <c r="G460" s="52"/>
      <c r="H460" s="53"/>
      <c r="I460" s="52"/>
      <c r="J460" s="52"/>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c r="AH460" s="19"/>
      <c r="AI460" s="19"/>
      <c r="AJ460" s="19"/>
      <c r="FM460" s="54"/>
    </row>
    <row r="461" spans="1:169" s="18" customFormat="1">
      <c r="A461" s="51"/>
      <c r="B461" s="52"/>
      <c r="C461" s="52"/>
      <c r="D461" s="52"/>
      <c r="E461" s="52"/>
      <c r="F461" s="52"/>
      <c r="G461" s="52"/>
      <c r="H461" s="53"/>
      <c r="I461" s="52"/>
      <c r="J461" s="52"/>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c r="AH461" s="19"/>
      <c r="AI461" s="19"/>
      <c r="AJ461" s="19"/>
      <c r="FM461" s="54"/>
    </row>
    <row r="462" spans="1:169" s="18" customFormat="1">
      <c r="A462" s="51"/>
      <c r="B462" s="52"/>
      <c r="C462" s="52"/>
      <c r="D462" s="52"/>
      <c r="E462" s="52"/>
      <c r="F462" s="52"/>
      <c r="G462" s="52"/>
      <c r="H462" s="53"/>
      <c r="I462" s="52"/>
      <c r="J462" s="52"/>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c r="AH462" s="19"/>
      <c r="AI462" s="19"/>
      <c r="AJ462" s="19"/>
      <c r="FM462" s="54"/>
    </row>
    <row r="463" spans="1:169" s="18" customFormat="1">
      <c r="A463" s="51"/>
      <c r="B463" s="52"/>
      <c r="C463" s="52"/>
      <c r="D463" s="52"/>
      <c r="E463" s="52"/>
      <c r="F463" s="52"/>
      <c r="G463" s="52"/>
      <c r="H463" s="53"/>
      <c r="I463" s="52"/>
      <c r="J463" s="52"/>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c r="AH463" s="19"/>
      <c r="AI463" s="19"/>
      <c r="AJ463" s="19"/>
      <c r="FM463" s="54"/>
    </row>
    <row r="464" spans="1:169" s="18" customFormat="1">
      <c r="A464" s="51"/>
      <c r="B464" s="52"/>
      <c r="C464" s="52"/>
      <c r="D464" s="52"/>
      <c r="E464" s="52"/>
      <c r="F464" s="52"/>
      <c r="G464" s="52"/>
      <c r="H464" s="53"/>
      <c r="I464" s="52"/>
      <c r="J464" s="52"/>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c r="AH464" s="19"/>
      <c r="AI464" s="19"/>
      <c r="AJ464" s="19"/>
      <c r="FM464" s="54"/>
    </row>
    <row r="465" spans="1:169" s="18" customFormat="1">
      <c r="A465" s="51"/>
      <c r="B465" s="52"/>
      <c r="C465" s="52"/>
      <c r="D465" s="52"/>
      <c r="E465" s="52"/>
      <c r="F465" s="52"/>
      <c r="G465" s="52"/>
      <c r="H465" s="53"/>
      <c r="I465" s="52"/>
      <c r="J465" s="52"/>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c r="AH465" s="19"/>
      <c r="AI465" s="19"/>
      <c r="AJ465" s="19"/>
      <c r="FM465" s="54"/>
    </row>
    <row r="466" spans="1:169" s="18" customFormat="1">
      <c r="A466" s="51"/>
      <c r="B466" s="52"/>
      <c r="C466" s="52"/>
      <c r="D466" s="52"/>
      <c r="E466" s="52"/>
      <c r="F466" s="52"/>
      <c r="G466" s="52"/>
      <c r="H466" s="53"/>
      <c r="I466" s="52"/>
      <c r="J466" s="52"/>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c r="AH466" s="19"/>
      <c r="AI466" s="19"/>
      <c r="AJ466" s="19"/>
      <c r="FM466" s="54"/>
    </row>
    <row r="467" spans="1:169" s="18" customFormat="1">
      <c r="A467" s="51"/>
      <c r="B467" s="52"/>
      <c r="C467" s="52"/>
      <c r="D467" s="52"/>
      <c r="E467" s="52"/>
      <c r="F467" s="52"/>
      <c r="G467" s="52"/>
      <c r="H467" s="53"/>
      <c r="I467" s="52"/>
      <c r="J467" s="52"/>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c r="AH467" s="19"/>
      <c r="AI467" s="19"/>
      <c r="AJ467" s="19"/>
      <c r="FM467" s="54"/>
    </row>
    <row r="468" spans="1:169" s="18" customFormat="1">
      <c r="A468" s="51"/>
      <c r="B468" s="52"/>
      <c r="C468" s="52"/>
      <c r="D468" s="52"/>
      <c r="E468" s="52"/>
      <c r="F468" s="52"/>
      <c r="G468" s="52"/>
      <c r="H468" s="53"/>
      <c r="I468" s="52"/>
      <c r="J468" s="52"/>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c r="AH468" s="19"/>
      <c r="AI468" s="19"/>
      <c r="AJ468" s="19"/>
      <c r="FM468" s="54"/>
    </row>
    <row r="469" spans="1:169" s="18" customFormat="1">
      <c r="A469" s="51"/>
      <c r="B469" s="52"/>
      <c r="C469" s="52"/>
      <c r="D469" s="52"/>
      <c r="E469" s="52"/>
      <c r="F469" s="52"/>
      <c r="G469" s="52"/>
      <c r="H469" s="53"/>
      <c r="I469" s="52"/>
      <c r="J469" s="52"/>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c r="AH469" s="19"/>
      <c r="AI469" s="19"/>
      <c r="AJ469" s="19"/>
      <c r="FM469" s="54"/>
    </row>
    <row r="470" spans="1:169" s="18" customFormat="1">
      <c r="A470" s="51"/>
      <c r="B470" s="52"/>
      <c r="C470" s="52"/>
      <c r="D470" s="52"/>
      <c r="E470" s="52"/>
      <c r="F470" s="52"/>
      <c r="G470" s="52"/>
      <c r="H470" s="53"/>
      <c r="I470" s="52"/>
      <c r="J470" s="52"/>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FM470" s="54"/>
    </row>
    <row r="471" spans="1:169" s="18" customFormat="1">
      <c r="A471" s="51"/>
      <c r="B471" s="52"/>
      <c r="C471" s="52"/>
      <c r="D471" s="52"/>
      <c r="E471" s="52"/>
      <c r="F471" s="52"/>
      <c r="G471" s="52"/>
      <c r="H471" s="53"/>
      <c r="I471" s="52"/>
      <c r="J471" s="52"/>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c r="FM471" s="54"/>
    </row>
    <row r="472" spans="1:169" s="18" customFormat="1">
      <c r="A472" s="51"/>
      <c r="B472" s="52"/>
      <c r="C472" s="52"/>
      <c r="D472" s="52"/>
      <c r="E472" s="52"/>
      <c r="F472" s="52"/>
      <c r="G472" s="52"/>
      <c r="H472" s="53"/>
      <c r="I472" s="52"/>
      <c r="J472" s="52"/>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c r="AH472" s="19"/>
      <c r="AI472" s="19"/>
      <c r="AJ472" s="19"/>
      <c r="FM472" s="54"/>
    </row>
    <row r="473" spans="1:169" s="18" customFormat="1">
      <c r="A473" s="51"/>
      <c r="B473" s="52"/>
      <c r="C473" s="52"/>
      <c r="D473" s="52"/>
      <c r="E473" s="52"/>
      <c r="F473" s="52"/>
      <c r="G473" s="52"/>
      <c r="H473" s="53"/>
      <c r="I473" s="52"/>
      <c r="J473" s="52"/>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c r="AH473" s="19"/>
      <c r="AI473" s="19"/>
      <c r="AJ473" s="19"/>
      <c r="FM473" s="54"/>
    </row>
    <row r="474" spans="1:169" s="18" customFormat="1">
      <c r="A474" s="51"/>
      <c r="B474" s="52"/>
      <c r="C474" s="52"/>
      <c r="D474" s="52"/>
      <c r="E474" s="52"/>
      <c r="F474" s="52"/>
      <c r="G474" s="52"/>
      <c r="H474" s="53"/>
      <c r="I474" s="52"/>
      <c r="J474" s="52"/>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c r="AH474" s="19"/>
      <c r="AI474" s="19"/>
      <c r="AJ474" s="19"/>
      <c r="FM474" s="54"/>
    </row>
    <row r="475" spans="1:169" s="18" customFormat="1">
      <c r="A475" s="51"/>
      <c r="B475" s="52"/>
      <c r="C475" s="52"/>
      <c r="D475" s="52"/>
      <c r="E475" s="52"/>
      <c r="F475" s="52"/>
      <c r="G475" s="52"/>
      <c r="H475" s="53"/>
      <c r="I475" s="52"/>
      <c r="J475" s="52"/>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c r="AH475" s="19"/>
      <c r="AI475" s="19"/>
      <c r="AJ475" s="19"/>
      <c r="FM475" s="54"/>
    </row>
    <row r="476" spans="1:169" s="18" customFormat="1">
      <c r="A476" s="51"/>
      <c r="B476" s="52"/>
      <c r="C476" s="52"/>
      <c r="D476" s="52"/>
      <c r="E476" s="52"/>
      <c r="F476" s="52"/>
      <c r="G476" s="52"/>
      <c r="H476" s="53"/>
      <c r="I476" s="52"/>
      <c r="J476" s="52"/>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c r="AH476" s="19"/>
      <c r="AI476" s="19"/>
      <c r="AJ476" s="19"/>
      <c r="FM476" s="54"/>
    </row>
    <row r="477" spans="1:169" s="18" customFormat="1">
      <c r="A477" s="51"/>
      <c r="B477" s="52"/>
      <c r="C477" s="52"/>
      <c r="D477" s="52"/>
      <c r="E477" s="52"/>
      <c r="F477" s="52"/>
      <c r="G477" s="52"/>
      <c r="H477" s="53"/>
      <c r="I477" s="52"/>
      <c r="J477" s="52"/>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c r="AH477" s="19"/>
      <c r="AI477" s="19"/>
      <c r="AJ477" s="19"/>
      <c r="FM477" s="54"/>
    </row>
    <row r="478" spans="1:169" s="18" customFormat="1">
      <c r="A478" s="51"/>
      <c r="B478" s="52"/>
      <c r="C478" s="52"/>
      <c r="D478" s="52"/>
      <c r="E478" s="52"/>
      <c r="F478" s="52"/>
      <c r="G478" s="52"/>
      <c r="H478" s="53"/>
      <c r="I478" s="52"/>
      <c r="J478" s="52"/>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c r="AH478" s="19"/>
      <c r="AI478" s="19"/>
      <c r="AJ478" s="19"/>
      <c r="FM478" s="54"/>
    </row>
    <row r="479" spans="1:169" s="18" customFormat="1">
      <c r="A479" s="51"/>
      <c r="B479" s="52"/>
      <c r="C479" s="52"/>
      <c r="D479" s="52"/>
      <c r="E479" s="52"/>
      <c r="F479" s="52"/>
      <c r="G479" s="52"/>
      <c r="H479" s="53"/>
      <c r="I479" s="52"/>
      <c r="J479" s="52"/>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c r="AH479" s="19"/>
      <c r="AI479" s="19"/>
      <c r="AJ479" s="19"/>
      <c r="FM479" s="54"/>
    </row>
    <row r="480" spans="1:169" s="18" customFormat="1">
      <c r="A480" s="51"/>
      <c r="B480" s="52"/>
      <c r="C480" s="52"/>
      <c r="D480" s="52"/>
      <c r="E480" s="52"/>
      <c r="F480" s="52"/>
      <c r="G480" s="52"/>
      <c r="H480" s="53"/>
      <c r="I480" s="52"/>
      <c r="J480" s="52"/>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c r="AH480" s="19"/>
      <c r="AI480" s="19"/>
      <c r="AJ480" s="19"/>
      <c r="FM480" s="54"/>
    </row>
    <row r="481" spans="1:169" s="18" customFormat="1">
      <c r="A481" s="51"/>
      <c r="B481" s="52"/>
      <c r="C481" s="52"/>
      <c r="D481" s="52"/>
      <c r="E481" s="52"/>
      <c r="F481" s="52"/>
      <c r="G481" s="52"/>
      <c r="H481" s="53"/>
      <c r="I481" s="52"/>
      <c r="J481" s="52"/>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c r="AH481" s="19"/>
      <c r="AI481" s="19"/>
      <c r="AJ481" s="19"/>
      <c r="FM481" s="54"/>
    </row>
    <row r="482" spans="1:169" s="18" customFormat="1">
      <c r="A482" s="51"/>
      <c r="B482" s="52"/>
      <c r="C482" s="52"/>
      <c r="D482" s="52"/>
      <c r="E482" s="52"/>
      <c r="F482" s="52"/>
      <c r="G482" s="52"/>
      <c r="H482" s="53"/>
      <c r="I482" s="52"/>
      <c r="J482" s="52"/>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c r="AH482" s="19"/>
      <c r="AI482" s="19"/>
      <c r="AJ482" s="19"/>
      <c r="FM482" s="54"/>
    </row>
    <row r="483" spans="1:169" s="18" customFormat="1">
      <c r="A483" s="51"/>
      <c r="B483" s="52"/>
      <c r="C483" s="52"/>
      <c r="D483" s="52"/>
      <c r="E483" s="52"/>
      <c r="F483" s="52"/>
      <c r="G483" s="52"/>
      <c r="H483" s="53"/>
      <c r="I483" s="52"/>
      <c r="J483" s="52"/>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c r="AH483" s="19"/>
      <c r="AI483" s="19"/>
      <c r="AJ483" s="19"/>
      <c r="FM483" s="54"/>
    </row>
    <row r="484" spans="1:169" s="18" customFormat="1">
      <c r="A484" s="51"/>
      <c r="B484" s="52"/>
      <c r="C484" s="52"/>
      <c r="D484" s="52"/>
      <c r="E484" s="52"/>
      <c r="F484" s="52"/>
      <c r="G484" s="52"/>
      <c r="H484" s="53"/>
      <c r="I484" s="52"/>
      <c r="J484" s="52"/>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c r="AH484" s="19"/>
      <c r="AI484" s="19"/>
      <c r="AJ484" s="19"/>
      <c r="FM484" s="54"/>
    </row>
    <row r="485" spans="1:169" s="18" customFormat="1">
      <c r="A485" s="51"/>
      <c r="B485" s="52"/>
      <c r="C485" s="52"/>
      <c r="D485" s="52"/>
      <c r="E485" s="52"/>
      <c r="F485" s="52"/>
      <c r="G485" s="52"/>
      <c r="H485" s="53"/>
      <c r="I485" s="52"/>
      <c r="J485" s="52"/>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c r="AH485" s="19"/>
      <c r="AI485" s="19"/>
      <c r="AJ485" s="19"/>
      <c r="FM485" s="54"/>
    </row>
    <row r="486" spans="1:169" s="18" customFormat="1">
      <c r="A486" s="51"/>
      <c r="B486" s="52"/>
      <c r="C486" s="52"/>
      <c r="D486" s="52"/>
      <c r="E486" s="52"/>
      <c r="F486" s="52"/>
      <c r="G486" s="52"/>
      <c r="H486" s="53"/>
      <c r="I486" s="52"/>
      <c r="J486" s="52"/>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c r="AH486" s="19"/>
      <c r="AI486" s="19"/>
      <c r="AJ486" s="19"/>
      <c r="FM486" s="54"/>
    </row>
    <row r="487" spans="1:169" s="18" customFormat="1">
      <c r="A487" s="51"/>
      <c r="B487" s="52"/>
      <c r="C487" s="52"/>
      <c r="D487" s="52"/>
      <c r="E487" s="52"/>
      <c r="F487" s="52"/>
      <c r="G487" s="52"/>
      <c r="H487" s="53"/>
      <c r="I487" s="52"/>
      <c r="J487" s="52"/>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c r="AH487" s="19"/>
      <c r="AI487" s="19"/>
      <c r="AJ487" s="19"/>
      <c r="FM487" s="54"/>
    </row>
    <row r="488" spans="1:169" s="18" customFormat="1">
      <c r="A488" s="51"/>
      <c r="B488" s="52"/>
      <c r="C488" s="52"/>
      <c r="D488" s="52"/>
      <c r="E488" s="52"/>
      <c r="F488" s="52"/>
      <c r="G488" s="52"/>
      <c r="H488" s="53"/>
      <c r="I488" s="52"/>
      <c r="J488" s="52"/>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c r="AH488" s="19"/>
      <c r="AI488" s="19"/>
      <c r="AJ488" s="19"/>
      <c r="FM488" s="54"/>
    </row>
    <row r="489" spans="1:169" s="18" customFormat="1">
      <c r="A489" s="51"/>
      <c r="B489" s="52"/>
      <c r="C489" s="52"/>
      <c r="D489" s="52"/>
      <c r="E489" s="52"/>
      <c r="F489" s="52"/>
      <c r="G489" s="52"/>
      <c r="H489" s="53"/>
      <c r="I489" s="52"/>
      <c r="J489" s="52"/>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c r="AH489" s="19"/>
      <c r="AI489" s="19"/>
      <c r="AJ489" s="19"/>
      <c r="FM489" s="54"/>
    </row>
    <row r="490" spans="1:169" s="18" customFormat="1">
      <c r="A490" s="51"/>
      <c r="B490" s="52"/>
      <c r="C490" s="52"/>
      <c r="D490" s="52"/>
      <c r="E490" s="52"/>
      <c r="F490" s="52"/>
      <c r="G490" s="52"/>
      <c r="H490" s="53"/>
      <c r="I490" s="52"/>
      <c r="J490" s="52"/>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c r="AH490" s="19"/>
      <c r="AI490" s="19"/>
      <c r="AJ490" s="19"/>
      <c r="FM490" s="54"/>
    </row>
    <row r="491" spans="1:169" s="18" customFormat="1">
      <c r="A491" s="51"/>
      <c r="B491" s="52"/>
      <c r="C491" s="52"/>
      <c r="D491" s="52"/>
      <c r="E491" s="52"/>
      <c r="F491" s="52"/>
      <c r="G491" s="52"/>
      <c r="H491" s="53"/>
      <c r="I491" s="52"/>
      <c r="J491" s="52"/>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c r="AH491" s="19"/>
      <c r="AI491" s="19"/>
      <c r="AJ491" s="19"/>
      <c r="FM491" s="54"/>
    </row>
    <row r="492" spans="1:169" s="18" customFormat="1">
      <c r="A492" s="51"/>
      <c r="B492" s="52"/>
      <c r="C492" s="52"/>
      <c r="D492" s="52"/>
      <c r="E492" s="52"/>
      <c r="F492" s="52"/>
      <c r="G492" s="52"/>
      <c r="H492" s="53"/>
      <c r="I492" s="52"/>
      <c r="J492" s="52"/>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c r="AH492" s="19"/>
      <c r="AI492" s="19"/>
      <c r="AJ492" s="19"/>
      <c r="FM492" s="54"/>
    </row>
    <row r="493" spans="1:169" s="18" customFormat="1">
      <c r="A493" s="51"/>
      <c r="B493" s="52"/>
      <c r="C493" s="52"/>
      <c r="D493" s="52"/>
      <c r="E493" s="52"/>
      <c r="F493" s="52"/>
      <c r="G493" s="52"/>
      <c r="H493" s="53"/>
      <c r="I493" s="52"/>
      <c r="J493" s="52"/>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c r="AH493" s="19"/>
      <c r="AI493" s="19"/>
      <c r="AJ493" s="19"/>
      <c r="FM493" s="54"/>
    </row>
    <row r="494" spans="1:169" s="18" customFormat="1">
      <c r="A494" s="51"/>
      <c r="B494" s="52"/>
      <c r="C494" s="52"/>
      <c r="D494" s="52"/>
      <c r="E494" s="52"/>
      <c r="F494" s="52"/>
      <c r="G494" s="52"/>
      <c r="H494" s="53"/>
      <c r="I494" s="52"/>
      <c r="J494" s="52"/>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c r="AH494" s="19"/>
      <c r="AI494" s="19"/>
      <c r="AJ494" s="19"/>
      <c r="FM494" s="54"/>
    </row>
    <row r="495" spans="1:169" s="18" customFormat="1">
      <c r="A495" s="51"/>
      <c r="B495" s="52"/>
      <c r="C495" s="52"/>
      <c r="D495" s="52"/>
      <c r="E495" s="52"/>
      <c r="F495" s="52"/>
      <c r="G495" s="52"/>
      <c r="H495" s="53"/>
      <c r="I495" s="52"/>
      <c r="J495" s="52"/>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c r="AH495" s="19"/>
      <c r="AI495" s="19"/>
      <c r="AJ495" s="19"/>
      <c r="FM495" s="54"/>
    </row>
    <row r="496" spans="1:169" s="18" customFormat="1">
      <c r="A496" s="51"/>
      <c r="B496" s="52"/>
      <c r="C496" s="52"/>
      <c r="D496" s="52"/>
      <c r="E496" s="52"/>
      <c r="F496" s="52"/>
      <c r="G496" s="52"/>
      <c r="H496" s="53"/>
      <c r="I496" s="52"/>
      <c r="J496" s="52"/>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c r="AH496" s="19"/>
      <c r="AI496" s="19"/>
      <c r="AJ496" s="19"/>
      <c r="FM496" s="54"/>
    </row>
    <row r="497" spans="1:169" s="18" customFormat="1">
      <c r="A497" s="51"/>
      <c r="B497" s="52"/>
      <c r="C497" s="52"/>
      <c r="D497" s="52"/>
      <c r="E497" s="52"/>
      <c r="F497" s="52"/>
      <c r="G497" s="52"/>
      <c r="H497" s="53"/>
      <c r="I497" s="52"/>
      <c r="J497" s="52"/>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c r="AH497" s="19"/>
      <c r="AI497" s="19"/>
      <c r="AJ497" s="19"/>
      <c r="FM497" s="54"/>
    </row>
    <row r="498" spans="1:169" s="18" customFormat="1">
      <c r="A498" s="51"/>
      <c r="B498" s="52"/>
      <c r="C498" s="52"/>
      <c r="D498" s="52"/>
      <c r="E498" s="52"/>
      <c r="F498" s="52"/>
      <c r="G498" s="52"/>
      <c r="H498" s="53"/>
      <c r="I498" s="52"/>
      <c r="J498" s="52"/>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c r="AH498" s="19"/>
      <c r="AI498" s="19"/>
      <c r="AJ498" s="19"/>
      <c r="FM498" s="54"/>
    </row>
    <row r="499" spans="1:169" s="18" customFormat="1">
      <c r="A499" s="51"/>
      <c r="B499" s="52"/>
      <c r="C499" s="52"/>
      <c r="D499" s="52"/>
      <c r="E499" s="52"/>
      <c r="F499" s="52"/>
      <c r="G499" s="52"/>
      <c r="H499" s="53"/>
      <c r="I499" s="52"/>
      <c r="J499" s="52"/>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c r="AH499" s="19"/>
      <c r="AI499" s="19"/>
      <c r="AJ499" s="19"/>
      <c r="FM499" s="54"/>
    </row>
    <row r="500" spans="1:169" s="18" customFormat="1">
      <c r="A500" s="51"/>
      <c r="B500" s="52"/>
      <c r="C500" s="52"/>
      <c r="D500" s="52"/>
      <c r="E500" s="52"/>
      <c r="F500" s="52"/>
      <c r="G500" s="52"/>
      <c r="H500" s="53"/>
      <c r="I500" s="52"/>
      <c r="J500" s="52"/>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c r="AH500" s="19"/>
      <c r="AI500" s="19"/>
      <c r="AJ500" s="19"/>
      <c r="FM500" s="54"/>
    </row>
    <row r="501" spans="1:169" s="18" customFormat="1">
      <c r="A501" s="51"/>
      <c r="B501" s="52"/>
      <c r="C501" s="52"/>
      <c r="D501" s="52"/>
      <c r="E501" s="52"/>
      <c r="F501" s="52"/>
      <c r="G501" s="52"/>
      <c r="H501" s="53"/>
      <c r="I501" s="52"/>
      <c r="J501" s="52"/>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c r="AH501" s="19"/>
      <c r="AI501" s="19"/>
      <c r="AJ501" s="19"/>
      <c r="FM501" s="54"/>
    </row>
    <row r="502" spans="1:169" s="18" customFormat="1">
      <c r="A502" s="51"/>
      <c r="B502" s="52"/>
      <c r="C502" s="52"/>
      <c r="D502" s="52"/>
      <c r="E502" s="52"/>
      <c r="F502" s="52"/>
      <c r="G502" s="52"/>
      <c r="H502" s="53"/>
      <c r="I502" s="52"/>
      <c r="J502" s="52"/>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c r="AH502" s="19"/>
      <c r="AI502" s="19"/>
      <c r="AJ502" s="19"/>
      <c r="FM502" s="54"/>
    </row>
    <row r="503" spans="1:169" s="18" customFormat="1">
      <c r="A503" s="51"/>
      <c r="B503" s="52"/>
      <c r="C503" s="52"/>
      <c r="D503" s="52"/>
      <c r="E503" s="52"/>
      <c r="F503" s="52"/>
      <c r="G503" s="52"/>
      <c r="H503" s="53"/>
      <c r="I503" s="52"/>
      <c r="J503" s="52"/>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c r="AH503" s="19"/>
      <c r="AI503" s="19"/>
      <c r="AJ503" s="19"/>
      <c r="FM503" s="54"/>
    </row>
    <row r="504" spans="1:169" s="18" customFormat="1">
      <c r="A504" s="51"/>
      <c r="B504" s="52"/>
      <c r="C504" s="52"/>
      <c r="D504" s="52"/>
      <c r="E504" s="52"/>
      <c r="F504" s="52"/>
      <c r="G504" s="52"/>
      <c r="H504" s="53"/>
      <c r="I504" s="52"/>
      <c r="J504" s="52"/>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c r="AH504" s="19"/>
      <c r="AI504" s="19"/>
      <c r="AJ504" s="19"/>
      <c r="FM504" s="54"/>
    </row>
    <row r="505" spans="1:169" s="18" customFormat="1">
      <c r="A505" s="51"/>
      <c r="B505" s="52"/>
      <c r="C505" s="52"/>
      <c r="D505" s="52"/>
      <c r="E505" s="52"/>
      <c r="F505" s="52"/>
      <c r="G505" s="52"/>
      <c r="H505" s="53"/>
      <c r="I505" s="52"/>
      <c r="J505" s="52"/>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c r="AH505" s="19"/>
      <c r="AI505" s="19"/>
      <c r="AJ505" s="19"/>
      <c r="FM505" s="54"/>
    </row>
    <row r="506" spans="1:169" s="18" customFormat="1">
      <c r="A506" s="51"/>
      <c r="B506" s="52"/>
      <c r="C506" s="52"/>
      <c r="D506" s="52"/>
      <c r="E506" s="52"/>
      <c r="F506" s="52"/>
      <c r="G506" s="52"/>
      <c r="H506" s="53"/>
      <c r="I506" s="52"/>
      <c r="J506" s="52"/>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c r="AH506" s="19"/>
      <c r="AI506" s="19"/>
      <c r="AJ506" s="19"/>
      <c r="FM506" s="54"/>
    </row>
    <row r="507" spans="1:169" s="18" customFormat="1">
      <c r="A507" s="51"/>
      <c r="B507" s="52"/>
      <c r="C507" s="52"/>
      <c r="D507" s="52"/>
      <c r="E507" s="52"/>
      <c r="F507" s="52"/>
      <c r="G507" s="52"/>
      <c r="H507" s="53"/>
      <c r="I507" s="52"/>
      <c r="J507" s="52"/>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c r="AH507" s="19"/>
      <c r="AI507" s="19"/>
      <c r="AJ507" s="19"/>
      <c r="FM507" s="54"/>
    </row>
    <row r="508" spans="1:169" s="18" customFormat="1">
      <c r="A508" s="51"/>
      <c r="B508" s="52"/>
      <c r="C508" s="52"/>
      <c r="D508" s="52"/>
      <c r="E508" s="52"/>
      <c r="F508" s="52"/>
      <c r="G508" s="52"/>
      <c r="H508" s="53"/>
      <c r="I508" s="52"/>
      <c r="J508" s="52"/>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c r="AH508" s="19"/>
      <c r="AI508" s="19"/>
      <c r="AJ508" s="19"/>
      <c r="FM508" s="54"/>
    </row>
    <row r="509" spans="1:169" s="18" customFormat="1">
      <c r="A509" s="51"/>
      <c r="B509" s="52"/>
      <c r="C509" s="52"/>
      <c r="D509" s="52"/>
      <c r="E509" s="52"/>
      <c r="F509" s="52"/>
      <c r="G509" s="52"/>
      <c r="H509" s="53"/>
      <c r="I509" s="52"/>
      <c r="J509" s="52"/>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c r="AH509" s="19"/>
      <c r="AI509" s="19"/>
      <c r="AJ509" s="19"/>
      <c r="FM509" s="54"/>
    </row>
    <row r="510" spans="1:169" s="18" customFormat="1">
      <c r="A510" s="51"/>
      <c r="B510" s="52"/>
      <c r="C510" s="52"/>
      <c r="D510" s="52"/>
      <c r="E510" s="52"/>
      <c r="F510" s="52"/>
      <c r="G510" s="52"/>
      <c r="H510" s="53"/>
      <c r="I510" s="52"/>
      <c r="J510" s="52"/>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c r="AH510" s="19"/>
      <c r="AI510" s="19"/>
      <c r="AJ510" s="19"/>
      <c r="FM510" s="54"/>
    </row>
    <row r="511" spans="1:169" s="18" customFormat="1">
      <c r="A511" s="51"/>
      <c r="B511" s="52"/>
      <c r="C511" s="52"/>
      <c r="D511" s="52"/>
      <c r="E511" s="52"/>
      <c r="F511" s="52"/>
      <c r="G511" s="52"/>
      <c r="H511" s="53"/>
      <c r="I511" s="52"/>
      <c r="J511" s="52"/>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c r="AH511" s="19"/>
      <c r="AI511" s="19"/>
      <c r="AJ511" s="19"/>
      <c r="FM511" s="54"/>
    </row>
    <row r="512" spans="1:169" s="18" customFormat="1">
      <c r="A512" s="51"/>
      <c r="B512" s="52"/>
      <c r="C512" s="52"/>
      <c r="D512" s="52"/>
      <c r="E512" s="52"/>
      <c r="F512" s="52"/>
      <c r="G512" s="52"/>
      <c r="H512" s="53"/>
      <c r="I512" s="52"/>
      <c r="J512" s="52"/>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c r="AH512" s="19"/>
      <c r="AI512" s="19"/>
      <c r="AJ512" s="19"/>
      <c r="FM512" s="54"/>
    </row>
    <row r="513" spans="1:169" s="18" customFormat="1">
      <c r="A513" s="51"/>
      <c r="B513" s="52"/>
      <c r="C513" s="52"/>
      <c r="D513" s="52"/>
      <c r="E513" s="52"/>
      <c r="F513" s="52"/>
      <c r="G513" s="52"/>
      <c r="H513" s="53"/>
      <c r="I513" s="52"/>
      <c r="J513" s="52"/>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c r="AH513" s="19"/>
      <c r="AI513" s="19"/>
      <c r="AJ513" s="19"/>
      <c r="FM513" s="54"/>
    </row>
    <row r="514" spans="1:169" s="18" customFormat="1">
      <c r="A514" s="51"/>
      <c r="B514" s="52"/>
      <c r="C514" s="52"/>
      <c r="D514" s="52"/>
      <c r="E514" s="52"/>
      <c r="F514" s="52"/>
      <c r="G514" s="52"/>
      <c r="H514" s="53"/>
      <c r="I514" s="52"/>
      <c r="J514" s="52"/>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c r="AH514" s="19"/>
      <c r="AI514" s="19"/>
      <c r="AJ514" s="19"/>
      <c r="FM514" s="54"/>
    </row>
    <row r="515" spans="1:169" s="18" customFormat="1">
      <c r="A515" s="51"/>
      <c r="B515" s="52"/>
      <c r="C515" s="52"/>
      <c r="D515" s="52"/>
      <c r="E515" s="52"/>
      <c r="F515" s="52"/>
      <c r="G515" s="52"/>
      <c r="H515" s="53"/>
      <c r="I515" s="52"/>
      <c r="J515" s="52"/>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c r="AH515" s="19"/>
      <c r="AI515" s="19"/>
      <c r="AJ515" s="19"/>
      <c r="FM515" s="54"/>
    </row>
    <row r="516" spans="1:169" s="18" customFormat="1">
      <c r="A516" s="51"/>
      <c r="B516" s="52"/>
      <c r="C516" s="52"/>
      <c r="D516" s="52"/>
      <c r="E516" s="52"/>
      <c r="F516" s="52"/>
      <c r="G516" s="52"/>
      <c r="H516" s="53"/>
      <c r="I516" s="52"/>
      <c r="J516" s="52"/>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c r="AH516" s="19"/>
      <c r="AI516" s="19"/>
      <c r="AJ516" s="19"/>
      <c r="FM516" s="54"/>
    </row>
    <row r="517" spans="1:169" s="18" customFormat="1">
      <c r="A517" s="51"/>
      <c r="B517" s="52"/>
      <c r="C517" s="52"/>
      <c r="D517" s="52"/>
      <c r="E517" s="52"/>
      <c r="F517" s="52"/>
      <c r="G517" s="52"/>
      <c r="H517" s="53"/>
      <c r="I517" s="52"/>
      <c r="J517" s="52"/>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c r="AH517" s="19"/>
      <c r="AI517" s="19"/>
      <c r="AJ517" s="19"/>
      <c r="FM517" s="54"/>
    </row>
    <row r="518" spans="1:169" s="18" customFormat="1">
      <c r="A518" s="51"/>
      <c r="B518" s="52"/>
      <c r="C518" s="52"/>
      <c r="D518" s="52"/>
      <c r="E518" s="52"/>
      <c r="F518" s="52"/>
      <c r="G518" s="52"/>
      <c r="H518" s="53"/>
      <c r="I518" s="52"/>
      <c r="J518" s="52"/>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c r="AH518" s="19"/>
      <c r="AI518" s="19"/>
      <c r="AJ518" s="19"/>
      <c r="FM518" s="54"/>
    </row>
    <row r="519" spans="1:169" s="18" customFormat="1">
      <c r="A519" s="51"/>
      <c r="B519" s="52"/>
      <c r="C519" s="52"/>
      <c r="D519" s="52"/>
      <c r="E519" s="52"/>
      <c r="F519" s="52"/>
      <c r="G519" s="52"/>
      <c r="H519" s="53"/>
      <c r="I519" s="52"/>
      <c r="J519" s="52"/>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c r="AH519" s="19"/>
      <c r="AI519" s="19"/>
      <c r="AJ519" s="19"/>
      <c r="FM519" s="54"/>
    </row>
    <row r="520" spans="1:169" s="18" customFormat="1">
      <c r="A520" s="51"/>
      <c r="B520" s="52"/>
      <c r="C520" s="52"/>
      <c r="D520" s="52"/>
      <c r="E520" s="52"/>
      <c r="F520" s="52"/>
      <c r="G520" s="52"/>
      <c r="H520" s="53"/>
      <c r="I520" s="52"/>
      <c r="J520" s="52"/>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c r="AH520" s="19"/>
      <c r="AI520" s="19"/>
      <c r="AJ520" s="19"/>
      <c r="FM520" s="54"/>
    </row>
    <row r="521" spans="1:169" s="18" customFormat="1">
      <c r="A521" s="51"/>
      <c r="B521" s="52"/>
      <c r="C521" s="52"/>
      <c r="D521" s="52"/>
      <c r="E521" s="52"/>
      <c r="F521" s="52"/>
      <c r="G521" s="52"/>
      <c r="H521" s="53"/>
      <c r="I521" s="52"/>
      <c r="J521" s="52"/>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c r="AH521" s="19"/>
      <c r="AI521" s="19"/>
      <c r="AJ521" s="19"/>
      <c r="FM521" s="54"/>
    </row>
    <row r="522" spans="1:169" s="18" customFormat="1">
      <c r="A522" s="51"/>
      <c r="B522" s="52"/>
      <c r="C522" s="52"/>
      <c r="D522" s="52"/>
      <c r="E522" s="52"/>
      <c r="F522" s="52"/>
      <c r="G522" s="52"/>
      <c r="H522" s="53"/>
      <c r="I522" s="52"/>
      <c r="J522" s="52"/>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c r="AH522" s="19"/>
      <c r="AI522" s="19"/>
      <c r="AJ522" s="19"/>
      <c r="FM522" s="54"/>
    </row>
    <row r="523" spans="1:169" s="18" customFormat="1">
      <c r="A523" s="51"/>
      <c r="B523" s="52"/>
      <c r="C523" s="52"/>
      <c r="D523" s="52"/>
      <c r="E523" s="52"/>
      <c r="F523" s="52"/>
      <c r="G523" s="52"/>
      <c r="H523" s="53"/>
      <c r="I523" s="52"/>
      <c r="J523" s="52"/>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c r="AH523" s="19"/>
      <c r="AI523" s="19"/>
      <c r="AJ523" s="19"/>
      <c r="FM523" s="54"/>
    </row>
    <row r="524" spans="1:169" s="18" customFormat="1">
      <c r="A524" s="51"/>
      <c r="B524" s="52"/>
      <c r="C524" s="52"/>
      <c r="D524" s="52"/>
      <c r="E524" s="52"/>
      <c r="F524" s="52"/>
      <c r="G524" s="52"/>
      <c r="H524" s="53"/>
      <c r="I524" s="52"/>
      <c r="J524" s="52"/>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c r="AH524" s="19"/>
      <c r="AI524" s="19"/>
      <c r="AJ524" s="19"/>
      <c r="FM524" s="54"/>
    </row>
    <row r="525" spans="1:169" s="18" customFormat="1">
      <c r="A525" s="51"/>
      <c r="B525" s="52"/>
      <c r="C525" s="52"/>
      <c r="D525" s="52"/>
      <c r="E525" s="52"/>
      <c r="F525" s="52"/>
      <c r="G525" s="52"/>
      <c r="H525" s="53"/>
      <c r="I525" s="52"/>
      <c r="J525" s="52"/>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c r="AH525" s="19"/>
      <c r="AI525" s="19"/>
      <c r="AJ525" s="19"/>
      <c r="FM525" s="54"/>
    </row>
    <row r="526" spans="1:169" s="18" customFormat="1">
      <c r="A526" s="51"/>
      <c r="B526" s="52"/>
      <c r="C526" s="52"/>
      <c r="D526" s="52"/>
      <c r="E526" s="52"/>
      <c r="F526" s="52"/>
      <c r="G526" s="52"/>
      <c r="H526" s="53"/>
      <c r="I526" s="52"/>
      <c r="J526" s="52"/>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c r="AH526" s="19"/>
      <c r="AI526" s="19"/>
      <c r="AJ526" s="19"/>
      <c r="FM526" s="54"/>
    </row>
    <row r="527" spans="1:169" s="18" customFormat="1">
      <c r="A527" s="51"/>
      <c r="B527" s="52"/>
      <c r="C527" s="52"/>
      <c r="D527" s="52"/>
      <c r="E527" s="52"/>
      <c r="F527" s="52"/>
      <c r="G527" s="52"/>
      <c r="H527" s="53"/>
      <c r="I527" s="52"/>
      <c r="J527" s="52"/>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c r="AH527" s="19"/>
      <c r="AI527" s="19"/>
      <c r="AJ527" s="19"/>
      <c r="FM527" s="54"/>
    </row>
    <row r="528" spans="1:169" s="18" customFormat="1">
      <c r="A528" s="51"/>
      <c r="B528" s="52"/>
      <c r="C528" s="52"/>
      <c r="D528" s="52"/>
      <c r="E528" s="52"/>
      <c r="F528" s="52"/>
      <c r="G528" s="52"/>
      <c r="H528" s="53"/>
      <c r="I528" s="52"/>
      <c r="J528" s="52"/>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c r="AH528" s="19"/>
      <c r="AI528" s="19"/>
      <c r="AJ528" s="19"/>
      <c r="FM528" s="54"/>
    </row>
    <row r="529" spans="1:169" s="18" customFormat="1">
      <c r="A529" s="51"/>
      <c r="B529" s="52"/>
      <c r="C529" s="52"/>
      <c r="D529" s="52"/>
      <c r="E529" s="52"/>
      <c r="F529" s="52"/>
      <c r="G529" s="52"/>
      <c r="H529" s="53"/>
      <c r="I529" s="52"/>
      <c r="J529" s="52"/>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c r="AH529" s="19"/>
      <c r="AI529" s="19"/>
      <c r="AJ529" s="19"/>
      <c r="FM529" s="54"/>
    </row>
    <row r="530" spans="1:169" s="18" customFormat="1">
      <c r="A530" s="51"/>
      <c r="B530" s="52"/>
      <c r="C530" s="52"/>
      <c r="D530" s="52"/>
      <c r="E530" s="52"/>
      <c r="F530" s="52"/>
      <c r="G530" s="52"/>
      <c r="H530" s="53"/>
      <c r="I530" s="52"/>
      <c r="J530" s="52"/>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c r="AH530" s="19"/>
      <c r="AI530" s="19"/>
      <c r="AJ530" s="19"/>
      <c r="FM530" s="54"/>
    </row>
    <row r="531" spans="1:169" s="18" customFormat="1">
      <c r="A531" s="51"/>
      <c r="B531" s="52"/>
      <c r="C531" s="52"/>
      <c r="D531" s="52"/>
      <c r="E531" s="52"/>
      <c r="F531" s="52"/>
      <c r="G531" s="52"/>
      <c r="H531" s="53"/>
      <c r="I531" s="52"/>
      <c r="J531" s="52"/>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c r="AH531" s="19"/>
      <c r="AI531" s="19"/>
      <c r="AJ531" s="19"/>
      <c r="FM531" s="54"/>
    </row>
    <row r="532" spans="1:169" s="18" customFormat="1">
      <c r="A532" s="51"/>
      <c r="B532" s="52"/>
      <c r="C532" s="52"/>
      <c r="D532" s="52"/>
      <c r="E532" s="52"/>
      <c r="F532" s="52"/>
      <c r="G532" s="52"/>
      <c r="H532" s="53"/>
      <c r="I532" s="52"/>
      <c r="J532" s="52"/>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c r="AH532" s="19"/>
      <c r="AI532" s="19"/>
      <c r="AJ532" s="19"/>
      <c r="FM532" s="54"/>
    </row>
    <row r="533" spans="1:169" s="18" customFormat="1">
      <c r="A533" s="51"/>
      <c r="B533" s="52"/>
      <c r="C533" s="52"/>
      <c r="D533" s="52"/>
      <c r="E533" s="52"/>
      <c r="F533" s="52"/>
      <c r="G533" s="52"/>
      <c r="H533" s="53"/>
      <c r="I533" s="52"/>
      <c r="J533" s="52"/>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c r="AH533" s="19"/>
      <c r="AI533" s="19"/>
      <c r="AJ533" s="19"/>
      <c r="FM533" s="54"/>
    </row>
    <row r="534" spans="1:169" s="18" customFormat="1">
      <c r="A534" s="51"/>
      <c r="B534" s="52"/>
      <c r="C534" s="52"/>
      <c r="D534" s="52"/>
      <c r="E534" s="52"/>
      <c r="F534" s="52"/>
      <c r="G534" s="52"/>
      <c r="H534" s="53"/>
      <c r="I534" s="52"/>
      <c r="J534" s="52"/>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c r="AH534" s="19"/>
      <c r="AI534" s="19"/>
      <c r="AJ534" s="19"/>
      <c r="FM534" s="54"/>
    </row>
    <row r="535" spans="1:169" s="18" customFormat="1">
      <c r="A535" s="51"/>
      <c r="B535" s="52"/>
      <c r="C535" s="52"/>
      <c r="D535" s="52"/>
      <c r="E535" s="52"/>
      <c r="F535" s="52"/>
      <c r="G535" s="52"/>
      <c r="H535" s="53"/>
      <c r="I535" s="52"/>
      <c r="J535" s="52"/>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c r="AH535" s="19"/>
      <c r="AI535" s="19"/>
      <c r="AJ535" s="19"/>
      <c r="FM535" s="54"/>
    </row>
    <row r="536" spans="1:169" s="18" customFormat="1">
      <c r="A536" s="51"/>
      <c r="B536" s="52"/>
      <c r="C536" s="52"/>
      <c r="D536" s="52"/>
      <c r="E536" s="52"/>
      <c r="F536" s="52"/>
      <c r="G536" s="52"/>
      <c r="H536" s="53"/>
      <c r="I536" s="52"/>
      <c r="J536" s="52"/>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c r="AH536" s="19"/>
      <c r="AI536" s="19"/>
      <c r="AJ536" s="19"/>
      <c r="FM536" s="54"/>
    </row>
    <row r="537" spans="1:169" s="18" customFormat="1">
      <c r="A537" s="51"/>
      <c r="B537" s="52"/>
      <c r="C537" s="52"/>
      <c r="D537" s="52"/>
      <c r="E537" s="52"/>
      <c r="F537" s="52"/>
      <c r="G537" s="52"/>
      <c r="H537" s="53"/>
      <c r="I537" s="52"/>
      <c r="J537" s="52"/>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c r="AH537" s="19"/>
      <c r="AI537" s="19"/>
      <c r="AJ537" s="19"/>
      <c r="FM537" s="54"/>
    </row>
    <row r="538" spans="1:169" s="18" customFormat="1">
      <c r="A538" s="51"/>
      <c r="B538" s="52"/>
      <c r="C538" s="52"/>
      <c r="D538" s="52"/>
      <c r="E538" s="52"/>
      <c r="F538" s="52"/>
      <c r="G538" s="52"/>
      <c r="H538" s="53"/>
      <c r="I538" s="52"/>
      <c r="J538" s="52"/>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c r="AH538" s="19"/>
      <c r="AI538" s="19"/>
      <c r="AJ538" s="19"/>
      <c r="FM538" s="54"/>
    </row>
    <row r="539" spans="1:169" s="18" customFormat="1">
      <c r="A539" s="51"/>
      <c r="B539" s="52"/>
      <c r="C539" s="52"/>
      <c r="D539" s="52"/>
      <c r="E539" s="52"/>
      <c r="F539" s="52"/>
      <c r="G539" s="52"/>
      <c r="H539" s="53"/>
      <c r="I539" s="52"/>
      <c r="J539" s="52"/>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c r="AH539" s="19"/>
      <c r="AI539" s="19"/>
      <c r="AJ539" s="19"/>
      <c r="FM539" s="54"/>
    </row>
    <row r="540" spans="1:169" s="18" customFormat="1">
      <c r="A540" s="51"/>
      <c r="B540" s="52"/>
      <c r="C540" s="52"/>
      <c r="D540" s="52"/>
      <c r="E540" s="52"/>
      <c r="F540" s="52"/>
      <c r="G540" s="52"/>
      <c r="H540" s="53"/>
      <c r="I540" s="52"/>
      <c r="J540" s="52"/>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c r="AH540" s="19"/>
      <c r="AI540" s="19"/>
      <c r="AJ540" s="19"/>
      <c r="FM540" s="54"/>
    </row>
    <row r="541" spans="1:169" s="18" customFormat="1">
      <c r="A541" s="51"/>
      <c r="B541" s="52"/>
      <c r="C541" s="52"/>
      <c r="D541" s="52"/>
      <c r="E541" s="52"/>
      <c r="F541" s="52"/>
      <c r="G541" s="52"/>
      <c r="H541" s="53"/>
      <c r="I541" s="52"/>
      <c r="J541" s="52"/>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c r="AH541" s="19"/>
      <c r="AI541" s="19"/>
      <c r="AJ541" s="19"/>
      <c r="FM541" s="54"/>
    </row>
    <row r="542" spans="1:169" s="18" customFormat="1">
      <c r="A542" s="51"/>
      <c r="B542" s="52"/>
      <c r="C542" s="52"/>
      <c r="D542" s="52"/>
      <c r="E542" s="52"/>
      <c r="F542" s="52"/>
      <c r="G542" s="52"/>
      <c r="H542" s="53"/>
      <c r="I542" s="52"/>
      <c r="J542" s="52"/>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c r="AH542" s="19"/>
      <c r="AI542" s="19"/>
      <c r="AJ542" s="19"/>
      <c r="FM542" s="54"/>
    </row>
    <row r="543" spans="1:169" s="18" customFormat="1">
      <c r="A543" s="51"/>
      <c r="B543" s="52"/>
      <c r="C543" s="52"/>
      <c r="D543" s="52"/>
      <c r="E543" s="52"/>
      <c r="F543" s="52"/>
      <c r="G543" s="52"/>
      <c r="H543" s="53"/>
      <c r="I543" s="52"/>
      <c r="J543" s="52"/>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c r="AH543" s="19"/>
      <c r="AI543" s="19"/>
      <c r="AJ543" s="19"/>
      <c r="FM543" s="54"/>
    </row>
    <row r="544" spans="1:169" s="18" customFormat="1">
      <c r="A544" s="51"/>
      <c r="B544" s="52"/>
      <c r="C544" s="52"/>
      <c r="D544" s="52"/>
      <c r="E544" s="52"/>
      <c r="F544" s="52"/>
      <c r="G544" s="52"/>
      <c r="H544" s="53"/>
      <c r="I544" s="52"/>
      <c r="J544" s="52"/>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c r="AH544" s="19"/>
      <c r="AI544" s="19"/>
      <c r="AJ544" s="19"/>
      <c r="FM544" s="54"/>
    </row>
    <row r="545" spans="1:169" s="18" customFormat="1">
      <c r="A545" s="51"/>
      <c r="B545" s="52"/>
      <c r="C545" s="52"/>
      <c r="D545" s="52"/>
      <c r="E545" s="52"/>
      <c r="F545" s="52"/>
      <c r="G545" s="52"/>
      <c r="H545" s="53"/>
      <c r="I545" s="52"/>
      <c r="J545" s="52"/>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c r="AH545" s="19"/>
      <c r="AI545" s="19"/>
      <c r="AJ545" s="19"/>
      <c r="FM545" s="54"/>
    </row>
    <row r="546" spans="1:169" s="18" customFormat="1">
      <c r="A546" s="51"/>
      <c r="B546" s="52"/>
      <c r="C546" s="52"/>
      <c r="D546" s="52"/>
      <c r="E546" s="52"/>
      <c r="F546" s="52"/>
      <c r="G546" s="52"/>
      <c r="H546" s="53"/>
      <c r="I546" s="52"/>
      <c r="J546" s="52"/>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c r="AH546" s="19"/>
      <c r="AI546" s="19"/>
      <c r="AJ546" s="19"/>
      <c r="FM546" s="54"/>
    </row>
    <row r="547" spans="1:169" s="18" customFormat="1">
      <c r="A547" s="51"/>
      <c r="B547" s="52"/>
      <c r="C547" s="52"/>
      <c r="D547" s="52"/>
      <c r="E547" s="52"/>
      <c r="F547" s="52"/>
      <c r="G547" s="52"/>
      <c r="H547" s="53"/>
      <c r="I547" s="52"/>
      <c r="J547" s="52"/>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c r="AH547" s="19"/>
      <c r="AI547" s="19"/>
      <c r="AJ547" s="19"/>
      <c r="FM547" s="54"/>
    </row>
    <row r="548" spans="1:169" s="18" customFormat="1">
      <c r="A548" s="51"/>
      <c r="B548" s="52"/>
      <c r="C548" s="52"/>
      <c r="D548" s="52"/>
      <c r="E548" s="52"/>
      <c r="F548" s="52"/>
      <c r="G548" s="52"/>
      <c r="H548" s="53"/>
      <c r="I548" s="52"/>
      <c r="J548" s="52"/>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c r="AH548" s="19"/>
      <c r="AI548" s="19"/>
      <c r="AJ548" s="19"/>
      <c r="FM548" s="54"/>
    </row>
    <row r="549" spans="1:169" s="18" customFormat="1">
      <c r="A549" s="51"/>
      <c r="B549" s="52"/>
      <c r="C549" s="52"/>
      <c r="D549" s="52"/>
      <c r="E549" s="52"/>
      <c r="F549" s="52"/>
      <c r="G549" s="52"/>
      <c r="H549" s="53"/>
      <c r="I549" s="52"/>
      <c r="J549" s="52"/>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c r="AH549" s="19"/>
      <c r="AI549" s="19"/>
      <c r="AJ549" s="19"/>
      <c r="FM549" s="54"/>
    </row>
    <row r="550" spans="1:169" s="18" customFormat="1">
      <c r="A550" s="51"/>
      <c r="B550" s="52"/>
      <c r="C550" s="52"/>
      <c r="D550" s="52"/>
      <c r="E550" s="52"/>
      <c r="F550" s="52"/>
      <c r="G550" s="52"/>
      <c r="H550" s="53"/>
      <c r="I550" s="52"/>
      <c r="J550" s="52"/>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c r="AH550" s="19"/>
      <c r="AI550" s="19"/>
      <c r="AJ550" s="19"/>
      <c r="FM550" s="54"/>
    </row>
    <row r="551" spans="1:169" s="18" customFormat="1">
      <c r="A551" s="51"/>
      <c r="B551" s="52"/>
      <c r="C551" s="52"/>
      <c r="D551" s="52"/>
      <c r="E551" s="52"/>
      <c r="F551" s="52"/>
      <c r="G551" s="52"/>
      <c r="H551" s="53"/>
      <c r="I551" s="52"/>
      <c r="J551" s="52"/>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c r="AH551" s="19"/>
      <c r="AI551" s="19"/>
      <c r="AJ551" s="19"/>
      <c r="FM551" s="54"/>
    </row>
    <row r="552" spans="1:169" s="18" customFormat="1">
      <c r="A552" s="51"/>
      <c r="B552" s="52"/>
      <c r="C552" s="52"/>
      <c r="D552" s="52"/>
      <c r="E552" s="52"/>
      <c r="F552" s="52"/>
      <c r="G552" s="52"/>
      <c r="H552" s="53"/>
      <c r="I552" s="52"/>
      <c r="J552" s="52"/>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c r="AH552" s="19"/>
      <c r="AI552" s="19"/>
      <c r="AJ552" s="19"/>
      <c r="FM552" s="54"/>
    </row>
    <row r="553" spans="1:169" s="18" customFormat="1">
      <c r="A553" s="51"/>
      <c r="B553" s="52"/>
      <c r="C553" s="52"/>
      <c r="D553" s="52"/>
      <c r="E553" s="52"/>
      <c r="F553" s="52"/>
      <c r="G553" s="52"/>
      <c r="H553" s="53"/>
      <c r="I553" s="52"/>
      <c r="J553" s="52"/>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c r="AH553" s="19"/>
      <c r="AI553" s="19"/>
      <c r="AJ553" s="19"/>
      <c r="FM553" s="54"/>
    </row>
    <row r="554" spans="1:169" s="18" customFormat="1">
      <c r="A554" s="51"/>
      <c r="B554" s="52"/>
      <c r="C554" s="52"/>
      <c r="D554" s="52"/>
      <c r="E554" s="52"/>
      <c r="F554" s="52"/>
      <c r="G554" s="52"/>
      <c r="H554" s="53"/>
      <c r="I554" s="52"/>
      <c r="J554" s="52"/>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c r="AH554" s="19"/>
      <c r="AI554" s="19"/>
      <c r="AJ554" s="19"/>
      <c r="FM554" s="54"/>
    </row>
    <row r="555" spans="1:169" s="18" customFormat="1">
      <c r="A555" s="51"/>
      <c r="B555" s="52"/>
      <c r="C555" s="52"/>
      <c r="D555" s="52"/>
      <c r="E555" s="52"/>
      <c r="F555" s="52"/>
      <c r="G555" s="52"/>
      <c r="H555" s="53"/>
      <c r="I555" s="52"/>
      <c r="J555" s="52"/>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c r="AH555" s="19"/>
      <c r="AI555" s="19"/>
      <c r="AJ555" s="19"/>
      <c r="FM555" s="54"/>
    </row>
    <row r="556" spans="1:169" s="18" customFormat="1">
      <c r="A556" s="51"/>
      <c r="B556" s="52"/>
      <c r="C556" s="52"/>
      <c r="D556" s="52"/>
      <c r="E556" s="52"/>
      <c r="F556" s="52"/>
      <c r="G556" s="52"/>
      <c r="H556" s="53"/>
      <c r="I556" s="52"/>
      <c r="J556" s="52"/>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c r="AH556" s="19"/>
      <c r="AI556" s="19"/>
      <c r="AJ556" s="19"/>
      <c r="FM556" s="54"/>
    </row>
    <row r="557" spans="1:169" s="18" customFormat="1">
      <c r="A557" s="51"/>
      <c r="B557" s="52"/>
      <c r="C557" s="52"/>
      <c r="D557" s="52"/>
      <c r="E557" s="52"/>
      <c r="F557" s="52"/>
      <c r="G557" s="52"/>
      <c r="H557" s="53"/>
      <c r="I557" s="52"/>
      <c r="J557" s="52"/>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c r="AH557" s="19"/>
      <c r="AI557" s="19"/>
      <c r="AJ557" s="19"/>
      <c r="FM557" s="54"/>
    </row>
    <row r="558" spans="1:169" s="18" customFormat="1">
      <c r="A558" s="51"/>
      <c r="B558" s="52"/>
      <c r="C558" s="52"/>
      <c r="D558" s="52"/>
      <c r="E558" s="52"/>
      <c r="F558" s="52"/>
      <c r="G558" s="52"/>
      <c r="H558" s="53"/>
      <c r="I558" s="52"/>
      <c r="J558" s="52"/>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c r="AH558" s="19"/>
      <c r="AI558" s="19"/>
      <c r="AJ558" s="19"/>
      <c r="FM558" s="54"/>
    </row>
    <row r="559" spans="1:169" s="18" customFormat="1">
      <c r="A559" s="51"/>
      <c r="B559" s="52"/>
      <c r="C559" s="52"/>
      <c r="D559" s="52"/>
      <c r="E559" s="52"/>
      <c r="F559" s="52"/>
      <c r="G559" s="52"/>
      <c r="H559" s="53"/>
      <c r="I559" s="52"/>
      <c r="J559" s="52"/>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c r="AH559" s="19"/>
      <c r="AI559" s="19"/>
      <c r="AJ559" s="19"/>
      <c r="FM559" s="54"/>
    </row>
    <row r="560" spans="1:169" s="18" customFormat="1">
      <c r="A560" s="51"/>
      <c r="B560" s="52"/>
      <c r="C560" s="52"/>
      <c r="D560" s="52"/>
      <c r="E560" s="52"/>
      <c r="F560" s="52"/>
      <c r="G560" s="52"/>
      <c r="H560" s="53"/>
      <c r="I560" s="52"/>
      <c r="J560" s="52"/>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c r="AH560" s="19"/>
      <c r="AI560" s="19"/>
      <c r="AJ560" s="19"/>
      <c r="FM560" s="54"/>
    </row>
    <row r="561" spans="1:169" s="18" customFormat="1">
      <c r="A561" s="51"/>
      <c r="B561" s="52"/>
      <c r="C561" s="52"/>
      <c r="D561" s="52"/>
      <c r="E561" s="52"/>
      <c r="F561" s="52"/>
      <c r="G561" s="52"/>
      <c r="H561" s="53"/>
      <c r="I561" s="52"/>
      <c r="J561" s="52"/>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c r="AH561" s="19"/>
      <c r="AI561" s="19"/>
      <c r="AJ561" s="19"/>
      <c r="FM561" s="54"/>
    </row>
    <row r="562" spans="1:169" s="18" customFormat="1">
      <c r="A562" s="51"/>
      <c r="B562" s="52"/>
      <c r="C562" s="52"/>
      <c r="D562" s="52"/>
      <c r="E562" s="52"/>
      <c r="F562" s="52"/>
      <c r="G562" s="52"/>
      <c r="H562" s="53"/>
      <c r="I562" s="52"/>
      <c r="J562" s="52"/>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c r="AH562" s="19"/>
      <c r="AI562" s="19"/>
      <c r="AJ562" s="19"/>
      <c r="FM562" s="54"/>
    </row>
    <row r="563" spans="1:169" s="18" customFormat="1">
      <c r="A563" s="51"/>
      <c r="B563" s="52"/>
      <c r="C563" s="52"/>
      <c r="D563" s="52"/>
      <c r="E563" s="52"/>
      <c r="F563" s="52"/>
      <c r="G563" s="52"/>
      <c r="H563" s="53"/>
      <c r="I563" s="52"/>
      <c r="J563" s="52"/>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c r="AH563" s="19"/>
      <c r="AI563" s="19"/>
      <c r="AJ563" s="19"/>
      <c r="FM563" s="54"/>
    </row>
    <row r="564" spans="1:169" s="18" customFormat="1">
      <c r="A564" s="51"/>
      <c r="B564" s="52"/>
      <c r="C564" s="52"/>
      <c r="D564" s="52"/>
      <c r="E564" s="52"/>
      <c r="F564" s="52"/>
      <c r="G564" s="52"/>
      <c r="H564" s="53"/>
      <c r="I564" s="52"/>
      <c r="J564" s="52"/>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c r="AH564" s="19"/>
      <c r="AI564" s="19"/>
      <c r="AJ564" s="19"/>
      <c r="FM564" s="54"/>
    </row>
    <row r="565" spans="1:169" s="18" customFormat="1">
      <c r="A565" s="51"/>
      <c r="B565" s="52"/>
      <c r="C565" s="52"/>
      <c r="D565" s="52"/>
      <c r="E565" s="52"/>
      <c r="F565" s="52"/>
      <c r="G565" s="52"/>
      <c r="H565" s="53"/>
      <c r="I565" s="52"/>
      <c r="J565" s="52"/>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c r="AH565" s="19"/>
      <c r="AI565" s="19"/>
      <c r="AJ565" s="19"/>
      <c r="FM565" s="54"/>
    </row>
    <row r="566" spans="1:169" s="18" customFormat="1">
      <c r="A566" s="51"/>
      <c r="B566" s="52"/>
      <c r="C566" s="52"/>
      <c r="D566" s="52"/>
      <c r="E566" s="52"/>
      <c r="F566" s="52"/>
      <c r="G566" s="52"/>
      <c r="H566" s="53"/>
      <c r="I566" s="52"/>
      <c r="J566" s="52"/>
      <c r="K566" s="19"/>
      <c r="L566" s="19"/>
      <c r="M566" s="19"/>
      <c r="N566" s="19"/>
      <c r="O566" s="19"/>
      <c r="P566" s="19"/>
      <c r="Q566" s="19"/>
      <c r="R566" s="19"/>
      <c r="S566" s="19"/>
      <c r="T566" s="19"/>
      <c r="U566" s="19"/>
      <c r="V566" s="19"/>
      <c r="W566" s="19"/>
      <c r="X566" s="19"/>
      <c r="Y566" s="19"/>
      <c r="Z566" s="19"/>
      <c r="AA566" s="19"/>
      <c r="AB566" s="19"/>
      <c r="AC566" s="19"/>
      <c r="AD566" s="19"/>
      <c r="AE566" s="19"/>
      <c r="AF566" s="19"/>
      <c r="AG566" s="19"/>
      <c r="AH566" s="19"/>
      <c r="AI566" s="19"/>
      <c r="AJ566" s="19"/>
      <c r="FM566" s="54"/>
    </row>
    <row r="567" spans="1:169" s="18" customFormat="1">
      <c r="A567" s="51"/>
      <c r="B567" s="52"/>
      <c r="C567" s="52"/>
      <c r="D567" s="52"/>
      <c r="E567" s="52"/>
      <c r="F567" s="52"/>
      <c r="G567" s="52"/>
      <c r="H567" s="53"/>
      <c r="I567" s="52"/>
      <c r="J567" s="52"/>
      <c r="K567" s="19"/>
      <c r="L567" s="19"/>
      <c r="M567" s="19"/>
      <c r="N567" s="19"/>
      <c r="O567" s="19"/>
      <c r="P567" s="19"/>
      <c r="Q567" s="19"/>
      <c r="R567" s="19"/>
      <c r="S567" s="19"/>
      <c r="T567" s="19"/>
      <c r="U567" s="19"/>
      <c r="V567" s="19"/>
      <c r="W567" s="19"/>
      <c r="X567" s="19"/>
      <c r="Y567" s="19"/>
      <c r="Z567" s="19"/>
      <c r="AA567" s="19"/>
      <c r="AB567" s="19"/>
      <c r="AC567" s="19"/>
      <c r="AD567" s="19"/>
      <c r="AE567" s="19"/>
      <c r="AF567" s="19"/>
      <c r="AG567" s="19"/>
      <c r="AH567" s="19"/>
      <c r="AI567" s="19"/>
      <c r="AJ567" s="19"/>
      <c r="FM567" s="54"/>
    </row>
    <row r="568" spans="1:169" s="18" customFormat="1">
      <c r="A568" s="51"/>
      <c r="B568" s="52"/>
      <c r="C568" s="52"/>
      <c r="D568" s="52"/>
      <c r="E568" s="52"/>
      <c r="F568" s="52"/>
      <c r="G568" s="52"/>
      <c r="H568" s="53"/>
      <c r="I568" s="52"/>
      <c r="J568" s="52"/>
      <c r="K568" s="19"/>
      <c r="L568" s="19"/>
      <c r="M568" s="19"/>
      <c r="N568" s="19"/>
      <c r="O568" s="19"/>
      <c r="P568" s="19"/>
      <c r="Q568" s="19"/>
      <c r="R568" s="19"/>
      <c r="S568" s="19"/>
      <c r="T568" s="19"/>
      <c r="U568" s="19"/>
      <c r="V568" s="19"/>
      <c r="W568" s="19"/>
      <c r="X568" s="19"/>
      <c r="Y568" s="19"/>
      <c r="Z568" s="19"/>
      <c r="AA568" s="19"/>
      <c r="AB568" s="19"/>
      <c r="AC568" s="19"/>
      <c r="AD568" s="19"/>
      <c r="AE568" s="19"/>
      <c r="AF568" s="19"/>
      <c r="AG568" s="19"/>
      <c r="AH568" s="19"/>
      <c r="AI568" s="19"/>
      <c r="AJ568" s="19"/>
      <c r="FM568" s="54"/>
    </row>
    <row r="569" spans="1:169" s="18" customFormat="1">
      <c r="A569" s="51"/>
      <c r="B569" s="52"/>
      <c r="C569" s="52"/>
      <c r="D569" s="52"/>
      <c r="E569" s="52"/>
      <c r="F569" s="52"/>
      <c r="G569" s="52"/>
      <c r="H569" s="53"/>
      <c r="I569" s="52"/>
      <c r="J569" s="52"/>
      <c r="K569" s="19"/>
      <c r="L569" s="19"/>
      <c r="M569" s="19"/>
      <c r="N569" s="19"/>
      <c r="O569" s="19"/>
      <c r="P569" s="19"/>
      <c r="Q569" s="19"/>
      <c r="R569" s="19"/>
      <c r="S569" s="19"/>
      <c r="T569" s="19"/>
      <c r="U569" s="19"/>
      <c r="V569" s="19"/>
      <c r="W569" s="19"/>
      <c r="X569" s="19"/>
      <c r="Y569" s="19"/>
      <c r="Z569" s="19"/>
      <c r="AA569" s="19"/>
      <c r="AB569" s="19"/>
      <c r="AC569" s="19"/>
      <c r="AD569" s="19"/>
      <c r="AE569" s="19"/>
      <c r="AF569" s="19"/>
      <c r="AG569" s="19"/>
      <c r="AH569" s="19"/>
      <c r="AI569" s="19"/>
      <c r="AJ569" s="19"/>
      <c r="FM569" s="54"/>
    </row>
    <row r="570" spans="1:169" s="18" customFormat="1">
      <c r="A570" s="51"/>
      <c r="B570" s="52"/>
      <c r="C570" s="52"/>
      <c r="D570" s="52"/>
      <c r="E570" s="52"/>
      <c r="F570" s="52"/>
      <c r="G570" s="52"/>
      <c r="H570" s="53"/>
      <c r="I570" s="52"/>
      <c r="J570" s="52"/>
      <c r="K570" s="19"/>
      <c r="L570" s="19"/>
      <c r="M570" s="19"/>
      <c r="N570" s="19"/>
      <c r="O570" s="19"/>
      <c r="P570" s="19"/>
      <c r="Q570" s="19"/>
      <c r="R570" s="19"/>
      <c r="S570" s="19"/>
      <c r="T570" s="19"/>
      <c r="U570" s="19"/>
      <c r="V570" s="19"/>
      <c r="W570" s="19"/>
      <c r="X570" s="19"/>
      <c r="Y570" s="19"/>
      <c r="Z570" s="19"/>
      <c r="AA570" s="19"/>
      <c r="AB570" s="19"/>
      <c r="AC570" s="19"/>
      <c r="AD570" s="19"/>
      <c r="AE570" s="19"/>
      <c r="AF570" s="19"/>
      <c r="AG570" s="19"/>
      <c r="AH570" s="19"/>
      <c r="AI570" s="19"/>
      <c r="AJ570" s="19"/>
      <c r="FM570" s="54"/>
    </row>
    <row r="571" spans="1:169" s="18" customFormat="1">
      <c r="A571" s="51"/>
      <c r="B571" s="52"/>
      <c r="C571" s="52"/>
      <c r="D571" s="52"/>
      <c r="E571" s="52"/>
      <c r="F571" s="52"/>
      <c r="G571" s="52"/>
      <c r="H571" s="53"/>
      <c r="I571" s="52"/>
      <c r="J571" s="52"/>
      <c r="K571" s="19"/>
      <c r="L571" s="19"/>
      <c r="M571" s="19"/>
      <c r="N571" s="19"/>
      <c r="O571" s="19"/>
      <c r="P571" s="19"/>
      <c r="Q571" s="19"/>
      <c r="R571" s="19"/>
      <c r="S571" s="19"/>
      <c r="T571" s="19"/>
      <c r="U571" s="19"/>
      <c r="V571" s="19"/>
      <c r="W571" s="19"/>
      <c r="X571" s="19"/>
      <c r="Y571" s="19"/>
      <c r="Z571" s="19"/>
      <c r="AA571" s="19"/>
      <c r="AB571" s="19"/>
      <c r="AC571" s="19"/>
      <c r="AD571" s="19"/>
      <c r="AE571" s="19"/>
      <c r="AF571" s="19"/>
      <c r="AG571" s="19"/>
      <c r="AH571" s="19"/>
      <c r="AI571" s="19"/>
      <c r="AJ571" s="19"/>
      <c r="FM571" s="54"/>
    </row>
    <row r="572" spans="1:169" s="18" customFormat="1">
      <c r="A572" s="51"/>
      <c r="B572" s="52"/>
      <c r="C572" s="52"/>
      <c r="D572" s="52"/>
      <c r="E572" s="52"/>
      <c r="F572" s="52"/>
      <c r="G572" s="52"/>
      <c r="H572" s="53"/>
      <c r="I572" s="52"/>
      <c r="J572" s="52"/>
      <c r="K572" s="19"/>
      <c r="L572" s="19"/>
      <c r="M572" s="19"/>
      <c r="N572" s="19"/>
      <c r="O572" s="19"/>
      <c r="P572" s="19"/>
      <c r="Q572" s="19"/>
      <c r="R572" s="19"/>
      <c r="S572" s="19"/>
      <c r="T572" s="19"/>
      <c r="U572" s="19"/>
      <c r="V572" s="19"/>
      <c r="W572" s="19"/>
      <c r="X572" s="19"/>
      <c r="Y572" s="19"/>
      <c r="Z572" s="19"/>
      <c r="AA572" s="19"/>
      <c r="AB572" s="19"/>
      <c r="AC572" s="19"/>
      <c r="AD572" s="19"/>
      <c r="AE572" s="19"/>
      <c r="AF572" s="19"/>
      <c r="AG572" s="19"/>
      <c r="AH572" s="19"/>
      <c r="AI572" s="19"/>
      <c r="AJ572" s="19"/>
      <c r="FM572" s="54"/>
    </row>
    <row r="573" spans="1:169" s="18" customFormat="1">
      <c r="A573" s="51"/>
      <c r="B573" s="52"/>
      <c r="C573" s="52"/>
      <c r="D573" s="52"/>
      <c r="E573" s="52"/>
      <c r="F573" s="52"/>
      <c r="G573" s="52"/>
      <c r="H573" s="53"/>
      <c r="I573" s="52"/>
      <c r="J573" s="52"/>
      <c r="K573" s="19"/>
      <c r="L573" s="19"/>
      <c r="M573" s="19"/>
      <c r="N573" s="19"/>
      <c r="O573" s="19"/>
      <c r="P573" s="19"/>
      <c r="Q573" s="19"/>
      <c r="R573" s="19"/>
      <c r="S573" s="19"/>
      <c r="T573" s="19"/>
      <c r="U573" s="19"/>
      <c r="V573" s="19"/>
      <c r="W573" s="19"/>
      <c r="X573" s="19"/>
      <c r="Y573" s="19"/>
      <c r="Z573" s="19"/>
      <c r="AA573" s="19"/>
      <c r="AB573" s="19"/>
      <c r="AC573" s="19"/>
      <c r="AD573" s="19"/>
      <c r="AE573" s="19"/>
      <c r="AF573" s="19"/>
      <c r="AG573" s="19"/>
      <c r="AH573" s="19"/>
      <c r="AI573" s="19"/>
      <c r="AJ573" s="19"/>
      <c r="FM573" s="54"/>
    </row>
    <row r="574" spans="1:169" s="18" customFormat="1">
      <c r="A574" s="51"/>
      <c r="B574" s="52"/>
      <c r="C574" s="52"/>
      <c r="D574" s="52"/>
      <c r="E574" s="52"/>
      <c r="F574" s="52"/>
      <c r="G574" s="52"/>
      <c r="H574" s="53"/>
      <c r="I574" s="52"/>
      <c r="J574" s="52"/>
      <c r="K574" s="19"/>
      <c r="L574" s="19"/>
      <c r="M574" s="19"/>
      <c r="N574" s="19"/>
      <c r="O574" s="19"/>
      <c r="P574" s="19"/>
      <c r="Q574" s="19"/>
      <c r="R574" s="19"/>
      <c r="S574" s="19"/>
      <c r="T574" s="19"/>
      <c r="U574" s="19"/>
      <c r="V574" s="19"/>
      <c r="W574" s="19"/>
      <c r="X574" s="19"/>
      <c r="Y574" s="19"/>
      <c r="Z574" s="19"/>
      <c r="AA574" s="19"/>
      <c r="AB574" s="19"/>
      <c r="AC574" s="19"/>
      <c r="AD574" s="19"/>
      <c r="AE574" s="19"/>
      <c r="AF574" s="19"/>
      <c r="AG574" s="19"/>
      <c r="AH574" s="19"/>
      <c r="AI574" s="19"/>
      <c r="AJ574" s="19"/>
      <c r="FM574" s="54"/>
    </row>
    <row r="575" spans="1:169" s="18" customFormat="1">
      <c r="A575" s="51"/>
      <c r="B575" s="52"/>
      <c r="C575" s="52"/>
      <c r="D575" s="52"/>
      <c r="E575" s="52"/>
      <c r="F575" s="52"/>
      <c r="G575" s="52"/>
      <c r="H575" s="53"/>
      <c r="I575" s="52"/>
      <c r="J575" s="52"/>
      <c r="K575" s="19"/>
      <c r="L575" s="19"/>
      <c r="M575" s="19"/>
      <c r="N575" s="19"/>
      <c r="O575" s="19"/>
      <c r="P575" s="19"/>
      <c r="Q575" s="19"/>
      <c r="R575" s="19"/>
      <c r="S575" s="19"/>
      <c r="T575" s="19"/>
      <c r="U575" s="19"/>
      <c r="V575" s="19"/>
      <c r="W575" s="19"/>
      <c r="X575" s="19"/>
      <c r="Y575" s="19"/>
      <c r="Z575" s="19"/>
      <c r="AA575" s="19"/>
      <c r="AB575" s="19"/>
      <c r="AC575" s="19"/>
      <c r="AD575" s="19"/>
      <c r="AE575" s="19"/>
      <c r="AF575" s="19"/>
      <c r="AG575" s="19"/>
      <c r="AH575" s="19"/>
      <c r="AI575" s="19"/>
      <c r="AJ575" s="19"/>
      <c r="FM575" s="54"/>
    </row>
    <row r="576" spans="1:169" s="18" customFormat="1">
      <c r="A576" s="51"/>
      <c r="B576" s="52"/>
      <c r="C576" s="52"/>
      <c r="D576" s="52"/>
      <c r="E576" s="52"/>
      <c r="F576" s="52"/>
      <c r="G576" s="52"/>
      <c r="H576" s="53"/>
      <c r="I576" s="52"/>
      <c r="J576" s="52"/>
      <c r="K576" s="19"/>
      <c r="L576" s="19"/>
      <c r="M576" s="19"/>
      <c r="N576" s="19"/>
      <c r="O576" s="19"/>
      <c r="P576" s="19"/>
      <c r="Q576" s="19"/>
      <c r="R576" s="19"/>
      <c r="S576" s="19"/>
      <c r="T576" s="19"/>
      <c r="U576" s="19"/>
      <c r="V576" s="19"/>
      <c r="W576" s="19"/>
      <c r="X576" s="19"/>
      <c r="Y576" s="19"/>
      <c r="Z576" s="19"/>
      <c r="AA576" s="19"/>
      <c r="AB576" s="19"/>
      <c r="AC576" s="19"/>
      <c r="AD576" s="19"/>
      <c r="AE576" s="19"/>
      <c r="AF576" s="19"/>
      <c r="AG576" s="19"/>
      <c r="AH576" s="19"/>
      <c r="AI576" s="19"/>
      <c r="AJ576" s="19"/>
      <c r="FM576" s="54"/>
    </row>
    <row r="577" spans="1:169" s="18" customFormat="1">
      <c r="A577" s="51"/>
      <c r="B577" s="52"/>
      <c r="C577" s="52"/>
      <c r="D577" s="52"/>
      <c r="E577" s="52"/>
      <c r="F577" s="52"/>
      <c r="G577" s="52"/>
      <c r="H577" s="53"/>
      <c r="I577" s="52"/>
      <c r="J577" s="52"/>
      <c r="K577" s="19"/>
      <c r="L577" s="19"/>
      <c r="M577" s="19"/>
      <c r="N577" s="19"/>
      <c r="O577" s="19"/>
      <c r="P577" s="19"/>
      <c r="Q577" s="19"/>
      <c r="R577" s="19"/>
      <c r="S577" s="19"/>
      <c r="T577" s="19"/>
      <c r="U577" s="19"/>
      <c r="V577" s="19"/>
      <c r="W577" s="19"/>
      <c r="X577" s="19"/>
      <c r="Y577" s="19"/>
      <c r="Z577" s="19"/>
      <c r="AA577" s="19"/>
      <c r="AB577" s="19"/>
      <c r="AC577" s="19"/>
      <c r="AD577" s="19"/>
      <c r="AE577" s="19"/>
      <c r="AF577" s="19"/>
      <c r="AG577" s="19"/>
      <c r="AH577" s="19"/>
      <c r="AI577" s="19"/>
      <c r="AJ577" s="19"/>
      <c r="FM577" s="54"/>
    </row>
    <row r="578" spans="1:169" s="18" customFormat="1">
      <c r="A578" s="51"/>
      <c r="B578" s="52"/>
      <c r="C578" s="52"/>
      <c r="D578" s="52"/>
      <c r="E578" s="52"/>
      <c r="F578" s="52"/>
      <c r="G578" s="52"/>
      <c r="H578" s="53"/>
      <c r="I578" s="52"/>
      <c r="J578" s="52"/>
      <c r="K578" s="19"/>
      <c r="L578" s="19"/>
      <c r="M578" s="19"/>
      <c r="N578" s="19"/>
      <c r="O578" s="19"/>
      <c r="P578" s="19"/>
      <c r="Q578" s="19"/>
      <c r="R578" s="19"/>
      <c r="S578" s="19"/>
      <c r="T578" s="19"/>
      <c r="U578" s="19"/>
      <c r="V578" s="19"/>
      <c r="W578" s="19"/>
      <c r="X578" s="19"/>
      <c r="Y578" s="19"/>
      <c r="Z578" s="19"/>
      <c r="AA578" s="19"/>
      <c r="AB578" s="19"/>
      <c r="AC578" s="19"/>
      <c r="AD578" s="19"/>
      <c r="AE578" s="19"/>
      <c r="AF578" s="19"/>
      <c r="AG578" s="19"/>
      <c r="AH578" s="19"/>
      <c r="AI578" s="19"/>
      <c r="AJ578" s="19"/>
      <c r="FM578" s="54"/>
    </row>
    <row r="579" spans="1:169" s="18" customFormat="1">
      <c r="A579" s="51"/>
      <c r="B579" s="52"/>
      <c r="C579" s="52"/>
      <c r="D579" s="52"/>
      <c r="E579" s="52"/>
      <c r="F579" s="52"/>
      <c r="G579" s="52"/>
      <c r="H579" s="53"/>
      <c r="I579" s="52"/>
      <c r="J579" s="52"/>
      <c r="K579" s="19"/>
      <c r="L579" s="19"/>
      <c r="M579" s="19"/>
      <c r="N579" s="19"/>
      <c r="O579" s="19"/>
      <c r="P579" s="19"/>
      <c r="Q579" s="19"/>
      <c r="R579" s="19"/>
      <c r="S579" s="19"/>
      <c r="T579" s="19"/>
      <c r="U579" s="19"/>
      <c r="V579" s="19"/>
      <c r="W579" s="19"/>
      <c r="X579" s="19"/>
      <c r="Y579" s="19"/>
      <c r="Z579" s="19"/>
      <c r="AA579" s="19"/>
      <c r="AB579" s="19"/>
      <c r="AC579" s="19"/>
      <c r="AD579" s="19"/>
      <c r="AE579" s="19"/>
      <c r="AF579" s="19"/>
      <c r="AG579" s="19"/>
      <c r="AH579" s="19"/>
      <c r="AI579" s="19"/>
      <c r="AJ579" s="19"/>
      <c r="FM579" s="54"/>
    </row>
    <row r="580" spans="1:169" s="18" customFormat="1">
      <c r="A580" s="51"/>
      <c r="B580" s="52"/>
      <c r="C580" s="52"/>
      <c r="D580" s="52"/>
      <c r="E580" s="52"/>
      <c r="F580" s="52"/>
      <c r="G580" s="52"/>
      <c r="H580" s="53"/>
      <c r="I580" s="52"/>
      <c r="J580" s="52"/>
      <c r="K580" s="19"/>
      <c r="L580" s="19"/>
      <c r="M580" s="19"/>
      <c r="N580" s="19"/>
      <c r="O580" s="19"/>
      <c r="P580" s="19"/>
      <c r="Q580" s="19"/>
      <c r="R580" s="19"/>
      <c r="S580" s="19"/>
      <c r="T580" s="19"/>
      <c r="U580" s="19"/>
      <c r="V580" s="19"/>
      <c r="W580" s="19"/>
      <c r="X580" s="19"/>
      <c r="Y580" s="19"/>
      <c r="Z580" s="19"/>
      <c r="AA580" s="19"/>
      <c r="AB580" s="19"/>
      <c r="AC580" s="19"/>
      <c r="AD580" s="19"/>
      <c r="AE580" s="19"/>
      <c r="AF580" s="19"/>
      <c r="AG580" s="19"/>
      <c r="AH580" s="19"/>
      <c r="AI580" s="19"/>
      <c r="AJ580" s="19"/>
      <c r="FM580" s="54"/>
    </row>
    <row r="581" spans="1:169" s="18" customFormat="1">
      <c r="A581" s="51"/>
      <c r="B581" s="52"/>
      <c r="C581" s="52"/>
      <c r="D581" s="52"/>
      <c r="E581" s="52"/>
      <c r="F581" s="52"/>
      <c r="G581" s="52"/>
      <c r="H581" s="53"/>
      <c r="I581" s="52"/>
      <c r="J581" s="52"/>
      <c r="K581" s="19"/>
      <c r="L581" s="19"/>
      <c r="M581" s="19"/>
      <c r="N581" s="19"/>
      <c r="O581" s="19"/>
      <c r="P581" s="19"/>
      <c r="Q581" s="19"/>
      <c r="R581" s="19"/>
      <c r="S581" s="19"/>
      <c r="T581" s="19"/>
      <c r="U581" s="19"/>
      <c r="V581" s="19"/>
      <c r="W581" s="19"/>
      <c r="X581" s="19"/>
      <c r="Y581" s="19"/>
      <c r="Z581" s="19"/>
      <c r="AA581" s="19"/>
      <c r="AB581" s="19"/>
      <c r="AC581" s="19"/>
      <c r="AD581" s="19"/>
      <c r="AE581" s="19"/>
      <c r="AF581" s="19"/>
      <c r="AG581" s="19"/>
      <c r="AH581" s="19"/>
      <c r="AI581" s="19"/>
      <c r="AJ581" s="19"/>
      <c r="FM581" s="54"/>
    </row>
    <row r="582" spans="1:169" s="18" customFormat="1">
      <c r="A582" s="51"/>
      <c r="B582" s="52"/>
      <c r="C582" s="52"/>
      <c r="D582" s="52"/>
      <c r="E582" s="52"/>
      <c r="F582" s="52"/>
      <c r="G582" s="52"/>
      <c r="H582" s="53"/>
      <c r="I582" s="52"/>
      <c r="J582" s="52"/>
      <c r="K582" s="19"/>
      <c r="L582" s="19"/>
      <c r="M582" s="19"/>
      <c r="N582" s="19"/>
      <c r="O582" s="19"/>
      <c r="P582" s="19"/>
      <c r="Q582" s="19"/>
      <c r="R582" s="19"/>
      <c r="S582" s="19"/>
      <c r="T582" s="19"/>
      <c r="U582" s="19"/>
      <c r="V582" s="19"/>
      <c r="W582" s="19"/>
      <c r="X582" s="19"/>
      <c r="Y582" s="19"/>
      <c r="Z582" s="19"/>
      <c r="AA582" s="19"/>
      <c r="AB582" s="19"/>
      <c r="AC582" s="19"/>
      <c r="AD582" s="19"/>
      <c r="AE582" s="19"/>
      <c r="AF582" s="19"/>
      <c r="AG582" s="19"/>
      <c r="AH582" s="19"/>
      <c r="AI582" s="19"/>
      <c r="AJ582" s="19"/>
      <c r="FM582" s="54"/>
    </row>
    <row r="583" spans="1:169" s="18" customFormat="1">
      <c r="A583" s="51"/>
      <c r="B583" s="52"/>
      <c r="C583" s="52"/>
      <c r="D583" s="52"/>
      <c r="E583" s="52"/>
      <c r="F583" s="52"/>
      <c r="G583" s="52"/>
      <c r="H583" s="53"/>
      <c r="I583" s="52"/>
      <c r="J583" s="52"/>
      <c r="K583" s="19"/>
      <c r="L583" s="19"/>
      <c r="M583" s="19"/>
      <c r="N583" s="19"/>
      <c r="O583" s="19"/>
      <c r="P583" s="19"/>
      <c r="Q583" s="19"/>
      <c r="R583" s="19"/>
      <c r="S583" s="19"/>
      <c r="T583" s="19"/>
      <c r="U583" s="19"/>
      <c r="V583" s="19"/>
      <c r="W583" s="19"/>
      <c r="X583" s="19"/>
      <c r="Y583" s="19"/>
      <c r="Z583" s="19"/>
      <c r="AA583" s="19"/>
      <c r="AB583" s="19"/>
      <c r="AC583" s="19"/>
      <c r="AD583" s="19"/>
      <c r="AE583" s="19"/>
      <c r="AF583" s="19"/>
      <c r="AG583" s="19"/>
      <c r="AH583" s="19"/>
      <c r="AI583" s="19"/>
      <c r="AJ583" s="19"/>
      <c r="FM583" s="54"/>
    </row>
    <row r="584" spans="1:169" s="18" customFormat="1">
      <c r="A584" s="51"/>
      <c r="B584" s="52"/>
      <c r="C584" s="52"/>
      <c r="D584" s="52"/>
      <c r="E584" s="52"/>
      <c r="F584" s="52"/>
      <c r="G584" s="52"/>
      <c r="H584" s="53"/>
      <c r="I584" s="52"/>
      <c r="J584" s="52"/>
      <c r="K584" s="19"/>
      <c r="L584" s="19"/>
      <c r="M584" s="19"/>
      <c r="N584" s="19"/>
      <c r="O584" s="19"/>
      <c r="P584" s="19"/>
      <c r="Q584" s="19"/>
      <c r="R584" s="19"/>
      <c r="S584" s="19"/>
      <c r="T584" s="19"/>
      <c r="U584" s="19"/>
      <c r="V584" s="19"/>
      <c r="W584" s="19"/>
      <c r="X584" s="19"/>
      <c r="Y584" s="19"/>
      <c r="Z584" s="19"/>
      <c r="AA584" s="19"/>
      <c r="AB584" s="19"/>
      <c r="AC584" s="19"/>
      <c r="AD584" s="19"/>
      <c r="AE584" s="19"/>
      <c r="AF584" s="19"/>
      <c r="AG584" s="19"/>
      <c r="AH584" s="19"/>
      <c r="AI584" s="19"/>
      <c r="AJ584" s="19"/>
      <c r="FM584" s="54"/>
    </row>
    <row r="585" spans="1:169" s="18" customFormat="1">
      <c r="A585" s="51"/>
      <c r="B585" s="52"/>
      <c r="C585" s="52"/>
      <c r="D585" s="52"/>
      <c r="E585" s="52"/>
      <c r="F585" s="52"/>
      <c r="G585" s="52"/>
      <c r="H585" s="53"/>
      <c r="I585" s="52"/>
      <c r="J585" s="52"/>
      <c r="K585" s="19"/>
      <c r="L585" s="19"/>
      <c r="M585" s="19"/>
      <c r="N585" s="19"/>
      <c r="O585" s="19"/>
      <c r="P585" s="19"/>
      <c r="Q585" s="19"/>
      <c r="R585" s="19"/>
      <c r="S585" s="19"/>
      <c r="T585" s="19"/>
      <c r="U585" s="19"/>
      <c r="V585" s="19"/>
      <c r="W585" s="19"/>
      <c r="X585" s="19"/>
      <c r="Y585" s="19"/>
      <c r="Z585" s="19"/>
      <c r="AA585" s="19"/>
      <c r="AB585" s="19"/>
      <c r="AC585" s="19"/>
      <c r="AD585" s="19"/>
      <c r="AE585" s="19"/>
      <c r="AF585" s="19"/>
      <c r="AG585" s="19"/>
      <c r="AH585" s="19"/>
      <c r="AI585" s="19"/>
      <c r="AJ585" s="19"/>
      <c r="FM585" s="54"/>
    </row>
    <row r="586" spans="1:169" s="18" customFormat="1">
      <c r="A586" s="51"/>
      <c r="B586" s="52"/>
      <c r="C586" s="52"/>
      <c r="D586" s="52"/>
      <c r="E586" s="52"/>
      <c r="F586" s="52"/>
      <c r="G586" s="52"/>
      <c r="H586" s="53"/>
      <c r="I586" s="52"/>
      <c r="J586" s="52"/>
      <c r="K586" s="19"/>
      <c r="L586" s="19"/>
      <c r="M586" s="19"/>
      <c r="N586" s="19"/>
      <c r="O586" s="19"/>
      <c r="P586" s="19"/>
      <c r="Q586" s="19"/>
      <c r="R586" s="19"/>
      <c r="S586" s="19"/>
      <c r="T586" s="19"/>
      <c r="U586" s="19"/>
      <c r="V586" s="19"/>
      <c r="W586" s="19"/>
      <c r="X586" s="19"/>
      <c r="Y586" s="19"/>
      <c r="Z586" s="19"/>
      <c r="AA586" s="19"/>
      <c r="AB586" s="19"/>
      <c r="AC586" s="19"/>
      <c r="AD586" s="19"/>
      <c r="AE586" s="19"/>
      <c r="AF586" s="19"/>
      <c r="AG586" s="19"/>
      <c r="AH586" s="19"/>
      <c r="AI586" s="19"/>
      <c r="AJ586" s="19"/>
      <c r="FM586" s="54"/>
    </row>
    <row r="587" spans="1:169" s="18" customFormat="1">
      <c r="A587" s="51"/>
      <c r="B587" s="52"/>
      <c r="C587" s="52"/>
      <c r="D587" s="52"/>
      <c r="E587" s="52"/>
      <c r="F587" s="52"/>
      <c r="G587" s="52"/>
      <c r="H587" s="53"/>
      <c r="I587" s="52"/>
      <c r="J587" s="52"/>
      <c r="K587" s="19"/>
      <c r="L587" s="19"/>
      <c r="M587" s="19"/>
      <c r="N587" s="19"/>
      <c r="O587" s="19"/>
      <c r="P587" s="19"/>
      <c r="Q587" s="19"/>
      <c r="R587" s="19"/>
      <c r="S587" s="19"/>
      <c r="T587" s="19"/>
      <c r="U587" s="19"/>
      <c r="V587" s="19"/>
      <c r="W587" s="19"/>
      <c r="X587" s="19"/>
      <c r="Y587" s="19"/>
      <c r="Z587" s="19"/>
      <c r="AA587" s="19"/>
      <c r="AB587" s="19"/>
      <c r="AC587" s="19"/>
      <c r="AD587" s="19"/>
      <c r="AE587" s="19"/>
      <c r="AF587" s="19"/>
      <c r="AG587" s="19"/>
      <c r="AH587" s="19"/>
      <c r="AI587" s="19"/>
      <c r="AJ587" s="19"/>
      <c r="FM587" s="54"/>
    </row>
    <row r="588" spans="1:169" s="18" customFormat="1">
      <c r="A588" s="51"/>
      <c r="B588" s="52"/>
      <c r="C588" s="52"/>
      <c r="D588" s="52"/>
      <c r="E588" s="52"/>
      <c r="F588" s="52"/>
      <c r="G588" s="52"/>
      <c r="H588" s="53"/>
      <c r="I588" s="52"/>
      <c r="J588" s="52"/>
      <c r="K588" s="19"/>
      <c r="L588" s="19"/>
      <c r="M588" s="19"/>
      <c r="N588" s="19"/>
      <c r="O588" s="19"/>
      <c r="P588" s="19"/>
      <c r="Q588" s="19"/>
      <c r="R588" s="19"/>
      <c r="S588" s="19"/>
      <c r="T588" s="19"/>
      <c r="U588" s="19"/>
      <c r="V588" s="19"/>
      <c r="W588" s="19"/>
      <c r="X588" s="19"/>
      <c r="Y588" s="19"/>
      <c r="Z588" s="19"/>
      <c r="AA588" s="19"/>
      <c r="AB588" s="19"/>
      <c r="AC588" s="19"/>
      <c r="AD588" s="19"/>
      <c r="AE588" s="19"/>
      <c r="AF588" s="19"/>
      <c r="AG588" s="19"/>
      <c r="AH588" s="19"/>
      <c r="AI588" s="19"/>
      <c r="AJ588" s="19"/>
      <c r="FM588" s="54"/>
    </row>
    <row r="589" spans="1:169" s="18" customFormat="1">
      <c r="A589" s="51"/>
      <c r="B589" s="52"/>
      <c r="C589" s="52"/>
      <c r="D589" s="52"/>
      <c r="E589" s="52"/>
      <c r="F589" s="52"/>
      <c r="G589" s="52"/>
      <c r="H589" s="53"/>
      <c r="I589" s="52"/>
      <c r="J589" s="52"/>
      <c r="K589" s="19"/>
      <c r="L589" s="19"/>
      <c r="M589" s="19"/>
      <c r="N589" s="19"/>
      <c r="O589" s="19"/>
      <c r="P589" s="19"/>
      <c r="Q589" s="19"/>
      <c r="R589" s="19"/>
      <c r="S589" s="19"/>
      <c r="T589" s="19"/>
      <c r="U589" s="19"/>
      <c r="V589" s="19"/>
      <c r="W589" s="19"/>
      <c r="X589" s="19"/>
      <c r="Y589" s="19"/>
      <c r="Z589" s="19"/>
      <c r="AA589" s="19"/>
      <c r="AB589" s="19"/>
      <c r="AC589" s="19"/>
      <c r="AD589" s="19"/>
      <c r="AE589" s="19"/>
      <c r="AF589" s="19"/>
      <c r="AG589" s="19"/>
      <c r="AH589" s="19"/>
      <c r="AI589" s="19"/>
      <c r="AJ589" s="19"/>
      <c r="FM589" s="54"/>
    </row>
    <row r="590" spans="1:169" s="18" customFormat="1">
      <c r="A590" s="51"/>
      <c r="B590" s="52"/>
      <c r="C590" s="52"/>
      <c r="D590" s="52"/>
      <c r="E590" s="52"/>
      <c r="F590" s="52"/>
      <c r="G590" s="52"/>
      <c r="H590" s="53"/>
      <c r="I590" s="52"/>
      <c r="J590" s="52"/>
      <c r="K590" s="19"/>
      <c r="L590" s="19"/>
      <c r="M590" s="19"/>
      <c r="N590" s="19"/>
      <c r="O590" s="19"/>
      <c r="P590" s="19"/>
      <c r="Q590" s="19"/>
      <c r="R590" s="19"/>
      <c r="S590" s="19"/>
      <c r="T590" s="19"/>
      <c r="U590" s="19"/>
      <c r="V590" s="19"/>
      <c r="W590" s="19"/>
      <c r="X590" s="19"/>
      <c r="Y590" s="19"/>
      <c r="Z590" s="19"/>
      <c r="AA590" s="19"/>
      <c r="AB590" s="19"/>
      <c r="AC590" s="19"/>
      <c r="AD590" s="19"/>
      <c r="AE590" s="19"/>
      <c r="AF590" s="19"/>
      <c r="AG590" s="19"/>
      <c r="AH590" s="19"/>
      <c r="AI590" s="19"/>
      <c r="AJ590" s="19"/>
      <c r="FM590" s="54"/>
    </row>
    <row r="591" spans="1:169" s="18" customFormat="1">
      <c r="A591" s="51"/>
      <c r="B591" s="52"/>
      <c r="C591" s="52"/>
      <c r="D591" s="52"/>
      <c r="E591" s="52"/>
      <c r="F591" s="52"/>
      <c r="G591" s="52"/>
      <c r="H591" s="53"/>
      <c r="I591" s="52"/>
      <c r="J591" s="52"/>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c r="AH591" s="19"/>
      <c r="AI591" s="19"/>
      <c r="AJ591" s="19"/>
      <c r="FM591" s="54"/>
    </row>
    <row r="592" spans="1:169" s="18" customFormat="1">
      <c r="A592" s="51"/>
      <c r="B592" s="52"/>
      <c r="C592" s="52"/>
      <c r="D592" s="52"/>
      <c r="E592" s="52"/>
      <c r="F592" s="52"/>
      <c r="G592" s="52"/>
      <c r="H592" s="53"/>
      <c r="I592" s="52"/>
      <c r="J592" s="52"/>
      <c r="K592" s="19"/>
      <c r="L592" s="19"/>
      <c r="M592" s="19"/>
      <c r="N592" s="19"/>
      <c r="O592" s="19"/>
      <c r="P592" s="19"/>
      <c r="Q592" s="19"/>
      <c r="R592" s="19"/>
      <c r="S592" s="19"/>
      <c r="T592" s="19"/>
      <c r="U592" s="19"/>
      <c r="V592" s="19"/>
      <c r="W592" s="19"/>
      <c r="X592" s="19"/>
      <c r="Y592" s="19"/>
      <c r="Z592" s="19"/>
      <c r="AA592" s="19"/>
      <c r="AB592" s="19"/>
      <c r="AC592" s="19"/>
      <c r="AD592" s="19"/>
      <c r="AE592" s="19"/>
      <c r="AF592" s="19"/>
      <c r="AG592" s="19"/>
      <c r="AH592" s="19"/>
      <c r="AI592" s="19"/>
      <c r="AJ592" s="19"/>
      <c r="FM592" s="54"/>
    </row>
    <row r="593" spans="1:169" s="18" customFormat="1">
      <c r="A593" s="51"/>
      <c r="B593" s="52"/>
      <c r="C593" s="52"/>
      <c r="D593" s="52"/>
      <c r="E593" s="52"/>
      <c r="F593" s="52"/>
      <c r="G593" s="52"/>
      <c r="H593" s="53"/>
      <c r="I593" s="52"/>
      <c r="J593" s="52"/>
      <c r="K593" s="19"/>
      <c r="L593" s="19"/>
      <c r="M593" s="19"/>
      <c r="N593" s="19"/>
      <c r="O593" s="19"/>
      <c r="P593" s="19"/>
      <c r="Q593" s="19"/>
      <c r="R593" s="19"/>
      <c r="S593" s="19"/>
      <c r="T593" s="19"/>
      <c r="U593" s="19"/>
      <c r="V593" s="19"/>
      <c r="W593" s="19"/>
      <c r="X593" s="19"/>
      <c r="Y593" s="19"/>
      <c r="Z593" s="19"/>
      <c r="AA593" s="19"/>
      <c r="AB593" s="19"/>
      <c r="AC593" s="19"/>
      <c r="AD593" s="19"/>
      <c r="AE593" s="19"/>
      <c r="AF593" s="19"/>
      <c r="AG593" s="19"/>
      <c r="AH593" s="19"/>
      <c r="AI593" s="19"/>
      <c r="AJ593" s="19"/>
      <c r="FM593" s="54"/>
    </row>
    <row r="594" spans="1:169" s="18" customFormat="1">
      <c r="A594" s="51"/>
      <c r="B594" s="52"/>
      <c r="C594" s="52"/>
      <c r="D594" s="52"/>
      <c r="E594" s="52"/>
      <c r="F594" s="52"/>
      <c r="G594" s="52"/>
      <c r="H594" s="53"/>
      <c r="I594" s="52"/>
      <c r="J594" s="52"/>
      <c r="K594" s="19"/>
      <c r="L594" s="19"/>
      <c r="M594" s="19"/>
      <c r="N594" s="19"/>
      <c r="O594" s="19"/>
      <c r="P594" s="19"/>
      <c r="Q594" s="19"/>
      <c r="R594" s="19"/>
      <c r="S594" s="19"/>
      <c r="T594" s="19"/>
      <c r="U594" s="19"/>
      <c r="V594" s="19"/>
      <c r="W594" s="19"/>
      <c r="X594" s="19"/>
      <c r="Y594" s="19"/>
      <c r="Z594" s="19"/>
      <c r="AA594" s="19"/>
      <c r="AB594" s="19"/>
      <c r="AC594" s="19"/>
      <c r="AD594" s="19"/>
      <c r="AE594" s="19"/>
      <c r="AF594" s="19"/>
      <c r="AG594" s="19"/>
      <c r="AH594" s="19"/>
      <c r="AI594" s="19"/>
      <c r="AJ594" s="19"/>
      <c r="FM594" s="54"/>
    </row>
    <row r="595" spans="1:169" s="18" customFormat="1">
      <c r="A595" s="51"/>
      <c r="B595" s="52"/>
      <c r="C595" s="52"/>
      <c r="D595" s="52"/>
      <c r="E595" s="52"/>
      <c r="F595" s="52"/>
      <c r="G595" s="52"/>
      <c r="H595" s="53"/>
      <c r="I595" s="52"/>
      <c r="J595" s="52"/>
      <c r="K595" s="19"/>
      <c r="L595" s="19"/>
      <c r="M595" s="19"/>
      <c r="N595" s="19"/>
      <c r="O595" s="19"/>
      <c r="P595" s="19"/>
      <c r="Q595" s="19"/>
      <c r="R595" s="19"/>
      <c r="S595" s="19"/>
      <c r="T595" s="19"/>
      <c r="U595" s="19"/>
      <c r="V595" s="19"/>
      <c r="W595" s="19"/>
      <c r="X595" s="19"/>
      <c r="Y595" s="19"/>
      <c r="Z595" s="19"/>
      <c r="AA595" s="19"/>
      <c r="AB595" s="19"/>
      <c r="AC595" s="19"/>
      <c r="AD595" s="19"/>
      <c r="AE595" s="19"/>
      <c r="AF595" s="19"/>
      <c r="AG595" s="19"/>
      <c r="AH595" s="19"/>
      <c r="AI595" s="19"/>
      <c r="AJ595" s="19"/>
      <c r="FM595" s="54"/>
    </row>
    <row r="596" spans="1:169" s="18" customFormat="1">
      <c r="A596" s="51"/>
      <c r="B596" s="52"/>
      <c r="C596" s="52"/>
      <c r="D596" s="52"/>
      <c r="E596" s="52"/>
      <c r="F596" s="52"/>
      <c r="G596" s="52"/>
      <c r="H596" s="53"/>
      <c r="I596" s="52"/>
      <c r="J596" s="52"/>
      <c r="K596" s="19"/>
      <c r="L596" s="19"/>
      <c r="M596" s="19"/>
      <c r="N596" s="19"/>
      <c r="O596" s="19"/>
      <c r="P596" s="19"/>
      <c r="Q596" s="19"/>
      <c r="R596" s="19"/>
      <c r="S596" s="19"/>
      <c r="T596" s="19"/>
      <c r="U596" s="19"/>
      <c r="V596" s="19"/>
      <c r="W596" s="19"/>
      <c r="X596" s="19"/>
      <c r="Y596" s="19"/>
      <c r="Z596" s="19"/>
      <c r="AA596" s="19"/>
      <c r="AB596" s="19"/>
      <c r="AC596" s="19"/>
      <c r="AD596" s="19"/>
      <c r="AE596" s="19"/>
      <c r="AF596" s="19"/>
      <c r="AG596" s="19"/>
      <c r="AH596" s="19"/>
      <c r="AI596" s="19"/>
      <c r="AJ596" s="19"/>
      <c r="FM596" s="54"/>
    </row>
    <row r="597" spans="1:169" s="18" customFormat="1">
      <c r="A597" s="51"/>
      <c r="B597" s="52"/>
      <c r="C597" s="52"/>
      <c r="D597" s="52"/>
      <c r="E597" s="52"/>
      <c r="F597" s="52"/>
      <c r="G597" s="52"/>
      <c r="H597" s="53"/>
      <c r="I597" s="52"/>
      <c r="J597" s="52"/>
      <c r="K597" s="19"/>
      <c r="L597" s="19"/>
      <c r="M597" s="19"/>
      <c r="N597" s="19"/>
      <c r="O597" s="19"/>
      <c r="P597" s="19"/>
      <c r="Q597" s="19"/>
      <c r="R597" s="19"/>
      <c r="S597" s="19"/>
      <c r="T597" s="19"/>
      <c r="U597" s="19"/>
      <c r="V597" s="19"/>
      <c r="W597" s="19"/>
      <c r="X597" s="19"/>
      <c r="Y597" s="19"/>
      <c r="Z597" s="19"/>
      <c r="AA597" s="19"/>
      <c r="AB597" s="19"/>
      <c r="AC597" s="19"/>
      <c r="AD597" s="19"/>
      <c r="AE597" s="19"/>
      <c r="AF597" s="19"/>
      <c r="AG597" s="19"/>
      <c r="AH597" s="19"/>
      <c r="AI597" s="19"/>
      <c r="AJ597" s="19"/>
      <c r="FM597" s="54"/>
    </row>
    <row r="598" spans="1:169" s="18" customFormat="1">
      <c r="A598" s="51"/>
      <c r="B598" s="52"/>
      <c r="C598" s="52"/>
      <c r="D598" s="52"/>
      <c r="E598" s="52"/>
      <c r="F598" s="52"/>
      <c r="G598" s="52"/>
      <c r="H598" s="53"/>
      <c r="I598" s="52"/>
      <c r="J598" s="52"/>
      <c r="K598" s="19"/>
      <c r="L598" s="19"/>
      <c r="M598" s="19"/>
      <c r="N598" s="19"/>
      <c r="O598" s="19"/>
      <c r="P598" s="19"/>
      <c r="Q598" s="19"/>
      <c r="R598" s="19"/>
      <c r="S598" s="19"/>
      <c r="T598" s="19"/>
      <c r="U598" s="19"/>
      <c r="V598" s="19"/>
      <c r="W598" s="19"/>
      <c r="X598" s="19"/>
      <c r="Y598" s="19"/>
      <c r="Z598" s="19"/>
      <c r="AA598" s="19"/>
      <c r="AB598" s="19"/>
      <c r="AC598" s="19"/>
      <c r="AD598" s="19"/>
      <c r="AE598" s="19"/>
      <c r="AF598" s="19"/>
      <c r="AG598" s="19"/>
      <c r="AH598" s="19"/>
      <c r="AI598" s="19"/>
      <c r="AJ598" s="19"/>
      <c r="FM598" s="54"/>
    </row>
    <row r="599" spans="1:169" s="18" customFormat="1">
      <c r="A599" s="51"/>
      <c r="B599" s="52"/>
      <c r="C599" s="52"/>
      <c r="D599" s="52"/>
      <c r="E599" s="52"/>
      <c r="F599" s="52"/>
      <c r="G599" s="52"/>
      <c r="H599" s="53"/>
      <c r="I599" s="52"/>
      <c r="J599" s="52"/>
      <c r="K599" s="19"/>
      <c r="L599" s="19"/>
      <c r="M599" s="19"/>
      <c r="N599" s="19"/>
      <c r="O599" s="19"/>
      <c r="P599" s="19"/>
      <c r="Q599" s="19"/>
      <c r="R599" s="19"/>
      <c r="S599" s="19"/>
      <c r="T599" s="19"/>
      <c r="U599" s="19"/>
      <c r="V599" s="19"/>
      <c r="W599" s="19"/>
      <c r="X599" s="19"/>
      <c r="Y599" s="19"/>
      <c r="Z599" s="19"/>
      <c r="AA599" s="19"/>
      <c r="AB599" s="19"/>
      <c r="AC599" s="19"/>
      <c r="AD599" s="19"/>
      <c r="AE599" s="19"/>
      <c r="AF599" s="19"/>
      <c r="AG599" s="19"/>
      <c r="AH599" s="19"/>
      <c r="AI599" s="19"/>
      <c r="AJ599" s="19"/>
      <c r="FM599" s="54"/>
    </row>
    <row r="600" spans="1:169" s="18" customFormat="1">
      <c r="A600" s="51"/>
      <c r="B600" s="52"/>
      <c r="C600" s="52"/>
      <c r="D600" s="52"/>
      <c r="E600" s="52"/>
      <c r="F600" s="52"/>
      <c r="G600" s="52"/>
      <c r="H600" s="53"/>
      <c r="I600" s="52"/>
      <c r="J600" s="52"/>
      <c r="K600" s="19"/>
      <c r="L600" s="19"/>
      <c r="M600" s="19"/>
      <c r="N600" s="19"/>
      <c r="O600" s="19"/>
      <c r="P600" s="19"/>
      <c r="Q600" s="19"/>
      <c r="R600" s="19"/>
      <c r="S600" s="19"/>
      <c r="T600" s="19"/>
      <c r="U600" s="19"/>
      <c r="V600" s="19"/>
      <c r="W600" s="19"/>
      <c r="X600" s="19"/>
      <c r="Y600" s="19"/>
      <c r="Z600" s="19"/>
      <c r="AA600" s="19"/>
      <c r="AB600" s="19"/>
      <c r="AC600" s="19"/>
      <c r="AD600" s="19"/>
      <c r="AE600" s="19"/>
      <c r="AF600" s="19"/>
      <c r="AG600" s="19"/>
      <c r="AH600" s="19"/>
      <c r="AI600" s="19"/>
      <c r="AJ600" s="19"/>
      <c r="FM600" s="54"/>
    </row>
    <row r="601" spans="1:169" s="18" customFormat="1">
      <c r="A601" s="51"/>
      <c r="B601" s="52"/>
      <c r="C601" s="52"/>
      <c r="D601" s="52"/>
      <c r="E601" s="52"/>
      <c r="F601" s="52"/>
      <c r="G601" s="52"/>
      <c r="H601" s="53"/>
      <c r="I601" s="52"/>
      <c r="J601" s="52"/>
      <c r="K601" s="19"/>
      <c r="L601" s="19"/>
      <c r="M601" s="19"/>
      <c r="N601" s="19"/>
      <c r="O601" s="19"/>
      <c r="P601" s="19"/>
      <c r="Q601" s="19"/>
      <c r="R601" s="19"/>
      <c r="S601" s="19"/>
      <c r="T601" s="19"/>
      <c r="U601" s="19"/>
      <c r="V601" s="19"/>
      <c r="W601" s="19"/>
      <c r="X601" s="19"/>
      <c r="Y601" s="19"/>
      <c r="Z601" s="19"/>
      <c r="AA601" s="19"/>
      <c r="AB601" s="19"/>
      <c r="AC601" s="19"/>
      <c r="AD601" s="19"/>
      <c r="AE601" s="19"/>
      <c r="AF601" s="19"/>
      <c r="AG601" s="19"/>
      <c r="AH601" s="19"/>
      <c r="AI601" s="19"/>
      <c r="AJ601" s="19"/>
      <c r="FM601" s="54"/>
    </row>
    <row r="602" spans="1:169" s="18" customFormat="1">
      <c r="A602" s="51"/>
      <c r="B602" s="52"/>
      <c r="C602" s="52"/>
      <c r="D602" s="52"/>
      <c r="E602" s="52"/>
      <c r="F602" s="52"/>
      <c r="G602" s="52"/>
      <c r="H602" s="53"/>
      <c r="I602" s="52"/>
      <c r="J602" s="52"/>
      <c r="K602" s="19"/>
      <c r="L602" s="19"/>
      <c r="M602" s="19"/>
      <c r="N602" s="19"/>
      <c r="O602" s="19"/>
      <c r="P602" s="19"/>
      <c r="Q602" s="19"/>
      <c r="R602" s="19"/>
      <c r="S602" s="19"/>
      <c r="T602" s="19"/>
      <c r="U602" s="19"/>
      <c r="V602" s="19"/>
      <c r="W602" s="19"/>
      <c r="X602" s="19"/>
      <c r="Y602" s="19"/>
      <c r="Z602" s="19"/>
      <c r="AA602" s="19"/>
      <c r="AB602" s="19"/>
      <c r="AC602" s="19"/>
      <c r="AD602" s="19"/>
      <c r="AE602" s="19"/>
      <c r="AF602" s="19"/>
      <c r="AG602" s="19"/>
      <c r="AH602" s="19"/>
      <c r="AI602" s="19"/>
      <c r="AJ602" s="19"/>
      <c r="FM602" s="54"/>
    </row>
    <row r="603" spans="1:169" s="18" customFormat="1">
      <c r="A603" s="51"/>
      <c r="B603" s="52"/>
      <c r="C603" s="52"/>
      <c r="D603" s="52"/>
      <c r="E603" s="52"/>
      <c r="F603" s="52"/>
      <c r="G603" s="52"/>
      <c r="H603" s="53"/>
      <c r="I603" s="52"/>
      <c r="J603" s="52"/>
      <c r="K603" s="19"/>
      <c r="L603" s="19"/>
      <c r="M603" s="19"/>
      <c r="N603" s="19"/>
      <c r="O603" s="19"/>
      <c r="P603" s="19"/>
      <c r="Q603" s="19"/>
      <c r="R603" s="19"/>
      <c r="S603" s="19"/>
      <c r="T603" s="19"/>
      <c r="U603" s="19"/>
      <c r="V603" s="19"/>
      <c r="W603" s="19"/>
      <c r="X603" s="19"/>
      <c r="Y603" s="19"/>
      <c r="Z603" s="19"/>
      <c r="AA603" s="19"/>
      <c r="AB603" s="19"/>
      <c r="AC603" s="19"/>
      <c r="AD603" s="19"/>
      <c r="AE603" s="19"/>
      <c r="AF603" s="19"/>
      <c r="AG603" s="19"/>
      <c r="AH603" s="19"/>
      <c r="AI603" s="19"/>
      <c r="AJ603" s="19"/>
      <c r="FM603" s="54"/>
    </row>
    <row r="604" spans="1:169" s="18" customFormat="1">
      <c r="A604" s="51"/>
      <c r="B604" s="52"/>
      <c r="C604" s="52"/>
      <c r="D604" s="52"/>
      <c r="E604" s="52"/>
      <c r="F604" s="52"/>
      <c r="G604" s="52"/>
      <c r="H604" s="53"/>
      <c r="I604" s="52"/>
      <c r="J604" s="52"/>
      <c r="K604" s="19"/>
      <c r="L604" s="19"/>
      <c r="M604" s="19"/>
      <c r="N604" s="19"/>
      <c r="O604" s="19"/>
      <c r="P604" s="19"/>
      <c r="Q604" s="19"/>
      <c r="R604" s="19"/>
      <c r="S604" s="19"/>
      <c r="T604" s="19"/>
      <c r="U604" s="19"/>
      <c r="V604" s="19"/>
      <c r="W604" s="19"/>
      <c r="X604" s="19"/>
      <c r="Y604" s="19"/>
      <c r="Z604" s="19"/>
      <c r="AA604" s="19"/>
      <c r="AB604" s="19"/>
      <c r="AC604" s="19"/>
      <c r="AD604" s="19"/>
      <c r="AE604" s="19"/>
      <c r="AF604" s="19"/>
      <c r="AG604" s="19"/>
      <c r="AH604" s="19"/>
      <c r="AI604" s="19"/>
      <c r="AJ604" s="19"/>
      <c r="FM604" s="54"/>
    </row>
    <row r="605" spans="1:169" s="18" customFormat="1">
      <c r="A605" s="51"/>
      <c r="B605" s="52"/>
      <c r="C605" s="52"/>
      <c r="D605" s="52"/>
      <c r="E605" s="52"/>
      <c r="F605" s="52"/>
      <c r="G605" s="52"/>
      <c r="H605" s="53"/>
      <c r="I605" s="52"/>
      <c r="J605" s="52"/>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c r="AH605" s="19"/>
      <c r="AI605" s="19"/>
      <c r="AJ605" s="19"/>
      <c r="FM605" s="54"/>
    </row>
    <row r="606" spans="1:169" s="18" customFormat="1">
      <c r="A606" s="51"/>
      <c r="B606" s="52"/>
      <c r="C606" s="52"/>
      <c r="D606" s="52"/>
      <c r="E606" s="52"/>
      <c r="F606" s="52"/>
      <c r="G606" s="52"/>
      <c r="H606" s="53"/>
      <c r="I606" s="52"/>
      <c r="J606" s="52"/>
      <c r="K606" s="19"/>
      <c r="L606" s="19"/>
      <c r="M606" s="19"/>
      <c r="N606" s="19"/>
      <c r="O606" s="19"/>
      <c r="P606" s="19"/>
      <c r="Q606" s="19"/>
      <c r="R606" s="19"/>
      <c r="S606" s="19"/>
      <c r="T606" s="19"/>
      <c r="U606" s="19"/>
      <c r="V606" s="19"/>
      <c r="W606" s="19"/>
      <c r="X606" s="19"/>
      <c r="Y606" s="19"/>
      <c r="Z606" s="19"/>
      <c r="AA606" s="19"/>
      <c r="AB606" s="19"/>
      <c r="AC606" s="19"/>
      <c r="AD606" s="19"/>
      <c r="AE606" s="19"/>
      <c r="AF606" s="19"/>
      <c r="AG606" s="19"/>
      <c r="AH606" s="19"/>
      <c r="AI606" s="19"/>
      <c r="AJ606" s="19"/>
      <c r="FM606" s="54"/>
    </row>
    <row r="607" spans="1:169" s="18" customFormat="1">
      <c r="A607" s="51"/>
      <c r="B607" s="52"/>
      <c r="C607" s="52"/>
      <c r="D607" s="52"/>
      <c r="E607" s="52"/>
      <c r="F607" s="52"/>
      <c r="G607" s="52"/>
      <c r="H607" s="53"/>
      <c r="I607" s="52"/>
      <c r="J607" s="52"/>
      <c r="K607" s="19"/>
      <c r="L607" s="19"/>
      <c r="M607" s="19"/>
      <c r="N607" s="19"/>
      <c r="O607" s="19"/>
      <c r="P607" s="19"/>
      <c r="Q607" s="19"/>
      <c r="R607" s="19"/>
      <c r="S607" s="19"/>
      <c r="T607" s="19"/>
      <c r="U607" s="19"/>
      <c r="V607" s="19"/>
      <c r="W607" s="19"/>
      <c r="X607" s="19"/>
      <c r="Y607" s="19"/>
      <c r="Z607" s="19"/>
      <c r="AA607" s="19"/>
      <c r="AB607" s="19"/>
      <c r="AC607" s="19"/>
      <c r="AD607" s="19"/>
      <c r="AE607" s="19"/>
      <c r="AF607" s="19"/>
      <c r="AG607" s="19"/>
      <c r="AH607" s="19"/>
      <c r="AI607" s="19"/>
      <c r="AJ607" s="19"/>
      <c r="FM607" s="54"/>
    </row>
    <row r="608" spans="1:169" s="18" customFormat="1">
      <c r="A608" s="51"/>
      <c r="B608" s="52"/>
      <c r="C608" s="52"/>
      <c r="D608" s="52"/>
      <c r="E608" s="52"/>
      <c r="F608" s="52"/>
      <c r="G608" s="52"/>
      <c r="H608" s="53"/>
      <c r="I608" s="52"/>
      <c r="J608" s="52"/>
      <c r="K608" s="19"/>
      <c r="L608" s="19"/>
      <c r="M608" s="19"/>
      <c r="N608" s="19"/>
      <c r="O608" s="19"/>
      <c r="P608" s="19"/>
      <c r="Q608" s="19"/>
      <c r="R608" s="19"/>
      <c r="S608" s="19"/>
      <c r="T608" s="19"/>
      <c r="U608" s="19"/>
      <c r="V608" s="19"/>
      <c r="W608" s="19"/>
      <c r="X608" s="19"/>
      <c r="Y608" s="19"/>
      <c r="Z608" s="19"/>
      <c r="AA608" s="19"/>
      <c r="AB608" s="19"/>
      <c r="AC608" s="19"/>
      <c r="AD608" s="19"/>
      <c r="AE608" s="19"/>
      <c r="AF608" s="19"/>
      <c r="AG608" s="19"/>
      <c r="AH608" s="19"/>
      <c r="AI608" s="19"/>
      <c r="AJ608" s="19"/>
      <c r="FM608" s="54"/>
    </row>
    <row r="609" spans="1:169" s="18" customFormat="1">
      <c r="A609" s="51"/>
      <c r="B609" s="52"/>
      <c r="C609" s="52"/>
      <c r="D609" s="52"/>
      <c r="E609" s="52"/>
      <c r="F609" s="52"/>
      <c r="G609" s="52"/>
      <c r="H609" s="53"/>
      <c r="I609" s="52"/>
      <c r="J609" s="52"/>
      <c r="K609" s="19"/>
      <c r="L609" s="19"/>
      <c r="M609" s="19"/>
      <c r="N609" s="19"/>
      <c r="O609" s="19"/>
      <c r="P609" s="19"/>
      <c r="Q609" s="19"/>
      <c r="R609" s="19"/>
      <c r="S609" s="19"/>
      <c r="T609" s="19"/>
      <c r="U609" s="19"/>
      <c r="V609" s="19"/>
      <c r="W609" s="19"/>
      <c r="X609" s="19"/>
      <c r="Y609" s="19"/>
      <c r="Z609" s="19"/>
      <c r="AA609" s="19"/>
      <c r="AB609" s="19"/>
      <c r="AC609" s="19"/>
      <c r="AD609" s="19"/>
      <c r="AE609" s="19"/>
      <c r="AF609" s="19"/>
      <c r="AG609" s="19"/>
      <c r="AH609" s="19"/>
      <c r="AI609" s="19"/>
      <c r="AJ609" s="19"/>
      <c r="FM609" s="54"/>
    </row>
    <row r="610" spans="1:169" s="18" customFormat="1">
      <c r="A610" s="51"/>
      <c r="B610" s="52"/>
      <c r="C610" s="52"/>
      <c r="D610" s="52"/>
      <c r="E610" s="52"/>
      <c r="F610" s="52"/>
      <c r="G610" s="52"/>
      <c r="H610" s="53"/>
      <c r="I610" s="52"/>
      <c r="J610" s="52"/>
      <c r="K610" s="19"/>
      <c r="L610" s="19"/>
      <c r="M610" s="19"/>
      <c r="N610" s="19"/>
      <c r="O610" s="19"/>
      <c r="P610" s="19"/>
      <c r="Q610" s="19"/>
      <c r="R610" s="19"/>
      <c r="S610" s="19"/>
      <c r="T610" s="19"/>
      <c r="U610" s="19"/>
      <c r="V610" s="19"/>
      <c r="W610" s="19"/>
      <c r="X610" s="19"/>
      <c r="Y610" s="19"/>
      <c r="Z610" s="19"/>
      <c r="AA610" s="19"/>
      <c r="AB610" s="19"/>
      <c r="AC610" s="19"/>
      <c r="AD610" s="19"/>
      <c r="AE610" s="19"/>
      <c r="AF610" s="19"/>
      <c r="AG610" s="19"/>
      <c r="AH610" s="19"/>
      <c r="AI610" s="19"/>
      <c r="AJ610" s="19"/>
      <c r="FM610" s="54"/>
    </row>
    <row r="611" spans="1:169" s="18" customFormat="1">
      <c r="A611" s="51"/>
      <c r="B611" s="52"/>
      <c r="C611" s="52"/>
      <c r="D611" s="52"/>
      <c r="E611" s="52"/>
      <c r="F611" s="52"/>
      <c r="G611" s="52"/>
      <c r="H611" s="53"/>
      <c r="I611" s="52"/>
      <c r="J611" s="52"/>
      <c r="K611" s="19"/>
      <c r="L611" s="19"/>
      <c r="M611" s="19"/>
      <c r="N611" s="19"/>
      <c r="O611" s="19"/>
      <c r="P611" s="19"/>
      <c r="Q611" s="19"/>
      <c r="R611" s="19"/>
      <c r="S611" s="19"/>
      <c r="T611" s="19"/>
      <c r="U611" s="19"/>
      <c r="V611" s="19"/>
      <c r="W611" s="19"/>
      <c r="X611" s="19"/>
      <c r="Y611" s="19"/>
      <c r="Z611" s="19"/>
      <c r="AA611" s="19"/>
      <c r="AB611" s="19"/>
      <c r="AC611" s="19"/>
      <c r="AD611" s="19"/>
      <c r="AE611" s="19"/>
      <c r="AF611" s="19"/>
      <c r="AG611" s="19"/>
      <c r="AH611" s="19"/>
      <c r="AI611" s="19"/>
      <c r="AJ611" s="19"/>
      <c r="FM611" s="54"/>
    </row>
    <row r="612" spans="1:169" s="18" customFormat="1">
      <c r="A612" s="51"/>
      <c r="B612" s="52"/>
      <c r="C612" s="52"/>
      <c r="D612" s="52"/>
      <c r="E612" s="52"/>
      <c r="F612" s="52"/>
      <c r="G612" s="52"/>
      <c r="H612" s="53"/>
      <c r="I612" s="52"/>
      <c r="J612" s="52"/>
      <c r="K612" s="19"/>
      <c r="L612" s="19"/>
      <c r="M612" s="19"/>
      <c r="N612" s="19"/>
      <c r="O612" s="19"/>
      <c r="P612" s="19"/>
      <c r="Q612" s="19"/>
      <c r="R612" s="19"/>
      <c r="S612" s="19"/>
      <c r="T612" s="19"/>
      <c r="U612" s="19"/>
      <c r="V612" s="19"/>
      <c r="W612" s="19"/>
      <c r="X612" s="19"/>
      <c r="Y612" s="19"/>
      <c r="Z612" s="19"/>
      <c r="AA612" s="19"/>
      <c r="AB612" s="19"/>
      <c r="AC612" s="19"/>
      <c r="AD612" s="19"/>
      <c r="AE612" s="19"/>
      <c r="AF612" s="19"/>
      <c r="AG612" s="19"/>
      <c r="AH612" s="19"/>
      <c r="AI612" s="19"/>
      <c r="AJ612" s="19"/>
      <c r="FM612" s="54"/>
    </row>
    <row r="613" spans="1:169" s="18" customFormat="1">
      <c r="A613" s="51"/>
      <c r="B613" s="52"/>
      <c r="C613" s="52"/>
      <c r="D613" s="52"/>
      <c r="E613" s="52"/>
      <c r="F613" s="52"/>
      <c r="G613" s="52"/>
      <c r="H613" s="53"/>
      <c r="I613" s="52"/>
      <c r="J613" s="52"/>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c r="AH613" s="19"/>
      <c r="AI613" s="19"/>
      <c r="AJ613" s="19"/>
      <c r="FM613" s="54"/>
    </row>
    <row r="614" spans="1:169" s="18" customFormat="1">
      <c r="A614" s="51"/>
      <c r="B614" s="52"/>
      <c r="C614" s="52"/>
      <c r="D614" s="52"/>
      <c r="E614" s="52"/>
      <c r="F614" s="52"/>
      <c r="G614" s="52"/>
      <c r="H614" s="53"/>
      <c r="I614" s="52"/>
      <c r="J614" s="52"/>
      <c r="K614" s="19"/>
      <c r="L614" s="19"/>
      <c r="M614" s="19"/>
      <c r="N614" s="19"/>
      <c r="O614" s="19"/>
      <c r="P614" s="19"/>
      <c r="Q614" s="19"/>
      <c r="R614" s="19"/>
      <c r="S614" s="19"/>
      <c r="T614" s="19"/>
      <c r="U614" s="19"/>
      <c r="V614" s="19"/>
      <c r="W614" s="19"/>
      <c r="X614" s="19"/>
      <c r="Y614" s="19"/>
      <c r="Z614" s="19"/>
      <c r="AA614" s="19"/>
      <c r="AB614" s="19"/>
      <c r="AC614" s="19"/>
      <c r="AD614" s="19"/>
      <c r="AE614" s="19"/>
      <c r="AF614" s="19"/>
      <c r="AG614" s="19"/>
      <c r="AH614" s="19"/>
      <c r="AI614" s="19"/>
      <c r="AJ614" s="19"/>
      <c r="FM614" s="54"/>
    </row>
    <row r="615" spans="1:169" s="18" customFormat="1">
      <c r="A615" s="51"/>
      <c r="B615" s="52"/>
      <c r="C615" s="52"/>
      <c r="D615" s="52"/>
      <c r="E615" s="52"/>
      <c r="F615" s="52"/>
      <c r="G615" s="52"/>
      <c r="H615" s="53"/>
      <c r="I615" s="52"/>
      <c r="J615" s="52"/>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c r="AH615" s="19"/>
      <c r="AI615" s="19"/>
      <c r="AJ615" s="19"/>
      <c r="FM615" s="54"/>
    </row>
    <row r="616" spans="1:169" s="18" customFormat="1">
      <c r="A616" s="51"/>
      <c r="B616" s="52"/>
      <c r="C616" s="52"/>
      <c r="D616" s="52"/>
      <c r="E616" s="52"/>
      <c r="F616" s="52"/>
      <c r="G616" s="52"/>
      <c r="H616" s="53"/>
      <c r="I616" s="52"/>
      <c r="J616" s="52"/>
      <c r="K616" s="19"/>
      <c r="L616" s="19"/>
      <c r="M616" s="19"/>
      <c r="N616" s="19"/>
      <c r="O616" s="19"/>
      <c r="P616" s="19"/>
      <c r="Q616" s="19"/>
      <c r="R616" s="19"/>
      <c r="S616" s="19"/>
      <c r="T616" s="19"/>
      <c r="U616" s="19"/>
      <c r="V616" s="19"/>
      <c r="W616" s="19"/>
      <c r="X616" s="19"/>
      <c r="Y616" s="19"/>
      <c r="Z616" s="19"/>
      <c r="AA616" s="19"/>
      <c r="AB616" s="19"/>
      <c r="AC616" s="19"/>
      <c r="AD616" s="19"/>
      <c r="AE616" s="19"/>
      <c r="AF616" s="19"/>
      <c r="AG616" s="19"/>
      <c r="AH616" s="19"/>
      <c r="AI616" s="19"/>
      <c r="AJ616" s="19"/>
      <c r="FM616" s="54"/>
    </row>
    <row r="617" spans="1:169" s="18" customFormat="1">
      <c r="A617" s="51"/>
      <c r="B617" s="52"/>
      <c r="C617" s="52"/>
      <c r="D617" s="52"/>
      <c r="E617" s="52"/>
      <c r="F617" s="52"/>
      <c r="G617" s="52"/>
      <c r="H617" s="53"/>
      <c r="I617" s="52"/>
      <c r="J617" s="52"/>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c r="AH617" s="19"/>
      <c r="AI617" s="19"/>
      <c r="AJ617" s="19"/>
      <c r="FM617" s="54"/>
    </row>
    <row r="618" spans="1:169" s="18" customFormat="1">
      <c r="A618" s="51"/>
      <c r="B618" s="52"/>
      <c r="C618" s="52"/>
      <c r="D618" s="52"/>
      <c r="E618" s="52"/>
      <c r="F618" s="52"/>
      <c r="G618" s="52"/>
      <c r="H618" s="53"/>
      <c r="I618" s="52"/>
      <c r="J618" s="52"/>
      <c r="K618" s="19"/>
      <c r="L618" s="19"/>
      <c r="M618" s="19"/>
      <c r="N618" s="19"/>
      <c r="O618" s="19"/>
      <c r="P618" s="19"/>
      <c r="Q618" s="19"/>
      <c r="R618" s="19"/>
      <c r="S618" s="19"/>
      <c r="T618" s="19"/>
      <c r="U618" s="19"/>
      <c r="V618" s="19"/>
      <c r="W618" s="19"/>
      <c r="X618" s="19"/>
      <c r="Y618" s="19"/>
      <c r="Z618" s="19"/>
      <c r="AA618" s="19"/>
      <c r="AB618" s="19"/>
      <c r="AC618" s="19"/>
      <c r="AD618" s="19"/>
      <c r="AE618" s="19"/>
      <c r="AF618" s="19"/>
      <c r="AG618" s="19"/>
      <c r="AH618" s="19"/>
      <c r="AI618" s="19"/>
      <c r="AJ618" s="19"/>
      <c r="FM618" s="54"/>
    </row>
    <row r="619" spans="1:169" s="18" customFormat="1">
      <c r="A619" s="51"/>
      <c r="B619" s="52"/>
      <c r="C619" s="52"/>
      <c r="D619" s="52"/>
      <c r="E619" s="52"/>
      <c r="F619" s="52"/>
      <c r="G619" s="52"/>
      <c r="H619" s="53"/>
      <c r="I619" s="52"/>
      <c r="J619" s="52"/>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c r="AH619" s="19"/>
      <c r="AI619" s="19"/>
      <c r="AJ619" s="19"/>
      <c r="FM619" s="54"/>
    </row>
    <row r="620" spans="1:169" s="18" customFormat="1">
      <c r="A620" s="51"/>
      <c r="B620" s="52"/>
      <c r="C620" s="52"/>
      <c r="D620" s="52"/>
      <c r="E620" s="52"/>
      <c r="F620" s="52"/>
      <c r="G620" s="52"/>
      <c r="H620" s="53"/>
      <c r="I620" s="52"/>
      <c r="J620" s="52"/>
      <c r="K620" s="19"/>
      <c r="L620" s="19"/>
      <c r="M620" s="19"/>
      <c r="N620" s="19"/>
      <c r="O620" s="19"/>
      <c r="P620" s="19"/>
      <c r="Q620" s="19"/>
      <c r="R620" s="19"/>
      <c r="S620" s="19"/>
      <c r="T620" s="19"/>
      <c r="U620" s="19"/>
      <c r="V620" s="19"/>
      <c r="W620" s="19"/>
      <c r="X620" s="19"/>
      <c r="Y620" s="19"/>
      <c r="Z620" s="19"/>
      <c r="AA620" s="19"/>
      <c r="AB620" s="19"/>
      <c r="AC620" s="19"/>
      <c r="AD620" s="19"/>
      <c r="AE620" s="19"/>
      <c r="AF620" s="19"/>
      <c r="AG620" s="19"/>
      <c r="AH620" s="19"/>
      <c r="AI620" s="19"/>
      <c r="AJ620" s="19"/>
      <c r="FM620" s="54"/>
    </row>
    <row r="621" spans="1:169" s="18" customFormat="1">
      <c r="A621" s="51"/>
      <c r="B621" s="52"/>
      <c r="C621" s="52"/>
      <c r="D621" s="52"/>
      <c r="E621" s="52"/>
      <c r="F621" s="52"/>
      <c r="G621" s="52"/>
      <c r="H621" s="53"/>
      <c r="I621" s="52"/>
      <c r="J621" s="52"/>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c r="AH621" s="19"/>
      <c r="AI621" s="19"/>
      <c r="AJ621" s="19"/>
      <c r="FM621" s="54"/>
    </row>
    <row r="622" spans="1:169" s="18" customFormat="1">
      <c r="A622" s="51"/>
      <c r="B622" s="52"/>
      <c r="C622" s="52"/>
      <c r="D622" s="52"/>
      <c r="E622" s="52"/>
      <c r="F622" s="52"/>
      <c r="G622" s="52"/>
      <c r="H622" s="53"/>
      <c r="I622" s="52"/>
      <c r="J622" s="52"/>
      <c r="K622" s="19"/>
      <c r="L622" s="19"/>
      <c r="M622" s="19"/>
      <c r="N622" s="19"/>
      <c r="O622" s="19"/>
      <c r="P622" s="19"/>
      <c r="Q622" s="19"/>
      <c r="R622" s="19"/>
      <c r="S622" s="19"/>
      <c r="T622" s="19"/>
      <c r="U622" s="19"/>
      <c r="V622" s="19"/>
      <c r="W622" s="19"/>
      <c r="X622" s="19"/>
      <c r="Y622" s="19"/>
      <c r="Z622" s="19"/>
      <c r="AA622" s="19"/>
      <c r="AB622" s="19"/>
      <c r="AC622" s="19"/>
      <c r="AD622" s="19"/>
      <c r="AE622" s="19"/>
      <c r="AF622" s="19"/>
      <c r="AG622" s="19"/>
      <c r="AH622" s="19"/>
      <c r="AI622" s="19"/>
      <c r="AJ622" s="19"/>
      <c r="FM622" s="54"/>
    </row>
    <row r="623" spans="1:169" s="18" customFormat="1">
      <c r="A623" s="51"/>
      <c r="B623" s="52"/>
      <c r="C623" s="52"/>
      <c r="D623" s="52"/>
      <c r="E623" s="52"/>
      <c r="F623" s="52"/>
      <c r="G623" s="52"/>
      <c r="H623" s="53"/>
      <c r="I623" s="52"/>
      <c r="J623" s="52"/>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c r="AH623" s="19"/>
      <c r="AI623" s="19"/>
      <c r="AJ623" s="19"/>
      <c r="FM623" s="54"/>
    </row>
    <row r="624" spans="1:169" s="18" customFormat="1">
      <c r="A624" s="51"/>
      <c r="B624" s="52"/>
      <c r="C624" s="52"/>
      <c r="D624" s="52"/>
      <c r="E624" s="52"/>
      <c r="F624" s="52"/>
      <c r="G624" s="52"/>
      <c r="H624" s="53"/>
      <c r="I624" s="52"/>
      <c r="J624" s="52"/>
      <c r="K624" s="19"/>
      <c r="L624" s="19"/>
      <c r="M624" s="19"/>
      <c r="N624" s="19"/>
      <c r="O624" s="19"/>
      <c r="P624" s="19"/>
      <c r="Q624" s="19"/>
      <c r="R624" s="19"/>
      <c r="S624" s="19"/>
      <c r="T624" s="19"/>
      <c r="U624" s="19"/>
      <c r="V624" s="19"/>
      <c r="W624" s="19"/>
      <c r="X624" s="19"/>
      <c r="Y624" s="19"/>
      <c r="Z624" s="19"/>
      <c r="AA624" s="19"/>
      <c r="AB624" s="19"/>
      <c r="AC624" s="19"/>
      <c r="AD624" s="19"/>
      <c r="AE624" s="19"/>
      <c r="AF624" s="19"/>
      <c r="AG624" s="19"/>
      <c r="AH624" s="19"/>
      <c r="AI624" s="19"/>
      <c r="AJ624" s="19"/>
      <c r="FM624" s="54"/>
    </row>
    <row r="625" spans="1:169" s="18" customFormat="1">
      <c r="A625" s="51"/>
      <c r="B625" s="52"/>
      <c r="C625" s="52"/>
      <c r="D625" s="52"/>
      <c r="E625" s="52"/>
      <c r="F625" s="52"/>
      <c r="G625" s="52"/>
      <c r="H625" s="53"/>
      <c r="I625" s="52"/>
      <c r="J625" s="52"/>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c r="AH625" s="19"/>
      <c r="AI625" s="19"/>
      <c r="AJ625" s="19"/>
      <c r="FM625" s="54"/>
    </row>
    <row r="626" spans="1:169" s="18" customFormat="1">
      <c r="A626" s="51"/>
      <c r="B626" s="52"/>
      <c r="C626" s="52"/>
      <c r="D626" s="52"/>
      <c r="E626" s="52"/>
      <c r="F626" s="52"/>
      <c r="G626" s="52"/>
      <c r="H626" s="53"/>
      <c r="I626" s="52"/>
      <c r="J626" s="52"/>
      <c r="K626" s="19"/>
      <c r="L626" s="19"/>
      <c r="M626" s="19"/>
      <c r="N626" s="19"/>
      <c r="O626" s="19"/>
      <c r="P626" s="19"/>
      <c r="Q626" s="19"/>
      <c r="R626" s="19"/>
      <c r="S626" s="19"/>
      <c r="T626" s="19"/>
      <c r="U626" s="19"/>
      <c r="V626" s="19"/>
      <c r="W626" s="19"/>
      <c r="X626" s="19"/>
      <c r="Y626" s="19"/>
      <c r="Z626" s="19"/>
      <c r="AA626" s="19"/>
      <c r="AB626" s="19"/>
      <c r="AC626" s="19"/>
      <c r="AD626" s="19"/>
      <c r="AE626" s="19"/>
      <c r="AF626" s="19"/>
      <c r="AG626" s="19"/>
      <c r="AH626" s="19"/>
      <c r="AI626" s="19"/>
      <c r="AJ626" s="19"/>
      <c r="FM626" s="54"/>
    </row>
    <row r="627" spans="1:169" s="18" customFormat="1">
      <c r="A627" s="51"/>
      <c r="B627" s="52"/>
      <c r="C627" s="52"/>
      <c r="D627" s="52"/>
      <c r="E627" s="52"/>
      <c r="F627" s="52"/>
      <c r="G627" s="52"/>
      <c r="H627" s="53"/>
      <c r="I627" s="52"/>
      <c r="J627" s="52"/>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c r="AH627" s="19"/>
      <c r="AI627" s="19"/>
      <c r="AJ627" s="19"/>
      <c r="FM627" s="54"/>
    </row>
    <row r="628" spans="1:169" s="18" customFormat="1">
      <c r="A628" s="51"/>
      <c r="B628" s="52"/>
      <c r="C628" s="52"/>
      <c r="D628" s="52"/>
      <c r="E628" s="52"/>
      <c r="F628" s="52"/>
      <c r="G628" s="52"/>
      <c r="H628" s="53"/>
      <c r="I628" s="52"/>
      <c r="J628" s="52"/>
      <c r="K628" s="19"/>
      <c r="L628" s="19"/>
      <c r="M628" s="19"/>
      <c r="N628" s="19"/>
      <c r="O628" s="19"/>
      <c r="P628" s="19"/>
      <c r="Q628" s="19"/>
      <c r="R628" s="19"/>
      <c r="S628" s="19"/>
      <c r="T628" s="19"/>
      <c r="U628" s="19"/>
      <c r="V628" s="19"/>
      <c r="W628" s="19"/>
      <c r="X628" s="19"/>
      <c r="Y628" s="19"/>
      <c r="Z628" s="19"/>
      <c r="AA628" s="19"/>
      <c r="AB628" s="19"/>
      <c r="AC628" s="19"/>
      <c r="AD628" s="19"/>
      <c r="AE628" s="19"/>
      <c r="AF628" s="19"/>
      <c r="AG628" s="19"/>
      <c r="AH628" s="19"/>
      <c r="AI628" s="19"/>
      <c r="AJ628" s="19"/>
      <c r="FM628" s="54"/>
    </row>
    <row r="629" spans="1:169" s="18" customFormat="1">
      <c r="A629" s="51"/>
      <c r="B629" s="52"/>
      <c r="C629" s="52"/>
      <c r="D629" s="52"/>
      <c r="E629" s="52"/>
      <c r="F629" s="52"/>
      <c r="G629" s="52"/>
      <c r="H629" s="53"/>
      <c r="I629" s="52"/>
      <c r="J629" s="52"/>
      <c r="K629" s="19"/>
      <c r="L629" s="19"/>
      <c r="M629" s="19"/>
      <c r="N629" s="19"/>
      <c r="O629" s="19"/>
      <c r="P629" s="19"/>
      <c r="Q629" s="19"/>
      <c r="R629" s="19"/>
      <c r="S629" s="19"/>
      <c r="T629" s="19"/>
      <c r="U629" s="19"/>
      <c r="V629" s="19"/>
      <c r="W629" s="19"/>
      <c r="X629" s="19"/>
      <c r="Y629" s="19"/>
      <c r="Z629" s="19"/>
      <c r="AA629" s="19"/>
      <c r="AB629" s="19"/>
      <c r="AC629" s="19"/>
      <c r="AD629" s="19"/>
      <c r="AE629" s="19"/>
      <c r="AF629" s="19"/>
      <c r="AG629" s="19"/>
      <c r="AH629" s="19"/>
      <c r="AI629" s="19"/>
      <c r="AJ629" s="19"/>
      <c r="FM629" s="54"/>
    </row>
    <row r="630" spans="1:169" s="18" customFormat="1">
      <c r="A630" s="51"/>
      <c r="B630" s="52"/>
      <c r="C630" s="52"/>
      <c r="D630" s="52"/>
      <c r="E630" s="52"/>
      <c r="F630" s="52"/>
      <c r="G630" s="52"/>
      <c r="H630" s="53"/>
      <c r="I630" s="52"/>
      <c r="J630" s="52"/>
      <c r="K630" s="19"/>
      <c r="L630" s="19"/>
      <c r="M630" s="19"/>
      <c r="N630" s="19"/>
      <c r="O630" s="19"/>
      <c r="P630" s="19"/>
      <c r="Q630" s="19"/>
      <c r="R630" s="19"/>
      <c r="S630" s="19"/>
      <c r="T630" s="19"/>
      <c r="U630" s="19"/>
      <c r="V630" s="19"/>
      <c r="W630" s="19"/>
      <c r="X630" s="19"/>
      <c r="Y630" s="19"/>
      <c r="Z630" s="19"/>
      <c r="AA630" s="19"/>
      <c r="AB630" s="19"/>
      <c r="AC630" s="19"/>
      <c r="AD630" s="19"/>
      <c r="AE630" s="19"/>
      <c r="AF630" s="19"/>
      <c r="AG630" s="19"/>
      <c r="AH630" s="19"/>
      <c r="AI630" s="19"/>
      <c r="AJ630" s="19"/>
      <c r="FM630" s="54"/>
    </row>
    <row r="631" spans="1:169" s="18" customFormat="1">
      <c r="A631" s="51"/>
      <c r="B631" s="52"/>
      <c r="C631" s="52"/>
      <c r="D631" s="52"/>
      <c r="E631" s="52"/>
      <c r="F631" s="52"/>
      <c r="G631" s="52"/>
      <c r="H631" s="53"/>
      <c r="I631" s="52"/>
      <c r="J631" s="52"/>
      <c r="K631" s="19"/>
      <c r="L631" s="19"/>
      <c r="M631" s="19"/>
      <c r="N631" s="19"/>
      <c r="O631" s="19"/>
      <c r="P631" s="19"/>
      <c r="Q631" s="19"/>
      <c r="R631" s="19"/>
      <c r="S631" s="19"/>
      <c r="T631" s="19"/>
      <c r="U631" s="19"/>
      <c r="V631" s="19"/>
      <c r="W631" s="19"/>
      <c r="X631" s="19"/>
      <c r="Y631" s="19"/>
      <c r="Z631" s="19"/>
      <c r="AA631" s="19"/>
      <c r="AB631" s="19"/>
      <c r="AC631" s="19"/>
      <c r="AD631" s="19"/>
      <c r="AE631" s="19"/>
      <c r="AF631" s="19"/>
      <c r="AG631" s="19"/>
      <c r="AH631" s="19"/>
      <c r="AI631" s="19"/>
      <c r="AJ631" s="19"/>
      <c r="FM631" s="54"/>
    </row>
    <row r="632" spans="1:169" s="18" customFormat="1">
      <c r="A632" s="51"/>
      <c r="B632" s="52"/>
      <c r="C632" s="52"/>
      <c r="D632" s="52"/>
      <c r="E632" s="52"/>
      <c r="F632" s="52"/>
      <c r="G632" s="52"/>
      <c r="H632" s="53"/>
      <c r="I632" s="52"/>
      <c r="J632" s="52"/>
      <c r="K632" s="19"/>
      <c r="L632" s="19"/>
      <c r="M632" s="19"/>
      <c r="N632" s="19"/>
      <c r="O632" s="19"/>
      <c r="P632" s="19"/>
      <c r="Q632" s="19"/>
      <c r="R632" s="19"/>
      <c r="S632" s="19"/>
      <c r="T632" s="19"/>
      <c r="U632" s="19"/>
      <c r="V632" s="19"/>
      <c r="W632" s="19"/>
      <c r="X632" s="19"/>
      <c r="Y632" s="19"/>
      <c r="Z632" s="19"/>
      <c r="AA632" s="19"/>
      <c r="AB632" s="19"/>
      <c r="AC632" s="19"/>
      <c r="AD632" s="19"/>
      <c r="AE632" s="19"/>
      <c r="AF632" s="19"/>
      <c r="AG632" s="19"/>
      <c r="AH632" s="19"/>
      <c r="AI632" s="19"/>
      <c r="AJ632" s="19"/>
      <c r="FM632" s="54"/>
    </row>
    <row r="633" spans="1:169" s="18" customFormat="1">
      <c r="A633" s="51"/>
      <c r="B633" s="52"/>
      <c r="C633" s="52"/>
      <c r="D633" s="52"/>
      <c r="E633" s="52"/>
      <c r="F633" s="52"/>
      <c r="G633" s="52"/>
      <c r="H633" s="53"/>
      <c r="I633" s="52"/>
      <c r="J633" s="52"/>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c r="AH633" s="19"/>
      <c r="AI633" s="19"/>
      <c r="AJ633" s="19"/>
      <c r="FM633" s="54"/>
    </row>
    <row r="634" spans="1:169" s="18" customFormat="1">
      <c r="A634" s="51"/>
      <c r="B634" s="52"/>
      <c r="C634" s="52"/>
      <c r="D634" s="52"/>
      <c r="E634" s="52"/>
      <c r="F634" s="52"/>
      <c r="G634" s="52"/>
      <c r="H634" s="53"/>
      <c r="I634" s="52"/>
      <c r="J634" s="52"/>
      <c r="K634" s="19"/>
      <c r="L634" s="19"/>
      <c r="M634" s="19"/>
      <c r="N634" s="19"/>
      <c r="O634" s="19"/>
      <c r="P634" s="19"/>
      <c r="Q634" s="19"/>
      <c r="R634" s="19"/>
      <c r="S634" s="19"/>
      <c r="T634" s="19"/>
      <c r="U634" s="19"/>
      <c r="V634" s="19"/>
      <c r="W634" s="19"/>
      <c r="X634" s="19"/>
      <c r="Y634" s="19"/>
      <c r="Z634" s="19"/>
      <c r="AA634" s="19"/>
      <c r="AB634" s="19"/>
      <c r="AC634" s="19"/>
      <c r="AD634" s="19"/>
      <c r="AE634" s="19"/>
      <c r="AF634" s="19"/>
      <c r="AG634" s="19"/>
      <c r="AH634" s="19"/>
      <c r="AI634" s="19"/>
      <c r="AJ634" s="19"/>
      <c r="FM634" s="54"/>
    </row>
    <row r="635" spans="1:169" s="18" customFormat="1">
      <c r="A635" s="51"/>
      <c r="B635" s="52"/>
      <c r="C635" s="52"/>
      <c r="D635" s="52"/>
      <c r="E635" s="52"/>
      <c r="F635" s="52"/>
      <c r="G635" s="52"/>
      <c r="H635" s="53"/>
      <c r="I635" s="52"/>
      <c r="J635" s="52"/>
      <c r="K635" s="19"/>
      <c r="L635" s="19"/>
      <c r="M635" s="19"/>
      <c r="N635" s="19"/>
      <c r="O635" s="19"/>
      <c r="P635" s="19"/>
      <c r="Q635" s="19"/>
      <c r="R635" s="19"/>
      <c r="S635" s="19"/>
      <c r="T635" s="19"/>
      <c r="U635" s="19"/>
      <c r="V635" s="19"/>
      <c r="W635" s="19"/>
      <c r="X635" s="19"/>
      <c r="Y635" s="19"/>
      <c r="Z635" s="19"/>
      <c r="AA635" s="19"/>
      <c r="AB635" s="19"/>
      <c r="AC635" s="19"/>
      <c r="AD635" s="19"/>
      <c r="AE635" s="19"/>
      <c r="AF635" s="19"/>
      <c r="AG635" s="19"/>
      <c r="AH635" s="19"/>
      <c r="AI635" s="19"/>
      <c r="AJ635" s="19"/>
      <c r="FM635" s="54"/>
    </row>
    <row r="636" spans="1:169" s="18" customFormat="1">
      <c r="A636" s="51"/>
      <c r="B636" s="52"/>
      <c r="C636" s="52"/>
      <c r="D636" s="52"/>
      <c r="E636" s="52"/>
      <c r="F636" s="52"/>
      <c r="G636" s="52"/>
      <c r="H636" s="53"/>
      <c r="I636" s="52"/>
      <c r="J636" s="52"/>
      <c r="K636" s="19"/>
      <c r="L636" s="19"/>
      <c r="M636" s="19"/>
      <c r="N636" s="19"/>
      <c r="O636" s="19"/>
      <c r="P636" s="19"/>
      <c r="Q636" s="19"/>
      <c r="R636" s="19"/>
      <c r="S636" s="19"/>
      <c r="T636" s="19"/>
      <c r="U636" s="19"/>
      <c r="V636" s="19"/>
      <c r="W636" s="19"/>
      <c r="X636" s="19"/>
      <c r="Y636" s="19"/>
      <c r="Z636" s="19"/>
      <c r="AA636" s="19"/>
      <c r="AB636" s="19"/>
      <c r="AC636" s="19"/>
      <c r="AD636" s="19"/>
      <c r="AE636" s="19"/>
      <c r="AF636" s="19"/>
      <c r="AG636" s="19"/>
      <c r="AH636" s="19"/>
      <c r="AI636" s="19"/>
      <c r="AJ636" s="19"/>
      <c r="FM636" s="54"/>
    </row>
    <row r="637" spans="1:169" s="18" customFormat="1">
      <c r="A637" s="51"/>
      <c r="B637" s="52"/>
      <c r="C637" s="52"/>
      <c r="D637" s="52"/>
      <c r="E637" s="52"/>
      <c r="F637" s="52"/>
      <c r="G637" s="52"/>
      <c r="H637" s="53"/>
      <c r="I637" s="52"/>
      <c r="J637" s="52"/>
      <c r="K637" s="19"/>
      <c r="L637" s="19"/>
      <c r="M637" s="19"/>
      <c r="N637" s="19"/>
      <c r="O637" s="19"/>
      <c r="P637" s="19"/>
      <c r="Q637" s="19"/>
      <c r="R637" s="19"/>
      <c r="S637" s="19"/>
      <c r="T637" s="19"/>
      <c r="U637" s="19"/>
      <c r="V637" s="19"/>
      <c r="W637" s="19"/>
      <c r="X637" s="19"/>
      <c r="Y637" s="19"/>
      <c r="Z637" s="19"/>
      <c r="AA637" s="19"/>
      <c r="AB637" s="19"/>
      <c r="AC637" s="19"/>
      <c r="AD637" s="19"/>
      <c r="AE637" s="19"/>
      <c r="AF637" s="19"/>
      <c r="AG637" s="19"/>
      <c r="AH637" s="19"/>
      <c r="AI637" s="19"/>
      <c r="AJ637" s="19"/>
      <c r="FM637" s="54"/>
    </row>
    <row r="638" spans="1:169" s="18" customFormat="1">
      <c r="A638" s="51"/>
      <c r="B638" s="52"/>
      <c r="C638" s="52"/>
      <c r="D638" s="52"/>
      <c r="E638" s="52"/>
      <c r="F638" s="52"/>
      <c r="G638" s="52"/>
      <c r="H638" s="53"/>
      <c r="I638" s="52"/>
      <c r="J638" s="52"/>
      <c r="K638" s="19"/>
      <c r="L638" s="19"/>
      <c r="M638" s="19"/>
      <c r="N638" s="19"/>
      <c r="O638" s="19"/>
      <c r="P638" s="19"/>
      <c r="Q638" s="19"/>
      <c r="R638" s="19"/>
      <c r="S638" s="19"/>
      <c r="T638" s="19"/>
      <c r="U638" s="19"/>
      <c r="V638" s="19"/>
      <c r="W638" s="19"/>
      <c r="X638" s="19"/>
      <c r="Y638" s="19"/>
      <c r="Z638" s="19"/>
      <c r="AA638" s="19"/>
      <c r="AB638" s="19"/>
      <c r="AC638" s="19"/>
      <c r="AD638" s="19"/>
      <c r="AE638" s="19"/>
      <c r="AF638" s="19"/>
      <c r="AG638" s="19"/>
      <c r="AH638" s="19"/>
      <c r="AI638" s="19"/>
      <c r="AJ638" s="19"/>
      <c r="FM638" s="54"/>
    </row>
    <row r="639" spans="1:169" s="18" customFormat="1">
      <c r="A639" s="51"/>
      <c r="B639" s="52"/>
      <c r="C639" s="52"/>
      <c r="D639" s="52"/>
      <c r="E639" s="52"/>
      <c r="F639" s="52"/>
      <c r="G639" s="52"/>
      <c r="H639" s="53"/>
      <c r="I639" s="52"/>
      <c r="J639" s="52"/>
      <c r="K639" s="19"/>
      <c r="L639" s="19"/>
      <c r="M639" s="19"/>
      <c r="N639" s="19"/>
      <c r="O639" s="19"/>
      <c r="P639" s="19"/>
      <c r="Q639" s="19"/>
      <c r="R639" s="19"/>
      <c r="S639" s="19"/>
      <c r="T639" s="19"/>
      <c r="U639" s="19"/>
      <c r="V639" s="19"/>
      <c r="W639" s="19"/>
      <c r="X639" s="19"/>
      <c r="Y639" s="19"/>
      <c r="Z639" s="19"/>
      <c r="AA639" s="19"/>
      <c r="AB639" s="19"/>
      <c r="AC639" s="19"/>
      <c r="AD639" s="19"/>
      <c r="AE639" s="19"/>
      <c r="AF639" s="19"/>
      <c r="AG639" s="19"/>
      <c r="AH639" s="19"/>
      <c r="AI639" s="19"/>
      <c r="AJ639" s="19"/>
      <c r="FM639" s="54"/>
    </row>
    <row r="640" spans="1:169" s="18" customFormat="1">
      <c r="A640" s="51"/>
      <c r="B640" s="52"/>
      <c r="C640" s="52"/>
      <c r="D640" s="52"/>
      <c r="E640" s="52"/>
      <c r="F640" s="52"/>
      <c r="G640" s="52"/>
      <c r="H640" s="53"/>
      <c r="I640" s="52"/>
      <c r="J640" s="52"/>
      <c r="K640" s="19"/>
      <c r="L640" s="19"/>
      <c r="M640" s="19"/>
      <c r="N640" s="19"/>
      <c r="O640" s="19"/>
      <c r="P640" s="19"/>
      <c r="Q640" s="19"/>
      <c r="R640" s="19"/>
      <c r="S640" s="19"/>
      <c r="T640" s="19"/>
      <c r="U640" s="19"/>
      <c r="V640" s="19"/>
      <c r="W640" s="19"/>
      <c r="X640" s="19"/>
      <c r="Y640" s="19"/>
      <c r="Z640" s="19"/>
      <c r="AA640" s="19"/>
      <c r="AB640" s="19"/>
      <c r="AC640" s="19"/>
      <c r="AD640" s="19"/>
      <c r="AE640" s="19"/>
      <c r="AF640" s="19"/>
      <c r="AG640" s="19"/>
      <c r="AH640" s="19"/>
      <c r="AI640" s="19"/>
      <c r="AJ640" s="19"/>
      <c r="FM640" s="54"/>
    </row>
    <row r="641" spans="1:169" s="18" customFormat="1">
      <c r="A641" s="51"/>
      <c r="B641" s="52"/>
      <c r="C641" s="52"/>
      <c r="D641" s="52"/>
      <c r="E641" s="52"/>
      <c r="F641" s="52"/>
      <c r="G641" s="52"/>
      <c r="H641" s="53"/>
      <c r="I641" s="52"/>
      <c r="J641" s="52"/>
      <c r="K641" s="19"/>
      <c r="L641" s="19"/>
      <c r="M641" s="19"/>
      <c r="N641" s="19"/>
      <c r="O641" s="19"/>
      <c r="P641" s="19"/>
      <c r="Q641" s="19"/>
      <c r="R641" s="19"/>
      <c r="S641" s="19"/>
      <c r="T641" s="19"/>
      <c r="U641" s="19"/>
      <c r="V641" s="19"/>
      <c r="W641" s="19"/>
      <c r="X641" s="19"/>
      <c r="Y641" s="19"/>
      <c r="Z641" s="19"/>
      <c r="AA641" s="19"/>
      <c r="AB641" s="19"/>
      <c r="AC641" s="19"/>
      <c r="AD641" s="19"/>
      <c r="AE641" s="19"/>
      <c r="AF641" s="19"/>
      <c r="AG641" s="19"/>
      <c r="AH641" s="19"/>
      <c r="AI641" s="19"/>
      <c r="AJ641" s="19"/>
      <c r="FM641" s="54"/>
    </row>
    <row r="642" spans="1:169" s="18" customFormat="1">
      <c r="A642" s="51"/>
      <c r="B642" s="52"/>
      <c r="C642" s="52"/>
      <c r="D642" s="52"/>
      <c r="E642" s="52"/>
      <c r="F642" s="52"/>
      <c r="G642" s="52"/>
      <c r="H642" s="53"/>
      <c r="I642" s="52"/>
      <c r="J642" s="52"/>
      <c r="K642" s="19"/>
      <c r="L642" s="19"/>
      <c r="M642" s="19"/>
      <c r="N642" s="19"/>
      <c r="O642" s="19"/>
      <c r="P642" s="19"/>
      <c r="Q642" s="19"/>
      <c r="R642" s="19"/>
      <c r="S642" s="19"/>
      <c r="T642" s="19"/>
      <c r="U642" s="19"/>
      <c r="V642" s="19"/>
      <c r="W642" s="19"/>
      <c r="X642" s="19"/>
      <c r="Y642" s="19"/>
      <c r="Z642" s="19"/>
      <c r="AA642" s="19"/>
      <c r="AB642" s="19"/>
      <c r="AC642" s="19"/>
      <c r="AD642" s="19"/>
      <c r="AE642" s="19"/>
      <c r="AF642" s="19"/>
      <c r="AG642" s="19"/>
      <c r="AH642" s="19"/>
      <c r="AI642" s="19"/>
      <c r="AJ642" s="19"/>
      <c r="FM642" s="54"/>
    </row>
    <row r="643" spans="1:169" s="18" customFormat="1">
      <c r="A643" s="51"/>
      <c r="B643" s="52"/>
      <c r="C643" s="52"/>
      <c r="D643" s="52"/>
      <c r="E643" s="52"/>
      <c r="F643" s="52"/>
      <c r="G643" s="52"/>
      <c r="H643" s="53"/>
      <c r="I643" s="52"/>
      <c r="J643" s="52"/>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c r="AH643" s="19"/>
      <c r="AI643" s="19"/>
      <c r="AJ643" s="19"/>
      <c r="FM643" s="54"/>
    </row>
    <row r="644" spans="1:169" s="18" customFormat="1">
      <c r="A644" s="51"/>
      <c r="B644" s="52"/>
      <c r="C644" s="52"/>
      <c r="D644" s="52"/>
      <c r="E644" s="52"/>
      <c r="F644" s="52"/>
      <c r="G644" s="52"/>
      <c r="H644" s="53"/>
      <c r="I644" s="52"/>
      <c r="J644" s="52"/>
      <c r="K644" s="19"/>
      <c r="L644" s="19"/>
      <c r="M644" s="19"/>
      <c r="N644" s="19"/>
      <c r="O644" s="19"/>
      <c r="P644" s="19"/>
      <c r="Q644" s="19"/>
      <c r="R644" s="19"/>
      <c r="S644" s="19"/>
      <c r="T644" s="19"/>
      <c r="U644" s="19"/>
      <c r="V644" s="19"/>
      <c r="W644" s="19"/>
      <c r="X644" s="19"/>
      <c r="Y644" s="19"/>
      <c r="Z644" s="19"/>
      <c r="AA644" s="19"/>
      <c r="AB644" s="19"/>
      <c r="AC644" s="19"/>
      <c r="AD644" s="19"/>
      <c r="AE644" s="19"/>
      <c r="AF644" s="19"/>
      <c r="AG644" s="19"/>
      <c r="AH644" s="19"/>
      <c r="AI644" s="19"/>
      <c r="AJ644" s="19"/>
      <c r="FM644" s="54"/>
    </row>
    <row r="645" spans="1:169" s="18" customFormat="1">
      <c r="A645" s="51"/>
      <c r="B645" s="52"/>
      <c r="C645" s="52"/>
      <c r="D645" s="52"/>
      <c r="E645" s="52"/>
      <c r="F645" s="52"/>
      <c r="G645" s="52"/>
      <c r="H645" s="53"/>
      <c r="I645" s="52"/>
      <c r="J645" s="52"/>
      <c r="K645" s="19"/>
      <c r="L645" s="19"/>
      <c r="M645" s="19"/>
      <c r="N645" s="19"/>
      <c r="O645" s="19"/>
      <c r="P645" s="19"/>
      <c r="Q645" s="19"/>
      <c r="R645" s="19"/>
      <c r="S645" s="19"/>
      <c r="T645" s="19"/>
      <c r="U645" s="19"/>
      <c r="V645" s="19"/>
      <c r="W645" s="19"/>
      <c r="X645" s="19"/>
      <c r="Y645" s="19"/>
      <c r="Z645" s="19"/>
      <c r="AA645" s="19"/>
      <c r="AB645" s="19"/>
      <c r="AC645" s="19"/>
      <c r="AD645" s="19"/>
      <c r="AE645" s="19"/>
      <c r="AF645" s="19"/>
      <c r="AG645" s="19"/>
      <c r="AH645" s="19"/>
      <c r="AI645" s="19"/>
      <c r="AJ645" s="19"/>
      <c r="FM645" s="54"/>
    </row>
    <row r="646" spans="1:169" s="18" customFormat="1">
      <c r="A646" s="51"/>
      <c r="B646" s="52"/>
      <c r="C646" s="52"/>
      <c r="D646" s="52"/>
      <c r="E646" s="52"/>
      <c r="F646" s="52"/>
      <c r="G646" s="52"/>
      <c r="H646" s="53"/>
      <c r="I646" s="52"/>
      <c r="J646" s="52"/>
      <c r="K646" s="19"/>
      <c r="L646" s="19"/>
      <c r="M646" s="19"/>
      <c r="N646" s="19"/>
      <c r="O646" s="19"/>
      <c r="P646" s="19"/>
      <c r="Q646" s="19"/>
      <c r="R646" s="19"/>
      <c r="S646" s="19"/>
      <c r="T646" s="19"/>
      <c r="U646" s="19"/>
      <c r="V646" s="19"/>
      <c r="W646" s="19"/>
      <c r="X646" s="19"/>
      <c r="Y646" s="19"/>
      <c r="Z646" s="19"/>
      <c r="AA646" s="19"/>
      <c r="AB646" s="19"/>
      <c r="AC646" s="19"/>
      <c r="AD646" s="19"/>
      <c r="AE646" s="19"/>
      <c r="AF646" s="19"/>
      <c r="AG646" s="19"/>
      <c r="AH646" s="19"/>
      <c r="AI646" s="19"/>
      <c r="AJ646" s="19"/>
      <c r="FM646" s="54"/>
    </row>
    <row r="647" spans="1:169" s="18" customFormat="1">
      <c r="A647" s="51"/>
      <c r="B647" s="52"/>
      <c r="C647" s="52"/>
      <c r="D647" s="52"/>
      <c r="E647" s="52"/>
      <c r="F647" s="52"/>
      <c r="G647" s="52"/>
      <c r="H647" s="53"/>
      <c r="I647" s="52"/>
      <c r="J647" s="52"/>
      <c r="K647" s="19"/>
      <c r="L647" s="19"/>
      <c r="M647" s="19"/>
      <c r="N647" s="19"/>
      <c r="O647" s="19"/>
      <c r="P647" s="19"/>
      <c r="Q647" s="19"/>
      <c r="R647" s="19"/>
      <c r="S647" s="19"/>
      <c r="T647" s="19"/>
      <c r="U647" s="19"/>
      <c r="V647" s="19"/>
      <c r="W647" s="19"/>
      <c r="X647" s="19"/>
      <c r="Y647" s="19"/>
      <c r="Z647" s="19"/>
      <c r="AA647" s="19"/>
      <c r="AB647" s="19"/>
      <c r="AC647" s="19"/>
      <c r="AD647" s="19"/>
      <c r="AE647" s="19"/>
      <c r="AF647" s="19"/>
      <c r="AG647" s="19"/>
      <c r="AH647" s="19"/>
      <c r="AI647" s="19"/>
      <c r="AJ647" s="19"/>
      <c r="FM647" s="54"/>
    </row>
    <row r="648" spans="1:169" s="18" customFormat="1">
      <c r="A648" s="51"/>
      <c r="B648" s="52"/>
      <c r="C648" s="52"/>
      <c r="D648" s="52"/>
      <c r="E648" s="52"/>
      <c r="F648" s="52"/>
      <c r="G648" s="52"/>
      <c r="H648" s="53"/>
      <c r="I648" s="52"/>
      <c r="J648" s="52"/>
      <c r="K648" s="19"/>
      <c r="L648" s="19"/>
      <c r="M648" s="19"/>
      <c r="N648" s="19"/>
      <c r="O648" s="19"/>
      <c r="P648" s="19"/>
      <c r="Q648" s="19"/>
      <c r="R648" s="19"/>
      <c r="S648" s="19"/>
      <c r="T648" s="19"/>
      <c r="U648" s="19"/>
      <c r="V648" s="19"/>
      <c r="W648" s="19"/>
      <c r="X648" s="19"/>
      <c r="Y648" s="19"/>
      <c r="Z648" s="19"/>
      <c r="AA648" s="19"/>
      <c r="AB648" s="19"/>
      <c r="AC648" s="19"/>
      <c r="AD648" s="19"/>
      <c r="AE648" s="19"/>
      <c r="AF648" s="19"/>
      <c r="AG648" s="19"/>
      <c r="AH648" s="19"/>
      <c r="AI648" s="19"/>
      <c r="AJ648" s="19"/>
      <c r="FM648" s="54"/>
    </row>
    <row r="649" spans="1:169" s="18" customFormat="1">
      <c r="A649" s="51"/>
      <c r="B649" s="52"/>
      <c r="C649" s="52"/>
      <c r="D649" s="52"/>
      <c r="E649" s="52"/>
      <c r="F649" s="52"/>
      <c r="G649" s="52"/>
      <c r="H649" s="53"/>
      <c r="I649" s="52"/>
      <c r="J649" s="52"/>
      <c r="K649" s="19"/>
      <c r="L649" s="19"/>
      <c r="M649" s="19"/>
      <c r="N649" s="19"/>
      <c r="O649" s="19"/>
      <c r="P649" s="19"/>
      <c r="Q649" s="19"/>
      <c r="R649" s="19"/>
      <c r="S649" s="19"/>
      <c r="T649" s="19"/>
      <c r="U649" s="19"/>
      <c r="V649" s="19"/>
      <c r="W649" s="19"/>
      <c r="X649" s="19"/>
      <c r="Y649" s="19"/>
      <c r="Z649" s="19"/>
      <c r="AA649" s="19"/>
      <c r="AB649" s="19"/>
      <c r="AC649" s="19"/>
      <c r="AD649" s="19"/>
      <c r="AE649" s="19"/>
      <c r="AF649" s="19"/>
      <c r="AG649" s="19"/>
      <c r="AH649" s="19"/>
      <c r="AI649" s="19"/>
      <c r="AJ649" s="19"/>
      <c r="FM649" s="54"/>
    </row>
    <row r="650" spans="1:169" s="18" customFormat="1">
      <c r="A650" s="51"/>
      <c r="B650" s="52"/>
      <c r="C650" s="52"/>
      <c r="D650" s="52"/>
      <c r="E650" s="52"/>
      <c r="F650" s="52"/>
      <c r="G650" s="52"/>
      <c r="H650" s="53"/>
      <c r="I650" s="52"/>
      <c r="J650" s="52"/>
      <c r="K650" s="19"/>
      <c r="L650" s="19"/>
      <c r="M650" s="19"/>
      <c r="N650" s="19"/>
      <c r="O650" s="19"/>
      <c r="P650" s="19"/>
      <c r="Q650" s="19"/>
      <c r="R650" s="19"/>
      <c r="S650" s="19"/>
      <c r="T650" s="19"/>
      <c r="U650" s="19"/>
      <c r="V650" s="19"/>
      <c r="W650" s="19"/>
      <c r="X650" s="19"/>
      <c r="Y650" s="19"/>
      <c r="Z650" s="19"/>
      <c r="AA650" s="19"/>
      <c r="AB650" s="19"/>
      <c r="AC650" s="19"/>
      <c r="AD650" s="19"/>
      <c r="AE650" s="19"/>
      <c r="AF650" s="19"/>
      <c r="AG650" s="19"/>
      <c r="AH650" s="19"/>
      <c r="AI650" s="19"/>
      <c r="AJ650" s="19"/>
      <c r="FM650" s="54"/>
    </row>
    <row r="651" spans="1:169" s="18" customFormat="1">
      <c r="A651" s="51"/>
      <c r="B651" s="52"/>
      <c r="C651" s="52"/>
      <c r="D651" s="52"/>
      <c r="E651" s="52"/>
      <c r="F651" s="52"/>
      <c r="G651" s="52"/>
      <c r="H651" s="53"/>
      <c r="I651" s="52"/>
      <c r="J651" s="52"/>
      <c r="K651" s="19"/>
      <c r="L651" s="19"/>
      <c r="M651" s="19"/>
      <c r="N651" s="19"/>
      <c r="O651" s="19"/>
      <c r="P651" s="19"/>
      <c r="Q651" s="19"/>
      <c r="R651" s="19"/>
      <c r="S651" s="19"/>
      <c r="T651" s="19"/>
      <c r="U651" s="19"/>
      <c r="V651" s="19"/>
      <c r="W651" s="19"/>
      <c r="X651" s="19"/>
      <c r="Y651" s="19"/>
      <c r="Z651" s="19"/>
      <c r="AA651" s="19"/>
      <c r="AB651" s="19"/>
      <c r="AC651" s="19"/>
      <c r="AD651" s="19"/>
      <c r="AE651" s="19"/>
      <c r="AF651" s="19"/>
      <c r="AG651" s="19"/>
      <c r="AH651" s="19"/>
      <c r="AI651" s="19"/>
      <c r="AJ651" s="19"/>
      <c r="FM651" s="54"/>
    </row>
    <row r="652" spans="1:169" s="18" customFormat="1">
      <c r="A652" s="51"/>
      <c r="B652" s="52"/>
      <c r="C652" s="52"/>
      <c r="D652" s="52"/>
      <c r="E652" s="52"/>
      <c r="F652" s="52"/>
      <c r="G652" s="52"/>
      <c r="H652" s="53"/>
      <c r="I652" s="52"/>
      <c r="J652" s="52"/>
      <c r="K652" s="19"/>
      <c r="L652" s="19"/>
      <c r="M652" s="19"/>
      <c r="N652" s="19"/>
      <c r="O652" s="19"/>
      <c r="P652" s="19"/>
      <c r="Q652" s="19"/>
      <c r="R652" s="19"/>
      <c r="S652" s="19"/>
      <c r="T652" s="19"/>
      <c r="U652" s="19"/>
      <c r="V652" s="19"/>
      <c r="W652" s="19"/>
      <c r="X652" s="19"/>
      <c r="Y652" s="19"/>
      <c r="Z652" s="19"/>
      <c r="AA652" s="19"/>
      <c r="AB652" s="19"/>
      <c r="AC652" s="19"/>
      <c r="AD652" s="19"/>
      <c r="AE652" s="19"/>
      <c r="AF652" s="19"/>
      <c r="AG652" s="19"/>
      <c r="AH652" s="19"/>
      <c r="AI652" s="19"/>
      <c r="AJ652" s="19"/>
      <c r="FM652" s="54"/>
    </row>
    <row r="653" spans="1:169" s="18" customFormat="1">
      <c r="A653" s="51"/>
      <c r="B653" s="52"/>
      <c r="C653" s="52"/>
      <c r="D653" s="52"/>
      <c r="E653" s="52"/>
      <c r="F653" s="52"/>
      <c r="G653" s="52"/>
      <c r="H653" s="53"/>
      <c r="I653" s="52"/>
      <c r="J653" s="52"/>
      <c r="K653" s="19"/>
      <c r="L653" s="19"/>
      <c r="M653" s="19"/>
      <c r="N653" s="19"/>
      <c r="O653" s="19"/>
      <c r="P653" s="19"/>
      <c r="Q653" s="19"/>
      <c r="R653" s="19"/>
      <c r="S653" s="19"/>
      <c r="T653" s="19"/>
      <c r="U653" s="19"/>
      <c r="V653" s="19"/>
      <c r="W653" s="19"/>
      <c r="X653" s="19"/>
      <c r="Y653" s="19"/>
      <c r="Z653" s="19"/>
      <c r="AA653" s="19"/>
      <c r="AB653" s="19"/>
      <c r="AC653" s="19"/>
      <c r="AD653" s="19"/>
      <c r="AE653" s="19"/>
      <c r="AF653" s="19"/>
      <c r="AG653" s="19"/>
      <c r="AH653" s="19"/>
      <c r="AI653" s="19"/>
      <c r="AJ653" s="19"/>
      <c r="FM653" s="54"/>
    </row>
    <row r="654" spans="1:169" s="18" customFormat="1">
      <c r="A654" s="51"/>
      <c r="B654" s="52"/>
      <c r="C654" s="52"/>
      <c r="D654" s="52"/>
      <c r="E654" s="52"/>
      <c r="F654" s="52"/>
      <c r="G654" s="52"/>
      <c r="H654" s="53"/>
      <c r="I654" s="52"/>
      <c r="J654" s="52"/>
      <c r="K654" s="19"/>
      <c r="L654" s="19"/>
      <c r="M654" s="19"/>
      <c r="N654" s="19"/>
      <c r="O654" s="19"/>
      <c r="P654" s="19"/>
      <c r="Q654" s="19"/>
      <c r="R654" s="19"/>
      <c r="S654" s="19"/>
      <c r="T654" s="19"/>
      <c r="U654" s="19"/>
      <c r="V654" s="19"/>
      <c r="W654" s="19"/>
      <c r="X654" s="19"/>
      <c r="Y654" s="19"/>
      <c r="Z654" s="19"/>
      <c r="AA654" s="19"/>
      <c r="AB654" s="19"/>
      <c r="AC654" s="19"/>
      <c r="AD654" s="19"/>
      <c r="AE654" s="19"/>
      <c r="AF654" s="19"/>
      <c r="AG654" s="19"/>
      <c r="AH654" s="19"/>
      <c r="AI654" s="19"/>
      <c r="AJ654" s="19"/>
      <c r="FM654" s="54"/>
    </row>
    <row r="655" spans="1:169" s="18" customFormat="1">
      <c r="A655" s="51"/>
      <c r="B655" s="52"/>
      <c r="C655" s="52"/>
      <c r="D655" s="52"/>
      <c r="E655" s="52"/>
      <c r="F655" s="52"/>
      <c r="G655" s="52"/>
      <c r="H655" s="53"/>
      <c r="I655" s="52"/>
      <c r="J655" s="52"/>
      <c r="K655" s="19"/>
      <c r="L655" s="19"/>
      <c r="M655" s="19"/>
      <c r="N655" s="19"/>
      <c r="O655" s="19"/>
      <c r="P655" s="19"/>
      <c r="Q655" s="19"/>
      <c r="R655" s="19"/>
      <c r="S655" s="19"/>
      <c r="T655" s="19"/>
      <c r="U655" s="19"/>
      <c r="V655" s="19"/>
      <c r="W655" s="19"/>
      <c r="X655" s="19"/>
      <c r="Y655" s="19"/>
      <c r="Z655" s="19"/>
      <c r="AA655" s="19"/>
      <c r="AB655" s="19"/>
      <c r="AC655" s="19"/>
      <c r="AD655" s="19"/>
      <c r="AE655" s="19"/>
      <c r="AF655" s="19"/>
      <c r="AG655" s="19"/>
      <c r="AH655" s="19"/>
      <c r="AI655" s="19"/>
      <c r="AJ655" s="19"/>
      <c r="FM655" s="54"/>
    </row>
    <row r="656" spans="1:169" s="18" customFormat="1">
      <c r="A656" s="51"/>
      <c r="B656" s="52"/>
      <c r="C656" s="52"/>
      <c r="D656" s="52"/>
      <c r="E656" s="52"/>
      <c r="F656" s="52"/>
      <c r="G656" s="52"/>
      <c r="H656" s="53"/>
      <c r="I656" s="52"/>
      <c r="J656" s="52"/>
      <c r="K656" s="19"/>
      <c r="L656" s="19"/>
      <c r="M656" s="19"/>
      <c r="N656" s="19"/>
      <c r="O656" s="19"/>
      <c r="P656" s="19"/>
      <c r="Q656" s="19"/>
      <c r="R656" s="19"/>
      <c r="S656" s="19"/>
      <c r="T656" s="19"/>
      <c r="U656" s="19"/>
      <c r="V656" s="19"/>
      <c r="W656" s="19"/>
      <c r="X656" s="19"/>
      <c r="Y656" s="19"/>
      <c r="Z656" s="19"/>
      <c r="AA656" s="19"/>
      <c r="AB656" s="19"/>
      <c r="AC656" s="19"/>
      <c r="AD656" s="19"/>
      <c r="AE656" s="19"/>
      <c r="AF656" s="19"/>
      <c r="AG656" s="19"/>
      <c r="AH656" s="19"/>
      <c r="AI656" s="19"/>
      <c r="AJ656" s="19"/>
      <c r="FM656" s="54"/>
    </row>
    <row r="657" spans="1:169" s="18" customFormat="1">
      <c r="A657" s="51"/>
      <c r="B657" s="52"/>
      <c r="C657" s="52"/>
      <c r="D657" s="52"/>
      <c r="E657" s="52"/>
      <c r="F657" s="52"/>
      <c r="G657" s="52"/>
      <c r="H657" s="53"/>
      <c r="I657" s="52"/>
      <c r="J657" s="52"/>
      <c r="K657" s="19"/>
      <c r="L657" s="19"/>
      <c r="M657" s="19"/>
      <c r="N657" s="19"/>
      <c r="O657" s="19"/>
      <c r="P657" s="19"/>
      <c r="Q657" s="19"/>
      <c r="R657" s="19"/>
      <c r="S657" s="19"/>
      <c r="T657" s="19"/>
      <c r="U657" s="19"/>
      <c r="V657" s="19"/>
      <c r="W657" s="19"/>
      <c r="X657" s="19"/>
      <c r="Y657" s="19"/>
      <c r="Z657" s="19"/>
      <c r="AA657" s="19"/>
      <c r="AB657" s="19"/>
      <c r="AC657" s="19"/>
      <c r="AD657" s="19"/>
      <c r="AE657" s="19"/>
      <c r="AF657" s="19"/>
      <c r="AG657" s="19"/>
      <c r="AH657" s="19"/>
      <c r="AI657" s="19"/>
      <c r="AJ657" s="19"/>
      <c r="FM657" s="54"/>
    </row>
    <row r="658" spans="1:169" s="18" customFormat="1">
      <c r="A658" s="51"/>
      <c r="B658" s="52"/>
      <c r="C658" s="52"/>
      <c r="D658" s="52"/>
      <c r="E658" s="52"/>
      <c r="F658" s="52"/>
      <c r="G658" s="52"/>
      <c r="H658" s="53"/>
      <c r="I658" s="52"/>
      <c r="J658" s="52"/>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c r="AH658" s="19"/>
      <c r="AI658" s="19"/>
      <c r="AJ658" s="19"/>
      <c r="FM658" s="54"/>
    </row>
    <row r="659" spans="1:169" s="18" customFormat="1">
      <c r="A659" s="51"/>
      <c r="B659" s="52"/>
      <c r="C659" s="52"/>
      <c r="D659" s="52"/>
      <c r="E659" s="52"/>
      <c r="F659" s="52"/>
      <c r="G659" s="52"/>
      <c r="H659" s="53"/>
      <c r="I659" s="52"/>
      <c r="J659" s="52"/>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c r="AH659" s="19"/>
      <c r="AI659" s="19"/>
      <c r="AJ659" s="19"/>
      <c r="FM659" s="54"/>
    </row>
    <row r="660" spans="1:169" s="18" customFormat="1">
      <c r="A660" s="51"/>
      <c r="B660" s="52"/>
      <c r="C660" s="52"/>
      <c r="D660" s="52"/>
      <c r="E660" s="52"/>
      <c r="F660" s="52"/>
      <c r="G660" s="52"/>
      <c r="H660" s="53"/>
      <c r="I660" s="52"/>
      <c r="J660" s="52"/>
      <c r="K660" s="19"/>
      <c r="L660" s="19"/>
      <c r="M660" s="19"/>
      <c r="N660" s="19"/>
      <c r="O660" s="19"/>
      <c r="P660" s="19"/>
      <c r="Q660" s="19"/>
      <c r="R660" s="19"/>
      <c r="S660" s="19"/>
      <c r="T660" s="19"/>
      <c r="U660" s="19"/>
      <c r="V660" s="19"/>
      <c r="W660" s="19"/>
      <c r="X660" s="19"/>
      <c r="Y660" s="19"/>
      <c r="Z660" s="19"/>
      <c r="AA660" s="19"/>
      <c r="AB660" s="19"/>
      <c r="AC660" s="19"/>
      <c r="AD660" s="19"/>
      <c r="AE660" s="19"/>
      <c r="AF660" s="19"/>
      <c r="AG660" s="19"/>
      <c r="AH660" s="19"/>
      <c r="AI660" s="19"/>
      <c r="AJ660" s="19"/>
      <c r="FM660" s="54"/>
    </row>
    <row r="661" spans="1:169" s="18" customFormat="1">
      <c r="A661" s="51"/>
      <c r="B661" s="52"/>
      <c r="C661" s="52"/>
      <c r="D661" s="52"/>
      <c r="E661" s="52"/>
      <c r="F661" s="52"/>
      <c r="G661" s="52"/>
      <c r="H661" s="53"/>
      <c r="I661" s="52"/>
      <c r="J661" s="52"/>
      <c r="K661" s="19"/>
      <c r="L661" s="19"/>
      <c r="M661" s="19"/>
      <c r="N661" s="19"/>
      <c r="O661" s="19"/>
      <c r="P661" s="19"/>
      <c r="Q661" s="19"/>
      <c r="R661" s="19"/>
      <c r="S661" s="19"/>
      <c r="T661" s="19"/>
      <c r="U661" s="19"/>
      <c r="V661" s="19"/>
      <c r="W661" s="19"/>
      <c r="X661" s="19"/>
      <c r="Y661" s="19"/>
      <c r="Z661" s="19"/>
      <c r="AA661" s="19"/>
      <c r="AB661" s="19"/>
      <c r="AC661" s="19"/>
      <c r="AD661" s="19"/>
      <c r="AE661" s="19"/>
      <c r="AF661" s="19"/>
      <c r="AG661" s="19"/>
      <c r="AH661" s="19"/>
      <c r="AI661" s="19"/>
      <c r="AJ661" s="19"/>
      <c r="FM661" s="54"/>
    </row>
    <row r="662" spans="1:169" s="18" customFormat="1">
      <c r="A662" s="51"/>
      <c r="B662" s="52"/>
      <c r="C662" s="52"/>
      <c r="D662" s="52"/>
      <c r="E662" s="52"/>
      <c r="F662" s="52"/>
      <c r="G662" s="52"/>
      <c r="H662" s="53"/>
      <c r="I662" s="52"/>
      <c r="J662" s="52"/>
      <c r="K662" s="19"/>
      <c r="L662" s="19"/>
      <c r="M662" s="19"/>
      <c r="N662" s="19"/>
      <c r="O662" s="19"/>
      <c r="P662" s="19"/>
      <c r="Q662" s="19"/>
      <c r="R662" s="19"/>
      <c r="S662" s="19"/>
      <c r="T662" s="19"/>
      <c r="U662" s="19"/>
      <c r="V662" s="19"/>
      <c r="W662" s="19"/>
      <c r="X662" s="19"/>
      <c r="Y662" s="19"/>
      <c r="Z662" s="19"/>
      <c r="AA662" s="19"/>
      <c r="AB662" s="19"/>
      <c r="AC662" s="19"/>
      <c r="AD662" s="19"/>
      <c r="AE662" s="19"/>
      <c r="AF662" s="19"/>
      <c r="AG662" s="19"/>
      <c r="AH662" s="19"/>
      <c r="AI662" s="19"/>
      <c r="AJ662" s="19"/>
      <c r="FM662" s="54"/>
    </row>
    <row r="663" spans="1:169" s="18" customFormat="1">
      <c r="A663" s="51"/>
      <c r="B663" s="52"/>
      <c r="C663" s="52"/>
      <c r="D663" s="52"/>
      <c r="E663" s="52"/>
      <c r="F663" s="52"/>
      <c r="G663" s="52"/>
      <c r="H663" s="53"/>
      <c r="I663" s="52"/>
      <c r="J663" s="52"/>
      <c r="K663" s="19"/>
      <c r="L663" s="19"/>
      <c r="M663" s="19"/>
      <c r="N663" s="19"/>
      <c r="O663" s="19"/>
      <c r="P663" s="19"/>
      <c r="Q663" s="19"/>
      <c r="R663" s="19"/>
      <c r="S663" s="19"/>
      <c r="T663" s="19"/>
      <c r="U663" s="19"/>
      <c r="V663" s="19"/>
      <c r="W663" s="19"/>
      <c r="X663" s="19"/>
      <c r="Y663" s="19"/>
      <c r="Z663" s="19"/>
      <c r="AA663" s="19"/>
      <c r="AB663" s="19"/>
      <c r="AC663" s="19"/>
      <c r="AD663" s="19"/>
      <c r="AE663" s="19"/>
      <c r="AF663" s="19"/>
      <c r="AG663" s="19"/>
      <c r="AH663" s="19"/>
      <c r="AI663" s="19"/>
      <c r="AJ663" s="19"/>
      <c r="FM663" s="54"/>
    </row>
    <row r="664" spans="1:169" s="18" customFormat="1">
      <c r="A664" s="51"/>
      <c r="B664" s="52"/>
      <c r="C664" s="52"/>
      <c r="D664" s="52"/>
      <c r="E664" s="52"/>
      <c r="F664" s="52"/>
      <c r="G664" s="52"/>
      <c r="H664" s="53"/>
      <c r="I664" s="52"/>
      <c r="J664" s="52"/>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c r="AH664" s="19"/>
      <c r="AI664" s="19"/>
      <c r="AJ664" s="19"/>
      <c r="FM664" s="54"/>
    </row>
    <row r="665" spans="1:169" s="18" customFormat="1">
      <c r="A665" s="51"/>
      <c r="B665" s="52"/>
      <c r="C665" s="52"/>
      <c r="D665" s="52"/>
      <c r="E665" s="52"/>
      <c r="F665" s="52"/>
      <c r="G665" s="52"/>
      <c r="H665" s="53"/>
      <c r="I665" s="52"/>
      <c r="J665" s="52"/>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c r="AH665" s="19"/>
      <c r="AI665" s="19"/>
      <c r="AJ665" s="19"/>
      <c r="FM665" s="54"/>
    </row>
    <row r="666" spans="1:169" s="18" customFormat="1">
      <c r="A666" s="51"/>
      <c r="B666" s="52"/>
      <c r="C666" s="52"/>
      <c r="D666" s="52"/>
      <c r="E666" s="52"/>
      <c r="F666" s="52"/>
      <c r="G666" s="52"/>
      <c r="H666" s="53"/>
      <c r="I666" s="52"/>
      <c r="J666" s="52"/>
      <c r="K666" s="19"/>
      <c r="L666" s="19"/>
      <c r="M666" s="19"/>
      <c r="N666" s="19"/>
      <c r="O666" s="19"/>
      <c r="P666" s="19"/>
      <c r="Q666" s="19"/>
      <c r="R666" s="19"/>
      <c r="S666" s="19"/>
      <c r="T666" s="19"/>
      <c r="U666" s="19"/>
      <c r="V666" s="19"/>
      <c r="W666" s="19"/>
      <c r="X666" s="19"/>
      <c r="Y666" s="19"/>
      <c r="Z666" s="19"/>
      <c r="AA666" s="19"/>
      <c r="AB666" s="19"/>
      <c r="AC666" s="19"/>
      <c r="AD666" s="19"/>
      <c r="AE666" s="19"/>
      <c r="AF666" s="19"/>
      <c r="AG666" s="19"/>
      <c r="AH666" s="19"/>
      <c r="AI666" s="19"/>
      <c r="AJ666" s="19"/>
      <c r="FM666" s="54"/>
    </row>
    <row r="667" spans="1:169" s="18" customFormat="1">
      <c r="A667" s="51"/>
      <c r="B667" s="52"/>
      <c r="C667" s="52"/>
      <c r="D667" s="52"/>
      <c r="E667" s="52"/>
      <c r="F667" s="52"/>
      <c r="G667" s="52"/>
      <c r="H667" s="53"/>
      <c r="I667" s="52"/>
      <c r="J667" s="52"/>
      <c r="K667" s="19"/>
      <c r="L667" s="19"/>
      <c r="M667" s="19"/>
      <c r="N667" s="19"/>
      <c r="O667" s="19"/>
      <c r="P667" s="19"/>
      <c r="Q667" s="19"/>
      <c r="R667" s="19"/>
      <c r="S667" s="19"/>
      <c r="T667" s="19"/>
      <c r="U667" s="19"/>
      <c r="V667" s="19"/>
      <c r="W667" s="19"/>
      <c r="X667" s="19"/>
      <c r="Y667" s="19"/>
      <c r="Z667" s="19"/>
      <c r="AA667" s="19"/>
      <c r="AB667" s="19"/>
      <c r="AC667" s="19"/>
      <c r="AD667" s="19"/>
      <c r="AE667" s="19"/>
      <c r="AF667" s="19"/>
      <c r="AG667" s="19"/>
      <c r="AH667" s="19"/>
      <c r="AI667" s="19"/>
      <c r="AJ667" s="19"/>
      <c r="FM667" s="54"/>
    </row>
    <row r="668" spans="1:169" s="18" customFormat="1">
      <c r="A668" s="51"/>
      <c r="B668" s="52"/>
      <c r="C668" s="52"/>
      <c r="D668" s="52"/>
      <c r="E668" s="52"/>
      <c r="F668" s="52"/>
      <c r="G668" s="52"/>
      <c r="H668" s="53"/>
      <c r="I668" s="52"/>
      <c r="J668" s="52"/>
      <c r="K668" s="19"/>
      <c r="L668" s="19"/>
      <c r="M668" s="19"/>
      <c r="N668" s="19"/>
      <c r="O668" s="19"/>
      <c r="P668" s="19"/>
      <c r="Q668" s="19"/>
      <c r="R668" s="19"/>
      <c r="S668" s="19"/>
      <c r="T668" s="19"/>
      <c r="U668" s="19"/>
      <c r="V668" s="19"/>
      <c r="W668" s="19"/>
      <c r="X668" s="19"/>
      <c r="Y668" s="19"/>
      <c r="Z668" s="19"/>
      <c r="AA668" s="19"/>
      <c r="AB668" s="19"/>
      <c r="AC668" s="19"/>
      <c r="AD668" s="19"/>
      <c r="AE668" s="19"/>
      <c r="AF668" s="19"/>
      <c r="AG668" s="19"/>
      <c r="AH668" s="19"/>
      <c r="AI668" s="19"/>
      <c r="AJ668" s="19"/>
      <c r="FM668" s="54"/>
    </row>
    <row r="669" spans="1:169" s="18" customFormat="1">
      <c r="A669" s="51"/>
      <c r="B669" s="52"/>
      <c r="C669" s="52"/>
      <c r="D669" s="52"/>
      <c r="E669" s="52"/>
      <c r="F669" s="52"/>
      <c r="G669" s="52"/>
      <c r="H669" s="53"/>
      <c r="I669" s="52"/>
      <c r="J669" s="52"/>
      <c r="K669" s="19"/>
      <c r="L669" s="19"/>
      <c r="M669" s="19"/>
      <c r="N669" s="19"/>
      <c r="O669" s="19"/>
      <c r="P669" s="19"/>
      <c r="Q669" s="19"/>
      <c r="R669" s="19"/>
      <c r="S669" s="19"/>
      <c r="T669" s="19"/>
      <c r="U669" s="19"/>
      <c r="V669" s="19"/>
      <c r="W669" s="19"/>
      <c r="X669" s="19"/>
      <c r="Y669" s="19"/>
      <c r="Z669" s="19"/>
      <c r="AA669" s="19"/>
      <c r="AB669" s="19"/>
      <c r="AC669" s="19"/>
      <c r="AD669" s="19"/>
      <c r="AE669" s="19"/>
      <c r="AF669" s="19"/>
      <c r="AG669" s="19"/>
      <c r="AH669" s="19"/>
      <c r="AI669" s="19"/>
      <c r="AJ669" s="19"/>
      <c r="FM669" s="54"/>
    </row>
    <row r="670" spans="1:169" s="18" customFormat="1">
      <c r="A670" s="51"/>
      <c r="B670" s="52"/>
      <c r="C670" s="52"/>
      <c r="D670" s="52"/>
      <c r="E670" s="52"/>
      <c r="F670" s="52"/>
      <c r="G670" s="52"/>
      <c r="H670" s="53"/>
      <c r="I670" s="52"/>
      <c r="J670" s="52"/>
      <c r="K670" s="19"/>
      <c r="L670" s="19"/>
      <c r="M670" s="19"/>
      <c r="N670" s="19"/>
      <c r="O670" s="19"/>
      <c r="P670" s="19"/>
      <c r="Q670" s="19"/>
      <c r="R670" s="19"/>
      <c r="S670" s="19"/>
      <c r="T670" s="19"/>
      <c r="U670" s="19"/>
      <c r="V670" s="19"/>
      <c r="W670" s="19"/>
      <c r="X670" s="19"/>
      <c r="Y670" s="19"/>
      <c r="Z670" s="19"/>
      <c r="AA670" s="19"/>
      <c r="AB670" s="19"/>
      <c r="AC670" s="19"/>
      <c r="AD670" s="19"/>
      <c r="AE670" s="19"/>
      <c r="AF670" s="19"/>
      <c r="AG670" s="19"/>
      <c r="AH670" s="19"/>
      <c r="AI670" s="19"/>
      <c r="AJ670" s="19"/>
      <c r="FM670" s="54"/>
    </row>
    <row r="671" spans="1:169" s="18" customFormat="1">
      <c r="A671" s="51"/>
      <c r="B671" s="52"/>
      <c r="C671" s="52"/>
      <c r="D671" s="52"/>
      <c r="E671" s="52"/>
      <c r="F671" s="52"/>
      <c r="G671" s="52"/>
      <c r="H671" s="53"/>
      <c r="I671" s="52"/>
      <c r="J671" s="52"/>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c r="AH671" s="19"/>
      <c r="AI671" s="19"/>
      <c r="AJ671" s="19"/>
      <c r="FM671" s="54"/>
    </row>
    <row r="672" spans="1:169" s="18" customFormat="1">
      <c r="A672" s="51"/>
      <c r="B672" s="52"/>
      <c r="C672" s="52"/>
      <c r="D672" s="52"/>
      <c r="E672" s="52"/>
      <c r="F672" s="52"/>
      <c r="G672" s="52"/>
      <c r="H672" s="53"/>
      <c r="I672" s="52"/>
      <c r="J672" s="52"/>
      <c r="K672" s="19"/>
      <c r="L672" s="19"/>
      <c r="M672" s="19"/>
      <c r="N672" s="19"/>
      <c r="O672" s="19"/>
      <c r="P672" s="19"/>
      <c r="Q672" s="19"/>
      <c r="R672" s="19"/>
      <c r="S672" s="19"/>
      <c r="T672" s="19"/>
      <c r="U672" s="19"/>
      <c r="V672" s="19"/>
      <c r="W672" s="19"/>
      <c r="X672" s="19"/>
      <c r="Y672" s="19"/>
      <c r="Z672" s="19"/>
      <c r="AA672" s="19"/>
      <c r="AB672" s="19"/>
      <c r="AC672" s="19"/>
      <c r="AD672" s="19"/>
      <c r="AE672" s="19"/>
      <c r="AF672" s="19"/>
      <c r="AG672" s="19"/>
      <c r="AH672" s="19"/>
      <c r="AI672" s="19"/>
      <c r="AJ672" s="19"/>
      <c r="FM672" s="54"/>
    </row>
    <row r="673" spans="1:169" s="18" customFormat="1">
      <c r="A673" s="51"/>
      <c r="B673" s="52"/>
      <c r="C673" s="52"/>
      <c r="D673" s="52"/>
      <c r="E673" s="52"/>
      <c r="F673" s="52"/>
      <c r="G673" s="52"/>
      <c r="H673" s="53"/>
      <c r="I673" s="52"/>
      <c r="J673" s="52"/>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c r="AH673" s="19"/>
      <c r="AI673" s="19"/>
      <c r="AJ673" s="19"/>
      <c r="FM673" s="54"/>
    </row>
    <row r="674" spans="1:169" s="18" customFormat="1">
      <c r="A674" s="51"/>
      <c r="B674" s="52"/>
      <c r="C674" s="52"/>
      <c r="D674" s="52"/>
      <c r="E674" s="52"/>
      <c r="F674" s="52"/>
      <c r="G674" s="52"/>
      <c r="H674" s="53"/>
      <c r="I674" s="52"/>
      <c r="J674" s="52"/>
      <c r="K674" s="19"/>
      <c r="L674" s="19"/>
      <c r="M674" s="19"/>
      <c r="N674" s="19"/>
      <c r="O674" s="19"/>
      <c r="P674" s="19"/>
      <c r="Q674" s="19"/>
      <c r="R674" s="19"/>
      <c r="S674" s="19"/>
      <c r="T674" s="19"/>
      <c r="U674" s="19"/>
      <c r="V674" s="19"/>
      <c r="W674" s="19"/>
      <c r="X674" s="19"/>
      <c r="Y674" s="19"/>
      <c r="Z674" s="19"/>
      <c r="AA674" s="19"/>
      <c r="AB674" s="19"/>
      <c r="AC674" s="19"/>
      <c r="AD674" s="19"/>
      <c r="AE674" s="19"/>
      <c r="AF674" s="19"/>
      <c r="AG674" s="19"/>
      <c r="AH674" s="19"/>
      <c r="AI674" s="19"/>
      <c r="AJ674" s="19"/>
      <c r="FM674" s="54"/>
    </row>
    <row r="675" spans="1:169" s="18" customFormat="1">
      <c r="A675" s="51"/>
      <c r="B675" s="52"/>
      <c r="C675" s="52"/>
      <c r="D675" s="52"/>
      <c r="E675" s="52"/>
      <c r="F675" s="52"/>
      <c r="G675" s="52"/>
      <c r="H675" s="53"/>
      <c r="I675" s="52"/>
      <c r="J675" s="52"/>
      <c r="K675" s="19"/>
      <c r="L675" s="19"/>
      <c r="M675" s="19"/>
      <c r="N675" s="19"/>
      <c r="O675" s="19"/>
      <c r="P675" s="19"/>
      <c r="Q675" s="19"/>
      <c r="R675" s="19"/>
      <c r="S675" s="19"/>
      <c r="T675" s="19"/>
      <c r="U675" s="19"/>
      <c r="V675" s="19"/>
      <c r="W675" s="19"/>
      <c r="X675" s="19"/>
      <c r="Y675" s="19"/>
      <c r="Z675" s="19"/>
      <c r="AA675" s="19"/>
      <c r="AB675" s="19"/>
      <c r="AC675" s="19"/>
      <c r="AD675" s="19"/>
      <c r="AE675" s="19"/>
      <c r="AF675" s="19"/>
      <c r="AG675" s="19"/>
      <c r="AH675" s="19"/>
      <c r="AI675" s="19"/>
      <c r="AJ675" s="19"/>
      <c r="FM675" s="54"/>
    </row>
    <row r="676" spans="1:169" s="18" customFormat="1">
      <c r="A676" s="51"/>
      <c r="B676" s="52"/>
      <c r="C676" s="52"/>
      <c r="D676" s="52"/>
      <c r="E676" s="52"/>
      <c r="F676" s="52"/>
      <c r="G676" s="52"/>
      <c r="H676" s="53"/>
      <c r="I676" s="52"/>
      <c r="J676" s="52"/>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c r="AH676" s="19"/>
      <c r="AI676" s="19"/>
      <c r="AJ676" s="19"/>
      <c r="FM676" s="54"/>
    </row>
    <row r="677" spans="1:169" s="18" customFormat="1">
      <c r="A677" s="51"/>
      <c r="B677" s="52"/>
      <c r="C677" s="52"/>
      <c r="D677" s="52"/>
      <c r="E677" s="52"/>
      <c r="F677" s="52"/>
      <c r="G677" s="52"/>
      <c r="H677" s="53"/>
      <c r="I677" s="52"/>
      <c r="J677" s="52"/>
      <c r="K677" s="19"/>
      <c r="L677" s="19"/>
      <c r="M677" s="19"/>
      <c r="N677" s="19"/>
      <c r="O677" s="19"/>
      <c r="P677" s="19"/>
      <c r="Q677" s="19"/>
      <c r="R677" s="19"/>
      <c r="S677" s="19"/>
      <c r="T677" s="19"/>
      <c r="U677" s="19"/>
      <c r="V677" s="19"/>
      <c r="W677" s="19"/>
      <c r="X677" s="19"/>
      <c r="Y677" s="19"/>
      <c r="Z677" s="19"/>
      <c r="AA677" s="19"/>
      <c r="AB677" s="19"/>
      <c r="AC677" s="19"/>
      <c r="AD677" s="19"/>
      <c r="AE677" s="19"/>
      <c r="AF677" s="19"/>
      <c r="AG677" s="19"/>
      <c r="AH677" s="19"/>
      <c r="AI677" s="19"/>
      <c r="AJ677" s="19"/>
      <c r="FM677" s="54"/>
    </row>
    <row r="678" spans="1:169" s="18" customFormat="1">
      <c r="A678" s="51"/>
      <c r="B678" s="52"/>
      <c r="C678" s="52"/>
      <c r="D678" s="52"/>
      <c r="E678" s="52"/>
      <c r="F678" s="52"/>
      <c r="G678" s="52"/>
      <c r="H678" s="53"/>
      <c r="I678" s="52"/>
      <c r="J678" s="52"/>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c r="AH678" s="19"/>
      <c r="AI678" s="19"/>
      <c r="AJ678" s="19"/>
      <c r="FM678" s="54"/>
    </row>
    <row r="679" spans="1:169" s="18" customFormat="1">
      <c r="A679" s="51"/>
      <c r="B679" s="52"/>
      <c r="C679" s="52"/>
      <c r="D679" s="52"/>
      <c r="E679" s="52"/>
      <c r="F679" s="52"/>
      <c r="G679" s="52"/>
      <c r="H679" s="53"/>
      <c r="I679" s="52"/>
      <c r="J679" s="52"/>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c r="AH679" s="19"/>
      <c r="AI679" s="19"/>
      <c r="AJ679" s="19"/>
      <c r="FM679" s="54"/>
    </row>
    <row r="680" spans="1:169" s="18" customFormat="1">
      <c r="A680" s="51"/>
      <c r="B680" s="52"/>
      <c r="C680" s="52"/>
      <c r="D680" s="52"/>
      <c r="E680" s="52"/>
      <c r="F680" s="52"/>
      <c r="G680" s="52"/>
      <c r="H680" s="53"/>
      <c r="I680" s="52"/>
      <c r="J680" s="52"/>
      <c r="K680" s="19"/>
      <c r="L680" s="19"/>
      <c r="M680" s="19"/>
      <c r="N680" s="19"/>
      <c r="O680" s="19"/>
      <c r="P680" s="19"/>
      <c r="Q680" s="19"/>
      <c r="R680" s="19"/>
      <c r="S680" s="19"/>
      <c r="T680" s="19"/>
      <c r="U680" s="19"/>
      <c r="V680" s="19"/>
      <c r="W680" s="19"/>
      <c r="X680" s="19"/>
      <c r="Y680" s="19"/>
      <c r="Z680" s="19"/>
      <c r="AA680" s="19"/>
      <c r="AB680" s="19"/>
      <c r="AC680" s="19"/>
      <c r="AD680" s="19"/>
      <c r="AE680" s="19"/>
      <c r="AF680" s="19"/>
      <c r="AG680" s="19"/>
      <c r="AH680" s="19"/>
      <c r="AI680" s="19"/>
      <c r="AJ680" s="19"/>
      <c r="FM680" s="54"/>
    </row>
    <row r="681" spans="1:169" s="18" customFormat="1">
      <c r="A681" s="51"/>
      <c r="B681" s="52"/>
      <c r="C681" s="52"/>
      <c r="D681" s="52"/>
      <c r="E681" s="52"/>
      <c r="F681" s="52"/>
      <c r="G681" s="52"/>
      <c r="H681" s="53"/>
      <c r="I681" s="52"/>
      <c r="J681" s="52"/>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c r="AH681" s="19"/>
      <c r="AI681" s="19"/>
      <c r="AJ681" s="19"/>
      <c r="FM681" s="54"/>
    </row>
    <row r="682" spans="1:169" s="18" customFormat="1">
      <c r="A682" s="51"/>
      <c r="B682" s="52"/>
      <c r="C682" s="52"/>
      <c r="D682" s="52"/>
      <c r="E682" s="52"/>
      <c r="F682" s="52"/>
      <c r="G682" s="52"/>
      <c r="H682" s="53"/>
      <c r="I682" s="52"/>
      <c r="J682" s="52"/>
      <c r="K682" s="19"/>
      <c r="L682" s="19"/>
      <c r="M682" s="19"/>
      <c r="N682" s="19"/>
      <c r="O682" s="19"/>
      <c r="P682" s="19"/>
      <c r="Q682" s="19"/>
      <c r="R682" s="19"/>
      <c r="S682" s="19"/>
      <c r="T682" s="19"/>
      <c r="U682" s="19"/>
      <c r="V682" s="19"/>
      <c r="W682" s="19"/>
      <c r="X682" s="19"/>
      <c r="Y682" s="19"/>
      <c r="Z682" s="19"/>
      <c r="AA682" s="19"/>
      <c r="AB682" s="19"/>
      <c r="AC682" s="19"/>
      <c r="AD682" s="19"/>
      <c r="AE682" s="19"/>
      <c r="AF682" s="19"/>
      <c r="AG682" s="19"/>
      <c r="AH682" s="19"/>
      <c r="AI682" s="19"/>
      <c r="AJ682" s="19"/>
      <c r="FM682" s="54"/>
    </row>
    <row r="683" spans="1:169" s="18" customFormat="1">
      <c r="A683" s="51"/>
      <c r="B683" s="52"/>
      <c r="C683" s="52"/>
      <c r="D683" s="52"/>
      <c r="E683" s="52"/>
      <c r="F683" s="52"/>
      <c r="G683" s="52"/>
      <c r="H683" s="53"/>
      <c r="I683" s="52"/>
      <c r="J683" s="52"/>
      <c r="K683" s="19"/>
      <c r="L683" s="19"/>
      <c r="M683" s="19"/>
      <c r="N683" s="19"/>
      <c r="O683" s="19"/>
      <c r="P683" s="19"/>
      <c r="Q683" s="19"/>
      <c r="R683" s="19"/>
      <c r="S683" s="19"/>
      <c r="T683" s="19"/>
      <c r="U683" s="19"/>
      <c r="V683" s="19"/>
      <c r="W683" s="19"/>
      <c r="X683" s="19"/>
      <c r="Y683" s="19"/>
      <c r="Z683" s="19"/>
      <c r="AA683" s="19"/>
      <c r="AB683" s="19"/>
      <c r="AC683" s="19"/>
      <c r="AD683" s="19"/>
      <c r="AE683" s="19"/>
      <c r="AF683" s="19"/>
      <c r="AG683" s="19"/>
      <c r="AH683" s="19"/>
      <c r="AI683" s="19"/>
      <c r="AJ683" s="19"/>
      <c r="FM683" s="54"/>
    </row>
    <row r="684" spans="1:169" s="18" customFormat="1">
      <c r="A684" s="51"/>
      <c r="B684" s="52"/>
      <c r="C684" s="52"/>
      <c r="D684" s="52"/>
      <c r="E684" s="52"/>
      <c r="F684" s="52"/>
      <c r="G684" s="52"/>
      <c r="H684" s="53"/>
      <c r="I684" s="52"/>
      <c r="J684" s="52"/>
      <c r="K684" s="19"/>
      <c r="L684" s="19"/>
      <c r="M684" s="19"/>
      <c r="N684" s="19"/>
      <c r="O684" s="19"/>
      <c r="P684" s="19"/>
      <c r="Q684" s="19"/>
      <c r="R684" s="19"/>
      <c r="S684" s="19"/>
      <c r="T684" s="19"/>
      <c r="U684" s="19"/>
      <c r="V684" s="19"/>
      <c r="W684" s="19"/>
      <c r="X684" s="19"/>
      <c r="Y684" s="19"/>
      <c r="Z684" s="19"/>
      <c r="AA684" s="19"/>
      <c r="AB684" s="19"/>
      <c r="AC684" s="19"/>
      <c r="AD684" s="19"/>
      <c r="AE684" s="19"/>
      <c r="AF684" s="19"/>
      <c r="AG684" s="19"/>
      <c r="AH684" s="19"/>
      <c r="AI684" s="19"/>
      <c r="AJ684" s="19"/>
      <c r="FM684" s="54"/>
    </row>
    <row r="685" spans="1:169" s="18" customFormat="1">
      <c r="A685" s="51"/>
      <c r="B685" s="52"/>
      <c r="C685" s="52"/>
      <c r="D685" s="52"/>
      <c r="E685" s="52"/>
      <c r="F685" s="52"/>
      <c r="G685" s="52"/>
      <c r="H685" s="53"/>
      <c r="I685" s="52"/>
      <c r="J685" s="52"/>
      <c r="K685" s="19"/>
      <c r="L685" s="19"/>
      <c r="M685" s="19"/>
      <c r="N685" s="19"/>
      <c r="O685" s="19"/>
      <c r="P685" s="19"/>
      <c r="Q685" s="19"/>
      <c r="R685" s="19"/>
      <c r="S685" s="19"/>
      <c r="T685" s="19"/>
      <c r="U685" s="19"/>
      <c r="V685" s="19"/>
      <c r="W685" s="19"/>
      <c r="X685" s="19"/>
      <c r="Y685" s="19"/>
      <c r="Z685" s="19"/>
      <c r="AA685" s="19"/>
      <c r="AB685" s="19"/>
      <c r="AC685" s="19"/>
      <c r="AD685" s="19"/>
      <c r="AE685" s="19"/>
      <c r="AF685" s="19"/>
      <c r="AG685" s="19"/>
      <c r="AH685" s="19"/>
      <c r="AI685" s="19"/>
      <c r="AJ685" s="19"/>
      <c r="FM685" s="54"/>
    </row>
    <row r="686" spans="1:169" s="18" customFormat="1">
      <c r="A686" s="51"/>
      <c r="B686" s="52"/>
      <c r="C686" s="52"/>
      <c r="D686" s="52"/>
      <c r="E686" s="52"/>
      <c r="F686" s="52"/>
      <c r="G686" s="52"/>
      <c r="H686" s="53"/>
      <c r="I686" s="52"/>
      <c r="J686" s="52"/>
      <c r="K686" s="19"/>
      <c r="L686" s="19"/>
      <c r="M686" s="19"/>
      <c r="N686" s="19"/>
      <c r="O686" s="19"/>
      <c r="P686" s="19"/>
      <c r="Q686" s="19"/>
      <c r="R686" s="19"/>
      <c r="S686" s="19"/>
      <c r="T686" s="19"/>
      <c r="U686" s="19"/>
      <c r="V686" s="19"/>
      <c r="W686" s="19"/>
      <c r="X686" s="19"/>
      <c r="Y686" s="19"/>
      <c r="Z686" s="19"/>
      <c r="AA686" s="19"/>
      <c r="AB686" s="19"/>
      <c r="AC686" s="19"/>
      <c r="AD686" s="19"/>
      <c r="AE686" s="19"/>
      <c r="AF686" s="19"/>
      <c r="AG686" s="19"/>
      <c r="AH686" s="19"/>
      <c r="AI686" s="19"/>
      <c r="AJ686" s="19"/>
      <c r="FM686" s="54"/>
    </row>
    <row r="687" spans="1:169" s="18" customFormat="1">
      <c r="A687" s="51"/>
      <c r="B687" s="52"/>
      <c r="C687" s="52"/>
      <c r="D687" s="52"/>
      <c r="E687" s="52"/>
      <c r="F687" s="52"/>
      <c r="G687" s="52"/>
      <c r="H687" s="53"/>
      <c r="I687" s="52"/>
      <c r="J687" s="52"/>
      <c r="K687" s="19"/>
      <c r="L687" s="19"/>
      <c r="M687" s="19"/>
      <c r="N687" s="19"/>
      <c r="O687" s="19"/>
      <c r="P687" s="19"/>
      <c r="Q687" s="19"/>
      <c r="R687" s="19"/>
      <c r="S687" s="19"/>
      <c r="T687" s="19"/>
      <c r="U687" s="19"/>
      <c r="V687" s="19"/>
      <c r="W687" s="19"/>
      <c r="X687" s="19"/>
      <c r="Y687" s="19"/>
      <c r="Z687" s="19"/>
      <c r="AA687" s="19"/>
      <c r="AB687" s="19"/>
      <c r="AC687" s="19"/>
      <c r="AD687" s="19"/>
      <c r="AE687" s="19"/>
      <c r="AF687" s="19"/>
      <c r="AG687" s="19"/>
      <c r="AH687" s="19"/>
      <c r="AI687" s="19"/>
      <c r="AJ687" s="19"/>
      <c r="FM687" s="54"/>
    </row>
    <row r="688" spans="1:169" s="18" customFormat="1">
      <c r="A688" s="51"/>
      <c r="B688" s="52"/>
      <c r="C688" s="52"/>
      <c r="D688" s="52"/>
      <c r="E688" s="52"/>
      <c r="F688" s="52"/>
      <c r="G688" s="52"/>
      <c r="H688" s="53"/>
      <c r="I688" s="52"/>
      <c r="J688" s="52"/>
      <c r="K688" s="19"/>
      <c r="L688" s="19"/>
      <c r="M688" s="19"/>
      <c r="N688" s="19"/>
      <c r="O688" s="19"/>
      <c r="P688" s="19"/>
      <c r="Q688" s="19"/>
      <c r="R688" s="19"/>
      <c r="S688" s="19"/>
      <c r="T688" s="19"/>
      <c r="U688" s="19"/>
      <c r="V688" s="19"/>
      <c r="W688" s="19"/>
      <c r="X688" s="19"/>
      <c r="Y688" s="19"/>
      <c r="Z688" s="19"/>
      <c r="AA688" s="19"/>
      <c r="AB688" s="19"/>
      <c r="AC688" s="19"/>
      <c r="AD688" s="19"/>
      <c r="AE688" s="19"/>
      <c r="AF688" s="19"/>
      <c r="AG688" s="19"/>
      <c r="AH688" s="19"/>
      <c r="AI688" s="19"/>
      <c r="AJ688" s="19"/>
      <c r="FM688" s="54"/>
    </row>
    <row r="689" spans="1:169" s="18" customFormat="1">
      <c r="A689" s="51"/>
      <c r="B689" s="52"/>
      <c r="C689" s="52"/>
      <c r="D689" s="52"/>
      <c r="E689" s="52"/>
      <c r="F689" s="52"/>
      <c r="G689" s="52"/>
      <c r="H689" s="53"/>
      <c r="I689" s="52"/>
      <c r="J689" s="52"/>
      <c r="K689" s="19"/>
      <c r="L689" s="19"/>
      <c r="M689" s="19"/>
      <c r="N689" s="19"/>
      <c r="O689" s="19"/>
      <c r="P689" s="19"/>
      <c r="Q689" s="19"/>
      <c r="R689" s="19"/>
      <c r="S689" s="19"/>
      <c r="T689" s="19"/>
      <c r="U689" s="19"/>
      <c r="V689" s="19"/>
      <c r="W689" s="19"/>
      <c r="X689" s="19"/>
      <c r="Y689" s="19"/>
      <c r="Z689" s="19"/>
      <c r="AA689" s="19"/>
      <c r="AB689" s="19"/>
      <c r="AC689" s="19"/>
      <c r="AD689" s="19"/>
      <c r="AE689" s="19"/>
      <c r="AF689" s="19"/>
      <c r="AG689" s="19"/>
      <c r="AH689" s="19"/>
      <c r="AI689" s="19"/>
      <c r="AJ689" s="19"/>
      <c r="FM689" s="54"/>
    </row>
    <row r="690" spans="1:169" s="18" customFormat="1">
      <c r="A690" s="51"/>
      <c r="B690" s="52"/>
      <c r="C690" s="52"/>
      <c r="D690" s="52"/>
      <c r="E690" s="52"/>
      <c r="F690" s="52"/>
      <c r="G690" s="52"/>
      <c r="H690" s="53"/>
      <c r="I690" s="52"/>
      <c r="J690" s="52"/>
      <c r="K690" s="19"/>
      <c r="L690" s="19"/>
      <c r="M690" s="19"/>
      <c r="N690" s="19"/>
      <c r="O690" s="19"/>
      <c r="P690" s="19"/>
      <c r="Q690" s="19"/>
      <c r="R690" s="19"/>
      <c r="S690" s="19"/>
      <c r="T690" s="19"/>
      <c r="U690" s="19"/>
      <c r="V690" s="19"/>
      <c r="W690" s="19"/>
      <c r="X690" s="19"/>
      <c r="Y690" s="19"/>
      <c r="Z690" s="19"/>
      <c r="AA690" s="19"/>
      <c r="AB690" s="19"/>
      <c r="AC690" s="19"/>
      <c r="AD690" s="19"/>
      <c r="AE690" s="19"/>
      <c r="AF690" s="19"/>
      <c r="AG690" s="19"/>
      <c r="AH690" s="19"/>
      <c r="AI690" s="19"/>
      <c r="AJ690" s="19"/>
      <c r="FM690" s="54"/>
    </row>
    <row r="691" spans="1:169" s="18" customFormat="1">
      <c r="A691" s="51"/>
      <c r="B691" s="52"/>
      <c r="C691" s="52"/>
      <c r="D691" s="52"/>
      <c r="E691" s="52"/>
      <c r="F691" s="52"/>
      <c r="G691" s="52"/>
      <c r="H691" s="53"/>
      <c r="I691" s="52"/>
      <c r="J691" s="52"/>
      <c r="K691" s="19"/>
      <c r="L691" s="19"/>
      <c r="M691" s="19"/>
      <c r="N691" s="19"/>
      <c r="O691" s="19"/>
      <c r="P691" s="19"/>
      <c r="Q691" s="19"/>
      <c r="R691" s="19"/>
      <c r="S691" s="19"/>
      <c r="T691" s="19"/>
      <c r="U691" s="19"/>
      <c r="V691" s="19"/>
      <c r="W691" s="19"/>
      <c r="X691" s="19"/>
      <c r="Y691" s="19"/>
      <c r="Z691" s="19"/>
      <c r="AA691" s="19"/>
      <c r="AB691" s="19"/>
      <c r="AC691" s="19"/>
      <c r="AD691" s="19"/>
      <c r="AE691" s="19"/>
      <c r="AF691" s="19"/>
      <c r="AG691" s="19"/>
      <c r="AH691" s="19"/>
      <c r="AI691" s="19"/>
      <c r="AJ691" s="19"/>
      <c r="FM691" s="54"/>
    </row>
    <row r="692" spans="1:169" s="18" customFormat="1">
      <c r="A692" s="51"/>
      <c r="B692" s="52"/>
      <c r="C692" s="52"/>
      <c r="D692" s="52"/>
      <c r="E692" s="52"/>
      <c r="F692" s="52"/>
      <c r="G692" s="52"/>
      <c r="H692" s="53"/>
      <c r="I692" s="52"/>
      <c r="J692" s="52"/>
      <c r="K692" s="19"/>
      <c r="L692" s="19"/>
      <c r="M692" s="19"/>
      <c r="N692" s="19"/>
      <c r="O692" s="19"/>
      <c r="P692" s="19"/>
      <c r="Q692" s="19"/>
      <c r="R692" s="19"/>
      <c r="S692" s="19"/>
      <c r="T692" s="19"/>
      <c r="U692" s="19"/>
      <c r="V692" s="19"/>
      <c r="W692" s="19"/>
      <c r="X692" s="19"/>
      <c r="Y692" s="19"/>
      <c r="Z692" s="19"/>
      <c r="AA692" s="19"/>
      <c r="AB692" s="19"/>
      <c r="AC692" s="19"/>
      <c r="AD692" s="19"/>
      <c r="AE692" s="19"/>
      <c r="AF692" s="19"/>
      <c r="AG692" s="19"/>
      <c r="AH692" s="19"/>
      <c r="AI692" s="19"/>
      <c r="AJ692" s="19"/>
      <c r="FM692" s="54"/>
    </row>
    <row r="693" spans="1:169" s="18" customFormat="1">
      <c r="A693" s="51"/>
      <c r="B693" s="52"/>
      <c r="C693" s="52"/>
      <c r="D693" s="52"/>
      <c r="E693" s="52"/>
      <c r="F693" s="52"/>
      <c r="G693" s="52"/>
      <c r="H693" s="53"/>
      <c r="I693" s="52"/>
      <c r="J693" s="52"/>
      <c r="K693" s="19"/>
      <c r="L693" s="19"/>
      <c r="M693" s="19"/>
      <c r="N693" s="19"/>
      <c r="O693" s="19"/>
      <c r="P693" s="19"/>
      <c r="Q693" s="19"/>
      <c r="R693" s="19"/>
      <c r="S693" s="19"/>
      <c r="T693" s="19"/>
      <c r="U693" s="19"/>
      <c r="V693" s="19"/>
      <c r="W693" s="19"/>
      <c r="X693" s="19"/>
      <c r="Y693" s="19"/>
      <c r="Z693" s="19"/>
      <c r="AA693" s="19"/>
      <c r="AB693" s="19"/>
      <c r="AC693" s="19"/>
      <c r="AD693" s="19"/>
      <c r="AE693" s="19"/>
      <c r="AF693" s="19"/>
      <c r="AG693" s="19"/>
      <c r="AH693" s="19"/>
      <c r="AI693" s="19"/>
      <c r="AJ693" s="19"/>
      <c r="FM693" s="54"/>
    </row>
    <row r="694" spans="1:169" s="18" customFormat="1">
      <c r="A694" s="51"/>
      <c r="B694" s="52"/>
      <c r="C694" s="52"/>
      <c r="D694" s="52"/>
      <c r="E694" s="52"/>
      <c r="F694" s="52"/>
      <c r="G694" s="52"/>
      <c r="H694" s="53"/>
      <c r="I694" s="52"/>
      <c r="J694" s="52"/>
      <c r="K694" s="19"/>
      <c r="L694" s="19"/>
      <c r="M694" s="19"/>
      <c r="N694" s="19"/>
      <c r="O694" s="19"/>
      <c r="P694" s="19"/>
      <c r="Q694" s="19"/>
      <c r="R694" s="19"/>
      <c r="S694" s="19"/>
      <c r="T694" s="19"/>
      <c r="U694" s="19"/>
      <c r="V694" s="19"/>
      <c r="W694" s="19"/>
      <c r="X694" s="19"/>
      <c r="Y694" s="19"/>
      <c r="Z694" s="19"/>
      <c r="AA694" s="19"/>
      <c r="AB694" s="19"/>
      <c r="AC694" s="19"/>
      <c r="AD694" s="19"/>
      <c r="AE694" s="19"/>
      <c r="AF694" s="19"/>
      <c r="AG694" s="19"/>
      <c r="AH694" s="19"/>
      <c r="AI694" s="19"/>
      <c r="AJ694" s="19"/>
      <c r="FM694" s="54"/>
    </row>
    <row r="695" spans="1:169" s="18" customFormat="1">
      <c r="A695" s="51"/>
      <c r="B695" s="52"/>
      <c r="C695" s="52"/>
      <c r="D695" s="52"/>
      <c r="E695" s="52"/>
      <c r="F695" s="52"/>
      <c r="G695" s="52"/>
      <c r="H695" s="53"/>
      <c r="I695" s="52"/>
      <c r="J695" s="52"/>
      <c r="K695" s="19"/>
      <c r="L695" s="19"/>
      <c r="M695" s="19"/>
      <c r="N695" s="19"/>
      <c r="O695" s="19"/>
      <c r="P695" s="19"/>
      <c r="Q695" s="19"/>
      <c r="R695" s="19"/>
      <c r="S695" s="19"/>
      <c r="T695" s="19"/>
      <c r="U695" s="19"/>
      <c r="V695" s="19"/>
      <c r="W695" s="19"/>
      <c r="X695" s="19"/>
      <c r="Y695" s="19"/>
      <c r="Z695" s="19"/>
      <c r="AA695" s="19"/>
      <c r="AB695" s="19"/>
      <c r="AC695" s="19"/>
      <c r="AD695" s="19"/>
      <c r="AE695" s="19"/>
      <c r="AF695" s="19"/>
      <c r="AG695" s="19"/>
      <c r="AH695" s="19"/>
      <c r="AI695" s="19"/>
      <c r="AJ695" s="19"/>
      <c r="FM695" s="54"/>
    </row>
    <row r="696" spans="1:169" s="18" customFormat="1">
      <c r="A696" s="51"/>
      <c r="B696" s="52"/>
      <c r="C696" s="52"/>
      <c r="D696" s="52"/>
      <c r="E696" s="52"/>
      <c r="F696" s="52"/>
      <c r="G696" s="52"/>
      <c r="H696" s="53"/>
      <c r="I696" s="52"/>
      <c r="J696" s="52"/>
      <c r="K696" s="19"/>
      <c r="L696" s="19"/>
      <c r="M696" s="19"/>
      <c r="N696" s="19"/>
      <c r="O696" s="19"/>
      <c r="P696" s="19"/>
      <c r="Q696" s="19"/>
      <c r="R696" s="19"/>
      <c r="S696" s="19"/>
      <c r="T696" s="19"/>
      <c r="U696" s="19"/>
      <c r="V696" s="19"/>
      <c r="W696" s="19"/>
      <c r="X696" s="19"/>
      <c r="Y696" s="19"/>
      <c r="Z696" s="19"/>
      <c r="AA696" s="19"/>
      <c r="AB696" s="19"/>
      <c r="AC696" s="19"/>
      <c r="AD696" s="19"/>
      <c r="AE696" s="19"/>
      <c r="AF696" s="19"/>
      <c r="AG696" s="19"/>
      <c r="AH696" s="19"/>
      <c r="AI696" s="19"/>
      <c r="AJ696" s="19"/>
      <c r="FM696" s="54"/>
    </row>
    <row r="697" spans="1:169" s="18" customFormat="1">
      <c r="A697" s="51"/>
      <c r="B697" s="52"/>
      <c r="C697" s="52"/>
      <c r="D697" s="52"/>
      <c r="E697" s="52"/>
      <c r="F697" s="52"/>
      <c r="G697" s="52"/>
      <c r="H697" s="53"/>
      <c r="I697" s="52"/>
      <c r="J697" s="52"/>
      <c r="K697" s="19"/>
      <c r="L697" s="19"/>
      <c r="M697" s="19"/>
      <c r="N697" s="19"/>
      <c r="O697" s="19"/>
      <c r="P697" s="19"/>
      <c r="Q697" s="19"/>
      <c r="R697" s="19"/>
      <c r="S697" s="19"/>
      <c r="T697" s="19"/>
      <c r="U697" s="19"/>
      <c r="V697" s="19"/>
      <c r="W697" s="19"/>
      <c r="X697" s="19"/>
      <c r="Y697" s="19"/>
      <c r="Z697" s="19"/>
      <c r="AA697" s="19"/>
      <c r="AB697" s="19"/>
      <c r="AC697" s="19"/>
      <c r="AD697" s="19"/>
      <c r="AE697" s="19"/>
      <c r="AF697" s="19"/>
      <c r="AG697" s="19"/>
      <c r="AH697" s="19"/>
      <c r="AI697" s="19"/>
      <c r="AJ697" s="19"/>
      <c r="FM697" s="54"/>
    </row>
    <row r="698" spans="1:169" s="18" customFormat="1">
      <c r="A698" s="51"/>
      <c r="B698" s="52"/>
      <c r="C698" s="52"/>
      <c r="D698" s="52"/>
      <c r="E698" s="52"/>
      <c r="F698" s="52"/>
      <c r="G698" s="52"/>
      <c r="H698" s="53"/>
      <c r="I698" s="52"/>
      <c r="J698" s="52"/>
      <c r="K698" s="19"/>
      <c r="L698" s="19"/>
      <c r="M698" s="19"/>
      <c r="N698" s="19"/>
      <c r="O698" s="19"/>
      <c r="P698" s="19"/>
      <c r="Q698" s="19"/>
      <c r="R698" s="19"/>
      <c r="S698" s="19"/>
      <c r="T698" s="19"/>
      <c r="U698" s="19"/>
      <c r="V698" s="19"/>
      <c r="W698" s="19"/>
      <c r="X698" s="19"/>
      <c r="Y698" s="19"/>
      <c r="Z698" s="19"/>
      <c r="AA698" s="19"/>
      <c r="AB698" s="19"/>
      <c r="AC698" s="19"/>
      <c r="AD698" s="19"/>
      <c r="AE698" s="19"/>
      <c r="AF698" s="19"/>
      <c r="AG698" s="19"/>
      <c r="AH698" s="19"/>
      <c r="AI698" s="19"/>
      <c r="AJ698" s="19"/>
      <c r="FM698" s="54"/>
    </row>
    <row r="699" spans="1:169" s="18" customFormat="1">
      <c r="A699" s="51"/>
      <c r="B699" s="52"/>
      <c r="C699" s="52"/>
      <c r="D699" s="52"/>
      <c r="E699" s="52"/>
      <c r="F699" s="52"/>
      <c r="G699" s="52"/>
      <c r="H699" s="53"/>
      <c r="I699" s="52"/>
      <c r="J699" s="52"/>
      <c r="K699" s="19"/>
      <c r="L699" s="19"/>
      <c r="M699" s="19"/>
      <c r="N699" s="19"/>
      <c r="O699" s="19"/>
      <c r="P699" s="19"/>
      <c r="Q699" s="19"/>
      <c r="R699" s="19"/>
      <c r="S699" s="19"/>
      <c r="T699" s="19"/>
      <c r="U699" s="19"/>
      <c r="V699" s="19"/>
      <c r="W699" s="19"/>
      <c r="X699" s="19"/>
      <c r="Y699" s="19"/>
      <c r="Z699" s="19"/>
      <c r="AA699" s="19"/>
      <c r="AB699" s="19"/>
      <c r="AC699" s="19"/>
      <c r="AD699" s="19"/>
      <c r="AE699" s="19"/>
      <c r="AF699" s="19"/>
      <c r="AG699" s="19"/>
      <c r="AH699" s="19"/>
      <c r="AI699" s="19"/>
      <c r="AJ699" s="19"/>
      <c r="FM699" s="54"/>
    </row>
    <row r="700" spans="1:169" s="18" customFormat="1">
      <c r="A700" s="51"/>
      <c r="B700" s="52"/>
      <c r="C700" s="52"/>
      <c r="D700" s="52"/>
      <c r="E700" s="52"/>
      <c r="F700" s="52"/>
      <c r="G700" s="52"/>
      <c r="H700" s="53"/>
      <c r="I700" s="52"/>
      <c r="J700" s="52"/>
      <c r="K700" s="19"/>
      <c r="L700" s="19"/>
      <c r="M700" s="19"/>
      <c r="N700" s="19"/>
      <c r="O700" s="19"/>
      <c r="P700" s="19"/>
      <c r="Q700" s="19"/>
      <c r="R700" s="19"/>
      <c r="S700" s="19"/>
      <c r="T700" s="19"/>
      <c r="U700" s="19"/>
      <c r="V700" s="19"/>
      <c r="W700" s="19"/>
      <c r="X700" s="19"/>
      <c r="Y700" s="19"/>
      <c r="Z700" s="19"/>
      <c r="AA700" s="19"/>
      <c r="AB700" s="19"/>
      <c r="AC700" s="19"/>
      <c r="AD700" s="19"/>
      <c r="AE700" s="19"/>
      <c r="AF700" s="19"/>
      <c r="AG700" s="19"/>
      <c r="AH700" s="19"/>
      <c r="AI700" s="19"/>
      <c r="AJ700" s="19"/>
      <c r="FM700" s="54"/>
    </row>
    <row r="701" spans="1:169" s="18" customFormat="1">
      <c r="A701" s="51"/>
      <c r="B701" s="52"/>
      <c r="C701" s="52"/>
      <c r="D701" s="52"/>
      <c r="E701" s="52"/>
      <c r="F701" s="52"/>
      <c r="G701" s="52"/>
      <c r="H701" s="53"/>
      <c r="I701" s="52"/>
      <c r="J701" s="52"/>
      <c r="K701" s="19"/>
      <c r="L701" s="19"/>
      <c r="M701" s="19"/>
      <c r="N701" s="19"/>
      <c r="O701" s="19"/>
      <c r="P701" s="19"/>
      <c r="Q701" s="19"/>
      <c r="R701" s="19"/>
      <c r="S701" s="19"/>
      <c r="T701" s="19"/>
      <c r="U701" s="19"/>
      <c r="V701" s="19"/>
      <c r="W701" s="19"/>
      <c r="X701" s="19"/>
      <c r="Y701" s="19"/>
      <c r="Z701" s="19"/>
      <c r="AA701" s="19"/>
      <c r="AB701" s="19"/>
      <c r="AC701" s="19"/>
      <c r="AD701" s="19"/>
      <c r="AE701" s="19"/>
      <c r="AF701" s="19"/>
      <c r="AG701" s="19"/>
      <c r="AH701" s="19"/>
      <c r="AI701" s="19"/>
      <c r="AJ701" s="19"/>
      <c r="FM701" s="54"/>
    </row>
    <row r="702" spans="1:169" s="18" customFormat="1">
      <c r="A702" s="51"/>
      <c r="B702" s="52"/>
      <c r="C702" s="52"/>
      <c r="D702" s="52"/>
      <c r="E702" s="52"/>
      <c r="F702" s="52"/>
      <c r="G702" s="52"/>
      <c r="H702" s="53"/>
      <c r="I702" s="52"/>
      <c r="J702" s="52"/>
      <c r="K702" s="19"/>
      <c r="L702" s="19"/>
      <c r="M702" s="19"/>
      <c r="N702" s="19"/>
      <c r="O702" s="19"/>
      <c r="P702" s="19"/>
      <c r="Q702" s="19"/>
      <c r="R702" s="19"/>
      <c r="S702" s="19"/>
      <c r="T702" s="19"/>
      <c r="U702" s="19"/>
      <c r="V702" s="19"/>
      <c r="W702" s="19"/>
      <c r="X702" s="19"/>
      <c r="Y702" s="19"/>
      <c r="Z702" s="19"/>
      <c r="AA702" s="19"/>
      <c r="AB702" s="19"/>
      <c r="AC702" s="19"/>
      <c r="AD702" s="19"/>
      <c r="AE702" s="19"/>
      <c r="AF702" s="19"/>
      <c r="AG702" s="19"/>
      <c r="AH702" s="19"/>
      <c r="AI702" s="19"/>
      <c r="AJ702" s="19"/>
      <c r="FM702" s="54"/>
    </row>
    <row r="703" spans="1:169" s="18" customFormat="1">
      <c r="A703" s="51"/>
      <c r="B703" s="52"/>
      <c r="C703" s="52"/>
      <c r="D703" s="52"/>
      <c r="E703" s="52"/>
      <c r="F703" s="52"/>
      <c r="G703" s="52"/>
      <c r="H703" s="53"/>
      <c r="I703" s="52"/>
      <c r="J703" s="52"/>
      <c r="K703" s="19"/>
      <c r="L703" s="19"/>
      <c r="M703" s="19"/>
      <c r="N703" s="19"/>
      <c r="O703" s="19"/>
      <c r="P703" s="19"/>
      <c r="Q703" s="19"/>
      <c r="R703" s="19"/>
      <c r="S703" s="19"/>
      <c r="T703" s="19"/>
      <c r="U703" s="19"/>
      <c r="V703" s="19"/>
      <c r="W703" s="19"/>
      <c r="X703" s="19"/>
      <c r="Y703" s="19"/>
      <c r="Z703" s="19"/>
      <c r="AA703" s="19"/>
      <c r="AB703" s="19"/>
      <c r="AC703" s="19"/>
      <c r="AD703" s="19"/>
      <c r="AE703" s="19"/>
      <c r="AF703" s="19"/>
      <c r="AG703" s="19"/>
      <c r="AH703" s="19"/>
      <c r="AI703" s="19"/>
      <c r="AJ703" s="19"/>
      <c r="FM703" s="54"/>
    </row>
    <row r="704" spans="1:169" s="18" customFormat="1">
      <c r="A704" s="51"/>
      <c r="B704" s="52"/>
      <c r="C704" s="52"/>
      <c r="D704" s="52"/>
      <c r="E704" s="52"/>
      <c r="F704" s="52"/>
      <c r="G704" s="52"/>
      <c r="H704" s="53"/>
      <c r="I704" s="52"/>
      <c r="J704" s="52"/>
      <c r="K704" s="19"/>
      <c r="L704" s="19"/>
      <c r="M704" s="19"/>
      <c r="N704" s="19"/>
      <c r="O704" s="19"/>
      <c r="P704" s="19"/>
      <c r="Q704" s="19"/>
      <c r="R704" s="19"/>
      <c r="S704" s="19"/>
      <c r="T704" s="19"/>
      <c r="U704" s="19"/>
      <c r="V704" s="19"/>
      <c r="W704" s="19"/>
      <c r="X704" s="19"/>
      <c r="Y704" s="19"/>
      <c r="Z704" s="19"/>
      <c r="AA704" s="19"/>
      <c r="AB704" s="19"/>
      <c r="AC704" s="19"/>
      <c r="AD704" s="19"/>
      <c r="AE704" s="19"/>
      <c r="AF704" s="19"/>
      <c r="AG704" s="19"/>
      <c r="AH704" s="19"/>
      <c r="AI704" s="19"/>
      <c r="AJ704" s="19"/>
      <c r="FM704" s="54"/>
    </row>
    <row r="705" spans="1:169" s="18" customFormat="1">
      <c r="A705" s="51"/>
      <c r="B705" s="52"/>
      <c r="C705" s="52"/>
      <c r="D705" s="52"/>
      <c r="E705" s="52"/>
      <c r="F705" s="52"/>
      <c r="G705" s="52"/>
      <c r="H705" s="53"/>
      <c r="I705" s="52"/>
      <c r="J705" s="52"/>
      <c r="K705" s="19"/>
      <c r="L705" s="19"/>
      <c r="M705" s="19"/>
      <c r="N705" s="19"/>
      <c r="O705" s="19"/>
      <c r="P705" s="19"/>
      <c r="Q705" s="19"/>
      <c r="R705" s="19"/>
      <c r="S705" s="19"/>
      <c r="T705" s="19"/>
      <c r="U705" s="19"/>
      <c r="V705" s="19"/>
      <c r="W705" s="19"/>
      <c r="X705" s="19"/>
      <c r="Y705" s="19"/>
      <c r="Z705" s="19"/>
      <c r="AA705" s="19"/>
      <c r="AB705" s="19"/>
      <c r="AC705" s="19"/>
      <c r="AD705" s="19"/>
      <c r="AE705" s="19"/>
      <c r="AF705" s="19"/>
      <c r="AG705" s="19"/>
      <c r="AH705" s="19"/>
      <c r="AI705" s="19"/>
      <c r="AJ705" s="19"/>
      <c r="FM705" s="54"/>
    </row>
    <row r="706" spans="1:169" s="18" customFormat="1">
      <c r="A706" s="51"/>
      <c r="B706" s="52"/>
      <c r="C706" s="52"/>
      <c r="D706" s="52"/>
      <c r="E706" s="52"/>
      <c r="F706" s="52"/>
      <c r="G706" s="52"/>
      <c r="H706" s="53"/>
      <c r="I706" s="52"/>
      <c r="J706" s="52"/>
      <c r="K706" s="19"/>
      <c r="L706" s="19"/>
      <c r="M706" s="19"/>
      <c r="N706" s="19"/>
      <c r="O706" s="19"/>
      <c r="P706" s="19"/>
      <c r="Q706" s="19"/>
      <c r="R706" s="19"/>
      <c r="S706" s="19"/>
      <c r="T706" s="19"/>
      <c r="U706" s="19"/>
      <c r="V706" s="19"/>
      <c r="W706" s="19"/>
      <c r="X706" s="19"/>
      <c r="Y706" s="19"/>
      <c r="Z706" s="19"/>
      <c r="AA706" s="19"/>
      <c r="AB706" s="19"/>
      <c r="AC706" s="19"/>
      <c r="AD706" s="19"/>
      <c r="AE706" s="19"/>
      <c r="AF706" s="19"/>
      <c r="AG706" s="19"/>
      <c r="AH706" s="19"/>
      <c r="AI706" s="19"/>
      <c r="AJ706" s="19"/>
      <c r="FM706" s="54"/>
    </row>
    <row r="707" spans="1:169" s="18" customFormat="1">
      <c r="A707" s="51"/>
      <c r="B707" s="52"/>
      <c r="C707" s="52"/>
      <c r="D707" s="52"/>
      <c r="E707" s="52"/>
      <c r="F707" s="52"/>
      <c r="G707" s="52"/>
      <c r="H707" s="53"/>
      <c r="I707" s="52"/>
      <c r="J707" s="52"/>
      <c r="K707" s="19"/>
      <c r="L707" s="19"/>
      <c r="M707" s="19"/>
      <c r="N707" s="19"/>
      <c r="O707" s="19"/>
      <c r="P707" s="19"/>
      <c r="Q707" s="19"/>
      <c r="R707" s="19"/>
      <c r="S707" s="19"/>
      <c r="T707" s="19"/>
      <c r="U707" s="19"/>
      <c r="V707" s="19"/>
      <c r="W707" s="19"/>
      <c r="X707" s="19"/>
      <c r="Y707" s="19"/>
      <c r="Z707" s="19"/>
      <c r="AA707" s="19"/>
      <c r="AB707" s="19"/>
      <c r="AC707" s="19"/>
      <c r="AD707" s="19"/>
      <c r="AE707" s="19"/>
      <c r="AF707" s="19"/>
      <c r="AG707" s="19"/>
      <c r="AH707" s="19"/>
      <c r="AI707" s="19"/>
      <c r="AJ707" s="19"/>
      <c r="FM707" s="54"/>
    </row>
    <row r="708" spans="1:169" s="18" customFormat="1">
      <c r="A708" s="51"/>
      <c r="B708" s="52"/>
      <c r="C708" s="52"/>
      <c r="D708" s="52"/>
      <c r="E708" s="52"/>
      <c r="F708" s="52"/>
      <c r="G708" s="52"/>
      <c r="H708" s="53"/>
      <c r="I708" s="52"/>
      <c r="J708" s="52"/>
      <c r="K708" s="19"/>
      <c r="L708" s="19"/>
      <c r="M708" s="19"/>
      <c r="N708" s="19"/>
      <c r="O708" s="19"/>
      <c r="P708" s="19"/>
      <c r="Q708" s="19"/>
      <c r="R708" s="19"/>
      <c r="S708" s="19"/>
      <c r="T708" s="19"/>
      <c r="U708" s="19"/>
      <c r="V708" s="19"/>
      <c r="W708" s="19"/>
      <c r="X708" s="19"/>
      <c r="Y708" s="19"/>
      <c r="Z708" s="19"/>
      <c r="AA708" s="19"/>
      <c r="AB708" s="19"/>
      <c r="AC708" s="19"/>
      <c r="AD708" s="19"/>
      <c r="AE708" s="19"/>
      <c r="AF708" s="19"/>
      <c r="AG708" s="19"/>
      <c r="AH708" s="19"/>
      <c r="AI708" s="19"/>
      <c r="AJ708" s="19"/>
      <c r="FM708" s="54"/>
    </row>
    <row r="709" spans="1:169" s="18" customFormat="1">
      <c r="A709" s="51"/>
      <c r="B709" s="52"/>
      <c r="C709" s="52"/>
      <c r="D709" s="52"/>
      <c r="E709" s="52"/>
      <c r="F709" s="52"/>
      <c r="G709" s="52"/>
      <c r="H709" s="53"/>
      <c r="I709" s="52"/>
      <c r="J709" s="52"/>
      <c r="K709" s="19"/>
      <c r="L709" s="19"/>
      <c r="M709" s="19"/>
      <c r="N709" s="19"/>
      <c r="O709" s="19"/>
      <c r="P709" s="19"/>
      <c r="Q709" s="19"/>
      <c r="R709" s="19"/>
      <c r="S709" s="19"/>
      <c r="T709" s="19"/>
      <c r="U709" s="19"/>
      <c r="V709" s="19"/>
      <c r="W709" s="19"/>
      <c r="X709" s="19"/>
      <c r="Y709" s="19"/>
      <c r="Z709" s="19"/>
      <c r="AA709" s="19"/>
      <c r="AB709" s="19"/>
      <c r="AC709" s="19"/>
      <c r="AD709" s="19"/>
      <c r="AE709" s="19"/>
      <c r="AF709" s="19"/>
      <c r="AG709" s="19"/>
      <c r="AH709" s="19"/>
      <c r="AI709" s="19"/>
      <c r="AJ709" s="19"/>
      <c r="FM709" s="54"/>
    </row>
    <row r="710" spans="1:169" s="18" customFormat="1">
      <c r="A710" s="51"/>
      <c r="B710" s="52"/>
      <c r="C710" s="52"/>
      <c r="D710" s="52"/>
      <c r="E710" s="52"/>
      <c r="F710" s="52"/>
      <c r="G710" s="52"/>
      <c r="H710" s="53"/>
      <c r="I710" s="52"/>
      <c r="J710" s="52"/>
      <c r="K710" s="19"/>
      <c r="L710" s="19"/>
      <c r="M710" s="19"/>
      <c r="N710" s="19"/>
      <c r="O710" s="19"/>
      <c r="P710" s="19"/>
      <c r="Q710" s="19"/>
      <c r="R710" s="19"/>
      <c r="S710" s="19"/>
      <c r="T710" s="19"/>
      <c r="U710" s="19"/>
      <c r="V710" s="19"/>
      <c r="W710" s="19"/>
      <c r="X710" s="19"/>
      <c r="Y710" s="19"/>
      <c r="Z710" s="19"/>
      <c r="AA710" s="19"/>
      <c r="AB710" s="19"/>
      <c r="AC710" s="19"/>
      <c r="AD710" s="19"/>
      <c r="AE710" s="19"/>
      <c r="AF710" s="19"/>
      <c r="AG710" s="19"/>
      <c r="AH710" s="19"/>
      <c r="AI710" s="19"/>
      <c r="AJ710" s="19"/>
      <c r="FM710" s="54"/>
    </row>
    <row r="711" spans="1:169" s="18" customFormat="1">
      <c r="A711" s="51"/>
      <c r="B711" s="52"/>
      <c r="C711" s="52"/>
      <c r="D711" s="52"/>
      <c r="E711" s="52"/>
      <c r="F711" s="52"/>
      <c r="G711" s="52"/>
      <c r="H711" s="53"/>
      <c r="I711" s="52"/>
      <c r="J711" s="52"/>
      <c r="K711" s="19"/>
      <c r="L711" s="19"/>
      <c r="M711" s="19"/>
      <c r="N711" s="19"/>
      <c r="O711" s="19"/>
      <c r="P711" s="19"/>
      <c r="Q711" s="19"/>
      <c r="R711" s="19"/>
      <c r="S711" s="19"/>
      <c r="T711" s="19"/>
      <c r="U711" s="19"/>
      <c r="V711" s="19"/>
      <c r="W711" s="19"/>
      <c r="X711" s="19"/>
      <c r="Y711" s="19"/>
      <c r="Z711" s="19"/>
      <c r="AA711" s="19"/>
      <c r="AB711" s="19"/>
      <c r="AC711" s="19"/>
      <c r="AD711" s="19"/>
      <c r="AE711" s="19"/>
      <c r="AF711" s="19"/>
      <c r="AG711" s="19"/>
      <c r="AH711" s="19"/>
      <c r="AI711" s="19"/>
      <c r="AJ711" s="19"/>
      <c r="FM711" s="54"/>
    </row>
    <row r="712" spans="1:169" s="18" customFormat="1">
      <c r="A712" s="51"/>
      <c r="B712" s="52"/>
      <c r="C712" s="52"/>
      <c r="D712" s="52"/>
      <c r="E712" s="52"/>
      <c r="F712" s="52"/>
      <c r="G712" s="52"/>
      <c r="H712" s="53"/>
      <c r="I712" s="52"/>
      <c r="J712" s="52"/>
      <c r="K712" s="19"/>
      <c r="L712" s="19"/>
      <c r="M712" s="19"/>
      <c r="N712" s="19"/>
      <c r="O712" s="19"/>
      <c r="P712" s="19"/>
      <c r="Q712" s="19"/>
      <c r="R712" s="19"/>
      <c r="S712" s="19"/>
      <c r="T712" s="19"/>
      <c r="U712" s="19"/>
      <c r="V712" s="19"/>
      <c r="W712" s="19"/>
      <c r="X712" s="19"/>
      <c r="Y712" s="19"/>
      <c r="Z712" s="19"/>
      <c r="AA712" s="19"/>
      <c r="AB712" s="19"/>
      <c r="AC712" s="19"/>
      <c r="AD712" s="19"/>
      <c r="AE712" s="19"/>
      <c r="AF712" s="19"/>
      <c r="AG712" s="19"/>
      <c r="AH712" s="19"/>
      <c r="AI712" s="19"/>
      <c r="AJ712" s="19"/>
      <c r="FM712" s="54"/>
    </row>
    <row r="713" spans="1:169" s="18" customFormat="1">
      <c r="A713" s="51"/>
      <c r="B713" s="52"/>
      <c r="C713" s="52"/>
      <c r="D713" s="52"/>
      <c r="E713" s="52"/>
      <c r="F713" s="52"/>
      <c r="G713" s="52"/>
      <c r="H713" s="53"/>
      <c r="I713" s="52"/>
      <c r="J713" s="52"/>
      <c r="K713" s="19"/>
      <c r="L713" s="19"/>
      <c r="M713" s="19"/>
      <c r="N713" s="19"/>
      <c r="O713" s="19"/>
      <c r="P713" s="19"/>
      <c r="Q713" s="19"/>
      <c r="R713" s="19"/>
      <c r="S713" s="19"/>
      <c r="T713" s="19"/>
      <c r="U713" s="19"/>
      <c r="V713" s="19"/>
      <c r="W713" s="19"/>
      <c r="X713" s="19"/>
      <c r="Y713" s="19"/>
      <c r="Z713" s="19"/>
      <c r="AA713" s="19"/>
      <c r="AB713" s="19"/>
      <c r="AC713" s="19"/>
      <c r="AD713" s="19"/>
      <c r="AE713" s="19"/>
      <c r="AF713" s="19"/>
      <c r="AG713" s="19"/>
      <c r="AH713" s="19"/>
      <c r="AI713" s="19"/>
      <c r="AJ713" s="19"/>
      <c r="FM713" s="54"/>
    </row>
    <row r="714" spans="1:169" s="18" customFormat="1">
      <c r="A714" s="51"/>
      <c r="B714" s="52"/>
      <c r="C714" s="52"/>
      <c r="D714" s="52"/>
      <c r="E714" s="52"/>
      <c r="F714" s="52"/>
      <c r="G714" s="52"/>
      <c r="H714" s="53"/>
      <c r="I714" s="52"/>
      <c r="J714" s="52"/>
      <c r="K714" s="19"/>
      <c r="L714" s="19"/>
      <c r="M714" s="19"/>
      <c r="N714" s="19"/>
      <c r="O714" s="19"/>
      <c r="P714" s="19"/>
      <c r="Q714" s="19"/>
      <c r="R714" s="19"/>
      <c r="S714" s="19"/>
      <c r="T714" s="19"/>
      <c r="U714" s="19"/>
      <c r="V714" s="19"/>
      <c r="W714" s="19"/>
      <c r="X714" s="19"/>
      <c r="Y714" s="19"/>
      <c r="Z714" s="19"/>
      <c r="AA714" s="19"/>
      <c r="AB714" s="19"/>
      <c r="AC714" s="19"/>
      <c r="AD714" s="19"/>
      <c r="AE714" s="19"/>
      <c r="AF714" s="19"/>
      <c r="AG714" s="19"/>
      <c r="AH714" s="19"/>
      <c r="AI714" s="19"/>
      <c r="AJ714" s="19"/>
      <c r="FM714" s="54"/>
    </row>
    <row r="715" spans="1:169" s="18" customFormat="1">
      <c r="A715" s="51"/>
      <c r="B715" s="52"/>
      <c r="C715" s="52"/>
      <c r="D715" s="52"/>
      <c r="E715" s="52"/>
      <c r="F715" s="52"/>
      <c r="G715" s="52"/>
      <c r="H715" s="53"/>
      <c r="I715" s="52"/>
      <c r="J715" s="52"/>
      <c r="K715" s="19"/>
      <c r="L715" s="19"/>
      <c r="M715" s="19"/>
      <c r="N715" s="19"/>
      <c r="O715" s="19"/>
      <c r="P715" s="19"/>
      <c r="Q715" s="19"/>
      <c r="R715" s="19"/>
      <c r="S715" s="19"/>
      <c r="T715" s="19"/>
      <c r="U715" s="19"/>
      <c r="V715" s="19"/>
      <c r="W715" s="19"/>
      <c r="X715" s="19"/>
      <c r="Y715" s="19"/>
      <c r="Z715" s="19"/>
      <c r="AA715" s="19"/>
      <c r="AB715" s="19"/>
      <c r="AC715" s="19"/>
      <c r="AD715" s="19"/>
      <c r="AE715" s="19"/>
      <c r="AF715" s="19"/>
      <c r="AG715" s="19"/>
      <c r="AH715" s="19"/>
      <c r="AI715" s="19"/>
      <c r="AJ715" s="19"/>
      <c r="FM715" s="54"/>
    </row>
    <row r="716" spans="1:169" s="18" customFormat="1">
      <c r="A716" s="51"/>
      <c r="B716" s="52"/>
      <c r="C716" s="52"/>
      <c r="D716" s="52"/>
      <c r="E716" s="52"/>
      <c r="F716" s="52"/>
      <c r="G716" s="52"/>
      <c r="H716" s="53"/>
      <c r="I716" s="52"/>
      <c r="J716" s="52"/>
      <c r="K716" s="19"/>
      <c r="L716" s="19"/>
      <c r="M716" s="19"/>
      <c r="N716" s="19"/>
      <c r="O716" s="19"/>
      <c r="P716" s="19"/>
      <c r="Q716" s="19"/>
      <c r="R716" s="19"/>
      <c r="S716" s="19"/>
      <c r="T716" s="19"/>
      <c r="U716" s="19"/>
      <c r="V716" s="19"/>
      <c r="W716" s="19"/>
      <c r="X716" s="19"/>
      <c r="Y716" s="19"/>
      <c r="Z716" s="19"/>
      <c r="AA716" s="19"/>
      <c r="AB716" s="19"/>
      <c r="AC716" s="19"/>
      <c r="AD716" s="19"/>
      <c r="AE716" s="19"/>
      <c r="AF716" s="19"/>
      <c r="AG716" s="19"/>
      <c r="AH716" s="19"/>
      <c r="AI716" s="19"/>
      <c r="AJ716" s="19"/>
      <c r="FM716" s="54"/>
    </row>
    <row r="717" spans="1:169" s="18" customFormat="1">
      <c r="A717" s="51"/>
      <c r="B717" s="52"/>
      <c r="C717" s="52"/>
      <c r="D717" s="52"/>
      <c r="E717" s="52"/>
      <c r="F717" s="52"/>
      <c r="G717" s="52"/>
      <c r="H717" s="53"/>
      <c r="I717" s="52"/>
      <c r="J717" s="52"/>
      <c r="K717" s="19"/>
      <c r="L717" s="19"/>
      <c r="M717" s="19"/>
      <c r="N717" s="19"/>
      <c r="O717" s="19"/>
      <c r="P717" s="19"/>
      <c r="Q717" s="19"/>
      <c r="R717" s="19"/>
      <c r="S717" s="19"/>
      <c r="T717" s="19"/>
      <c r="U717" s="19"/>
      <c r="V717" s="19"/>
      <c r="W717" s="19"/>
      <c r="X717" s="19"/>
      <c r="Y717" s="19"/>
      <c r="Z717" s="19"/>
      <c r="AA717" s="19"/>
      <c r="AB717" s="19"/>
      <c r="AC717" s="19"/>
      <c r="AD717" s="19"/>
      <c r="AE717" s="19"/>
      <c r="AF717" s="19"/>
      <c r="AG717" s="19"/>
      <c r="AH717" s="19"/>
      <c r="AI717" s="19"/>
      <c r="AJ717" s="19"/>
      <c r="FM717" s="54"/>
    </row>
    <row r="718" spans="1:169" s="18" customFormat="1">
      <c r="A718" s="51"/>
      <c r="B718" s="52"/>
      <c r="C718" s="52"/>
      <c r="D718" s="52"/>
      <c r="E718" s="52"/>
      <c r="F718" s="52"/>
      <c r="G718" s="52"/>
      <c r="H718" s="53"/>
      <c r="I718" s="52"/>
      <c r="J718" s="52"/>
      <c r="K718" s="19"/>
      <c r="L718" s="19"/>
      <c r="M718" s="19"/>
      <c r="N718" s="19"/>
      <c r="O718" s="19"/>
      <c r="P718" s="19"/>
      <c r="Q718" s="19"/>
      <c r="R718" s="19"/>
      <c r="S718" s="19"/>
      <c r="T718" s="19"/>
      <c r="U718" s="19"/>
      <c r="V718" s="19"/>
      <c r="W718" s="19"/>
      <c r="X718" s="19"/>
      <c r="Y718" s="19"/>
      <c r="Z718" s="19"/>
      <c r="AA718" s="19"/>
      <c r="AB718" s="19"/>
      <c r="AC718" s="19"/>
      <c r="AD718" s="19"/>
      <c r="AE718" s="19"/>
      <c r="AF718" s="19"/>
      <c r="AG718" s="19"/>
      <c r="AH718" s="19"/>
      <c r="AI718" s="19"/>
      <c r="AJ718" s="19"/>
      <c r="FM718" s="54"/>
    </row>
    <row r="719" spans="1:169" s="18" customFormat="1">
      <c r="A719" s="51"/>
      <c r="B719" s="52"/>
      <c r="C719" s="52"/>
      <c r="D719" s="52"/>
      <c r="E719" s="52"/>
      <c r="F719" s="52"/>
      <c r="G719" s="52"/>
      <c r="H719" s="53"/>
      <c r="I719" s="52"/>
      <c r="J719" s="52"/>
      <c r="K719" s="19"/>
      <c r="L719" s="19"/>
      <c r="M719" s="19"/>
      <c r="N719" s="19"/>
      <c r="O719" s="19"/>
      <c r="P719" s="19"/>
      <c r="Q719" s="19"/>
      <c r="R719" s="19"/>
      <c r="S719" s="19"/>
      <c r="T719" s="19"/>
      <c r="U719" s="19"/>
      <c r="V719" s="19"/>
      <c r="W719" s="19"/>
      <c r="X719" s="19"/>
      <c r="Y719" s="19"/>
      <c r="Z719" s="19"/>
      <c r="AA719" s="19"/>
      <c r="AB719" s="19"/>
      <c r="AC719" s="19"/>
      <c r="AD719" s="19"/>
      <c r="AE719" s="19"/>
      <c r="AF719" s="19"/>
      <c r="AG719" s="19"/>
      <c r="AH719" s="19"/>
      <c r="AI719" s="19"/>
      <c r="AJ719" s="19"/>
      <c r="FM719" s="54"/>
    </row>
    <row r="720" spans="1:169" s="18" customFormat="1">
      <c r="A720" s="51"/>
      <c r="B720" s="52"/>
      <c r="C720" s="52"/>
      <c r="D720" s="52"/>
      <c r="E720" s="52"/>
      <c r="F720" s="52"/>
      <c r="G720" s="52"/>
      <c r="H720" s="53"/>
      <c r="I720" s="52"/>
      <c r="J720" s="52"/>
      <c r="K720" s="19"/>
      <c r="L720" s="19"/>
      <c r="M720" s="19"/>
      <c r="N720" s="19"/>
      <c r="O720" s="19"/>
      <c r="P720" s="19"/>
      <c r="Q720" s="19"/>
      <c r="R720" s="19"/>
      <c r="S720" s="19"/>
      <c r="T720" s="19"/>
      <c r="U720" s="19"/>
      <c r="V720" s="19"/>
      <c r="W720" s="19"/>
      <c r="X720" s="19"/>
      <c r="Y720" s="19"/>
      <c r="Z720" s="19"/>
      <c r="AA720" s="19"/>
      <c r="AB720" s="19"/>
      <c r="AC720" s="19"/>
      <c r="AD720" s="19"/>
      <c r="AE720" s="19"/>
      <c r="AF720" s="19"/>
      <c r="AG720" s="19"/>
      <c r="AH720" s="19"/>
      <c r="AI720" s="19"/>
      <c r="AJ720" s="19"/>
      <c r="FM720" s="54"/>
    </row>
    <row r="721" spans="1:169" s="18" customFormat="1">
      <c r="A721" s="51"/>
      <c r="B721" s="52"/>
      <c r="C721" s="52"/>
      <c r="D721" s="52"/>
      <c r="E721" s="52"/>
      <c r="F721" s="52"/>
      <c r="G721" s="52"/>
      <c r="H721" s="53"/>
      <c r="I721" s="52"/>
      <c r="J721" s="52"/>
      <c r="K721" s="19"/>
      <c r="L721" s="19"/>
      <c r="M721" s="19"/>
      <c r="N721" s="19"/>
      <c r="O721" s="19"/>
      <c r="P721" s="19"/>
      <c r="Q721" s="19"/>
      <c r="R721" s="19"/>
      <c r="S721" s="19"/>
      <c r="T721" s="19"/>
      <c r="U721" s="19"/>
      <c r="V721" s="19"/>
      <c r="W721" s="19"/>
      <c r="X721" s="19"/>
      <c r="Y721" s="19"/>
      <c r="Z721" s="19"/>
      <c r="AA721" s="19"/>
      <c r="AB721" s="19"/>
      <c r="AC721" s="19"/>
      <c r="AD721" s="19"/>
      <c r="AE721" s="19"/>
      <c r="AF721" s="19"/>
      <c r="AG721" s="19"/>
      <c r="AH721" s="19"/>
      <c r="AI721" s="19"/>
      <c r="AJ721" s="19"/>
      <c r="FM721" s="54"/>
    </row>
    <row r="722" spans="1:169" s="18" customFormat="1">
      <c r="A722" s="51"/>
      <c r="B722" s="52"/>
      <c r="C722" s="52"/>
      <c r="D722" s="52"/>
      <c r="E722" s="52"/>
      <c r="F722" s="52"/>
      <c r="G722" s="52"/>
      <c r="H722" s="53"/>
      <c r="I722" s="52"/>
      <c r="J722" s="52"/>
      <c r="K722" s="19"/>
      <c r="L722" s="19"/>
      <c r="M722" s="19"/>
      <c r="N722" s="19"/>
      <c r="O722" s="19"/>
      <c r="P722" s="19"/>
      <c r="Q722" s="19"/>
      <c r="R722" s="19"/>
      <c r="S722" s="19"/>
      <c r="T722" s="19"/>
      <c r="U722" s="19"/>
      <c r="V722" s="19"/>
      <c r="W722" s="19"/>
      <c r="X722" s="19"/>
      <c r="Y722" s="19"/>
      <c r="Z722" s="19"/>
      <c r="AA722" s="19"/>
      <c r="AB722" s="19"/>
      <c r="AC722" s="19"/>
      <c r="AD722" s="19"/>
      <c r="AE722" s="19"/>
      <c r="AF722" s="19"/>
      <c r="AG722" s="19"/>
      <c r="AH722" s="19"/>
      <c r="AI722" s="19"/>
      <c r="AJ722" s="19"/>
      <c r="FM722" s="54"/>
    </row>
    <row r="723" spans="1:169" s="18" customFormat="1">
      <c r="A723" s="51"/>
      <c r="B723" s="52"/>
      <c r="C723" s="52"/>
      <c r="D723" s="52"/>
      <c r="E723" s="52"/>
      <c r="F723" s="52"/>
      <c r="G723" s="52"/>
      <c r="H723" s="53"/>
      <c r="I723" s="52"/>
      <c r="J723" s="52"/>
      <c r="K723" s="19"/>
      <c r="L723" s="19"/>
      <c r="M723" s="19"/>
      <c r="N723" s="19"/>
      <c r="O723" s="19"/>
      <c r="P723" s="19"/>
      <c r="Q723" s="19"/>
      <c r="R723" s="19"/>
      <c r="S723" s="19"/>
      <c r="T723" s="19"/>
      <c r="U723" s="19"/>
      <c r="V723" s="19"/>
      <c r="W723" s="19"/>
      <c r="X723" s="19"/>
      <c r="Y723" s="19"/>
      <c r="Z723" s="19"/>
      <c r="AA723" s="19"/>
      <c r="AB723" s="19"/>
      <c r="AC723" s="19"/>
      <c r="AD723" s="19"/>
      <c r="AE723" s="19"/>
      <c r="AF723" s="19"/>
      <c r="AG723" s="19"/>
      <c r="AH723" s="19"/>
      <c r="AI723" s="19"/>
      <c r="AJ723" s="19"/>
      <c r="FM723" s="54"/>
    </row>
    <row r="724" spans="1:169" s="18" customFormat="1">
      <c r="A724" s="51"/>
      <c r="B724" s="52"/>
      <c r="C724" s="52"/>
      <c r="D724" s="52"/>
      <c r="E724" s="52"/>
      <c r="F724" s="52"/>
      <c r="G724" s="52"/>
      <c r="H724" s="53"/>
      <c r="I724" s="52"/>
      <c r="J724" s="52"/>
      <c r="K724" s="19"/>
      <c r="L724" s="19"/>
      <c r="M724" s="19"/>
      <c r="N724" s="19"/>
      <c r="O724" s="19"/>
      <c r="P724" s="19"/>
      <c r="Q724" s="19"/>
      <c r="R724" s="19"/>
      <c r="S724" s="19"/>
      <c r="T724" s="19"/>
      <c r="U724" s="19"/>
      <c r="V724" s="19"/>
      <c r="W724" s="19"/>
      <c r="X724" s="19"/>
      <c r="Y724" s="19"/>
      <c r="Z724" s="19"/>
      <c r="AA724" s="19"/>
      <c r="AB724" s="19"/>
      <c r="AC724" s="19"/>
      <c r="AD724" s="19"/>
      <c r="AE724" s="19"/>
      <c r="AF724" s="19"/>
      <c r="AG724" s="19"/>
      <c r="AH724" s="19"/>
      <c r="AI724" s="19"/>
      <c r="AJ724" s="19"/>
      <c r="FM724" s="54"/>
    </row>
    <row r="725" spans="1:169" s="18" customFormat="1">
      <c r="A725" s="51"/>
      <c r="B725" s="52"/>
      <c r="C725" s="52"/>
      <c r="D725" s="52"/>
      <c r="E725" s="52"/>
      <c r="F725" s="52"/>
      <c r="G725" s="52"/>
      <c r="H725" s="53"/>
      <c r="I725" s="52"/>
      <c r="J725" s="52"/>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c r="AH725" s="19"/>
      <c r="AI725" s="19"/>
      <c r="AJ725" s="19"/>
      <c r="FM725" s="54"/>
    </row>
    <row r="726" spans="1:169" s="18" customFormat="1">
      <c r="A726" s="51"/>
      <c r="B726" s="52"/>
      <c r="C726" s="52"/>
      <c r="D726" s="52"/>
      <c r="E726" s="52"/>
      <c r="F726" s="52"/>
      <c r="G726" s="52"/>
      <c r="H726" s="53"/>
      <c r="I726" s="52"/>
      <c r="J726" s="52"/>
      <c r="K726" s="19"/>
      <c r="L726" s="19"/>
      <c r="M726" s="19"/>
      <c r="N726" s="19"/>
      <c r="O726" s="19"/>
      <c r="P726" s="19"/>
      <c r="Q726" s="19"/>
      <c r="R726" s="19"/>
      <c r="S726" s="19"/>
      <c r="T726" s="19"/>
      <c r="U726" s="19"/>
      <c r="V726" s="19"/>
      <c r="W726" s="19"/>
      <c r="X726" s="19"/>
      <c r="Y726" s="19"/>
      <c r="Z726" s="19"/>
      <c r="AA726" s="19"/>
      <c r="AB726" s="19"/>
      <c r="AC726" s="19"/>
      <c r="AD726" s="19"/>
      <c r="AE726" s="19"/>
      <c r="AF726" s="19"/>
      <c r="AG726" s="19"/>
      <c r="AH726" s="19"/>
      <c r="AI726" s="19"/>
      <c r="AJ726" s="19"/>
      <c r="FM726" s="54"/>
    </row>
    <row r="727" spans="1:169" s="18" customFormat="1">
      <c r="A727" s="51"/>
      <c r="B727" s="52"/>
      <c r="C727" s="52"/>
      <c r="D727" s="52"/>
      <c r="E727" s="52"/>
      <c r="F727" s="52"/>
      <c r="G727" s="52"/>
      <c r="H727" s="53"/>
      <c r="I727" s="52"/>
      <c r="J727" s="52"/>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c r="AH727" s="19"/>
      <c r="AI727" s="19"/>
      <c r="AJ727" s="19"/>
      <c r="FM727" s="54"/>
    </row>
    <row r="728" spans="1:169" s="18" customFormat="1">
      <c r="A728" s="51"/>
      <c r="B728" s="52"/>
      <c r="C728" s="52"/>
      <c r="D728" s="52"/>
      <c r="E728" s="52"/>
      <c r="F728" s="52"/>
      <c r="G728" s="52"/>
      <c r="H728" s="53"/>
      <c r="I728" s="52"/>
      <c r="J728" s="52"/>
      <c r="K728" s="19"/>
      <c r="L728" s="19"/>
      <c r="M728" s="19"/>
      <c r="N728" s="19"/>
      <c r="O728" s="19"/>
      <c r="P728" s="19"/>
      <c r="Q728" s="19"/>
      <c r="R728" s="19"/>
      <c r="S728" s="19"/>
      <c r="T728" s="19"/>
      <c r="U728" s="19"/>
      <c r="V728" s="19"/>
      <c r="W728" s="19"/>
      <c r="X728" s="19"/>
      <c r="Y728" s="19"/>
      <c r="Z728" s="19"/>
      <c r="AA728" s="19"/>
      <c r="AB728" s="19"/>
      <c r="AC728" s="19"/>
      <c r="AD728" s="19"/>
      <c r="AE728" s="19"/>
      <c r="AF728" s="19"/>
      <c r="AG728" s="19"/>
      <c r="AH728" s="19"/>
      <c r="AI728" s="19"/>
      <c r="AJ728" s="19"/>
      <c r="FM728" s="54"/>
    </row>
    <row r="729" spans="1:169" s="18" customFormat="1">
      <c r="A729" s="51"/>
      <c r="B729" s="52"/>
      <c r="C729" s="52"/>
      <c r="D729" s="52"/>
      <c r="E729" s="52"/>
      <c r="F729" s="52"/>
      <c r="G729" s="52"/>
      <c r="H729" s="53"/>
      <c r="I729" s="52"/>
      <c r="J729" s="52"/>
      <c r="K729" s="19"/>
      <c r="L729" s="19"/>
      <c r="M729" s="19"/>
      <c r="N729" s="19"/>
      <c r="O729" s="19"/>
      <c r="P729" s="19"/>
      <c r="Q729" s="19"/>
      <c r="R729" s="19"/>
      <c r="S729" s="19"/>
      <c r="T729" s="19"/>
      <c r="U729" s="19"/>
      <c r="V729" s="19"/>
      <c r="W729" s="19"/>
      <c r="X729" s="19"/>
      <c r="Y729" s="19"/>
      <c r="Z729" s="19"/>
      <c r="AA729" s="19"/>
      <c r="AB729" s="19"/>
      <c r="AC729" s="19"/>
      <c r="AD729" s="19"/>
      <c r="AE729" s="19"/>
      <c r="AF729" s="19"/>
      <c r="AG729" s="19"/>
      <c r="AH729" s="19"/>
      <c r="AI729" s="19"/>
      <c r="AJ729" s="19"/>
      <c r="FM729" s="54"/>
    </row>
    <row r="730" spans="1:169" s="18" customFormat="1">
      <c r="A730" s="51"/>
      <c r="B730" s="52"/>
      <c r="C730" s="52"/>
      <c r="D730" s="52"/>
      <c r="E730" s="52"/>
      <c r="F730" s="52"/>
      <c r="G730" s="52"/>
      <c r="H730" s="53"/>
      <c r="I730" s="52"/>
      <c r="J730" s="52"/>
      <c r="K730" s="19"/>
      <c r="L730" s="19"/>
      <c r="M730" s="19"/>
      <c r="N730" s="19"/>
      <c r="O730" s="19"/>
      <c r="P730" s="19"/>
      <c r="Q730" s="19"/>
      <c r="R730" s="19"/>
      <c r="S730" s="19"/>
      <c r="T730" s="19"/>
      <c r="U730" s="19"/>
      <c r="V730" s="19"/>
      <c r="W730" s="19"/>
      <c r="X730" s="19"/>
      <c r="Y730" s="19"/>
      <c r="Z730" s="19"/>
      <c r="AA730" s="19"/>
      <c r="AB730" s="19"/>
      <c r="AC730" s="19"/>
      <c r="AD730" s="19"/>
      <c r="AE730" s="19"/>
      <c r="AF730" s="19"/>
      <c r="AG730" s="19"/>
      <c r="AH730" s="19"/>
      <c r="AI730" s="19"/>
      <c r="AJ730" s="19"/>
      <c r="FM730" s="54"/>
    </row>
    <row r="731" spans="1:169" s="18" customFormat="1">
      <c r="A731" s="51"/>
      <c r="B731" s="52"/>
      <c r="C731" s="52"/>
      <c r="D731" s="52"/>
      <c r="E731" s="52"/>
      <c r="F731" s="52"/>
      <c r="G731" s="52"/>
      <c r="H731" s="53"/>
      <c r="I731" s="52"/>
      <c r="J731" s="52"/>
      <c r="K731" s="19"/>
      <c r="L731" s="19"/>
      <c r="M731" s="19"/>
      <c r="N731" s="19"/>
      <c r="O731" s="19"/>
      <c r="P731" s="19"/>
      <c r="Q731" s="19"/>
      <c r="R731" s="19"/>
      <c r="S731" s="19"/>
      <c r="T731" s="19"/>
      <c r="U731" s="19"/>
      <c r="V731" s="19"/>
      <c r="W731" s="19"/>
      <c r="X731" s="19"/>
      <c r="Y731" s="19"/>
      <c r="Z731" s="19"/>
      <c r="AA731" s="19"/>
      <c r="AB731" s="19"/>
      <c r="AC731" s="19"/>
      <c r="AD731" s="19"/>
      <c r="AE731" s="19"/>
      <c r="AF731" s="19"/>
      <c r="AG731" s="19"/>
      <c r="AH731" s="19"/>
      <c r="AI731" s="19"/>
      <c r="AJ731" s="19"/>
      <c r="FM731" s="54"/>
    </row>
    <row r="732" spans="1:169" s="18" customFormat="1">
      <c r="A732" s="51"/>
      <c r="B732" s="52"/>
      <c r="C732" s="52"/>
      <c r="D732" s="52"/>
      <c r="E732" s="52"/>
      <c r="F732" s="52"/>
      <c r="G732" s="52"/>
      <c r="H732" s="53"/>
      <c r="I732" s="52"/>
      <c r="J732" s="52"/>
      <c r="K732" s="19"/>
      <c r="L732" s="19"/>
      <c r="M732" s="19"/>
      <c r="N732" s="19"/>
      <c r="O732" s="19"/>
      <c r="P732" s="19"/>
      <c r="Q732" s="19"/>
      <c r="R732" s="19"/>
      <c r="S732" s="19"/>
      <c r="T732" s="19"/>
      <c r="U732" s="19"/>
      <c r="V732" s="19"/>
      <c r="W732" s="19"/>
      <c r="X732" s="19"/>
      <c r="Y732" s="19"/>
      <c r="Z732" s="19"/>
      <c r="AA732" s="19"/>
      <c r="AB732" s="19"/>
      <c r="AC732" s="19"/>
      <c r="AD732" s="19"/>
      <c r="AE732" s="19"/>
      <c r="AF732" s="19"/>
      <c r="AG732" s="19"/>
      <c r="AH732" s="19"/>
      <c r="AI732" s="19"/>
      <c r="AJ732" s="19"/>
      <c r="FM732" s="54"/>
    </row>
    <row r="733" spans="1:169" s="18" customFormat="1">
      <c r="A733" s="51"/>
      <c r="B733" s="52"/>
      <c r="C733" s="52"/>
      <c r="D733" s="52"/>
      <c r="E733" s="52"/>
      <c r="F733" s="52"/>
      <c r="G733" s="52"/>
      <c r="H733" s="53"/>
      <c r="I733" s="52"/>
      <c r="J733" s="52"/>
      <c r="K733" s="19"/>
      <c r="L733" s="19"/>
      <c r="M733" s="19"/>
      <c r="N733" s="19"/>
      <c r="O733" s="19"/>
      <c r="P733" s="19"/>
      <c r="Q733" s="19"/>
      <c r="R733" s="19"/>
      <c r="S733" s="19"/>
      <c r="T733" s="19"/>
      <c r="U733" s="19"/>
      <c r="V733" s="19"/>
      <c r="W733" s="19"/>
      <c r="X733" s="19"/>
      <c r="Y733" s="19"/>
      <c r="Z733" s="19"/>
      <c r="AA733" s="19"/>
      <c r="AB733" s="19"/>
      <c r="AC733" s="19"/>
      <c r="AD733" s="19"/>
      <c r="AE733" s="19"/>
      <c r="AF733" s="19"/>
      <c r="AG733" s="19"/>
      <c r="AH733" s="19"/>
      <c r="AI733" s="19"/>
      <c r="AJ733" s="19"/>
      <c r="FM733" s="54"/>
    </row>
    <row r="734" spans="1:169" s="18" customFormat="1">
      <c r="A734" s="51"/>
      <c r="B734" s="52"/>
      <c r="C734" s="52"/>
      <c r="D734" s="52"/>
      <c r="E734" s="52"/>
      <c r="F734" s="52"/>
      <c r="G734" s="52"/>
      <c r="H734" s="53"/>
      <c r="I734" s="52"/>
      <c r="J734" s="52"/>
      <c r="K734" s="19"/>
      <c r="L734" s="19"/>
      <c r="M734" s="19"/>
      <c r="N734" s="19"/>
      <c r="O734" s="19"/>
      <c r="P734" s="19"/>
      <c r="Q734" s="19"/>
      <c r="R734" s="19"/>
      <c r="S734" s="19"/>
      <c r="T734" s="19"/>
      <c r="U734" s="19"/>
      <c r="V734" s="19"/>
      <c r="W734" s="19"/>
      <c r="X734" s="19"/>
      <c r="Y734" s="19"/>
      <c r="Z734" s="19"/>
      <c r="AA734" s="19"/>
      <c r="AB734" s="19"/>
      <c r="AC734" s="19"/>
      <c r="AD734" s="19"/>
      <c r="AE734" s="19"/>
      <c r="AF734" s="19"/>
      <c r="AG734" s="19"/>
      <c r="AH734" s="19"/>
      <c r="AI734" s="19"/>
      <c r="AJ734" s="19"/>
      <c r="FM734" s="54"/>
    </row>
    <row r="735" spans="1:169" s="18" customFormat="1">
      <c r="A735" s="51"/>
      <c r="B735" s="52"/>
      <c r="C735" s="52"/>
      <c r="D735" s="52"/>
      <c r="E735" s="52"/>
      <c r="F735" s="52"/>
      <c r="G735" s="52"/>
      <c r="H735" s="53"/>
      <c r="I735" s="52"/>
      <c r="J735" s="52"/>
      <c r="K735" s="19"/>
      <c r="L735" s="19"/>
      <c r="M735" s="19"/>
      <c r="N735" s="19"/>
      <c r="O735" s="19"/>
      <c r="P735" s="19"/>
      <c r="Q735" s="19"/>
      <c r="R735" s="19"/>
      <c r="S735" s="19"/>
      <c r="T735" s="19"/>
      <c r="U735" s="19"/>
      <c r="V735" s="19"/>
      <c r="W735" s="19"/>
      <c r="X735" s="19"/>
      <c r="Y735" s="19"/>
      <c r="Z735" s="19"/>
      <c r="AA735" s="19"/>
      <c r="AB735" s="19"/>
      <c r="AC735" s="19"/>
      <c r="AD735" s="19"/>
      <c r="AE735" s="19"/>
      <c r="AF735" s="19"/>
      <c r="AG735" s="19"/>
      <c r="AH735" s="19"/>
      <c r="AI735" s="19"/>
      <c r="AJ735" s="19"/>
      <c r="FM735" s="54"/>
    </row>
    <row r="736" spans="1:169" s="18" customFormat="1">
      <c r="A736" s="51"/>
      <c r="B736" s="52"/>
      <c r="C736" s="52"/>
      <c r="D736" s="52"/>
      <c r="E736" s="52"/>
      <c r="F736" s="52"/>
      <c r="G736" s="52"/>
      <c r="H736" s="53"/>
      <c r="I736" s="52"/>
      <c r="J736" s="52"/>
      <c r="K736" s="19"/>
      <c r="L736" s="19"/>
      <c r="M736" s="19"/>
      <c r="N736" s="19"/>
      <c r="O736" s="19"/>
      <c r="P736" s="19"/>
      <c r="Q736" s="19"/>
      <c r="R736" s="19"/>
      <c r="S736" s="19"/>
      <c r="T736" s="19"/>
      <c r="U736" s="19"/>
      <c r="V736" s="19"/>
      <c r="W736" s="19"/>
      <c r="X736" s="19"/>
      <c r="Y736" s="19"/>
      <c r="Z736" s="19"/>
      <c r="AA736" s="19"/>
      <c r="AB736" s="19"/>
      <c r="AC736" s="19"/>
      <c r="AD736" s="19"/>
      <c r="AE736" s="19"/>
      <c r="AF736" s="19"/>
      <c r="AG736" s="19"/>
      <c r="AH736" s="19"/>
      <c r="AI736" s="19"/>
      <c r="AJ736" s="19"/>
      <c r="FM736" s="54"/>
    </row>
    <row r="737" spans="1:169" s="18" customFormat="1">
      <c r="A737" s="51"/>
      <c r="B737" s="52"/>
      <c r="C737" s="52"/>
      <c r="D737" s="52"/>
      <c r="E737" s="52"/>
      <c r="F737" s="52"/>
      <c r="G737" s="52"/>
      <c r="H737" s="53"/>
      <c r="I737" s="52"/>
      <c r="J737" s="52"/>
      <c r="K737" s="19"/>
      <c r="L737" s="19"/>
      <c r="M737" s="19"/>
      <c r="N737" s="19"/>
      <c r="O737" s="19"/>
      <c r="P737" s="19"/>
      <c r="Q737" s="19"/>
      <c r="R737" s="19"/>
      <c r="S737" s="19"/>
      <c r="T737" s="19"/>
      <c r="U737" s="19"/>
      <c r="V737" s="19"/>
      <c r="W737" s="19"/>
      <c r="X737" s="19"/>
      <c r="Y737" s="19"/>
      <c r="Z737" s="19"/>
      <c r="AA737" s="19"/>
      <c r="AB737" s="19"/>
      <c r="AC737" s="19"/>
      <c r="AD737" s="19"/>
      <c r="AE737" s="19"/>
      <c r="AF737" s="19"/>
      <c r="AG737" s="19"/>
      <c r="AH737" s="19"/>
      <c r="AI737" s="19"/>
      <c r="AJ737" s="19"/>
      <c r="FM737" s="54"/>
    </row>
    <row r="738" spans="1:169" s="18" customFormat="1">
      <c r="A738" s="51"/>
      <c r="B738" s="52"/>
      <c r="C738" s="52"/>
      <c r="D738" s="52"/>
      <c r="E738" s="52"/>
      <c r="F738" s="52"/>
      <c r="G738" s="52"/>
      <c r="H738" s="53"/>
      <c r="I738" s="52"/>
      <c r="J738" s="52"/>
      <c r="K738" s="19"/>
      <c r="L738" s="19"/>
      <c r="M738" s="19"/>
      <c r="N738" s="19"/>
      <c r="O738" s="19"/>
      <c r="P738" s="19"/>
      <c r="Q738" s="19"/>
      <c r="R738" s="19"/>
      <c r="S738" s="19"/>
      <c r="T738" s="19"/>
      <c r="U738" s="19"/>
      <c r="V738" s="19"/>
      <c r="W738" s="19"/>
      <c r="X738" s="19"/>
      <c r="Y738" s="19"/>
      <c r="Z738" s="19"/>
      <c r="AA738" s="19"/>
      <c r="AB738" s="19"/>
      <c r="AC738" s="19"/>
      <c r="AD738" s="19"/>
      <c r="AE738" s="19"/>
      <c r="AF738" s="19"/>
      <c r="AG738" s="19"/>
      <c r="AH738" s="19"/>
      <c r="AI738" s="19"/>
      <c r="AJ738" s="19"/>
      <c r="FM738" s="54"/>
    </row>
    <row r="739" spans="1:169" s="18" customFormat="1">
      <c r="A739" s="51"/>
      <c r="B739" s="52"/>
      <c r="C739" s="52"/>
      <c r="D739" s="52"/>
      <c r="E739" s="52"/>
      <c r="F739" s="52"/>
      <c r="G739" s="52"/>
      <c r="H739" s="53"/>
      <c r="I739" s="52"/>
      <c r="J739" s="52"/>
      <c r="K739" s="19"/>
      <c r="L739" s="19"/>
      <c r="M739" s="19"/>
      <c r="N739" s="19"/>
      <c r="O739" s="19"/>
      <c r="P739" s="19"/>
      <c r="Q739" s="19"/>
      <c r="R739" s="19"/>
      <c r="S739" s="19"/>
      <c r="T739" s="19"/>
      <c r="U739" s="19"/>
      <c r="V739" s="19"/>
      <c r="W739" s="19"/>
      <c r="X739" s="19"/>
      <c r="Y739" s="19"/>
      <c r="Z739" s="19"/>
      <c r="AA739" s="19"/>
      <c r="AB739" s="19"/>
      <c r="AC739" s="19"/>
      <c r="AD739" s="19"/>
      <c r="AE739" s="19"/>
      <c r="AF739" s="19"/>
      <c r="AG739" s="19"/>
      <c r="AH739" s="19"/>
      <c r="AI739" s="19"/>
      <c r="AJ739" s="19"/>
      <c r="FM739" s="54"/>
    </row>
    <row r="740" spans="1:169" s="18" customFormat="1">
      <c r="A740" s="51"/>
      <c r="B740" s="52"/>
      <c r="C740" s="52"/>
      <c r="D740" s="52"/>
      <c r="E740" s="52"/>
      <c r="F740" s="52"/>
      <c r="G740" s="52"/>
      <c r="H740" s="53"/>
      <c r="I740" s="52"/>
      <c r="J740" s="52"/>
      <c r="K740" s="19"/>
      <c r="L740" s="19"/>
      <c r="M740" s="19"/>
      <c r="N740" s="19"/>
      <c r="O740" s="19"/>
      <c r="P740" s="19"/>
      <c r="Q740" s="19"/>
      <c r="R740" s="19"/>
      <c r="S740" s="19"/>
      <c r="T740" s="19"/>
      <c r="U740" s="19"/>
      <c r="V740" s="19"/>
      <c r="W740" s="19"/>
      <c r="X740" s="19"/>
      <c r="Y740" s="19"/>
      <c r="Z740" s="19"/>
      <c r="AA740" s="19"/>
      <c r="AB740" s="19"/>
      <c r="AC740" s="19"/>
      <c r="AD740" s="19"/>
      <c r="AE740" s="19"/>
      <c r="AF740" s="19"/>
      <c r="AG740" s="19"/>
      <c r="AH740" s="19"/>
      <c r="AI740" s="19"/>
      <c r="AJ740" s="19"/>
      <c r="FM740" s="54"/>
    </row>
    <row r="741" spans="1:169" s="18" customFormat="1">
      <c r="A741" s="51"/>
      <c r="B741" s="52"/>
      <c r="C741" s="52"/>
      <c r="D741" s="52"/>
      <c r="E741" s="52"/>
      <c r="F741" s="52"/>
      <c r="G741" s="52"/>
      <c r="H741" s="53"/>
      <c r="I741" s="52"/>
      <c r="J741" s="52"/>
      <c r="K741" s="19"/>
      <c r="L741" s="19"/>
      <c r="M741" s="19"/>
      <c r="N741" s="19"/>
      <c r="O741" s="19"/>
      <c r="P741" s="19"/>
      <c r="Q741" s="19"/>
      <c r="R741" s="19"/>
      <c r="S741" s="19"/>
      <c r="T741" s="19"/>
      <c r="U741" s="19"/>
      <c r="V741" s="19"/>
      <c r="W741" s="19"/>
      <c r="X741" s="19"/>
      <c r="Y741" s="19"/>
      <c r="Z741" s="19"/>
      <c r="AA741" s="19"/>
      <c r="AB741" s="19"/>
      <c r="AC741" s="19"/>
      <c r="AD741" s="19"/>
      <c r="AE741" s="19"/>
      <c r="AF741" s="19"/>
      <c r="AG741" s="19"/>
      <c r="AH741" s="19"/>
      <c r="AI741" s="19"/>
      <c r="AJ741" s="19"/>
      <c r="FM741" s="54"/>
    </row>
    <row r="742" spans="1:169" s="18" customFormat="1">
      <c r="A742" s="51"/>
      <c r="B742" s="52"/>
      <c r="C742" s="52"/>
      <c r="D742" s="52"/>
      <c r="E742" s="52"/>
      <c r="F742" s="52"/>
      <c r="G742" s="52"/>
      <c r="H742" s="53"/>
      <c r="I742" s="52"/>
      <c r="J742" s="52"/>
      <c r="K742" s="19"/>
      <c r="L742" s="19"/>
      <c r="M742" s="19"/>
      <c r="N742" s="19"/>
      <c r="O742" s="19"/>
      <c r="P742" s="19"/>
      <c r="Q742" s="19"/>
      <c r="R742" s="19"/>
      <c r="S742" s="19"/>
      <c r="T742" s="19"/>
      <c r="U742" s="19"/>
      <c r="V742" s="19"/>
      <c r="W742" s="19"/>
      <c r="X742" s="19"/>
      <c r="Y742" s="19"/>
      <c r="Z742" s="19"/>
      <c r="AA742" s="19"/>
      <c r="AB742" s="19"/>
      <c r="AC742" s="19"/>
      <c r="AD742" s="19"/>
      <c r="AE742" s="19"/>
      <c r="AF742" s="19"/>
      <c r="AG742" s="19"/>
      <c r="AH742" s="19"/>
      <c r="AI742" s="19"/>
      <c r="AJ742" s="19"/>
      <c r="FM742" s="54"/>
    </row>
    <row r="743" spans="1:169" s="18" customFormat="1">
      <c r="A743" s="51"/>
      <c r="B743" s="52"/>
      <c r="C743" s="52"/>
      <c r="D743" s="52"/>
      <c r="E743" s="52"/>
      <c r="F743" s="52"/>
      <c r="G743" s="52"/>
      <c r="H743" s="53"/>
      <c r="I743" s="52"/>
      <c r="J743" s="52"/>
      <c r="K743" s="19"/>
      <c r="L743" s="19"/>
      <c r="M743" s="19"/>
      <c r="N743" s="19"/>
      <c r="O743" s="19"/>
      <c r="P743" s="19"/>
      <c r="Q743" s="19"/>
      <c r="R743" s="19"/>
      <c r="S743" s="19"/>
      <c r="T743" s="19"/>
      <c r="U743" s="19"/>
      <c r="V743" s="19"/>
      <c r="W743" s="19"/>
      <c r="X743" s="19"/>
      <c r="Y743" s="19"/>
      <c r="Z743" s="19"/>
      <c r="AA743" s="19"/>
      <c r="AB743" s="19"/>
      <c r="AC743" s="19"/>
      <c r="AD743" s="19"/>
      <c r="AE743" s="19"/>
      <c r="AF743" s="19"/>
      <c r="AG743" s="19"/>
      <c r="AH743" s="19"/>
      <c r="AI743" s="19"/>
      <c r="AJ743" s="19"/>
      <c r="FM743" s="54"/>
    </row>
    <row r="744" spans="1:169" s="18" customFormat="1">
      <c r="A744" s="51"/>
      <c r="B744" s="52"/>
      <c r="C744" s="52"/>
      <c r="D744" s="52"/>
      <c r="E744" s="52"/>
      <c r="F744" s="52"/>
      <c r="G744" s="52"/>
      <c r="H744" s="53"/>
      <c r="I744" s="52"/>
      <c r="J744" s="52"/>
      <c r="K744" s="19"/>
      <c r="L744" s="19"/>
      <c r="M744" s="19"/>
      <c r="N744" s="19"/>
      <c r="O744" s="19"/>
      <c r="P744" s="19"/>
      <c r="Q744" s="19"/>
      <c r="R744" s="19"/>
      <c r="S744" s="19"/>
      <c r="T744" s="19"/>
      <c r="U744" s="19"/>
      <c r="V744" s="19"/>
      <c r="W744" s="19"/>
      <c r="X744" s="19"/>
      <c r="Y744" s="19"/>
      <c r="Z744" s="19"/>
      <c r="AA744" s="19"/>
      <c r="AB744" s="19"/>
      <c r="AC744" s="19"/>
      <c r="AD744" s="19"/>
      <c r="AE744" s="19"/>
      <c r="AF744" s="19"/>
      <c r="AG744" s="19"/>
      <c r="AH744" s="19"/>
      <c r="AI744" s="19"/>
      <c r="AJ744" s="19"/>
      <c r="FM744" s="54"/>
    </row>
    <row r="745" spans="1:169" s="18" customFormat="1">
      <c r="A745" s="51"/>
      <c r="B745" s="52"/>
      <c r="C745" s="52"/>
      <c r="D745" s="52"/>
      <c r="E745" s="52"/>
      <c r="F745" s="52"/>
      <c r="G745" s="52"/>
      <c r="H745" s="53"/>
      <c r="I745" s="52"/>
      <c r="J745" s="52"/>
      <c r="K745" s="19"/>
      <c r="L745" s="19"/>
      <c r="M745" s="19"/>
      <c r="N745" s="19"/>
      <c r="O745" s="19"/>
      <c r="P745" s="19"/>
      <c r="Q745" s="19"/>
      <c r="R745" s="19"/>
      <c r="S745" s="19"/>
      <c r="T745" s="19"/>
      <c r="U745" s="19"/>
      <c r="V745" s="19"/>
      <c r="W745" s="19"/>
      <c r="X745" s="19"/>
      <c r="Y745" s="19"/>
      <c r="Z745" s="19"/>
      <c r="AA745" s="19"/>
      <c r="AB745" s="19"/>
      <c r="AC745" s="19"/>
      <c r="AD745" s="19"/>
      <c r="AE745" s="19"/>
      <c r="AF745" s="19"/>
      <c r="AG745" s="19"/>
      <c r="AH745" s="19"/>
      <c r="AI745" s="19"/>
      <c r="AJ745" s="19"/>
      <c r="FM745" s="54"/>
    </row>
    <row r="746" spans="1:169" s="18" customFormat="1">
      <c r="A746" s="51"/>
      <c r="B746" s="52"/>
      <c r="C746" s="52"/>
      <c r="D746" s="52"/>
      <c r="E746" s="52"/>
      <c r="F746" s="52"/>
      <c r="G746" s="52"/>
      <c r="H746" s="53"/>
      <c r="I746" s="52"/>
      <c r="J746" s="52"/>
      <c r="K746" s="19"/>
      <c r="L746" s="19"/>
      <c r="M746" s="19"/>
      <c r="N746" s="19"/>
      <c r="O746" s="19"/>
      <c r="P746" s="19"/>
      <c r="Q746" s="19"/>
      <c r="R746" s="19"/>
      <c r="S746" s="19"/>
      <c r="T746" s="19"/>
      <c r="U746" s="19"/>
      <c r="V746" s="19"/>
      <c r="W746" s="19"/>
      <c r="X746" s="19"/>
      <c r="Y746" s="19"/>
      <c r="Z746" s="19"/>
      <c r="AA746" s="19"/>
      <c r="AB746" s="19"/>
      <c r="AC746" s="19"/>
      <c r="AD746" s="19"/>
      <c r="AE746" s="19"/>
      <c r="AF746" s="19"/>
      <c r="AG746" s="19"/>
      <c r="AH746" s="19"/>
      <c r="AI746" s="19"/>
      <c r="AJ746" s="19"/>
      <c r="FM746" s="54"/>
    </row>
    <row r="747" spans="1:169" s="18" customFormat="1">
      <c r="A747" s="51"/>
      <c r="B747" s="52"/>
      <c r="C747" s="52"/>
      <c r="D747" s="52"/>
      <c r="E747" s="52"/>
      <c r="F747" s="52"/>
      <c r="G747" s="52"/>
      <c r="H747" s="53"/>
      <c r="I747" s="52"/>
      <c r="J747" s="52"/>
      <c r="K747" s="19"/>
      <c r="L747" s="19"/>
      <c r="M747" s="19"/>
      <c r="N747" s="19"/>
      <c r="O747" s="19"/>
      <c r="P747" s="19"/>
      <c r="Q747" s="19"/>
      <c r="R747" s="19"/>
      <c r="S747" s="19"/>
      <c r="T747" s="19"/>
      <c r="U747" s="19"/>
      <c r="V747" s="19"/>
      <c r="W747" s="19"/>
      <c r="X747" s="19"/>
      <c r="Y747" s="19"/>
      <c r="Z747" s="19"/>
      <c r="AA747" s="19"/>
      <c r="AB747" s="19"/>
      <c r="AC747" s="19"/>
      <c r="AD747" s="19"/>
      <c r="AE747" s="19"/>
      <c r="AF747" s="19"/>
      <c r="AG747" s="19"/>
      <c r="AH747" s="19"/>
      <c r="AI747" s="19"/>
      <c r="AJ747" s="19"/>
      <c r="FM747" s="54"/>
    </row>
    <row r="748" spans="1:169" s="18" customFormat="1">
      <c r="A748" s="51"/>
      <c r="B748" s="52"/>
      <c r="C748" s="52"/>
      <c r="D748" s="52"/>
      <c r="E748" s="52"/>
      <c r="F748" s="52"/>
      <c r="G748" s="52"/>
      <c r="H748" s="53"/>
      <c r="I748" s="52"/>
      <c r="J748" s="52"/>
      <c r="K748" s="19"/>
      <c r="L748" s="19"/>
      <c r="M748" s="19"/>
      <c r="N748" s="19"/>
      <c r="O748" s="19"/>
      <c r="P748" s="19"/>
      <c r="Q748" s="19"/>
      <c r="R748" s="19"/>
      <c r="S748" s="19"/>
      <c r="T748" s="19"/>
      <c r="U748" s="19"/>
      <c r="V748" s="19"/>
      <c r="W748" s="19"/>
      <c r="X748" s="19"/>
      <c r="Y748" s="19"/>
      <c r="Z748" s="19"/>
      <c r="AA748" s="19"/>
      <c r="AB748" s="19"/>
      <c r="AC748" s="19"/>
      <c r="AD748" s="19"/>
      <c r="AE748" s="19"/>
      <c r="AF748" s="19"/>
      <c r="AG748" s="19"/>
      <c r="AH748" s="19"/>
      <c r="AI748" s="19"/>
      <c r="AJ748" s="19"/>
      <c r="FM748" s="54"/>
    </row>
    <row r="749" spans="1:169" s="18" customFormat="1">
      <c r="A749" s="51"/>
      <c r="B749" s="52"/>
      <c r="C749" s="52"/>
      <c r="D749" s="52"/>
      <c r="E749" s="52"/>
      <c r="F749" s="52"/>
      <c r="G749" s="52"/>
      <c r="H749" s="53"/>
      <c r="I749" s="52"/>
      <c r="J749" s="52"/>
      <c r="K749" s="19"/>
      <c r="L749" s="19"/>
      <c r="M749" s="19"/>
      <c r="N749" s="19"/>
      <c r="O749" s="19"/>
      <c r="P749" s="19"/>
      <c r="Q749" s="19"/>
      <c r="R749" s="19"/>
      <c r="S749" s="19"/>
      <c r="T749" s="19"/>
      <c r="U749" s="19"/>
      <c r="V749" s="19"/>
      <c r="W749" s="19"/>
      <c r="X749" s="19"/>
      <c r="Y749" s="19"/>
      <c r="Z749" s="19"/>
      <c r="AA749" s="19"/>
      <c r="AB749" s="19"/>
      <c r="AC749" s="19"/>
      <c r="AD749" s="19"/>
      <c r="AE749" s="19"/>
      <c r="AF749" s="19"/>
      <c r="AG749" s="19"/>
      <c r="AH749" s="19"/>
      <c r="AI749" s="19"/>
      <c r="AJ749" s="19"/>
      <c r="FM749" s="54"/>
    </row>
    <row r="750" spans="1:169" s="18" customFormat="1">
      <c r="A750" s="51"/>
      <c r="B750" s="52"/>
      <c r="C750" s="52"/>
      <c r="D750" s="52"/>
      <c r="E750" s="52"/>
      <c r="F750" s="52"/>
      <c r="G750" s="52"/>
      <c r="H750" s="53"/>
      <c r="I750" s="52"/>
      <c r="J750" s="52"/>
      <c r="K750" s="19"/>
      <c r="L750" s="19"/>
      <c r="M750" s="19"/>
      <c r="N750" s="19"/>
      <c r="O750" s="19"/>
      <c r="P750" s="19"/>
      <c r="Q750" s="19"/>
      <c r="R750" s="19"/>
      <c r="S750" s="19"/>
      <c r="T750" s="19"/>
      <c r="U750" s="19"/>
      <c r="V750" s="19"/>
      <c r="W750" s="19"/>
      <c r="X750" s="19"/>
      <c r="Y750" s="19"/>
      <c r="Z750" s="19"/>
      <c r="AA750" s="19"/>
      <c r="AB750" s="19"/>
      <c r="AC750" s="19"/>
      <c r="AD750" s="19"/>
      <c r="AE750" s="19"/>
      <c r="AF750" s="19"/>
      <c r="AG750" s="19"/>
      <c r="AH750" s="19"/>
      <c r="AI750" s="19"/>
      <c r="AJ750" s="19"/>
      <c r="FM750" s="54"/>
    </row>
    <row r="751" spans="1:169" s="18" customFormat="1">
      <c r="A751" s="51"/>
      <c r="B751" s="52"/>
      <c r="C751" s="52"/>
      <c r="D751" s="52"/>
      <c r="E751" s="52"/>
      <c r="F751" s="52"/>
      <c r="G751" s="52"/>
      <c r="H751" s="53"/>
      <c r="I751" s="52"/>
      <c r="J751" s="52"/>
      <c r="K751" s="19"/>
      <c r="L751" s="19"/>
      <c r="M751" s="19"/>
      <c r="N751" s="19"/>
      <c r="O751" s="19"/>
      <c r="P751" s="19"/>
      <c r="Q751" s="19"/>
      <c r="R751" s="19"/>
      <c r="S751" s="19"/>
      <c r="T751" s="19"/>
      <c r="U751" s="19"/>
      <c r="V751" s="19"/>
      <c r="W751" s="19"/>
      <c r="X751" s="19"/>
      <c r="Y751" s="19"/>
      <c r="Z751" s="19"/>
      <c r="AA751" s="19"/>
      <c r="AB751" s="19"/>
      <c r="AC751" s="19"/>
      <c r="AD751" s="19"/>
      <c r="AE751" s="19"/>
      <c r="AF751" s="19"/>
      <c r="AG751" s="19"/>
      <c r="AH751" s="19"/>
      <c r="AI751" s="19"/>
      <c r="AJ751" s="19"/>
      <c r="FM751" s="54"/>
    </row>
    <row r="752" spans="1:169" s="18" customFormat="1">
      <c r="A752" s="51"/>
      <c r="B752" s="52"/>
      <c r="C752" s="52"/>
      <c r="D752" s="52"/>
      <c r="E752" s="52"/>
      <c r="F752" s="52"/>
      <c r="G752" s="52"/>
      <c r="H752" s="53"/>
      <c r="I752" s="52"/>
      <c r="J752" s="52"/>
      <c r="K752" s="19"/>
      <c r="L752" s="19"/>
      <c r="M752" s="19"/>
      <c r="N752" s="19"/>
      <c r="O752" s="19"/>
      <c r="P752" s="19"/>
      <c r="Q752" s="19"/>
      <c r="R752" s="19"/>
      <c r="S752" s="19"/>
      <c r="T752" s="19"/>
      <c r="U752" s="19"/>
      <c r="V752" s="19"/>
      <c r="W752" s="19"/>
      <c r="X752" s="19"/>
      <c r="Y752" s="19"/>
      <c r="Z752" s="19"/>
      <c r="AA752" s="19"/>
      <c r="AB752" s="19"/>
      <c r="AC752" s="19"/>
      <c r="AD752" s="19"/>
      <c r="AE752" s="19"/>
      <c r="AF752" s="19"/>
      <c r="AG752" s="19"/>
      <c r="AH752" s="19"/>
      <c r="AI752" s="19"/>
      <c r="AJ752" s="19"/>
      <c r="FM752" s="54"/>
    </row>
    <row r="753" spans="1:169" s="18" customFormat="1">
      <c r="A753" s="51"/>
      <c r="B753" s="52"/>
      <c r="C753" s="52"/>
      <c r="D753" s="52"/>
      <c r="E753" s="52"/>
      <c r="F753" s="52"/>
      <c r="G753" s="52"/>
      <c r="H753" s="53"/>
      <c r="I753" s="52"/>
      <c r="J753" s="52"/>
      <c r="K753" s="19"/>
      <c r="L753" s="19"/>
      <c r="M753" s="19"/>
      <c r="N753" s="19"/>
      <c r="O753" s="19"/>
      <c r="P753" s="19"/>
      <c r="Q753" s="19"/>
      <c r="R753" s="19"/>
      <c r="S753" s="19"/>
      <c r="T753" s="19"/>
      <c r="U753" s="19"/>
      <c r="V753" s="19"/>
      <c r="W753" s="19"/>
      <c r="X753" s="19"/>
      <c r="Y753" s="19"/>
      <c r="Z753" s="19"/>
      <c r="AA753" s="19"/>
      <c r="AB753" s="19"/>
      <c r="AC753" s="19"/>
      <c r="AD753" s="19"/>
      <c r="AE753" s="19"/>
      <c r="AF753" s="19"/>
      <c r="AG753" s="19"/>
      <c r="AH753" s="19"/>
      <c r="AI753" s="19"/>
      <c r="AJ753" s="19"/>
      <c r="FM753" s="54"/>
    </row>
    <row r="754" spans="1:169" s="18" customFormat="1">
      <c r="A754" s="51"/>
      <c r="B754" s="52"/>
      <c r="C754" s="52"/>
      <c r="D754" s="52"/>
      <c r="E754" s="52"/>
      <c r="F754" s="52"/>
      <c r="G754" s="52"/>
      <c r="H754" s="53"/>
      <c r="I754" s="52"/>
      <c r="J754" s="52"/>
      <c r="K754" s="19"/>
      <c r="L754" s="19"/>
      <c r="M754" s="19"/>
      <c r="N754" s="19"/>
      <c r="O754" s="19"/>
      <c r="P754" s="19"/>
      <c r="Q754" s="19"/>
      <c r="R754" s="19"/>
      <c r="S754" s="19"/>
      <c r="T754" s="19"/>
      <c r="U754" s="19"/>
      <c r="V754" s="19"/>
      <c r="W754" s="19"/>
      <c r="X754" s="19"/>
      <c r="Y754" s="19"/>
      <c r="Z754" s="19"/>
      <c r="AA754" s="19"/>
      <c r="AB754" s="19"/>
      <c r="AC754" s="19"/>
      <c r="AD754" s="19"/>
      <c r="AE754" s="19"/>
      <c r="AF754" s="19"/>
      <c r="AG754" s="19"/>
      <c r="AH754" s="19"/>
      <c r="AI754" s="19"/>
      <c r="AJ754" s="19"/>
      <c r="FM754" s="54"/>
    </row>
    <row r="755" spans="1:169" s="18" customFormat="1">
      <c r="A755" s="51"/>
      <c r="B755" s="52"/>
      <c r="C755" s="52"/>
      <c r="D755" s="52"/>
      <c r="E755" s="52"/>
      <c r="F755" s="52"/>
      <c r="G755" s="52"/>
      <c r="H755" s="53"/>
      <c r="I755" s="52"/>
      <c r="J755" s="52"/>
      <c r="K755" s="19"/>
      <c r="L755" s="19"/>
      <c r="M755" s="19"/>
      <c r="N755" s="19"/>
      <c r="O755" s="19"/>
      <c r="P755" s="19"/>
      <c r="Q755" s="19"/>
      <c r="R755" s="19"/>
      <c r="S755" s="19"/>
      <c r="T755" s="19"/>
      <c r="U755" s="19"/>
      <c r="V755" s="19"/>
      <c r="W755" s="19"/>
      <c r="X755" s="19"/>
      <c r="Y755" s="19"/>
      <c r="Z755" s="19"/>
      <c r="AA755" s="19"/>
      <c r="AB755" s="19"/>
      <c r="AC755" s="19"/>
      <c r="AD755" s="19"/>
      <c r="AE755" s="19"/>
      <c r="AF755" s="19"/>
      <c r="AG755" s="19"/>
      <c r="AH755" s="19"/>
      <c r="AI755" s="19"/>
      <c r="AJ755" s="19"/>
      <c r="FM755" s="54"/>
    </row>
    <row r="756" spans="1:169" s="18" customFormat="1">
      <c r="A756" s="51"/>
      <c r="B756" s="52"/>
      <c r="C756" s="52"/>
      <c r="D756" s="52"/>
      <c r="E756" s="52"/>
      <c r="F756" s="52"/>
      <c r="G756" s="52"/>
      <c r="H756" s="53"/>
      <c r="I756" s="52"/>
      <c r="J756" s="52"/>
      <c r="K756" s="19"/>
      <c r="L756" s="19"/>
      <c r="M756" s="19"/>
      <c r="N756" s="19"/>
      <c r="O756" s="19"/>
      <c r="P756" s="19"/>
      <c r="Q756" s="19"/>
      <c r="R756" s="19"/>
      <c r="S756" s="19"/>
      <c r="T756" s="19"/>
      <c r="U756" s="19"/>
      <c r="V756" s="19"/>
      <c r="W756" s="19"/>
      <c r="X756" s="19"/>
      <c r="Y756" s="19"/>
      <c r="Z756" s="19"/>
      <c r="AA756" s="19"/>
      <c r="AB756" s="19"/>
      <c r="AC756" s="19"/>
      <c r="AD756" s="19"/>
      <c r="AE756" s="19"/>
      <c r="AF756" s="19"/>
      <c r="AG756" s="19"/>
      <c r="AH756" s="19"/>
      <c r="AI756" s="19"/>
      <c r="AJ756" s="19"/>
      <c r="FM756" s="54"/>
    </row>
    <row r="757" spans="1:169" s="18" customFormat="1">
      <c r="A757" s="51"/>
      <c r="B757" s="52"/>
      <c r="C757" s="52"/>
      <c r="D757" s="52"/>
      <c r="E757" s="52"/>
      <c r="F757" s="52"/>
      <c r="G757" s="52"/>
      <c r="H757" s="53"/>
      <c r="I757" s="52"/>
      <c r="J757" s="52"/>
      <c r="K757" s="19"/>
      <c r="L757" s="19"/>
      <c r="M757" s="19"/>
      <c r="N757" s="19"/>
      <c r="O757" s="19"/>
      <c r="P757" s="19"/>
      <c r="Q757" s="19"/>
      <c r="R757" s="19"/>
      <c r="S757" s="19"/>
      <c r="T757" s="19"/>
      <c r="U757" s="19"/>
      <c r="V757" s="19"/>
      <c r="W757" s="19"/>
      <c r="X757" s="19"/>
      <c r="Y757" s="19"/>
      <c r="Z757" s="19"/>
      <c r="AA757" s="19"/>
      <c r="AB757" s="19"/>
      <c r="AC757" s="19"/>
      <c r="AD757" s="19"/>
      <c r="AE757" s="19"/>
      <c r="AF757" s="19"/>
      <c r="AG757" s="19"/>
      <c r="AH757" s="19"/>
      <c r="AI757" s="19"/>
      <c r="AJ757" s="19"/>
      <c r="FM757" s="54"/>
    </row>
    <row r="758" spans="1:169" s="18" customFormat="1">
      <c r="A758" s="51"/>
      <c r="B758" s="52"/>
      <c r="C758" s="52"/>
      <c r="D758" s="52"/>
      <c r="E758" s="52"/>
      <c r="F758" s="52"/>
      <c r="G758" s="52"/>
      <c r="H758" s="53"/>
      <c r="I758" s="52"/>
      <c r="J758" s="52"/>
      <c r="K758" s="19"/>
      <c r="L758" s="19"/>
      <c r="M758" s="19"/>
      <c r="N758" s="19"/>
      <c r="O758" s="19"/>
      <c r="P758" s="19"/>
      <c r="Q758" s="19"/>
      <c r="R758" s="19"/>
      <c r="S758" s="19"/>
      <c r="T758" s="19"/>
      <c r="U758" s="19"/>
      <c r="V758" s="19"/>
      <c r="W758" s="19"/>
      <c r="X758" s="19"/>
      <c r="Y758" s="19"/>
      <c r="Z758" s="19"/>
      <c r="AA758" s="19"/>
      <c r="AB758" s="19"/>
      <c r="AC758" s="19"/>
      <c r="AD758" s="19"/>
      <c r="AE758" s="19"/>
      <c r="AF758" s="19"/>
      <c r="AG758" s="19"/>
      <c r="AH758" s="19"/>
      <c r="AI758" s="19"/>
      <c r="AJ758" s="19"/>
      <c r="FM758" s="54"/>
    </row>
    <row r="759" spans="1:169" s="18" customFormat="1">
      <c r="A759" s="51"/>
      <c r="B759" s="52"/>
      <c r="C759" s="52"/>
      <c r="D759" s="52"/>
      <c r="E759" s="52"/>
      <c r="F759" s="52"/>
      <c r="G759" s="52"/>
      <c r="H759" s="53"/>
      <c r="I759" s="52"/>
      <c r="J759" s="52"/>
      <c r="K759" s="19"/>
      <c r="L759" s="19"/>
      <c r="M759" s="19"/>
      <c r="N759" s="19"/>
      <c r="O759" s="19"/>
      <c r="P759" s="19"/>
      <c r="Q759" s="19"/>
      <c r="R759" s="19"/>
      <c r="S759" s="19"/>
      <c r="T759" s="19"/>
      <c r="U759" s="19"/>
      <c r="V759" s="19"/>
      <c r="W759" s="19"/>
      <c r="X759" s="19"/>
      <c r="Y759" s="19"/>
      <c r="Z759" s="19"/>
      <c r="AA759" s="19"/>
      <c r="AB759" s="19"/>
      <c r="AC759" s="19"/>
      <c r="AD759" s="19"/>
      <c r="AE759" s="19"/>
      <c r="AF759" s="19"/>
      <c r="AG759" s="19"/>
      <c r="AH759" s="19"/>
      <c r="AI759" s="19"/>
      <c r="AJ759" s="19"/>
      <c r="FM759" s="54"/>
    </row>
    <row r="760" spans="1:169" s="18" customFormat="1">
      <c r="A760" s="51"/>
      <c r="B760" s="52"/>
      <c r="C760" s="52"/>
      <c r="D760" s="52"/>
      <c r="E760" s="52"/>
      <c r="F760" s="52"/>
      <c r="G760" s="52"/>
      <c r="H760" s="53"/>
      <c r="I760" s="52"/>
      <c r="J760" s="52"/>
      <c r="K760" s="19"/>
      <c r="L760" s="19"/>
      <c r="M760" s="19"/>
      <c r="N760" s="19"/>
      <c r="O760" s="19"/>
      <c r="P760" s="19"/>
      <c r="Q760" s="19"/>
      <c r="R760" s="19"/>
      <c r="S760" s="19"/>
      <c r="T760" s="19"/>
      <c r="U760" s="19"/>
      <c r="V760" s="19"/>
      <c r="W760" s="19"/>
      <c r="X760" s="19"/>
      <c r="Y760" s="19"/>
      <c r="Z760" s="19"/>
      <c r="AA760" s="19"/>
      <c r="AB760" s="19"/>
      <c r="AC760" s="19"/>
      <c r="AD760" s="19"/>
      <c r="AE760" s="19"/>
      <c r="AF760" s="19"/>
      <c r="AG760" s="19"/>
      <c r="AH760" s="19"/>
      <c r="AI760" s="19"/>
      <c r="AJ760" s="19"/>
      <c r="FM760" s="54"/>
    </row>
    <row r="761" spans="1:169" s="18" customFormat="1">
      <c r="A761" s="51"/>
      <c r="B761" s="52"/>
      <c r="C761" s="52"/>
      <c r="D761" s="52"/>
      <c r="E761" s="52"/>
      <c r="F761" s="52"/>
      <c r="G761" s="52"/>
      <c r="H761" s="53"/>
      <c r="I761" s="52"/>
      <c r="J761" s="52"/>
      <c r="K761" s="19"/>
      <c r="L761" s="19"/>
      <c r="M761" s="19"/>
      <c r="N761" s="19"/>
      <c r="O761" s="19"/>
      <c r="P761" s="19"/>
      <c r="Q761" s="19"/>
      <c r="R761" s="19"/>
      <c r="S761" s="19"/>
      <c r="T761" s="19"/>
      <c r="U761" s="19"/>
      <c r="V761" s="19"/>
      <c r="W761" s="19"/>
      <c r="X761" s="19"/>
      <c r="Y761" s="19"/>
      <c r="Z761" s="19"/>
      <c r="AA761" s="19"/>
      <c r="AB761" s="19"/>
      <c r="AC761" s="19"/>
      <c r="AD761" s="19"/>
      <c r="AE761" s="19"/>
      <c r="AF761" s="19"/>
      <c r="AG761" s="19"/>
      <c r="AH761" s="19"/>
      <c r="AI761" s="19"/>
      <c r="AJ761" s="19"/>
      <c r="FM761" s="54"/>
    </row>
    <row r="762" spans="1:169" s="18" customFormat="1">
      <c r="A762" s="51"/>
      <c r="B762" s="52"/>
      <c r="C762" s="52"/>
      <c r="D762" s="52"/>
      <c r="E762" s="52"/>
      <c r="F762" s="52"/>
      <c r="G762" s="52"/>
      <c r="H762" s="53"/>
      <c r="I762" s="52"/>
      <c r="J762" s="52"/>
      <c r="K762" s="19"/>
      <c r="L762" s="19"/>
      <c r="M762" s="19"/>
      <c r="N762" s="19"/>
      <c r="O762" s="19"/>
      <c r="P762" s="19"/>
      <c r="Q762" s="19"/>
      <c r="R762" s="19"/>
      <c r="S762" s="19"/>
      <c r="T762" s="19"/>
      <c r="U762" s="19"/>
      <c r="V762" s="19"/>
      <c r="W762" s="19"/>
      <c r="X762" s="19"/>
      <c r="Y762" s="19"/>
      <c r="Z762" s="19"/>
      <c r="AA762" s="19"/>
      <c r="AB762" s="19"/>
      <c r="AC762" s="19"/>
      <c r="AD762" s="19"/>
      <c r="AE762" s="19"/>
      <c r="AF762" s="19"/>
      <c r="AG762" s="19"/>
      <c r="AH762" s="19"/>
      <c r="AI762" s="19"/>
      <c r="AJ762" s="19"/>
      <c r="FM762" s="54"/>
    </row>
    <row r="763" spans="1:169" s="18" customFormat="1">
      <c r="A763" s="51"/>
      <c r="B763" s="52"/>
      <c r="C763" s="52"/>
      <c r="D763" s="52"/>
      <c r="E763" s="52"/>
      <c r="F763" s="52"/>
      <c r="G763" s="52"/>
      <c r="H763" s="53"/>
      <c r="I763" s="52"/>
      <c r="J763" s="52"/>
      <c r="K763" s="19"/>
      <c r="L763" s="19"/>
      <c r="M763" s="19"/>
      <c r="N763" s="19"/>
      <c r="O763" s="19"/>
      <c r="P763" s="19"/>
      <c r="Q763" s="19"/>
      <c r="R763" s="19"/>
      <c r="S763" s="19"/>
      <c r="T763" s="19"/>
      <c r="U763" s="19"/>
      <c r="V763" s="19"/>
      <c r="W763" s="19"/>
      <c r="X763" s="19"/>
      <c r="Y763" s="19"/>
      <c r="Z763" s="19"/>
      <c r="AA763" s="19"/>
      <c r="AB763" s="19"/>
      <c r="AC763" s="19"/>
      <c r="AD763" s="19"/>
      <c r="AE763" s="19"/>
      <c r="AF763" s="19"/>
      <c r="AG763" s="19"/>
      <c r="AH763" s="19"/>
      <c r="AI763" s="19"/>
      <c r="AJ763" s="19"/>
      <c r="FM763" s="54"/>
    </row>
    <row r="764" spans="1:169" s="18" customFormat="1">
      <c r="A764" s="51"/>
      <c r="B764" s="52"/>
      <c r="C764" s="52"/>
      <c r="D764" s="52"/>
      <c r="E764" s="52"/>
      <c r="F764" s="52"/>
      <c r="G764" s="52"/>
      <c r="H764" s="53"/>
      <c r="I764" s="52"/>
      <c r="J764" s="52"/>
      <c r="K764" s="19"/>
      <c r="L764" s="19"/>
      <c r="M764" s="19"/>
      <c r="N764" s="19"/>
      <c r="O764" s="19"/>
      <c r="P764" s="19"/>
      <c r="Q764" s="19"/>
      <c r="R764" s="19"/>
      <c r="S764" s="19"/>
      <c r="T764" s="19"/>
      <c r="U764" s="19"/>
      <c r="V764" s="19"/>
      <c r="W764" s="19"/>
      <c r="X764" s="19"/>
      <c r="Y764" s="19"/>
      <c r="Z764" s="19"/>
      <c r="AA764" s="19"/>
      <c r="AB764" s="19"/>
      <c r="AC764" s="19"/>
      <c r="AD764" s="19"/>
      <c r="AE764" s="19"/>
      <c r="AF764" s="19"/>
      <c r="AG764" s="19"/>
      <c r="AH764" s="19"/>
      <c r="AI764" s="19"/>
      <c r="AJ764" s="19"/>
      <c r="FM764" s="54"/>
    </row>
    <row r="765" spans="1:169" s="18" customFormat="1">
      <c r="A765" s="51"/>
      <c r="B765" s="52"/>
      <c r="C765" s="52"/>
      <c r="D765" s="52"/>
      <c r="E765" s="52"/>
      <c r="F765" s="52"/>
      <c r="G765" s="52"/>
      <c r="H765" s="53"/>
      <c r="I765" s="52"/>
      <c r="J765" s="52"/>
      <c r="K765" s="19"/>
      <c r="L765" s="19"/>
      <c r="M765" s="19"/>
      <c r="N765" s="19"/>
      <c r="O765" s="19"/>
      <c r="P765" s="19"/>
      <c r="Q765" s="19"/>
      <c r="R765" s="19"/>
      <c r="S765" s="19"/>
      <c r="T765" s="19"/>
      <c r="U765" s="19"/>
      <c r="V765" s="19"/>
      <c r="W765" s="19"/>
      <c r="X765" s="19"/>
      <c r="Y765" s="19"/>
      <c r="Z765" s="19"/>
      <c r="AA765" s="19"/>
      <c r="AB765" s="19"/>
      <c r="AC765" s="19"/>
      <c r="AD765" s="19"/>
      <c r="AE765" s="19"/>
      <c r="AF765" s="19"/>
      <c r="AG765" s="19"/>
      <c r="AH765" s="19"/>
      <c r="AI765" s="19"/>
      <c r="AJ765" s="19"/>
      <c r="FM765" s="54"/>
    </row>
    <row r="766" spans="1:169" s="18" customFormat="1">
      <c r="A766" s="51"/>
      <c r="B766" s="52"/>
      <c r="C766" s="52"/>
      <c r="D766" s="52"/>
      <c r="E766" s="52"/>
      <c r="F766" s="52"/>
      <c r="G766" s="52"/>
      <c r="H766" s="53"/>
      <c r="I766" s="52"/>
      <c r="J766" s="52"/>
      <c r="K766" s="19"/>
      <c r="L766" s="19"/>
      <c r="M766" s="19"/>
      <c r="N766" s="19"/>
      <c r="O766" s="19"/>
      <c r="P766" s="19"/>
      <c r="Q766" s="19"/>
      <c r="R766" s="19"/>
      <c r="S766" s="19"/>
      <c r="T766" s="19"/>
      <c r="U766" s="19"/>
      <c r="V766" s="19"/>
      <c r="W766" s="19"/>
      <c r="X766" s="19"/>
      <c r="Y766" s="19"/>
      <c r="Z766" s="19"/>
      <c r="AA766" s="19"/>
      <c r="AB766" s="19"/>
      <c r="AC766" s="19"/>
      <c r="AD766" s="19"/>
      <c r="AE766" s="19"/>
      <c r="AF766" s="19"/>
      <c r="AG766" s="19"/>
      <c r="AH766" s="19"/>
      <c r="AI766" s="19"/>
      <c r="AJ766" s="19"/>
      <c r="FM766" s="54"/>
    </row>
    <row r="767" spans="1:169" s="18" customFormat="1">
      <c r="A767" s="51"/>
      <c r="B767" s="52"/>
      <c r="C767" s="52"/>
      <c r="D767" s="52"/>
      <c r="E767" s="52"/>
      <c r="F767" s="52"/>
      <c r="G767" s="52"/>
      <c r="H767" s="53"/>
      <c r="I767" s="52"/>
      <c r="J767" s="52"/>
      <c r="K767" s="19"/>
      <c r="L767" s="19"/>
      <c r="M767" s="19"/>
      <c r="N767" s="19"/>
      <c r="O767" s="19"/>
      <c r="P767" s="19"/>
      <c r="Q767" s="19"/>
      <c r="R767" s="19"/>
      <c r="S767" s="19"/>
      <c r="T767" s="19"/>
      <c r="U767" s="19"/>
      <c r="V767" s="19"/>
      <c r="W767" s="19"/>
      <c r="X767" s="19"/>
      <c r="Y767" s="19"/>
      <c r="Z767" s="19"/>
      <c r="AA767" s="19"/>
      <c r="AB767" s="19"/>
      <c r="AC767" s="19"/>
      <c r="AD767" s="19"/>
      <c r="AE767" s="19"/>
      <c r="AF767" s="19"/>
      <c r="AG767" s="19"/>
      <c r="AH767" s="19"/>
      <c r="AI767" s="19"/>
      <c r="AJ767" s="19"/>
      <c r="FM767" s="54"/>
    </row>
    <row r="768" spans="1:169" s="18" customFormat="1">
      <c r="A768" s="51"/>
      <c r="B768" s="52"/>
      <c r="C768" s="52"/>
      <c r="D768" s="52"/>
      <c r="E768" s="52"/>
      <c r="F768" s="52"/>
      <c r="G768" s="52"/>
      <c r="H768" s="53"/>
      <c r="I768" s="52"/>
      <c r="J768" s="52"/>
      <c r="K768" s="19"/>
      <c r="L768" s="19"/>
      <c r="M768" s="19"/>
      <c r="N768" s="19"/>
      <c r="O768" s="19"/>
      <c r="P768" s="19"/>
      <c r="Q768" s="19"/>
      <c r="R768" s="19"/>
      <c r="S768" s="19"/>
      <c r="T768" s="19"/>
      <c r="U768" s="19"/>
      <c r="V768" s="19"/>
      <c r="W768" s="19"/>
      <c r="X768" s="19"/>
      <c r="Y768" s="19"/>
      <c r="Z768" s="19"/>
      <c r="AA768" s="19"/>
      <c r="AB768" s="19"/>
      <c r="AC768" s="19"/>
      <c r="AD768" s="19"/>
      <c r="AE768" s="19"/>
      <c r="AF768" s="19"/>
      <c r="AG768" s="19"/>
      <c r="AH768" s="19"/>
      <c r="AI768" s="19"/>
      <c r="AJ768" s="19"/>
      <c r="FM768" s="54"/>
    </row>
    <row r="769" spans="1:169" s="18" customFormat="1">
      <c r="A769" s="51"/>
      <c r="B769" s="52"/>
      <c r="C769" s="52"/>
      <c r="D769" s="52"/>
      <c r="E769" s="52"/>
      <c r="F769" s="52"/>
      <c r="G769" s="52"/>
      <c r="H769" s="53"/>
      <c r="I769" s="52"/>
      <c r="J769" s="52"/>
      <c r="K769" s="19"/>
      <c r="L769" s="19"/>
      <c r="M769" s="19"/>
      <c r="N769" s="19"/>
      <c r="O769" s="19"/>
      <c r="P769" s="19"/>
      <c r="Q769" s="19"/>
      <c r="R769" s="19"/>
      <c r="S769" s="19"/>
      <c r="T769" s="19"/>
      <c r="U769" s="19"/>
      <c r="V769" s="19"/>
      <c r="W769" s="19"/>
      <c r="X769" s="19"/>
      <c r="Y769" s="19"/>
      <c r="Z769" s="19"/>
      <c r="AA769" s="19"/>
      <c r="AB769" s="19"/>
      <c r="AC769" s="19"/>
      <c r="AD769" s="19"/>
      <c r="AE769" s="19"/>
      <c r="AF769" s="19"/>
      <c r="AG769" s="19"/>
      <c r="AH769" s="19"/>
      <c r="AI769" s="19"/>
      <c r="AJ769" s="19"/>
      <c r="FM769" s="54"/>
    </row>
    <row r="770" spans="1:169" s="18" customFormat="1">
      <c r="A770" s="51"/>
      <c r="B770" s="52"/>
      <c r="C770" s="52"/>
      <c r="D770" s="52"/>
      <c r="E770" s="52"/>
      <c r="F770" s="52"/>
      <c r="G770" s="52"/>
      <c r="H770" s="53"/>
      <c r="I770" s="52"/>
      <c r="J770" s="52"/>
      <c r="K770" s="19"/>
      <c r="L770" s="19"/>
      <c r="M770" s="19"/>
      <c r="N770" s="19"/>
      <c r="O770" s="19"/>
      <c r="P770" s="19"/>
      <c r="Q770" s="19"/>
      <c r="R770" s="19"/>
      <c r="S770" s="19"/>
      <c r="T770" s="19"/>
      <c r="U770" s="19"/>
      <c r="V770" s="19"/>
      <c r="W770" s="19"/>
      <c r="X770" s="19"/>
      <c r="Y770" s="19"/>
      <c r="Z770" s="19"/>
      <c r="AA770" s="19"/>
      <c r="AB770" s="19"/>
      <c r="AC770" s="19"/>
      <c r="AD770" s="19"/>
      <c r="AE770" s="19"/>
      <c r="AF770" s="19"/>
      <c r="AG770" s="19"/>
      <c r="AH770" s="19"/>
      <c r="AI770" s="19"/>
      <c r="AJ770" s="19"/>
      <c r="FM770" s="54"/>
    </row>
    <row r="771" spans="1:169" s="18" customFormat="1">
      <c r="A771" s="51"/>
      <c r="B771" s="52"/>
      <c r="C771" s="52"/>
      <c r="D771" s="52"/>
      <c r="E771" s="52"/>
      <c r="F771" s="52"/>
      <c r="G771" s="52"/>
      <c r="H771" s="53"/>
      <c r="I771" s="52"/>
      <c r="J771" s="52"/>
      <c r="K771" s="19"/>
      <c r="L771" s="19"/>
      <c r="M771" s="19"/>
      <c r="N771" s="19"/>
      <c r="O771" s="19"/>
      <c r="P771" s="19"/>
      <c r="Q771" s="19"/>
      <c r="R771" s="19"/>
      <c r="S771" s="19"/>
      <c r="T771" s="19"/>
      <c r="U771" s="19"/>
      <c r="V771" s="19"/>
      <c r="W771" s="19"/>
      <c r="X771" s="19"/>
      <c r="Y771" s="19"/>
      <c r="Z771" s="19"/>
      <c r="AA771" s="19"/>
      <c r="AB771" s="19"/>
      <c r="AC771" s="19"/>
      <c r="AD771" s="19"/>
      <c r="AE771" s="19"/>
      <c r="AF771" s="19"/>
      <c r="AG771" s="19"/>
      <c r="AH771" s="19"/>
      <c r="AI771" s="19"/>
      <c r="AJ771" s="19"/>
      <c r="FM771" s="54"/>
    </row>
    <row r="772" spans="1:169" s="18" customFormat="1">
      <c r="A772" s="51"/>
      <c r="B772" s="52"/>
      <c r="C772" s="52"/>
      <c r="D772" s="52"/>
      <c r="E772" s="52"/>
      <c r="F772" s="52"/>
      <c r="G772" s="52"/>
      <c r="H772" s="53"/>
      <c r="I772" s="52"/>
      <c r="J772" s="52"/>
      <c r="K772" s="19"/>
      <c r="L772" s="19"/>
      <c r="M772" s="19"/>
      <c r="N772" s="19"/>
      <c r="O772" s="19"/>
      <c r="P772" s="19"/>
      <c r="Q772" s="19"/>
      <c r="R772" s="19"/>
      <c r="S772" s="19"/>
      <c r="T772" s="19"/>
      <c r="U772" s="19"/>
      <c r="V772" s="19"/>
      <c r="W772" s="19"/>
      <c r="X772" s="19"/>
      <c r="Y772" s="19"/>
      <c r="Z772" s="19"/>
      <c r="AA772" s="19"/>
      <c r="AB772" s="19"/>
      <c r="AC772" s="19"/>
      <c r="AD772" s="19"/>
      <c r="AE772" s="19"/>
      <c r="AF772" s="19"/>
      <c r="AG772" s="19"/>
      <c r="AH772" s="19"/>
      <c r="AI772" s="19"/>
      <c r="AJ772" s="19"/>
      <c r="FM772" s="54"/>
    </row>
    <row r="773" spans="1:169" s="18" customFormat="1">
      <c r="A773" s="51"/>
      <c r="B773" s="52"/>
      <c r="C773" s="52"/>
      <c r="D773" s="52"/>
      <c r="E773" s="52"/>
      <c r="F773" s="52"/>
      <c r="G773" s="52"/>
      <c r="H773" s="53"/>
      <c r="I773" s="52"/>
      <c r="J773" s="52"/>
      <c r="K773" s="19"/>
      <c r="L773" s="19"/>
      <c r="M773" s="19"/>
      <c r="N773" s="19"/>
      <c r="O773" s="19"/>
      <c r="P773" s="19"/>
      <c r="Q773" s="19"/>
      <c r="R773" s="19"/>
      <c r="S773" s="19"/>
      <c r="T773" s="19"/>
      <c r="U773" s="19"/>
      <c r="V773" s="19"/>
      <c r="W773" s="19"/>
      <c r="X773" s="19"/>
      <c r="Y773" s="19"/>
      <c r="Z773" s="19"/>
      <c r="AA773" s="19"/>
      <c r="AB773" s="19"/>
      <c r="AC773" s="19"/>
      <c r="AD773" s="19"/>
      <c r="AE773" s="19"/>
      <c r="AF773" s="19"/>
      <c r="AG773" s="19"/>
      <c r="AH773" s="19"/>
      <c r="AI773" s="19"/>
      <c r="AJ773" s="19"/>
      <c r="FM773" s="54"/>
    </row>
    <row r="774" spans="1:169" s="18" customFormat="1">
      <c r="A774" s="51"/>
      <c r="B774" s="52"/>
      <c r="C774" s="52"/>
      <c r="D774" s="52"/>
      <c r="E774" s="52"/>
      <c r="F774" s="52"/>
      <c r="G774" s="52"/>
      <c r="H774" s="53"/>
      <c r="I774" s="52"/>
      <c r="J774" s="52"/>
      <c r="K774" s="19"/>
      <c r="L774" s="19"/>
      <c r="M774" s="19"/>
      <c r="N774" s="19"/>
      <c r="O774" s="19"/>
      <c r="P774" s="19"/>
      <c r="Q774" s="19"/>
      <c r="R774" s="19"/>
      <c r="S774" s="19"/>
      <c r="T774" s="19"/>
      <c r="U774" s="19"/>
      <c r="V774" s="19"/>
      <c r="W774" s="19"/>
      <c r="X774" s="19"/>
      <c r="Y774" s="19"/>
      <c r="Z774" s="19"/>
      <c r="AA774" s="19"/>
      <c r="AB774" s="19"/>
      <c r="AC774" s="19"/>
      <c r="AD774" s="19"/>
      <c r="AE774" s="19"/>
      <c r="AF774" s="19"/>
      <c r="AG774" s="19"/>
      <c r="AH774" s="19"/>
      <c r="AI774" s="19"/>
      <c r="AJ774" s="19"/>
      <c r="FM774" s="54"/>
    </row>
    <row r="775" spans="1:169" s="18" customFormat="1">
      <c r="A775" s="51"/>
      <c r="B775" s="52"/>
      <c r="C775" s="52"/>
      <c r="D775" s="52"/>
      <c r="E775" s="52"/>
      <c r="F775" s="52"/>
      <c r="G775" s="52"/>
      <c r="H775" s="53"/>
      <c r="I775" s="52"/>
      <c r="J775" s="52"/>
      <c r="K775" s="19"/>
      <c r="L775" s="19"/>
      <c r="M775" s="19"/>
      <c r="N775" s="19"/>
      <c r="O775" s="19"/>
      <c r="P775" s="19"/>
      <c r="Q775" s="19"/>
      <c r="R775" s="19"/>
      <c r="S775" s="19"/>
      <c r="T775" s="19"/>
      <c r="U775" s="19"/>
      <c r="V775" s="19"/>
      <c r="W775" s="19"/>
      <c r="X775" s="19"/>
      <c r="Y775" s="19"/>
      <c r="Z775" s="19"/>
      <c r="AA775" s="19"/>
      <c r="AB775" s="19"/>
      <c r="AC775" s="19"/>
      <c r="AD775" s="19"/>
      <c r="AE775" s="19"/>
      <c r="AF775" s="19"/>
      <c r="AG775" s="19"/>
      <c r="AH775" s="19"/>
      <c r="AI775" s="19"/>
      <c r="AJ775" s="19"/>
      <c r="FM775" s="54"/>
    </row>
    <row r="776" spans="1:169" s="18" customFormat="1">
      <c r="A776" s="51"/>
      <c r="B776" s="52"/>
      <c r="C776" s="52"/>
      <c r="D776" s="52"/>
      <c r="E776" s="52"/>
      <c r="F776" s="52"/>
      <c r="G776" s="52"/>
      <c r="H776" s="53"/>
      <c r="I776" s="52"/>
      <c r="J776" s="52"/>
      <c r="K776" s="19"/>
      <c r="L776" s="19"/>
      <c r="M776" s="19"/>
      <c r="N776" s="19"/>
      <c r="O776" s="19"/>
      <c r="P776" s="19"/>
      <c r="Q776" s="19"/>
      <c r="R776" s="19"/>
      <c r="S776" s="19"/>
      <c r="T776" s="19"/>
      <c r="U776" s="19"/>
      <c r="V776" s="19"/>
      <c r="W776" s="19"/>
      <c r="X776" s="19"/>
      <c r="Y776" s="19"/>
      <c r="Z776" s="19"/>
      <c r="AA776" s="19"/>
      <c r="AB776" s="19"/>
      <c r="AC776" s="19"/>
      <c r="AD776" s="19"/>
      <c r="AE776" s="19"/>
      <c r="AF776" s="19"/>
      <c r="AG776" s="19"/>
      <c r="AH776" s="19"/>
      <c r="AI776" s="19"/>
      <c r="AJ776" s="19"/>
      <c r="FM776" s="54"/>
    </row>
    <row r="777" spans="1:169" s="18" customFormat="1">
      <c r="A777" s="51"/>
      <c r="B777" s="52"/>
      <c r="C777" s="52"/>
      <c r="D777" s="52"/>
      <c r="E777" s="52"/>
      <c r="F777" s="52"/>
      <c r="G777" s="52"/>
      <c r="H777" s="53"/>
      <c r="I777" s="52"/>
      <c r="J777" s="52"/>
      <c r="K777" s="19"/>
      <c r="L777" s="19"/>
      <c r="M777" s="19"/>
      <c r="N777" s="19"/>
      <c r="O777" s="19"/>
      <c r="P777" s="19"/>
      <c r="Q777" s="19"/>
      <c r="R777" s="19"/>
      <c r="S777" s="19"/>
      <c r="T777" s="19"/>
      <c r="U777" s="19"/>
      <c r="V777" s="19"/>
      <c r="W777" s="19"/>
      <c r="X777" s="19"/>
      <c r="Y777" s="19"/>
      <c r="Z777" s="19"/>
      <c r="AA777" s="19"/>
      <c r="AB777" s="19"/>
      <c r="AC777" s="19"/>
      <c r="AD777" s="19"/>
      <c r="AE777" s="19"/>
      <c r="AF777" s="19"/>
      <c r="AG777" s="19"/>
      <c r="AH777" s="19"/>
      <c r="AI777" s="19"/>
      <c r="AJ777" s="19"/>
      <c r="FM777" s="54"/>
    </row>
    <row r="778" spans="1:169" s="18" customFormat="1">
      <c r="A778" s="51"/>
      <c r="B778" s="52"/>
      <c r="C778" s="52"/>
      <c r="D778" s="52"/>
      <c r="E778" s="52"/>
      <c r="F778" s="52"/>
      <c r="G778" s="52"/>
      <c r="H778" s="53"/>
      <c r="I778" s="52"/>
      <c r="J778" s="52"/>
      <c r="K778" s="19"/>
      <c r="L778" s="19"/>
      <c r="M778" s="19"/>
      <c r="N778" s="19"/>
      <c r="O778" s="19"/>
      <c r="P778" s="19"/>
      <c r="Q778" s="19"/>
      <c r="R778" s="19"/>
      <c r="S778" s="19"/>
      <c r="T778" s="19"/>
      <c r="U778" s="19"/>
      <c r="V778" s="19"/>
      <c r="W778" s="19"/>
      <c r="X778" s="19"/>
      <c r="Y778" s="19"/>
      <c r="Z778" s="19"/>
      <c r="AA778" s="19"/>
      <c r="AB778" s="19"/>
      <c r="AC778" s="19"/>
      <c r="AD778" s="19"/>
      <c r="AE778" s="19"/>
      <c r="AF778" s="19"/>
      <c r="AG778" s="19"/>
      <c r="AH778" s="19"/>
      <c r="AI778" s="19"/>
      <c r="AJ778" s="19"/>
      <c r="FM778" s="54"/>
    </row>
    <row r="779" spans="1:169" s="18" customFormat="1">
      <c r="A779" s="51"/>
      <c r="B779" s="52"/>
      <c r="C779" s="52"/>
      <c r="D779" s="52"/>
      <c r="E779" s="52"/>
      <c r="F779" s="52"/>
      <c r="G779" s="52"/>
      <c r="H779" s="53"/>
      <c r="I779" s="52"/>
      <c r="J779" s="52"/>
      <c r="K779" s="19"/>
      <c r="L779" s="19"/>
      <c r="M779" s="19"/>
      <c r="N779" s="19"/>
      <c r="O779" s="19"/>
      <c r="P779" s="19"/>
      <c r="Q779" s="19"/>
      <c r="R779" s="19"/>
      <c r="S779" s="19"/>
      <c r="T779" s="19"/>
      <c r="U779" s="19"/>
      <c r="V779" s="19"/>
      <c r="W779" s="19"/>
      <c r="X779" s="19"/>
      <c r="Y779" s="19"/>
      <c r="Z779" s="19"/>
      <c r="AA779" s="19"/>
      <c r="AB779" s="19"/>
      <c r="AC779" s="19"/>
      <c r="AD779" s="19"/>
      <c r="AE779" s="19"/>
      <c r="AF779" s="19"/>
      <c r="AG779" s="19"/>
      <c r="AH779" s="19"/>
      <c r="AI779" s="19"/>
      <c r="AJ779" s="19"/>
      <c r="FM779" s="54"/>
    </row>
    <row r="780" spans="1:169" s="18" customFormat="1">
      <c r="A780" s="51"/>
      <c r="B780" s="52"/>
      <c r="C780" s="52"/>
      <c r="D780" s="52"/>
      <c r="E780" s="52"/>
      <c r="F780" s="52"/>
      <c r="G780" s="52"/>
      <c r="H780" s="53"/>
      <c r="I780" s="52"/>
      <c r="J780" s="52"/>
      <c r="K780" s="19"/>
      <c r="L780" s="19"/>
      <c r="M780" s="19"/>
      <c r="N780" s="19"/>
      <c r="O780" s="19"/>
      <c r="P780" s="19"/>
      <c r="Q780" s="19"/>
      <c r="R780" s="19"/>
      <c r="S780" s="19"/>
      <c r="T780" s="19"/>
      <c r="U780" s="19"/>
      <c r="V780" s="19"/>
      <c r="W780" s="19"/>
      <c r="X780" s="19"/>
      <c r="Y780" s="19"/>
      <c r="Z780" s="19"/>
      <c r="AA780" s="19"/>
      <c r="AB780" s="19"/>
      <c r="AC780" s="19"/>
      <c r="AD780" s="19"/>
      <c r="AE780" s="19"/>
      <c r="AF780" s="19"/>
      <c r="AG780" s="19"/>
      <c r="AH780" s="19"/>
      <c r="AI780" s="19"/>
      <c r="AJ780" s="19"/>
      <c r="FM780" s="54"/>
    </row>
    <row r="781" spans="1:169" s="18" customFormat="1">
      <c r="A781" s="51"/>
      <c r="B781" s="52"/>
      <c r="C781" s="52"/>
      <c r="D781" s="52"/>
      <c r="E781" s="52"/>
      <c r="F781" s="52"/>
      <c r="G781" s="52"/>
      <c r="H781" s="53"/>
      <c r="I781" s="52"/>
      <c r="J781" s="52"/>
      <c r="K781" s="19"/>
      <c r="L781" s="19"/>
      <c r="M781" s="19"/>
      <c r="N781" s="19"/>
      <c r="O781" s="19"/>
      <c r="P781" s="19"/>
      <c r="Q781" s="19"/>
      <c r="R781" s="19"/>
      <c r="S781" s="19"/>
      <c r="T781" s="19"/>
      <c r="U781" s="19"/>
      <c r="V781" s="19"/>
      <c r="W781" s="19"/>
      <c r="X781" s="19"/>
      <c r="Y781" s="19"/>
      <c r="Z781" s="19"/>
      <c r="AA781" s="19"/>
      <c r="AB781" s="19"/>
      <c r="AC781" s="19"/>
      <c r="AD781" s="19"/>
      <c r="AE781" s="19"/>
      <c r="AF781" s="19"/>
      <c r="AG781" s="19"/>
      <c r="AH781" s="19"/>
      <c r="AI781" s="19"/>
      <c r="AJ781" s="19"/>
      <c r="FM781" s="54"/>
    </row>
    <row r="782" spans="1:169" s="18" customFormat="1">
      <c r="A782" s="51"/>
      <c r="B782" s="52"/>
      <c r="C782" s="52"/>
      <c r="D782" s="52"/>
      <c r="E782" s="52"/>
      <c r="F782" s="52"/>
      <c r="G782" s="52"/>
      <c r="H782" s="53"/>
      <c r="I782" s="52"/>
      <c r="J782" s="52"/>
      <c r="K782" s="19"/>
      <c r="L782" s="19"/>
      <c r="M782" s="19"/>
      <c r="N782" s="19"/>
      <c r="O782" s="19"/>
      <c r="P782" s="19"/>
      <c r="Q782" s="19"/>
      <c r="R782" s="19"/>
      <c r="S782" s="19"/>
      <c r="T782" s="19"/>
      <c r="U782" s="19"/>
      <c r="V782" s="19"/>
      <c r="W782" s="19"/>
      <c r="X782" s="19"/>
      <c r="Y782" s="19"/>
      <c r="Z782" s="19"/>
      <c r="AA782" s="19"/>
      <c r="AB782" s="19"/>
      <c r="AC782" s="19"/>
      <c r="AD782" s="19"/>
      <c r="AE782" s="19"/>
      <c r="AF782" s="19"/>
      <c r="AG782" s="19"/>
      <c r="AH782" s="19"/>
      <c r="AI782" s="19"/>
      <c r="AJ782" s="19"/>
      <c r="FM782" s="54"/>
    </row>
    <row r="783" spans="1:169" s="18" customFormat="1">
      <c r="A783" s="51"/>
      <c r="B783" s="52"/>
      <c r="C783" s="52"/>
      <c r="D783" s="52"/>
      <c r="E783" s="52"/>
      <c r="F783" s="52"/>
      <c r="G783" s="52"/>
      <c r="H783" s="53"/>
      <c r="I783" s="52"/>
      <c r="J783" s="52"/>
      <c r="K783" s="19"/>
      <c r="L783" s="19"/>
      <c r="M783" s="19"/>
      <c r="N783" s="19"/>
      <c r="O783" s="19"/>
      <c r="P783" s="19"/>
      <c r="Q783" s="19"/>
      <c r="R783" s="19"/>
      <c r="S783" s="19"/>
      <c r="T783" s="19"/>
      <c r="U783" s="19"/>
      <c r="V783" s="19"/>
      <c r="W783" s="19"/>
      <c r="X783" s="19"/>
      <c r="Y783" s="19"/>
      <c r="Z783" s="19"/>
      <c r="AA783" s="19"/>
      <c r="AB783" s="19"/>
      <c r="AC783" s="19"/>
      <c r="AD783" s="19"/>
      <c r="AE783" s="19"/>
      <c r="AF783" s="19"/>
      <c r="AG783" s="19"/>
      <c r="AH783" s="19"/>
      <c r="AI783" s="19"/>
      <c r="AJ783" s="19"/>
      <c r="FM783" s="54"/>
    </row>
    <row r="784" spans="1:169" s="18" customFormat="1">
      <c r="A784" s="51"/>
      <c r="B784" s="52"/>
      <c r="C784" s="52"/>
      <c r="D784" s="52"/>
      <c r="E784" s="52"/>
      <c r="F784" s="52"/>
      <c r="G784" s="52"/>
      <c r="H784" s="53"/>
      <c r="I784" s="52"/>
      <c r="J784" s="52"/>
      <c r="K784" s="19"/>
      <c r="L784" s="19"/>
      <c r="M784" s="19"/>
      <c r="N784" s="19"/>
      <c r="O784" s="19"/>
      <c r="P784" s="19"/>
      <c r="Q784" s="19"/>
      <c r="R784" s="19"/>
      <c r="S784" s="19"/>
      <c r="T784" s="19"/>
      <c r="U784" s="19"/>
      <c r="V784" s="19"/>
      <c r="W784" s="19"/>
      <c r="X784" s="19"/>
      <c r="Y784" s="19"/>
      <c r="Z784" s="19"/>
      <c r="AA784" s="19"/>
      <c r="AB784" s="19"/>
      <c r="AC784" s="19"/>
      <c r="AD784" s="19"/>
      <c r="AE784" s="19"/>
      <c r="AF784" s="19"/>
      <c r="AG784" s="19"/>
      <c r="AH784" s="19"/>
      <c r="AI784" s="19"/>
      <c r="AJ784" s="19"/>
      <c r="FM784" s="54"/>
    </row>
    <row r="785" spans="1:169" s="18" customFormat="1">
      <c r="A785" s="51"/>
      <c r="B785" s="52"/>
      <c r="C785" s="52"/>
      <c r="D785" s="52"/>
      <c r="E785" s="52"/>
      <c r="F785" s="52"/>
      <c r="G785" s="52"/>
      <c r="H785" s="53"/>
      <c r="I785" s="52"/>
      <c r="J785" s="52"/>
      <c r="K785" s="19"/>
      <c r="L785" s="19"/>
      <c r="M785" s="19"/>
      <c r="N785" s="19"/>
      <c r="O785" s="19"/>
      <c r="P785" s="19"/>
      <c r="Q785" s="19"/>
      <c r="R785" s="19"/>
      <c r="S785" s="19"/>
      <c r="T785" s="19"/>
      <c r="U785" s="19"/>
      <c r="V785" s="19"/>
      <c r="W785" s="19"/>
      <c r="X785" s="19"/>
      <c r="Y785" s="19"/>
      <c r="Z785" s="19"/>
      <c r="AA785" s="19"/>
      <c r="AB785" s="19"/>
      <c r="AC785" s="19"/>
      <c r="AD785" s="19"/>
      <c r="AE785" s="19"/>
      <c r="AF785" s="19"/>
      <c r="AG785" s="19"/>
      <c r="AH785" s="19"/>
      <c r="AI785" s="19"/>
      <c r="AJ785" s="19"/>
      <c r="FM785" s="54"/>
    </row>
    <row r="786" spans="1:169" s="18" customFormat="1">
      <c r="A786" s="51"/>
      <c r="B786" s="52"/>
      <c r="C786" s="52"/>
      <c r="D786" s="52"/>
      <c r="E786" s="52"/>
      <c r="F786" s="52"/>
      <c r="G786" s="52"/>
      <c r="H786" s="53"/>
      <c r="I786" s="52"/>
      <c r="J786" s="52"/>
      <c r="K786" s="19"/>
      <c r="L786" s="19"/>
      <c r="M786" s="19"/>
      <c r="N786" s="19"/>
      <c r="O786" s="19"/>
      <c r="P786" s="19"/>
      <c r="Q786" s="19"/>
      <c r="R786" s="19"/>
      <c r="S786" s="19"/>
      <c r="T786" s="19"/>
      <c r="U786" s="19"/>
      <c r="V786" s="19"/>
      <c r="W786" s="19"/>
      <c r="X786" s="19"/>
      <c r="Y786" s="19"/>
      <c r="Z786" s="19"/>
      <c r="AA786" s="19"/>
      <c r="AB786" s="19"/>
      <c r="AC786" s="19"/>
      <c r="AD786" s="19"/>
      <c r="AE786" s="19"/>
      <c r="AF786" s="19"/>
      <c r="AG786" s="19"/>
      <c r="AH786" s="19"/>
      <c r="AI786" s="19"/>
      <c r="AJ786" s="19"/>
      <c r="FM786" s="54"/>
    </row>
    <row r="787" spans="1:169" s="18" customFormat="1">
      <c r="A787" s="51"/>
      <c r="B787" s="52"/>
      <c r="C787" s="52"/>
      <c r="D787" s="52"/>
      <c r="E787" s="52"/>
      <c r="F787" s="52"/>
      <c r="G787" s="52"/>
      <c r="H787" s="53"/>
      <c r="I787" s="52"/>
      <c r="J787" s="52"/>
      <c r="K787" s="19"/>
      <c r="L787" s="19"/>
      <c r="M787" s="19"/>
      <c r="N787" s="19"/>
      <c r="O787" s="19"/>
      <c r="P787" s="19"/>
      <c r="Q787" s="19"/>
      <c r="R787" s="19"/>
      <c r="S787" s="19"/>
      <c r="T787" s="19"/>
      <c r="U787" s="19"/>
      <c r="V787" s="19"/>
      <c r="W787" s="19"/>
      <c r="X787" s="19"/>
      <c r="Y787" s="19"/>
      <c r="Z787" s="19"/>
      <c r="AA787" s="19"/>
      <c r="AB787" s="19"/>
      <c r="AC787" s="19"/>
      <c r="AD787" s="19"/>
      <c r="AE787" s="19"/>
      <c r="AF787" s="19"/>
      <c r="AG787" s="19"/>
      <c r="AH787" s="19"/>
      <c r="AI787" s="19"/>
      <c r="AJ787" s="19"/>
      <c r="FM787" s="54"/>
    </row>
    <row r="788" spans="1:169" s="18" customFormat="1">
      <c r="A788" s="51"/>
      <c r="B788" s="52"/>
      <c r="C788" s="52"/>
      <c r="D788" s="52"/>
      <c r="E788" s="52"/>
      <c r="F788" s="52"/>
      <c r="G788" s="52"/>
      <c r="H788" s="53"/>
      <c r="I788" s="52"/>
      <c r="J788" s="52"/>
      <c r="K788" s="19"/>
      <c r="L788" s="19"/>
      <c r="M788" s="19"/>
      <c r="N788" s="19"/>
      <c r="O788" s="19"/>
      <c r="P788" s="19"/>
      <c r="Q788" s="19"/>
      <c r="R788" s="19"/>
      <c r="S788" s="19"/>
      <c r="T788" s="19"/>
      <c r="U788" s="19"/>
      <c r="V788" s="19"/>
      <c r="W788" s="19"/>
      <c r="X788" s="19"/>
      <c r="Y788" s="19"/>
      <c r="Z788" s="19"/>
      <c r="AA788" s="19"/>
      <c r="AB788" s="19"/>
      <c r="AC788" s="19"/>
      <c r="AD788" s="19"/>
      <c r="AE788" s="19"/>
      <c r="AF788" s="19"/>
      <c r="AG788" s="19"/>
      <c r="AH788" s="19"/>
      <c r="AI788" s="19"/>
      <c r="AJ788" s="19"/>
      <c r="FM788" s="54"/>
    </row>
    <row r="789" spans="1:169" s="18" customFormat="1">
      <c r="A789" s="51"/>
      <c r="B789" s="52"/>
      <c r="C789" s="52"/>
      <c r="D789" s="52"/>
      <c r="E789" s="52"/>
      <c r="F789" s="52"/>
      <c r="G789" s="52"/>
      <c r="H789" s="53"/>
      <c r="I789" s="52"/>
      <c r="J789" s="52"/>
      <c r="K789" s="19"/>
      <c r="L789" s="19"/>
      <c r="M789" s="19"/>
      <c r="N789" s="19"/>
      <c r="O789" s="19"/>
      <c r="P789" s="19"/>
      <c r="Q789" s="19"/>
      <c r="R789" s="19"/>
      <c r="S789" s="19"/>
      <c r="T789" s="19"/>
      <c r="U789" s="19"/>
      <c r="V789" s="19"/>
      <c r="W789" s="19"/>
      <c r="X789" s="19"/>
      <c r="Y789" s="19"/>
      <c r="Z789" s="19"/>
      <c r="AA789" s="19"/>
      <c r="AB789" s="19"/>
      <c r="AC789" s="19"/>
      <c r="AD789" s="19"/>
      <c r="AE789" s="19"/>
      <c r="AF789" s="19"/>
      <c r="AG789" s="19"/>
      <c r="AH789" s="19"/>
      <c r="AI789" s="19"/>
      <c r="AJ789" s="19"/>
      <c r="FM789" s="54"/>
    </row>
    <row r="790" spans="1:169" s="18" customFormat="1">
      <c r="A790" s="51"/>
      <c r="B790" s="52"/>
      <c r="C790" s="52"/>
      <c r="D790" s="52"/>
      <c r="E790" s="52"/>
      <c r="F790" s="52"/>
      <c r="G790" s="52"/>
      <c r="H790" s="53"/>
      <c r="I790" s="52"/>
      <c r="J790" s="52"/>
      <c r="K790" s="19"/>
      <c r="L790" s="19"/>
      <c r="M790" s="19"/>
      <c r="N790" s="19"/>
      <c r="O790" s="19"/>
      <c r="P790" s="19"/>
      <c r="Q790" s="19"/>
      <c r="R790" s="19"/>
      <c r="S790" s="19"/>
      <c r="T790" s="19"/>
      <c r="U790" s="19"/>
      <c r="V790" s="19"/>
      <c r="W790" s="19"/>
      <c r="X790" s="19"/>
      <c r="Y790" s="19"/>
      <c r="Z790" s="19"/>
      <c r="AA790" s="19"/>
      <c r="AB790" s="19"/>
      <c r="AC790" s="19"/>
      <c r="AD790" s="19"/>
      <c r="AE790" s="19"/>
      <c r="AF790" s="19"/>
      <c r="AG790" s="19"/>
      <c r="AH790" s="19"/>
      <c r="AI790" s="19"/>
      <c r="AJ790" s="19"/>
      <c r="FM790" s="54"/>
    </row>
    <row r="791" spans="1:169" s="18" customFormat="1">
      <c r="A791" s="51"/>
      <c r="B791" s="52"/>
      <c r="C791" s="52"/>
      <c r="D791" s="52"/>
      <c r="E791" s="52"/>
      <c r="F791" s="52"/>
      <c r="G791" s="52"/>
      <c r="H791" s="53"/>
      <c r="I791" s="52"/>
      <c r="J791" s="52"/>
      <c r="K791" s="19"/>
      <c r="L791" s="19"/>
      <c r="M791" s="19"/>
      <c r="N791" s="19"/>
      <c r="O791" s="19"/>
      <c r="P791" s="19"/>
      <c r="Q791" s="19"/>
      <c r="R791" s="19"/>
      <c r="S791" s="19"/>
      <c r="T791" s="19"/>
      <c r="U791" s="19"/>
      <c r="V791" s="19"/>
      <c r="W791" s="19"/>
      <c r="X791" s="19"/>
      <c r="Y791" s="19"/>
      <c r="Z791" s="19"/>
      <c r="AA791" s="19"/>
      <c r="AB791" s="19"/>
      <c r="AC791" s="19"/>
      <c r="AD791" s="19"/>
      <c r="AE791" s="19"/>
      <c r="AF791" s="19"/>
      <c r="AG791" s="19"/>
      <c r="AH791" s="19"/>
      <c r="AI791" s="19"/>
      <c r="AJ791" s="19"/>
      <c r="FM791" s="54"/>
    </row>
    <row r="792" spans="1:169" s="18" customFormat="1">
      <c r="A792" s="51"/>
      <c r="B792" s="52"/>
      <c r="C792" s="52"/>
      <c r="D792" s="52"/>
      <c r="E792" s="52"/>
      <c r="F792" s="52"/>
      <c r="G792" s="52"/>
      <c r="H792" s="53"/>
      <c r="I792" s="52"/>
      <c r="J792" s="52"/>
      <c r="K792" s="19"/>
      <c r="L792" s="19"/>
      <c r="M792" s="19"/>
      <c r="N792" s="19"/>
      <c r="O792" s="19"/>
      <c r="P792" s="19"/>
      <c r="Q792" s="19"/>
      <c r="R792" s="19"/>
      <c r="S792" s="19"/>
      <c r="T792" s="19"/>
      <c r="U792" s="19"/>
      <c r="V792" s="19"/>
      <c r="W792" s="19"/>
      <c r="X792" s="19"/>
      <c r="Y792" s="19"/>
      <c r="Z792" s="19"/>
      <c r="AA792" s="19"/>
      <c r="AB792" s="19"/>
      <c r="AC792" s="19"/>
      <c r="AD792" s="19"/>
      <c r="AE792" s="19"/>
      <c r="AF792" s="19"/>
      <c r="AG792" s="19"/>
      <c r="AH792" s="19"/>
      <c r="AI792" s="19"/>
      <c r="AJ792" s="19"/>
      <c r="FM792" s="54"/>
    </row>
    <row r="793" spans="1:169" s="18" customFormat="1">
      <c r="A793" s="51"/>
      <c r="B793" s="52"/>
      <c r="C793" s="52"/>
      <c r="D793" s="52"/>
      <c r="E793" s="52"/>
      <c r="F793" s="52"/>
      <c r="G793" s="52"/>
      <c r="H793" s="53"/>
      <c r="I793" s="52"/>
      <c r="J793" s="52"/>
      <c r="K793" s="19"/>
      <c r="L793" s="19"/>
      <c r="M793" s="19"/>
      <c r="N793" s="19"/>
      <c r="O793" s="19"/>
      <c r="P793" s="19"/>
      <c r="Q793" s="19"/>
      <c r="R793" s="19"/>
      <c r="S793" s="19"/>
      <c r="T793" s="19"/>
      <c r="U793" s="19"/>
      <c r="V793" s="19"/>
      <c r="W793" s="19"/>
      <c r="X793" s="19"/>
      <c r="Y793" s="19"/>
      <c r="Z793" s="19"/>
      <c r="AA793" s="19"/>
      <c r="AB793" s="19"/>
      <c r="AC793" s="19"/>
      <c r="AD793" s="19"/>
      <c r="AE793" s="19"/>
      <c r="AF793" s="19"/>
      <c r="AG793" s="19"/>
      <c r="AH793" s="19"/>
      <c r="AI793" s="19"/>
      <c r="AJ793" s="19"/>
      <c r="FM793" s="54"/>
    </row>
    <row r="794" spans="1:169" s="18" customFormat="1">
      <c r="A794" s="51"/>
      <c r="B794" s="52"/>
      <c r="C794" s="52"/>
      <c r="D794" s="52"/>
      <c r="E794" s="52"/>
      <c r="F794" s="52"/>
      <c r="G794" s="52"/>
      <c r="H794" s="53"/>
      <c r="I794" s="52"/>
      <c r="J794" s="52"/>
      <c r="K794" s="19"/>
      <c r="L794" s="19"/>
      <c r="M794" s="19"/>
      <c r="N794" s="19"/>
      <c r="O794" s="19"/>
      <c r="P794" s="19"/>
      <c r="Q794" s="19"/>
      <c r="R794" s="19"/>
      <c r="S794" s="19"/>
      <c r="T794" s="19"/>
      <c r="U794" s="19"/>
      <c r="V794" s="19"/>
      <c r="W794" s="19"/>
      <c r="X794" s="19"/>
      <c r="Y794" s="19"/>
      <c r="Z794" s="19"/>
      <c r="AA794" s="19"/>
      <c r="AB794" s="19"/>
      <c r="AC794" s="19"/>
      <c r="AD794" s="19"/>
      <c r="AE794" s="19"/>
      <c r="AF794" s="19"/>
      <c r="AG794" s="19"/>
      <c r="AH794" s="19"/>
      <c r="AI794" s="19"/>
      <c r="AJ794" s="19"/>
      <c r="FM794" s="54"/>
    </row>
    <row r="795" spans="1:169" s="18" customFormat="1">
      <c r="A795" s="51"/>
      <c r="B795" s="52"/>
      <c r="C795" s="52"/>
      <c r="D795" s="52"/>
      <c r="E795" s="52"/>
      <c r="F795" s="52"/>
      <c r="G795" s="52"/>
      <c r="H795" s="53"/>
      <c r="I795" s="52"/>
      <c r="J795" s="52"/>
      <c r="K795" s="19"/>
      <c r="L795" s="19"/>
      <c r="M795" s="19"/>
      <c r="N795" s="19"/>
      <c r="O795" s="19"/>
      <c r="P795" s="19"/>
      <c r="Q795" s="19"/>
      <c r="R795" s="19"/>
      <c r="S795" s="19"/>
      <c r="T795" s="19"/>
      <c r="U795" s="19"/>
      <c r="V795" s="19"/>
      <c r="W795" s="19"/>
      <c r="X795" s="19"/>
      <c r="Y795" s="19"/>
      <c r="Z795" s="19"/>
      <c r="AA795" s="19"/>
      <c r="AB795" s="19"/>
      <c r="AC795" s="19"/>
      <c r="AD795" s="19"/>
      <c r="AE795" s="19"/>
      <c r="AF795" s="19"/>
      <c r="AG795" s="19"/>
      <c r="AH795" s="19"/>
      <c r="AI795" s="19"/>
      <c r="AJ795" s="19"/>
      <c r="FM795" s="54"/>
    </row>
    <row r="796" spans="1:169" s="18" customFormat="1">
      <c r="A796" s="51"/>
      <c r="B796" s="52"/>
      <c r="C796" s="52"/>
      <c r="D796" s="52"/>
      <c r="E796" s="52"/>
      <c r="F796" s="52"/>
      <c r="G796" s="52"/>
      <c r="H796" s="53"/>
      <c r="I796" s="52"/>
      <c r="J796" s="52"/>
      <c r="K796" s="19"/>
      <c r="L796" s="19"/>
      <c r="M796" s="19"/>
      <c r="N796" s="19"/>
      <c r="O796" s="19"/>
      <c r="P796" s="19"/>
      <c r="Q796" s="19"/>
      <c r="R796" s="19"/>
      <c r="S796" s="19"/>
      <c r="T796" s="19"/>
      <c r="U796" s="19"/>
      <c r="V796" s="19"/>
      <c r="W796" s="19"/>
      <c r="X796" s="19"/>
      <c r="Y796" s="19"/>
      <c r="Z796" s="19"/>
      <c r="AA796" s="19"/>
      <c r="AB796" s="19"/>
      <c r="AC796" s="19"/>
      <c r="AD796" s="19"/>
      <c r="AE796" s="19"/>
      <c r="AF796" s="19"/>
      <c r="AG796" s="19"/>
      <c r="AH796" s="19"/>
      <c r="AI796" s="19"/>
      <c r="AJ796" s="19"/>
      <c r="FM796" s="54"/>
    </row>
    <row r="797" spans="1:169" s="18" customFormat="1">
      <c r="A797" s="51"/>
      <c r="B797" s="52"/>
      <c r="C797" s="52"/>
      <c r="D797" s="52"/>
      <c r="E797" s="52"/>
      <c r="F797" s="52"/>
      <c r="G797" s="52"/>
      <c r="H797" s="53"/>
      <c r="I797" s="52"/>
      <c r="J797" s="52"/>
      <c r="K797" s="19"/>
      <c r="L797" s="19"/>
      <c r="M797" s="19"/>
      <c r="N797" s="19"/>
      <c r="O797" s="19"/>
      <c r="P797" s="19"/>
      <c r="Q797" s="19"/>
      <c r="R797" s="19"/>
      <c r="S797" s="19"/>
      <c r="T797" s="19"/>
      <c r="U797" s="19"/>
      <c r="V797" s="19"/>
      <c r="W797" s="19"/>
      <c r="X797" s="19"/>
      <c r="Y797" s="19"/>
      <c r="Z797" s="19"/>
      <c r="AA797" s="19"/>
      <c r="AB797" s="19"/>
      <c r="AC797" s="19"/>
      <c r="AD797" s="19"/>
      <c r="AE797" s="19"/>
      <c r="AF797" s="19"/>
      <c r="AG797" s="19"/>
      <c r="AH797" s="19"/>
      <c r="AI797" s="19"/>
      <c r="AJ797" s="19"/>
      <c r="FM797" s="54"/>
    </row>
    <row r="798" spans="1:169" s="18" customFormat="1">
      <c r="A798" s="51"/>
      <c r="B798" s="52"/>
      <c r="C798" s="52"/>
      <c r="D798" s="52"/>
      <c r="E798" s="52"/>
      <c r="F798" s="52"/>
      <c r="G798" s="52"/>
      <c r="H798" s="53"/>
      <c r="I798" s="52"/>
      <c r="J798" s="52"/>
      <c r="K798" s="19"/>
      <c r="L798" s="19"/>
      <c r="M798" s="19"/>
      <c r="N798" s="19"/>
      <c r="O798" s="19"/>
      <c r="P798" s="19"/>
      <c r="Q798" s="19"/>
      <c r="R798" s="19"/>
      <c r="S798" s="19"/>
      <c r="T798" s="19"/>
      <c r="U798" s="19"/>
      <c r="V798" s="19"/>
      <c r="W798" s="19"/>
      <c r="X798" s="19"/>
      <c r="Y798" s="19"/>
      <c r="Z798" s="19"/>
      <c r="AA798" s="19"/>
      <c r="AB798" s="19"/>
      <c r="AC798" s="19"/>
      <c r="AD798" s="19"/>
      <c r="AE798" s="19"/>
      <c r="AF798" s="19"/>
      <c r="AG798" s="19"/>
      <c r="AH798" s="19"/>
      <c r="AI798" s="19"/>
      <c r="AJ798" s="19"/>
      <c r="FM798" s="54"/>
    </row>
    <row r="799" spans="1:169" s="18" customFormat="1">
      <c r="A799" s="51"/>
      <c r="B799" s="52"/>
      <c r="C799" s="52"/>
      <c r="D799" s="52"/>
      <c r="E799" s="52"/>
      <c r="F799" s="52"/>
      <c r="G799" s="52"/>
      <c r="H799" s="53"/>
      <c r="I799" s="52"/>
      <c r="J799" s="52"/>
      <c r="K799" s="19"/>
      <c r="L799" s="19"/>
      <c r="M799" s="19"/>
      <c r="N799" s="19"/>
      <c r="O799" s="19"/>
      <c r="P799" s="19"/>
      <c r="Q799" s="19"/>
      <c r="R799" s="19"/>
      <c r="S799" s="19"/>
      <c r="T799" s="19"/>
      <c r="U799" s="19"/>
      <c r="V799" s="19"/>
      <c r="W799" s="19"/>
      <c r="X799" s="19"/>
      <c r="Y799" s="19"/>
      <c r="Z799" s="19"/>
      <c r="AA799" s="19"/>
      <c r="AB799" s="19"/>
      <c r="AC799" s="19"/>
      <c r="AD799" s="19"/>
      <c r="AE799" s="19"/>
      <c r="AF799" s="19"/>
      <c r="AG799" s="19"/>
      <c r="AH799" s="19"/>
      <c r="AI799" s="19"/>
      <c r="AJ799" s="19"/>
      <c r="FM799" s="54"/>
    </row>
    <row r="800" spans="1:169" s="18" customFormat="1">
      <c r="A800" s="51"/>
      <c r="B800" s="52"/>
      <c r="C800" s="52"/>
      <c r="D800" s="52"/>
      <c r="E800" s="52"/>
      <c r="F800" s="52"/>
      <c r="G800" s="52"/>
      <c r="H800" s="53"/>
      <c r="I800" s="52"/>
      <c r="J800" s="52"/>
      <c r="K800" s="19"/>
      <c r="L800" s="19"/>
      <c r="M800" s="19"/>
      <c r="N800" s="19"/>
      <c r="O800" s="19"/>
      <c r="P800" s="19"/>
      <c r="Q800" s="19"/>
      <c r="R800" s="19"/>
      <c r="S800" s="19"/>
      <c r="T800" s="19"/>
      <c r="U800" s="19"/>
      <c r="V800" s="19"/>
      <c r="W800" s="19"/>
      <c r="X800" s="19"/>
      <c r="Y800" s="19"/>
      <c r="Z800" s="19"/>
      <c r="AA800" s="19"/>
      <c r="AB800" s="19"/>
      <c r="AC800" s="19"/>
      <c r="AD800" s="19"/>
      <c r="AE800" s="19"/>
      <c r="AF800" s="19"/>
      <c r="AG800" s="19"/>
      <c r="AH800" s="19"/>
      <c r="AI800" s="19"/>
      <c r="AJ800" s="19"/>
      <c r="FM800" s="54"/>
    </row>
    <row r="801" spans="1:169" s="18" customFormat="1">
      <c r="A801" s="51"/>
      <c r="B801" s="52"/>
      <c r="C801" s="52"/>
      <c r="D801" s="52"/>
      <c r="E801" s="52"/>
      <c r="F801" s="52"/>
      <c r="G801" s="52"/>
      <c r="H801" s="53"/>
      <c r="I801" s="52"/>
      <c r="J801" s="52"/>
      <c r="K801" s="19"/>
      <c r="L801" s="19"/>
      <c r="M801" s="19"/>
      <c r="N801" s="19"/>
      <c r="O801" s="19"/>
      <c r="P801" s="19"/>
      <c r="Q801" s="19"/>
      <c r="R801" s="19"/>
      <c r="S801" s="19"/>
      <c r="T801" s="19"/>
      <c r="U801" s="19"/>
      <c r="V801" s="19"/>
      <c r="W801" s="19"/>
      <c r="X801" s="19"/>
      <c r="Y801" s="19"/>
      <c r="Z801" s="19"/>
      <c r="AA801" s="19"/>
      <c r="AB801" s="19"/>
      <c r="AC801" s="19"/>
      <c r="AD801" s="19"/>
      <c r="AE801" s="19"/>
      <c r="AF801" s="19"/>
      <c r="AG801" s="19"/>
      <c r="AH801" s="19"/>
      <c r="AI801" s="19"/>
      <c r="AJ801" s="19"/>
      <c r="FM801" s="54"/>
    </row>
    <row r="802" spans="1:169" s="18" customFormat="1">
      <c r="A802" s="51"/>
      <c r="B802" s="52"/>
      <c r="C802" s="52"/>
      <c r="D802" s="52"/>
      <c r="E802" s="52"/>
      <c r="F802" s="52"/>
      <c r="G802" s="52"/>
      <c r="H802" s="53"/>
      <c r="I802" s="52"/>
      <c r="J802" s="52"/>
      <c r="K802" s="19"/>
      <c r="L802" s="19"/>
      <c r="M802" s="19"/>
      <c r="N802" s="19"/>
      <c r="O802" s="19"/>
      <c r="P802" s="19"/>
      <c r="Q802" s="19"/>
      <c r="R802" s="19"/>
      <c r="S802" s="19"/>
      <c r="T802" s="19"/>
      <c r="U802" s="19"/>
      <c r="V802" s="19"/>
      <c r="W802" s="19"/>
      <c r="X802" s="19"/>
      <c r="Y802" s="19"/>
      <c r="Z802" s="19"/>
      <c r="AA802" s="19"/>
      <c r="AB802" s="19"/>
      <c r="AC802" s="19"/>
      <c r="AD802" s="19"/>
      <c r="AE802" s="19"/>
      <c r="AF802" s="19"/>
      <c r="AG802" s="19"/>
      <c r="AH802" s="19"/>
      <c r="AI802" s="19"/>
      <c r="AJ802" s="19"/>
      <c r="FM802" s="54"/>
    </row>
    <row r="803" spans="1:169" s="18" customFormat="1">
      <c r="A803" s="51"/>
      <c r="B803" s="52"/>
      <c r="C803" s="52"/>
      <c r="D803" s="52"/>
      <c r="E803" s="52"/>
      <c r="F803" s="52"/>
      <c r="G803" s="52"/>
      <c r="H803" s="53"/>
      <c r="I803" s="52"/>
      <c r="J803" s="52"/>
      <c r="K803" s="19"/>
      <c r="L803" s="19"/>
      <c r="M803" s="19"/>
      <c r="N803" s="19"/>
      <c r="O803" s="19"/>
      <c r="P803" s="19"/>
      <c r="Q803" s="19"/>
      <c r="R803" s="19"/>
      <c r="S803" s="19"/>
      <c r="T803" s="19"/>
      <c r="U803" s="19"/>
      <c r="V803" s="19"/>
      <c r="W803" s="19"/>
      <c r="X803" s="19"/>
      <c r="Y803" s="19"/>
      <c r="Z803" s="19"/>
      <c r="AA803" s="19"/>
      <c r="AB803" s="19"/>
      <c r="AC803" s="19"/>
      <c r="AD803" s="19"/>
      <c r="AE803" s="19"/>
      <c r="AF803" s="19"/>
      <c r="AG803" s="19"/>
      <c r="AH803" s="19"/>
      <c r="AI803" s="19"/>
      <c r="AJ803" s="19"/>
      <c r="FM803" s="54"/>
    </row>
    <row r="804" spans="1:169" s="18" customFormat="1">
      <c r="A804" s="51"/>
      <c r="B804" s="52"/>
      <c r="C804" s="52"/>
      <c r="D804" s="52"/>
      <c r="E804" s="52"/>
      <c r="F804" s="52"/>
      <c r="G804" s="52"/>
      <c r="H804" s="53"/>
      <c r="I804" s="52"/>
      <c r="J804" s="52"/>
      <c r="K804" s="19"/>
      <c r="L804" s="19"/>
      <c r="M804" s="19"/>
      <c r="N804" s="19"/>
      <c r="O804" s="19"/>
      <c r="P804" s="19"/>
      <c r="Q804" s="19"/>
      <c r="R804" s="19"/>
      <c r="S804" s="19"/>
      <c r="T804" s="19"/>
      <c r="U804" s="19"/>
      <c r="V804" s="19"/>
      <c r="W804" s="19"/>
      <c r="X804" s="19"/>
      <c r="Y804" s="19"/>
      <c r="Z804" s="19"/>
      <c r="AA804" s="19"/>
      <c r="AB804" s="19"/>
      <c r="AC804" s="19"/>
      <c r="AD804" s="19"/>
      <c r="AE804" s="19"/>
      <c r="AF804" s="19"/>
      <c r="AG804" s="19"/>
      <c r="AH804" s="19"/>
      <c r="AI804" s="19"/>
      <c r="AJ804" s="19"/>
      <c r="FM804" s="54"/>
    </row>
    <row r="805" spans="1:169" s="18" customFormat="1">
      <c r="A805" s="51"/>
      <c r="B805" s="52"/>
      <c r="C805" s="52"/>
      <c r="D805" s="52"/>
      <c r="E805" s="52"/>
      <c r="F805" s="52"/>
      <c r="G805" s="52"/>
      <c r="H805" s="53"/>
      <c r="I805" s="52"/>
      <c r="J805" s="52"/>
      <c r="K805" s="19"/>
      <c r="L805" s="19"/>
      <c r="M805" s="19"/>
      <c r="N805" s="19"/>
      <c r="O805" s="19"/>
      <c r="P805" s="19"/>
      <c r="Q805" s="19"/>
      <c r="R805" s="19"/>
      <c r="S805" s="19"/>
      <c r="T805" s="19"/>
      <c r="U805" s="19"/>
      <c r="V805" s="19"/>
      <c r="W805" s="19"/>
      <c r="X805" s="19"/>
      <c r="Y805" s="19"/>
      <c r="Z805" s="19"/>
      <c r="AA805" s="19"/>
      <c r="AB805" s="19"/>
      <c r="AC805" s="19"/>
      <c r="AD805" s="19"/>
      <c r="AE805" s="19"/>
      <c r="AF805" s="19"/>
      <c r="AG805" s="19"/>
      <c r="AH805" s="19"/>
      <c r="AI805" s="19"/>
      <c r="AJ805" s="19"/>
      <c r="FM805" s="54"/>
    </row>
    <row r="806" spans="1:169" s="18" customFormat="1">
      <c r="A806" s="51"/>
      <c r="B806" s="52"/>
      <c r="C806" s="52"/>
      <c r="D806" s="52"/>
      <c r="E806" s="52"/>
      <c r="F806" s="52"/>
      <c r="G806" s="52"/>
      <c r="H806" s="53"/>
      <c r="I806" s="52"/>
      <c r="J806" s="52"/>
      <c r="K806" s="19"/>
      <c r="L806" s="19"/>
      <c r="M806" s="19"/>
      <c r="N806" s="19"/>
      <c r="O806" s="19"/>
      <c r="P806" s="19"/>
      <c r="Q806" s="19"/>
      <c r="R806" s="19"/>
      <c r="S806" s="19"/>
      <c r="T806" s="19"/>
      <c r="U806" s="19"/>
      <c r="V806" s="19"/>
      <c r="W806" s="19"/>
      <c r="X806" s="19"/>
      <c r="Y806" s="19"/>
      <c r="Z806" s="19"/>
      <c r="AA806" s="19"/>
      <c r="AB806" s="19"/>
      <c r="AC806" s="19"/>
      <c r="AD806" s="19"/>
      <c r="AE806" s="19"/>
      <c r="AF806" s="19"/>
      <c r="AG806" s="19"/>
      <c r="AH806" s="19"/>
      <c r="AI806" s="19"/>
      <c r="AJ806" s="19"/>
      <c r="FM806" s="54"/>
    </row>
    <row r="807" spans="1:169" s="18" customFormat="1">
      <c r="A807" s="51"/>
      <c r="B807" s="52"/>
      <c r="C807" s="52"/>
      <c r="D807" s="52"/>
      <c r="E807" s="52"/>
      <c r="F807" s="52"/>
      <c r="G807" s="52"/>
      <c r="H807" s="53"/>
      <c r="I807" s="52"/>
      <c r="J807" s="52"/>
      <c r="K807" s="19"/>
      <c r="L807" s="19"/>
      <c r="M807" s="19"/>
      <c r="N807" s="19"/>
      <c r="O807" s="19"/>
      <c r="P807" s="19"/>
      <c r="Q807" s="19"/>
      <c r="R807" s="19"/>
      <c r="S807" s="19"/>
      <c r="T807" s="19"/>
      <c r="U807" s="19"/>
      <c r="V807" s="19"/>
      <c r="W807" s="19"/>
      <c r="X807" s="19"/>
      <c r="Y807" s="19"/>
      <c r="Z807" s="19"/>
      <c r="AA807" s="19"/>
      <c r="AB807" s="19"/>
      <c r="AC807" s="19"/>
      <c r="AD807" s="19"/>
      <c r="AE807" s="19"/>
      <c r="AF807" s="19"/>
      <c r="AG807" s="19"/>
      <c r="AH807" s="19"/>
      <c r="AI807" s="19"/>
      <c r="AJ807" s="19"/>
      <c r="FM807" s="54"/>
    </row>
    <row r="808" spans="1:169" s="18" customFormat="1">
      <c r="A808" s="51"/>
      <c r="B808" s="52"/>
      <c r="C808" s="52"/>
      <c r="D808" s="52"/>
      <c r="E808" s="52"/>
      <c r="F808" s="52"/>
      <c r="G808" s="52"/>
      <c r="H808" s="53"/>
      <c r="I808" s="52"/>
      <c r="J808" s="52"/>
      <c r="K808" s="19"/>
      <c r="L808" s="19"/>
      <c r="M808" s="19"/>
      <c r="N808" s="19"/>
      <c r="O808" s="19"/>
      <c r="P808" s="19"/>
      <c r="Q808" s="19"/>
      <c r="R808" s="19"/>
      <c r="S808" s="19"/>
      <c r="T808" s="19"/>
      <c r="U808" s="19"/>
      <c r="V808" s="19"/>
      <c r="W808" s="19"/>
      <c r="X808" s="19"/>
      <c r="Y808" s="19"/>
      <c r="Z808" s="19"/>
      <c r="AA808" s="19"/>
      <c r="AB808" s="19"/>
      <c r="AC808" s="19"/>
      <c r="AD808" s="19"/>
      <c r="AE808" s="19"/>
      <c r="AF808" s="19"/>
      <c r="AG808" s="19"/>
      <c r="AH808" s="19"/>
      <c r="AI808" s="19"/>
      <c r="AJ808" s="19"/>
      <c r="FM808" s="54"/>
    </row>
    <row r="809" spans="1:169" s="18" customFormat="1">
      <c r="A809" s="51"/>
      <c r="B809" s="52"/>
      <c r="C809" s="52"/>
      <c r="D809" s="52"/>
      <c r="E809" s="52"/>
      <c r="F809" s="52"/>
      <c r="G809" s="52"/>
      <c r="H809" s="53"/>
      <c r="I809" s="52"/>
      <c r="J809" s="52"/>
      <c r="K809" s="19"/>
      <c r="L809" s="19"/>
      <c r="M809" s="19"/>
      <c r="N809" s="19"/>
      <c r="O809" s="19"/>
      <c r="P809" s="19"/>
      <c r="Q809" s="19"/>
      <c r="R809" s="19"/>
      <c r="S809" s="19"/>
      <c r="T809" s="19"/>
      <c r="U809" s="19"/>
      <c r="V809" s="19"/>
      <c r="W809" s="19"/>
      <c r="X809" s="19"/>
      <c r="Y809" s="19"/>
      <c r="Z809" s="19"/>
      <c r="AA809" s="19"/>
      <c r="AB809" s="19"/>
      <c r="AC809" s="19"/>
      <c r="AD809" s="19"/>
      <c r="AE809" s="19"/>
      <c r="AF809" s="19"/>
      <c r="AG809" s="19"/>
      <c r="AH809" s="19"/>
      <c r="AI809" s="19"/>
      <c r="AJ809" s="19"/>
      <c r="FM809" s="54"/>
    </row>
    <row r="810" spans="1:169" s="18" customFormat="1">
      <c r="A810" s="51"/>
      <c r="B810" s="52"/>
      <c r="C810" s="52"/>
      <c r="D810" s="52"/>
      <c r="E810" s="52"/>
      <c r="F810" s="52"/>
      <c r="G810" s="52"/>
      <c r="H810" s="53"/>
      <c r="I810" s="52"/>
      <c r="J810" s="52"/>
      <c r="K810" s="19"/>
      <c r="L810" s="19"/>
      <c r="M810" s="19"/>
      <c r="N810" s="19"/>
      <c r="O810" s="19"/>
      <c r="P810" s="19"/>
      <c r="Q810" s="19"/>
      <c r="R810" s="19"/>
      <c r="S810" s="19"/>
      <c r="T810" s="19"/>
      <c r="U810" s="19"/>
      <c r="V810" s="19"/>
      <c r="W810" s="19"/>
      <c r="X810" s="19"/>
      <c r="Y810" s="19"/>
      <c r="Z810" s="19"/>
      <c r="AA810" s="19"/>
      <c r="AB810" s="19"/>
      <c r="AC810" s="19"/>
      <c r="AD810" s="19"/>
      <c r="AE810" s="19"/>
      <c r="AF810" s="19"/>
      <c r="AG810" s="19"/>
      <c r="AH810" s="19"/>
      <c r="AI810" s="19"/>
      <c r="AJ810" s="19"/>
      <c r="FM810" s="54"/>
    </row>
    <row r="811" spans="1:169" s="18" customFormat="1">
      <c r="A811" s="51"/>
      <c r="B811" s="52"/>
      <c r="C811" s="52"/>
      <c r="D811" s="52"/>
      <c r="E811" s="52"/>
      <c r="F811" s="52"/>
      <c r="G811" s="52"/>
      <c r="H811" s="53"/>
      <c r="I811" s="52"/>
      <c r="J811" s="52"/>
      <c r="K811" s="19"/>
      <c r="L811" s="19"/>
      <c r="M811" s="19"/>
      <c r="N811" s="19"/>
      <c r="O811" s="19"/>
      <c r="P811" s="19"/>
      <c r="Q811" s="19"/>
      <c r="R811" s="19"/>
      <c r="S811" s="19"/>
      <c r="T811" s="19"/>
      <c r="U811" s="19"/>
      <c r="V811" s="19"/>
      <c r="W811" s="19"/>
      <c r="X811" s="19"/>
      <c r="Y811" s="19"/>
      <c r="Z811" s="19"/>
      <c r="AA811" s="19"/>
      <c r="AB811" s="19"/>
      <c r="AC811" s="19"/>
      <c r="AD811" s="19"/>
      <c r="AE811" s="19"/>
      <c r="AF811" s="19"/>
      <c r="AG811" s="19"/>
      <c r="AH811" s="19"/>
      <c r="AI811" s="19"/>
      <c r="AJ811" s="19"/>
      <c r="FM811" s="54"/>
    </row>
    <row r="812" spans="1:169" s="18" customFormat="1">
      <c r="A812" s="51"/>
      <c r="B812" s="52"/>
      <c r="C812" s="52"/>
      <c r="D812" s="52"/>
      <c r="E812" s="52"/>
      <c r="F812" s="52"/>
      <c r="G812" s="52"/>
      <c r="H812" s="53"/>
      <c r="I812" s="52"/>
      <c r="J812" s="52"/>
      <c r="K812" s="19"/>
      <c r="L812" s="19"/>
      <c r="M812" s="19"/>
      <c r="N812" s="19"/>
      <c r="O812" s="19"/>
      <c r="P812" s="19"/>
      <c r="Q812" s="19"/>
      <c r="R812" s="19"/>
      <c r="S812" s="19"/>
      <c r="T812" s="19"/>
      <c r="U812" s="19"/>
      <c r="V812" s="19"/>
      <c r="W812" s="19"/>
      <c r="X812" s="19"/>
      <c r="Y812" s="19"/>
      <c r="Z812" s="19"/>
      <c r="AA812" s="19"/>
      <c r="AB812" s="19"/>
      <c r="AC812" s="19"/>
      <c r="AD812" s="19"/>
      <c r="AE812" s="19"/>
      <c r="AF812" s="19"/>
      <c r="AG812" s="19"/>
      <c r="AH812" s="19"/>
      <c r="AI812" s="19"/>
      <c r="AJ812" s="19"/>
      <c r="FM812" s="54"/>
    </row>
    <row r="813" spans="1:169" s="18" customFormat="1">
      <c r="A813" s="51"/>
      <c r="B813" s="52"/>
      <c r="C813" s="52"/>
      <c r="D813" s="52"/>
      <c r="E813" s="52"/>
      <c r="F813" s="52"/>
      <c r="G813" s="52"/>
      <c r="H813" s="53"/>
      <c r="I813" s="52"/>
      <c r="J813" s="52"/>
      <c r="K813" s="19"/>
      <c r="L813" s="19"/>
      <c r="M813" s="19"/>
      <c r="N813" s="19"/>
      <c r="O813" s="19"/>
      <c r="P813" s="19"/>
      <c r="Q813" s="19"/>
      <c r="R813" s="19"/>
      <c r="S813" s="19"/>
      <c r="T813" s="19"/>
      <c r="U813" s="19"/>
      <c r="V813" s="19"/>
      <c r="W813" s="19"/>
      <c r="X813" s="19"/>
      <c r="Y813" s="19"/>
      <c r="Z813" s="19"/>
      <c r="AA813" s="19"/>
      <c r="AB813" s="19"/>
      <c r="AC813" s="19"/>
      <c r="AD813" s="19"/>
      <c r="AE813" s="19"/>
      <c r="AF813" s="19"/>
      <c r="AG813" s="19"/>
      <c r="AH813" s="19"/>
      <c r="AI813" s="19"/>
      <c r="AJ813" s="19"/>
      <c r="FM813" s="54"/>
    </row>
    <row r="814" spans="1:169" s="18" customFormat="1">
      <c r="A814" s="51"/>
      <c r="B814" s="52"/>
      <c r="C814" s="52"/>
      <c r="D814" s="52"/>
      <c r="E814" s="52"/>
      <c r="F814" s="52"/>
      <c r="G814" s="52"/>
      <c r="H814" s="53"/>
      <c r="I814" s="52"/>
      <c r="J814" s="52"/>
      <c r="K814" s="19"/>
      <c r="L814" s="19"/>
      <c r="M814" s="19"/>
      <c r="N814" s="19"/>
      <c r="O814" s="19"/>
      <c r="P814" s="19"/>
      <c r="Q814" s="19"/>
      <c r="R814" s="19"/>
      <c r="S814" s="19"/>
      <c r="T814" s="19"/>
      <c r="U814" s="19"/>
      <c r="V814" s="19"/>
      <c r="W814" s="19"/>
      <c r="X814" s="19"/>
      <c r="Y814" s="19"/>
      <c r="Z814" s="19"/>
      <c r="AA814" s="19"/>
      <c r="AB814" s="19"/>
      <c r="AC814" s="19"/>
      <c r="AD814" s="19"/>
      <c r="AE814" s="19"/>
      <c r="AF814" s="19"/>
      <c r="AG814" s="19"/>
      <c r="AH814" s="19"/>
      <c r="AI814" s="19"/>
      <c r="AJ814" s="19"/>
      <c r="FM814" s="54"/>
    </row>
    <row r="815" spans="1:169" s="18" customFormat="1">
      <c r="A815" s="51"/>
      <c r="B815" s="52"/>
      <c r="C815" s="52"/>
      <c r="D815" s="52"/>
      <c r="E815" s="52"/>
      <c r="F815" s="52"/>
      <c r="G815" s="52"/>
      <c r="H815" s="53"/>
      <c r="I815" s="52"/>
      <c r="J815" s="52"/>
      <c r="K815" s="19"/>
      <c r="L815" s="19"/>
      <c r="M815" s="19"/>
      <c r="N815" s="19"/>
      <c r="O815" s="19"/>
      <c r="P815" s="19"/>
      <c r="Q815" s="19"/>
      <c r="R815" s="19"/>
      <c r="S815" s="19"/>
      <c r="T815" s="19"/>
      <c r="U815" s="19"/>
      <c r="V815" s="19"/>
      <c r="W815" s="19"/>
      <c r="X815" s="19"/>
      <c r="Y815" s="19"/>
      <c r="Z815" s="19"/>
      <c r="AA815" s="19"/>
      <c r="AB815" s="19"/>
      <c r="AC815" s="19"/>
      <c r="AD815" s="19"/>
      <c r="AE815" s="19"/>
      <c r="AF815" s="19"/>
      <c r="AG815" s="19"/>
      <c r="AH815" s="19"/>
      <c r="AI815" s="19"/>
      <c r="AJ815" s="19"/>
      <c r="FM815" s="54"/>
    </row>
    <row r="816" spans="1:169" s="18" customFormat="1">
      <c r="A816" s="51"/>
      <c r="B816" s="52"/>
      <c r="C816" s="52"/>
      <c r="D816" s="52"/>
      <c r="E816" s="52"/>
      <c r="F816" s="52"/>
      <c r="G816" s="52"/>
      <c r="H816" s="53"/>
      <c r="I816" s="52"/>
      <c r="J816" s="52"/>
      <c r="K816" s="19"/>
      <c r="L816" s="19"/>
      <c r="M816" s="19"/>
      <c r="N816" s="19"/>
      <c r="O816" s="19"/>
      <c r="P816" s="19"/>
      <c r="Q816" s="19"/>
      <c r="R816" s="19"/>
      <c r="S816" s="19"/>
      <c r="T816" s="19"/>
      <c r="U816" s="19"/>
      <c r="V816" s="19"/>
      <c r="W816" s="19"/>
      <c r="X816" s="19"/>
      <c r="Y816" s="19"/>
      <c r="Z816" s="19"/>
      <c r="AA816" s="19"/>
      <c r="AB816" s="19"/>
      <c r="AC816" s="19"/>
      <c r="AD816" s="19"/>
      <c r="AE816" s="19"/>
      <c r="AF816" s="19"/>
      <c r="AG816" s="19"/>
      <c r="AH816" s="19"/>
      <c r="AI816" s="19"/>
      <c r="AJ816" s="19"/>
      <c r="FM816" s="54"/>
    </row>
    <row r="817" spans="1:169" s="18" customFormat="1">
      <c r="A817" s="51"/>
      <c r="B817" s="52"/>
      <c r="C817" s="52"/>
      <c r="D817" s="52"/>
      <c r="E817" s="52"/>
      <c r="F817" s="52"/>
      <c r="G817" s="52"/>
      <c r="H817" s="53"/>
      <c r="I817" s="52"/>
      <c r="J817" s="52"/>
      <c r="K817" s="19"/>
      <c r="L817" s="19"/>
      <c r="M817" s="19"/>
      <c r="N817" s="19"/>
      <c r="O817" s="19"/>
      <c r="P817" s="19"/>
      <c r="Q817" s="19"/>
      <c r="R817" s="19"/>
      <c r="S817" s="19"/>
      <c r="T817" s="19"/>
      <c r="U817" s="19"/>
      <c r="V817" s="19"/>
      <c r="W817" s="19"/>
      <c r="X817" s="19"/>
      <c r="Y817" s="19"/>
      <c r="Z817" s="19"/>
      <c r="AA817" s="19"/>
      <c r="AB817" s="19"/>
      <c r="AC817" s="19"/>
      <c r="AD817" s="19"/>
      <c r="AE817" s="19"/>
      <c r="AF817" s="19"/>
      <c r="AG817" s="19"/>
      <c r="AH817" s="19"/>
      <c r="AI817" s="19"/>
      <c r="AJ817" s="19"/>
      <c r="FM817" s="54"/>
    </row>
    <row r="818" spans="1:169" s="18" customFormat="1">
      <c r="A818" s="51"/>
      <c r="B818" s="52"/>
      <c r="C818" s="52"/>
      <c r="D818" s="52"/>
      <c r="E818" s="52"/>
      <c r="F818" s="52"/>
      <c r="G818" s="52"/>
      <c r="H818" s="53"/>
      <c r="I818" s="52"/>
      <c r="J818" s="52"/>
      <c r="K818" s="19"/>
      <c r="L818" s="19"/>
      <c r="M818" s="19"/>
      <c r="N818" s="19"/>
      <c r="O818" s="19"/>
      <c r="P818" s="19"/>
      <c r="Q818" s="19"/>
      <c r="R818" s="19"/>
      <c r="S818" s="19"/>
      <c r="T818" s="19"/>
      <c r="U818" s="19"/>
      <c r="V818" s="19"/>
      <c r="W818" s="19"/>
      <c r="X818" s="19"/>
      <c r="Y818" s="19"/>
      <c r="Z818" s="19"/>
      <c r="AA818" s="19"/>
      <c r="AB818" s="19"/>
      <c r="AC818" s="19"/>
      <c r="AD818" s="19"/>
      <c r="AE818" s="19"/>
      <c r="AF818" s="19"/>
      <c r="AG818" s="19"/>
      <c r="AH818" s="19"/>
      <c r="AI818" s="19"/>
      <c r="AJ818" s="19"/>
      <c r="FM818" s="54"/>
    </row>
    <row r="819" spans="1:169" s="18" customFormat="1">
      <c r="A819" s="51"/>
      <c r="B819" s="52"/>
      <c r="C819" s="52"/>
      <c r="D819" s="52"/>
      <c r="E819" s="52"/>
      <c r="F819" s="52"/>
      <c r="G819" s="52"/>
      <c r="H819" s="53"/>
      <c r="I819" s="52"/>
      <c r="J819" s="52"/>
      <c r="K819" s="19"/>
      <c r="L819" s="19"/>
      <c r="M819" s="19"/>
      <c r="N819" s="19"/>
      <c r="O819" s="19"/>
      <c r="P819" s="19"/>
      <c r="Q819" s="19"/>
      <c r="R819" s="19"/>
      <c r="S819" s="19"/>
      <c r="T819" s="19"/>
      <c r="U819" s="19"/>
      <c r="V819" s="19"/>
      <c r="W819" s="19"/>
      <c r="X819" s="19"/>
      <c r="Y819" s="19"/>
      <c r="Z819" s="19"/>
      <c r="AA819" s="19"/>
      <c r="AB819" s="19"/>
      <c r="AC819" s="19"/>
      <c r="AD819" s="19"/>
      <c r="AE819" s="19"/>
      <c r="AF819" s="19"/>
      <c r="AG819" s="19"/>
      <c r="AH819" s="19"/>
      <c r="AI819" s="19"/>
      <c r="AJ819" s="19"/>
      <c r="FM819" s="54"/>
    </row>
    <row r="820" spans="1:169" s="18" customFormat="1">
      <c r="A820" s="51"/>
      <c r="B820" s="52"/>
      <c r="C820" s="52"/>
      <c r="D820" s="52"/>
      <c r="E820" s="52"/>
      <c r="F820" s="52"/>
      <c r="G820" s="52"/>
      <c r="H820" s="53"/>
      <c r="I820" s="52"/>
      <c r="J820" s="52"/>
      <c r="K820" s="19"/>
      <c r="L820" s="19"/>
      <c r="M820" s="19"/>
      <c r="N820" s="19"/>
      <c r="O820" s="19"/>
      <c r="P820" s="19"/>
      <c r="Q820" s="19"/>
      <c r="R820" s="19"/>
      <c r="S820" s="19"/>
      <c r="T820" s="19"/>
      <c r="U820" s="19"/>
      <c r="V820" s="19"/>
      <c r="W820" s="19"/>
      <c r="X820" s="19"/>
      <c r="Y820" s="19"/>
      <c r="Z820" s="19"/>
      <c r="AA820" s="19"/>
      <c r="AB820" s="19"/>
      <c r="AC820" s="19"/>
      <c r="AD820" s="19"/>
      <c r="AE820" s="19"/>
      <c r="AF820" s="19"/>
      <c r="AG820" s="19"/>
      <c r="AH820" s="19"/>
      <c r="AI820" s="19"/>
      <c r="AJ820" s="19"/>
      <c r="FM820" s="54"/>
    </row>
    <row r="821" spans="1:169" s="18" customFormat="1">
      <c r="A821" s="51"/>
      <c r="B821" s="52"/>
      <c r="C821" s="52"/>
      <c r="D821" s="52"/>
      <c r="E821" s="52"/>
      <c r="F821" s="52"/>
      <c r="G821" s="52"/>
      <c r="H821" s="53"/>
      <c r="I821" s="52"/>
      <c r="J821" s="52"/>
      <c r="K821" s="19"/>
      <c r="L821" s="19"/>
      <c r="M821" s="19"/>
      <c r="N821" s="19"/>
      <c r="O821" s="19"/>
      <c r="P821" s="19"/>
      <c r="Q821" s="19"/>
      <c r="R821" s="19"/>
      <c r="S821" s="19"/>
      <c r="T821" s="19"/>
      <c r="U821" s="19"/>
      <c r="V821" s="19"/>
      <c r="W821" s="19"/>
      <c r="X821" s="19"/>
      <c r="Y821" s="19"/>
      <c r="Z821" s="19"/>
      <c r="AA821" s="19"/>
      <c r="AB821" s="19"/>
      <c r="AC821" s="19"/>
      <c r="AD821" s="19"/>
      <c r="AE821" s="19"/>
      <c r="AF821" s="19"/>
      <c r="AG821" s="19"/>
      <c r="AH821" s="19"/>
      <c r="AI821" s="19"/>
      <c r="AJ821" s="19"/>
      <c r="FM821" s="54"/>
    </row>
    <row r="822" spans="1:169" s="18" customFormat="1">
      <c r="A822" s="51"/>
      <c r="B822" s="52"/>
      <c r="C822" s="52"/>
      <c r="D822" s="52"/>
      <c r="E822" s="52"/>
      <c r="F822" s="52"/>
      <c r="G822" s="52"/>
      <c r="H822" s="53"/>
      <c r="I822" s="52"/>
      <c r="J822" s="52"/>
      <c r="K822" s="19"/>
      <c r="L822" s="19"/>
      <c r="M822" s="19"/>
      <c r="N822" s="19"/>
      <c r="O822" s="19"/>
      <c r="P822" s="19"/>
      <c r="Q822" s="19"/>
      <c r="R822" s="19"/>
      <c r="S822" s="19"/>
      <c r="T822" s="19"/>
      <c r="U822" s="19"/>
      <c r="V822" s="19"/>
      <c r="W822" s="19"/>
      <c r="X822" s="19"/>
      <c r="Y822" s="19"/>
      <c r="Z822" s="19"/>
      <c r="AA822" s="19"/>
      <c r="AB822" s="19"/>
      <c r="AC822" s="19"/>
      <c r="AD822" s="19"/>
      <c r="AE822" s="19"/>
      <c r="AF822" s="19"/>
      <c r="AG822" s="19"/>
      <c r="AH822" s="19"/>
      <c r="AI822" s="19"/>
      <c r="AJ822" s="19"/>
      <c r="FM822" s="54"/>
    </row>
    <row r="823" spans="1:169" s="18" customFormat="1">
      <c r="A823" s="51"/>
      <c r="B823" s="52"/>
      <c r="C823" s="52"/>
      <c r="D823" s="52"/>
      <c r="E823" s="52"/>
      <c r="F823" s="52"/>
      <c r="G823" s="52"/>
      <c r="H823" s="53"/>
      <c r="I823" s="52"/>
      <c r="J823" s="52"/>
      <c r="K823" s="19"/>
      <c r="L823" s="19"/>
      <c r="M823" s="19"/>
      <c r="N823" s="19"/>
      <c r="O823" s="19"/>
      <c r="P823" s="19"/>
      <c r="Q823" s="19"/>
      <c r="R823" s="19"/>
      <c r="S823" s="19"/>
      <c r="T823" s="19"/>
      <c r="U823" s="19"/>
      <c r="V823" s="19"/>
      <c r="W823" s="19"/>
      <c r="X823" s="19"/>
      <c r="Y823" s="19"/>
      <c r="Z823" s="19"/>
      <c r="AA823" s="19"/>
      <c r="AB823" s="19"/>
      <c r="AC823" s="19"/>
      <c r="AD823" s="19"/>
      <c r="AE823" s="19"/>
      <c r="AF823" s="19"/>
      <c r="AG823" s="19"/>
      <c r="AH823" s="19"/>
      <c r="AI823" s="19"/>
      <c r="AJ823" s="19"/>
      <c r="FM823" s="54"/>
    </row>
    <row r="824" spans="1:169" s="18" customFormat="1">
      <c r="A824" s="51"/>
      <c r="B824" s="52"/>
      <c r="C824" s="52"/>
      <c r="D824" s="52"/>
      <c r="E824" s="52"/>
      <c r="F824" s="52"/>
      <c r="G824" s="52"/>
      <c r="H824" s="53"/>
      <c r="I824" s="52"/>
      <c r="J824" s="52"/>
      <c r="K824" s="19"/>
      <c r="L824" s="19"/>
      <c r="M824" s="19"/>
      <c r="N824" s="19"/>
      <c r="O824" s="19"/>
      <c r="P824" s="19"/>
      <c r="Q824" s="19"/>
      <c r="R824" s="19"/>
      <c r="S824" s="19"/>
      <c r="T824" s="19"/>
      <c r="U824" s="19"/>
      <c r="V824" s="19"/>
      <c r="W824" s="19"/>
      <c r="X824" s="19"/>
      <c r="Y824" s="19"/>
      <c r="Z824" s="19"/>
      <c r="AA824" s="19"/>
      <c r="AB824" s="19"/>
      <c r="AC824" s="19"/>
      <c r="AD824" s="19"/>
      <c r="AE824" s="19"/>
      <c r="AF824" s="19"/>
      <c r="AG824" s="19"/>
      <c r="AH824" s="19"/>
      <c r="AI824" s="19"/>
      <c r="AJ824" s="19"/>
      <c r="FM824" s="54"/>
    </row>
    <row r="825" spans="1:169" s="18" customFormat="1">
      <c r="A825" s="51"/>
      <c r="B825" s="52"/>
      <c r="C825" s="52"/>
      <c r="D825" s="52"/>
      <c r="E825" s="52"/>
      <c r="F825" s="52"/>
      <c r="G825" s="52"/>
      <c r="H825" s="53"/>
      <c r="I825" s="52"/>
      <c r="J825" s="52"/>
      <c r="K825" s="19"/>
      <c r="L825" s="19"/>
      <c r="M825" s="19"/>
      <c r="N825" s="19"/>
      <c r="O825" s="19"/>
      <c r="P825" s="19"/>
      <c r="Q825" s="19"/>
      <c r="R825" s="19"/>
      <c r="S825" s="19"/>
      <c r="T825" s="19"/>
      <c r="U825" s="19"/>
      <c r="V825" s="19"/>
      <c r="W825" s="19"/>
      <c r="X825" s="19"/>
      <c r="Y825" s="19"/>
      <c r="Z825" s="19"/>
      <c r="AA825" s="19"/>
      <c r="AB825" s="19"/>
      <c r="AC825" s="19"/>
      <c r="AD825" s="19"/>
      <c r="AE825" s="19"/>
      <c r="AF825" s="19"/>
      <c r="AG825" s="19"/>
      <c r="AH825" s="19"/>
      <c r="AI825" s="19"/>
      <c r="AJ825" s="19"/>
      <c r="FM825" s="54"/>
    </row>
    <row r="826" spans="1:169" s="18" customFormat="1">
      <c r="A826" s="51"/>
      <c r="B826" s="52"/>
      <c r="C826" s="52"/>
      <c r="D826" s="52"/>
      <c r="E826" s="52"/>
      <c r="F826" s="52"/>
      <c r="G826" s="52"/>
      <c r="H826" s="53"/>
      <c r="I826" s="52"/>
      <c r="J826" s="52"/>
      <c r="K826" s="19"/>
      <c r="L826" s="19"/>
      <c r="M826" s="19"/>
      <c r="N826" s="19"/>
      <c r="O826" s="19"/>
      <c r="P826" s="19"/>
      <c r="Q826" s="19"/>
      <c r="R826" s="19"/>
      <c r="S826" s="19"/>
      <c r="T826" s="19"/>
      <c r="U826" s="19"/>
      <c r="V826" s="19"/>
      <c r="W826" s="19"/>
      <c r="X826" s="19"/>
      <c r="Y826" s="19"/>
      <c r="Z826" s="19"/>
      <c r="AA826" s="19"/>
      <c r="AB826" s="19"/>
      <c r="AC826" s="19"/>
      <c r="AD826" s="19"/>
      <c r="AE826" s="19"/>
      <c r="AF826" s="19"/>
      <c r="AG826" s="19"/>
      <c r="AH826" s="19"/>
      <c r="AI826" s="19"/>
      <c r="AJ826" s="19"/>
      <c r="FM826" s="54"/>
    </row>
    <row r="827" spans="1:169" s="18" customFormat="1">
      <c r="A827" s="51"/>
      <c r="B827" s="52"/>
      <c r="C827" s="52"/>
      <c r="D827" s="52"/>
      <c r="E827" s="52"/>
      <c r="F827" s="52"/>
      <c r="G827" s="52"/>
      <c r="H827" s="53"/>
      <c r="I827" s="52"/>
      <c r="J827" s="52"/>
      <c r="K827" s="19"/>
      <c r="L827" s="19"/>
      <c r="M827" s="19"/>
      <c r="N827" s="19"/>
      <c r="O827" s="19"/>
      <c r="P827" s="19"/>
      <c r="Q827" s="19"/>
      <c r="R827" s="19"/>
      <c r="S827" s="19"/>
      <c r="T827" s="19"/>
      <c r="U827" s="19"/>
      <c r="V827" s="19"/>
      <c r="W827" s="19"/>
      <c r="X827" s="19"/>
      <c r="Y827" s="19"/>
      <c r="Z827" s="19"/>
      <c r="AA827" s="19"/>
      <c r="AB827" s="19"/>
      <c r="AC827" s="19"/>
      <c r="AD827" s="19"/>
      <c r="AE827" s="19"/>
      <c r="AF827" s="19"/>
      <c r="AG827" s="19"/>
      <c r="AH827" s="19"/>
      <c r="AI827" s="19"/>
      <c r="AJ827" s="19"/>
      <c r="FM827" s="54"/>
    </row>
    <row r="828" spans="1:169" s="18" customFormat="1">
      <c r="A828" s="51"/>
      <c r="B828" s="52"/>
      <c r="C828" s="52"/>
      <c r="D828" s="52"/>
      <c r="E828" s="52"/>
      <c r="F828" s="52"/>
      <c r="G828" s="52"/>
      <c r="H828" s="53"/>
      <c r="I828" s="52"/>
      <c r="J828" s="52"/>
      <c r="K828" s="19"/>
      <c r="L828" s="19"/>
      <c r="M828" s="19"/>
      <c r="N828" s="19"/>
      <c r="O828" s="19"/>
      <c r="P828" s="19"/>
      <c r="Q828" s="19"/>
      <c r="R828" s="19"/>
      <c r="S828" s="19"/>
      <c r="T828" s="19"/>
      <c r="U828" s="19"/>
      <c r="V828" s="19"/>
      <c r="W828" s="19"/>
      <c r="X828" s="19"/>
      <c r="Y828" s="19"/>
      <c r="Z828" s="19"/>
      <c r="AA828" s="19"/>
      <c r="AB828" s="19"/>
      <c r="AC828" s="19"/>
      <c r="AD828" s="19"/>
      <c r="AE828" s="19"/>
      <c r="AF828" s="19"/>
      <c r="AG828" s="19"/>
      <c r="AH828" s="19"/>
      <c r="AI828" s="19"/>
      <c r="AJ828" s="19"/>
      <c r="FM828" s="54"/>
    </row>
    <row r="829" spans="1:169" s="18" customFormat="1">
      <c r="A829" s="51"/>
      <c r="B829" s="52"/>
      <c r="C829" s="52"/>
      <c r="D829" s="52"/>
      <c r="E829" s="52"/>
      <c r="F829" s="52"/>
      <c r="G829" s="52"/>
      <c r="H829" s="53"/>
      <c r="I829" s="52"/>
      <c r="J829" s="52"/>
      <c r="K829" s="19"/>
      <c r="L829" s="19"/>
      <c r="M829" s="19"/>
      <c r="N829" s="19"/>
      <c r="O829" s="19"/>
      <c r="P829" s="19"/>
      <c r="Q829" s="19"/>
      <c r="R829" s="19"/>
      <c r="S829" s="19"/>
      <c r="T829" s="19"/>
      <c r="U829" s="19"/>
      <c r="V829" s="19"/>
      <c r="W829" s="19"/>
      <c r="X829" s="19"/>
      <c r="Y829" s="19"/>
      <c r="Z829" s="19"/>
      <c r="AA829" s="19"/>
      <c r="AB829" s="19"/>
      <c r="AC829" s="19"/>
      <c r="AD829" s="19"/>
      <c r="AE829" s="19"/>
      <c r="AF829" s="19"/>
      <c r="AG829" s="19"/>
      <c r="AH829" s="19"/>
      <c r="AI829" s="19"/>
      <c r="AJ829" s="19"/>
      <c r="FM829" s="54"/>
    </row>
    <row r="830" spans="1:169" s="18" customFormat="1">
      <c r="A830" s="51"/>
      <c r="B830" s="52"/>
      <c r="C830" s="52"/>
      <c r="D830" s="52"/>
      <c r="E830" s="52"/>
      <c r="F830" s="52"/>
      <c r="G830" s="52"/>
      <c r="H830" s="53"/>
      <c r="I830" s="52"/>
      <c r="J830" s="52"/>
      <c r="K830" s="19"/>
      <c r="L830" s="19"/>
      <c r="M830" s="19"/>
      <c r="N830" s="19"/>
      <c r="O830" s="19"/>
      <c r="P830" s="19"/>
      <c r="Q830" s="19"/>
      <c r="R830" s="19"/>
      <c r="S830" s="19"/>
      <c r="T830" s="19"/>
      <c r="U830" s="19"/>
      <c r="V830" s="19"/>
      <c r="W830" s="19"/>
      <c r="X830" s="19"/>
      <c r="Y830" s="19"/>
      <c r="Z830" s="19"/>
      <c r="AA830" s="19"/>
      <c r="AB830" s="19"/>
      <c r="AC830" s="19"/>
      <c r="AD830" s="19"/>
      <c r="AE830" s="19"/>
      <c r="AF830" s="19"/>
      <c r="AG830" s="19"/>
      <c r="AH830" s="19"/>
      <c r="AI830" s="19"/>
      <c r="AJ830" s="19"/>
      <c r="FM830" s="54"/>
    </row>
    <row r="831" spans="1:169" s="18" customFormat="1">
      <c r="A831" s="51"/>
      <c r="B831" s="52"/>
      <c r="C831" s="52"/>
      <c r="D831" s="52"/>
      <c r="E831" s="52"/>
      <c r="F831" s="52"/>
      <c r="G831" s="52"/>
      <c r="H831" s="53"/>
      <c r="I831" s="52"/>
      <c r="J831" s="52"/>
      <c r="K831" s="19"/>
      <c r="L831" s="19"/>
      <c r="M831" s="19"/>
      <c r="N831" s="19"/>
      <c r="O831" s="19"/>
      <c r="P831" s="19"/>
      <c r="Q831" s="19"/>
      <c r="R831" s="19"/>
      <c r="S831" s="19"/>
      <c r="T831" s="19"/>
      <c r="U831" s="19"/>
      <c r="V831" s="19"/>
      <c r="W831" s="19"/>
      <c r="X831" s="19"/>
      <c r="Y831" s="19"/>
      <c r="Z831" s="19"/>
      <c r="AA831" s="19"/>
      <c r="AB831" s="19"/>
      <c r="AC831" s="19"/>
      <c r="AD831" s="19"/>
      <c r="AE831" s="19"/>
      <c r="AF831" s="19"/>
      <c r="AG831" s="19"/>
      <c r="AH831" s="19"/>
      <c r="AI831" s="19"/>
      <c r="AJ831" s="19"/>
      <c r="FM831" s="54"/>
    </row>
    <row r="832" spans="1:169" s="18" customFormat="1">
      <c r="A832" s="51"/>
      <c r="B832" s="52"/>
      <c r="C832" s="52"/>
      <c r="D832" s="52"/>
      <c r="E832" s="52"/>
      <c r="F832" s="52"/>
      <c r="G832" s="52"/>
      <c r="H832" s="53"/>
      <c r="I832" s="52"/>
      <c r="J832" s="52"/>
      <c r="K832" s="19"/>
      <c r="L832" s="19"/>
      <c r="M832" s="19"/>
      <c r="N832" s="19"/>
      <c r="O832" s="19"/>
      <c r="P832" s="19"/>
      <c r="Q832" s="19"/>
      <c r="R832" s="19"/>
      <c r="S832" s="19"/>
      <c r="T832" s="19"/>
      <c r="U832" s="19"/>
      <c r="V832" s="19"/>
      <c r="W832" s="19"/>
      <c r="X832" s="19"/>
      <c r="Y832" s="19"/>
      <c r="Z832" s="19"/>
      <c r="AA832" s="19"/>
      <c r="AB832" s="19"/>
      <c r="AC832" s="19"/>
      <c r="AD832" s="19"/>
      <c r="AE832" s="19"/>
      <c r="AF832" s="19"/>
      <c r="AG832" s="19"/>
      <c r="AH832" s="19"/>
      <c r="AI832" s="19"/>
      <c r="AJ832" s="19"/>
      <c r="FM832" s="54"/>
    </row>
    <row r="833" spans="1:169" s="18" customFormat="1">
      <c r="A833" s="51"/>
      <c r="B833" s="52"/>
      <c r="C833" s="52"/>
      <c r="D833" s="52"/>
      <c r="E833" s="52"/>
      <c r="F833" s="52"/>
      <c r="G833" s="52"/>
      <c r="H833" s="53"/>
      <c r="I833" s="52"/>
      <c r="J833" s="52"/>
      <c r="K833" s="19"/>
      <c r="L833" s="19"/>
      <c r="M833" s="19"/>
      <c r="N833" s="19"/>
      <c r="O833" s="19"/>
      <c r="P833" s="19"/>
      <c r="Q833" s="19"/>
      <c r="R833" s="19"/>
      <c r="S833" s="19"/>
      <c r="T833" s="19"/>
      <c r="U833" s="19"/>
      <c r="V833" s="19"/>
      <c r="W833" s="19"/>
      <c r="X833" s="19"/>
      <c r="Y833" s="19"/>
      <c r="Z833" s="19"/>
      <c r="AA833" s="19"/>
      <c r="AB833" s="19"/>
      <c r="AC833" s="19"/>
      <c r="AD833" s="19"/>
      <c r="AE833" s="19"/>
      <c r="AF833" s="19"/>
      <c r="AG833" s="19"/>
      <c r="AH833" s="19"/>
      <c r="AI833" s="19"/>
      <c r="AJ833" s="19"/>
      <c r="FM833" s="54"/>
    </row>
    <row r="834" spans="1:169" s="18" customFormat="1">
      <c r="A834" s="51"/>
      <c r="B834" s="52"/>
      <c r="C834" s="52"/>
      <c r="D834" s="52"/>
      <c r="E834" s="52"/>
      <c r="F834" s="52"/>
      <c r="G834" s="52"/>
      <c r="H834" s="53"/>
      <c r="I834" s="52"/>
      <c r="J834" s="52"/>
      <c r="K834" s="19"/>
      <c r="L834" s="19"/>
      <c r="M834" s="19"/>
      <c r="N834" s="19"/>
      <c r="O834" s="19"/>
      <c r="P834" s="19"/>
      <c r="Q834" s="19"/>
      <c r="R834" s="19"/>
      <c r="S834" s="19"/>
      <c r="T834" s="19"/>
      <c r="U834" s="19"/>
      <c r="V834" s="19"/>
      <c r="W834" s="19"/>
      <c r="X834" s="19"/>
      <c r="Y834" s="19"/>
      <c r="Z834" s="19"/>
      <c r="AA834" s="19"/>
      <c r="AB834" s="19"/>
      <c r="AC834" s="19"/>
      <c r="AD834" s="19"/>
      <c r="AE834" s="19"/>
      <c r="AF834" s="19"/>
      <c r="AG834" s="19"/>
      <c r="AH834" s="19"/>
      <c r="AI834" s="19"/>
      <c r="AJ834" s="19"/>
      <c r="FM834" s="54"/>
    </row>
    <row r="835" spans="1:169" s="18" customFormat="1">
      <c r="A835" s="51"/>
      <c r="B835" s="52"/>
      <c r="C835" s="52"/>
      <c r="D835" s="52"/>
      <c r="E835" s="52"/>
      <c r="F835" s="52"/>
      <c r="G835" s="52"/>
      <c r="H835" s="53"/>
      <c r="I835" s="52"/>
      <c r="J835" s="52"/>
      <c r="K835" s="19"/>
      <c r="L835" s="19"/>
      <c r="M835" s="19"/>
      <c r="N835" s="19"/>
      <c r="O835" s="19"/>
      <c r="P835" s="19"/>
      <c r="Q835" s="19"/>
      <c r="R835" s="19"/>
      <c r="S835" s="19"/>
      <c r="T835" s="19"/>
      <c r="U835" s="19"/>
      <c r="V835" s="19"/>
      <c r="W835" s="19"/>
      <c r="X835" s="19"/>
      <c r="Y835" s="19"/>
      <c r="Z835" s="19"/>
      <c r="AA835" s="19"/>
      <c r="AB835" s="19"/>
      <c r="AC835" s="19"/>
      <c r="AD835" s="19"/>
      <c r="AE835" s="19"/>
      <c r="AF835" s="19"/>
      <c r="AG835" s="19"/>
      <c r="AH835" s="19"/>
      <c r="AI835" s="19"/>
      <c r="AJ835" s="19"/>
      <c r="FM835" s="54"/>
    </row>
    <row r="836" spans="1:169" s="18" customFormat="1">
      <c r="A836" s="51"/>
      <c r="B836" s="52"/>
      <c r="C836" s="52"/>
      <c r="D836" s="52"/>
      <c r="E836" s="52"/>
      <c r="F836" s="52"/>
      <c r="G836" s="52"/>
      <c r="H836" s="53"/>
      <c r="I836" s="52"/>
      <c r="J836" s="52"/>
      <c r="K836" s="19"/>
      <c r="L836" s="19"/>
      <c r="M836" s="19"/>
      <c r="N836" s="19"/>
      <c r="O836" s="19"/>
      <c r="P836" s="19"/>
      <c r="Q836" s="19"/>
      <c r="R836" s="19"/>
      <c r="S836" s="19"/>
      <c r="T836" s="19"/>
      <c r="U836" s="19"/>
      <c r="V836" s="19"/>
      <c r="W836" s="19"/>
      <c r="X836" s="19"/>
      <c r="Y836" s="19"/>
      <c r="Z836" s="19"/>
      <c r="AA836" s="19"/>
      <c r="AB836" s="19"/>
      <c r="AC836" s="19"/>
      <c r="AD836" s="19"/>
      <c r="AE836" s="19"/>
      <c r="AF836" s="19"/>
      <c r="AG836" s="19"/>
      <c r="AH836" s="19"/>
      <c r="AI836" s="19"/>
      <c r="AJ836" s="19"/>
      <c r="FM836" s="54"/>
    </row>
    <row r="837" spans="1:169" s="18" customFormat="1">
      <c r="A837" s="51"/>
      <c r="B837" s="52"/>
      <c r="C837" s="52"/>
      <c r="D837" s="52"/>
      <c r="E837" s="52"/>
      <c r="F837" s="52"/>
      <c r="G837" s="52"/>
      <c r="H837" s="53"/>
      <c r="I837" s="52"/>
      <c r="J837" s="52"/>
      <c r="K837" s="19"/>
      <c r="L837" s="19"/>
      <c r="M837" s="19"/>
      <c r="N837" s="19"/>
      <c r="O837" s="19"/>
      <c r="P837" s="19"/>
      <c r="Q837" s="19"/>
      <c r="R837" s="19"/>
      <c r="S837" s="19"/>
      <c r="T837" s="19"/>
      <c r="U837" s="19"/>
      <c r="V837" s="19"/>
      <c r="W837" s="19"/>
      <c r="X837" s="19"/>
      <c r="Y837" s="19"/>
      <c r="Z837" s="19"/>
      <c r="AA837" s="19"/>
      <c r="AB837" s="19"/>
      <c r="AC837" s="19"/>
      <c r="AD837" s="19"/>
      <c r="AE837" s="19"/>
      <c r="AF837" s="19"/>
      <c r="AG837" s="19"/>
      <c r="AH837" s="19"/>
      <c r="AI837" s="19"/>
      <c r="AJ837" s="19"/>
      <c r="FM837" s="54"/>
    </row>
    <row r="838" spans="1:169" s="18" customFormat="1">
      <c r="A838" s="51"/>
      <c r="B838" s="52"/>
      <c r="C838" s="52"/>
      <c r="D838" s="52"/>
      <c r="E838" s="52"/>
      <c r="F838" s="52"/>
      <c r="G838" s="52"/>
      <c r="H838" s="53"/>
      <c r="I838" s="52"/>
      <c r="J838" s="52"/>
      <c r="K838" s="19"/>
      <c r="L838" s="19"/>
      <c r="M838" s="19"/>
      <c r="N838" s="19"/>
      <c r="O838" s="19"/>
      <c r="P838" s="19"/>
      <c r="Q838" s="19"/>
      <c r="R838" s="19"/>
      <c r="S838" s="19"/>
      <c r="T838" s="19"/>
      <c r="U838" s="19"/>
      <c r="V838" s="19"/>
      <c r="W838" s="19"/>
      <c r="X838" s="19"/>
      <c r="Y838" s="19"/>
      <c r="Z838" s="19"/>
      <c r="AA838" s="19"/>
      <c r="AB838" s="19"/>
      <c r="AC838" s="19"/>
      <c r="AD838" s="19"/>
      <c r="AE838" s="19"/>
      <c r="AF838" s="19"/>
      <c r="AG838" s="19"/>
      <c r="AH838" s="19"/>
      <c r="AI838" s="19"/>
      <c r="AJ838" s="19"/>
      <c r="FM838" s="54"/>
    </row>
    <row r="839" spans="1:169" s="18" customFormat="1">
      <c r="A839" s="51"/>
      <c r="B839" s="52"/>
      <c r="C839" s="52"/>
      <c r="D839" s="52"/>
      <c r="E839" s="52"/>
      <c r="F839" s="52"/>
      <c r="G839" s="52"/>
      <c r="H839" s="53"/>
      <c r="I839" s="52"/>
      <c r="J839" s="52"/>
      <c r="K839" s="19"/>
      <c r="L839" s="19"/>
      <c r="M839" s="19"/>
      <c r="N839" s="19"/>
      <c r="O839" s="19"/>
      <c r="P839" s="19"/>
      <c r="Q839" s="19"/>
      <c r="R839" s="19"/>
      <c r="S839" s="19"/>
      <c r="T839" s="19"/>
      <c r="U839" s="19"/>
      <c r="V839" s="19"/>
      <c r="W839" s="19"/>
      <c r="X839" s="19"/>
      <c r="Y839" s="19"/>
      <c r="Z839" s="19"/>
      <c r="AA839" s="19"/>
      <c r="AB839" s="19"/>
      <c r="AC839" s="19"/>
      <c r="AD839" s="19"/>
      <c r="AE839" s="19"/>
      <c r="AF839" s="19"/>
      <c r="AG839" s="19"/>
      <c r="AH839" s="19"/>
      <c r="AI839" s="19"/>
      <c r="AJ839" s="19"/>
      <c r="FM839" s="54"/>
    </row>
    <row r="840" spans="1:169" s="18" customFormat="1">
      <c r="A840" s="51"/>
      <c r="B840" s="52"/>
      <c r="C840" s="52"/>
      <c r="D840" s="52"/>
      <c r="E840" s="52"/>
      <c r="F840" s="52"/>
      <c r="G840" s="52"/>
      <c r="H840" s="53"/>
      <c r="I840" s="52"/>
      <c r="J840" s="52"/>
      <c r="K840" s="19"/>
      <c r="L840" s="19"/>
      <c r="M840" s="19"/>
      <c r="N840" s="19"/>
      <c r="O840" s="19"/>
      <c r="P840" s="19"/>
      <c r="Q840" s="19"/>
      <c r="R840" s="19"/>
      <c r="S840" s="19"/>
      <c r="T840" s="19"/>
      <c r="U840" s="19"/>
      <c r="V840" s="19"/>
      <c r="W840" s="19"/>
      <c r="X840" s="19"/>
      <c r="Y840" s="19"/>
      <c r="Z840" s="19"/>
      <c r="AA840" s="19"/>
      <c r="AB840" s="19"/>
      <c r="AC840" s="19"/>
      <c r="AD840" s="19"/>
      <c r="AE840" s="19"/>
      <c r="AF840" s="19"/>
      <c r="AG840" s="19"/>
      <c r="AH840" s="19"/>
      <c r="AI840" s="19"/>
      <c r="AJ840" s="19"/>
      <c r="FM840" s="54"/>
    </row>
    <row r="841" spans="1:169" s="18" customFormat="1">
      <c r="A841" s="51"/>
      <c r="B841" s="52"/>
      <c r="C841" s="52"/>
      <c r="D841" s="52"/>
      <c r="E841" s="52"/>
      <c r="F841" s="52"/>
      <c r="G841" s="52"/>
      <c r="H841" s="53"/>
      <c r="I841" s="52"/>
      <c r="J841" s="52"/>
      <c r="K841" s="19"/>
      <c r="L841" s="19"/>
      <c r="M841" s="19"/>
      <c r="N841" s="19"/>
      <c r="O841" s="19"/>
      <c r="P841" s="19"/>
      <c r="Q841" s="19"/>
      <c r="R841" s="19"/>
      <c r="S841" s="19"/>
      <c r="T841" s="19"/>
      <c r="U841" s="19"/>
      <c r="V841" s="19"/>
      <c r="W841" s="19"/>
      <c r="X841" s="19"/>
      <c r="Y841" s="19"/>
      <c r="Z841" s="19"/>
      <c r="AA841" s="19"/>
      <c r="AB841" s="19"/>
      <c r="AC841" s="19"/>
      <c r="AD841" s="19"/>
      <c r="AE841" s="19"/>
      <c r="AF841" s="19"/>
      <c r="AG841" s="19"/>
      <c r="AH841" s="19"/>
      <c r="AI841" s="19"/>
      <c r="AJ841" s="19"/>
      <c r="FM841" s="54"/>
    </row>
    <row r="842" spans="1:169" s="18" customFormat="1">
      <c r="A842" s="51"/>
      <c r="B842" s="52"/>
      <c r="C842" s="52"/>
      <c r="D842" s="52"/>
      <c r="E842" s="52"/>
      <c r="F842" s="52"/>
      <c r="G842" s="52"/>
      <c r="H842" s="53"/>
      <c r="I842" s="52"/>
      <c r="J842" s="52"/>
      <c r="K842" s="19"/>
      <c r="L842" s="19"/>
      <c r="M842" s="19"/>
      <c r="N842" s="19"/>
      <c r="O842" s="19"/>
      <c r="P842" s="19"/>
      <c r="Q842" s="19"/>
      <c r="R842" s="19"/>
      <c r="S842" s="19"/>
      <c r="T842" s="19"/>
      <c r="U842" s="19"/>
      <c r="V842" s="19"/>
      <c r="W842" s="19"/>
      <c r="X842" s="19"/>
      <c r="Y842" s="19"/>
      <c r="Z842" s="19"/>
      <c r="AA842" s="19"/>
      <c r="AB842" s="19"/>
      <c r="AC842" s="19"/>
      <c r="AD842" s="19"/>
      <c r="AE842" s="19"/>
      <c r="AF842" s="19"/>
      <c r="AG842" s="19"/>
      <c r="AH842" s="19"/>
      <c r="AI842" s="19"/>
      <c r="AJ842" s="19"/>
      <c r="FM842" s="54"/>
    </row>
    <row r="843" spans="1:169" s="18" customFormat="1">
      <c r="A843" s="51"/>
      <c r="B843" s="52"/>
      <c r="C843" s="52"/>
      <c r="D843" s="52"/>
      <c r="E843" s="52"/>
      <c r="F843" s="52"/>
      <c r="G843" s="52"/>
      <c r="H843" s="53"/>
      <c r="I843" s="52"/>
      <c r="J843" s="52"/>
      <c r="K843" s="19"/>
      <c r="L843" s="19"/>
      <c r="M843" s="19"/>
      <c r="N843" s="19"/>
      <c r="O843" s="19"/>
      <c r="P843" s="19"/>
      <c r="Q843" s="19"/>
      <c r="R843" s="19"/>
      <c r="S843" s="19"/>
      <c r="T843" s="19"/>
      <c r="U843" s="19"/>
      <c r="V843" s="19"/>
      <c r="W843" s="19"/>
      <c r="X843" s="19"/>
      <c r="Y843" s="19"/>
      <c r="Z843" s="19"/>
      <c r="AA843" s="19"/>
      <c r="AB843" s="19"/>
      <c r="AC843" s="19"/>
      <c r="AD843" s="19"/>
      <c r="AE843" s="19"/>
      <c r="AF843" s="19"/>
      <c r="AG843" s="19"/>
      <c r="AH843" s="19"/>
      <c r="AI843" s="19"/>
      <c r="AJ843" s="19"/>
      <c r="FM843" s="54"/>
    </row>
    <row r="844" spans="1:169" s="18" customFormat="1">
      <c r="A844" s="51"/>
      <c r="B844" s="52"/>
      <c r="C844" s="52"/>
      <c r="D844" s="52"/>
      <c r="E844" s="52"/>
      <c r="F844" s="52"/>
      <c r="G844" s="52"/>
      <c r="H844" s="53"/>
      <c r="I844" s="52"/>
      <c r="J844" s="52"/>
      <c r="K844" s="19"/>
      <c r="L844" s="19"/>
      <c r="M844" s="19"/>
      <c r="N844" s="19"/>
      <c r="O844" s="19"/>
      <c r="P844" s="19"/>
      <c r="Q844" s="19"/>
      <c r="R844" s="19"/>
      <c r="S844" s="19"/>
      <c r="T844" s="19"/>
      <c r="U844" s="19"/>
      <c r="V844" s="19"/>
      <c r="W844" s="19"/>
      <c r="X844" s="19"/>
      <c r="Y844" s="19"/>
      <c r="Z844" s="19"/>
      <c r="AA844" s="19"/>
      <c r="AB844" s="19"/>
      <c r="AC844" s="19"/>
      <c r="AD844" s="19"/>
      <c r="AE844" s="19"/>
      <c r="AF844" s="19"/>
      <c r="AG844" s="19"/>
      <c r="AH844" s="19"/>
      <c r="AI844" s="19"/>
      <c r="AJ844" s="19"/>
      <c r="FM844" s="54"/>
    </row>
    <row r="845" spans="1:169" s="18" customFormat="1">
      <c r="A845" s="51"/>
      <c r="B845" s="52"/>
      <c r="C845" s="52"/>
      <c r="D845" s="52"/>
      <c r="E845" s="52"/>
      <c r="F845" s="52"/>
      <c r="G845" s="52"/>
      <c r="H845" s="53"/>
      <c r="I845" s="52"/>
      <c r="J845" s="52"/>
      <c r="K845" s="19"/>
      <c r="L845" s="19"/>
      <c r="M845" s="19"/>
      <c r="N845" s="19"/>
      <c r="O845" s="19"/>
      <c r="P845" s="19"/>
      <c r="Q845" s="19"/>
      <c r="R845" s="19"/>
      <c r="S845" s="19"/>
      <c r="T845" s="19"/>
      <c r="U845" s="19"/>
      <c r="V845" s="19"/>
      <c r="W845" s="19"/>
      <c r="X845" s="19"/>
      <c r="Y845" s="19"/>
      <c r="Z845" s="19"/>
      <c r="AA845" s="19"/>
      <c r="AB845" s="19"/>
      <c r="AC845" s="19"/>
      <c r="AD845" s="19"/>
      <c r="AE845" s="19"/>
      <c r="AF845" s="19"/>
      <c r="AG845" s="19"/>
      <c r="AH845" s="19"/>
      <c r="AI845" s="19"/>
      <c r="AJ845" s="19"/>
      <c r="FM845" s="54"/>
    </row>
    <row r="846" spans="1:169" s="18" customFormat="1">
      <c r="A846" s="51"/>
      <c r="B846" s="52"/>
      <c r="C846" s="52"/>
      <c r="D846" s="52"/>
      <c r="E846" s="52"/>
      <c r="F846" s="52"/>
      <c r="G846" s="52"/>
      <c r="H846" s="53"/>
      <c r="I846" s="52"/>
      <c r="J846" s="52"/>
      <c r="K846" s="19"/>
      <c r="L846" s="19"/>
      <c r="M846" s="19"/>
      <c r="N846" s="19"/>
      <c r="O846" s="19"/>
      <c r="P846" s="19"/>
      <c r="Q846" s="19"/>
      <c r="R846" s="19"/>
      <c r="S846" s="19"/>
      <c r="T846" s="19"/>
      <c r="U846" s="19"/>
      <c r="V846" s="19"/>
      <c r="W846" s="19"/>
      <c r="X846" s="19"/>
      <c r="Y846" s="19"/>
      <c r="Z846" s="19"/>
      <c r="AA846" s="19"/>
      <c r="AB846" s="19"/>
      <c r="AC846" s="19"/>
      <c r="AD846" s="19"/>
      <c r="AE846" s="19"/>
      <c r="AF846" s="19"/>
      <c r="AG846" s="19"/>
      <c r="AH846" s="19"/>
      <c r="AI846" s="19"/>
      <c r="AJ846" s="19"/>
      <c r="FM846" s="54"/>
    </row>
    <row r="847" spans="1:169" s="18" customFormat="1">
      <c r="A847" s="51"/>
      <c r="B847" s="52"/>
      <c r="C847" s="52"/>
      <c r="D847" s="52"/>
      <c r="E847" s="52"/>
      <c r="F847" s="52"/>
      <c r="G847" s="52"/>
      <c r="H847" s="53"/>
      <c r="I847" s="52"/>
      <c r="J847" s="52"/>
      <c r="K847" s="19"/>
      <c r="L847" s="19"/>
      <c r="M847" s="19"/>
      <c r="N847" s="19"/>
      <c r="O847" s="19"/>
      <c r="P847" s="19"/>
      <c r="Q847" s="19"/>
      <c r="R847" s="19"/>
      <c r="S847" s="19"/>
      <c r="T847" s="19"/>
      <c r="U847" s="19"/>
      <c r="V847" s="19"/>
      <c r="W847" s="19"/>
      <c r="X847" s="19"/>
      <c r="Y847" s="19"/>
      <c r="Z847" s="19"/>
      <c r="AA847" s="19"/>
      <c r="AB847" s="19"/>
      <c r="AC847" s="19"/>
      <c r="AD847" s="19"/>
      <c r="AE847" s="19"/>
      <c r="AF847" s="19"/>
      <c r="AG847" s="19"/>
      <c r="AH847" s="19"/>
      <c r="AI847" s="19"/>
      <c r="AJ847" s="19"/>
      <c r="FM847" s="54"/>
    </row>
    <row r="848" spans="1:169" s="18" customFormat="1">
      <c r="A848" s="51"/>
      <c r="B848" s="52"/>
      <c r="C848" s="52"/>
      <c r="D848" s="52"/>
      <c r="E848" s="52"/>
      <c r="F848" s="52"/>
      <c r="G848" s="52"/>
      <c r="H848" s="53"/>
      <c r="I848" s="52"/>
      <c r="J848" s="52"/>
      <c r="K848" s="19"/>
      <c r="L848" s="19"/>
      <c r="M848" s="19"/>
      <c r="N848" s="19"/>
      <c r="O848" s="19"/>
      <c r="P848" s="19"/>
      <c r="Q848" s="19"/>
      <c r="R848" s="19"/>
      <c r="S848" s="19"/>
      <c r="T848" s="19"/>
      <c r="U848" s="19"/>
      <c r="V848" s="19"/>
      <c r="W848" s="19"/>
      <c r="X848" s="19"/>
      <c r="Y848" s="19"/>
      <c r="Z848" s="19"/>
      <c r="AA848" s="19"/>
      <c r="AB848" s="19"/>
      <c r="AC848" s="19"/>
      <c r="AD848" s="19"/>
      <c r="AE848" s="19"/>
      <c r="AF848" s="19"/>
      <c r="AG848" s="19"/>
      <c r="AH848" s="19"/>
      <c r="AI848" s="19"/>
      <c r="AJ848" s="19"/>
      <c r="FM848" s="54"/>
    </row>
    <row r="849" spans="1:169" s="18" customFormat="1">
      <c r="A849" s="51"/>
      <c r="B849" s="52"/>
      <c r="C849" s="52"/>
      <c r="D849" s="52"/>
      <c r="E849" s="52"/>
      <c r="F849" s="52"/>
      <c r="G849" s="52"/>
      <c r="H849" s="53"/>
      <c r="I849" s="52"/>
      <c r="J849" s="52"/>
      <c r="K849" s="19"/>
      <c r="L849" s="19"/>
      <c r="M849" s="19"/>
      <c r="N849" s="19"/>
      <c r="O849" s="19"/>
      <c r="P849" s="19"/>
      <c r="Q849" s="19"/>
      <c r="R849" s="19"/>
      <c r="S849" s="19"/>
      <c r="T849" s="19"/>
      <c r="U849" s="19"/>
      <c r="V849" s="19"/>
      <c r="W849" s="19"/>
      <c r="X849" s="19"/>
      <c r="Y849" s="19"/>
      <c r="Z849" s="19"/>
      <c r="AA849" s="19"/>
      <c r="AB849" s="19"/>
      <c r="AC849" s="19"/>
      <c r="AD849" s="19"/>
      <c r="AE849" s="19"/>
      <c r="AF849" s="19"/>
      <c r="AG849" s="19"/>
      <c r="AH849" s="19"/>
      <c r="AI849" s="19"/>
      <c r="AJ849" s="19"/>
      <c r="FM849" s="54"/>
    </row>
    <row r="850" spans="1:169" s="18" customFormat="1">
      <c r="A850" s="51"/>
      <c r="B850" s="52"/>
      <c r="C850" s="52"/>
      <c r="D850" s="52"/>
      <c r="E850" s="52"/>
      <c r="F850" s="52"/>
      <c r="G850" s="52"/>
      <c r="H850" s="53"/>
      <c r="I850" s="52"/>
      <c r="J850" s="52"/>
      <c r="K850" s="19"/>
      <c r="L850" s="19"/>
      <c r="M850" s="19"/>
      <c r="N850" s="19"/>
      <c r="O850" s="19"/>
      <c r="P850" s="19"/>
      <c r="Q850" s="19"/>
      <c r="R850" s="19"/>
      <c r="S850" s="19"/>
      <c r="T850" s="19"/>
      <c r="U850" s="19"/>
      <c r="V850" s="19"/>
      <c r="W850" s="19"/>
      <c r="X850" s="19"/>
      <c r="Y850" s="19"/>
      <c r="Z850" s="19"/>
      <c r="AA850" s="19"/>
      <c r="AB850" s="19"/>
      <c r="AC850" s="19"/>
      <c r="AD850" s="19"/>
      <c r="AE850" s="19"/>
      <c r="AF850" s="19"/>
      <c r="AG850" s="19"/>
      <c r="AH850" s="19"/>
      <c r="AI850" s="19"/>
      <c r="AJ850" s="19"/>
      <c r="FM850" s="54"/>
    </row>
    <row r="851" spans="1:169" s="18" customFormat="1">
      <c r="A851" s="51"/>
      <c r="B851" s="52"/>
      <c r="C851" s="52"/>
      <c r="D851" s="52"/>
      <c r="E851" s="52"/>
      <c r="F851" s="52"/>
      <c r="G851" s="52"/>
      <c r="H851" s="53"/>
      <c r="I851" s="52"/>
      <c r="J851" s="52"/>
      <c r="K851" s="19"/>
      <c r="L851" s="19"/>
      <c r="M851" s="19"/>
      <c r="N851" s="19"/>
      <c r="O851" s="19"/>
      <c r="P851" s="19"/>
      <c r="Q851" s="19"/>
      <c r="R851" s="19"/>
      <c r="S851" s="19"/>
      <c r="T851" s="19"/>
      <c r="U851" s="19"/>
      <c r="V851" s="19"/>
      <c r="W851" s="19"/>
      <c r="X851" s="19"/>
      <c r="Y851" s="19"/>
      <c r="Z851" s="19"/>
      <c r="AA851" s="19"/>
      <c r="AB851" s="19"/>
      <c r="AC851" s="19"/>
      <c r="AD851" s="19"/>
      <c r="AE851" s="19"/>
      <c r="AF851" s="19"/>
      <c r="AG851" s="19"/>
      <c r="AH851" s="19"/>
      <c r="AI851" s="19"/>
      <c r="AJ851" s="19"/>
      <c r="FM851" s="54"/>
    </row>
    <row r="852" spans="1:169" s="18" customFormat="1">
      <c r="A852" s="51"/>
      <c r="B852" s="52"/>
      <c r="C852" s="52"/>
      <c r="D852" s="52"/>
      <c r="E852" s="52"/>
      <c r="F852" s="52"/>
      <c r="G852" s="52"/>
      <c r="H852" s="53"/>
      <c r="I852" s="52"/>
      <c r="J852" s="52"/>
      <c r="K852" s="19"/>
      <c r="L852" s="19"/>
      <c r="M852" s="19"/>
      <c r="N852" s="19"/>
      <c r="O852" s="19"/>
      <c r="P852" s="19"/>
      <c r="Q852" s="19"/>
      <c r="R852" s="19"/>
      <c r="S852" s="19"/>
      <c r="T852" s="19"/>
      <c r="U852" s="19"/>
      <c r="V852" s="19"/>
      <c r="W852" s="19"/>
      <c r="X852" s="19"/>
      <c r="Y852" s="19"/>
      <c r="Z852" s="19"/>
      <c r="AA852" s="19"/>
      <c r="AB852" s="19"/>
      <c r="AC852" s="19"/>
      <c r="AD852" s="19"/>
      <c r="AE852" s="19"/>
      <c r="AF852" s="19"/>
      <c r="AG852" s="19"/>
      <c r="AH852" s="19"/>
      <c r="AI852" s="19"/>
      <c r="AJ852" s="19"/>
      <c r="FM852" s="54"/>
    </row>
    <row r="853" spans="1:169" s="18" customFormat="1">
      <c r="A853" s="51"/>
      <c r="B853" s="52"/>
      <c r="C853" s="52"/>
      <c r="D853" s="52"/>
      <c r="E853" s="52"/>
      <c r="F853" s="52"/>
      <c r="G853" s="52"/>
      <c r="H853" s="53"/>
      <c r="I853" s="52"/>
      <c r="J853" s="52"/>
      <c r="K853" s="19"/>
      <c r="L853" s="19"/>
      <c r="M853" s="19"/>
      <c r="N853" s="19"/>
      <c r="O853" s="19"/>
      <c r="P853" s="19"/>
      <c r="Q853" s="19"/>
      <c r="R853" s="19"/>
      <c r="S853" s="19"/>
      <c r="T853" s="19"/>
      <c r="U853" s="19"/>
      <c r="V853" s="19"/>
      <c r="W853" s="19"/>
      <c r="X853" s="19"/>
      <c r="Y853" s="19"/>
      <c r="Z853" s="19"/>
      <c r="AA853" s="19"/>
      <c r="AB853" s="19"/>
      <c r="AC853" s="19"/>
      <c r="AD853" s="19"/>
      <c r="AE853" s="19"/>
      <c r="AF853" s="19"/>
      <c r="AG853" s="19"/>
      <c r="AH853" s="19"/>
      <c r="AI853" s="19"/>
      <c r="AJ853" s="19"/>
      <c r="FM853" s="54"/>
    </row>
    <row r="854" spans="1:169" s="18" customFormat="1">
      <c r="A854" s="51"/>
      <c r="B854" s="52"/>
      <c r="C854" s="52"/>
      <c r="D854" s="52"/>
      <c r="E854" s="52"/>
      <c r="F854" s="52"/>
      <c r="G854" s="52"/>
      <c r="H854" s="53"/>
      <c r="I854" s="52"/>
      <c r="J854" s="52"/>
      <c r="K854" s="19"/>
      <c r="L854" s="19"/>
      <c r="M854" s="19"/>
      <c r="N854" s="19"/>
      <c r="O854" s="19"/>
      <c r="P854" s="19"/>
      <c r="Q854" s="19"/>
      <c r="R854" s="19"/>
      <c r="S854" s="19"/>
      <c r="T854" s="19"/>
      <c r="U854" s="19"/>
      <c r="V854" s="19"/>
      <c r="W854" s="19"/>
      <c r="X854" s="19"/>
      <c r="Y854" s="19"/>
      <c r="Z854" s="19"/>
      <c r="AA854" s="19"/>
      <c r="AB854" s="19"/>
      <c r="AC854" s="19"/>
      <c r="AD854" s="19"/>
      <c r="AE854" s="19"/>
      <c r="AF854" s="19"/>
      <c r="AG854" s="19"/>
      <c r="AH854" s="19"/>
      <c r="AI854" s="19"/>
      <c r="AJ854" s="19"/>
      <c r="FM854" s="54"/>
    </row>
    <row r="855" spans="1:169" s="18" customFormat="1">
      <c r="A855" s="51"/>
      <c r="B855" s="52"/>
      <c r="C855" s="52"/>
      <c r="D855" s="52"/>
      <c r="E855" s="52"/>
      <c r="F855" s="52"/>
      <c r="G855" s="52"/>
      <c r="H855" s="53"/>
      <c r="I855" s="52"/>
      <c r="J855" s="52"/>
      <c r="K855" s="19"/>
      <c r="L855" s="19"/>
      <c r="M855" s="19"/>
      <c r="N855" s="19"/>
      <c r="O855" s="19"/>
      <c r="P855" s="19"/>
      <c r="Q855" s="19"/>
      <c r="R855" s="19"/>
      <c r="S855" s="19"/>
      <c r="T855" s="19"/>
      <c r="U855" s="19"/>
      <c r="V855" s="19"/>
      <c r="W855" s="19"/>
      <c r="X855" s="19"/>
      <c r="Y855" s="19"/>
      <c r="Z855" s="19"/>
      <c r="AA855" s="19"/>
      <c r="AB855" s="19"/>
      <c r="AC855" s="19"/>
      <c r="AD855" s="19"/>
      <c r="AE855" s="19"/>
      <c r="AF855" s="19"/>
      <c r="AG855" s="19"/>
      <c r="AH855" s="19"/>
      <c r="AI855" s="19"/>
      <c r="AJ855" s="19"/>
      <c r="FM855" s="54"/>
    </row>
    <row r="856" spans="1:169" s="18" customFormat="1">
      <c r="A856" s="51"/>
      <c r="B856" s="52"/>
      <c r="C856" s="52"/>
      <c r="D856" s="52"/>
      <c r="E856" s="52"/>
      <c r="F856" s="52"/>
      <c r="G856" s="52"/>
      <c r="H856" s="53"/>
      <c r="I856" s="52"/>
      <c r="J856" s="52"/>
      <c r="K856" s="19"/>
      <c r="L856" s="19"/>
      <c r="M856" s="19"/>
      <c r="N856" s="19"/>
      <c r="O856" s="19"/>
      <c r="P856" s="19"/>
      <c r="Q856" s="19"/>
      <c r="R856" s="19"/>
      <c r="S856" s="19"/>
      <c r="T856" s="19"/>
      <c r="U856" s="19"/>
      <c r="V856" s="19"/>
      <c r="W856" s="19"/>
      <c r="X856" s="19"/>
      <c r="Y856" s="19"/>
      <c r="Z856" s="19"/>
      <c r="AA856" s="19"/>
      <c r="AB856" s="19"/>
      <c r="AC856" s="19"/>
      <c r="AD856" s="19"/>
      <c r="AE856" s="19"/>
      <c r="AF856" s="19"/>
      <c r="AG856" s="19"/>
      <c r="AH856" s="19"/>
      <c r="AI856" s="19"/>
      <c r="AJ856" s="19"/>
      <c r="FM856" s="54"/>
    </row>
    <row r="857" spans="1:169" s="18" customFormat="1">
      <c r="A857" s="51"/>
      <c r="B857" s="52"/>
      <c r="C857" s="52"/>
      <c r="D857" s="52"/>
      <c r="E857" s="52"/>
      <c r="F857" s="52"/>
      <c r="G857" s="52"/>
      <c r="H857" s="53"/>
      <c r="I857" s="52"/>
      <c r="J857" s="52"/>
      <c r="K857" s="19"/>
      <c r="L857" s="19"/>
      <c r="M857" s="19"/>
      <c r="N857" s="19"/>
      <c r="O857" s="19"/>
      <c r="P857" s="19"/>
      <c r="Q857" s="19"/>
      <c r="R857" s="19"/>
      <c r="S857" s="19"/>
      <c r="T857" s="19"/>
      <c r="U857" s="19"/>
      <c r="V857" s="19"/>
      <c r="W857" s="19"/>
      <c r="X857" s="19"/>
      <c r="Y857" s="19"/>
      <c r="Z857" s="19"/>
      <c r="AA857" s="19"/>
      <c r="AB857" s="19"/>
      <c r="AC857" s="19"/>
      <c r="AD857" s="19"/>
      <c r="AE857" s="19"/>
      <c r="AF857" s="19"/>
      <c r="AG857" s="19"/>
      <c r="AH857" s="19"/>
      <c r="AI857" s="19"/>
      <c r="AJ857" s="19"/>
      <c r="FM857" s="54"/>
    </row>
    <row r="858" spans="1:169" s="18" customFormat="1">
      <c r="A858" s="51"/>
      <c r="B858" s="52"/>
      <c r="C858" s="52"/>
      <c r="D858" s="52"/>
      <c r="E858" s="52"/>
      <c r="F858" s="52"/>
      <c r="G858" s="52"/>
      <c r="H858" s="53"/>
      <c r="I858" s="52"/>
      <c r="J858" s="52"/>
      <c r="K858" s="19"/>
      <c r="L858" s="19"/>
      <c r="M858" s="19"/>
      <c r="N858" s="19"/>
      <c r="O858" s="19"/>
      <c r="P858" s="19"/>
      <c r="Q858" s="19"/>
      <c r="R858" s="19"/>
      <c r="S858" s="19"/>
      <c r="T858" s="19"/>
      <c r="U858" s="19"/>
      <c r="V858" s="19"/>
      <c r="W858" s="19"/>
      <c r="X858" s="19"/>
      <c r="Y858" s="19"/>
      <c r="Z858" s="19"/>
      <c r="AA858" s="19"/>
      <c r="AB858" s="19"/>
      <c r="AC858" s="19"/>
      <c r="AD858" s="19"/>
      <c r="AE858" s="19"/>
      <c r="AF858" s="19"/>
      <c r="AG858" s="19"/>
      <c r="AH858" s="19"/>
      <c r="AI858" s="19"/>
      <c r="AJ858" s="19"/>
      <c r="FM858" s="54"/>
    </row>
    <row r="859" spans="1:169" s="18" customFormat="1">
      <c r="A859" s="51"/>
      <c r="B859" s="52"/>
      <c r="C859" s="52"/>
      <c r="D859" s="52"/>
      <c r="E859" s="52"/>
      <c r="F859" s="52"/>
      <c r="G859" s="52"/>
      <c r="H859" s="53"/>
      <c r="I859" s="52"/>
      <c r="J859" s="52"/>
      <c r="K859" s="19"/>
      <c r="L859" s="19"/>
      <c r="M859" s="19"/>
      <c r="N859" s="19"/>
      <c r="O859" s="19"/>
      <c r="P859" s="19"/>
      <c r="Q859" s="19"/>
      <c r="R859" s="19"/>
      <c r="S859" s="19"/>
      <c r="T859" s="19"/>
      <c r="U859" s="19"/>
      <c r="V859" s="19"/>
      <c r="W859" s="19"/>
      <c r="X859" s="19"/>
      <c r="Y859" s="19"/>
      <c r="Z859" s="19"/>
      <c r="AA859" s="19"/>
      <c r="AB859" s="19"/>
      <c r="AC859" s="19"/>
      <c r="AD859" s="19"/>
      <c r="AE859" s="19"/>
      <c r="AF859" s="19"/>
      <c r="AG859" s="19"/>
      <c r="AH859" s="19"/>
      <c r="AI859" s="19"/>
      <c r="AJ859" s="19"/>
      <c r="FM859" s="54"/>
    </row>
    <row r="860" spans="1:169" s="18" customFormat="1">
      <c r="A860" s="51"/>
      <c r="B860" s="52"/>
      <c r="C860" s="52"/>
      <c r="D860" s="52"/>
      <c r="E860" s="52"/>
      <c r="F860" s="52"/>
      <c r="G860" s="52"/>
      <c r="H860" s="53"/>
      <c r="I860" s="52"/>
      <c r="J860" s="52"/>
      <c r="K860" s="19"/>
      <c r="L860" s="19"/>
      <c r="M860" s="19"/>
      <c r="N860" s="19"/>
      <c r="O860" s="19"/>
      <c r="P860" s="19"/>
      <c r="Q860" s="19"/>
      <c r="R860" s="19"/>
      <c r="S860" s="19"/>
      <c r="T860" s="19"/>
      <c r="U860" s="19"/>
      <c r="V860" s="19"/>
      <c r="W860" s="19"/>
      <c r="X860" s="19"/>
      <c r="Y860" s="19"/>
      <c r="Z860" s="19"/>
      <c r="AA860" s="19"/>
      <c r="AB860" s="19"/>
      <c r="AC860" s="19"/>
      <c r="AD860" s="19"/>
      <c r="AE860" s="19"/>
      <c r="AF860" s="19"/>
      <c r="AG860" s="19"/>
      <c r="AH860" s="19"/>
      <c r="AI860" s="19"/>
      <c r="AJ860" s="19"/>
      <c r="FM860" s="54"/>
    </row>
    <row r="861" spans="1:169" s="18" customFormat="1">
      <c r="A861" s="51"/>
      <c r="B861" s="52"/>
      <c r="C861" s="52"/>
      <c r="D861" s="52"/>
      <c r="E861" s="52"/>
      <c r="F861" s="52"/>
      <c r="G861" s="52"/>
      <c r="H861" s="53"/>
      <c r="I861" s="52"/>
      <c r="J861" s="52"/>
      <c r="K861" s="19"/>
      <c r="L861" s="19"/>
      <c r="M861" s="19"/>
      <c r="N861" s="19"/>
      <c r="O861" s="19"/>
      <c r="P861" s="19"/>
      <c r="Q861" s="19"/>
      <c r="R861" s="19"/>
      <c r="S861" s="19"/>
      <c r="T861" s="19"/>
      <c r="U861" s="19"/>
      <c r="V861" s="19"/>
      <c r="W861" s="19"/>
      <c r="X861" s="19"/>
      <c r="Y861" s="19"/>
      <c r="Z861" s="19"/>
      <c r="AA861" s="19"/>
      <c r="AB861" s="19"/>
      <c r="AC861" s="19"/>
      <c r="AD861" s="19"/>
      <c r="AE861" s="19"/>
      <c r="AF861" s="19"/>
      <c r="AG861" s="19"/>
      <c r="AH861" s="19"/>
      <c r="AI861" s="19"/>
      <c r="AJ861" s="19"/>
      <c r="FM861" s="54"/>
    </row>
    <row r="862" spans="1:169" s="18" customFormat="1">
      <c r="A862" s="51"/>
      <c r="B862" s="52"/>
      <c r="C862" s="52"/>
      <c r="D862" s="52"/>
      <c r="E862" s="52"/>
      <c r="F862" s="52"/>
      <c r="G862" s="52"/>
      <c r="H862" s="53"/>
      <c r="I862" s="52"/>
      <c r="J862" s="52"/>
      <c r="K862" s="19"/>
      <c r="L862" s="19"/>
      <c r="M862" s="19"/>
      <c r="N862" s="19"/>
      <c r="O862" s="19"/>
      <c r="P862" s="19"/>
      <c r="Q862" s="19"/>
      <c r="R862" s="19"/>
      <c r="S862" s="19"/>
      <c r="T862" s="19"/>
      <c r="U862" s="19"/>
      <c r="V862" s="19"/>
      <c r="W862" s="19"/>
      <c r="X862" s="19"/>
      <c r="Y862" s="19"/>
      <c r="Z862" s="19"/>
      <c r="AA862" s="19"/>
      <c r="AB862" s="19"/>
      <c r="AC862" s="19"/>
      <c r="AD862" s="19"/>
      <c r="AE862" s="19"/>
      <c r="AF862" s="19"/>
      <c r="AG862" s="19"/>
      <c r="AH862" s="19"/>
      <c r="AI862" s="19"/>
      <c r="AJ862" s="19"/>
      <c r="FM862" s="54"/>
    </row>
    <row r="863" spans="1:169" s="18" customFormat="1">
      <c r="A863" s="51"/>
      <c r="B863" s="52"/>
      <c r="C863" s="52"/>
      <c r="D863" s="52"/>
      <c r="E863" s="52"/>
      <c r="F863" s="52"/>
      <c r="G863" s="52"/>
      <c r="H863" s="53"/>
      <c r="I863" s="52"/>
      <c r="J863" s="52"/>
      <c r="K863" s="19"/>
      <c r="L863" s="19"/>
      <c r="M863" s="19"/>
      <c r="N863" s="19"/>
      <c r="O863" s="19"/>
      <c r="P863" s="19"/>
      <c r="Q863" s="19"/>
      <c r="R863" s="19"/>
      <c r="S863" s="19"/>
      <c r="T863" s="19"/>
      <c r="U863" s="19"/>
      <c r="V863" s="19"/>
      <c r="W863" s="19"/>
      <c r="X863" s="19"/>
      <c r="Y863" s="19"/>
      <c r="Z863" s="19"/>
      <c r="AA863" s="19"/>
      <c r="AB863" s="19"/>
      <c r="AC863" s="19"/>
      <c r="AD863" s="19"/>
      <c r="AE863" s="19"/>
      <c r="AF863" s="19"/>
      <c r="AG863" s="19"/>
      <c r="AH863" s="19"/>
      <c r="AI863" s="19"/>
      <c r="AJ863" s="19"/>
      <c r="FM863" s="54"/>
    </row>
    <row r="864" spans="1:169" s="18" customFormat="1">
      <c r="A864" s="51"/>
      <c r="B864" s="52"/>
      <c r="C864" s="52"/>
      <c r="D864" s="52"/>
      <c r="E864" s="52"/>
      <c r="F864" s="52"/>
      <c r="G864" s="52"/>
      <c r="H864" s="53"/>
      <c r="I864" s="52"/>
      <c r="J864" s="52"/>
      <c r="K864" s="19"/>
      <c r="L864" s="19"/>
      <c r="M864" s="19"/>
      <c r="N864" s="19"/>
      <c r="O864" s="19"/>
      <c r="P864" s="19"/>
      <c r="Q864" s="19"/>
      <c r="R864" s="19"/>
      <c r="S864" s="19"/>
      <c r="T864" s="19"/>
      <c r="U864" s="19"/>
      <c r="V864" s="19"/>
      <c r="W864" s="19"/>
      <c r="X864" s="19"/>
      <c r="Y864" s="19"/>
      <c r="Z864" s="19"/>
      <c r="AA864" s="19"/>
      <c r="AB864" s="19"/>
      <c r="AC864" s="19"/>
      <c r="AD864" s="19"/>
      <c r="AE864" s="19"/>
      <c r="AF864" s="19"/>
      <c r="AG864" s="19"/>
      <c r="AH864" s="19"/>
      <c r="AI864" s="19"/>
      <c r="AJ864" s="19"/>
      <c r="FM864" s="54"/>
    </row>
    <row r="865" spans="1:169" s="18" customFormat="1">
      <c r="A865" s="51"/>
      <c r="B865" s="52"/>
      <c r="C865" s="52"/>
      <c r="D865" s="52"/>
      <c r="E865" s="52"/>
      <c r="F865" s="52"/>
      <c r="G865" s="52"/>
      <c r="H865" s="53"/>
      <c r="I865" s="52"/>
      <c r="J865" s="52"/>
      <c r="K865" s="19"/>
      <c r="L865" s="19"/>
      <c r="M865" s="19"/>
      <c r="N865" s="19"/>
      <c r="O865" s="19"/>
      <c r="P865" s="19"/>
      <c r="Q865" s="19"/>
      <c r="R865" s="19"/>
      <c r="S865" s="19"/>
      <c r="T865" s="19"/>
      <c r="U865" s="19"/>
      <c r="V865" s="19"/>
      <c r="W865" s="19"/>
      <c r="X865" s="19"/>
      <c r="Y865" s="19"/>
      <c r="Z865" s="19"/>
      <c r="AA865" s="19"/>
      <c r="AB865" s="19"/>
      <c r="AC865" s="19"/>
      <c r="AD865" s="19"/>
      <c r="AE865" s="19"/>
      <c r="AF865" s="19"/>
      <c r="AG865" s="19"/>
      <c r="AH865" s="19"/>
      <c r="AI865" s="19"/>
      <c r="AJ865" s="19"/>
      <c r="FM865" s="54"/>
    </row>
    <row r="866" spans="1:169" s="18" customFormat="1">
      <c r="A866" s="51"/>
      <c r="B866" s="52"/>
      <c r="C866" s="52"/>
      <c r="D866" s="52"/>
      <c r="E866" s="52"/>
      <c r="F866" s="52"/>
      <c r="G866" s="52"/>
      <c r="H866" s="53"/>
      <c r="I866" s="52"/>
      <c r="J866" s="52"/>
      <c r="K866" s="19"/>
      <c r="L866" s="19"/>
      <c r="M866" s="19"/>
      <c r="N866" s="19"/>
      <c r="O866" s="19"/>
      <c r="P866" s="19"/>
      <c r="Q866" s="19"/>
      <c r="R866" s="19"/>
      <c r="S866" s="19"/>
      <c r="T866" s="19"/>
      <c r="U866" s="19"/>
      <c r="V866" s="19"/>
      <c r="W866" s="19"/>
      <c r="X866" s="19"/>
      <c r="Y866" s="19"/>
      <c r="Z866" s="19"/>
      <c r="AA866" s="19"/>
      <c r="AB866" s="19"/>
      <c r="AC866" s="19"/>
      <c r="AD866" s="19"/>
      <c r="AE866" s="19"/>
      <c r="AF866" s="19"/>
      <c r="AG866" s="19"/>
      <c r="AH866" s="19"/>
      <c r="AI866" s="19"/>
      <c r="AJ866" s="19"/>
      <c r="FM866" s="54"/>
    </row>
    <row r="867" spans="1:169" s="18" customFormat="1">
      <c r="A867" s="51"/>
      <c r="B867" s="52"/>
      <c r="C867" s="52"/>
      <c r="D867" s="52"/>
      <c r="E867" s="52"/>
      <c r="F867" s="52"/>
      <c r="G867" s="52"/>
      <c r="H867" s="53"/>
      <c r="I867" s="52"/>
      <c r="J867" s="52"/>
      <c r="K867" s="19"/>
      <c r="L867" s="19"/>
      <c r="M867" s="19"/>
      <c r="N867" s="19"/>
      <c r="O867" s="19"/>
      <c r="P867" s="19"/>
      <c r="Q867" s="19"/>
      <c r="R867" s="19"/>
      <c r="S867" s="19"/>
      <c r="T867" s="19"/>
      <c r="U867" s="19"/>
      <c r="V867" s="19"/>
      <c r="W867" s="19"/>
      <c r="X867" s="19"/>
      <c r="Y867" s="19"/>
      <c r="Z867" s="19"/>
      <c r="AA867" s="19"/>
      <c r="AB867" s="19"/>
      <c r="AC867" s="19"/>
      <c r="AD867" s="19"/>
      <c r="AE867" s="19"/>
      <c r="AF867" s="19"/>
      <c r="AG867" s="19"/>
      <c r="AH867" s="19"/>
      <c r="AI867" s="19"/>
      <c r="AJ867" s="19"/>
      <c r="FM867" s="54"/>
    </row>
    <row r="868" spans="1:169" s="18" customFormat="1">
      <c r="A868" s="51"/>
      <c r="B868" s="52"/>
      <c r="C868" s="52"/>
      <c r="D868" s="52"/>
      <c r="E868" s="52"/>
      <c r="F868" s="52"/>
      <c r="G868" s="52"/>
      <c r="H868" s="53"/>
      <c r="I868" s="52"/>
      <c r="J868" s="52"/>
      <c r="K868" s="19"/>
      <c r="L868" s="19"/>
      <c r="M868" s="19"/>
      <c r="N868" s="19"/>
      <c r="O868" s="19"/>
      <c r="P868" s="19"/>
      <c r="Q868" s="19"/>
      <c r="R868" s="19"/>
      <c r="S868" s="19"/>
      <c r="T868" s="19"/>
      <c r="U868" s="19"/>
      <c r="V868" s="19"/>
      <c r="W868" s="19"/>
      <c r="X868" s="19"/>
      <c r="Y868" s="19"/>
      <c r="Z868" s="19"/>
      <c r="AA868" s="19"/>
      <c r="AB868" s="19"/>
      <c r="AC868" s="19"/>
      <c r="AD868" s="19"/>
      <c r="AE868" s="19"/>
      <c r="AF868" s="19"/>
      <c r="AG868" s="19"/>
      <c r="AH868" s="19"/>
      <c r="AI868" s="19"/>
      <c r="AJ868" s="19"/>
      <c r="FM868" s="54"/>
    </row>
    <row r="869" spans="1:169" s="18" customFormat="1">
      <c r="A869" s="51"/>
      <c r="B869" s="52"/>
      <c r="C869" s="52"/>
      <c r="D869" s="52"/>
      <c r="E869" s="52"/>
      <c r="F869" s="52"/>
      <c r="G869" s="52"/>
      <c r="H869" s="53"/>
      <c r="I869" s="52"/>
      <c r="J869" s="52"/>
      <c r="K869" s="19"/>
      <c r="L869" s="19"/>
      <c r="M869" s="19"/>
      <c r="N869" s="19"/>
      <c r="O869" s="19"/>
      <c r="P869" s="19"/>
      <c r="Q869" s="19"/>
      <c r="R869" s="19"/>
      <c r="S869" s="19"/>
      <c r="T869" s="19"/>
      <c r="U869" s="19"/>
      <c r="V869" s="19"/>
      <c r="W869" s="19"/>
      <c r="X869" s="19"/>
      <c r="Y869" s="19"/>
      <c r="Z869" s="19"/>
      <c r="AA869" s="19"/>
      <c r="AB869" s="19"/>
      <c r="AC869" s="19"/>
      <c r="AD869" s="19"/>
      <c r="AE869" s="19"/>
      <c r="AF869" s="19"/>
      <c r="AG869" s="19"/>
      <c r="AH869" s="19"/>
      <c r="AI869" s="19"/>
      <c r="AJ869" s="19"/>
      <c r="FM869" s="54"/>
    </row>
    <row r="870" spans="1:169" s="18" customFormat="1">
      <c r="A870" s="51"/>
      <c r="B870" s="52"/>
      <c r="C870" s="52"/>
      <c r="D870" s="52"/>
      <c r="E870" s="52"/>
      <c r="F870" s="52"/>
      <c r="G870" s="52"/>
      <c r="H870" s="53"/>
      <c r="I870" s="52"/>
      <c r="J870" s="52"/>
      <c r="K870" s="19"/>
      <c r="L870" s="19"/>
      <c r="M870" s="19"/>
      <c r="N870" s="19"/>
      <c r="O870" s="19"/>
      <c r="P870" s="19"/>
      <c r="Q870" s="19"/>
      <c r="R870" s="19"/>
      <c r="S870" s="19"/>
      <c r="T870" s="19"/>
      <c r="U870" s="19"/>
      <c r="V870" s="19"/>
      <c r="W870" s="19"/>
      <c r="X870" s="19"/>
      <c r="Y870" s="19"/>
      <c r="Z870" s="19"/>
      <c r="AA870" s="19"/>
      <c r="AB870" s="19"/>
      <c r="AC870" s="19"/>
      <c r="AD870" s="19"/>
      <c r="AE870" s="19"/>
      <c r="AF870" s="19"/>
      <c r="AG870" s="19"/>
      <c r="AH870" s="19"/>
      <c r="AI870" s="19"/>
      <c r="AJ870" s="19"/>
      <c r="FM870" s="54"/>
    </row>
    <row r="871" spans="1:169" s="18" customFormat="1">
      <c r="A871" s="51"/>
      <c r="B871" s="52"/>
      <c r="C871" s="52"/>
      <c r="D871" s="52"/>
      <c r="E871" s="52"/>
      <c r="F871" s="52"/>
      <c r="G871" s="52"/>
      <c r="H871" s="53"/>
      <c r="I871" s="52"/>
      <c r="J871" s="52"/>
      <c r="K871" s="19"/>
      <c r="L871" s="19"/>
      <c r="M871" s="19"/>
      <c r="N871" s="19"/>
      <c r="O871" s="19"/>
      <c r="P871" s="19"/>
      <c r="Q871" s="19"/>
      <c r="R871" s="19"/>
      <c r="S871" s="19"/>
      <c r="T871" s="19"/>
      <c r="U871" s="19"/>
      <c r="V871" s="19"/>
      <c r="W871" s="19"/>
      <c r="X871" s="19"/>
      <c r="Y871" s="19"/>
      <c r="Z871" s="19"/>
      <c r="AA871" s="19"/>
      <c r="AB871" s="19"/>
      <c r="AC871" s="19"/>
      <c r="AD871" s="19"/>
      <c r="AE871" s="19"/>
      <c r="AF871" s="19"/>
      <c r="AG871" s="19"/>
      <c r="AH871" s="19"/>
      <c r="AI871" s="19"/>
      <c r="AJ871" s="19"/>
      <c r="FM871" s="54"/>
    </row>
    <row r="872" spans="1:169" s="18" customFormat="1">
      <c r="A872" s="51"/>
      <c r="B872" s="52"/>
      <c r="C872" s="52"/>
      <c r="D872" s="52"/>
      <c r="E872" s="52"/>
      <c r="F872" s="52"/>
      <c r="G872" s="52"/>
      <c r="H872" s="53"/>
      <c r="I872" s="52"/>
      <c r="J872" s="52"/>
      <c r="K872" s="19"/>
      <c r="L872" s="19"/>
      <c r="M872" s="19"/>
      <c r="N872" s="19"/>
      <c r="O872" s="19"/>
      <c r="P872" s="19"/>
      <c r="Q872" s="19"/>
      <c r="R872" s="19"/>
      <c r="S872" s="19"/>
      <c r="T872" s="19"/>
      <c r="U872" s="19"/>
      <c r="V872" s="19"/>
      <c r="W872" s="19"/>
      <c r="X872" s="19"/>
      <c r="Y872" s="19"/>
      <c r="Z872" s="19"/>
      <c r="AA872" s="19"/>
      <c r="AB872" s="19"/>
      <c r="AC872" s="19"/>
      <c r="AD872" s="19"/>
      <c r="AE872" s="19"/>
      <c r="AF872" s="19"/>
      <c r="AG872" s="19"/>
      <c r="AH872" s="19"/>
      <c r="AI872" s="19"/>
      <c r="AJ872" s="19"/>
      <c r="FM872" s="54"/>
    </row>
    <row r="873" spans="1:169" s="18" customFormat="1">
      <c r="A873" s="51"/>
      <c r="B873" s="52"/>
      <c r="C873" s="52"/>
      <c r="D873" s="52"/>
      <c r="E873" s="52"/>
      <c r="F873" s="52"/>
      <c r="G873" s="52"/>
      <c r="H873" s="53"/>
      <c r="I873" s="52"/>
      <c r="J873" s="52"/>
      <c r="K873" s="19"/>
      <c r="L873" s="19"/>
      <c r="M873" s="19"/>
      <c r="N873" s="19"/>
      <c r="O873" s="19"/>
      <c r="P873" s="19"/>
      <c r="Q873" s="19"/>
      <c r="R873" s="19"/>
      <c r="S873" s="19"/>
      <c r="T873" s="19"/>
      <c r="U873" s="19"/>
      <c r="V873" s="19"/>
      <c r="W873" s="19"/>
      <c r="X873" s="19"/>
      <c r="Y873" s="19"/>
      <c r="Z873" s="19"/>
      <c r="AA873" s="19"/>
      <c r="AB873" s="19"/>
      <c r="AC873" s="19"/>
      <c r="AD873" s="19"/>
      <c r="AE873" s="19"/>
      <c r="AF873" s="19"/>
      <c r="AG873" s="19"/>
      <c r="AH873" s="19"/>
      <c r="AI873" s="19"/>
      <c r="AJ873" s="19"/>
      <c r="FM873" s="54"/>
    </row>
    <row r="874" spans="1:169" s="18" customFormat="1">
      <c r="A874" s="51"/>
      <c r="B874" s="52"/>
      <c r="C874" s="52"/>
      <c r="D874" s="52"/>
      <c r="E874" s="52"/>
      <c r="F874" s="52"/>
      <c r="G874" s="52"/>
      <c r="H874" s="53"/>
      <c r="I874" s="52"/>
      <c r="J874" s="52"/>
      <c r="K874" s="19"/>
      <c r="L874" s="19"/>
      <c r="M874" s="19"/>
      <c r="N874" s="19"/>
      <c r="O874" s="19"/>
      <c r="P874" s="19"/>
      <c r="Q874" s="19"/>
      <c r="R874" s="19"/>
      <c r="S874" s="19"/>
      <c r="T874" s="19"/>
      <c r="U874" s="19"/>
      <c r="V874" s="19"/>
      <c r="W874" s="19"/>
      <c r="X874" s="19"/>
      <c r="Y874" s="19"/>
      <c r="Z874" s="19"/>
      <c r="AA874" s="19"/>
      <c r="AB874" s="19"/>
      <c r="AC874" s="19"/>
      <c r="AD874" s="19"/>
      <c r="AE874" s="19"/>
      <c r="AF874" s="19"/>
      <c r="AG874" s="19"/>
      <c r="AH874" s="19"/>
      <c r="AI874" s="19"/>
      <c r="AJ874" s="19"/>
      <c r="FM874" s="54"/>
    </row>
    <row r="875" spans="1:169" s="18" customFormat="1">
      <c r="A875" s="51"/>
      <c r="B875" s="52"/>
      <c r="C875" s="52"/>
      <c r="D875" s="52"/>
      <c r="E875" s="52"/>
      <c r="F875" s="52"/>
      <c r="G875" s="52"/>
      <c r="H875" s="53"/>
      <c r="I875" s="52"/>
      <c r="J875" s="52"/>
      <c r="K875" s="19"/>
      <c r="L875" s="19"/>
      <c r="M875" s="19"/>
      <c r="N875" s="19"/>
      <c r="O875" s="19"/>
      <c r="P875" s="19"/>
      <c r="Q875" s="19"/>
      <c r="R875" s="19"/>
      <c r="S875" s="19"/>
      <c r="T875" s="19"/>
      <c r="U875" s="19"/>
      <c r="V875" s="19"/>
      <c r="W875" s="19"/>
      <c r="X875" s="19"/>
      <c r="Y875" s="19"/>
      <c r="Z875" s="19"/>
      <c r="AA875" s="19"/>
      <c r="AB875" s="19"/>
      <c r="AC875" s="19"/>
      <c r="AD875" s="19"/>
      <c r="AE875" s="19"/>
      <c r="AF875" s="19"/>
      <c r="AG875" s="19"/>
      <c r="AH875" s="19"/>
      <c r="AI875" s="19"/>
      <c r="AJ875" s="19"/>
      <c r="FM875" s="54"/>
    </row>
    <row r="876" spans="1:169" s="18" customFormat="1">
      <c r="A876" s="51"/>
      <c r="B876" s="52"/>
      <c r="C876" s="52"/>
      <c r="D876" s="52"/>
      <c r="E876" s="52"/>
      <c r="F876" s="52"/>
      <c r="G876" s="52"/>
      <c r="H876" s="53"/>
      <c r="I876" s="52"/>
      <c r="J876" s="52"/>
      <c r="K876" s="19"/>
      <c r="L876" s="19"/>
      <c r="M876" s="19"/>
      <c r="N876" s="19"/>
      <c r="O876" s="19"/>
      <c r="P876" s="19"/>
      <c r="Q876" s="19"/>
      <c r="R876" s="19"/>
      <c r="S876" s="19"/>
      <c r="T876" s="19"/>
      <c r="U876" s="19"/>
      <c r="V876" s="19"/>
      <c r="W876" s="19"/>
      <c r="X876" s="19"/>
      <c r="Y876" s="19"/>
      <c r="Z876" s="19"/>
      <c r="AA876" s="19"/>
      <c r="AB876" s="19"/>
      <c r="AC876" s="19"/>
      <c r="AD876" s="19"/>
      <c r="AE876" s="19"/>
      <c r="AF876" s="19"/>
      <c r="AG876" s="19"/>
      <c r="AH876" s="19"/>
      <c r="AI876" s="19"/>
      <c r="AJ876" s="19"/>
      <c r="FM876" s="54"/>
    </row>
    <row r="877" spans="1:169" s="18" customFormat="1">
      <c r="A877" s="51"/>
      <c r="B877" s="52"/>
      <c r="C877" s="52"/>
      <c r="D877" s="52"/>
      <c r="E877" s="52"/>
      <c r="F877" s="52"/>
      <c r="G877" s="52"/>
      <c r="H877" s="53"/>
      <c r="I877" s="52"/>
      <c r="J877" s="52"/>
      <c r="K877" s="19"/>
      <c r="L877" s="19"/>
      <c r="M877" s="19"/>
      <c r="N877" s="19"/>
      <c r="O877" s="19"/>
      <c r="P877" s="19"/>
      <c r="Q877" s="19"/>
      <c r="R877" s="19"/>
      <c r="S877" s="19"/>
      <c r="T877" s="19"/>
      <c r="U877" s="19"/>
      <c r="V877" s="19"/>
      <c r="W877" s="19"/>
      <c r="X877" s="19"/>
      <c r="Y877" s="19"/>
      <c r="Z877" s="19"/>
      <c r="AA877" s="19"/>
      <c r="AB877" s="19"/>
      <c r="AC877" s="19"/>
      <c r="AD877" s="19"/>
      <c r="AE877" s="19"/>
      <c r="AF877" s="19"/>
      <c r="AG877" s="19"/>
      <c r="AH877" s="19"/>
      <c r="AI877" s="19"/>
      <c r="AJ877" s="19"/>
      <c r="FM877" s="54"/>
    </row>
    <row r="878" spans="1:169" s="18" customFormat="1">
      <c r="A878" s="51"/>
      <c r="B878" s="52"/>
      <c r="C878" s="52"/>
      <c r="D878" s="52"/>
      <c r="E878" s="52"/>
      <c r="F878" s="52"/>
      <c r="G878" s="52"/>
      <c r="H878" s="53"/>
      <c r="I878" s="52"/>
      <c r="J878" s="52"/>
      <c r="K878" s="19"/>
      <c r="L878" s="19"/>
      <c r="M878" s="19"/>
      <c r="N878" s="19"/>
      <c r="O878" s="19"/>
      <c r="P878" s="19"/>
      <c r="Q878" s="19"/>
      <c r="R878" s="19"/>
      <c r="S878" s="19"/>
      <c r="T878" s="19"/>
      <c r="U878" s="19"/>
      <c r="V878" s="19"/>
      <c r="W878" s="19"/>
      <c r="X878" s="19"/>
      <c r="Y878" s="19"/>
      <c r="Z878" s="19"/>
      <c r="AA878" s="19"/>
      <c r="AB878" s="19"/>
      <c r="AC878" s="19"/>
      <c r="AD878" s="19"/>
      <c r="AE878" s="19"/>
      <c r="AF878" s="19"/>
      <c r="AG878" s="19"/>
      <c r="AH878" s="19"/>
      <c r="AI878" s="19"/>
      <c r="AJ878" s="19"/>
      <c r="FM878" s="54"/>
    </row>
    <row r="879" spans="1:169" s="18" customFormat="1">
      <c r="A879" s="51"/>
      <c r="B879" s="52"/>
      <c r="C879" s="52"/>
      <c r="D879" s="52"/>
      <c r="E879" s="52"/>
      <c r="F879" s="52"/>
      <c r="G879" s="52"/>
      <c r="H879" s="53"/>
      <c r="I879" s="52"/>
      <c r="J879" s="52"/>
      <c r="K879" s="19"/>
      <c r="L879" s="19"/>
      <c r="M879" s="19"/>
      <c r="N879" s="19"/>
      <c r="O879" s="19"/>
      <c r="P879" s="19"/>
      <c r="Q879" s="19"/>
      <c r="R879" s="19"/>
      <c r="S879" s="19"/>
      <c r="T879" s="19"/>
      <c r="U879" s="19"/>
      <c r="V879" s="19"/>
      <c r="W879" s="19"/>
      <c r="X879" s="19"/>
      <c r="Y879" s="19"/>
      <c r="Z879" s="19"/>
      <c r="AA879" s="19"/>
      <c r="AB879" s="19"/>
      <c r="AC879" s="19"/>
      <c r="AD879" s="19"/>
      <c r="AE879" s="19"/>
      <c r="AF879" s="19"/>
      <c r="AG879" s="19"/>
      <c r="AH879" s="19"/>
      <c r="AI879" s="19"/>
      <c r="AJ879" s="19"/>
      <c r="FM879" s="54"/>
    </row>
    <row r="880" spans="1:169" s="18" customFormat="1">
      <c r="A880" s="51"/>
      <c r="B880" s="52"/>
      <c r="C880" s="52"/>
      <c r="D880" s="52"/>
      <c r="E880" s="52"/>
      <c r="F880" s="52"/>
      <c r="G880" s="52"/>
      <c r="H880" s="53"/>
      <c r="I880" s="52"/>
      <c r="J880" s="52"/>
      <c r="K880" s="19"/>
      <c r="L880" s="19"/>
      <c r="M880" s="19"/>
      <c r="N880" s="19"/>
      <c r="O880" s="19"/>
      <c r="P880" s="19"/>
      <c r="Q880" s="19"/>
      <c r="R880" s="19"/>
      <c r="S880" s="19"/>
      <c r="T880" s="19"/>
      <c r="U880" s="19"/>
      <c r="V880" s="19"/>
      <c r="W880" s="19"/>
      <c r="X880" s="19"/>
      <c r="Y880" s="19"/>
      <c r="Z880" s="19"/>
      <c r="AA880" s="19"/>
      <c r="AB880" s="19"/>
      <c r="AC880" s="19"/>
      <c r="AD880" s="19"/>
      <c r="AE880" s="19"/>
      <c r="AF880" s="19"/>
      <c r="AG880" s="19"/>
      <c r="AH880" s="19"/>
      <c r="AI880" s="19"/>
      <c r="AJ880" s="19"/>
      <c r="FM880" s="54"/>
    </row>
    <row r="881" spans="1:169" s="18" customFormat="1">
      <c r="A881" s="51"/>
      <c r="B881" s="52"/>
      <c r="C881" s="52"/>
      <c r="D881" s="52"/>
      <c r="E881" s="52"/>
      <c r="F881" s="52"/>
      <c r="G881" s="52"/>
      <c r="H881" s="53"/>
      <c r="I881" s="52"/>
      <c r="J881" s="52"/>
      <c r="K881" s="19"/>
      <c r="L881" s="19"/>
      <c r="M881" s="19"/>
      <c r="N881" s="19"/>
      <c r="O881" s="19"/>
      <c r="P881" s="19"/>
      <c r="Q881" s="19"/>
      <c r="R881" s="19"/>
      <c r="S881" s="19"/>
      <c r="T881" s="19"/>
      <c r="U881" s="19"/>
      <c r="V881" s="19"/>
      <c r="W881" s="19"/>
      <c r="X881" s="19"/>
      <c r="Y881" s="19"/>
      <c r="Z881" s="19"/>
      <c r="AA881" s="19"/>
      <c r="AB881" s="19"/>
      <c r="AC881" s="19"/>
      <c r="AD881" s="19"/>
      <c r="AE881" s="19"/>
      <c r="AF881" s="19"/>
      <c r="AG881" s="19"/>
      <c r="AH881" s="19"/>
      <c r="AI881" s="19"/>
      <c r="AJ881" s="19"/>
      <c r="FM881" s="54"/>
    </row>
    <row r="882" spans="1:169" s="18" customFormat="1">
      <c r="A882" s="51"/>
      <c r="B882" s="52"/>
      <c r="C882" s="52"/>
      <c r="D882" s="52"/>
      <c r="E882" s="52"/>
      <c r="F882" s="52"/>
      <c r="G882" s="52"/>
      <c r="H882" s="53"/>
      <c r="I882" s="52"/>
      <c r="J882" s="52"/>
      <c r="K882" s="19"/>
      <c r="L882" s="19"/>
      <c r="M882" s="19"/>
      <c r="N882" s="19"/>
      <c r="O882" s="19"/>
      <c r="P882" s="19"/>
      <c r="Q882" s="19"/>
      <c r="R882" s="19"/>
      <c r="S882" s="19"/>
      <c r="T882" s="19"/>
      <c r="U882" s="19"/>
      <c r="V882" s="19"/>
      <c r="W882" s="19"/>
      <c r="X882" s="19"/>
      <c r="Y882" s="19"/>
      <c r="Z882" s="19"/>
      <c r="AA882" s="19"/>
      <c r="AB882" s="19"/>
      <c r="AC882" s="19"/>
      <c r="AD882" s="19"/>
      <c r="AE882" s="19"/>
      <c r="AF882" s="19"/>
      <c r="AG882" s="19"/>
      <c r="AH882" s="19"/>
      <c r="AI882" s="19"/>
      <c r="AJ882" s="19"/>
      <c r="FM882" s="54"/>
    </row>
    <row r="883" spans="1:169" s="18" customFormat="1">
      <c r="A883" s="51"/>
      <c r="B883" s="52"/>
      <c r="C883" s="52"/>
      <c r="D883" s="52"/>
      <c r="E883" s="52"/>
      <c r="F883" s="52"/>
      <c r="G883" s="52"/>
      <c r="H883" s="53"/>
      <c r="I883" s="52"/>
      <c r="J883" s="52"/>
      <c r="K883" s="19"/>
      <c r="L883" s="19"/>
      <c r="M883" s="19"/>
      <c r="N883" s="19"/>
      <c r="O883" s="19"/>
      <c r="P883" s="19"/>
      <c r="Q883" s="19"/>
      <c r="R883" s="19"/>
      <c r="S883" s="19"/>
      <c r="T883" s="19"/>
      <c r="U883" s="19"/>
      <c r="V883" s="19"/>
      <c r="W883" s="19"/>
      <c r="X883" s="19"/>
      <c r="Y883" s="19"/>
      <c r="Z883" s="19"/>
      <c r="AA883" s="19"/>
      <c r="AB883" s="19"/>
      <c r="AC883" s="19"/>
      <c r="AD883" s="19"/>
      <c r="AE883" s="19"/>
      <c r="AF883" s="19"/>
      <c r="AG883" s="19"/>
      <c r="AH883" s="19"/>
      <c r="AI883" s="19"/>
      <c r="AJ883" s="19"/>
      <c r="FM883" s="54"/>
    </row>
    <row r="884" spans="1:169" s="18" customFormat="1">
      <c r="A884" s="51"/>
      <c r="B884" s="52"/>
      <c r="C884" s="52"/>
      <c r="D884" s="52"/>
      <c r="E884" s="52"/>
      <c r="F884" s="52"/>
      <c r="G884" s="52"/>
      <c r="H884" s="53"/>
      <c r="I884" s="52"/>
      <c r="J884" s="52"/>
      <c r="K884" s="19"/>
      <c r="L884" s="19"/>
      <c r="M884" s="19"/>
      <c r="N884" s="19"/>
      <c r="O884" s="19"/>
      <c r="P884" s="19"/>
      <c r="Q884" s="19"/>
      <c r="R884" s="19"/>
      <c r="S884" s="19"/>
      <c r="T884" s="19"/>
      <c r="U884" s="19"/>
      <c r="V884" s="19"/>
      <c r="W884" s="19"/>
      <c r="X884" s="19"/>
      <c r="Y884" s="19"/>
      <c r="Z884" s="19"/>
      <c r="AA884" s="19"/>
      <c r="AB884" s="19"/>
      <c r="AC884" s="19"/>
      <c r="AD884" s="19"/>
      <c r="AE884" s="19"/>
      <c r="AF884" s="19"/>
      <c r="AG884" s="19"/>
      <c r="AH884" s="19"/>
      <c r="AI884" s="19"/>
      <c r="AJ884" s="19"/>
      <c r="FM884" s="54"/>
    </row>
    <row r="885" spans="1:169" s="18" customFormat="1">
      <c r="A885" s="51"/>
      <c r="B885" s="52"/>
      <c r="C885" s="52"/>
      <c r="D885" s="52"/>
      <c r="E885" s="52"/>
      <c r="F885" s="52"/>
      <c r="G885" s="52"/>
      <c r="H885" s="53"/>
      <c r="I885" s="52"/>
      <c r="J885" s="52"/>
      <c r="K885" s="19"/>
      <c r="L885" s="19"/>
      <c r="M885" s="19"/>
      <c r="N885" s="19"/>
      <c r="O885" s="19"/>
      <c r="P885" s="19"/>
      <c r="Q885" s="19"/>
      <c r="R885" s="19"/>
      <c r="S885" s="19"/>
      <c r="T885" s="19"/>
      <c r="U885" s="19"/>
      <c r="V885" s="19"/>
      <c r="W885" s="19"/>
      <c r="X885" s="19"/>
      <c r="Y885" s="19"/>
      <c r="Z885" s="19"/>
      <c r="AA885" s="19"/>
      <c r="AB885" s="19"/>
      <c r="AC885" s="19"/>
      <c r="AD885" s="19"/>
      <c r="AE885" s="19"/>
      <c r="AF885" s="19"/>
      <c r="AG885" s="19"/>
      <c r="AH885" s="19"/>
      <c r="AI885" s="19"/>
      <c r="AJ885" s="19"/>
      <c r="FM885" s="54"/>
    </row>
    <row r="886" spans="1:169" s="18" customFormat="1">
      <c r="A886" s="51"/>
      <c r="B886" s="52"/>
      <c r="C886" s="52"/>
      <c r="D886" s="52"/>
      <c r="E886" s="52"/>
      <c r="F886" s="52"/>
      <c r="G886" s="52"/>
      <c r="H886" s="53"/>
      <c r="I886" s="52"/>
      <c r="J886" s="52"/>
      <c r="K886" s="19"/>
      <c r="L886" s="19"/>
      <c r="M886" s="19"/>
      <c r="N886" s="19"/>
      <c r="O886" s="19"/>
      <c r="P886" s="19"/>
      <c r="Q886" s="19"/>
      <c r="R886" s="19"/>
      <c r="S886" s="19"/>
      <c r="T886" s="19"/>
      <c r="U886" s="19"/>
      <c r="V886" s="19"/>
      <c r="W886" s="19"/>
      <c r="X886" s="19"/>
      <c r="Y886" s="19"/>
      <c r="Z886" s="19"/>
      <c r="AA886" s="19"/>
      <c r="AB886" s="19"/>
      <c r="AC886" s="19"/>
      <c r="AD886" s="19"/>
      <c r="AE886" s="19"/>
      <c r="AF886" s="19"/>
      <c r="AG886" s="19"/>
      <c r="AH886" s="19"/>
      <c r="AI886" s="19"/>
      <c r="AJ886" s="19"/>
      <c r="FM886" s="54"/>
    </row>
    <row r="887" spans="1:169" s="18" customFormat="1">
      <c r="A887" s="51"/>
      <c r="B887" s="52"/>
      <c r="C887" s="52"/>
      <c r="D887" s="52"/>
      <c r="E887" s="52"/>
      <c r="F887" s="52"/>
      <c r="G887" s="52"/>
      <c r="H887" s="53"/>
      <c r="I887" s="52"/>
      <c r="J887" s="52"/>
      <c r="K887" s="19"/>
      <c r="L887" s="19"/>
      <c r="M887" s="19"/>
      <c r="N887" s="19"/>
      <c r="O887" s="19"/>
      <c r="P887" s="19"/>
      <c r="Q887" s="19"/>
      <c r="R887" s="19"/>
      <c r="S887" s="19"/>
      <c r="T887" s="19"/>
      <c r="U887" s="19"/>
      <c r="V887" s="19"/>
      <c r="W887" s="19"/>
      <c r="X887" s="19"/>
      <c r="Y887" s="19"/>
      <c r="Z887" s="19"/>
      <c r="AA887" s="19"/>
      <c r="AB887" s="19"/>
      <c r="AC887" s="19"/>
      <c r="AD887" s="19"/>
      <c r="AE887" s="19"/>
      <c r="AF887" s="19"/>
      <c r="AG887" s="19"/>
      <c r="AH887" s="19"/>
      <c r="AI887" s="19"/>
      <c r="AJ887" s="19"/>
      <c r="FM887" s="54"/>
    </row>
    <row r="888" spans="1:169" s="18" customFormat="1">
      <c r="A888" s="51"/>
      <c r="B888" s="52"/>
      <c r="C888" s="52"/>
      <c r="D888" s="52"/>
      <c r="E888" s="52"/>
      <c r="F888" s="52"/>
      <c r="G888" s="52"/>
      <c r="H888" s="53"/>
      <c r="I888" s="52"/>
      <c r="J888" s="52"/>
      <c r="K888" s="19"/>
      <c r="L888" s="19"/>
      <c r="M888" s="19"/>
      <c r="N888" s="19"/>
      <c r="O888" s="19"/>
      <c r="P888" s="19"/>
      <c r="Q888" s="19"/>
      <c r="R888" s="19"/>
      <c r="S888" s="19"/>
      <c r="T888" s="19"/>
      <c r="U888" s="19"/>
      <c r="V888" s="19"/>
      <c r="W888" s="19"/>
      <c r="X888" s="19"/>
      <c r="Y888" s="19"/>
      <c r="Z888" s="19"/>
      <c r="AA888" s="19"/>
      <c r="AB888" s="19"/>
      <c r="AC888" s="19"/>
      <c r="AD888" s="19"/>
      <c r="AE888" s="19"/>
      <c r="AF888" s="19"/>
      <c r="AG888" s="19"/>
      <c r="AH888" s="19"/>
      <c r="AI888" s="19"/>
      <c r="AJ888" s="19"/>
      <c r="FM888" s="54"/>
    </row>
    <row r="889" spans="1:169" s="18" customFormat="1">
      <c r="A889" s="51"/>
      <c r="B889" s="52"/>
      <c r="C889" s="52"/>
      <c r="D889" s="52"/>
      <c r="E889" s="52"/>
      <c r="F889" s="52"/>
      <c r="G889" s="52"/>
      <c r="H889" s="53"/>
      <c r="I889" s="52"/>
      <c r="J889" s="52"/>
      <c r="K889" s="19"/>
      <c r="L889" s="19"/>
      <c r="M889" s="19"/>
      <c r="N889" s="19"/>
      <c r="O889" s="19"/>
      <c r="P889" s="19"/>
      <c r="Q889" s="19"/>
      <c r="R889" s="19"/>
      <c r="S889" s="19"/>
      <c r="T889" s="19"/>
      <c r="U889" s="19"/>
      <c r="V889" s="19"/>
      <c r="W889" s="19"/>
      <c r="X889" s="19"/>
      <c r="Y889" s="19"/>
      <c r="Z889" s="19"/>
      <c r="AA889" s="19"/>
      <c r="AB889" s="19"/>
      <c r="AC889" s="19"/>
      <c r="AD889" s="19"/>
      <c r="AE889" s="19"/>
      <c r="AF889" s="19"/>
      <c r="AG889" s="19"/>
      <c r="AH889" s="19"/>
      <c r="AI889" s="19"/>
      <c r="AJ889" s="19"/>
      <c r="FM889" s="54"/>
    </row>
    <row r="890" spans="1:169" s="18" customFormat="1">
      <c r="A890" s="51"/>
      <c r="B890" s="52"/>
      <c r="C890" s="52"/>
      <c r="D890" s="52"/>
      <c r="E890" s="52"/>
      <c r="F890" s="52"/>
      <c r="G890" s="52"/>
      <c r="H890" s="53"/>
      <c r="I890" s="52"/>
      <c r="J890" s="52"/>
      <c r="K890" s="19"/>
      <c r="L890" s="19"/>
      <c r="M890" s="19"/>
      <c r="N890" s="19"/>
      <c r="O890" s="19"/>
      <c r="P890" s="19"/>
      <c r="Q890" s="19"/>
      <c r="R890" s="19"/>
      <c r="S890" s="19"/>
      <c r="T890" s="19"/>
      <c r="U890" s="19"/>
      <c r="V890" s="19"/>
      <c r="W890" s="19"/>
      <c r="X890" s="19"/>
      <c r="Y890" s="19"/>
      <c r="Z890" s="19"/>
      <c r="AA890" s="19"/>
      <c r="AB890" s="19"/>
      <c r="AC890" s="19"/>
      <c r="AD890" s="19"/>
      <c r="AE890" s="19"/>
      <c r="AF890" s="19"/>
      <c r="AG890" s="19"/>
      <c r="AH890" s="19"/>
      <c r="AI890" s="19"/>
      <c r="AJ890" s="19"/>
      <c r="FM890" s="54"/>
    </row>
    <row r="891" spans="1:169" s="18" customFormat="1">
      <c r="A891" s="51"/>
      <c r="B891" s="52"/>
      <c r="C891" s="52"/>
      <c r="D891" s="52"/>
      <c r="E891" s="52"/>
      <c r="F891" s="52"/>
      <c r="G891" s="52"/>
      <c r="H891" s="53"/>
      <c r="I891" s="52"/>
      <c r="J891" s="52"/>
      <c r="K891" s="19"/>
      <c r="L891" s="19"/>
      <c r="M891" s="19"/>
      <c r="N891" s="19"/>
      <c r="O891" s="19"/>
      <c r="P891" s="19"/>
      <c r="Q891" s="19"/>
      <c r="R891" s="19"/>
      <c r="S891" s="19"/>
      <c r="T891" s="19"/>
      <c r="U891" s="19"/>
      <c r="V891" s="19"/>
      <c r="W891" s="19"/>
      <c r="X891" s="19"/>
      <c r="Y891" s="19"/>
      <c r="Z891" s="19"/>
      <c r="AA891" s="19"/>
      <c r="AB891" s="19"/>
      <c r="AC891" s="19"/>
      <c r="AD891" s="19"/>
      <c r="AE891" s="19"/>
      <c r="AF891" s="19"/>
      <c r="AG891" s="19"/>
      <c r="AH891" s="19"/>
      <c r="AI891" s="19"/>
      <c r="AJ891" s="19"/>
      <c r="FM891" s="54"/>
    </row>
    <row r="892" spans="1:169" s="18" customFormat="1">
      <c r="A892" s="51"/>
      <c r="B892" s="52"/>
      <c r="C892" s="52"/>
      <c r="D892" s="52"/>
      <c r="E892" s="52"/>
      <c r="F892" s="52"/>
      <c r="G892" s="52"/>
      <c r="H892" s="53"/>
      <c r="I892" s="52"/>
      <c r="J892" s="52"/>
      <c r="K892" s="19"/>
      <c r="L892" s="19"/>
      <c r="M892" s="19"/>
      <c r="N892" s="19"/>
      <c r="O892" s="19"/>
      <c r="P892" s="19"/>
      <c r="Q892" s="19"/>
      <c r="R892" s="19"/>
      <c r="S892" s="19"/>
      <c r="T892" s="19"/>
      <c r="U892" s="19"/>
      <c r="V892" s="19"/>
      <c r="W892" s="19"/>
      <c r="X892" s="19"/>
      <c r="Y892" s="19"/>
      <c r="Z892" s="19"/>
      <c r="AA892" s="19"/>
      <c r="AB892" s="19"/>
      <c r="AC892" s="19"/>
      <c r="AD892" s="19"/>
      <c r="AE892" s="19"/>
      <c r="AF892" s="19"/>
      <c r="AG892" s="19"/>
      <c r="AH892" s="19"/>
      <c r="AI892" s="19"/>
      <c r="AJ892" s="19"/>
      <c r="FM892" s="54"/>
    </row>
    <row r="893" spans="1:169" s="18" customFormat="1">
      <c r="A893" s="51"/>
      <c r="B893" s="52"/>
      <c r="C893" s="52"/>
      <c r="D893" s="52"/>
      <c r="E893" s="52"/>
      <c r="F893" s="52"/>
      <c r="G893" s="52"/>
      <c r="H893" s="53"/>
      <c r="I893" s="52"/>
      <c r="J893" s="52"/>
      <c r="K893" s="19"/>
      <c r="L893" s="19"/>
      <c r="M893" s="19"/>
      <c r="N893" s="19"/>
      <c r="O893" s="19"/>
      <c r="P893" s="19"/>
      <c r="Q893" s="19"/>
      <c r="R893" s="19"/>
      <c r="S893" s="19"/>
      <c r="T893" s="19"/>
      <c r="U893" s="19"/>
      <c r="V893" s="19"/>
      <c r="W893" s="19"/>
      <c r="X893" s="19"/>
      <c r="Y893" s="19"/>
      <c r="Z893" s="19"/>
      <c r="AA893" s="19"/>
      <c r="AB893" s="19"/>
      <c r="AC893" s="19"/>
      <c r="AD893" s="19"/>
      <c r="AE893" s="19"/>
      <c r="AF893" s="19"/>
      <c r="AG893" s="19"/>
      <c r="AH893" s="19"/>
      <c r="AI893" s="19"/>
      <c r="AJ893" s="19"/>
      <c r="FM893" s="54"/>
    </row>
    <row r="894" spans="1:169" s="18" customFormat="1">
      <c r="A894" s="51"/>
      <c r="B894" s="52"/>
      <c r="C894" s="52"/>
      <c r="D894" s="52"/>
      <c r="E894" s="52"/>
      <c r="F894" s="52"/>
      <c r="G894" s="52"/>
      <c r="H894" s="53"/>
      <c r="I894" s="52"/>
      <c r="J894" s="52"/>
      <c r="K894" s="19"/>
      <c r="L894" s="19"/>
      <c r="M894" s="19"/>
      <c r="N894" s="19"/>
      <c r="O894" s="19"/>
      <c r="P894" s="19"/>
      <c r="Q894" s="19"/>
      <c r="R894" s="19"/>
      <c r="S894" s="19"/>
      <c r="T894" s="19"/>
      <c r="U894" s="19"/>
      <c r="V894" s="19"/>
      <c r="W894" s="19"/>
      <c r="X894" s="19"/>
      <c r="Y894" s="19"/>
      <c r="Z894" s="19"/>
      <c r="AA894" s="19"/>
      <c r="AB894" s="19"/>
      <c r="AC894" s="19"/>
      <c r="AD894" s="19"/>
      <c r="AE894" s="19"/>
      <c r="AF894" s="19"/>
      <c r="AG894" s="19"/>
      <c r="AH894" s="19"/>
      <c r="AI894" s="19"/>
      <c r="AJ894" s="19"/>
      <c r="FM894" s="54"/>
    </row>
    <row r="895" spans="1:169" s="18" customFormat="1">
      <c r="A895" s="51"/>
      <c r="B895" s="52"/>
      <c r="C895" s="52"/>
      <c r="D895" s="52"/>
      <c r="E895" s="52"/>
      <c r="F895" s="52"/>
      <c r="G895" s="52"/>
      <c r="H895" s="53"/>
      <c r="I895" s="52"/>
      <c r="J895" s="52"/>
      <c r="K895" s="19"/>
      <c r="L895" s="19"/>
      <c r="M895" s="19"/>
      <c r="N895" s="19"/>
      <c r="O895" s="19"/>
      <c r="P895" s="19"/>
      <c r="Q895" s="19"/>
      <c r="R895" s="19"/>
      <c r="S895" s="19"/>
      <c r="T895" s="19"/>
      <c r="U895" s="19"/>
      <c r="V895" s="19"/>
      <c r="W895" s="19"/>
      <c r="X895" s="19"/>
      <c r="Y895" s="19"/>
      <c r="Z895" s="19"/>
      <c r="AA895" s="19"/>
      <c r="AB895" s="19"/>
      <c r="AC895" s="19"/>
      <c r="AD895" s="19"/>
      <c r="AE895" s="19"/>
      <c r="AF895" s="19"/>
      <c r="AG895" s="19"/>
      <c r="AH895" s="19"/>
      <c r="AI895" s="19"/>
      <c r="AJ895" s="19"/>
      <c r="FM895" s="54"/>
    </row>
    <row r="896" spans="1:169" s="18" customFormat="1">
      <c r="A896" s="51"/>
      <c r="B896" s="52"/>
      <c r="C896" s="52"/>
      <c r="D896" s="52"/>
      <c r="E896" s="52"/>
      <c r="F896" s="52"/>
      <c r="G896" s="52"/>
      <c r="H896" s="53"/>
      <c r="I896" s="52"/>
      <c r="J896" s="52"/>
      <c r="K896" s="19"/>
      <c r="L896" s="19"/>
      <c r="M896" s="19"/>
      <c r="N896" s="19"/>
      <c r="O896" s="19"/>
      <c r="P896" s="19"/>
      <c r="Q896" s="19"/>
      <c r="R896" s="19"/>
      <c r="S896" s="19"/>
      <c r="T896" s="19"/>
      <c r="U896" s="19"/>
      <c r="V896" s="19"/>
      <c r="W896" s="19"/>
      <c r="X896" s="19"/>
      <c r="Y896" s="19"/>
      <c r="Z896" s="19"/>
      <c r="AA896" s="19"/>
      <c r="AB896" s="19"/>
      <c r="AC896" s="19"/>
      <c r="AD896" s="19"/>
      <c r="AE896" s="19"/>
      <c r="AF896" s="19"/>
      <c r="AG896" s="19"/>
      <c r="AH896" s="19"/>
      <c r="AI896" s="19"/>
      <c r="AJ896" s="19"/>
      <c r="FM896" s="54"/>
    </row>
    <row r="897" spans="1:169" s="18" customFormat="1">
      <c r="A897" s="51"/>
      <c r="B897" s="52"/>
      <c r="C897" s="52"/>
      <c r="D897" s="52"/>
      <c r="E897" s="52"/>
      <c r="F897" s="52"/>
      <c r="G897" s="52"/>
      <c r="H897" s="53"/>
      <c r="I897" s="52"/>
      <c r="J897" s="52"/>
      <c r="K897" s="19"/>
      <c r="L897" s="19"/>
      <c r="M897" s="19"/>
      <c r="N897" s="19"/>
      <c r="O897" s="19"/>
      <c r="P897" s="19"/>
      <c r="Q897" s="19"/>
      <c r="R897" s="19"/>
      <c r="S897" s="19"/>
      <c r="T897" s="19"/>
      <c r="U897" s="19"/>
      <c r="V897" s="19"/>
      <c r="W897" s="19"/>
      <c r="X897" s="19"/>
      <c r="Y897" s="19"/>
      <c r="Z897" s="19"/>
      <c r="AA897" s="19"/>
      <c r="AB897" s="19"/>
      <c r="AC897" s="19"/>
      <c r="AD897" s="19"/>
      <c r="AE897" s="19"/>
      <c r="AF897" s="19"/>
      <c r="AG897" s="19"/>
      <c r="AH897" s="19"/>
      <c r="AI897" s="19"/>
      <c r="AJ897" s="19"/>
      <c r="FM897" s="54"/>
    </row>
    <row r="898" spans="1:169" s="18" customFormat="1">
      <c r="A898" s="51"/>
      <c r="B898" s="52"/>
      <c r="C898" s="52"/>
      <c r="D898" s="52"/>
      <c r="E898" s="52"/>
      <c r="F898" s="52"/>
      <c r="G898" s="52"/>
      <c r="H898" s="53"/>
      <c r="I898" s="52"/>
      <c r="J898" s="52"/>
      <c r="K898" s="19"/>
      <c r="L898" s="19"/>
      <c r="M898" s="19"/>
      <c r="N898" s="19"/>
      <c r="O898" s="19"/>
      <c r="P898" s="19"/>
      <c r="Q898" s="19"/>
      <c r="R898" s="19"/>
      <c r="S898" s="19"/>
      <c r="T898" s="19"/>
      <c r="U898" s="19"/>
      <c r="V898" s="19"/>
      <c r="W898" s="19"/>
      <c r="X898" s="19"/>
      <c r="Y898" s="19"/>
      <c r="Z898" s="19"/>
      <c r="AA898" s="19"/>
      <c r="AB898" s="19"/>
      <c r="AC898" s="19"/>
      <c r="AD898" s="19"/>
      <c r="AE898" s="19"/>
      <c r="AF898" s="19"/>
      <c r="AG898" s="19"/>
      <c r="AH898" s="19"/>
      <c r="AI898" s="19"/>
      <c r="AJ898" s="19"/>
      <c r="FM898" s="54"/>
    </row>
    <row r="899" spans="1:169" s="18" customFormat="1">
      <c r="A899" s="51"/>
      <c r="B899" s="52"/>
      <c r="C899" s="52"/>
      <c r="D899" s="52"/>
      <c r="E899" s="52"/>
      <c r="F899" s="52"/>
      <c r="G899" s="52"/>
      <c r="H899" s="53"/>
      <c r="I899" s="52"/>
      <c r="J899" s="52"/>
      <c r="K899" s="19"/>
      <c r="L899" s="19"/>
      <c r="M899" s="19"/>
      <c r="N899" s="19"/>
      <c r="O899" s="19"/>
      <c r="P899" s="19"/>
      <c r="Q899" s="19"/>
      <c r="R899" s="19"/>
      <c r="S899" s="19"/>
      <c r="T899" s="19"/>
      <c r="U899" s="19"/>
      <c r="V899" s="19"/>
      <c r="W899" s="19"/>
      <c r="X899" s="19"/>
      <c r="Y899" s="19"/>
      <c r="Z899" s="19"/>
      <c r="AA899" s="19"/>
      <c r="AB899" s="19"/>
      <c r="AC899" s="19"/>
      <c r="AD899" s="19"/>
      <c r="AE899" s="19"/>
      <c r="AF899" s="19"/>
      <c r="AG899" s="19"/>
      <c r="AH899" s="19"/>
      <c r="AI899" s="19"/>
      <c r="AJ899" s="19"/>
      <c r="FM899" s="54"/>
    </row>
    <row r="900" spans="1:169" s="18" customFormat="1">
      <c r="A900" s="51"/>
      <c r="B900" s="52"/>
      <c r="C900" s="52"/>
      <c r="D900" s="52"/>
      <c r="E900" s="52"/>
      <c r="F900" s="52"/>
      <c r="G900" s="52"/>
      <c r="H900" s="53"/>
      <c r="I900" s="52"/>
      <c r="J900" s="52"/>
      <c r="K900" s="19"/>
      <c r="L900" s="19"/>
      <c r="M900" s="19"/>
      <c r="N900" s="19"/>
      <c r="O900" s="19"/>
      <c r="P900" s="19"/>
      <c r="Q900" s="19"/>
      <c r="R900" s="19"/>
      <c r="S900" s="19"/>
      <c r="T900" s="19"/>
      <c r="U900" s="19"/>
      <c r="V900" s="19"/>
      <c r="W900" s="19"/>
      <c r="X900" s="19"/>
      <c r="Y900" s="19"/>
      <c r="Z900" s="19"/>
      <c r="AA900" s="19"/>
      <c r="AB900" s="19"/>
      <c r="AC900" s="19"/>
      <c r="AD900" s="19"/>
      <c r="AE900" s="19"/>
      <c r="AF900" s="19"/>
      <c r="AG900" s="19"/>
      <c r="AH900" s="19"/>
      <c r="AI900" s="19"/>
      <c r="AJ900" s="19"/>
      <c r="FM900" s="54"/>
    </row>
    <row r="901" spans="1:169" s="18" customFormat="1">
      <c r="A901" s="51"/>
      <c r="B901" s="52"/>
      <c r="C901" s="52"/>
      <c r="D901" s="52"/>
      <c r="E901" s="52"/>
      <c r="F901" s="52"/>
      <c r="G901" s="52"/>
      <c r="H901" s="53"/>
      <c r="I901" s="52"/>
      <c r="J901" s="52"/>
      <c r="K901" s="19"/>
      <c r="L901" s="19"/>
      <c r="M901" s="19"/>
      <c r="N901" s="19"/>
      <c r="O901" s="19"/>
      <c r="P901" s="19"/>
      <c r="Q901" s="19"/>
      <c r="R901" s="19"/>
      <c r="S901" s="19"/>
      <c r="T901" s="19"/>
      <c r="U901" s="19"/>
      <c r="V901" s="19"/>
      <c r="W901" s="19"/>
      <c r="X901" s="19"/>
      <c r="Y901" s="19"/>
      <c r="Z901" s="19"/>
      <c r="AA901" s="19"/>
      <c r="AB901" s="19"/>
      <c r="AC901" s="19"/>
      <c r="AD901" s="19"/>
      <c r="AE901" s="19"/>
      <c r="AF901" s="19"/>
      <c r="AG901" s="19"/>
      <c r="AH901" s="19"/>
      <c r="AI901" s="19"/>
      <c r="AJ901" s="19"/>
      <c r="FM901" s="54"/>
    </row>
    <row r="902" spans="1:169" s="18" customFormat="1">
      <c r="A902" s="51"/>
      <c r="B902" s="52"/>
      <c r="C902" s="52"/>
      <c r="D902" s="52"/>
      <c r="E902" s="52"/>
      <c r="F902" s="52"/>
      <c r="G902" s="52"/>
      <c r="H902" s="53"/>
      <c r="I902" s="52"/>
      <c r="J902" s="52"/>
      <c r="K902" s="19"/>
      <c r="L902" s="19"/>
      <c r="M902" s="19"/>
      <c r="N902" s="19"/>
      <c r="O902" s="19"/>
      <c r="P902" s="19"/>
      <c r="Q902" s="19"/>
      <c r="R902" s="19"/>
      <c r="S902" s="19"/>
      <c r="T902" s="19"/>
      <c r="U902" s="19"/>
      <c r="V902" s="19"/>
      <c r="W902" s="19"/>
      <c r="X902" s="19"/>
      <c r="Y902" s="19"/>
      <c r="Z902" s="19"/>
      <c r="AA902" s="19"/>
      <c r="AB902" s="19"/>
      <c r="AC902" s="19"/>
      <c r="AD902" s="19"/>
      <c r="AE902" s="19"/>
      <c r="AF902" s="19"/>
      <c r="AG902" s="19"/>
      <c r="AH902" s="19"/>
      <c r="AI902" s="19"/>
      <c r="AJ902" s="19"/>
      <c r="FM902" s="54"/>
    </row>
    <row r="903" spans="1:169" s="18" customFormat="1">
      <c r="A903" s="51"/>
      <c r="B903" s="52"/>
      <c r="C903" s="52"/>
      <c r="D903" s="52"/>
      <c r="E903" s="52"/>
      <c r="F903" s="52"/>
      <c r="G903" s="52"/>
      <c r="H903" s="53"/>
      <c r="I903" s="52"/>
      <c r="J903" s="52"/>
      <c r="K903" s="19"/>
      <c r="L903" s="19"/>
      <c r="M903" s="19"/>
      <c r="N903" s="19"/>
      <c r="O903" s="19"/>
      <c r="P903" s="19"/>
      <c r="Q903" s="19"/>
      <c r="R903" s="19"/>
      <c r="S903" s="19"/>
      <c r="T903" s="19"/>
      <c r="U903" s="19"/>
      <c r="V903" s="19"/>
      <c r="W903" s="19"/>
      <c r="X903" s="19"/>
      <c r="Y903" s="19"/>
      <c r="Z903" s="19"/>
      <c r="AA903" s="19"/>
      <c r="AB903" s="19"/>
      <c r="AC903" s="19"/>
      <c r="AD903" s="19"/>
      <c r="AE903" s="19"/>
      <c r="AF903" s="19"/>
      <c r="AG903" s="19"/>
      <c r="AH903" s="19"/>
      <c r="AI903" s="19"/>
      <c r="AJ903" s="19"/>
      <c r="FM903" s="54"/>
    </row>
    <row r="904" spans="1:169" s="18" customFormat="1">
      <c r="A904" s="51"/>
      <c r="B904" s="52"/>
      <c r="C904" s="52"/>
      <c r="D904" s="52"/>
      <c r="E904" s="52"/>
      <c r="F904" s="52"/>
      <c r="G904" s="52"/>
      <c r="H904" s="53"/>
      <c r="I904" s="52"/>
      <c r="J904" s="52"/>
      <c r="K904" s="19"/>
      <c r="L904" s="19"/>
      <c r="M904" s="19"/>
      <c r="N904" s="19"/>
      <c r="O904" s="19"/>
      <c r="P904" s="19"/>
      <c r="Q904" s="19"/>
      <c r="R904" s="19"/>
      <c r="S904" s="19"/>
      <c r="T904" s="19"/>
      <c r="U904" s="19"/>
      <c r="V904" s="19"/>
      <c r="W904" s="19"/>
      <c r="X904" s="19"/>
      <c r="Y904" s="19"/>
      <c r="Z904" s="19"/>
      <c r="AA904" s="19"/>
      <c r="AB904" s="19"/>
      <c r="AC904" s="19"/>
      <c r="AD904" s="19"/>
      <c r="AE904" s="19"/>
      <c r="AF904" s="19"/>
      <c r="AG904" s="19"/>
      <c r="AH904" s="19"/>
      <c r="AI904" s="19"/>
      <c r="AJ904" s="19"/>
      <c r="FM904" s="54"/>
    </row>
    <row r="905" spans="1:169" s="18" customFormat="1">
      <c r="A905" s="51"/>
      <c r="B905" s="52"/>
      <c r="C905" s="52"/>
      <c r="D905" s="52"/>
      <c r="E905" s="52"/>
      <c r="F905" s="52"/>
      <c r="G905" s="52"/>
      <c r="H905" s="53"/>
      <c r="I905" s="52"/>
      <c r="J905" s="52"/>
      <c r="K905" s="19"/>
      <c r="L905" s="19"/>
      <c r="M905" s="19"/>
      <c r="N905" s="19"/>
      <c r="O905" s="19"/>
      <c r="P905" s="19"/>
      <c r="Q905" s="19"/>
      <c r="R905" s="19"/>
      <c r="S905" s="19"/>
      <c r="T905" s="19"/>
      <c r="U905" s="19"/>
      <c r="V905" s="19"/>
      <c r="W905" s="19"/>
      <c r="X905" s="19"/>
      <c r="Y905" s="19"/>
      <c r="Z905" s="19"/>
      <c r="AA905" s="19"/>
      <c r="AB905" s="19"/>
      <c r="AC905" s="19"/>
      <c r="AD905" s="19"/>
      <c r="AE905" s="19"/>
      <c r="AF905" s="19"/>
      <c r="AG905" s="19"/>
      <c r="AH905" s="19"/>
      <c r="AI905" s="19"/>
      <c r="AJ905" s="19"/>
      <c r="FM905" s="54"/>
    </row>
    <row r="906" spans="1:169" s="18" customFormat="1">
      <c r="A906" s="51"/>
      <c r="B906" s="52"/>
      <c r="C906" s="52"/>
      <c r="D906" s="52"/>
      <c r="E906" s="52"/>
      <c r="F906" s="52"/>
      <c r="G906" s="52"/>
      <c r="H906" s="53"/>
      <c r="I906" s="52"/>
      <c r="J906" s="52"/>
      <c r="K906" s="19"/>
      <c r="L906" s="19"/>
      <c r="M906" s="19"/>
      <c r="N906" s="19"/>
      <c r="O906" s="19"/>
      <c r="P906" s="19"/>
      <c r="Q906" s="19"/>
      <c r="R906" s="19"/>
      <c r="S906" s="19"/>
      <c r="T906" s="19"/>
      <c r="U906" s="19"/>
      <c r="V906" s="19"/>
      <c r="W906" s="19"/>
      <c r="X906" s="19"/>
      <c r="Y906" s="19"/>
      <c r="Z906" s="19"/>
      <c r="AA906" s="19"/>
      <c r="AB906" s="19"/>
      <c r="AC906" s="19"/>
      <c r="AD906" s="19"/>
      <c r="AE906" s="19"/>
      <c r="AF906" s="19"/>
      <c r="AG906" s="19"/>
      <c r="AH906" s="19"/>
      <c r="AI906" s="19"/>
      <c r="AJ906" s="19"/>
      <c r="FM906" s="54"/>
    </row>
    <row r="907" spans="1:169" s="18" customFormat="1">
      <c r="A907" s="51"/>
      <c r="B907" s="52"/>
      <c r="C907" s="52"/>
      <c r="D907" s="52"/>
      <c r="E907" s="52"/>
      <c r="F907" s="52"/>
      <c r="G907" s="52"/>
      <c r="H907" s="53"/>
      <c r="I907" s="52"/>
      <c r="J907" s="52"/>
      <c r="K907" s="19"/>
      <c r="L907" s="19"/>
      <c r="M907" s="19"/>
      <c r="N907" s="19"/>
      <c r="O907" s="19"/>
      <c r="P907" s="19"/>
      <c r="Q907" s="19"/>
      <c r="R907" s="19"/>
      <c r="S907" s="19"/>
      <c r="T907" s="19"/>
      <c r="U907" s="19"/>
      <c r="V907" s="19"/>
      <c r="W907" s="19"/>
      <c r="X907" s="19"/>
      <c r="Y907" s="19"/>
      <c r="Z907" s="19"/>
      <c r="AA907" s="19"/>
      <c r="AB907" s="19"/>
      <c r="AC907" s="19"/>
      <c r="AD907" s="19"/>
      <c r="AE907" s="19"/>
      <c r="AF907" s="19"/>
      <c r="AG907" s="19"/>
      <c r="AH907" s="19"/>
      <c r="AI907" s="19"/>
      <c r="AJ907" s="19"/>
      <c r="FM907" s="54"/>
    </row>
    <row r="908" spans="1:169" s="18" customFormat="1">
      <c r="A908" s="51"/>
      <c r="B908" s="52"/>
      <c r="C908" s="52"/>
      <c r="D908" s="52"/>
      <c r="E908" s="52"/>
      <c r="F908" s="52"/>
      <c r="G908" s="52"/>
      <c r="H908" s="53"/>
      <c r="I908" s="52"/>
      <c r="J908" s="52"/>
      <c r="K908" s="19"/>
      <c r="L908" s="19"/>
      <c r="M908" s="19"/>
      <c r="N908" s="19"/>
      <c r="O908" s="19"/>
      <c r="P908" s="19"/>
      <c r="Q908" s="19"/>
      <c r="R908" s="19"/>
      <c r="S908" s="19"/>
      <c r="T908" s="19"/>
      <c r="U908" s="19"/>
      <c r="V908" s="19"/>
      <c r="W908" s="19"/>
      <c r="X908" s="19"/>
      <c r="Y908" s="19"/>
      <c r="Z908" s="19"/>
      <c r="AA908" s="19"/>
      <c r="AB908" s="19"/>
      <c r="AC908" s="19"/>
      <c r="AD908" s="19"/>
      <c r="AE908" s="19"/>
      <c r="AF908" s="19"/>
      <c r="AG908" s="19"/>
      <c r="AH908" s="19"/>
      <c r="AI908" s="19"/>
      <c r="AJ908" s="19"/>
      <c r="FM908" s="54"/>
    </row>
    <row r="909" spans="1:169" s="18" customFormat="1">
      <c r="A909" s="51"/>
      <c r="B909" s="52"/>
      <c r="C909" s="52"/>
      <c r="D909" s="52"/>
      <c r="E909" s="52"/>
      <c r="F909" s="52"/>
      <c r="G909" s="52"/>
      <c r="H909" s="53"/>
      <c r="I909" s="52"/>
      <c r="J909" s="52"/>
      <c r="K909" s="19"/>
      <c r="L909" s="19"/>
      <c r="M909" s="19"/>
      <c r="N909" s="19"/>
      <c r="O909" s="19"/>
      <c r="P909" s="19"/>
      <c r="Q909" s="19"/>
      <c r="R909" s="19"/>
      <c r="S909" s="19"/>
      <c r="T909" s="19"/>
      <c r="U909" s="19"/>
      <c r="V909" s="19"/>
      <c r="W909" s="19"/>
      <c r="X909" s="19"/>
      <c r="Y909" s="19"/>
      <c r="Z909" s="19"/>
      <c r="AA909" s="19"/>
      <c r="AB909" s="19"/>
      <c r="AC909" s="19"/>
      <c r="AD909" s="19"/>
      <c r="AE909" s="19"/>
      <c r="AF909" s="19"/>
      <c r="AG909" s="19"/>
      <c r="AH909" s="19"/>
      <c r="AI909" s="19"/>
      <c r="AJ909" s="19"/>
      <c r="FM909" s="54"/>
    </row>
    <row r="910" spans="1:169" s="18" customFormat="1">
      <c r="A910" s="51"/>
      <c r="B910" s="52"/>
      <c r="C910" s="52"/>
      <c r="D910" s="52"/>
      <c r="E910" s="52"/>
      <c r="F910" s="52"/>
      <c r="G910" s="52"/>
      <c r="H910" s="53"/>
      <c r="I910" s="52"/>
      <c r="J910" s="52"/>
      <c r="K910" s="19"/>
      <c r="L910" s="19"/>
      <c r="M910" s="19"/>
      <c r="N910" s="19"/>
      <c r="O910" s="19"/>
      <c r="P910" s="19"/>
      <c r="Q910" s="19"/>
      <c r="R910" s="19"/>
      <c r="S910" s="19"/>
      <c r="T910" s="19"/>
      <c r="U910" s="19"/>
      <c r="V910" s="19"/>
      <c r="W910" s="19"/>
      <c r="X910" s="19"/>
      <c r="Y910" s="19"/>
      <c r="Z910" s="19"/>
      <c r="AA910" s="19"/>
      <c r="AB910" s="19"/>
      <c r="AC910" s="19"/>
      <c r="AD910" s="19"/>
      <c r="AE910" s="19"/>
      <c r="AF910" s="19"/>
      <c r="AG910" s="19"/>
      <c r="AH910" s="19"/>
      <c r="AI910" s="19"/>
      <c r="AJ910" s="19"/>
      <c r="FM910" s="54"/>
    </row>
    <row r="911" spans="1:169" s="18" customFormat="1">
      <c r="A911" s="51"/>
      <c r="B911" s="52"/>
      <c r="C911" s="52"/>
      <c r="D911" s="52"/>
      <c r="E911" s="52"/>
      <c r="F911" s="52"/>
      <c r="G911" s="52"/>
      <c r="H911" s="53"/>
      <c r="I911" s="52"/>
      <c r="J911" s="52"/>
      <c r="K911" s="19"/>
      <c r="L911" s="19"/>
      <c r="M911" s="19"/>
      <c r="N911" s="19"/>
      <c r="O911" s="19"/>
      <c r="P911" s="19"/>
      <c r="Q911" s="19"/>
      <c r="R911" s="19"/>
      <c r="S911" s="19"/>
      <c r="T911" s="19"/>
      <c r="U911" s="19"/>
      <c r="V911" s="19"/>
      <c r="W911" s="19"/>
      <c r="X911" s="19"/>
      <c r="Y911" s="19"/>
      <c r="Z911" s="19"/>
      <c r="AA911" s="19"/>
      <c r="AB911" s="19"/>
      <c r="AC911" s="19"/>
      <c r="AD911" s="19"/>
      <c r="AE911" s="19"/>
      <c r="AF911" s="19"/>
      <c r="AG911" s="19"/>
      <c r="AH911" s="19"/>
      <c r="AI911" s="19"/>
      <c r="AJ911" s="19"/>
      <c r="FM911" s="54"/>
    </row>
    <row r="912" spans="1:169" s="18" customFormat="1">
      <c r="A912" s="51"/>
      <c r="B912" s="52"/>
      <c r="C912" s="52"/>
      <c r="D912" s="52"/>
      <c r="E912" s="52"/>
      <c r="F912" s="52"/>
      <c r="G912" s="52"/>
      <c r="H912" s="53"/>
      <c r="I912" s="52"/>
      <c r="J912" s="52"/>
      <c r="K912" s="19"/>
      <c r="L912" s="19"/>
      <c r="M912" s="19"/>
      <c r="N912" s="19"/>
      <c r="O912" s="19"/>
      <c r="P912" s="19"/>
      <c r="Q912" s="19"/>
      <c r="R912" s="19"/>
      <c r="S912" s="19"/>
      <c r="T912" s="19"/>
      <c r="U912" s="19"/>
      <c r="V912" s="19"/>
      <c r="W912" s="19"/>
      <c r="X912" s="19"/>
      <c r="Y912" s="19"/>
      <c r="Z912" s="19"/>
      <c r="AA912" s="19"/>
      <c r="AB912" s="19"/>
      <c r="AC912" s="19"/>
      <c r="AD912" s="19"/>
      <c r="AE912" s="19"/>
      <c r="AF912" s="19"/>
      <c r="AG912" s="19"/>
      <c r="AH912" s="19"/>
      <c r="AI912" s="19"/>
      <c r="AJ912" s="19"/>
      <c r="FM912" s="54"/>
    </row>
    <row r="913" spans="1:169" s="18" customFormat="1">
      <c r="A913" s="51"/>
      <c r="B913" s="52"/>
      <c r="C913" s="52"/>
      <c r="D913" s="52"/>
      <c r="E913" s="52"/>
      <c r="F913" s="52"/>
      <c r="G913" s="52"/>
      <c r="H913" s="53"/>
      <c r="I913" s="52"/>
      <c r="J913" s="52"/>
      <c r="K913" s="19"/>
      <c r="L913" s="19"/>
      <c r="M913" s="19"/>
      <c r="N913" s="19"/>
      <c r="O913" s="19"/>
      <c r="P913" s="19"/>
      <c r="Q913" s="19"/>
      <c r="R913" s="19"/>
      <c r="S913" s="19"/>
      <c r="T913" s="19"/>
      <c r="U913" s="19"/>
      <c r="V913" s="19"/>
      <c r="W913" s="19"/>
      <c r="X913" s="19"/>
      <c r="Y913" s="19"/>
      <c r="Z913" s="19"/>
      <c r="AA913" s="19"/>
      <c r="AB913" s="19"/>
      <c r="AC913" s="19"/>
      <c r="AD913" s="19"/>
      <c r="AE913" s="19"/>
      <c r="AF913" s="19"/>
      <c r="AG913" s="19"/>
      <c r="AH913" s="19"/>
      <c r="AI913" s="19"/>
      <c r="AJ913" s="19"/>
      <c r="FM913" s="54"/>
    </row>
    <row r="914" spans="1:169" s="18" customFormat="1">
      <c r="A914" s="51"/>
      <c r="B914" s="52"/>
      <c r="C914" s="52"/>
      <c r="D914" s="52"/>
      <c r="E914" s="52"/>
      <c r="F914" s="52"/>
      <c r="G914" s="52"/>
      <c r="H914" s="53"/>
      <c r="I914" s="52"/>
      <c r="J914" s="52"/>
      <c r="K914" s="19"/>
      <c r="L914" s="19"/>
      <c r="M914" s="19"/>
      <c r="N914" s="19"/>
      <c r="O914" s="19"/>
      <c r="P914" s="19"/>
      <c r="Q914" s="19"/>
      <c r="R914" s="19"/>
      <c r="S914" s="19"/>
      <c r="T914" s="19"/>
      <c r="U914" s="19"/>
      <c r="V914" s="19"/>
      <c r="W914" s="19"/>
      <c r="X914" s="19"/>
      <c r="Y914" s="19"/>
      <c r="Z914" s="19"/>
      <c r="AA914" s="19"/>
      <c r="AB914" s="19"/>
      <c r="AC914" s="19"/>
      <c r="AD914" s="19"/>
      <c r="AE914" s="19"/>
      <c r="AF914" s="19"/>
      <c r="AG914" s="19"/>
      <c r="AH914" s="19"/>
      <c r="AI914" s="19"/>
      <c r="AJ914" s="19"/>
      <c r="FM914" s="54"/>
    </row>
    <row r="915" spans="1:169" s="18" customFormat="1">
      <c r="A915" s="51"/>
      <c r="B915" s="52"/>
      <c r="C915" s="52"/>
      <c r="D915" s="52"/>
      <c r="E915" s="52"/>
      <c r="F915" s="52"/>
      <c r="G915" s="52"/>
      <c r="H915" s="53"/>
      <c r="I915" s="52"/>
      <c r="J915" s="52"/>
      <c r="K915" s="19"/>
      <c r="L915" s="19"/>
      <c r="M915" s="19"/>
      <c r="N915" s="19"/>
      <c r="O915" s="19"/>
      <c r="P915" s="19"/>
      <c r="Q915" s="19"/>
      <c r="R915" s="19"/>
      <c r="S915" s="19"/>
      <c r="T915" s="19"/>
      <c r="U915" s="19"/>
      <c r="V915" s="19"/>
      <c r="W915" s="19"/>
      <c r="X915" s="19"/>
      <c r="Y915" s="19"/>
      <c r="Z915" s="19"/>
      <c r="AA915" s="19"/>
      <c r="AB915" s="19"/>
      <c r="AC915" s="19"/>
      <c r="AD915" s="19"/>
      <c r="AE915" s="19"/>
      <c r="AF915" s="19"/>
      <c r="AG915" s="19"/>
      <c r="AH915" s="19"/>
      <c r="AI915" s="19"/>
      <c r="AJ915" s="19"/>
      <c r="FM915" s="54"/>
    </row>
    <row r="916" spans="1:169" s="18" customFormat="1">
      <c r="A916" s="51"/>
      <c r="B916" s="52"/>
      <c r="C916" s="52"/>
      <c r="D916" s="52"/>
      <c r="E916" s="52"/>
      <c r="F916" s="52"/>
      <c r="G916" s="52"/>
      <c r="H916" s="53"/>
      <c r="I916" s="52"/>
      <c r="J916" s="52"/>
      <c r="K916" s="19"/>
      <c r="L916" s="19"/>
      <c r="M916" s="19"/>
      <c r="N916" s="19"/>
      <c r="O916" s="19"/>
      <c r="P916" s="19"/>
      <c r="Q916" s="19"/>
      <c r="R916" s="19"/>
      <c r="S916" s="19"/>
      <c r="T916" s="19"/>
      <c r="U916" s="19"/>
      <c r="V916" s="19"/>
      <c r="W916" s="19"/>
      <c r="X916" s="19"/>
      <c r="Y916" s="19"/>
      <c r="Z916" s="19"/>
      <c r="AA916" s="19"/>
      <c r="AB916" s="19"/>
      <c r="AC916" s="19"/>
      <c r="AD916" s="19"/>
      <c r="AE916" s="19"/>
      <c r="AF916" s="19"/>
      <c r="AG916" s="19"/>
      <c r="AH916" s="19"/>
      <c r="AI916" s="19"/>
      <c r="AJ916" s="19"/>
      <c r="FM916" s="54"/>
    </row>
    <row r="917" spans="1:169" s="18" customFormat="1">
      <c r="A917" s="51"/>
      <c r="B917" s="52"/>
      <c r="C917" s="52"/>
      <c r="D917" s="52"/>
      <c r="E917" s="52"/>
      <c r="F917" s="52"/>
      <c r="G917" s="52"/>
      <c r="H917" s="53"/>
      <c r="I917" s="52"/>
      <c r="J917" s="52"/>
      <c r="K917" s="19"/>
      <c r="L917" s="19"/>
      <c r="M917" s="19"/>
      <c r="N917" s="19"/>
      <c r="O917" s="19"/>
      <c r="P917" s="19"/>
      <c r="Q917" s="19"/>
      <c r="R917" s="19"/>
      <c r="S917" s="19"/>
      <c r="T917" s="19"/>
      <c r="U917" s="19"/>
      <c r="V917" s="19"/>
      <c r="W917" s="19"/>
      <c r="X917" s="19"/>
      <c r="Y917" s="19"/>
      <c r="Z917" s="19"/>
      <c r="AA917" s="19"/>
      <c r="AB917" s="19"/>
      <c r="AC917" s="19"/>
      <c r="AD917" s="19"/>
      <c r="AE917" s="19"/>
      <c r="AF917" s="19"/>
      <c r="AG917" s="19"/>
      <c r="AH917" s="19"/>
      <c r="AI917" s="19"/>
      <c r="AJ917" s="19"/>
      <c r="FM917" s="54"/>
    </row>
    <row r="918" spans="1:169" s="18" customFormat="1">
      <c r="A918" s="51"/>
      <c r="B918" s="52"/>
      <c r="C918" s="52"/>
      <c r="D918" s="52"/>
      <c r="E918" s="52"/>
      <c r="F918" s="52"/>
      <c r="G918" s="52"/>
      <c r="H918" s="53"/>
      <c r="I918" s="52"/>
      <c r="J918" s="52"/>
      <c r="K918" s="19"/>
      <c r="L918" s="19"/>
      <c r="M918" s="19"/>
      <c r="N918" s="19"/>
      <c r="O918" s="19"/>
      <c r="P918" s="19"/>
      <c r="Q918" s="19"/>
      <c r="R918" s="19"/>
      <c r="S918" s="19"/>
      <c r="T918" s="19"/>
      <c r="U918" s="19"/>
      <c r="V918" s="19"/>
      <c r="W918" s="19"/>
      <c r="X918" s="19"/>
      <c r="Y918" s="19"/>
      <c r="Z918" s="19"/>
      <c r="AA918" s="19"/>
      <c r="AB918" s="19"/>
      <c r="AC918" s="19"/>
      <c r="AD918" s="19"/>
      <c r="AE918" s="19"/>
      <c r="AF918" s="19"/>
      <c r="AG918" s="19"/>
      <c r="AH918" s="19"/>
      <c r="AI918" s="19"/>
      <c r="AJ918" s="19"/>
      <c r="FM918" s="54"/>
    </row>
    <row r="919" spans="1:169" s="18" customFormat="1">
      <c r="A919" s="51"/>
      <c r="B919" s="52"/>
      <c r="C919" s="52"/>
      <c r="D919" s="52"/>
      <c r="E919" s="52"/>
      <c r="F919" s="52"/>
      <c r="G919" s="52"/>
      <c r="H919" s="53"/>
      <c r="I919" s="52"/>
      <c r="J919" s="52"/>
      <c r="K919" s="19"/>
      <c r="L919" s="19"/>
      <c r="M919" s="19"/>
      <c r="N919" s="19"/>
      <c r="O919" s="19"/>
      <c r="P919" s="19"/>
      <c r="Q919" s="19"/>
      <c r="R919" s="19"/>
      <c r="S919" s="19"/>
      <c r="T919" s="19"/>
      <c r="U919" s="19"/>
      <c r="V919" s="19"/>
      <c r="W919" s="19"/>
      <c r="X919" s="19"/>
      <c r="Y919" s="19"/>
      <c r="Z919" s="19"/>
      <c r="AA919" s="19"/>
      <c r="AB919" s="19"/>
      <c r="AC919" s="19"/>
      <c r="AD919" s="19"/>
      <c r="AE919" s="19"/>
      <c r="AF919" s="19"/>
      <c r="AG919" s="19"/>
      <c r="AH919" s="19"/>
      <c r="AI919" s="19"/>
      <c r="AJ919" s="19"/>
      <c r="FM919" s="54"/>
    </row>
    <row r="920" spans="1:169" s="18" customFormat="1">
      <c r="A920" s="51"/>
      <c r="B920" s="52"/>
      <c r="C920" s="52"/>
      <c r="D920" s="52"/>
      <c r="E920" s="52"/>
      <c r="F920" s="52"/>
      <c r="G920" s="52"/>
      <c r="H920" s="53"/>
      <c r="I920" s="52"/>
      <c r="J920" s="52"/>
      <c r="K920" s="19"/>
      <c r="L920" s="19"/>
      <c r="M920" s="19"/>
      <c r="N920" s="19"/>
      <c r="O920" s="19"/>
      <c r="P920" s="19"/>
      <c r="Q920" s="19"/>
      <c r="R920" s="19"/>
      <c r="S920" s="19"/>
      <c r="T920" s="19"/>
      <c r="U920" s="19"/>
      <c r="V920" s="19"/>
      <c r="W920" s="19"/>
      <c r="X920" s="19"/>
      <c r="Y920" s="19"/>
      <c r="Z920" s="19"/>
      <c r="AA920" s="19"/>
      <c r="AB920" s="19"/>
      <c r="AC920" s="19"/>
      <c r="AD920" s="19"/>
      <c r="AE920" s="19"/>
      <c r="AF920" s="19"/>
      <c r="AG920" s="19"/>
      <c r="AH920" s="19"/>
      <c r="AI920" s="19"/>
      <c r="AJ920" s="19"/>
      <c r="FM920" s="54"/>
    </row>
    <row r="921" spans="1:169" s="18" customFormat="1">
      <c r="A921" s="51"/>
      <c r="B921" s="52"/>
      <c r="C921" s="52"/>
      <c r="D921" s="52"/>
      <c r="E921" s="52"/>
      <c r="F921" s="52"/>
      <c r="G921" s="52"/>
      <c r="H921" s="53"/>
      <c r="I921" s="52"/>
      <c r="J921" s="52"/>
      <c r="K921" s="19"/>
      <c r="L921" s="19"/>
      <c r="M921" s="19"/>
      <c r="N921" s="19"/>
      <c r="O921" s="19"/>
      <c r="P921" s="19"/>
      <c r="Q921" s="19"/>
      <c r="R921" s="19"/>
      <c r="S921" s="19"/>
      <c r="T921" s="19"/>
      <c r="U921" s="19"/>
      <c r="V921" s="19"/>
      <c r="W921" s="19"/>
      <c r="X921" s="19"/>
      <c r="Y921" s="19"/>
      <c r="Z921" s="19"/>
      <c r="AA921" s="19"/>
      <c r="AB921" s="19"/>
      <c r="AC921" s="19"/>
      <c r="AD921" s="19"/>
      <c r="AE921" s="19"/>
      <c r="AF921" s="19"/>
      <c r="AG921" s="19"/>
      <c r="AH921" s="19"/>
      <c r="AI921" s="19"/>
      <c r="AJ921" s="19"/>
      <c r="FM921" s="54"/>
    </row>
    <row r="922" spans="1:169" s="18" customFormat="1">
      <c r="A922" s="51"/>
      <c r="B922" s="52"/>
      <c r="C922" s="52"/>
      <c r="D922" s="52"/>
      <c r="E922" s="52"/>
      <c r="F922" s="52"/>
      <c r="G922" s="52"/>
      <c r="H922" s="53"/>
      <c r="I922" s="52"/>
      <c r="J922" s="52"/>
      <c r="K922" s="19"/>
      <c r="L922" s="19"/>
      <c r="M922" s="19"/>
      <c r="N922" s="19"/>
      <c r="O922" s="19"/>
      <c r="P922" s="19"/>
      <c r="Q922" s="19"/>
      <c r="R922" s="19"/>
      <c r="S922" s="19"/>
      <c r="T922" s="19"/>
      <c r="U922" s="19"/>
      <c r="V922" s="19"/>
      <c r="W922" s="19"/>
      <c r="X922" s="19"/>
      <c r="Y922" s="19"/>
      <c r="Z922" s="19"/>
      <c r="AA922" s="19"/>
      <c r="AB922" s="19"/>
      <c r="AC922" s="19"/>
      <c r="AD922" s="19"/>
      <c r="AE922" s="19"/>
      <c r="AF922" s="19"/>
      <c r="AG922" s="19"/>
      <c r="AH922" s="19"/>
      <c r="AI922" s="19"/>
      <c r="AJ922" s="19"/>
      <c r="FM922" s="54"/>
    </row>
    <row r="923" spans="1:169" s="18" customFormat="1">
      <c r="A923" s="51"/>
      <c r="B923" s="52"/>
      <c r="C923" s="52"/>
      <c r="D923" s="52"/>
      <c r="E923" s="52"/>
      <c r="F923" s="52"/>
      <c r="G923" s="52"/>
      <c r="H923" s="53"/>
      <c r="I923" s="52"/>
      <c r="J923" s="52"/>
      <c r="K923" s="19"/>
      <c r="L923" s="19"/>
      <c r="M923" s="19"/>
      <c r="N923" s="19"/>
      <c r="O923" s="19"/>
      <c r="P923" s="19"/>
      <c r="Q923" s="19"/>
      <c r="R923" s="19"/>
      <c r="S923" s="19"/>
      <c r="T923" s="19"/>
      <c r="U923" s="19"/>
      <c r="V923" s="19"/>
      <c r="W923" s="19"/>
      <c r="X923" s="19"/>
      <c r="Y923" s="19"/>
      <c r="Z923" s="19"/>
      <c r="AA923" s="19"/>
      <c r="AB923" s="19"/>
      <c r="AC923" s="19"/>
      <c r="AD923" s="19"/>
      <c r="AE923" s="19"/>
      <c r="AF923" s="19"/>
      <c r="AG923" s="19"/>
      <c r="AH923" s="19"/>
      <c r="AI923" s="19"/>
      <c r="AJ923" s="19"/>
      <c r="FM923" s="54"/>
    </row>
    <row r="924" spans="1:169" s="18" customFormat="1">
      <c r="A924" s="51"/>
      <c r="B924" s="52"/>
      <c r="C924" s="52"/>
      <c r="D924" s="52"/>
      <c r="E924" s="52"/>
      <c r="F924" s="52"/>
      <c r="G924" s="52"/>
      <c r="H924" s="53"/>
      <c r="I924" s="52"/>
      <c r="J924" s="52"/>
      <c r="K924" s="19"/>
      <c r="L924" s="19"/>
      <c r="M924" s="19"/>
      <c r="N924" s="19"/>
      <c r="O924" s="19"/>
      <c r="P924" s="19"/>
      <c r="Q924" s="19"/>
      <c r="R924" s="19"/>
      <c r="S924" s="19"/>
      <c r="T924" s="19"/>
      <c r="U924" s="19"/>
      <c r="V924" s="19"/>
      <c r="W924" s="19"/>
      <c r="X924" s="19"/>
      <c r="Y924" s="19"/>
      <c r="Z924" s="19"/>
      <c r="AA924" s="19"/>
      <c r="AB924" s="19"/>
      <c r="AC924" s="19"/>
      <c r="AD924" s="19"/>
      <c r="AE924" s="19"/>
      <c r="AF924" s="19"/>
      <c r="AG924" s="19"/>
      <c r="AH924" s="19"/>
      <c r="AI924" s="19"/>
      <c r="AJ924" s="19"/>
      <c r="FM924" s="54"/>
    </row>
    <row r="925" spans="1:169" s="18" customFormat="1">
      <c r="A925" s="51"/>
      <c r="B925" s="52"/>
      <c r="C925" s="52"/>
      <c r="D925" s="52"/>
      <c r="E925" s="52"/>
      <c r="F925" s="52"/>
      <c r="G925" s="52"/>
      <c r="H925" s="53"/>
      <c r="I925" s="52"/>
      <c r="J925" s="52"/>
      <c r="K925" s="19"/>
      <c r="L925" s="19"/>
      <c r="M925" s="19"/>
      <c r="N925" s="19"/>
      <c r="O925" s="19"/>
      <c r="P925" s="19"/>
      <c r="Q925" s="19"/>
      <c r="R925" s="19"/>
      <c r="S925" s="19"/>
      <c r="T925" s="19"/>
      <c r="U925" s="19"/>
      <c r="V925" s="19"/>
      <c r="W925" s="19"/>
      <c r="X925" s="19"/>
      <c r="Y925" s="19"/>
      <c r="Z925" s="19"/>
      <c r="AA925" s="19"/>
      <c r="AB925" s="19"/>
      <c r="AC925" s="19"/>
      <c r="AD925" s="19"/>
      <c r="AE925" s="19"/>
      <c r="AF925" s="19"/>
      <c r="AG925" s="19"/>
      <c r="AH925" s="19"/>
      <c r="AI925" s="19"/>
      <c r="AJ925" s="19"/>
      <c r="FM925" s="54"/>
    </row>
    <row r="926" spans="1:169" s="18" customFormat="1">
      <c r="A926" s="51"/>
      <c r="B926" s="52"/>
      <c r="C926" s="52"/>
      <c r="D926" s="52"/>
      <c r="E926" s="52"/>
      <c r="F926" s="52"/>
      <c r="G926" s="52"/>
      <c r="H926" s="53"/>
      <c r="I926" s="52"/>
      <c r="J926" s="52"/>
      <c r="K926" s="19"/>
      <c r="L926" s="19"/>
      <c r="M926" s="19"/>
      <c r="N926" s="19"/>
      <c r="O926" s="19"/>
      <c r="P926" s="19"/>
      <c r="Q926" s="19"/>
      <c r="R926" s="19"/>
      <c r="S926" s="19"/>
      <c r="T926" s="19"/>
      <c r="U926" s="19"/>
      <c r="V926" s="19"/>
      <c r="W926" s="19"/>
      <c r="X926" s="19"/>
      <c r="Y926" s="19"/>
      <c r="Z926" s="19"/>
      <c r="AA926" s="19"/>
      <c r="AB926" s="19"/>
      <c r="AC926" s="19"/>
      <c r="AD926" s="19"/>
      <c r="AE926" s="19"/>
      <c r="AF926" s="19"/>
      <c r="AG926" s="19"/>
      <c r="AH926" s="19"/>
      <c r="AI926" s="19"/>
      <c r="AJ926" s="19"/>
      <c r="FM926" s="54"/>
    </row>
    <row r="927" spans="1:169" s="18" customFormat="1">
      <c r="A927" s="51"/>
      <c r="B927" s="52"/>
      <c r="C927" s="52"/>
      <c r="D927" s="52"/>
      <c r="E927" s="52"/>
      <c r="F927" s="52"/>
      <c r="G927" s="52"/>
      <c r="H927" s="53"/>
      <c r="I927" s="52"/>
      <c r="J927" s="52"/>
      <c r="K927" s="19"/>
      <c r="L927" s="19"/>
      <c r="M927" s="19"/>
      <c r="N927" s="19"/>
      <c r="O927" s="19"/>
      <c r="P927" s="19"/>
      <c r="Q927" s="19"/>
      <c r="R927" s="19"/>
      <c r="S927" s="19"/>
      <c r="T927" s="19"/>
      <c r="U927" s="19"/>
      <c r="V927" s="19"/>
      <c r="W927" s="19"/>
      <c r="X927" s="19"/>
      <c r="Y927" s="19"/>
      <c r="Z927" s="19"/>
      <c r="AA927" s="19"/>
      <c r="AB927" s="19"/>
      <c r="AC927" s="19"/>
      <c r="AD927" s="19"/>
      <c r="AE927" s="19"/>
      <c r="AF927" s="19"/>
      <c r="AG927" s="19"/>
      <c r="AH927" s="19"/>
      <c r="AI927" s="19"/>
      <c r="AJ927" s="19"/>
      <c r="FM927" s="54"/>
    </row>
    <row r="928" spans="1:169" s="18" customFormat="1">
      <c r="A928" s="51"/>
      <c r="B928" s="52"/>
      <c r="C928" s="52"/>
      <c r="D928" s="52"/>
      <c r="E928" s="52"/>
      <c r="F928" s="52"/>
      <c r="G928" s="52"/>
      <c r="H928" s="53"/>
      <c r="I928" s="52"/>
      <c r="J928" s="52"/>
      <c r="K928" s="19"/>
      <c r="L928" s="19"/>
      <c r="M928" s="19"/>
      <c r="N928" s="19"/>
      <c r="O928" s="19"/>
      <c r="P928" s="19"/>
      <c r="Q928" s="19"/>
      <c r="R928" s="19"/>
      <c r="S928" s="19"/>
      <c r="T928" s="19"/>
      <c r="U928" s="19"/>
      <c r="V928" s="19"/>
      <c r="W928" s="19"/>
      <c r="X928" s="19"/>
      <c r="Y928" s="19"/>
      <c r="Z928" s="19"/>
      <c r="AA928" s="19"/>
      <c r="AB928" s="19"/>
      <c r="AC928" s="19"/>
      <c r="AD928" s="19"/>
      <c r="AE928" s="19"/>
      <c r="AF928" s="19"/>
      <c r="AG928" s="19"/>
      <c r="AH928" s="19"/>
      <c r="AI928" s="19"/>
      <c r="AJ928" s="19"/>
      <c r="FM928" s="54"/>
    </row>
    <row r="929" spans="1:169" s="18" customFormat="1">
      <c r="A929" s="51"/>
      <c r="B929" s="52"/>
      <c r="C929" s="52"/>
      <c r="D929" s="52"/>
      <c r="E929" s="52"/>
      <c r="F929" s="52"/>
      <c r="G929" s="52"/>
      <c r="H929" s="53"/>
      <c r="I929" s="52"/>
      <c r="J929" s="52"/>
      <c r="K929" s="19"/>
      <c r="L929" s="19"/>
      <c r="M929" s="19"/>
      <c r="N929" s="19"/>
      <c r="O929" s="19"/>
      <c r="P929" s="19"/>
      <c r="Q929" s="19"/>
      <c r="R929" s="19"/>
      <c r="S929" s="19"/>
      <c r="T929" s="19"/>
      <c r="U929" s="19"/>
      <c r="V929" s="19"/>
      <c r="W929" s="19"/>
      <c r="X929" s="19"/>
      <c r="Y929" s="19"/>
      <c r="Z929" s="19"/>
      <c r="AA929" s="19"/>
      <c r="AB929" s="19"/>
      <c r="AC929" s="19"/>
      <c r="AD929" s="19"/>
      <c r="AE929" s="19"/>
      <c r="AF929" s="19"/>
      <c r="AG929" s="19"/>
      <c r="AH929" s="19"/>
      <c r="AI929" s="19"/>
      <c r="AJ929" s="19"/>
      <c r="FM929" s="54"/>
    </row>
    <row r="930" spans="1:169" s="18" customFormat="1">
      <c r="A930" s="51"/>
      <c r="B930" s="52"/>
      <c r="C930" s="52"/>
      <c r="D930" s="52"/>
      <c r="E930" s="52"/>
      <c r="F930" s="52"/>
      <c r="G930" s="52"/>
      <c r="H930" s="53"/>
      <c r="I930" s="52"/>
      <c r="J930" s="52"/>
      <c r="K930" s="19"/>
      <c r="L930" s="19"/>
      <c r="M930" s="19"/>
      <c r="N930" s="19"/>
      <c r="O930" s="19"/>
      <c r="P930" s="19"/>
      <c r="Q930" s="19"/>
      <c r="R930" s="19"/>
      <c r="S930" s="19"/>
      <c r="T930" s="19"/>
      <c r="U930" s="19"/>
      <c r="V930" s="19"/>
      <c r="W930" s="19"/>
      <c r="X930" s="19"/>
      <c r="Y930" s="19"/>
      <c r="Z930" s="19"/>
      <c r="AA930" s="19"/>
      <c r="AB930" s="19"/>
      <c r="AC930" s="19"/>
      <c r="AD930" s="19"/>
      <c r="AE930" s="19"/>
      <c r="AF930" s="19"/>
      <c r="AG930" s="19"/>
      <c r="AH930" s="19"/>
      <c r="AI930" s="19"/>
      <c r="AJ930" s="19"/>
      <c r="FM930" s="54"/>
    </row>
    <row r="931" spans="1:169" s="18" customFormat="1">
      <c r="A931" s="51"/>
      <c r="B931" s="52"/>
      <c r="C931" s="52"/>
      <c r="D931" s="52"/>
      <c r="E931" s="52"/>
      <c r="F931" s="52"/>
      <c r="G931" s="52"/>
      <c r="H931" s="53"/>
      <c r="I931" s="52"/>
      <c r="J931" s="52"/>
      <c r="K931" s="19"/>
      <c r="L931" s="19"/>
      <c r="M931" s="19"/>
      <c r="N931" s="19"/>
      <c r="O931" s="19"/>
      <c r="P931" s="19"/>
      <c r="Q931" s="19"/>
      <c r="R931" s="19"/>
      <c r="S931" s="19"/>
      <c r="T931" s="19"/>
      <c r="U931" s="19"/>
      <c r="V931" s="19"/>
      <c r="W931" s="19"/>
      <c r="X931" s="19"/>
      <c r="Y931" s="19"/>
      <c r="Z931" s="19"/>
      <c r="AA931" s="19"/>
      <c r="AB931" s="19"/>
      <c r="AC931" s="19"/>
      <c r="AD931" s="19"/>
      <c r="AE931" s="19"/>
      <c r="AF931" s="19"/>
      <c r="AG931" s="19"/>
      <c r="AH931" s="19"/>
      <c r="AI931" s="19"/>
      <c r="AJ931" s="19"/>
      <c r="FM931" s="54"/>
    </row>
    <row r="932" spans="1:169" s="18" customFormat="1">
      <c r="A932" s="51"/>
      <c r="B932" s="52"/>
      <c r="C932" s="52"/>
      <c r="D932" s="52"/>
      <c r="E932" s="52"/>
      <c r="F932" s="52"/>
      <c r="G932" s="52"/>
      <c r="H932" s="53"/>
      <c r="I932" s="52"/>
      <c r="J932" s="52"/>
      <c r="K932" s="19"/>
      <c r="L932" s="19"/>
      <c r="M932" s="19"/>
      <c r="N932" s="19"/>
      <c r="O932" s="19"/>
      <c r="P932" s="19"/>
      <c r="Q932" s="19"/>
      <c r="R932" s="19"/>
      <c r="S932" s="19"/>
      <c r="T932" s="19"/>
      <c r="U932" s="19"/>
      <c r="V932" s="19"/>
      <c r="W932" s="19"/>
      <c r="X932" s="19"/>
      <c r="Y932" s="19"/>
      <c r="Z932" s="19"/>
      <c r="AA932" s="19"/>
      <c r="AB932" s="19"/>
      <c r="AC932" s="19"/>
      <c r="AD932" s="19"/>
      <c r="AE932" s="19"/>
      <c r="AF932" s="19"/>
      <c r="AG932" s="19"/>
      <c r="AH932" s="19"/>
      <c r="AI932" s="19"/>
      <c r="AJ932" s="19"/>
      <c r="FM932" s="54"/>
    </row>
    <row r="933" spans="1:169" s="18" customFormat="1">
      <c r="A933" s="51"/>
      <c r="B933" s="52"/>
      <c r="C933" s="52"/>
      <c r="D933" s="52"/>
      <c r="E933" s="52"/>
      <c r="F933" s="52"/>
      <c r="G933" s="52"/>
      <c r="H933" s="53"/>
      <c r="I933" s="52"/>
      <c r="J933" s="52"/>
      <c r="K933" s="19"/>
      <c r="L933" s="19"/>
      <c r="M933" s="19"/>
      <c r="N933" s="19"/>
      <c r="O933" s="19"/>
      <c r="P933" s="19"/>
      <c r="Q933" s="19"/>
      <c r="R933" s="19"/>
      <c r="S933" s="19"/>
      <c r="T933" s="19"/>
      <c r="U933" s="19"/>
      <c r="V933" s="19"/>
      <c r="W933" s="19"/>
      <c r="X933" s="19"/>
      <c r="Y933" s="19"/>
      <c r="Z933" s="19"/>
      <c r="AA933" s="19"/>
      <c r="AB933" s="19"/>
      <c r="AC933" s="19"/>
      <c r="AD933" s="19"/>
      <c r="AE933" s="19"/>
      <c r="AF933" s="19"/>
      <c r="AG933" s="19"/>
      <c r="AH933" s="19"/>
      <c r="AI933" s="19"/>
      <c r="AJ933" s="19"/>
      <c r="FM933" s="54"/>
    </row>
    <row r="934" spans="1:169" s="18" customFormat="1">
      <c r="A934" s="51"/>
      <c r="B934" s="52"/>
      <c r="C934" s="52"/>
      <c r="D934" s="52"/>
      <c r="E934" s="52"/>
      <c r="F934" s="52"/>
      <c r="G934" s="52"/>
      <c r="H934" s="53"/>
      <c r="I934" s="52"/>
      <c r="J934" s="52"/>
      <c r="K934" s="19"/>
      <c r="L934" s="19"/>
      <c r="M934" s="19"/>
      <c r="N934" s="19"/>
      <c r="O934" s="19"/>
      <c r="P934" s="19"/>
      <c r="Q934" s="19"/>
      <c r="R934" s="19"/>
      <c r="S934" s="19"/>
      <c r="T934" s="19"/>
      <c r="U934" s="19"/>
      <c r="V934" s="19"/>
      <c r="W934" s="19"/>
      <c r="X934" s="19"/>
      <c r="Y934" s="19"/>
      <c r="Z934" s="19"/>
      <c r="AA934" s="19"/>
      <c r="AB934" s="19"/>
      <c r="AC934" s="19"/>
      <c r="AD934" s="19"/>
      <c r="AE934" s="19"/>
      <c r="AF934" s="19"/>
      <c r="AG934" s="19"/>
      <c r="AH934" s="19"/>
      <c r="AI934" s="19"/>
      <c r="AJ934" s="19"/>
      <c r="FM934" s="54"/>
    </row>
    <row r="935" spans="1:169" s="18" customFormat="1">
      <c r="A935" s="51"/>
      <c r="B935" s="52"/>
      <c r="C935" s="52"/>
      <c r="D935" s="52"/>
      <c r="E935" s="52"/>
      <c r="F935" s="52"/>
      <c r="G935" s="52"/>
      <c r="H935" s="53"/>
      <c r="I935" s="52"/>
      <c r="J935" s="52"/>
      <c r="K935" s="19"/>
      <c r="L935" s="19"/>
      <c r="M935" s="19"/>
      <c r="N935" s="19"/>
      <c r="O935" s="19"/>
      <c r="P935" s="19"/>
      <c r="Q935" s="19"/>
      <c r="R935" s="19"/>
      <c r="S935" s="19"/>
      <c r="T935" s="19"/>
      <c r="U935" s="19"/>
      <c r="V935" s="19"/>
      <c r="W935" s="19"/>
      <c r="X935" s="19"/>
      <c r="Y935" s="19"/>
      <c r="Z935" s="19"/>
      <c r="AA935" s="19"/>
      <c r="AB935" s="19"/>
      <c r="AC935" s="19"/>
      <c r="AD935" s="19"/>
      <c r="AE935" s="19"/>
      <c r="AF935" s="19"/>
      <c r="AG935" s="19"/>
      <c r="AH935" s="19"/>
      <c r="AI935" s="19"/>
      <c r="AJ935" s="19"/>
      <c r="FM935" s="54"/>
    </row>
    <row r="936" spans="1:169" s="18" customFormat="1">
      <c r="A936" s="51"/>
      <c r="B936" s="52"/>
      <c r="C936" s="52"/>
      <c r="D936" s="52"/>
      <c r="E936" s="52"/>
      <c r="F936" s="52"/>
      <c r="G936" s="52"/>
      <c r="H936" s="53"/>
      <c r="I936" s="52"/>
      <c r="J936" s="52"/>
      <c r="K936" s="19"/>
      <c r="L936" s="19"/>
      <c r="M936" s="19"/>
      <c r="N936" s="19"/>
      <c r="O936" s="19"/>
      <c r="P936" s="19"/>
      <c r="Q936" s="19"/>
      <c r="R936" s="19"/>
      <c r="S936" s="19"/>
      <c r="T936" s="19"/>
      <c r="U936" s="19"/>
      <c r="V936" s="19"/>
      <c r="W936" s="19"/>
      <c r="X936" s="19"/>
      <c r="Y936" s="19"/>
      <c r="Z936" s="19"/>
      <c r="AA936" s="19"/>
      <c r="AB936" s="19"/>
      <c r="AC936" s="19"/>
      <c r="AD936" s="19"/>
      <c r="AE936" s="19"/>
      <c r="AF936" s="19"/>
      <c r="AG936" s="19"/>
      <c r="AH936" s="19"/>
      <c r="AI936" s="19"/>
      <c r="AJ936" s="19"/>
      <c r="FM936" s="54"/>
    </row>
    <row r="937" spans="1:169" s="18" customFormat="1">
      <c r="A937" s="51"/>
      <c r="B937" s="52"/>
      <c r="C937" s="52"/>
      <c r="D937" s="52"/>
      <c r="E937" s="52"/>
      <c r="F937" s="52"/>
      <c r="G937" s="52"/>
      <c r="H937" s="53"/>
      <c r="I937" s="52"/>
      <c r="J937" s="52"/>
      <c r="K937" s="19"/>
      <c r="L937" s="19"/>
      <c r="M937" s="19"/>
      <c r="N937" s="19"/>
      <c r="O937" s="19"/>
      <c r="P937" s="19"/>
      <c r="Q937" s="19"/>
      <c r="R937" s="19"/>
      <c r="S937" s="19"/>
      <c r="T937" s="19"/>
      <c r="U937" s="19"/>
      <c r="V937" s="19"/>
      <c r="W937" s="19"/>
      <c r="X937" s="19"/>
      <c r="Y937" s="19"/>
      <c r="Z937" s="19"/>
      <c r="AA937" s="19"/>
      <c r="AB937" s="19"/>
      <c r="AC937" s="19"/>
      <c r="AD937" s="19"/>
      <c r="AE937" s="19"/>
      <c r="AF937" s="19"/>
      <c r="AG937" s="19"/>
      <c r="AH937" s="19"/>
      <c r="AI937" s="19"/>
      <c r="AJ937" s="19"/>
      <c r="FM937" s="54"/>
    </row>
    <row r="938" spans="1:169" s="18" customFormat="1">
      <c r="A938" s="51"/>
      <c r="B938" s="52"/>
      <c r="C938" s="52"/>
      <c r="D938" s="52"/>
      <c r="E938" s="52"/>
      <c r="F938" s="52"/>
      <c r="G938" s="52"/>
      <c r="H938" s="53"/>
      <c r="I938" s="52"/>
      <c r="J938" s="52"/>
      <c r="K938" s="19"/>
      <c r="L938" s="19"/>
      <c r="M938" s="19"/>
      <c r="N938" s="19"/>
      <c r="O938" s="19"/>
      <c r="P938" s="19"/>
      <c r="Q938" s="19"/>
      <c r="R938" s="19"/>
      <c r="S938" s="19"/>
      <c r="T938" s="19"/>
      <c r="U938" s="19"/>
      <c r="V938" s="19"/>
      <c r="W938" s="19"/>
      <c r="X938" s="19"/>
      <c r="Y938" s="19"/>
      <c r="Z938" s="19"/>
      <c r="AA938" s="19"/>
      <c r="AB938" s="19"/>
      <c r="AC938" s="19"/>
      <c r="AD938" s="19"/>
      <c r="AE938" s="19"/>
      <c r="AF938" s="19"/>
      <c r="AG938" s="19"/>
      <c r="AH938" s="19"/>
      <c r="AI938" s="19"/>
      <c r="AJ938" s="19"/>
      <c r="FM938" s="54"/>
    </row>
    <row r="939" spans="1:169" s="18" customFormat="1">
      <c r="A939" s="51"/>
      <c r="B939" s="52"/>
      <c r="C939" s="52"/>
      <c r="D939" s="52"/>
      <c r="E939" s="52"/>
      <c r="F939" s="52"/>
      <c r="G939" s="52"/>
      <c r="H939" s="53"/>
      <c r="I939" s="52"/>
      <c r="J939" s="52"/>
      <c r="K939" s="19"/>
      <c r="L939" s="19"/>
      <c r="M939" s="19"/>
      <c r="N939" s="19"/>
      <c r="O939" s="19"/>
      <c r="P939" s="19"/>
      <c r="Q939" s="19"/>
      <c r="R939" s="19"/>
      <c r="S939" s="19"/>
      <c r="T939" s="19"/>
      <c r="U939" s="19"/>
      <c r="V939" s="19"/>
      <c r="W939" s="19"/>
      <c r="X939" s="19"/>
      <c r="Y939" s="19"/>
      <c r="Z939" s="19"/>
      <c r="AA939" s="19"/>
      <c r="AB939" s="19"/>
      <c r="AC939" s="19"/>
      <c r="AD939" s="19"/>
      <c r="AE939" s="19"/>
      <c r="AF939" s="19"/>
      <c r="AG939" s="19"/>
      <c r="AH939" s="19"/>
      <c r="AI939" s="19"/>
      <c r="AJ939" s="19"/>
      <c r="FM939" s="54"/>
    </row>
    <row r="940" spans="1:169" s="18" customFormat="1">
      <c r="A940" s="51"/>
      <c r="B940" s="52"/>
      <c r="C940" s="52"/>
      <c r="D940" s="52"/>
      <c r="E940" s="52"/>
      <c r="F940" s="52"/>
      <c r="G940" s="52"/>
      <c r="H940" s="53"/>
      <c r="I940" s="52"/>
      <c r="J940" s="52"/>
      <c r="K940" s="19"/>
      <c r="L940" s="19"/>
      <c r="M940" s="19"/>
      <c r="N940" s="19"/>
      <c r="O940" s="19"/>
      <c r="P940" s="19"/>
      <c r="Q940" s="19"/>
      <c r="R940" s="19"/>
      <c r="S940" s="19"/>
      <c r="T940" s="19"/>
      <c r="U940" s="19"/>
      <c r="V940" s="19"/>
      <c r="W940" s="19"/>
      <c r="X940" s="19"/>
      <c r="Y940" s="19"/>
      <c r="Z940" s="19"/>
      <c r="AA940" s="19"/>
      <c r="AB940" s="19"/>
      <c r="AC940" s="19"/>
      <c r="AD940" s="19"/>
      <c r="AE940" s="19"/>
      <c r="AF940" s="19"/>
      <c r="AG940" s="19"/>
      <c r="AH940" s="19"/>
      <c r="AI940" s="19"/>
      <c r="AJ940" s="19"/>
      <c r="FM940" s="54"/>
    </row>
    <row r="941" spans="1:169" s="18" customFormat="1">
      <c r="A941" s="51"/>
      <c r="B941" s="52"/>
      <c r="C941" s="52"/>
      <c r="D941" s="52"/>
      <c r="E941" s="52"/>
      <c r="F941" s="52"/>
      <c r="G941" s="52"/>
      <c r="H941" s="53"/>
      <c r="I941" s="52"/>
      <c r="J941" s="52"/>
      <c r="K941" s="19"/>
      <c r="L941" s="19"/>
      <c r="M941" s="19"/>
      <c r="N941" s="19"/>
      <c r="O941" s="19"/>
      <c r="P941" s="19"/>
      <c r="Q941" s="19"/>
      <c r="R941" s="19"/>
      <c r="S941" s="19"/>
      <c r="T941" s="19"/>
      <c r="U941" s="19"/>
      <c r="V941" s="19"/>
      <c r="W941" s="19"/>
      <c r="X941" s="19"/>
      <c r="Y941" s="19"/>
      <c r="Z941" s="19"/>
      <c r="AA941" s="19"/>
      <c r="AB941" s="19"/>
      <c r="AC941" s="19"/>
      <c r="AD941" s="19"/>
      <c r="AE941" s="19"/>
      <c r="AF941" s="19"/>
      <c r="AG941" s="19"/>
      <c r="AH941" s="19"/>
      <c r="AI941" s="19"/>
      <c r="AJ941" s="19"/>
      <c r="FM941" s="54"/>
    </row>
    <row r="942" spans="1:169" s="18" customFormat="1">
      <c r="A942" s="51"/>
      <c r="B942" s="52"/>
      <c r="C942" s="52"/>
      <c r="D942" s="52"/>
      <c r="E942" s="52"/>
      <c r="F942" s="52"/>
      <c r="G942" s="52"/>
      <c r="H942" s="53"/>
      <c r="I942" s="52"/>
      <c r="J942" s="52"/>
      <c r="K942" s="19"/>
      <c r="L942" s="19"/>
      <c r="M942" s="19"/>
      <c r="N942" s="19"/>
      <c r="O942" s="19"/>
      <c r="P942" s="19"/>
      <c r="Q942" s="19"/>
      <c r="R942" s="19"/>
      <c r="S942" s="19"/>
      <c r="T942" s="19"/>
      <c r="U942" s="19"/>
      <c r="V942" s="19"/>
      <c r="W942" s="19"/>
      <c r="X942" s="19"/>
      <c r="Y942" s="19"/>
      <c r="Z942" s="19"/>
      <c r="AA942" s="19"/>
      <c r="AB942" s="19"/>
      <c r="AC942" s="19"/>
      <c r="AD942" s="19"/>
      <c r="AE942" s="19"/>
      <c r="AF942" s="19"/>
      <c r="AG942" s="19"/>
      <c r="AH942" s="19"/>
      <c r="AI942" s="19"/>
      <c r="AJ942" s="19"/>
      <c r="FM942" s="54"/>
    </row>
    <row r="943" spans="1:169" s="18" customFormat="1">
      <c r="A943" s="51"/>
      <c r="B943" s="52"/>
      <c r="C943" s="52"/>
      <c r="D943" s="52"/>
      <c r="E943" s="52"/>
      <c r="F943" s="52"/>
      <c r="G943" s="52"/>
      <c r="H943" s="53"/>
      <c r="I943" s="52"/>
      <c r="J943" s="52"/>
      <c r="K943" s="19"/>
      <c r="L943" s="19"/>
      <c r="M943" s="19"/>
      <c r="N943" s="19"/>
      <c r="O943" s="19"/>
      <c r="P943" s="19"/>
      <c r="Q943" s="19"/>
      <c r="R943" s="19"/>
      <c r="S943" s="19"/>
      <c r="T943" s="19"/>
      <c r="U943" s="19"/>
      <c r="V943" s="19"/>
      <c r="W943" s="19"/>
      <c r="X943" s="19"/>
      <c r="Y943" s="19"/>
      <c r="Z943" s="19"/>
      <c r="AA943" s="19"/>
      <c r="AB943" s="19"/>
      <c r="AC943" s="19"/>
      <c r="AD943" s="19"/>
      <c r="AE943" s="19"/>
      <c r="AF943" s="19"/>
      <c r="AG943" s="19"/>
      <c r="AH943" s="19"/>
      <c r="AI943" s="19"/>
      <c r="AJ943" s="19"/>
      <c r="FM943" s="54"/>
    </row>
    <row r="944" spans="1:169" s="18" customFormat="1">
      <c r="A944" s="51"/>
      <c r="B944" s="52"/>
      <c r="C944" s="52"/>
      <c r="D944" s="52"/>
      <c r="E944" s="52"/>
      <c r="F944" s="52"/>
      <c r="G944" s="52"/>
      <c r="H944" s="53"/>
      <c r="I944" s="52"/>
      <c r="J944" s="52"/>
      <c r="K944" s="19"/>
      <c r="L944" s="19"/>
      <c r="M944" s="19"/>
      <c r="N944" s="19"/>
      <c r="O944" s="19"/>
      <c r="P944" s="19"/>
      <c r="Q944" s="19"/>
      <c r="R944" s="19"/>
      <c r="S944" s="19"/>
      <c r="T944" s="19"/>
      <c r="U944" s="19"/>
      <c r="V944" s="19"/>
      <c r="W944" s="19"/>
      <c r="X944" s="19"/>
      <c r="Y944" s="19"/>
      <c r="Z944" s="19"/>
      <c r="AA944" s="19"/>
      <c r="AB944" s="19"/>
      <c r="AC944" s="19"/>
      <c r="AD944" s="19"/>
      <c r="AE944" s="19"/>
      <c r="AF944" s="19"/>
      <c r="AG944" s="19"/>
      <c r="AH944" s="19"/>
      <c r="AI944" s="19"/>
      <c r="AJ944" s="19"/>
      <c r="FM944" s="54"/>
    </row>
    <row r="945" spans="1:169" s="18" customFormat="1">
      <c r="A945" s="51"/>
      <c r="B945" s="52"/>
      <c r="C945" s="52"/>
      <c r="D945" s="52"/>
      <c r="E945" s="52"/>
      <c r="F945" s="52"/>
      <c r="G945" s="52"/>
      <c r="H945" s="53"/>
      <c r="I945" s="52"/>
      <c r="J945" s="52"/>
      <c r="K945" s="19"/>
      <c r="L945" s="19"/>
      <c r="M945" s="19"/>
      <c r="N945" s="19"/>
      <c r="O945" s="19"/>
      <c r="P945" s="19"/>
      <c r="Q945" s="19"/>
      <c r="R945" s="19"/>
      <c r="S945" s="19"/>
      <c r="T945" s="19"/>
      <c r="U945" s="19"/>
      <c r="V945" s="19"/>
      <c r="W945" s="19"/>
      <c r="X945" s="19"/>
      <c r="Y945" s="19"/>
      <c r="Z945" s="19"/>
      <c r="AA945" s="19"/>
      <c r="AB945" s="19"/>
      <c r="AC945" s="19"/>
      <c r="AD945" s="19"/>
      <c r="AE945" s="19"/>
      <c r="AF945" s="19"/>
      <c r="AG945" s="19"/>
      <c r="AH945" s="19"/>
      <c r="AI945" s="19"/>
      <c r="AJ945" s="19"/>
      <c r="FM945" s="54"/>
    </row>
    <row r="946" spans="1:169" s="18" customFormat="1">
      <c r="A946" s="51"/>
      <c r="B946" s="52"/>
      <c r="C946" s="52"/>
      <c r="D946" s="52"/>
      <c r="E946" s="52"/>
      <c r="F946" s="52"/>
      <c r="G946" s="52"/>
      <c r="H946" s="53"/>
      <c r="I946" s="52"/>
      <c r="J946" s="52"/>
      <c r="K946" s="19"/>
      <c r="L946" s="19"/>
      <c r="M946" s="19"/>
      <c r="N946" s="19"/>
      <c r="O946" s="19"/>
      <c r="P946" s="19"/>
      <c r="Q946" s="19"/>
      <c r="R946" s="19"/>
      <c r="S946" s="19"/>
      <c r="T946" s="19"/>
      <c r="U946" s="19"/>
      <c r="V946" s="19"/>
      <c r="W946" s="19"/>
      <c r="X946" s="19"/>
      <c r="Y946" s="19"/>
      <c r="Z946" s="19"/>
      <c r="AA946" s="19"/>
      <c r="AB946" s="19"/>
      <c r="AC946" s="19"/>
      <c r="AD946" s="19"/>
      <c r="AE946" s="19"/>
      <c r="AF946" s="19"/>
      <c r="AG946" s="19"/>
      <c r="AH946" s="19"/>
      <c r="AI946" s="19"/>
      <c r="AJ946" s="19"/>
      <c r="FM946" s="54"/>
    </row>
    <row r="947" spans="1:169" s="18" customFormat="1">
      <c r="A947" s="51"/>
      <c r="B947" s="52"/>
      <c r="C947" s="52"/>
      <c r="D947" s="52"/>
      <c r="E947" s="52"/>
      <c r="F947" s="52"/>
      <c r="G947" s="52"/>
      <c r="H947" s="53"/>
      <c r="I947" s="52"/>
      <c r="J947" s="52"/>
      <c r="K947" s="19"/>
      <c r="L947" s="19"/>
      <c r="M947" s="19"/>
      <c r="N947" s="19"/>
      <c r="O947" s="19"/>
      <c r="P947" s="19"/>
      <c r="Q947" s="19"/>
      <c r="R947" s="19"/>
      <c r="S947" s="19"/>
      <c r="T947" s="19"/>
      <c r="U947" s="19"/>
      <c r="V947" s="19"/>
      <c r="W947" s="19"/>
      <c r="X947" s="19"/>
      <c r="Y947" s="19"/>
      <c r="Z947" s="19"/>
      <c r="AA947" s="19"/>
      <c r="AB947" s="19"/>
      <c r="AC947" s="19"/>
      <c r="AD947" s="19"/>
      <c r="AE947" s="19"/>
      <c r="AF947" s="19"/>
      <c r="AG947" s="19"/>
      <c r="AH947" s="19"/>
      <c r="AI947" s="19"/>
      <c r="AJ947" s="19"/>
      <c r="FM947" s="54"/>
    </row>
    <row r="948" spans="1:169" s="18" customFormat="1">
      <c r="A948" s="51"/>
      <c r="B948" s="52"/>
      <c r="C948" s="52"/>
      <c r="D948" s="52"/>
      <c r="E948" s="52"/>
      <c r="F948" s="52"/>
      <c r="G948" s="52"/>
      <c r="H948" s="53"/>
      <c r="I948" s="52"/>
      <c r="J948" s="52"/>
      <c r="K948" s="19"/>
      <c r="L948" s="19"/>
      <c r="M948" s="19"/>
      <c r="N948" s="19"/>
      <c r="O948" s="19"/>
      <c r="P948" s="19"/>
      <c r="Q948" s="19"/>
      <c r="R948" s="19"/>
      <c r="S948" s="19"/>
      <c r="T948" s="19"/>
      <c r="U948" s="19"/>
      <c r="V948" s="19"/>
      <c r="W948" s="19"/>
      <c r="X948" s="19"/>
      <c r="Y948" s="19"/>
      <c r="Z948" s="19"/>
      <c r="AA948" s="19"/>
      <c r="AB948" s="19"/>
      <c r="AC948" s="19"/>
      <c r="AD948" s="19"/>
      <c r="AE948" s="19"/>
      <c r="AF948" s="19"/>
      <c r="AG948" s="19"/>
      <c r="AH948" s="19"/>
      <c r="AI948" s="19"/>
      <c r="AJ948" s="19"/>
      <c r="FM948" s="54"/>
    </row>
    <row r="949" spans="1:169" s="18" customFormat="1">
      <c r="A949" s="51"/>
      <c r="B949" s="52"/>
      <c r="C949" s="52"/>
      <c r="D949" s="52"/>
      <c r="E949" s="52"/>
      <c r="F949" s="52"/>
      <c r="G949" s="52"/>
      <c r="H949" s="53"/>
      <c r="I949" s="52"/>
      <c r="J949" s="52"/>
      <c r="K949" s="19"/>
      <c r="L949" s="19"/>
      <c r="M949" s="19"/>
      <c r="N949" s="19"/>
      <c r="O949" s="19"/>
      <c r="P949" s="19"/>
      <c r="Q949" s="19"/>
      <c r="R949" s="19"/>
      <c r="S949" s="19"/>
      <c r="T949" s="19"/>
      <c r="U949" s="19"/>
      <c r="V949" s="19"/>
      <c r="W949" s="19"/>
      <c r="X949" s="19"/>
      <c r="Y949" s="19"/>
      <c r="Z949" s="19"/>
      <c r="AA949" s="19"/>
      <c r="AB949" s="19"/>
      <c r="AC949" s="19"/>
      <c r="AD949" s="19"/>
      <c r="AE949" s="19"/>
      <c r="AF949" s="19"/>
      <c r="AG949" s="19"/>
      <c r="AH949" s="19"/>
      <c r="AI949" s="19"/>
      <c r="AJ949" s="19"/>
      <c r="FM949" s="54"/>
    </row>
    <row r="950" spans="1:169" s="18" customFormat="1">
      <c r="A950" s="51"/>
      <c r="B950" s="52"/>
      <c r="C950" s="52"/>
      <c r="D950" s="52"/>
      <c r="E950" s="52"/>
      <c r="F950" s="52"/>
      <c r="G950" s="52"/>
      <c r="H950" s="53"/>
      <c r="I950" s="52"/>
      <c r="J950" s="52"/>
      <c r="K950" s="19"/>
      <c r="L950" s="19"/>
      <c r="M950" s="19"/>
      <c r="N950" s="19"/>
      <c r="O950" s="19"/>
      <c r="P950" s="19"/>
      <c r="Q950" s="19"/>
      <c r="R950" s="19"/>
      <c r="S950" s="19"/>
      <c r="T950" s="19"/>
      <c r="U950" s="19"/>
      <c r="V950" s="19"/>
      <c r="W950" s="19"/>
      <c r="X950" s="19"/>
      <c r="Y950" s="19"/>
      <c r="Z950" s="19"/>
      <c r="AA950" s="19"/>
      <c r="AB950" s="19"/>
      <c r="AC950" s="19"/>
      <c r="AD950" s="19"/>
      <c r="AE950" s="19"/>
      <c r="AF950" s="19"/>
      <c r="AG950" s="19"/>
      <c r="AH950" s="19"/>
      <c r="AI950" s="19"/>
      <c r="AJ950" s="19"/>
      <c r="FM950" s="54"/>
    </row>
    <row r="951" spans="1:169" s="18" customFormat="1">
      <c r="A951" s="51"/>
      <c r="B951" s="52"/>
      <c r="C951" s="52"/>
      <c r="D951" s="52"/>
      <c r="E951" s="52"/>
      <c r="F951" s="52"/>
      <c r="G951" s="52"/>
      <c r="H951" s="53"/>
      <c r="I951" s="52"/>
      <c r="J951" s="52"/>
      <c r="K951" s="19"/>
      <c r="L951" s="19"/>
      <c r="M951" s="19"/>
      <c r="N951" s="19"/>
      <c r="O951" s="19"/>
      <c r="P951" s="19"/>
      <c r="Q951" s="19"/>
      <c r="R951" s="19"/>
      <c r="S951" s="19"/>
      <c r="T951" s="19"/>
      <c r="U951" s="19"/>
      <c r="V951" s="19"/>
      <c r="W951" s="19"/>
      <c r="X951" s="19"/>
      <c r="Y951" s="19"/>
      <c r="Z951" s="19"/>
      <c r="AA951" s="19"/>
      <c r="AB951" s="19"/>
      <c r="AC951" s="19"/>
      <c r="AD951" s="19"/>
      <c r="AE951" s="19"/>
      <c r="AF951" s="19"/>
      <c r="AG951" s="19"/>
      <c r="AH951" s="19"/>
      <c r="AI951" s="19"/>
      <c r="AJ951" s="19"/>
      <c r="FM951" s="54"/>
    </row>
    <row r="952" spans="1:169" s="18" customFormat="1">
      <c r="A952" s="51"/>
      <c r="B952" s="52"/>
      <c r="C952" s="52"/>
      <c r="D952" s="52"/>
      <c r="E952" s="52"/>
      <c r="F952" s="52"/>
      <c r="G952" s="52"/>
      <c r="H952" s="53"/>
      <c r="I952" s="52"/>
      <c r="J952" s="52"/>
      <c r="K952" s="19"/>
      <c r="L952" s="19"/>
      <c r="M952" s="19"/>
      <c r="N952" s="19"/>
      <c r="O952" s="19"/>
      <c r="P952" s="19"/>
      <c r="Q952" s="19"/>
      <c r="R952" s="19"/>
      <c r="S952" s="19"/>
      <c r="T952" s="19"/>
      <c r="U952" s="19"/>
      <c r="V952" s="19"/>
      <c r="W952" s="19"/>
      <c r="X952" s="19"/>
      <c r="Y952" s="19"/>
      <c r="Z952" s="19"/>
      <c r="AA952" s="19"/>
      <c r="AB952" s="19"/>
      <c r="AC952" s="19"/>
      <c r="AD952" s="19"/>
      <c r="AE952" s="19"/>
      <c r="AF952" s="19"/>
      <c r="AG952" s="19"/>
      <c r="AH952" s="19"/>
      <c r="AI952" s="19"/>
      <c r="AJ952" s="19"/>
      <c r="FM952" s="54"/>
    </row>
    <row r="953" spans="1:169" s="18" customFormat="1">
      <c r="A953" s="51"/>
      <c r="B953" s="52"/>
      <c r="C953" s="52"/>
      <c r="D953" s="52"/>
      <c r="E953" s="52"/>
      <c r="F953" s="52"/>
      <c r="G953" s="52"/>
      <c r="H953" s="53"/>
      <c r="I953" s="52"/>
      <c r="J953" s="52"/>
      <c r="K953" s="19"/>
      <c r="L953" s="19"/>
      <c r="M953" s="19"/>
      <c r="N953" s="19"/>
      <c r="O953" s="19"/>
      <c r="P953" s="19"/>
      <c r="Q953" s="19"/>
      <c r="R953" s="19"/>
      <c r="S953" s="19"/>
      <c r="T953" s="19"/>
      <c r="U953" s="19"/>
      <c r="V953" s="19"/>
      <c r="W953" s="19"/>
      <c r="X953" s="19"/>
      <c r="Y953" s="19"/>
      <c r="Z953" s="19"/>
      <c r="AA953" s="19"/>
      <c r="AB953" s="19"/>
      <c r="AC953" s="19"/>
      <c r="AD953" s="19"/>
      <c r="AE953" s="19"/>
      <c r="AF953" s="19"/>
      <c r="AG953" s="19"/>
      <c r="AH953" s="19"/>
      <c r="AI953" s="19"/>
      <c r="AJ953" s="19"/>
      <c r="FM953" s="54"/>
    </row>
    <row r="954" spans="1:169" s="18" customFormat="1">
      <c r="A954" s="51"/>
      <c r="B954" s="52"/>
      <c r="C954" s="52"/>
      <c r="D954" s="52"/>
      <c r="E954" s="52"/>
      <c r="F954" s="52"/>
      <c r="G954" s="52"/>
      <c r="H954" s="53"/>
      <c r="I954" s="52"/>
      <c r="J954" s="52"/>
      <c r="K954" s="19"/>
      <c r="L954" s="19"/>
      <c r="M954" s="19"/>
      <c r="N954" s="19"/>
      <c r="O954" s="19"/>
      <c r="P954" s="19"/>
      <c r="Q954" s="19"/>
      <c r="R954" s="19"/>
      <c r="S954" s="19"/>
      <c r="T954" s="19"/>
      <c r="U954" s="19"/>
      <c r="V954" s="19"/>
      <c r="W954" s="19"/>
      <c r="X954" s="19"/>
      <c r="Y954" s="19"/>
      <c r="Z954" s="19"/>
      <c r="AA954" s="19"/>
      <c r="AB954" s="19"/>
      <c r="AC954" s="19"/>
      <c r="AD954" s="19"/>
      <c r="AE954" s="19"/>
      <c r="AF954" s="19"/>
      <c r="AG954" s="19"/>
      <c r="AH954" s="19"/>
      <c r="AI954" s="19"/>
      <c r="AJ954" s="19"/>
      <c r="FM954" s="54"/>
    </row>
    <row r="955" spans="1:169" s="18" customFormat="1">
      <c r="A955" s="51"/>
      <c r="B955" s="52"/>
      <c r="C955" s="52"/>
      <c r="D955" s="52"/>
      <c r="E955" s="52"/>
      <c r="F955" s="52"/>
      <c r="G955" s="52"/>
      <c r="H955" s="53"/>
      <c r="I955" s="52"/>
      <c r="J955" s="52"/>
      <c r="K955" s="19"/>
      <c r="L955" s="19"/>
      <c r="M955" s="19"/>
      <c r="N955" s="19"/>
      <c r="O955" s="19"/>
      <c r="P955" s="19"/>
      <c r="Q955" s="19"/>
      <c r="R955" s="19"/>
      <c r="S955" s="19"/>
      <c r="T955" s="19"/>
      <c r="U955" s="19"/>
      <c r="V955" s="19"/>
      <c r="W955" s="19"/>
      <c r="X955" s="19"/>
      <c r="Y955" s="19"/>
      <c r="Z955" s="19"/>
      <c r="AA955" s="19"/>
      <c r="AB955" s="19"/>
      <c r="AC955" s="19"/>
      <c r="AD955" s="19"/>
      <c r="AE955" s="19"/>
      <c r="AF955" s="19"/>
      <c r="AG955" s="19"/>
      <c r="AH955" s="19"/>
      <c r="AI955" s="19"/>
      <c r="AJ955" s="19"/>
      <c r="FM955" s="54"/>
    </row>
    <row r="956" spans="1:169" s="18" customFormat="1">
      <c r="A956" s="51"/>
      <c r="B956" s="52"/>
      <c r="C956" s="52"/>
      <c r="D956" s="52"/>
      <c r="E956" s="52"/>
      <c r="F956" s="52"/>
      <c r="G956" s="52"/>
      <c r="H956" s="53"/>
      <c r="I956" s="52"/>
      <c r="J956" s="52"/>
      <c r="K956" s="19"/>
      <c r="L956" s="19"/>
      <c r="M956" s="19"/>
      <c r="N956" s="19"/>
      <c r="O956" s="19"/>
      <c r="P956" s="19"/>
      <c r="Q956" s="19"/>
      <c r="R956" s="19"/>
      <c r="S956" s="19"/>
      <c r="T956" s="19"/>
      <c r="U956" s="19"/>
      <c r="V956" s="19"/>
      <c r="W956" s="19"/>
      <c r="X956" s="19"/>
      <c r="Y956" s="19"/>
      <c r="Z956" s="19"/>
      <c r="AA956" s="19"/>
      <c r="AB956" s="19"/>
      <c r="AC956" s="19"/>
      <c r="AD956" s="19"/>
      <c r="AE956" s="19"/>
      <c r="AF956" s="19"/>
      <c r="AG956" s="19"/>
      <c r="AH956" s="19"/>
      <c r="AI956" s="19"/>
      <c r="AJ956" s="19"/>
      <c r="FM956" s="54"/>
    </row>
    <row r="957" spans="1:169" s="18" customFormat="1">
      <c r="A957" s="51"/>
      <c r="B957" s="52"/>
      <c r="C957" s="52"/>
      <c r="D957" s="52"/>
      <c r="E957" s="52"/>
      <c r="F957" s="52"/>
      <c r="G957" s="52"/>
      <c r="H957" s="53"/>
      <c r="I957" s="52"/>
      <c r="J957" s="52"/>
      <c r="K957" s="19"/>
      <c r="L957" s="19"/>
      <c r="M957" s="19"/>
      <c r="N957" s="19"/>
      <c r="O957" s="19"/>
      <c r="P957" s="19"/>
      <c r="Q957" s="19"/>
      <c r="R957" s="19"/>
      <c r="S957" s="19"/>
      <c r="T957" s="19"/>
      <c r="U957" s="19"/>
      <c r="V957" s="19"/>
      <c r="W957" s="19"/>
      <c r="X957" s="19"/>
      <c r="Y957" s="19"/>
      <c r="Z957" s="19"/>
      <c r="AA957" s="19"/>
      <c r="AB957" s="19"/>
      <c r="AC957" s="19"/>
      <c r="AD957" s="19"/>
      <c r="AE957" s="19"/>
      <c r="AF957" s="19"/>
      <c r="AG957" s="19"/>
      <c r="AH957" s="19"/>
      <c r="AI957" s="19"/>
      <c r="AJ957" s="19"/>
      <c r="FM957" s="54"/>
    </row>
    <row r="958" spans="1:169" s="18" customFormat="1">
      <c r="A958" s="51"/>
      <c r="B958" s="52"/>
      <c r="C958" s="52"/>
      <c r="D958" s="52"/>
      <c r="E958" s="52"/>
      <c r="F958" s="52"/>
      <c r="G958" s="52"/>
      <c r="H958" s="53"/>
      <c r="I958" s="52"/>
      <c r="J958" s="52"/>
      <c r="K958" s="19"/>
      <c r="L958" s="19"/>
      <c r="M958" s="19"/>
      <c r="N958" s="19"/>
      <c r="O958" s="19"/>
      <c r="P958" s="19"/>
      <c r="Q958" s="19"/>
      <c r="R958" s="19"/>
      <c r="S958" s="19"/>
      <c r="T958" s="19"/>
      <c r="U958" s="19"/>
      <c r="V958" s="19"/>
      <c r="W958" s="19"/>
      <c r="X958" s="19"/>
      <c r="Y958" s="19"/>
      <c r="Z958" s="19"/>
      <c r="AA958" s="19"/>
      <c r="AB958" s="19"/>
      <c r="AC958" s="19"/>
      <c r="AD958" s="19"/>
      <c r="AE958" s="19"/>
      <c r="AF958" s="19"/>
      <c r="AG958" s="19"/>
      <c r="AH958" s="19"/>
      <c r="AI958" s="19"/>
      <c r="AJ958" s="19"/>
      <c r="FM958" s="54"/>
    </row>
    <row r="959" spans="1:169" s="18" customFormat="1">
      <c r="A959" s="51"/>
      <c r="B959" s="52"/>
      <c r="C959" s="52"/>
      <c r="D959" s="52"/>
      <c r="E959" s="52"/>
      <c r="F959" s="52"/>
      <c r="G959" s="52"/>
      <c r="H959" s="53"/>
      <c r="I959" s="52"/>
      <c r="J959" s="52"/>
      <c r="K959" s="19"/>
      <c r="L959" s="19"/>
      <c r="M959" s="19"/>
      <c r="N959" s="19"/>
      <c r="O959" s="19"/>
      <c r="P959" s="19"/>
      <c r="Q959" s="19"/>
      <c r="R959" s="19"/>
      <c r="S959" s="19"/>
      <c r="T959" s="19"/>
      <c r="U959" s="19"/>
      <c r="V959" s="19"/>
      <c r="W959" s="19"/>
      <c r="X959" s="19"/>
      <c r="Y959" s="19"/>
      <c r="Z959" s="19"/>
      <c r="AA959" s="19"/>
      <c r="AB959" s="19"/>
      <c r="AC959" s="19"/>
      <c r="AD959" s="19"/>
      <c r="AE959" s="19"/>
      <c r="AF959" s="19"/>
      <c r="AG959" s="19"/>
      <c r="AH959" s="19"/>
      <c r="AI959" s="19"/>
      <c r="AJ959" s="19"/>
      <c r="FM959" s="54"/>
    </row>
    <row r="960" spans="1:169" s="18" customFormat="1">
      <c r="A960" s="51"/>
      <c r="B960" s="52"/>
      <c r="C960" s="52"/>
      <c r="D960" s="52"/>
      <c r="E960" s="52"/>
      <c r="F960" s="52"/>
      <c r="G960" s="52"/>
      <c r="H960" s="53"/>
      <c r="I960" s="52"/>
      <c r="J960" s="52"/>
      <c r="K960" s="19"/>
      <c r="L960" s="19"/>
      <c r="M960" s="19"/>
      <c r="N960" s="19"/>
      <c r="O960" s="19"/>
      <c r="P960" s="19"/>
      <c r="Q960" s="19"/>
      <c r="R960" s="19"/>
      <c r="S960" s="19"/>
      <c r="T960" s="19"/>
      <c r="U960" s="19"/>
      <c r="V960" s="19"/>
      <c r="W960" s="19"/>
      <c r="X960" s="19"/>
      <c r="Y960" s="19"/>
      <c r="Z960" s="19"/>
      <c r="AA960" s="19"/>
      <c r="AB960" s="19"/>
      <c r="AC960" s="19"/>
      <c r="AD960" s="19"/>
      <c r="AE960" s="19"/>
      <c r="AF960" s="19"/>
      <c r="AG960" s="19"/>
      <c r="AH960" s="19"/>
      <c r="AI960" s="19"/>
      <c r="AJ960" s="19"/>
      <c r="FM960" s="54"/>
    </row>
    <row r="961" spans="1:169" s="18" customFormat="1">
      <c r="A961" s="51"/>
      <c r="B961" s="52"/>
      <c r="C961" s="52"/>
      <c r="D961" s="52"/>
      <c r="E961" s="52"/>
      <c r="F961" s="52"/>
      <c r="G961" s="52"/>
      <c r="H961" s="53"/>
      <c r="I961" s="52"/>
      <c r="J961" s="52"/>
      <c r="K961" s="19"/>
      <c r="L961" s="19"/>
      <c r="M961" s="19"/>
      <c r="N961" s="19"/>
      <c r="O961" s="19"/>
      <c r="P961" s="19"/>
      <c r="Q961" s="19"/>
      <c r="R961" s="19"/>
      <c r="S961" s="19"/>
      <c r="T961" s="19"/>
      <c r="U961" s="19"/>
      <c r="V961" s="19"/>
      <c r="W961" s="19"/>
      <c r="X961" s="19"/>
      <c r="Y961" s="19"/>
      <c r="Z961" s="19"/>
      <c r="AA961" s="19"/>
      <c r="AB961" s="19"/>
      <c r="AC961" s="19"/>
      <c r="AD961" s="19"/>
      <c r="AE961" s="19"/>
      <c r="AF961" s="19"/>
      <c r="AG961" s="19"/>
      <c r="AH961" s="19"/>
      <c r="AI961" s="19"/>
      <c r="AJ961" s="19"/>
      <c r="FM961" s="54"/>
    </row>
    <row r="962" spans="1:169" s="18" customFormat="1">
      <c r="A962" s="51"/>
      <c r="B962" s="52"/>
      <c r="C962" s="52"/>
      <c r="D962" s="52"/>
      <c r="E962" s="52"/>
      <c r="F962" s="52"/>
      <c r="G962" s="52"/>
      <c r="H962" s="53"/>
      <c r="I962" s="52"/>
      <c r="J962" s="52"/>
      <c r="K962" s="19"/>
      <c r="L962" s="19"/>
      <c r="M962" s="19"/>
      <c r="N962" s="19"/>
      <c r="O962" s="19"/>
      <c r="P962" s="19"/>
      <c r="Q962" s="19"/>
      <c r="R962" s="19"/>
      <c r="S962" s="19"/>
      <c r="T962" s="19"/>
      <c r="U962" s="19"/>
      <c r="V962" s="19"/>
      <c r="W962" s="19"/>
      <c r="X962" s="19"/>
      <c r="Y962" s="19"/>
      <c r="Z962" s="19"/>
      <c r="AA962" s="19"/>
      <c r="AB962" s="19"/>
      <c r="AC962" s="19"/>
      <c r="AD962" s="19"/>
      <c r="AE962" s="19"/>
      <c r="AF962" s="19"/>
      <c r="AG962" s="19"/>
      <c r="AH962" s="19"/>
      <c r="AI962" s="19"/>
      <c r="AJ962" s="19"/>
      <c r="FM962" s="54"/>
    </row>
    <row r="963" spans="1:169" s="18" customFormat="1">
      <c r="A963" s="51"/>
      <c r="B963" s="52"/>
      <c r="C963" s="52"/>
      <c r="D963" s="52"/>
      <c r="E963" s="52"/>
      <c r="F963" s="52"/>
      <c r="G963" s="52"/>
      <c r="H963" s="53"/>
      <c r="I963" s="52"/>
      <c r="J963" s="52"/>
      <c r="K963" s="19"/>
      <c r="L963" s="19"/>
      <c r="M963" s="19"/>
      <c r="N963" s="19"/>
      <c r="O963" s="19"/>
      <c r="P963" s="19"/>
      <c r="Q963" s="19"/>
      <c r="R963" s="19"/>
      <c r="S963" s="19"/>
      <c r="T963" s="19"/>
      <c r="U963" s="19"/>
      <c r="V963" s="19"/>
      <c r="W963" s="19"/>
      <c r="X963" s="19"/>
      <c r="Y963" s="19"/>
      <c r="Z963" s="19"/>
      <c r="AA963" s="19"/>
      <c r="AB963" s="19"/>
      <c r="AC963" s="19"/>
      <c r="AD963" s="19"/>
      <c r="AE963" s="19"/>
      <c r="AF963" s="19"/>
      <c r="AG963" s="19"/>
      <c r="AH963" s="19"/>
      <c r="AI963" s="19"/>
      <c r="AJ963" s="19"/>
      <c r="FM963" s="54"/>
    </row>
    <row r="964" spans="1:169" s="18" customFormat="1">
      <c r="A964" s="51"/>
      <c r="B964" s="52"/>
      <c r="C964" s="52"/>
      <c r="D964" s="52"/>
      <c r="E964" s="52"/>
      <c r="F964" s="52"/>
      <c r="G964" s="52"/>
      <c r="H964" s="53"/>
      <c r="I964" s="52"/>
      <c r="J964" s="52"/>
      <c r="K964" s="19"/>
      <c r="L964" s="19"/>
      <c r="M964" s="19"/>
      <c r="N964" s="19"/>
      <c r="O964" s="19"/>
      <c r="P964" s="19"/>
      <c r="Q964" s="19"/>
      <c r="R964" s="19"/>
      <c r="S964" s="19"/>
      <c r="T964" s="19"/>
      <c r="U964" s="19"/>
      <c r="V964" s="19"/>
      <c r="W964" s="19"/>
      <c r="X964" s="19"/>
      <c r="Y964" s="19"/>
      <c r="Z964" s="19"/>
      <c r="AA964" s="19"/>
      <c r="AB964" s="19"/>
      <c r="AC964" s="19"/>
      <c r="AD964" s="19"/>
      <c r="AE964" s="19"/>
      <c r="AF964" s="19"/>
      <c r="AG964" s="19"/>
      <c r="AH964" s="19"/>
      <c r="AI964" s="19"/>
      <c r="AJ964" s="19"/>
      <c r="FM964" s="54"/>
    </row>
    <row r="965" spans="1:169" s="18" customFormat="1">
      <c r="A965" s="51"/>
      <c r="B965" s="52"/>
      <c r="C965" s="52"/>
      <c r="D965" s="52"/>
      <c r="E965" s="52"/>
      <c r="F965" s="52"/>
      <c r="G965" s="52"/>
      <c r="H965" s="53"/>
      <c r="I965" s="52"/>
      <c r="J965" s="52"/>
      <c r="K965" s="19"/>
      <c r="L965" s="19"/>
      <c r="M965" s="19"/>
      <c r="N965" s="19"/>
      <c r="O965" s="19"/>
      <c r="P965" s="19"/>
      <c r="Q965" s="19"/>
      <c r="R965" s="19"/>
      <c r="S965" s="19"/>
      <c r="T965" s="19"/>
      <c r="U965" s="19"/>
      <c r="V965" s="19"/>
      <c r="W965" s="19"/>
      <c r="X965" s="19"/>
      <c r="Y965" s="19"/>
      <c r="Z965" s="19"/>
      <c r="AA965" s="19"/>
      <c r="AB965" s="19"/>
      <c r="AC965" s="19"/>
      <c r="AD965" s="19"/>
      <c r="AE965" s="19"/>
      <c r="AF965" s="19"/>
      <c r="AG965" s="19"/>
      <c r="AH965" s="19"/>
      <c r="AI965" s="19"/>
      <c r="AJ965" s="19"/>
      <c r="FM965" s="54"/>
    </row>
    <row r="966" spans="1:169" s="18" customFormat="1">
      <c r="A966" s="51"/>
      <c r="B966" s="52"/>
      <c r="C966" s="52"/>
      <c r="D966" s="52"/>
      <c r="E966" s="52"/>
      <c r="F966" s="52"/>
      <c r="G966" s="52"/>
      <c r="H966" s="53"/>
      <c r="I966" s="52"/>
      <c r="J966" s="52"/>
      <c r="K966" s="19"/>
      <c r="L966" s="19"/>
      <c r="M966" s="19"/>
      <c r="N966" s="19"/>
      <c r="O966" s="19"/>
      <c r="P966" s="19"/>
      <c r="Q966" s="19"/>
      <c r="R966" s="19"/>
      <c r="S966" s="19"/>
      <c r="T966" s="19"/>
      <c r="U966" s="19"/>
      <c r="V966" s="19"/>
      <c r="W966" s="19"/>
      <c r="X966" s="19"/>
      <c r="Y966" s="19"/>
      <c r="Z966" s="19"/>
      <c r="AA966" s="19"/>
      <c r="AB966" s="19"/>
      <c r="AC966" s="19"/>
      <c r="AD966" s="19"/>
      <c r="AE966" s="19"/>
      <c r="AF966" s="19"/>
      <c r="AG966" s="19"/>
      <c r="AH966" s="19"/>
      <c r="AI966" s="19"/>
      <c r="AJ966" s="19"/>
      <c r="FM966" s="54"/>
    </row>
    <row r="967" spans="1:169" s="18" customFormat="1">
      <c r="A967" s="51"/>
      <c r="B967" s="52"/>
      <c r="C967" s="52"/>
      <c r="D967" s="52"/>
      <c r="E967" s="52"/>
      <c r="F967" s="52"/>
      <c r="G967" s="52"/>
      <c r="H967" s="53"/>
      <c r="I967" s="52"/>
      <c r="J967" s="52"/>
      <c r="K967" s="19"/>
      <c r="L967" s="19"/>
      <c r="M967" s="19"/>
      <c r="N967" s="19"/>
      <c r="O967" s="19"/>
      <c r="P967" s="19"/>
      <c r="Q967" s="19"/>
      <c r="R967" s="19"/>
      <c r="S967" s="19"/>
      <c r="T967" s="19"/>
      <c r="U967" s="19"/>
      <c r="V967" s="19"/>
      <c r="W967" s="19"/>
      <c r="X967" s="19"/>
      <c r="Y967" s="19"/>
      <c r="Z967" s="19"/>
      <c r="AA967" s="19"/>
      <c r="AB967" s="19"/>
      <c r="AC967" s="19"/>
      <c r="AD967" s="19"/>
      <c r="AE967" s="19"/>
      <c r="AF967" s="19"/>
      <c r="AG967" s="19"/>
      <c r="AH967" s="19"/>
      <c r="AI967" s="19"/>
      <c r="AJ967" s="19"/>
      <c r="FM967" s="54"/>
    </row>
    <row r="968" spans="1:169" s="18" customFormat="1">
      <c r="A968" s="51"/>
      <c r="B968" s="52"/>
      <c r="C968" s="52"/>
      <c r="D968" s="52"/>
      <c r="E968" s="52"/>
      <c r="F968" s="52"/>
      <c r="G968" s="52"/>
      <c r="H968" s="53"/>
      <c r="I968" s="52"/>
      <c r="J968" s="52"/>
      <c r="K968" s="19"/>
      <c r="L968" s="19"/>
      <c r="M968" s="19"/>
      <c r="N968" s="19"/>
      <c r="O968" s="19"/>
      <c r="P968" s="19"/>
      <c r="Q968" s="19"/>
      <c r="R968" s="19"/>
      <c r="S968" s="19"/>
      <c r="T968" s="19"/>
      <c r="U968" s="19"/>
      <c r="V968" s="19"/>
      <c r="W968" s="19"/>
      <c r="X968" s="19"/>
      <c r="Y968" s="19"/>
      <c r="Z968" s="19"/>
      <c r="AA968" s="19"/>
      <c r="AB968" s="19"/>
      <c r="AC968" s="19"/>
      <c r="AD968" s="19"/>
      <c r="AE968" s="19"/>
      <c r="AF968" s="19"/>
      <c r="AG968" s="19"/>
      <c r="AH968" s="19"/>
      <c r="AI968" s="19"/>
      <c r="AJ968" s="19"/>
      <c r="FM968" s="54"/>
    </row>
    <row r="969" spans="1:169" s="18" customFormat="1">
      <c r="A969" s="51"/>
      <c r="B969" s="52"/>
      <c r="C969" s="52"/>
      <c r="D969" s="52"/>
      <c r="E969" s="52"/>
      <c r="F969" s="52"/>
      <c r="G969" s="52"/>
      <c r="H969" s="53"/>
      <c r="I969" s="52"/>
      <c r="J969" s="52"/>
      <c r="K969" s="19"/>
      <c r="L969" s="19"/>
      <c r="M969" s="19"/>
      <c r="N969" s="19"/>
      <c r="O969" s="19"/>
      <c r="P969" s="19"/>
      <c r="Q969" s="19"/>
      <c r="R969" s="19"/>
      <c r="S969" s="19"/>
      <c r="T969" s="19"/>
      <c r="U969" s="19"/>
      <c r="V969" s="19"/>
      <c r="W969" s="19"/>
      <c r="X969" s="19"/>
      <c r="Y969" s="19"/>
      <c r="Z969" s="19"/>
      <c r="AA969" s="19"/>
      <c r="AB969" s="19"/>
      <c r="AC969" s="19"/>
      <c r="AD969" s="19"/>
      <c r="AE969" s="19"/>
      <c r="AF969" s="19"/>
      <c r="AG969" s="19"/>
      <c r="AH969" s="19"/>
      <c r="AI969" s="19"/>
      <c r="AJ969" s="19"/>
      <c r="FM969" s="54"/>
    </row>
    <row r="970" spans="1:169" s="18" customFormat="1">
      <c r="A970" s="51"/>
      <c r="B970" s="52"/>
      <c r="C970" s="52"/>
      <c r="D970" s="52"/>
      <c r="E970" s="52"/>
      <c r="F970" s="52"/>
      <c r="G970" s="52"/>
      <c r="H970" s="53"/>
      <c r="I970" s="52"/>
      <c r="J970" s="52"/>
      <c r="K970" s="19"/>
      <c r="L970" s="19"/>
      <c r="M970" s="19"/>
      <c r="N970" s="19"/>
      <c r="O970" s="19"/>
      <c r="P970" s="19"/>
      <c r="Q970" s="19"/>
      <c r="R970" s="19"/>
      <c r="S970" s="19"/>
      <c r="T970" s="19"/>
      <c r="U970" s="19"/>
      <c r="V970" s="19"/>
      <c r="W970" s="19"/>
      <c r="X970" s="19"/>
      <c r="Y970" s="19"/>
      <c r="Z970" s="19"/>
      <c r="AA970" s="19"/>
      <c r="AB970" s="19"/>
      <c r="AC970" s="19"/>
      <c r="AD970" s="19"/>
      <c r="AE970" s="19"/>
      <c r="AF970" s="19"/>
      <c r="AG970" s="19"/>
      <c r="AH970" s="19"/>
      <c r="AI970" s="19"/>
      <c r="AJ970" s="19"/>
      <c r="FM970" s="54"/>
    </row>
    <row r="971" spans="1:169" s="18" customFormat="1">
      <c r="A971" s="51"/>
      <c r="B971" s="52"/>
      <c r="C971" s="52"/>
      <c r="D971" s="52"/>
      <c r="E971" s="52"/>
      <c r="F971" s="52"/>
      <c r="G971" s="52"/>
      <c r="H971" s="53"/>
      <c r="I971" s="52"/>
      <c r="J971" s="52"/>
      <c r="K971" s="19"/>
      <c r="L971" s="19"/>
      <c r="M971" s="19"/>
      <c r="N971" s="19"/>
      <c r="O971" s="19"/>
      <c r="P971" s="19"/>
      <c r="Q971" s="19"/>
      <c r="R971" s="19"/>
      <c r="S971" s="19"/>
      <c r="T971" s="19"/>
      <c r="U971" s="19"/>
      <c r="V971" s="19"/>
      <c r="W971" s="19"/>
      <c r="X971" s="19"/>
      <c r="Y971" s="19"/>
      <c r="Z971" s="19"/>
      <c r="AA971" s="19"/>
      <c r="AB971" s="19"/>
      <c r="AC971" s="19"/>
      <c r="AD971" s="19"/>
      <c r="AE971" s="19"/>
      <c r="AF971" s="19"/>
      <c r="AG971" s="19"/>
      <c r="AH971" s="19"/>
      <c r="AI971" s="19"/>
      <c r="AJ971" s="19"/>
      <c r="FM971" s="54"/>
    </row>
    <row r="972" spans="1:169" s="18" customFormat="1">
      <c r="A972" s="51"/>
      <c r="B972" s="52"/>
      <c r="C972" s="52"/>
      <c r="D972" s="52"/>
      <c r="E972" s="52"/>
      <c r="F972" s="52"/>
      <c r="G972" s="52"/>
      <c r="H972" s="53"/>
      <c r="I972" s="52"/>
      <c r="J972" s="52"/>
      <c r="K972" s="19"/>
      <c r="L972" s="19"/>
      <c r="M972" s="19"/>
      <c r="N972" s="19"/>
      <c r="O972" s="19"/>
      <c r="P972" s="19"/>
      <c r="Q972" s="19"/>
      <c r="R972" s="19"/>
      <c r="S972" s="19"/>
      <c r="T972" s="19"/>
      <c r="U972" s="19"/>
      <c r="V972" s="19"/>
      <c r="W972" s="19"/>
      <c r="X972" s="19"/>
      <c r="Y972" s="19"/>
      <c r="Z972" s="19"/>
      <c r="AA972" s="19"/>
      <c r="AB972" s="19"/>
      <c r="AC972" s="19"/>
      <c r="AD972" s="19"/>
      <c r="AE972" s="19"/>
      <c r="AF972" s="19"/>
      <c r="AG972" s="19"/>
      <c r="AH972" s="19"/>
      <c r="AI972" s="19"/>
      <c r="AJ972" s="19"/>
      <c r="FM972" s="54"/>
    </row>
    <row r="973" spans="1:169" s="18" customFormat="1">
      <c r="A973" s="51"/>
      <c r="B973" s="52"/>
      <c r="C973" s="52"/>
      <c r="D973" s="52"/>
      <c r="E973" s="52"/>
      <c r="F973" s="52"/>
      <c r="G973" s="52"/>
      <c r="H973" s="53"/>
      <c r="I973" s="52"/>
      <c r="J973" s="52"/>
      <c r="K973" s="19"/>
      <c r="L973" s="19"/>
      <c r="M973" s="19"/>
      <c r="N973" s="19"/>
      <c r="O973" s="19"/>
      <c r="P973" s="19"/>
      <c r="Q973" s="19"/>
      <c r="R973" s="19"/>
      <c r="S973" s="19"/>
      <c r="T973" s="19"/>
      <c r="U973" s="19"/>
      <c r="V973" s="19"/>
      <c r="W973" s="19"/>
      <c r="X973" s="19"/>
      <c r="Y973" s="19"/>
      <c r="Z973" s="19"/>
      <c r="AA973" s="19"/>
      <c r="AB973" s="19"/>
      <c r="AC973" s="19"/>
      <c r="AD973" s="19"/>
      <c r="AE973" s="19"/>
      <c r="AF973" s="19"/>
      <c r="AG973" s="19"/>
      <c r="AH973" s="19"/>
      <c r="AI973" s="19"/>
      <c r="AJ973" s="19"/>
      <c r="FM973" s="54"/>
    </row>
    <row r="974" spans="1:169" s="18" customFormat="1">
      <c r="A974" s="51"/>
      <c r="B974" s="52"/>
      <c r="C974" s="52"/>
      <c r="D974" s="52"/>
      <c r="E974" s="52"/>
      <c r="F974" s="52"/>
      <c r="G974" s="52"/>
      <c r="H974" s="53"/>
      <c r="I974" s="52"/>
      <c r="J974" s="52"/>
      <c r="K974" s="19"/>
      <c r="L974" s="19"/>
      <c r="M974" s="19"/>
      <c r="N974" s="19"/>
      <c r="O974" s="19"/>
      <c r="P974" s="19"/>
      <c r="Q974" s="19"/>
      <c r="R974" s="19"/>
      <c r="S974" s="19"/>
      <c r="T974" s="19"/>
      <c r="U974" s="19"/>
      <c r="V974" s="19"/>
      <c r="W974" s="19"/>
      <c r="X974" s="19"/>
      <c r="Y974" s="19"/>
      <c r="Z974" s="19"/>
      <c r="AA974" s="19"/>
      <c r="AB974" s="19"/>
      <c r="AC974" s="19"/>
      <c r="AD974" s="19"/>
      <c r="AE974" s="19"/>
      <c r="AF974" s="19"/>
      <c r="AG974" s="19"/>
      <c r="AH974" s="19"/>
      <c r="AI974" s="19"/>
      <c r="AJ974" s="19"/>
      <c r="FM974" s="54"/>
    </row>
    <row r="975" spans="1:169" s="18" customFormat="1">
      <c r="A975" s="51"/>
      <c r="B975" s="52"/>
      <c r="C975" s="52"/>
      <c r="D975" s="52"/>
      <c r="E975" s="52"/>
      <c r="F975" s="52"/>
      <c r="G975" s="52"/>
      <c r="H975" s="53"/>
      <c r="I975" s="52"/>
      <c r="J975" s="52"/>
      <c r="K975" s="19"/>
      <c r="L975" s="19"/>
      <c r="M975" s="19"/>
      <c r="N975" s="19"/>
      <c r="O975" s="19"/>
      <c r="P975" s="19"/>
      <c r="Q975" s="19"/>
      <c r="R975" s="19"/>
      <c r="S975" s="19"/>
      <c r="T975" s="19"/>
      <c r="U975" s="19"/>
      <c r="V975" s="19"/>
      <c r="W975" s="19"/>
      <c r="X975" s="19"/>
      <c r="Y975" s="19"/>
      <c r="Z975" s="19"/>
      <c r="AA975" s="19"/>
      <c r="AB975" s="19"/>
      <c r="AC975" s="19"/>
      <c r="AD975" s="19"/>
      <c r="AE975" s="19"/>
      <c r="AF975" s="19"/>
      <c r="AG975" s="19"/>
      <c r="AH975" s="19"/>
      <c r="AI975" s="19"/>
      <c r="AJ975" s="19"/>
      <c r="FM975" s="54"/>
    </row>
    <row r="976" spans="1:169" s="18" customFormat="1">
      <c r="A976" s="51"/>
      <c r="B976" s="52"/>
      <c r="C976" s="52"/>
      <c r="D976" s="52"/>
      <c r="E976" s="52"/>
      <c r="F976" s="52"/>
      <c r="G976" s="52"/>
      <c r="H976" s="53"/>
      <c r="I976" s="52"/>
      <c r="J976" s="52"/>
      <c r="K976" s="19"/>
      <c r="L976" s="19"/>
      <c r="M976" s="19"/>
      <c r="N976" s="19"/>
      <c r="O976" s="19"/>
      <c r="P976" s="19"/>
      <c r="Q976" s="19"/>
      <c r="R976" s="19"/>
      <c r="S976" s="19"/>
      <c r="T976" s="19"/>
      <c r="U976" s="19"/>
      <c r="V976" s="19"/>
      <c r="W976" s="19"/>
      <c r="X976" s="19"/>
      <c r="Y976" s="19"/>
      <c r="Z976" s="19"/>
      <c r="AA976" s="19"/>
      <c r="AB976" s="19"/>
      <c r="AC976" s="19"/>
      <c r="AD976" s="19"/>
      <c r="AE976" s="19"/>
      <c r="AF976" s="19"/>
      <c r="AG976" s="19"/>
      <c r="AH976" s="19"/>
      <c r="AI976" s="19"/>
      <c r="AJ976" s="19"/>
      <c r="FM976" s="54"/>
    </row>
    <row r="977" spans="1:169" s="18" customFormat="1">
      <c r="A977" s="51"/>
      <c r="B977" s="52"/>
      <c r="C977" s="52"/>
      <c r="D977" s="52"/>
      <c r="E977" s="52"/>
      <c r="F977" s="52"/>
      <c r="G977" s="52"/>
      <c r="H977" s="53"/>
      <c r="I977" s="52"/>
      <c r="J977" s="52"/>
      <c r="K977" s="19"/>
      <c r="L977" s="19"/>
      <c r="M977" s="19"/>
      <c r="N977" s="19"/>
      <c r="O977" s="19"/>
      <c r="P977" s="19"/>
      <c r="Q977" s="19"/>
      <c r="R977" s="19"/>
      <c r="S977" s="19"/>
      <c r="T977" s="19"/>
      <c r="U977" s="19"/>
      <c r="V977" s="19"/>
      <c r="W977" s="19"/>
      <c r="X977" s="19"/>
      <c r="Y977" s="19"/>
      <c r="Z977" s="19"/>
      <c r="AA977" s="19"/>
      <c r="AB977" s="19"/>
      <c r="AC977" s="19"/>
      <c r="AD977" s="19"/>
      <c r="AE977" s="19"/>
      <c r="AF977" s="19"/>
      <c r="AG977" s="19"/>
      <c r="AH977" s="19"/>
      <c r="AI977" s="19"/>
      <c r="AJ977" s="19"/>
      <c r="FM977" s="54"/>
    </row>
    <row r="978" spans="1:169" s="18" customFormat="1">
      <c r="A978" s="51"/>
      <c r="B978" s="52"/>
      <c r="C978" s="52"/>
      <c r="D978" s="52"/>
      <c r="E978" s="52"/>
      <c r="F978" s="52"/>
      <c r="G978" s="52"/>
      <c r="H978" s="53"/>
      <c r="I978" s="52"/>
      <c r="J978" s="52"/>
      <c r="K978" s="19"/>
      <c r="L978" s="19"/>
      <c r="M978" s="19"/>
      <c r="N978" s="19"/>
      <c r="O978" s="19"/>
      <c r="P978" s="19"/>
      <c r="Q978" s="19"/>
      <c r="R978" s="19"/>
      <c r="S978" s="19"/>
      <c r="T978" s="19"/>
      <c r="U978" s="19"/>
      <c r="V978" s="19"/>
      <c r="W978" s="19"/>
      <c r="X978" s="19"/>
      <c r="Y978" s="19"/>
      <c r="Z978" s="19"/>
      <c r="AA978" s="19"/>
      <c r="AB978" s="19"/>
      <c r="AC978" s="19"/>
      <c r="AD978" s="19"/>
      <c r="AE978" s="19"/>
      <c r="AF978" s="19"/>
      <c r="AG978" s="19"/>
      <c r="AH978" s="19"/>
      <c r="AI978" s="19"/>
      <c r="AJ978" s="19"/>
      <c r="FM978" s="54"/>
    </row>
    <row r="979" spans="1:169" s="18" customFormat="1">
      <c r="A979" s="51"/>
      <c r="B979" s="52"/>
      <c r="C979" s="52"/>
      <c r="D979" s="52"/>
      <c r="E979" s="52"/>
      <c r="F979" s="52"/>
      <c r="G979" s="52"/>
      <c r="H979" s="53"/>
      <c r="I979" s="52"/>
      <c r="J979" s="52"/>
      <c r="K979" s="19"/>
      <c r="L979" s="19"/>
      <c r="M979" s="19"/>
      <c r="N979" s="19"/>
      <c r="O979" s="19"/>
      <c r="P979" s="19"/>
      <c r="Q979" s="19"/>
      <c r="R979" s="19"/>
      <c r="S979" s="19"/>
      <c r="T979" s="19"/>
      <c r="U979" s="19"/>
      <c r="V979" s="19"/>
      <c r="W979" s="19"/>
      <c r="X979" s="19"/>
      <c r="Y979" s="19"/>
      <c r="Z979" s="19"/>
      <c r="AA979" s="19"/>
      <c r="AB979" s="19"/>
      <c r="AC979" s="19"/>
      <c r="AD979" s="19"/>
      <c r="AE979" s="19"/>
      <c r="AF979" s="19"/>
      <c r="AG979" s="19"/>
      <c r="AH979" s="19"/>
      <c r="AI979" s="19"/>
      <c r="AJ979" s="19"/>
      <c r="FM979" s="54"/>
    </row>
    <row r="980" spans="1:169" s="18" customFormat="1">
      <c r="A980" s="51"/>
      <c r="B980" s="52"/>
      <c r="C980" s="52"/>
      <c r="D980" s="52"/>
      <c r="E980" s="52"/>
      <c r="F980" s="52"/>
      <c r="G980" s="52"/>
      <c r="H980" s="53"/>
      <c r="I980" s="52"/>
      <c r="J980" s="52"/>
      <c r="K980" s="19"/>
      <c r="L980" s="19"/>
      <c r="M980" s="19"/>
      <c r="N980" s="19"/>
      <c r="O980" s="19"/>
      <c r="P980" s="19"/>
      <c r="Q980" s="19"/>
      <c r="R980" s="19"/>
      <c r="S980" s="19"/>
      <c r="T980" s="19"/>
      <c r="U980" s="19"/>
      <c r="V980" s="19"/>
      <c r="W980" s="19"/>
      <c r="X980" s="19"/>
      <c r="Y980" s="19"/>
      <c r="Z980" s="19"/>
      <c r="AA980" s="19"/>
      <c r="AB980" s="19"/>
      <c r="AC980" s="19"/>
      <c r="AD980" s="19"/>
      <c r="AE980" s="19"/>
      <c r="AF980" s="19"/>
      <c r="AG980" s="19"/>
      <c r="AH980" s="19"/>
      <c r="AI980" s="19"/>
      <c r="AJ980" s="19"/>
      <c r="FM980" s="54"/>
    </row>
    <row r="981" spans="1:169" s="18" customFormat="1">
      <c r="A981" s="51"/>
      <c r="B981" s="52"/>
      <c r="C981" s="52"/>
      <c r="D981" s="52"/>
      <c r="E981" s="52"/>
      <c r="F981" s="52"/>
      <c r="G981" s="52"/>
      <c r="H981" s="53"/>
      <c r="I981" s="52"/>
      <c r="J981" s="52"/>
      <c r="K981" s="19"/>
      <c r="L981" s="19"/>
      <c r="M981" s="19"/>
      <c r="N981" s="19"/>
      <c r="O981" s="19"/>
      <c r="P981" s="19"/>
      <c r="Q981" s="19"/>
      <c r="R981" s="19"/>
      <c r="S981" s="19"/>
      <c r="T981" s="19"/>
      <c r="U981" s="19"/>
      <c r="V981" s="19"/>
      <c r="W981" s="19"/>
      <c r="X981" s="19"/>
      <c r="Y981" s="19"/>
      <c r="Z981" s="19"/>
      <c r="AA981" s="19"/>
      <c r="AB981" s="19"/>
      <c r="AC981" s="19"/>
      <c r="AD981" s="19"/>
      <c r="AE981" s="19"/>
      <c r="AF981" s="19"/>
      <c r="AG981" s="19"/>
      <c r="AH981" s="19"/>
      <c r="AI981" s="19"/>
      <c r="AJ981" s="19"/>
      <c r="FM981" s="54"/>
    </row>
    <row r="982" spans="1:169" s="18" customFormat="1">
      <c r="A982" s="51"/>
      <c r="B982" s="52"/>
      <c r="C982" s="52"/>
      <c r="D982" s="52"/>
      <c r="E982" s="52"/>
      <c r="F982" s="52"/>
      <c r="G982" s="52"/>
      <c r="H982" s="53"/>
      <c r="I982" s="52"/>
      <c r="J982" s="52"/>
      <c r="K982" s="19"/>
      <c r="L982" s="19"/>
      <c r="M982" s="19"/>
      <c r="N982" s="19"/>
      <c r="O982" s="19"/>
      <c r="P982" s="19"/>
      <c r="Q982" s="19"/>
      <c r="R982" s="19"/>
      <c r="S982" s="19"/>
      <c r="T982" s="19"/>
      <c r="U982" s="19"/>
      <c r="V982" s="19"/>
      <c r="W982" s="19"/>
      <c r="X982" s="19"/>
      <c r="Y982" s="19"/>
      <c r="Z982" s="19"/>
      <c r="AA982" s="19"/>
      <c r="AB982" s="19"/>
      <c r="AC982" s="19"/>
      <c r="AD982" s="19"/>
      <c r="AE982" s="19"/>
      <c r="AF982" s="19"/>
      <c r="AG982" s="19"/>
      <c r="AH982" s="19"/>
      <c r="AI982" s="19"/>
      <c r="AJ982" s="19"/>
      <c r="FM982" s="54"/>
    </row>
    <row r="983" spans="1:169" s="18" customFormat="1">
      <c r="A983" s="51"/>
      <c r="B983" s="52"/>
      <c r="C983" s="52"/>
      <c r="D983" s="52"/>
      <c r="E983" s="52"/>
      <c r="F983" s="52"/>
      <c r="G983" s="52"/>
      <c r="H983" s="53"/>
      <c r="I983" s="52"/>
      <c r="J983" s="52"/>
      <c r="K983" s="19"/>
      <c r="L983" s="19"/>
      <c r="M983" s="19"/>
      <c r="N983" s="19"/>
      <c r="O983" s="19"/>
      <c r="P983" s="19"/>
      <c r="Q983" s="19"/>
      <c r="R983" s="19"/>
      <c r="S983" s="19"/>
      <c r="T983" s="19"/>
      <c r="U983" s="19"/>
      <c r="V983" s="19"/>
      <c r="W983" s="19"/>
      <c r="X983" s="19"/>
      <c r="Y983" s="19"/>
      <c r="Z983" s="19"/>
      <c r="AA983" s="19"/>
      <c r="AB983" s="19"/>
      <c r="AC983" s="19"/>
      <c r="AD983" s="19"/>
      <c r="AE983" s="19"/>
      <c r="AF983" s="19"/>
      <c r="AG983" s="19"/>
      <c r="AH983" s="19"/>
      <c r="AI983" s="19"/>
      <c r="AJ983" s="19"/>
      <c r="FM983" s="54"/>
    </row>
    <row r="984" spans="1:169" s="18" customFormat="1">
      <c r="A984" s="51"/>
      <c r="B984" s="52"/>
      <c r="C984" s="52"/>
      <c r="D984" s="52"/>
      <c r="E984" s="52"/>
      <c r="F984" s="52"/>
      <c r="G984" s="52"/>
      <c r="H984" s="53"/>
      <c r="I984" s="52"/>
      <c r="J984" s="52"/>
      <c r="K984" s="19"/>
      <c r="L984" s="19"/>
      <c r="M984" s="19"/>
      <c r="N984" s="19"/>
      <c r="O984" s="19"/>
      <c r="P984" s="19"/>
      <c r="Q984" s="19"/>
      <c r="R984" s="19"/>
      <c r="S984" s="19"/>
      <c r="T984" s="19"/>
      <c r="U984" s="19"/>
      <c r="V984" s="19"/>
      <c r="W984" s="19"/>
      <c r="X984" s="19"/>
      <c r="Y984" s="19"/>
      <c r="Z984" s="19"/>
      <c r="AA984" s="19"/>
      <c r="AB984" s="19"/>
      <c r="AC984" s="19"/>
      <c r="AD984" s="19"/>
      <c r="AE984" s="19"/>
      <c r="AF984" s="19"/>
      <c r="AG984" s="19"/>
      <c r="AH984" s="19"/>
      <c r="AI984" s="19"/>
      <c r="AJ984" s="19"/>
      <c r="FM984" s="54"/>
    </row>
    <row r="985" spans="1:169" s="18" customFormat="1">
      <c r="A985" s="51"/>
      <c r="B985" s="52"/>
      <c r="C985" s="52"/>
      <c r="D985" s="52"/>
      <c r="E985" s="52"/>
      <c r="F985" s="52"/>
      <c r="G985" s="52"/>
      <c r="H985" s="53"/>
      <c r="I985" s="52"/>
      <c r="J985" s="52"/>
      <c r="K985" s="19"/>
      <c r="L985" s="19"/>
      <c r="M985" s="19"/>
      <c r="N985" s="19"/>
      <c r="O985" s="19"/>
      <c r="P985" s="19"/>
      <c r="Q985" s="19"/>
      <c r="R985" s="19"/>
      <c r="S985" s="19"/>
      <c r="T985" s="19"/>
      <c r="U985" s="19"/>
      <c r="V985" s="19"/>
      <c r="W985" s="19"/>
      <c r="X985" s="19"/>
      <c r="Y985" s="19"/>
      <c r="Z985" s="19"/>
      <c r="AA985" s="19"/>
      <c r="AB985" s="19"/>
      <c r="AC985" s="19"/>
      <c r="AD985" s="19"/>
      <c r="AE985" s="19"/>
      <c r="AF985" s="19"/>
      <c r="AG985" s="19"/>
      <c r="AH985" s="19"/>
      <c r="AI985" s="19"/>
      <c r="AJ985" s="19"/>
      <c r="FM985" s="54"/>
    </row>
    <row r="986" spans="1:169" s="18" customFormat="1">
      <c r="A986" s="51"/>
      <c r="B986" s="52"/>
      <c r="C986" s="52"/>
      <c r="D986" s="52"/>
      <c r="E986" s="52"/>
      <c r="F986" s="52"/>
      <c r="G986" s="52"/>
      <c r="H986" s="53"/>
      <c r="I986" s="52"/>
      <c r="J986" s="52"/>
      <c r="K986" s="19"/>
      <c r="L986" s="19"/>
      <c r="M986" s="19"/>
      <c r="N986" s="19"/>
      <c r="O986" s="19"/>
      <c r="P986" s="19"/>
      <c r="Q986" s="19"/>
      <c r="R986" s="19"/>
      <c r="S986" s="19"/>
      <c r="T986" s="19"/>
      <c r="U986" s="19"/>
      <c r="V986" s="19"/>
      <c r="W986" s="19"/>
      <c r="X986" s="19"/>
      <c r="Y986" s="19"/>
      <c r="Z986" s="19"/>
      <c r="AA986" s="19"/>
      <c r="AB986" s="19"/>
      <c r="AC986" s="19"/>
      <c r="AD986" s="19"/>
      <c r="AE986" s="19"/>
      <c r="AF986" s="19"/>
      <c r="AG986" s="19"/>
      <c r="AH986" s="19"/>
      <c r="AI986" s="19"/>
      <c r="AJ986" s="19"/>
      <c r="FM986" s="54"/>
    </row>
    <row r="987" spans="1:169" s="18" customFormat="1">
      <c r="A987" s="51"/>
      <c r="B987" s="52"/>
      <c r="C987" s="52"/>
      <c r="D987" s="52"/>
      <c r="E987" s="52"/>
      <c r="F987" s="52"/>
      <c r="G987" s="52"/>
      <c r="H987" s="53"/>
      <c r="I987" s="52"/>
      <c r="J987" s="52"/>
      <c r="K987" s="19"/>
      <c r="L987" s="19"/>
      <c r="M987" s="19"/>
      <c r="N987" s="19"/>
      <c r="O987" s="19"/>
      <c r="P987" s="19"/>
      <c r="Q987" s="19"/>
      <c r="R987" s="19"/>
      <c r="S987" s="19"/>
      <c r="T987" s="19"/>
      <c r="U987" s="19"/>
      <c r="V987" s="19"/>
      <c r="W987" s="19"/>
      <c r="X987" s="19"/>
      <c r="Y987" s="19"/>
      <c r="Z987" s="19"/>
      <c r="AA987" s="19"/>
      <c r="AB987" s="19"/>
      <c r="AC987" s="19"/>
      <c r="AD987" s="19"/>
      <c r="AE987" s="19"/>
      <c r="AF987" s="19"/>
      <c r="AG987" s="19"/>
      <c r="AH987" s="19"/>
      <c r="AI987" s="19"/>
      <c r="AJ987" s="19"/>
      <c r="FM987" s="54"/>
    </row>
    <row r="988" spans="1:169" s="18" customFormat="1">
      <c r="A988" s="51"/>
      <c r="B988" s="52"/>
      <c r="C988" s="52"/>
      <c r="D988" s="52"/>
      <c r="E988" s="52"/>
      <c r="F988" s="52"/>
      <c r="G988" s="52"/>
      <c r="H988" s="53"/>
      <c r="I988" s="52"/>
      <c r="J988" s="52"/>
      <c r="K988" s="19"/>
      <c r="L988" s="19"/>
      <c r="M988" s="19"/>
      <c r="N988" s="19"/>
      <c r="O988" s="19"/>
      <c r="P988" s="19"/>
      <c r="Q988" s="19"/>
      <c r="R988" s="19"/>
      <c r="S988" s="19"/>
      <c r="T988" s="19"/>
      <c r="U988" s="19"/>
      <c r="V988" s="19"/>
      <c r="W988" s="19"/>
      <c r="X988" s="19"/>
      <c r="Y988" s="19"/>
      <c r="Z988" s="19"/>
      <c r="AA988" s="19"/>
      <c r="AB988" s="19"/>
      <c r="AC988" s="19"/>
      <c r="AD988" s="19"/>
      <c r="AE988" s="19"/>
      <c r="AF988" s="19"/>
      <c r="AG988" s="19"/>
      <c r="AH988" s="19"/>
      <c r="AI988" s="19"/>
      <c r="AJ988" s="19"/>
      <c r="FM988" s="54"/>
    </row>
    <row r="989" spans="1:169" s="18" customFormat="1">
      <c r="A989" s="51"/>
      <c r="B989" s="52"/>
      <c r="C989" s="52"/>
      <c r="D989" s="52"/>
      <c r="E989" s="52"/>
      <c r="F989" s="52"/>
      <c r="G989" s="52"/>
      <c r="H989" s="53"/>
      <c r="I989" s="52"/>
      <c r="J989" s="52"/>
      <c r="K989" s="19"/>
      <c r="L989" s="19"/>
      <c r="M989" s="19"/>
      <c r="N989" s="19"/>
      <c r="O989" s="19"/>
      <c r="P989" s="19"/>
      <c r="Q989" s="19"/>
      <c r="R989" s="19"/>
      <c r="S989" s="19"/>
      <c r="T989" s="19"/>
      <c r="U989" s="19"/>
      <c r="V989" s="19"/>
      <c r="W989" s="19"/>
      <c r="X989" s="19"/>
      <c r="Y989" s="19"/>
      <c r="Z989" s="19"/>
      <c r="AA989" s="19"/>
      <c r="AB989" s="19"/>
      <c r="AC989" s="19"/>
      <c r="AD989" s="19"/>
      <c r="AE989" s="19"/>
      <c r="AF989" s="19"/>
      <c r="AG989" s="19"/>
      <c r="AH989" s="19"/>
      <c r="AI989" s="19"/>
      <c r="AJ989" s="19"/>
      <c r="FM989" s="54"/>
    </row>
    <row r="990" spans="1:169" s="18" customFormat="1">
      <c r="A990" s="51"/>
      <c r="B990" s="52"/>
      <c r="C990" s="52"/>
      <c r="D990" s="52"/>
      <c r="E990" s="52"/>
      <c r="F990" s="52"/>
      <c r="G990" s="52"/>
      <c r="H990" s="53"/>
      <c r="I990" s="52"/>
      <c r="J990" s="52"/>
      <c r="K990" s="19"/>
      <c r="L990" s="19"/>
      <c r="M990" s="19"/>
      <c r="N990" s="19"/>
      <c r="O990" s="19"/>
      <c r="P990" s="19"/>
      <c r="Q990" s="19"/>
      <c r="R990" s="19"/>
      <c r="S990" s="19"/>
      <c r="T990" s="19"/>
      <c r="U990" s="19"/>
      <c r="V990" s="19"/>
      <c r="W990" s="19"/>
      <c r="X990" s="19"/>
      <c r="Y990" s="19"/>
      <c r="Z990" s="19"/>
      <c r="AA990" s="19"/>
      <c r="AB990" s="19"/>
      <c r="AC990" s="19"/>
      <c r="AD990" s="19"/>
      <c r="AE990" s="19"/>
      <c r="AF990" s="19"/>
      <c r="AG990" s="19"/>
      <c r="AH990" s="19"/>
      <c r="AI990" s="19"/>
      <c r="AJ990" s="19"/>
      <c r="FM990" s="54"/>
    </row>
    <row r="991" spans="1:169" s="18" customFormat="1">
      <c r="A991" s="51"/>
      <c r="B991" s="52"/>
      <c r="C991" s="52"/>
      <c r="D991" s="52"/>
      <c r="E991" s="52"/>
      <c r="F991" s="52"/>
      <c r="G991" s="52"/>
      <c r="H991" s="53"/>
      <c r="I991" s="52"/>
      <c r="J991" s="52"/>
      <c r="K991" s="19"/>
      <c r="L991" s="19"/>
      <c r="M991" s="19"/>
      <c r="N991" s="19"/>
      <c r="O991" s="19"/>
      <c r="P991" s="19"/>
      <c r="Q991" s="19"/>
      <c r="R991" s="19"/>
      <c r="S991" s="19"/>
      <c r="T991" s="19"/>
      <c r="U991" s="19"/>
      <c r="V991" s="19"/>
      <c r="W991" s="19"/>
      <c r="X991" s="19"/>
      <c r="Y991" s="19"/>
      <c r="Z991" s="19"/>
      <c r="AA991" s="19"/>
      <c r="AB991" s="19"/>
      <c r="AC991" s="19"/>
      <c r="AD991" s="19"/>
      <c r="AE991" s="19"/>
      <c r="AF991" s="19"/>
      <c r="AG991" s="19"/>
      <c r="AH991" s="19"/>
      <c r="AI991" s="19"/>
      <c r="AJ991" s="19"/>
      <c r="FM991" s="54"/>
    </row>
    <row r="992" spans="1:169" s="18" customFormat="1">
      <c r="A992" s="51"/>
      <c r="B992" s="52"/>
      <c r="C992" s="52"/>
      <c r="D992" s="52"/>
      <c r="E992" s="52"/>
      <c r="F992" s="52"/>
      <c r="G992" s="52"/>
      <c r="H992" s="53"/>
      <c r="I992" s="52"/>
      <c r="J992" s="52"/>
      <c r="K992" s="19"/>
      <c r="L992" s="19"/>
      <c r="M992" s="19"/>
      <c r="N992" s="19"/>
      <c r="O992" s="19"/>
      <c r="P992" s="19"/>
      <c r="Q992" s="19"/>
      <c r="R992" s="19"/>
      <c r="S992" s="19"/>
      <c r="T992" s="19"/>
      <c r="U992" s="19"/>
      <c r="V992" s="19"/>
      <c r="W992" s="19"/>
      <c r="X992" s="19"/>
      <c r="Y992" s="19"/>
      <c r="Z992" s="19"/>
      <c r="AA992" s="19"/>
      <c r="AB992" s="19"/>
      <c r="AC992" s="19"/>
      <c r="AD992" s="19"/>
      <c r="AE992" s="19"/>
      <c r="AF992" s="19"/>
      <c r="AG992" s="19"/>
      <c r="AH992" s="19"/>
      <c r="AI992" s="19"/>
      <c r="AJ992" s="19"/>
      <c r="FM992" s="54"/>
    </row>
    <row r="993" spans="1:169" s="18" customFormat="1">
      <c r="A993" s="51"/>
      <c r="B993" s="52"/>
      <c r="C993" s="52"/>
      <c r="D993" s="52"/>
      <c r="E993" s="52"/>
      <c r="F993" s="52"/>
      <c r="G993" s="52"/>
      <c r="H993" s="53"/>
      <c r="I993" s="52"/>
      <c r="J993" s="52"/>
      <c r="K993" s="19"/>
      <c r="L993" s="19"/>
      <c r="M993" s="19"/>
      <c r="N993" s="19"/>
      <c r="O993" s="19"/>
      <c r="P993" s="19"/>
      <c r="Q993" s="19"/>
      <c r="R993" s="19"/>
      <c r="S993" s="19"/>
      <c r="T993" s="19"/>
      <c r="U993" s="19"/>
      <c r="V993" s="19"/>
      <c r="W993" s="19"/>
      <c r="X993" s="19"/>
      <c r="Y993" s="19"/>
      <c r="Z993" s="19"/>
      <c r="AA993" s="19"/>
      <c r="AB993" s="19"/>
      <c r="AC993" s="19"/>
      <c r="AD993" s="19"/>
      <c r="AE993" s="19"/>
      <c r="AF993" s="19"/>
      <c r="AG993" s="19"/>
      <c r="AH993" s="19"/>
      <c r="AI993" s="19"/>
      <c r="AJ993" s="19"/>
      <c r="FM993" s="54"/>
    </row>
    <row r="994" spans="1:169" s="18" customFormat="1">
      <c r="A994" s="51"/>
      <c r="B994" s="52"/>
      <c r="C994" s="52"/>
      <c r="D994" s="52"/>
      <c r="E994" s="52"/>
      <c r="F994" s="52"/>
      <c r="G994" s="52"/>
      <c r="H994" s="53"/>
      <c r="I994" s="52"/>
      <c r="J994" s="52"/>
      <c r="K994" s="19"/>
      <c r="L994" s="19"/>
      <c r="M994" s="19"/>
      <c r="N994" s="19"/>
      <c r="O994" s="19"/>
      <c r="P994" s="19"/>
      <c r="Q994" s="19"/>
      <c r="R994" s="19"/>
      <c r="S994" s="19"/>
      <c r="T994" s="19"/>
      <c r="U994" s="19"/>
      <c r="V994" s="19"/>
      <c r="W994" s="19"/>
      <c r="X994" s="19"/>
      <c r="Y994" s="19"/>
      <c r="Z994" s="19"/>
      <c r="AA994" s="19"/>
      <c r="AB994" s="19"/>
      <c r="AC994" s="19"/>
      <c r="AD994" s="19"/>
      <c r="AE994" s="19"/>
      <c r="AF994" s="19"/>
      <c r="AG994" s="19"/>
      <c r="AH994" s="19"/>
      <c r="AI994" s="19"/>
      <c r="AJ994" s="19"/>
      <c r="FM994" s="54"/>
    </row>
    <row r="995" spans="1:169" s="18" customFormat="1">
      <c r="A995" s="51"/>
      <c r="B995" s="52"/>
      <c r="C995" s="52"/>
      <c r="D995" s="52"/>
      <c r="E995" s="52"/>
      <c r="F995" s="52"/>
      <c r="G995" s="52"/>
      <c r="H995" s="53"/>
      <c r="I995" s="52"/>
      <c r="J995" s="52"/>
      <c r="K995" s="19"/>
      <c r="L995" s="19"/>
      <c r="M995" s="19"/>
      <c r="N995" s="19"/>
      <c r="O995" s="19"/>
      <c r="P995" s="19"/>
      <c r="Q995" s="19"/>
      <c r="R995" s="19"/>
      <c r="S995" s="19"/>
      <c r="T995" s="19"/>
      <c r="U995" s="19"/>
      <c r="V995" s="19"/>
      <c r="W995" s="19"/>
      <c r="X995" s="19"/>
      <c r="Y995" s="19"/>
      <c r="Z995" s="19"/>
      <c r="AA995" s="19"/>
      <c r="AB995" s="19"/>
      <c r="AC995" s="19"/>
      <c r="AD995" s="19"/>
      <c r="AE995" s="19"/>
      <c r="AF995" s="19"/>
      <c r="AG995" s="19"/>
      <c r="AH995" s="19"/>
      <c r="AI995" s="19"/>
      <c r="AJ995" s="19"/>
      <c r="FM995" s="54"/>
    </row>
    <row r="996" spans="1:169" s="18" customFormat="1">
      <c r="A996" s="51"/>
      <c r="B996" s="52"/>
      <c r="C996" s="52"/>
      <c r="D996" s="52"/>
      <c r="E996" s="52"/>
      <c r="F996" s="52"/>
      <c r="G996" s="52"/>
      <c r="H996" s="53"/>
      <c r="I996" s="52"/>
      <c r="J996" s="52"/>
      <c r="K996" s="19"/>
      <c r="L996" s="19"/>
      <c r="M996" s="19"/>
      <c r="N996" s="19"/>
      <c r="O996" s="19"/>
      <c r="P996" s="19"/>
      <c r="Q996" s="19"/>
      <c r="R996" s="19"/>
      <c r="S996" s="19"/>
      <c r="T996" s="19"/>
      <c r="U996" s="19"/>
      <c r="V996" s="19"/>
      <c r="W996" s="19"/>
      <c r="X996" s="19"/>
      <c r="Y996" s="19"/>
      <c r="Z996" s="19"/>
      <c r="AA996" s="19"/>
      <c r="AB996" s="19"/>
      <c r="AC996" s="19"/>
      <c r="AD996" s="19"/>
      <c r="AE996" s="19"/>
      <c r="AF996" s="19"/>
      <c r="AG996" s="19"/>
      <c r="AH996" s="19"/>
      <c r="AI996" s="19"/>
      <c r="AJ996" s="19"/>
      <c r="FM996" s="54"/>
    </row>
    <row r="997" spans="1:169" s="18" customFormat="1">
      <c r="A997" s="51"/>
      <c r="B997" s="52"/>
      <c r="C997" s="52"/>
      <c r="D997" s="52"/>
      <c r="E997" s="52"/>
      <c r="F997" s="52"/>
      <c r="G997" s="52"/>
      <c r="H997" s="53"/>
      <c r="I997" s="52"/>
      <c r="J997" s="52"/>
      <c r="K997" s="19"/>
      <c r="L997" s="19"/>
      <c r="M997" s="19"/>
      <c r="N997" s="19"/>
      <c r="O997" s="19"/>
      <c r="P997" s="19"/>
      <c r="Q997" s="19"/>
      <c r="R997" s="19"/>
      <c r="S997" s="19"/>
      <c r="T997" s="19"/>
      <c r="U997" s="19"/>
      <c r="V997" s="19"/>
      <c r="W997" s="19"/>
      <c r="X997" s="19"/>
      <c r="Y997" s="19"/>
      <c r="Z997" s="19"/>
      <c r="AA997" s="19"/>
      <c r="AB997" s="19"/>
      <c r="AC997" s="19"/>
      <c r="AD997" s="19"/>
      <c r="AE997" s="19"/>
      <c r="AF997" s="19"/>
      <c r="AG997" s="19"/>
      <c r="AH997" s="19"/>
      <c r="AI997" s="19"/>
      <c r="AJ997" s="19"/>
      <c r="FM997" s="54"/>
    </row>
    <row r="998" spans="1:169" s="18" customFormat="1">
      <c r="A998" s="51"/>
      <c r="B998" s="52"/>
      <c r="C998" s="52"/>
      <c r="D998" s="52"/>
      <c r="E998" s="52"/>
      <c r="F998" s="52"/>
      <c r="G998" s="52"/>
      <c r="H998" s="53"/>
      <c r="I998" s="52"/>
      <c r="J998" s="52"/>
      <c r="K998" s="19"/>
      <c r="L998" s="19"/>
      <c r="M998" s="19"/>
      <c r="N998" s="19"/>
      <c r="O998" s="19"/>
      <c r="P998" s="19"/>
      <c r="Q998" s="19"/>
      <c r="R998" s="19"/>
      <c r="S998" s="19"/>
      <c r="T998" s="19"/>
      <c r="U998" s="19"/>
      <c r="V998" s="19"/>
      <c r="W998" s="19"/>
      <c r="X998" s="19"/>
      <c r="Y998" s="19"/>
      <c r="Z998" s="19"/>
      <c r="AA998" s="19"/>
      <c r="AB998" s="19"/>
      <c r="AC998" s="19"/>
      <c r="AD998" s="19"/>
      <c r="AE998" s="19"/>
      <c r="AF998" s="19"/>
      <c r="AG998" s="19"/>
      <c r="AH998" s="19"/>
      <c r="AI998" s="19"/>
      <c r="AJ998" s="19"/>
      <c r="FM998" s="54"/>
    </row>
    <row r="999" spans="1:169" s="18" customFormat="1">
      <c r="A999" s="51"/>
      <c r="B999" s="52"/>
      <c r="C999" s="52"/>
      <c r="D999" s="52"/>
      <c r="E999" s="52"/>
      <c r="F999" s="52"/>
      <c r="G999" s="52"/>
      <c r="H999" s="53"/>
      <c r="I999" s="52"/>
      <c r="J999" s="52"/>
      <c r="K999" s="19"/>
      <c r="L999" s="19"/>
      <c r="M999" s="19"/>
      <c r="N999" s="19"/>
      <c r="O999" s="19"/>
      <c r="P999" s="19"/>
      <c r="Q999" s="19"/>
      <c r="R999" s="19"/>
      <c r="S999" s="19"/>
      <c r="T999" s="19"/>
      <c r="U999" s="19"/>
      <c r="V999" s="19"/>
      <c r="W999" s="19"/>
      <c r="X999" s="19"/>
      <c r="Y999" s="19"/>
      <c r="Z999" s="19"/>
      <c r="AA999" s="19"/>
      <c r="AB999" s="19"/>
      <c r="AC999" s="19"/>
      <c r="AD999" s="19"/>
      <c r="AE999" s="19"/>
      <c r="AF999" s="19"/>
      <c r="AG999" s="19"/>
      <c r="AH999" s="19"/>
      <c r="AI999" s="19"/>
      <c r="AJ999" s="19"/>
      <c r="FM999" s="54"/>
    </row>
    <row r="1000" spans="1:169" s="18" customFormat="1">
      <c r="A1000" s="51"/>
      <c r="B1000" s="52"/>
      <c r="C1000" s="52"/>
      <c r="D1000" s="52"/>
      <c r="E1000" s="52"/>
      <c r="F1000" s="52"/>
      <c r="G1000" s="52"/>
      <c r="H1000" s="53"/>
      <c r="I1000" s="52"/>
      <c r="J1000" s="52"/>
      <c r="K1000" s="19"/>
      <c r="L1000" s="19"/>
      <c r="M1000" s="19"/>
      <c r="N1000" s="19"/>
      <c r="O1000" s="19"/>
      <c r="P1000" s="19"/>
      <c r="Q1000" s="19"/>
      <c r="R1000" s="19"/>
      <c r="S1000" s="19"/>
      <c r="T1000" s="19"/>
      <c r="U1000" s="19"/>
      <c r="V1000" s="19"/>
      <c r="W1000" s="19"/>
      <c r="X1000" s="19"/>
      <c r="Y1000" s="19"/>
      <c r="Z1000" s="19"/>
      <c r="AA1000" s="19"/>
      <c r="AB1000" s="19"/>
      <c r="AC1000" s="19"/>
      <c r="AD1000" s="19"/>
      <c r="AE1000" s="19"/>
      <c r="AF1000" s="19"/>
      <c r="AG1000" s="19"/>
      <c r="AH1000" s="19"/>
      <c r="AI1000" s="19"/>
      <c r="AJ1000" s="19"/>
      <c r="FM1000" s="54"/>
    </row>
    <row r="1001" spans="1:169" s="18" customFormat="1">
      <c r="A1001" s="51"/>
      <c r="B1001" s="52"/>
      <c r="C1001" s="52"/>
      <c r="D1001" s="52"/>
      <c r="E1001" s="52"/>
      <c r="F1001" s="52"/>
      <c r="G1001" s="52"/>
      <c r="H1001" s="53"/>
      <c r="I1001" s="52"/>
      <c r="J1001" s="52"/>
      <c r="K1001" s="19"/>
      <c r="L1001" s="19"/>
      <c r="M1001" s="19"/>
      <c r="N1001" s="19"/>
      <c r="O1001" s="19"/>
      <c r="P1001" s="19"/>
      <c r="Q1001" s="19"/>
      <c r="R1001" s="19"/>
      <c r="S1001" s="19"/>
      <c r="T1001" s="19"/>
      <c r="U1001" s="19"/>
      <c r="V1001" s="19"/>
      <c r="W1001" s="19"/>
      <c r="X1001" s="19"/>
      <c r="Y1001" s="19"/>
      <c r="Z1001" s="19"/>
      <c r="AA1001" s="19"/>
      <c r="AB1001" s="19"/>
      <c r="AC1001" s="19"/>
      <c r="AD1001" s="19"/>
      <c r="AE1001" s="19"/>
      <c r="AF1001" s="19"/>
      <c r="AG1001" s="19"/>
      <c r="AH1001" s="19"/>
      <c r="AI1001" s="19"/>
      <c r="AJ1001" s="19"/>
      <c r="FM1001" s="54"/>
    </row>
    <row r="1002" spans="1:169" s="18" customFormat="1">
      <c r="A1002" s="51"/>
      <c r="B1002" s="52"/>
      <c r="C1002" s="52"/>
      <c r="D1002" s="52"/>
      <c r="E1002" s="52"/>
      <c r="F1002" s="52"/>
      <c r="G1002" s="52"/>
      <c r="H1002" s="53"/>
      <c r="I1002" s="52"/>
      <c r="J1002" s="52"/>
      <c r="K1002" s="19"/>
      <c r="L1002" s="19"/>
      <c r="M1002" s="19"/>
      <c r="N1002" s="19"/>
      <c r="O1002" s="19"/>
      <c r="P1002" s="19"/>
      <c r="Q1002" s="19"/>
      <c r="R1002" s="19"/>
      <c r="S1002" s="19"/>
      <c r="T1002" s="19"/>
      <c r="U1002" s="19"/>
      <c r="V1002" s="19"/>
      <c r="W1002" s="19"/>
      <c r="X1002" s="19"/>
      <c r="Y1002" s="19"/>
      <c r="Z1002" s="19"/>
      <c r="AA1002" s="19"/>
      <c r="AB1002" s="19"/>
      <c r="AC1002" s="19"/>
      <c r="AD1002" s="19"/>
      <c r="AE1002" s="19"/>
      <c r="AF1002" s="19"/>
      <c r="AG1002" s="19"/>
      <c r="AH1002" s="19"/>
      <c r="AI1002" s="19"/>
      <c r="AJ1002" s="19"/>
      <c r="FM1002" s="54"/>
    </row>
    <row r="1003" spans="1:169" s="18" customFormat="1">
      <c r="A1003" s="51"/>
      <c r="B1003" s="52"/>
      <c r="C1003" s="52"/>
      <c r="D1003" s="52"/>
      <c r="E1003" s="52"/>
      <c r="F1003" s="52"/>
      <c r="G1003" s="52"/>
      <c r="H1003" s="53"/>
      <c r="I1003" s="52"/>
      <c r="J1003" s="52"/>
      <c r="K1003" s="19"/>
      <c r="L1003" s="19"/>
      <c r="M1003" s="19"/>
      <c r="N1003" s="19"/>
      <c r="O1003" s="19"/>
      <c r="P1003" s="19"/>
      <c r="Q1003" s="19"/>
      <c r="R1003" s="19"/>
      <c r="S1003" s="19"/>
      <c r="T1003" s="19"/>
      <c r="U1003" s="19"/>
      <c r="V1003" s="19"/>
      <c r="W1003" s="19"/>
      <c r="X1003" s="19"/>
      <c r="Y1003" s="19"/>
      <c r="Z1003" s="19"/>
      <c r="AA1003" s="19"/>
      <c r="AB1003" s="19"/>
      <c r="AC1003" s="19"/>
      <c r="AD1003" s="19"/>
      <c r="AE1003" s="19"/>
      <c r="AF1003" s="19"/>
      <c r="AG1003" s="19"/>
      <c r="AH1003" s="19"/>
      <c r="AI1003" s="19"/>
      <c r="AJ1003" s="19"/>
      <c r="FM1003" s="54"/>
    </row>
    <row r="1004" spans="1:169" s="18" customFormat="1">
      <c r="A1004" s="51"/>
      <c r="B1004" s="52"/>
      <c r="C1004" s="52"/>
      <c r="D1004" s="52"/>
      <c r="E1004" s="52"/>
      <c r="F1004" s="52"/>
      <c r="G1004" s="52"/>
      <c r="H1004" s="53"/>
      <c r="I1004" s="52"/>
      <c r="J1004" s="52"/>
      <c r="K1004" s="19"/>
      <c r="L1004" s="19"/>
      <c r="M1004" s="19"/>
      <c r="N1004" s="19"/>
      <c r="O1004" s="19"/>
      <c r="P1004" s="19"/>
      <c r="Q1004" s="19"/>
      <c r="R1004" s="19"/>
      <c r="S1004" s="19"/>
      <c r="T1004" s="19"/>
      <c r="U1004" s="19"/>
      <c r="V1004" s="19"/>
      <c r="W1004" s="19"/>
      <c r="X1004" s="19"/>
      <c r="Y1004" s="19"/>
      <c r="Z1004" s="19"/>
      <c r="AA1004" s="19"/>
      <c r="AB1004" s="19"/>
      <c r="AC1004" s="19"/>
      <c r="AD1004" s="19"/>
      <c r="AE1004" s="19"/>
      <c r="AF1004" s="19"/>
      <c r="AG1004" s="19"/>
      <c r="AH1004" s="19"/>
      <c r="AI1004" s="19"/>
      <c r="AJ1004" s="19"/>
      <c r="FM1004" s="54"/>
    </row>
    <row r="1005" spans="1:169" s="18" customFormat="1">
      <c r="A1005" s="51"/>
      <c r="B1005" s="52"/>
      <c r="C1005" s="52"/>
      <c r="D1005" s="52"/>
      <c r="E1005" s="52"/>
      <c r="F1005" s="52"/>
      <c r="G1005" s="52"/>
      <c r="H1005" s="53"/>
      <c r="I1005" s="52"/>
      <c r="J1005" s="52"/>
      <c r="K1005" s="19"/>
      <c r="L1005" s="19"/>
      <c r="M1005" s="19"/>
      <c r="N1005" s="19"/>
      <c r="O1005" s="19"/>
      <c r="P1005" s="19"/>
      <c r="Q1005" s="19"/>
      <c r="R1005" s="19"/>
      <c r="S1005" s="19"/>
      <c r="T1005" s="19"/>
      <c r="U1005" s="19"/>
      <c r="V1005" s="19"/>
      <c r="W1005" s="19"/>
      <c r="X1005" s="19"/>
      <c r="Y1005" s="19"/>
      <c r="Z1005" s="19"/>
      <c r="AA1005" s="19"/>
      <c r="AB1005" s="19"/>
      <c r="AC1005" s="19"/>
      <c r="AD1005" s="19"/>
      <c r="AE1005" s="19"/>
      <c r="AF1005" s="19"/>
      <c r="AG1005" s="19"/>
      <c r="AH1005" s="19"/>
      <c r="AI1005" s="19"/>
      <c r="AJ1005" s="19"/>
      <c r="FM1005" s="54"/>
    </row>
    <row r="1006" spans="1:169" s="18" customFormat="1">
      <c r="A1006" s="51"/>
      <c r="B1006" s="52"/>
      <c r="C1006" s="52"/>
      <c r="D1006" s="52"/>
      <c r="E1006" s="52"/>
      <c r="F1006" s="52"/>
      <c r="G1006" s="52"/>
      <c r="H1006" s="53"/>
      <c r="I1006" s="52"/>
      <c r="J1006" s="52"/>
      <c r="K1006" s="19"/>
      <c r="L1006" s="19"/>
      <c r="M1006" s="19"/>
      <c r="N1006" s="19"/>
      <c r="O1006" s="19"/>
      <c r="P1006" s="19"/>
      <c r="Q1006" s="19"/>
      <c r="R1006" s="19"/>
      <c r="S1006" s="19"/>
      <c r="T1006" s="19"/>
      <c r="U1006" s="19"/>
      <c r="V1006" s="19"/>
      <c r="W1006" s="19"/>
      <c r="X1006" s="19"/>
      <c r="Y1006" s="19"/>
      <c r="Z1006" s="19"/>
      <c r="AA1006" s="19"/>
      <c r="AB1006" s="19"/>
      <c r="AC1006" s="19"/>
      <c r="AD1006" s="19"/>
      <c r="AE1006" s="19"/>
      <c r="AF1006" s="19"/>
      <c r="AG1006" s="19"/>
      <c r="AH1006" s="19"/>
      <c r="AI1006" s="19"/>
      <c r="AJ1006" s="19"/>
      <c r="FM1006" s="54"/>
    </row>
    <row r="1007" spans="1:169" s="18" customFormat="1">
      <c r="A1007" s="51"/>
      <c r="B1007" s="52"/>
      <c r="C1007" s="52"/>
      <c r="D1007" s="52"/>
      <c r="E1007" s="52"/>
      <c r="F1007" s="52"/>
      <c r="G1007" s="52"/>
      <c r="H1007" s="53"/>
      <c r="I1007" s="52"/>
      <c r="J1007" s="52"/>
      <c r="K1007" s="19"/>
      <c r="L1007" s="19"/>
      <c r="M1007" s="19"/>
      <c r="N1007" s="19"/>
      <c r="O1007" s="19"/>
      <c r="P1007" s="19"/>
      <c r="Q1007" s="19"/>
      <c r="R1007" s="19"/>
      <c r="S1007" s="19"/>
      <c r="T1007" s="19"/>
      <c r="U1007" s="19"/>
      <c r="V1007" s="19"/>
      <c r="W1007" s="19"/>
      <c r="X1007" s="19"/>
      <c r="Y1007" s="19"/>
      <c r="Z1007" s="19"/>
      <c r="AA1007" s="19"/>
      <c r="AB1007" s="19"/>
      <c r="AC1007" s="19"/>
      <c r="AD1007" s="19"/>
      <c r="AE1007" s="19"/>
      <c r="AF1007" s="19"/>
      <c r="AG1007" s="19"/>
      <c r="AH1007" s="19"/>
      <c r="AI1007" s="19"/>
      <c r="AJ1007" s="19"/>
      <c r="FM1007" s="54"/>
    </row>
    <row r="1008" spans="1:169" s="18" customFormat="1">
      <c r="A1008" s="51"/>
      <c r="B1008" s="52"/>
      <c r="C1008" s="52"/>
      <c r="D1008" s="52"/>
      <c r="E1008" s="52"/>
      <c r="F1008" s="52"/>
      <c r="G1008" s="52"/>
      <c r="H1008" s="53"/>
      <c r="I1008" s="52"/>
      <c r="J1008" s="52"/>
      <c r="K1008" s="19"/>
      <c r="L1008" s="19"/>
      <c r="M1008" s="19"/>
      <c r="N1008" s="19"/>
      <c r="O1008" s="19"/>
      <c r="P1008" s="19"/>
      <c r="Q1008" s="19"/>
      <c r="R1008" s="19"/>
      <c r="S1008" s="19"/>
      <c r="T1008" s="19"/>
      <c r="U1008" s="19"/>
      <c r="V1008" s="19"/>
      <c r="W1008" s="19"/>
      <c r="X1008" s="19"/>
      <c r="Y1008" s="19"/>
      <c r="Z1008" s="19"/>
      <c r="AA1008" s="19"/>
      <c r="AB1008" s="19"/>
      <c r="AC1008" s="19"/>
      <c r="AD1008" s="19"/>
      <c r="AE1008" s="19"/>
      <c r="AF1008" s="19"/>
      <c r="AG1008" s="19"/>
      <c r="AH1008" s="19"/>
      <c r="AI1008" s="19"/>
      <c r="AJ1008" s="19"/>
      <c r="FM1008" s="54"/>
    </row>
    <row r="1009" spans="1:169" s="18" customFormat="1">
      <c r="A1009" s="51"/>
      <c r="B1009" s="52"/>
      <c r="C1009" s="52"/>
      <c r="D1009" s="52"/>
      <c r="E1009" s="52"/>
      <c r="F1009" s="52"/>
      <c r="G1009" s="52"/>
      <c r="H1009" s="53"/>
      <c r="I1009" s="52"/>
      <c r="J1009" s="52"/>
      <c r="K1009" s="19"/>
      <c r="L1009" s="19"/>
      <c r="M1009" s="19"/>
      <c r="N1009" s="19"/>
      <c r="O1009" s="19"/>
      <c r="P1009" s="19"/>
      <c r="Q1009" s="19"/>
      <c r="R1009" s="19"/>
      <c r="S1009" s="19"/>
      <c r="T1009" s="19"/>
      <c r="U1009" s="19"/>
      <c r="V1009" s="19"/>
      <c r="W1009" s="19"/>
      <c r="X1009" s="19"/>
      <c r="Y1009" s="19"/>
      <c r="Z1009" s="19"/>
      <c r="AA1009" s="19"/>
      <c r="AB1009" s="19"/>
      <c r="AC1009" s="19"/>
      <c r="AD1009" s="19"/>
      <c r="AE1009" s="19"/>
      <c r="AF1009" s="19"/>
      <c r="AG1009" s="19"/>
      <c r="AH1009" s="19"/>
      <c r="AI1009" s="19"/>
      <c r="AJ1009" s="19"/>
      <c r="FM1009" s="54"/>
    </row>
    <row r="1010" spans="1:169" s="18" customFormat="1">
      <c r="A1010" s="51"/>
      <c r="B1010" s="52"/>
      <c r="C1010" s="52"/>
      <c r="D1010" s="52"/>
      <c r="E1010" s="52"/>
      <c r="F1010" s="52"/>
      <c r="G1010" s="52"/>
      <c r="H1010" s="53"/>
      <c r="I1010" s="52"/>
      <c r="J1010" s="52"/>
      <c r="K1010" s="19"/>
      <c r="L1010" s="19"/>
      <c r="M1010" s="19"/>
      <c r="N1010" s="19"/>
      <c r="O1010" s="19"/>
      <c r="P1010" s="19"/>
      <c r="Q1010" s="19"/>
      <c r="R1010" s="19"/>
      <c r="S1010" s="19"/>
      <c r="T1010" s="19"/>
      <c r="U1010" s="19"/>
      <c r="V1010" s="19"/>
      <c r="W1010" s="19"/>
      <c r="X1010" s="19"/>
      <c r="Y1010" s="19"/>
      <c r="Z1010" s="19"/>
      <c r="AA1010" s="19"/>
      <c r="AB1010" s="19"/>
      <c r="AC1010" s="19"/>
      <c r="AD1010" s="19"/>
      <c r="AE1010" s="19"/>
      <c r="AF1010" s="19"/>
      <c r="AG1010" s="19"/>
      <c r="AH1010" s="19"/>
      <c r="AI1010" s="19"/>
      <c r="AJ1010" s="19"/>
      <c r="FM1010" s="54"/>
    </row>
    <row r="1011" spans="1:169" s="18" customFormat="1">
      <c r="A1011" s="51"/>
      <c r="B1011" s="52"/>
      <c r="C1011" s="52"/>
      <c r="D1011" s="52"/>
      <c r="E1011" s="52"/>
      <c r="F1011" s="52"/>
      <c r="G1011" s="52"/>
      <c r="H1011" s="53"/>
      <c r="I1011" s="52"/>
      <c r="J1011" s="52"/>
      <c r="K1011" s="19"/>
      <c r="L1011" s="19"/>
      <c r="M1011" s="19"/>
      <c r="N1011" s="19"/>
      <c r="O1011" s="19"/>
      <c r="P1011" s="19"/>
      <c r="Q1011" s="19"/>
      <c r="R1011" s="19"/>
      <c r="S1011" s="19"/>
      <c r="T1011" s="19"/>
      <c r="U1011" s="19"/>
      <c r="V1011" s="19"/>
      <c r="W1011" s="19"/>
      <c r="X1011" s="19"/>
      <c r="Y1011" s="19"/>
      <c r="Z1011" s="19"/>
      <c r="AA1011" s="19"/>
      <c r="AB1011" s="19"/>
      <c r="AC1011" s="19"/>
      <c r="AD1011" s="19"/>
      <c r="AE1011" s="19"/>
      <c r="AF1011" s="19"/>
      <c r="AG1011" s="19"/>
      <c r="AH1011" s="19"/>
      <c r="AI1011" s="19"/>
      <c r="AJ1011" s="19"/>
      <c r="FM1011" s="54"/>
    </row>
    <row r="1012" spans="1:169" s="18" customFormat="1">
      <c r="A1012" s="51"/>
      <c r="B1012" s="52"/>
      <c r="C1012" s="52"/>
      <c r="D1012" s="52"/>
      <c r="E1012" s="52"/>
      <c r="F1012" s="52"/>
      <c r="G1012" s="52"/>
      <c r="H1012" s="53"/>
      <c r="I1012" s="52"/>
      <c r="J1012" s="52"/>
      <c r="K1012" s="19"/>
      <c r="L1012" s="19"/>
      <c r="M1012" s="19"/>
      <c r="N1012" s="19"/>
      <c r="O1012" s="19"/>
      <c r="P1012" s="19"/>
      <c r="Q1012" s="19"/>
      <c r="R1012" s="19"/>
      <c r="S1012" s="19"/>
      <c r="T1012" s="19"/>
      <c r="U1012" s="19"/>
      <c r="V1012" s="19"/>
      <c r="W1012" s="19"/>
      <c r="X1012" s="19"/>
      <c r="Y1012" s="19"/>
      <c r="Z1012" s="19"/>
      <c r="AA1012" s="19"/>
      <c r="AB1012" s="19"/>
      <c r="AC1012" s="19"/>
      <c r="AD1012" s="19"/>
      <c r="AE1012" s="19"/>
      <c r="AF1012" s="19"/>
      <c r="AG1012" s="19"/>
      <c r="AH1012" s="19"/>
      <c r="AI1012" s="19"/>
      <c r="AJ1012" s="19"/>
      <c r="FM1012" s="54"/>
    </row>
    <row r="1013" spans="1:169" s="18" customFormat="1">
      <c r="A1013" s="51"/>
      <c r="B1013" s="52"/>
      <c r="C1013" s="52"/>
      <c r="D1013" s="52"/>
      <c r="E1013" s="52"/>
      <c r="F1013" s="52"/>
      <c r="G1013" s="52"/>
      <c r="H1013" s="53"/>
      <c r="I1013" s="52"/>
      <c r="J1013" s="52"/>
      <c r="K1013" s="19"/>
      <c r="L1013" s="19"/>
      <c r="M1013" s="19"/>
      <c r="N1013" s="19"/>
      <c r="O1013" s="19"/>
      <c r="P1013" s="19"/>
      <c r="Q1013" s="19"/>
      <c r="R1013" s="19"/>
      <c r="S1013" s="19"/>
      <c r="T1013" s="19"/>
      <c r="U1013" s="19"/>
      <c r="V1013" s="19"/>
      <c r="W1013" s="19"/>
      <c r="X1013" s="19"/>
      <c r="Y1013" s="19"/>
      <c r="Z1013" s="19"/>
      <c r="AA1013" s="19"/>
      <c r="AB1013" s="19"/>
      <c r="AC1013" s="19"/>
      <c r="AD1013" s="19"/>
      <c r="AE1013" s="19"/>
      <c r="AF1013" s="19"/>
      <c r="AG1013" s="19"/>
      <c r="AH1013" s="19"/>
      <c r="AI1013" s="19"/>
      <c r="AJ1013" s="19"/>
      <c r="FM1013" s="54"/>
    </row>
    <row r="1014" spans="1:169" s="18" customFormat="1">
      <c r="A1014" s="51"/>
      <c r="B1014" s="52"/>
      <c r="C1014" s="52"/>
      <c r="D1014" s="52"/>
      <c r="E1014" s="52"/>
      <c r="F1014" s="52"/>
      <c r="G1014" s="52"/>
      <c r="H1014" s="53"/>
      <c r="I1014" s="52"/>
      <c r="J1014" s="52"/>
      <c r="K1014" s="19"/>
      <c r="L1014" s="19"/>
      <c r="M1014" s="19"/>
      <c r="N1014" s="19"/>
      <c r="O1014" s="19"/>
      <c r="P1014" s="19"/>
      <c r="Q1014" s="19"/>
      <c r="R1014" s="19"/>
      <c r="S1014" s="19"/>
      <c r="T1014" s="19"/>
      <c r="U1014" s="19"/>
      <c r="V1014" s="19"/>
      <c r="W1014" s="19"/>
      <c r="X1014" s="19"/>
      <c r="Y1014" s="19"/>
      <c r="Z1014" s="19"/>
      <c r="AA1014" s="19"/>
      <c r="AB1014" s="19"/>
      <c r="AC1014" s="19"/>
      <c r="AD1014" s="19"/>
      <c r="AE1014" s="19"/>
      <c r="AF1014" s="19"/>
      <c r="AG1014" s="19"/>
      <c r="AH1014" s="19"/>
      <c r="AI1014" s="19"/>
      <c r="AJ1014" s="19"/>
      <c r="FM1014" s="54"/>
    </row>
    <row r="1015" spans="1:169" s="18" customFormat="1">
      <c r="A1015" s="51"/>
      <c r="B1015" s="52"/>
      <c r="C1015" s="52"/>
      <c r="D1015" s="52"/>
      <c r="E1015" s="52"/>
      <c r="F1015" s="52"/>
      <c r="G1015" s="52"/>
      <c r="H1015" s="53"/>
      <c r="I1015" s="52"/>
      <c r="J1015" s="52"/>
      <c r="K1015" s="19"/>
      <c r="L1015" s="19"/>
      <c r="M1015" s="19"/>
      <c r="N1015" s="19"/>
      <c r="O1015" s="19"/>
      <c r="P1015" s="19"/>
      <c r="Q1015" s="19"/>
      <c r="R1015" s="19"/>
      <c r="S1015" s="19"/>
      <c r="T1015" s="19"/>
      <c r="U1015" s="19"/>
      <c r="V1015" s="19"/>
      <c r="W1015" s="19"/>
      <c r="X1015" s="19"/>
      <c r="Y1015" s="19"/>
      <c r="Z1015" s="19"/>
      <c r="AA1015" s="19"/>
      <c r="AB1015" s="19"/>
      <c r="AC1015" s="19"/>
      <c r="AD1015" s="19"/>
      <c r="AE1015" s="19"/>
      <c r="AF1015" s="19"/>
      <c r="AG1015" s="19"/>
      <c r="AH1015" s="19"/>
      <c r="AI1015" s="19"/>
      <c r="AJ1015" s="19"/>
      <c r="FM1015" s="54"/>
    </row>
    <row r="1016" spans="1:169" s="18" customFormat="1">
      <c r="A1016" s="51"/>
      <c r="B1016" s="52"/>
      <c r="C1016" s="52"/>
      <c r="D1016" s="52"/>
      <c r="E1016" s="52"/>
      <c r="F1016" s="52"/>
      <c r="G1016" s="52"/>
      <c r="H1016" s="53"/>
      <c r="I1016" s="52"/>
      <c r="J1016" s="52"/>
      <c r="K1016" s="19"/>
      <c r="L1016" s="19"/>
      <c r="M1016" s="19"/>
      <c r="N1016" s="19"/>
      <c r="O1016" s="19"/>
      <c r="P1016" s="19"/>
      <c r="Q1016" s="19"/>
      <c r="R1016" s="19"/>
      <c r="S1016" s="19"/>
      <c r="T1016" s="19"/>
      <c r="U1016" s="19"/>
      <c r="V1016" s="19"/>
      <c r="W1016" s="19"/>
      <c r="X1016" s="19"/>
      <c r="Y1016" s="19"/>
      <c r="Z1016" s="19"/>
      <c r="AA1016" s="19"/>
      <c r="AB1016" s="19"/>
      <c r="AC1016" s="19"/>
      <c r="AD1016" s="19"/>
      <c r="AE1016" s="19"/>
      <c r="AF1016" s="19"/>
      <c r="AG1016" s="19"/>
      <c r="AH1016" s="19"/>
      <c r="AI1016" s="19"/>
      <c r="AJ1016" s="19"/>
      <c r="FM1016" s="54"/>
    </row>
    <row r="1017" spans="1:169" s="18" customFormat="1">
      <c r="A1017" s="51"/>
      <c r="B1017" s="52"/>
      <c r="C1017" s="52"/>
      <c r="D1017" s="52"/>
      <c r="E1017" s="52"/>
      <c r="F1017" s="52"/>
      <c r="G1017" s="52"/>
      <c r="H1017" s="53"/>
      <c r="I1017" s="52"/>
      <c r="J1017" s="52"/>
      <c r="K1017" s="19"/>
      <c r="L1017" s="19"/>
      <c r="M1017" s="19"/>
      <c r="N1017" s="19"/>
      <c r="O1017" s="19"/>
      <c r="P1017" s="19"/>
      <c r="Q1017" s="19"/>
      <c r="R1017" s="19"/>
      <c r="S1017" s="19"/>
      <c r="T1017" s="19"/>
      <c r="U1017" s="19"/>
      <c r="V1017" s="19"/>
      <c r="W1017" s="19"/>
      <c r="X1017" s="19"/>
      <c r="Y1017" s="19"/>
      <c r="Z1017" s="19"/>
      <c r="AA1017" s="19"/>
      <c r="AB1017" s="19"/>
      <c r="AC1017" s="19"/>
      <c r="AD1017" s="19"/>
      <c r="AE1017" s="19"/>
      <c r="AF1017" s="19"/>
      <c r="AG1017" s="19"/>
      <c r="AH1017" s="19"/>
      <c r="AI1017" s="19"/>
      <c r="AJ1017" s="19"/>
      <c r="FM1017" s="54"/>
    </row>
    <row r="1018" spans="1:169" s="18" customFormat="1">
      <c r="A1018" s="51"/>
      <c r="B1018" s="52"/>
      <c r="C1018" s="52"/>
      <c r="D1018" s="52"/>
      <c r="E1018" s="52"/>
      <c r="F1018" s="52"/>
      <c r="G1018" s="52"/>
      <c r="H1018" s="53"/>
      <c r="I1018" s="52"/>
      <c r="J1018" s="52"/>
      <c r="K1018" s="19"/>
      <c r="L1018" s="19"/>
      <c r="M1018" s="19"/>
      <c r="N1018" s="19"/>
      <c r="O1018" s="19"/>
      <c r="P1018" s="19"/>
      <c r="Q1018" s="19"/>
      <c r="R1018" s="19"/>
      <c r="S1018" s="19"/>
      <c r="T1018" s="19"/>
      <c r="U1018" s="19"/>
      <c r="V1018" s="19"/>
      <c r="W1018" s="19"/>
      <c r="X1018" s="19"/>
      <c r="Y1018" s="19"/>
      <c r="Z1018" s="19"/>
      <c r="AA1018" s="19"/>
      <c r="AB1018" s="19"/>
      <c r="AC1018" s="19"/>
      <c r="AD1018" s="19"/>
      <c r="AE1018" s="19"/>
      <c r="AF1018" s="19"/>
      <c r="AG1018" s="19"/>
      <c r="AH1018" s="19"/>
      <c r="AI1018" s="19"/>
      <c r="AJ1018" s="19"/>
      <c r="FM1018" s="54"/>
    </row>
    <row r="1019" spans="1:169" s="18" customFormat="1">
      <c r="A1019" s="51"/>
      <c r="B1019" s="52"/>
      <c r="C1019" s="52"/>
      <c r="D1019" s="52"/>
      <c r="E1019" s="52"/>
      <c r="F1019" s="52"/>
      <c r="G1019" s="52"/>
      <c r="H1019" s="53"/>
      <c r="I1019" s="52"/>
      <c r="J1019" s="52"/>
      <c r="K1019" s="19"/>
      <c r="L1019" s="19"/>
      <c r="M1019" s="19"/>
      <c r="N1019" s="19"/>
      <c r="O1019" s="19"/>
      <c r="P1019" s="19"/>
      <c r="Q1019" s="19"/>
      <c r="R1019" s="19"/>
      <c r="S1019" s="19"/>
      <c r="T1019" s="19"/>
      <c r="U1019" s="19"/>
      <c r="V1019" s="19"/>
      <c r="W1019" s="19"/>
      <c r="X1019" s="19"/>
      <c r="Y1019" s="19"/>
      <c r="Z1019" s="19"/>
      <c r="AA1019" s="19"/>
      <c r="AB1019" s="19"/>
      <c r="AC1019" s="19"/>
      <c r="AD1019" s="19"/>
      <c r="AE1019" s="19"/>
      <c r="AF1019" s="19"/>
      <c r="AG1019" s="19"/>
      <c r="AH1019" s="19"/>
      <c r="AI1019" s="19"/>
      <c r="AJ1019" s="19"/>
      <c r="FM1019" s="54"/>
    </row>
    <row r="1020" spans="1:169" s="18" customFormat="1">
      <c r="A1020" s="51"/>
      <c r="B1020" s="52"/>
      <c r="C1020" s="52"/>
      <c r="D1020" s="52"/>
      <c r="E1020" s="52"/>
      <c r="F1020" s="52"/>
      <c r="G1020" s="52"/>
      <c r="H1020" s="53"/>
      <c r="I1020" s="52"/>
      <c r="J1020" s="52"/>
      <c r="K1020" s="19"/>
      <c r="L1020" s="19"/>
      <c r="M1020" s="19"/>
      <c r="N1020" s="19"/>
      <c r="O1020" s="19"/>
      <c r="P1020" s="19"/>
      <c r="Q1020" s="19"/>
      <c r="R1020" s="19"/>
      <c r="S1020" s="19"/>
      <c r="T1020" s="19"/>
      <c r="U1020" s="19"/>
      <c r="V1020" s="19"/>
      <c r="W1020" s="19"/>
      <c r="X1020" s="19"/>
      <c r="Y1020" s="19"/>
      <c r="Z1020" s="19"/>
      <c r="AA1020" s="19"/>
      <c r="AB1020" s="19"/>
      <c r="AC1020" s="19"/>
      <c r="AD1020" s="19"/>
      <c r="AE1020" s="19"/>
      <c r="AF1020" s="19"/>
      <c r="AG1020" s="19"/>
      <c r="AH1020" s="19"/>
      <c r="AI1020" s="19"/>
      <c r="AJ1020" s="19"/>
      <c r="FM1020" s="54"/>
    </row>
    <row r="1021" spans="1:169" s="18" customFormat="1">
      <c r="A1021" s="51"/>
      <c r="B1021" s="52"/>
      <c r="C1021" s="52"/>
      <c r="D1021" s="52"/>
      <c r="E1021" s="52"/>
      <c r="F1021" s="52"/>
      <c r="G1021" s="52"/>
      <c r="H1021" s="53"/>
      <c r="I1021" s="52"/>
      <c r="J1021" s="52"/>
      <c r="K1021" s="19"/>
      <c r="L1021" s="19"/>
      <c r="M1021" s="19"/>
      <c r="N1021" s="19"/>
      <c r="O1021" s="19"/>
      <c r="P1021" s="19"/>
      <c r="Q1021" s="19"/>
      <c r="R1021" s="19"/>
      <c r="S1021" s="19"/>
      <c r="T1021" s="19"/>
      <c r="U1021" s="19"/>
      <c r="V1021" s="19"/>
      <c r="W1021" s="19"/>
      <c r="X1021" s="19"/>
      <c r="Y1021" s="19"/>
      <c r="Z1021" s="19"/>
      <c r="AA1021" s="19"/>
      <c r="AB1021" s="19"/>
      <c r="AC1021" s="19"/>
      <c r="AD1021" s="19"/>
      <c r="AE1021" s="19"/>
      <c r="AF1021" s="19"/>
      <c r="AG1021" s="19"/>
      <c r="AH1021" s="19"/>
      <c r="AI1021" s="19"/>
      <c r="AJ1021" s="19"/>
      <c r="FM1021" s="54"/>
    </row>
    <row r="1022" spans="1:169" s="18" customFormat="1">
      <c r="A1022" s="51"/>
      <c r="B1022" s="52"/>
      <c r="C1022" s="52"/>
      <c r="D1022" s="52"/>
      <c r="E1022" s="52"/>
      <c r="F1022" s="52"/>
      <c r="G1022" s="52"/>
      <c r="H1022" s="53"/>
      <c r="I1022" s="52"/>
      <c r="J1022" s="52"/>
      <c r="K1022" s="19"/>
      <c r="L1022" s="19"/>
      <c r="M1022" s="19"/>
      <c r="N1022" s="19"/>
      <c r="O1022" s="19"/>
      <c r="P1022" s="19"/>
      <c r="Q1022" s="19"/>
      <c r="R1022" s="19"/>
      <c r="S1022" s="19"/>
      <c r="T1022" s="19"/>
      <c r="U1022" s="19"/>
      <c r="V1022" s="19"/>
      <c r="W1022" s="19"/>
      <c r="X1022" s="19"/>
      <c r="Y1022" s="19"/>
      <c r="Z1022" s="19"/>
      <c r="AA1022" s="19"/>
      <c r="AB1022" s="19"/>
      <c r="AC1022" s="19"/>
      <c r="AD1022" s="19"/>
      <c r="AE1022" s="19"/>
      <c r="AF1022" s="19"/>
      <c r="AG1022" s="19"/>
      <c r="AH1022" s="19"/>
      <c r="AI1022" s="19"/>
      <c r="AJ1022" s="19"/>
      <c r="FM1022" s="54"/>
    </row>
    <row r="1023" spans="1:169" s="18" customFormat="1">
      <c r="A1023" s="51"/>
      <c r="B1023" s="52"/>
      <c r="C1023" s="52"/>
      <c r="D1023" s="52"/>
      <c r="E1023" s="52"/>
      <c r="F1023" s="52"/>
      <c r="G1023" s="52"/>
      <c r="H1023" s="53"/>
      <c r="I1023" s="52"/>
      <c r="J1023" s="52"/>
      <c r="K1023" s="19"/>
      <c r="L1023" s="19"/>
      <c r="M1023" s="19"/>
      <c r="N1023" s="19"/>
      <c r="O1023" s="19"/>
      <c r="P1023" s="19"/>
      <c r="Q1023" s="19"/>
      <c r="R1023" s="19"/>
      <c r="S1023" s="19"/>
      <c r="T1023" s="19"/>
      <c r="U1023" s="19"/>
      <c r="V1023" s="19"/>
      <c r="W1023" s="19"/>
      <c r="X1023" s="19"/>
      <c r="Y1023" s="19"/>
      <c r="Z1023" s="19"/>
      <c r="AA1023" s="19"/>
      <c r="AB1023" s="19"/>
      <c r="AC1023" s="19"/>
      <c r="AD1023" s="19"/>
      <c r="AE1023" s="19"/>
      <c r="AF1023" s="19"/>
      <c r="AG1023" s="19"/>
      <c r="AH1023" s="19"/>
      <c r="AI1023" s="19"/>
      <c r="AJ1023" s="19"/>
      <c r="FM1023" s="54"/>
    </row>
    <row r="1024" spans="1:169" s="18" customFormat="1">
      <c r="A1024" s="51"/>
      <c r="B1024" s="52"/>
      <c r="C1024" s="52"/>
      <c r="D1024" s="52"/>
      <c r="E1024" s="52"/>
      <c r="F1024" s="52"/>
      <c r="G1024" s="52"/>
      <c r="H1024" s="53"/>
      <c r="I1024" s="52"/>
      <c r="J1024" s="52"/>
      <c r="K1024" s="19"/>
      <c r="L1024" s="19"/>
      <c r="M1024" s="19"/>
      <c r="N1024" s="19"/>
      <c r="O1024" s="19"/>
      <c r="P1024" s="19"/>
      <c r="Q1024" s="19"/>
      <c r="R1024" s="19"/>
      <c r="S1024" s="19"/>
      <c r="T1024" s="19"/>
      <c r="U1024" s="19"/>
      <c r="V1024" s="19"/>
      <c r="W1024" s="19"/>
      <c r="X1024" s="19"/>
      <c r="Y1024" s="19"/>
      <c r="Z1024" s="19"/>
      <c r="AA1024" s="19"/>
      <c r="AB1024" s="19"/>
      <c r="AC1024" s="19"/>
      <c r="AD1024" s="19"/>
      <c r="AE1024" s="19"/>
      <c r="AF1024" s="19"/>
      <c r="AG1024" s="19"/>
      <c r="AH1024" s="19"/>
      <c r="AI1024" s="19"/>
      <c r="AJ1024" s="19"/>
      <c r="FM1024" s="54"/>
    </row>
    <row r="1025" spans="1:169" s="18" customFormat="1">
      <c r="A1025" s="51"/>
      <c r="B1025" s="52"/>
      <c r="C1025" s="52"/>
      <c r="D1025" s="52"/>
      <c r="E1025" s="52"/>
      <c r="F1025" s="52"/>
      <c r="G1025" s="52"/>
      <c r="H1025" s="53"/>
      <c r="I1025" s="52"/>
      <c r="J1025" s="52"/>
      <c r="K1025" s="19"/>
      <c r="L1025" s="19"/>
      <c r="M1025" s="19"/>
      <c r="N1025" s="19"/>
      <c r="O1025" s="19"/>
      <c r="P1025" s="19"/>
      <c r="Q1025" s="19"/>
      <c r="R1025" s="19"/>
      <c r="S1025" s="19"/>
      <c r="T1025" s="19"/>
      <c r="U1025" s="19"/>
      <c r="V1025" s="19"/>
      <c r="W1025" s="19"/>
      <c r="X1025" s="19"/>
      <c r="Y1025" s="19"/>
      <c r="Z1025" s="19"/>
      <c r="AA1025" s="19"/>
      <c r="AB1025" s="19"/>
      <c r="AC1025" s="19"/>
      <c r="AD1025" s="19"/>
      <c r="AE1025" s="19"/>
      <c r="AF1025" s="19"/>
      <c r="AG1025" s="19"/>
      <c r="AH1025" s="19"/>
      <c r="AI1025" s="19"/>
      <c r="AJ1025" s="19"/>
      <c r="FM1025" s="54"/>
    </row>
    <row r="1026" spans="1:169" s="18" customFormat="1">
      <c r="A1026" s="51"/>
      <c r="B1026" s="52"/>
      <c r="C1026" s="52"/>
      <c r="D1026" s="52"/>
      <c r="E1026" s="52"/>
      <c r="F1026" s="52"/>
      <c r="G1026" s="52"/>
      <c r="H1026" s="53"/>
      <c r="I1026" s="52"/>
      <c r="J1026" s="52"/>
      <c r="K1026" s="19"/>
      <c r="L1026" s="19"/>
      <c r="M1026" s="19"/>
      <c r="N1026" s="19"/>
      <c r="O1026" s="19"/>
      <c r="P1026" s="19"/>
      <c r="Q1026" s="19"/>
      <c r="R1026" s="19"/>
      <c r="S1026" s="19"/>
      <c r="T1026" s="19"/>
      <c r="U1026" s="19"/>
      <c r="V1026" s="19"/>
      <c r="W1026" s="19"/>
      <c r="X1026" s="19"/>
      <c r="Y1026" s="19"/>
      <c r="Z1026" s="19"/>
      <c r="AA1026" s="19"/>
      <c r="AB1026" s="19"/>
      <c r="AC1026" s="19"/>
      <c r="AD1026" s="19"/>
      <c r="AE1026" s="19"/>
      <c r="AF1026" s="19"/>
      <c r="AG1026" s="19"/>
      <c r="AH1026" s="19"/>
      <c r="AI1026" s="19"/>
      <c r="AJ1026" s="19"/>
      <c r="FM1026" s="54"/>
    </row>
    <row r="1027" spans="1:169" s="18" customFormat="1">
      <c r="A1027" s="51"/>
      <c r="B1027" s="52"/>
      <c r="C1027" s="52"/>
      <c r="D1027" s="52"/>
      <c r="E1027" s="52"/>
      <c r="F1027" s="52"/>
      <c r="G1027" s="52"/>
      <c r="H1027" s="53"/>
      <c r="I1027" s="52"/>
      <c r="J1027" s="52"/>
      <c r="K1027" s="19"/>
      <c r="L1027" s="19"/>
      <c r="M1027" s="19"/>
      <c r="N1027" s="19"/>
      <c r="O1027" s="19"/>
      <c r="P1027" s="19"/>
      <c r="Q1027" s="19"/>
      <c r="R1027" s="19"/>
      <c r="S1027" s="19"/>
      <c r="T1027" s="19"/>
      <c r="U1027" s="19"/>
      <c r="V1027" s="19"/>
      <c r="W1027" s="19"/>
      <c r="X1027" s="19"/>
      <c r="Y1027" s="19"/>
      <c r="Z1027" s="19"/>
      <c r="AA1027" s="19"/>
      <c r="AB1027" s="19"/>
      <c r="AC1027" s="19"/>
      <c r="AD1027" s="19"/>
      <c r="AE1027" s="19"/>
      <c r="AF1027" s="19"/>
      <c r="AG1027" s="19"/>
      <c r="AH1027" s="19"/>
      <c r="AI1027" s="19"/>
      <c r="AJ1027" s="19"/>
      <c r="FM1027" s="54"/>
    </row>
    <row r="1028" spans="1:169" s="18" customFormat="1">
      <c r="A1028" s="51"/>
      <c r="B1028" s="52"/>
      <c r="C1028" s="52"/>
      <c r="D1028" s="52"/>
      <c r="E1028" s="52"/>
      <c r="F1028" s="52"/>
      <c r="G1028" s="52"/>
      <c r="H1028" s="53"/>
      <c r="I1028" s="52"/>
      <c r="J1028" s="52"/>
      <c r="K1028" s="19"/>
      <c r="L1028" s="19"/>
      <c r="M1028" s="19"/>
      <c r="N1028" s="19"/>
      <c r="O1028" s="19"/>
      <c r="P1028" s="19"/>
      <c r="Q1028" s="19"/>
      <c r="R1028" s="19"/>
      <c r="S1028" s="19"/>
      <c r="T1028" s="19"/>
      <c r="U1028" s="19"/>
      <c r="V1028" s="19"/>
      <c r="W1028" s="19"/>
      <c r="X1028" s="19"/>
      <c r="Y1028" s="19"/>
      <c r="Z1028" s="19"/>
      <c r="AA1028" s="19"/>
      <c r="AB1028" s="19"/>
      <c r="AC1028" s="19"/>
      <c r="AD1028" s="19"/>
      <c r="AE1028" s="19"/>
      <c r="AF1028" s="19"/>
      <c r="AG1028" s="19"/>
      <c r="AH1028" s="19"/>
      <c r="AI1028" s="19"/>
      <c r="AJ1028" s="19"/>
      <c r="FM1028" s="54"/>
    </row>
    <row r="1029" spans="1:169" s="18" customFormat="1">
      <c r="A1029" s="51"/>
      <c r="B1029" s="52"/>
      <c r="C1029" s="52"/>
      <c r="D1029" s="52"/>
      <c r="E1029" s="52"/>
      <c r="F1029" s="52"/>
      <c r="G1029" s="52"/>
      <c r="H1029" s="53"/>
      <c r="I1029" s="52"/>
      <c r="J1029" s="52"/>
      <c r="K1029" s="19"/>
      <c r="L1029" s="19"/>
      <c r="M1029" s="19"/>
      <c r="N1029" s="19"/>
      <c r="O1029" s="19"/>
      <c r="P1029" s="19"/>
      <c r="Q1029" s="19"/>
      <c r="R1029" s="19"/>
      <c r="S1029" s="19"/>
      <c r="T1029" s="19"/>
      <c r="U1029" s="19"/>
      <c r="V1029" s="19"/>
      <c r="W1029" s="19"/>
      <c r="X1029" s="19"/>
      <c r="Y1029" s="19"/>
      <c r="Z1029" s="19"/>
      <c r="AA1029" s="19"/>
      <c r="AB1029" s="19"/>
      <c r="AC1029" s="19"/>
      <c r="AD1029" s="19"/>
      <c r="AE1029" s="19"/>
      <c r="AF1029" s="19"/>
      <c r="AG1029" s="19"/>
      <c r="AH1029" s="19"/>
      <c r="AI1029" s="19"/>
      <c r="AJ1029" s="19"/>
      <c r="FM1029" s="54"/>
    </row>
    <row r="1030" spans="1:169" s="18" customFormat="1">
      <c r="A1030" s="51"/>
      <c r="B1030" s="52"/>
      <c r="C1030" s="52"/>
      <c r="D1030" s="52"/>
      <c r="E1030" s="52"/>
      <c r="F1030" s="52"/>
      <c r="G1030" s="52"/>
      <c r="H1030" s="53"/>
      <c r="I1030" s="52"/>
      <c r="J1030" s="52"/>
      <c r="K1030" s="19"/>
      <c r="L1030" s="19"/>
      <c r="M1030" s="19"/>
      <c r="N1030" s="19"/>
      <c r="O1030" s="19"/>
      <c r="P1030" s="19"/>
      <c r="Q1030" s="19"/>
      <c r="R1030" s="19"/>
      <c r="S1030" s="19"/>
      <c r="T1030" s="19"/>
      <c r="U1030" s="19"/>
      <c r="V1030" s="19"/>
      <c r="W1030" s="19"/>
      <c r="X1030" s="19"/>
      <c r="Y1030" s="19"/>
      <c r="Z1030" s="19"/>
      <c r="AA1030" s="19"/>
      <c r="AB1030" s="19"/>
      <c r="AC1030" s="19"/>
      <c r="AD1030" s="19"/>
      <c r="AE1030" s="19"/>
      <c r="AF1030" s="19"/>
      <c r="AG1030" s="19"/>
      <c r="AH1030" s="19"/>
      <c r="AI1030" s="19"/>
      <c r="AJ1030" s="19"/>
      <c r="FM1030" s="54"/>
    </row>
    <row r="1031" spans="1:169" s="18" customFormat="1">
      <c r="A1031" s="51"/>
      <c r="B1031" s="52"/>
      <c r="C1031" s="52"/>
      <c r="D1031" s="52"/>
      <c r="E1031" s="52"/>
      <c r="F1031" s="52"/>
      <c r="G1031" s="52"/>
      <c r="H1031" s="53"/>
      <c r="I1031" s="52"/>
      <c r="J1031" s="52"/>
      <c r="K1031" s="19"/>
      <c r="L1031" s="19"/>
      <c r="M1031" s="19"/>
      <c r="N1031" s="19"/>
      <c r="O1031" s="19"/>
      <c r="P1031" s="19"/>
      <c r="Q1031" s="19"/>
      <c r="R1031" s="19"/>
      <c r="S1031" s="19"/>
      <c r="T1031" s="19"/>
      <c r="U1031" s="19"/>
      <c r="V1031" s="19"/>
      <c r="W1031" s="19"/>
      <c r="X1031" s="19"/>
      <c r="Y1031" s="19"/>
      <c r="Z1031" s="19"/>
      <c r="AA1031" s="19"/>
      <c r="AB1031" s="19"/>
      <c r="AC1031" s="19"/>
      <c r="AD1031" s="19"/>
      <c r="AE1031" s="19"/>
      <c r="AF1031" s="19"/>
      <c r="AG1031" s="19"/>
      <c r="AH1031" s="19"/>
      <c r="AI1031" s="19"/>
      <c r="AJ1031" s="19"/>
      <c r="FM1031" s="54"/>
    </row>
    <row r="1032" spans="1:169" s="18" customFormat="1">
      <c r="A1032" s="51"/>
      <c r="B1032" s="52"/>
      <c r="C1032" s="52"/>
      <c r="D1032" s="52"/>
      <c r="E1032" s="52"/>
      <c r="F1032" s="52"/>
      <c r="G1032" s="52"/>
      <c r="H1032" s="53"/>
      <c r="I1032" s="52"/>
      <c r="J1032" s="52"/>
      <c r="K1032" s="19"/>
      <c r="L1032" s="19"/>
      <c r="M1032" s="19"/>
      <c r="N1032" s="19"/>
      <c r="O1032" s="19"/>
      <c r="P1032" s="19"/>
      <c r="Q1032" s="19"/>
      <c r="R1032" s="19"/>
      <c r="S1032" s="19"/>
      <c r="T1032" s="19"/>
      <c r="U1032" s="19"/>
      <c r="V1032" s="19"/>
      <c r="W1032" s="19"/>
      <c r="X1032" s="19"/>
      <c r="Y1032" s="19"/>
      <c r="Z1032" s="19"/>
      <c r="AA1032" s="19"/>
      <c r="AB1032" s="19"/>
      <c r="AC1032" s="19"/>
      <c r="AD1032" s="19"/>
      <c r="AE1032" s="19"/>
      <c r="AF1032" s="19"/>
      <c r="AG1032" s="19"/>
      <c r="AH1032" s="19"/>
      <c r="AI1032" s="19"/>
      <c r="AJ1032" s="19"/>
      <c r="FM1032" s="54"/>
    </row>
    <row r="1033" spans="1:169" s="18" customFormat="1">
      <c r="A1033" s="51"/>
      <c r="B1033" s="52"/>
      <c r="C1033" s="52"/>
      <c r="D1033" s="52"/>
      <c r="E1033" s="52"/>
      <c r="F1033" s="52"/>
      <c r="G1033" s="52"/>
      <c r="H1033" s="53"/>
      <c r="I1033" s="52"/>
      <c r="J1033" s="52"/>
      <c r="K1033" s="19"/>
      <c r="L1033" s="19"/>
      <c r="M1033" s="19"/>
      <c r="N1033" s="19"/>
      <c r="O1033" s="19"/>
      <c r="P1033" s="19"/>
      <c r="Q1033" s="19"/>
      <c r="R1033" s="19"/>
      <c r="S1033" s="19"/>
      <c r="T1033" s="19"/>
      <c r="U1033" s="19"/>
      <c r="V1033" s="19"/>
      <c r="W1033" s="19"/>
      <c r="X1033" s="19"/>
      <c r="Y1033" s="19"/>
      <c r="Z1033" s="19"/>
      <c r="AA1033" s="19"/>
      <c r="AB1033" s="19"/>
      <c r="AC1033" s="19"/>
      <c r="AD1033" s="19"/>
      <c r="AE1033" s="19"/>
      <c r="AF1033" s="19"/>
      <c r="AG1033" s="19"/>
      <c r="AH1033" s="19"/>
      <c r="AI1033" s="19"/>
      <c r="AJ1033" s="19"/>
      <c r="FM1033" s="54"/>
    </row>
    <row r="1034" spans="1:169" s="18" customFormat="1">
      <c r="A1034" s="51"/>
      <c r="B1034" s="52"/>
      <c r="C1034" s="52"/>
      <c r="D1034" s="52"/>
      <c r="E1034" s="52"/>
      <c r="F1034" s="52"/>
      <c r="G1034" s="52"/>
      <c r="H1034" s="53"/>
      <c r="I1034" s="52"/>
      <c r="J1034" s="52"/>
      <c r="K1034" s="19"/>
      <c r="L1034" s="19"/>
      <c r="M1034" s="19"/>
      <c r="N1034" s="19"/>
      <c r="O1034" s="19"/>
      <c r="P1034" s="19"/>
      <c r="Q1034" s="19"/>
      <c r="R1034" s="19"/>
      <c r="S1034" s="19"/>
      <c r="T1034" s="19"/>
      <c r="U1034" s="19"/>
      <c r="V1034" s="19"/>
      <c r="W1034" s="19"/>
      <c r="X1034" s="19"/>
      <c r="Y1034" s="19"/>
      <c r="Z1034" s="19"/>
      <c r="AA1034" s="19"/>
      <c r="AB1034" s="19"/>
      <c r="AC1034" s="19"/>
      <c r="AD1034" s="19"/>
      <c r="AE1034" s="19"/>
      <c r="AF1034" s="19"/>
      <c r="AG1034" s="19"/>
      <c r="AH1034" s="19"/>
      <c r="AI1034" s="19"/>
      <c r="AJ1034" s="19"/>
      <c r="FM1034" s="54"/>
    </row>
    <row r="1035" spans="1:169" s="18" customFormat="1">
      <c r="A1035" s="51"/>
      <c r="B1035" s="52"/>
      <c r="C1035" s="52"/>
      <c r="D1035" s="52"/>
      <c r="E1035" s="52"/>
      <c r="F1035" s="52"/>
      <c r="G1035" s="52"/>
      <c r="H1035" s="53"/>
      <c r="I1035" s="52"/>
      <c r="J1035" s="52"/>
      <c r="K1035" s="19"/>
      <c r="L1035" s="19"/>
      <c r="M1035" s="19"/>
      <c r="N1035" s="19"/>
      <c r="O1035" s="19"/>
      <c r="P1035" s="19"/>
      <c r="Q1035" s="19"/>
      <c r="R1035" s="19"/>
      <c r="S1035" s="19"/>
      <c r="T1035" s="19"/>
      <c r="U1035" s="19"/>
      <c r="V1035" s="19"/>
      <c r="W1035" s="19"/>
      <c r="X1035" s="19"/>
      <c r="Y1035" s="19"/>
      <c r="Z1035" s="19"/>
      <c r="AA1035" s="19"/>
      <c r="AB1035" s="19"/>
      <c r="AC1035" s="19"/>
      <c r="AD1035" s="19"/>
      <c r="AE1035" s="19"/>
      <c r="AF1035" s="19"/>
      <c r="AG1035" s="19"/>
      <c r="AH1035" s="19"/>
      <c r="AI1035" s="19"/>
      <c r="AJ1035" s="19"/>
      <c r="FM1035" s="54"/>
    </row>
    <row r="1036" spans="1:169" s="18" customFormat="1">
      <c r="A1036" s="51"/>
      <c r="B1036" s="52"/>
      <c r="C1036" s="52"/>
      <c r="D1036" s="52"/>
      <c r="E1036" s="52"/>
      <c r="F1036" s="52"/>
      <c r="G1036" s="52"/>
      <c r="H1036" s="53"/>
      <c r="I1036" s="52"/>
      <c r="J1036" s="52"/>
      <c r="K1036" s="19"/>
      <c r="L1036" s="19"/>
      <c r="M1036" s="19"/>
      <c r="N1036" s="19"/>
      <c r="O1036" s="19"/>
      <c r="P1036" s="19"/>
      <c r="Q1036" s="19"/>
      <c r="R1036" s="19"/>
      <c r="S1036" s="19"/>
      <c r="T1036" s="19"/>
      <c r="U1036" s="19"/>
      <c r="V1036" s="19"/>
      <c r="W1036" s="19"/>
      <c r="X1036" s="19"/>
      <c r="Y1036" s="19"/>
      <c r="Z1036" s="19"/>
      <c r="AA1036" s="19"/>
      <c r="AB1036" s="19"/>
      <c r="AC1036" s="19"/>
      <c r="AD1036" s="19"/>
      <c r="AE1036" s="19"/>
      <c r="AF1036" s="19"/>
      <c r="AG1036" s="19"/>
      <c r="AH1036" s="19"/>
      <c r="AI1036" s="19"/>
      <c r="AJ1036" s="19"/>
      <c r="FM1036" s="54"/>
    </row>
    <row r="1037" spans="1:169" s="18" customFormat="1">
      <c r="A1037" s="51"/>
      <c r="B1037" s="52"/>
      <c r="C1037" s="52"/>
      <c r="D1037" s="52"/>
      <c r="E1037" s="52"/>
      <c r="F1037" s="52"/>
      <c r="G1037" s="52"/>
      <c r="H1037" s="53"/>
      <c r="I1037" s="52"/>
      <c r="J1037" s="52"/>
      <c r="K1037" s="19"/>
      <c r="L1037" s="19"/>
      <c r="M1037" s="19"/>
      <c r="N1037" s="19"/>
      <c r="O1037" s="19"/>
      <c r="P1037" s="19"/>
      <c r="Q1037" s="19"/>
      <c r="R1037" s="19"/>
      <c r="S1037" s="19"/>
      <c r="T1037" s="19"/>
      <c r="U1037" s="19"/>
      <c r="V1037" s="19"/>
      <c r="W1037" s="19"/>
      <c r="X1037" s="19"/>
      <c r="Y1037" s="19"/>
      <c r="Z1037" s="19"/>
      <c r="AA1037" s="19"/>
      <c r="AB1037" s="19"/>
      <c r="AC1037" s="19"/>
      <c r="AD1037" s="19"/>
      <c r="AE1037" s="19"/>
      <c r="AF1037" s="19"/>
      <c r="AG1037" s="19"/>
      <c r="AH1037" s="19"/>
      <c r="AI1037" s="19"/>
      <c r="AJ1037" s="19"/>
      <c r="FM1037" s="54"/>
    </row>
    <row r="1038" spans="1:169" s="18" customFormat="1">
      <c r="A1038" s="51"/>
      <c r="B1038" s="52"/>
      <c r="C1038" s="52"/>
      <c r="D1038" s="52"/>
      <c r="E1038" s="52"/>
      <c r="F1038" s="52"/>
      <c r="G1038" s="52"/>
      <c r="H1038" s="53"/>
      <c r="I1038" s="52"/>
      <c r="J1038" s="52"/>
      <c r="K1038" s="19"/>
      <c r="L1038" s="19"/>
      <c r="M1038" s="19"/>
      <c r="N1038" s="19"/>
      <c r="O1038" s="19"/>
      <c r="P1038" s="19"/>
      <c r="Q1038" s="19"/>
      <c r="R1038" s="19"/>
      <c r="S1038" s="19"/>
      <c r="T1038" s="19"/>
      <c r="U1038" s="19"/>
      <c r="V1038" s="19"/>
      <c r="W1038" s="19"/>
      <c r="X1038" s="19"/>
      <c r="Y1038" s="19"/>
      <c r="Z1038" s="19"/>
      <c r="AA1038" s="19"/>
      <c r="AB1038" s="19"/>
      <c r="AC1038" s="19"/>
      <c r="AD1038" s="19"/>
      <c r="AE1038" s="19"/>
      <c r="AF1038" s="19"/>
      <c r="AG1038" s="19"/>
      <c r="AH1038" s="19"/>
      <c r="AI1038" s="19"/>
      <c r="AJ1038" s="19"/>
      <c r="FM1038" s="54"/>
    </row>
    <row r="1039" spans="1:169" s="18" customFormat="1">
      <c r="A1039" s="51"/>
      <c r="B1039" s="52"/>
      <c r="C1039" s="52"/>
      <c r="D1039" s="52"/>
      <c r="E1039" s="52"/>
      <c r="F1039" s="52"/>
      <c r="G1039" s="52"/>
      <c r="H1039" s="53"/>
      <c r="I1039" s="52"/>
      <c r="J1039" s="52"/>
      <c r="K1039" s="19"/>
      <c r="L1039" s="19"/>
      <c r="M1039" s="19"/>
      <c r="N1039" s="19"/>
      <c r="O1039" s="19"/>
      <c r="P1039" s="19"/>
      <c r="Q1039" s="19"/>
      <c r="R1039" s="19"/>
      <c r="S1039" s="19"/>
      <c r="T1039" s="19"/>
      <c r="U1039" s="19"/>
      <c r="V1039" s="19"/>
      <c r="W1039" s="19"/>
      <c r="X1039" s="19"/>
      <c r="Y1039" s="19"/>
      <c r="Z1039" s="19"/>
      <c r="AA1039" s="19"/>
      <c r="AB1039" s="19"/>
      <c r="AC1039" s="19"/>
      <c r="AD1039" s="19"/>
      <c r="AE1039" s="19"/>
      <c r="AF1039" s="19"/>
      <c r="AG1039" s="19"/>
      <c r="AH1039" s="19"/>
      <c r="AI1039" s="19"/>
      <c r="AJ1039" s="19"/>
      <c r="FM1039" s="54"/>
    </row>
    <row r="1040" spans="1:169" s="18" customFormat="1">
      <c r="A1040" s="51"/>
      <c r="B1040" s="52"/>
      <c r="C1040" s="52"/>
      <c r="D1040" s="52"/>
      <c r="E1040" s="52"/>
      <c r="F1040" s="52"/>
      <c r="G1040" s="52"/>
      <c r="H1040" s="53"/>
      <c r="I1040" s="52"/>
      <c r="J1040" s="52"/>
      <c r="K1040" s="19"/>
      <c r="L1040" s="19"/>
      <c r="M1040" s="19"/>
      <c r="N1040" s="19"/>
      <c r="O1040" s="19"/>
      <c r="P1040" s="19"/>
      <c r="Q1040" s="19"/>
      <c r="R1040" s="19"/>
      <c r="S1040" s="19"/>
      <c r="T1040" s="19"/>
      <c r="U1040" s="19"/>
      <c r="V1040" s="19"/>
      <c r="W1040" s="19"/>
      <c r="X1040" s="19"/>
      <c r="Y1040" s="19"/>
      <c r="Z1040" s="19"/>
      <c r="AA1040" s="19"/>
      <c r="AB1040" s="19"/>
      <c r="AC1040" s="19"/>
      <c r="AD1040" s="19"/>
      <c r="AE1040" s="19"/>
      <c r="AF1040" s="19"/>
      <c r="AG1040" s="19"/>
      <c r="AH1040" s="19"/>
      <c r="AI1040" s="19"/>
      <c r="AJ1040" s="19"/>
      <c r="FM1040" s="54"/>
    </row>
    <row r="1041" spans="1:169" s="18" customFormat="1">
      <c r="A1041" s="51"/>
      <c r="B1041" s="52"/>
      <c r="C1041" s="52"/>
      <c r="D1041" s="52"/>
      <c r="E1041" s="52"/>
      <c r="F1041" s="52"/>
      <c r="G1041" s="52"/>
      <c r="H1041" s="53"/>
      <c r="I1041" s="52"/>
      <c r="J1041" s="52"/>
      <c r="K1041" s="19"/>
      <c r="L1041" s="19"/>
      <c r="M1041" s="19"/>
      <c r="N1041" s="19"/>
      <c r="O1041" s="19"/>
      <c r="P1041" s="19"/>
      <c r="Q1041" s="19"/>
      <c r="R1041" s="19"/>
      <c r="S1041" s="19"/>
      <c r="T1041" s="19"/>
      <c r="U1041" s="19"/>
      <c r="V1041" s="19"/>
      <c r="W1041" s="19"/>
      <c r="X1041" s="19"/>
      <c r="Y1041" s="19"/>
      <c r="Z1041" s="19"/>
      <c r="AA1041" s="19"/>
      <c r="AB1041" s="19"/>
      <c r="AC1041" s="19"/>
      <c r="AD1041" s="19"/>
      <c r="AE1041" s="19"/>
      <c r="AF1041" s="19"/>
      <c r="AG1041" s="19"/>
      <c r="AH1041" s="19"/>
      <c r="AI1041" s="19"/>
      <c r="AJ1041" s="19"/>
      <c r="FM1041" s="54"/>
    </row>
    <row r="1042" spans="1:169" s="18" customFormat="1">
      <c r="A1042" s="51"/>
      <c r="B1042" s="52"/>
      <c r="C1042" s="52"/>
      <c r="D1042" s="52"/>
      <c r="E1042" s="52"/>
      <c r="F1042" s="52"/>
      <c r="G1042" s="52"/>
      <c r="H1042" s="53"/>
      <c r="I1042" s="52"/>
      <c r="J1042" s="52"/>
      <c r="K1042" s="19"/>
      <c r="L1042" s="19"/>
      <c r="M1042" s="19"/>
      <c r="N1042" s="19"/>
      <c r="O1042" s="19"/>
      <c r="P1042" s="19"/>
      <c r="Q1042" s="19"/>
      <c r="R1042" s="19"/>
      <c r="S1042" s="19"/>
      <c r="T1042" s="19"/>
      <c r="U1042" s="19"/>
      <c r="V1042" s="19"/>
      <c r="W1042" s="19"/>
      <c r="X1042" s="19"/>
      <c r="Y1042" s="19"/>
      <c r="Z1042" s="19"/>
      <c r="AA1042" s="19"/>
      <c r="AB1042" s="19"/>
      <c r="AC1042" s="19"/>
      <c r="AD1042" s="19"/>
      <c r="AE1042" s="19"/>
      <c r="AF1042" s="19"/>
      <c r="AG1042" s="19"/>
      <c r="AH1042" s="19"/>
      <c r="AI1042" s="19"/>
      <c r="AJ1042" s="19"/>
      <c r="FM1042" s="54"/>
    </row>
    <row r="1043" spans="1:169" s="18" customFormat="1">
      <c r="A1043" s="51"/>
      <c r="B1043" s="52"/>
      <c r="C1043" s="52"/>
      <c r="D1043" s="52"/>
      <c r="E1043" s="52"/>
      <c r="F1043" s="52"/>
      <c r="G1043" s="52"/>
      <c r="H1043" s="53"/>
      <c r="I1043" s="52"/>
      <c r="J1043" s="52"/>
      <c r="K1043" s="19"/>
      <c r="L1043" s="19"/>
      <c r="M1043" s="19"/>
      <c r="N1043" s="19"/>
      <c r="O1043" s="19"/>
      <c r="P1043" s="19"/>
      <c r="Q1043" s="19"/>
      <c r="R1043" s="19"/>
      <c r="S1043" s="19"/>
      <c r="T1043" s="19"/>
      <c r="U1043" s="19"/>
      <c r="V1043" s="19"/>
      <c r="W1043" s="19"/>
      <c r="X1043" s="19"/>
      <c r="Y1043" s="19"/>
      <c r="Z1043" s="19"/>
      <c r="AA1043" s="19"/>
      <c r="AB1043" s="19"/>
      <c r="AC1043" s="19"/>
      <c r="AD1043" s="19"/>
      <c r="AE1043" s="19"/>
      <c r="AF1043" s="19"/>
      <c r="AG1043" s="19"/>
      <c r="AH1043" s="19"/>
      <c r="AI1043" s="19"/>
      <c r="AJ1043" s="19"/>
      <c r="FM1043" s="54"/>
    </row>
    <row r="1044" spans="1:169" s="18" customFormat="1">
      <c r="A1044" s="51"/>
      <c r="B1044" s="52"/>
      <c r="C1044" s="52"/>
      <c r="D1044" s="52"/>
      <c r="E1044" s="52"/>
      <c r="F1044" s="52"/>
      <c r="G1044" s="52"/>
      <c r="H1044" s="53"/>
      <c r="I1044" s="52"/>
      <c r="J1044" s="52"/>
      <c r="K1044" s="19"/>
      <c r="L1044" s="19"/>
      <c r="M1044" s="19"/>
      <c r="N1044" s="19"/>
      <c r="O1044" s="19"/>
      <c r="P1044" s="19"/>
      <c r="Q1044" s="19"/>
      <c r="R1044" s="19"/>
      <c r="S1044" s="19"/>
      <c r="T1044" s="19"/>
      <c r="U1044" s="19"/>
      <c r="V1044" s="19"/>
      <c r="W1044" s="19"/>
      <c r="X1044" s="19"/>
      <c r="Y1044" s="19"/>
      <c r="Z1044" s="19"/>
      <c r="AA1044" s="19"/>
      <c r="AB1044" s="19"/>
      <c r="AC1044" s="19"/>
      <c r="AD1044" s="19"/>
      <c r="AE1044" s="19"/>
      <c r="AF1044" s="19"/>
      <c r="AG1044" s="19"/>
      <c r="AH1044" s="19"/>
      <c r="AI1044" s="19"/>
      <c r="AJ1044" s="19"/>
      <c r="FM1044" s="54"/>
    </row>
    <row r="1045" spans="1:169" s="18" customFormat="1">
      <c r="A1045" s="51"/>
      <c r="B1045" s="52"/>
      <c r="C1045" s="52"/>
      <c r="D1045" s="52"/>
      <c r="E1045" s="52"/>
      <c r="F1045" s="52"/>
      <c r="G1045" s="52"/>
      <c r="H1045" s="53"/>
      <c r="I1045" s="52"/>
      <c r="J1045" s="52"/>
      <c r="K1045" s="19"/>
      <c r="L1045" s="19"/>
      <c r="M1045" s="19"/>
      <c r="N1045" s="19"/>
      <c r="O1045" s="19"/>
      <c r="P1045" s="19"/>
      <c r="Q1045" s="19"/>
      <c r="R1045" s="19"/>
      <c r="S1045" s="19"/>
      <c r="T1045" s="19"/>
      <c r="U1045" s="19"/>
      <c r="V1045" s="19"/>
      <c r="W1045" s="19"/>
      <c r="X1045" s="19"/>
      <c r="Y1045" s="19"/>
      <c r="Z1045" s="19"/>
      <c r="AA1045" s="19"/>
      <c r="AB1045" s="19"/>
      <c r="AC1045" s="19"/>
      <c r="AD1045" s="19"/>
      <c r="AE1045" s="19"/>
      <c r="AF1045" s="19"/>
      <c r="AG1045" s="19"/>
      <c r="AH1045" s="19"/>
      <c r="AI1045" s="19"/>
      <c r="AJ1045" s="19"/>
      <c r="FM1045" s="54"/>
    </row>
    <row r="1046" spans="1:169" s="18" customFormat="1">
      <c r="A1046" s="51"/>
      <c r="B1046" s="52"/>
      <c r="C1046" s="52"/>
      <c r="D1046" s="52"/>
      <c r="E1046" s="52"/>
      <c r="F1046" s="52"/>
      <c r="G1046" s="52"/>
      <c r="H1046" s="53"/>
      <c r="I1046" s="52"/>
      <c r="J1046" s="52"/>
      <c r="K1046" s="19"/>
      <c r="L1046" s="19"/>
      <c r="M1046" s="19"/>
      <c r="N1046" s="19"/>
      <c r="O1046" s="19"/>
      <c r="P1046" s="19"/>
      <c r="Q1046" s="19"/>
      <c r="R1046" s="19"/>
      <c r="S1046" s="19"/>
      <c r="T1046" s="19"/>
      <c r="U1046" s="19"/>
      <c r="V1046" s="19"/>
      <c r="W1046" s="19"/>
      <c r="X1046" s="19"/>
      <c r="Y1046" s="19"/>
      <c r="Z1046" s="19"/>
      <c r="AA1046" s="19"/>
      <c r="AB1046" s="19"/>
      <c r="AC1046" s="19"/>
      <c r="AD1046" s="19"/>
      <c r="AE1046" s="19"/>
      <c r="AF1046" s="19"/>
      <c r="AG1046" s="19"/>
      <c r="AH1046" s="19"/>
      <c r="AI1046" s="19"/>
      <c r="AJ1046" s="19"/>
      <c r="FM1046" s="54"/>
    </row>
    <row r="1047" spans="1:169" s="18" customFormat="1">
      <c r="A1047" s="51"/>
      <c r="B1047" s="52"/>
      <c r="C1047" s="52"/>
      <c r="D1047" s="52"/>
      <c r="E1047" s="52"/>
      <c r="F1047" s="52"/>
      <c r="G1047" s="52"/>
      <c r="H1047" s="53"/>
      <c r="I1047" s="52"/>
      <c r="J1047" s="52"/>
      <c r="K1047" s="19"/>
      <c r="L1047" s="19"/>
      <c r="M1047" s="19"/>
      <c r="N1047" s="19"/>
      <c r="O1047" s="19"/>
      <c r="P1047" s="19"/>
      <c r="Q1047" s="19"/>
      <c r="R1047" s="19"/>
      <c r="S1047" s="19"/>
      <c r="T1047" s="19"/>
      <c r="U1047" s="19"/>
      <c r="V1047" s="19"/>
      <c r="W1047" s="19"/>
      <c r="X1047" s="19"/>
      <c r="Y1047" s="19"/>
      <c r="Z1047" s="19"/>
      <c r="AA1047" s="19"/>
      <c r="AB1047" s="19"/>
      <c r="AC1047" s="19"/>
      <c r="AD1047" s="19"/>
      <c r="AE1047" s="19"/>
      <c r="AF1047" s="19"/>
      <c r="AG1047" s="19"/>
      <c r="AH1047" s="19"/>
      <c r="AI1047" s="19"/>
      <c r="AJ1047" s="19"/>
      <c r="FM1047" s="54"/>
    </row>
    <row r="1048" spans="1:169" s="18" customFormat="1">
      <c r="A1048" s="51"/>
      <c r="B1048" s="52"/>
      <c r="C1048" s="52"/>
      <c r="D1048" s="52"/>
      <c r="E1048" s="52"/>
      <c r="F1048" s="52"/>
      <c r="G1048" s="52"/>
      <c r="H1048" s="53"/>
      <c r="I1048" s="52"/>
      <c r="J1048" s="52"/>
      <c r="K1048" s="19"/>
      <c r="L1048" s="19"/>
      <c r="M1048" s="19"/>
      <c r="N1048" s="19"/>
      <c r="O1048" s="19"/>
      <c r="P1048" s="19"/>
      <c r="Q1048" s="19"/>
      <c r="R1048" s="19"/>
      <c r="S1048" s="19"/>
      <c r="T1048" s="19"/>
      <c r="U1048" s="19"/>
      <c r="V1048" s="19"/>
      <c r="W1048" s="19"/>
      <c r="X1048" s="19"/>
      <c r="Y1048" s="19"/>
      <c r="Z1048" s="19"/>
      <c r="AA1048" s="19"/>
      <c r="AB1048" s="19"/>
      <c r="AC1048" s="19"/>
      <c r="AD1048" s="19"/>
      <c r="AE1048" s="19"/>
      <c r="AF1048" s="19"/>
      <c r="AG1048" s="19"/>
      <c r="AH1048" s="19"/>
      <c r="AI1048" s="19"/>
      <c r="AJ1048" s="19"/>
      <c r="FM1048" s="54"/>
    </row>
    <row r="1049" spans="1:169" s="18" customFormat="1">
      <c r="A1049" s="51"/>
      <c r="B1049" s="52"/>
      <c r="C1049" s="52"/>
      <c r="D1049" s="52"/>
      <c r="E1049" s="52"/>
      <c r="F1049" s="52"/>
      <c r="G1049" s="52"/>
      <c r="H1049" s="53"/>
      <c r="I1049" s="52"/>
      <c r="J1049" s="52"/>
      <c r="K1049" s="19"/>
      <c r="L1049" s="19"/>
      <c r="M1049" s="19"/>
      <c r="N1049" s="19"/>
      <c r="O1049" s="19"/>
      <c r="P1049" s="19"/>
      <c r="Q1049" s="19"/>
      <c r="R1049" s="19"/>
      <c r="S1049" s="19"/>
      <c r="T1049" s="19"/>
      <c r="U1049" s="19"/>
      <c r="V1049" s="19"/>
      <c r="W1049" s="19"/>
      <c r="X1049" s="19"/>
      <c r="Y1049" s="19"/>
      <c r="Z1049" s="19"/>
      <c r="AA1049" s="19"/>
      <c r="AB1049" s="19"/>
      <c r="AC1049" s="19"/>
      <c r="AD1049" s="19"/>
      <c r="AE1049" s="19"/>
      <c r="AF1049" s="19"/>
      <c r="AG1049" s="19"/>
      <c r="AH1049" s="19"/>
      <c r="AI1049" s="19"/>
      <c r="AJ1049" s="19"/>
      <c r="FM1049" s="54"/>
    </row>
    <row r="1050" spans="1:169" s="18" customFormat="1">
      <c r="A1050" s="51"/>
      <c r="B1050" s="52"/>
      <c r="C1050" s="52"/>
      <c r="D1050" s="52"/>
      <c r="E1050" s="52"/>
      <c r="F1050" s="52"/>
      <c r="G1050" s="52"/>
      <c r="H1050" s="53"/>
      <c r="I1050" s="52"/>
      <c r="J1050" s="52"/>
      <c r="K1050" s="19"/>
      <c r="L1050" s="19"/>
      <c r="M1050" s="19"/>
      <c r="N1050" s="19"/>
      <c r="O1050" s="19"/>
      <c r="P1050" s="19"/>
      <c r="Q1050" s="19"/>
      <c r="R1050" s="19"/>
      <c r="S1050" s="19"/>
      <c r="T1050" s="19"/>
      <c r="U1050" s="19"/>
      <c r="V1050" s="19"/>
      <c r="W1050" s="19"/>
      <c r="X1050" s="19"/>
      <c r="Y1050" s="19"/>
      <c r="Z1050" s="19"/>
      <c r="AA1050" s="19"/>
      <c r="AB1050" s="19"/>
      <c r="AC1050" s="19"/>
      <c r="AD1050" s="19"/>
      <c r="AE1050" s="19"/>
      <c r="AF1050" s="19"/>
      <c r="AG1050" s="19"/>
      <c r="AH1050" s="19"/>
      <c r="AI1050" s="19"/>
      <c r="AJ1050" s="19"/>
      <c r="FM1050" s="54"/>
    </row>
    <row r="1051" spans="1:169" s="18" customFormat="1">
      <c r="A1051" s="51"/>
      <c r="B1051" s="52"/>
      <c r="C1051" s="52"/>
      <c r="D1051" s="52"/>
      <c r="E1051" s="52"/>
      <c r="F1051" s="52"/>
      <c r="G1051" s="52"/>
      <c r="H1051" s="53"/>
      <c r="I1051" s="52"/>
      <c r="J1051" s="52"/>
      <c r="K1051" s="19"/>
      <c r="L1051" s="19"/>
      <c r="M1051" s="19"/>
      <c r="N1051" s="19"/>
      <c r="O1051" s="19"/>
      <c r="P1051" s="19"/>
      <c r="Q1051" s="19"/>
      <c r="R1051" s="19"/>
      <c r="S1051" s="19"/>
      <c r="T1051" s="19"/>
      <c r="U1051" s="19"/>
      <c r="V1051" s="19"/>
      <c r="W1051" s="19"/>
      <c r="X1051" s="19"/>
      <c r="Y1051" s="19"/>
      <c r="Z1051" s="19"/>
      <c r="AA1051" s="19"/>
      <c r="AB1051" s="19"/>
      <c r="AC1051" s="19"/>
      <c r="AD1051" s="19"/>
      <c r="AE1051" s="19"/>
      <c r="AF1051" s="19"/>
      <c r="AG1051" s="19"/>
      <c r="AH1051" s="19"/>
      <c r="AI1051" s="19"/>
      <c r="AJ1051" s="19"/>
      <c r="FM1051" s="54"/>
    </row>
    <row r="1052" spans="1:169" s="18" customFormat="1">
      <c r="A1052" s="51"/>
      <c r="B1052" s="52"/>
      <c r="C1052" s="52"/>
      <c r="D1052" s="52"/>
      <c r="E1052" s="52"/>
      <c r="F1052" s="52"/>
      <c r="G1052" s="52"/>
      <c r="H1052" s="53"/>
      <c r="I1052" s="52"/>
      <c r="J1052" s="52"/>
      <c r="K1052" s="19"/>
      <c r="L1052" s="19"/>
      <c r="M1052" s="19"/>
      <c r="N1052" s="19"/>
      <c r="O1052" s="19"/>
      <c r="P1052" s="19"/>
      <c r="Q1052" s="19"/>
      <c r="R1052" s="19"/>
      <c r="S1052" s="19"/>
      <c r="T1052" s="19"/>
      <c r="U1052" s="19"/>
      <c r="V1052" s="19"/>
      <c r="W1052" s="19"/>
      <c r="X1052" s="19"/>
      <c r="Y1052" s="19"/>
      <c r="Z1052" s="19"/>
      <c r="AA1052" s="19"/>
      <c r="AB1052" s="19"/>
      <c r="AC1052" s="19"/>
      <c r="AD1052" s="19"/>
      <c r="AE1052" s="19"/>
      <c r="AF1052" s="19"/>
      <c r="AG1052" s="19"/>
      <c r="AH1052" s="19"/>
      <c r="AI1052" s="19"/>
      <c r="AJ1052" s="19"/>
      <c r="FM1052" s="54"/>
    </row>
    <row r="1053" spans="1:169" s="18" customFormat="1">
      <c r="A1053" s="51"/>
      <c r="B1053" s="52"/>
      <c r="C1053" s="52"/>
      <c r="D1053" s="52"/>
      <c r="E1053" s="52"/>
      <c r="F1053" s="52"/>
      <c r="G1053" s="52"/>
      <c r="H1053" s="53"/>
      <c r="I1053" s="52"/>
      <c r="J1053" s="52"/>
      <c r="K1053" s="19"/>
      <c r="L1053" s="19"/>
      <c r="M1053" s="19"/>
      <c r="N1053" s="19"/>
      <c r="O1053" s="19"/>
      <c r="P1053" s="19"/>
      <c r="Q1053" s="19"/>
      <c r="R1053" s="19"/>
      <c r="S1053" s="19"/>
      <c r="T1053" s="19"/>
      <c r="U1053" s="19"/>
      <c r="V1053" s="19"/>
      <c r="W1053" s="19"/>
      <c r="X1053" s="19"/>
      <c r="Y1053" s="19"/>
      <c r="Z1053" s="19"/>
      <c r="AA1053" s="19"/>
      <c r="AB1053" s="19"/>
      <c r="AC1053" s="19"/>
      <c r="AD1053" s="19"/>
      <c r="AE1053" s="19"/>
      <c r="AF1053" s="19"/>
      <c r="AG1053" s="19"/>
      <c r="AH1053" s="19"/>
      <c r="AI1053" s="19"/>
      <c r="AJ1053" s="19"/>
      <c r="FM1053" s="54"/>
    </row>
    <row r="1054" spans="1:169" s="18" customFormat="1">
      <c r="A1054" s="51"/>
      <c r="B1054" s="52"/>
      <c r="C1054" s="52"/>
      <c r="D1054" s="52"/>
      <c r="E1054" s="52"/>
      <c r="F1054" s="52"/>
      <c r="G1054" s="52"/>
      <c r="H1054" s="53"/>
      <c r="I1054" s="52"/>
      <c r="J1054" s="52"/>
      <c r="K1054" s="19"/>
      <c r="L1054" s="19"/>
      <c r="M1054" s="19"/>
      <c r="N1054" s="19"/>
      <c r="O1054" s="19"/>
      <c r="P1054" s="19"/>
      <c r="Q1054" s="19"/>
      <c r="R1054" s="19"/>
      <c r="S1054" s="19"/>
      <c r="T1054" s="19"/>
      <c r="U1054" s="19"/>
      <c r="V1054" s="19"/>
      <c r="W1054" s="19"/>
      <c r="X1054" s="19"/>
      <c r="Y1054" s="19"/>
      <c r="Z1054" s="19"/>
      <c r="AA1054" s="19"/>
      <c r="AB1054" s="19"/>
      <c r="AC1054" s="19"/>
      <c r="AD1054" s="19"/>
      <c r="AE1054" s="19"/>
      <c r="AF1054" s="19"/>
      <c r="AG1054" s="19"/>
      <c r="AH1054" s="19"/>
      <c r="AI1054" s="19"/>
      <c r="AJ1054" s="19"/>
      <c r="FM1054" s="54"/>
    </row>
    <row r="1055" spans="1:169" s="18" customFormat="1">
      <c r="A1055" s="51"/>
      <c r="B1055" s="52"/>
      <c r="C1055" s="52"/>
      <c r="D1055" s="52"/>
      <c r="E1055" s="52"/>
      <c r="F1055" s="52"/>
      <c r="G1055" s="52"/>
      <c r="H1055" s="53"/>
      <c r="I1055" s="52"/>
      <c r="J1055" s="52"/>
      <c r="K1055" s="19"/>
      <c r="L1055" s="19"/>
      <c r="M1055" s="19"/>
      <c r="N1055" s="19"/>
      <c r="O1055" s="19"/>
      <c r="P1055" s="19"/>
      <c r="Q1055" s="19"/>
      <c r="R1055" s="19"/>
      <c r="S1055" s="19"/>
      <c r="T1055" s="19"/>
      <c r="U1055" s="19"/>
      <c r="V1055" s="19"/>
      <c r="W1055" s="19"/>
      <c r="X1055" s="19"/>
      <c r="Y1055" s="19"/>
      <c r="Z1055" s="19"/>
      <c r="AA1055" s="19"/>
      <c r="AB1055" s="19"/>
      <c r="AC1055" s="19"/>
      <c r="AD1055" s="19"/>
      <c r="AE1055" s="19"/>
      <c r="AF1055" s="19"/>
      <c r="AG1055" s="19"/>
      <c r="AH1055" s="19"/>
      <c r="AI1055" s="19"/>
      <c r="AJ1055" s="19"/>
      <c r="FM1055" s="54"/>
    </row>
    <row r="1056" spans="1:169" s="18" customFormat="1">
      <c r="A1056" s="51"/>
      <c r="B1056" s="52"/>
      <c r="C1056" s="52"/>
      <c r="D1056" s="52"/>
      <c r="E1056" s="52"/>
      <c r="F1056" s="52"/>
      <c r="G1056" s="52"/>
      <c r="H1056" s="53"/>
      <c r="I1056" s="52"/>
      <c r="J1056" s="52"/>
      <c r="K1056" s="19"/>
      <c r="L1056" s="19"/>
      <c r="M1056" s="19"/>
      <c r="N1056" s="19"/>
      <c r="O1056" s="19"/>
      <c r="P1056" s="19"/>
      <c r="Q1056" s="19"/>
      <c r="R1056" s="19"/>
      <c r="S1056" s="19"/>
      <c r="T1056" s="19"/>
      <c r="U1056" s="19"/>
      <c r="V1056" s="19"/>
      <c r="W1056" s="19"/>
      <c r="X1056" s="19"/>
      <c r="Y1056" s="19"/>
      <c r="Z1056" s="19"/>
      <c r="AA1056" s="19"/>
      <c r="AB1056" s="19"/>
      <c r="AC1056" s="19"/>
      <c r="AD1056" s="19"/>
      <c r="AE1056" s="19"/>
      <c r="AF1056" s="19"/>
      <c r="AG1056" s="19"/>
      <c r="AH1056" s="19"/>
      <c r="AI1056" s="19"/>
      <c r="AJ1056" s="19"/>
      <c r="FM1056" s="54"/>
    </row>
    <row r="1057" spans="1:169" s="18" customFormat="1">
      <c r="A1057" s="51"/>
      <c r="B1057" s="52"/>
      <c r="C1057" s="52"/>
      <c r="D1057" s="52"/>
      <c r="E1057" s="52"/>
      <c r="F1057" s="52"/>
      <c r="G1057" s="52"/>
      <c r="H1057" s="53"/>
      <c r="I1057" s="52"/>
      <c r="J1057" s="52"/>
      <c r="K1057" s="19"/>
      <c r="L1057" s="19"/>
      <c r="M1057" s="19"/>
      <c r="N1057" s="19"/>
      <c r="O1057" s="19"/>
      <c r="P1057" s="19"/>
      <c r="Q1057" s="19"/>
      <c r="R1057" s="19"/>
      <c r="S1057" s="19"/>
      <c r="T1057" s="19"/>
      <c r="U1057" s="19"/>
      <c r="V1057" s="19"/>
      <c r="W1057" s="19"/>
      <c r="X1057" s="19"/>
      <c r="Y1057" s="19"/>
      <c r="Z1057" s="19"/>
      <c r="AA1057" s="19"/>
      <c r="AB1057" s="19"/>
      <c r="AC1057" s="19"/>
      <c r="AD1057" s="19"/>
      <c r="AE1057" s="19"/>
      <c r="AF1057" s="19"/>
      <c r="AG1057" s="19"/>
      <c r="AH1057" s="19"/>
      <c r="AI1057" s="19"/>
      <c r="AJ1057" s="19"/>
      <c r="FM1057" s="54"/>
    </row>
    <row r="1058" spans="1:169" s="18" customFormat="1">
      <c r="A1058" s="51"/>
      <c r="B1058" s="52"/>
      <c r="C1058" s="52"/>
      <c r="D1058" s="52"/>
      <c r="E1058" s="52"/>
      <c r="F1058" s="52"/>
      <c r="G1058" s="52"/>
      <c r="H1058" s="53"/>
      <c r="I1058" s="52"/>
      <c r="J1058" s="52"/>
      <c r="K1058" s="19"/>
      <c r="L1058" s="19"/>
      <c r="M1058" s="19"/>
      <c r="N1058" s="19"/>
      <c r="O1058" s="19"/>
      <c r="P1058" s="19"/>
      <c r="Q1058" s="19"/>
      <c r="R1058" s="19"/>
      <c r="S1058" s="19"/>
      <c r="T1058" s="19"/>
      <c r="U1058" s="19"/>
      <c r="V1058" s="19"/>
      <c r="W1058" s="19"/>
      <c r="X1058" s="19"/>
      <c r="Y1058" s="19"/>
      <c r="Z1058" s="19"/>
      <c r="AA1058" s="19"/>
      <c r="AB1058" s="19"/>
      <c r="AC1058" s="19"/>
      <c r="AD1058" s="19"/>
      <c r="AE1058" s="19"/>
      <c r="AF1058" s="19"/>
      <c r="AG1058" s="19"/>
      <c r="AH1058" s="19"/>
      <c r="AI1058" s="19"/>
      <c r="AJ1058" s="19"/>
      <c r="FM1058" s="54"/>
    </row>
    <row r="1059" spans="1:169" s="18" customFormat="1">
      <c r="A1059" s="51"/>
      <c r="B1059" s="52"/>
      <c r="C1059" s="52"/>
      <c r="D1059" s="52"/>
      <c r="E1059" s="52"/>
      <c r="F1059" s="52"/>
      <c r="G1059" s="52"/>
      <c r="H1059" s="53"/>
      <c r="I1059" s="52"/>
      <c r="J1059" s="52"/>
      <c r="K1059" s="19"/>
      <c r="L1059" s="19"/>
      <c r="M1059" s="19"/>
      <c r="N1059" s="19"/>
      <c r="O1059" s="19"/>
      <c r="P1059" s="19"/>
      <c r="Q1059" s="19"/>
      <c r="R1059" s="19"/>
      <c r="S1059" s="19"/>
      <c r="T1059" s="19"/>
      <c r="U1059" s="19"/>
      <c r="V1059" s="19"/>
      <c r="W1059" s="19"/>
      <c r="X1059" s="19"/>
      <c r="Y1059" s="19"/>
      <c r="Z1059" s="19"/>
      <c r="AA1059" s="19"/>
      <c r="AB1059" s="19"/>
      <c r="AC1059" s="19"/>
      <c r="AD1059" s="19"/>
      <c r="AE1059" s="19"/>
      <c r="AF1059" s="19"/>
      <c r="AG1059" s="19"/>
      <c r="AH1059" s="19"/>
      <c r="AI1059" s="19"/>
      <c r="AJ1059" s="19"/>
      <c r="FM1059" s="54"/>
    </row>
    <row r="1060" spans="1:169" s="18" customFormat="1">
      <c r="A1060" s="51"/>
      <c r="B1060" s="52"/>
      <c r="C1060" s="52"/>
      <c r="D1060" s="52"/>
      <c r="E1060" s="52"/>
      <c r="F1060" s="52"/>
      <c r="G1060" s="52"/>
      <c r="H1060" s="53"/>
      <c r="I1060" s="52"/>
      <c r="J1060" s="52"/>
      <c r="K1060" s="19"/>
      <c r="L1060" s="19"/>
      <c r="M1060" s="19"/>
      <c r="N1060" s="19"/>
      <c r="O1060" s="19"/>
      <c r="P1060" s="19"/>
      <c r="Q1060" s="19"/>
      <c r="R1060" s="19"/>
      <c r="S1060" s="19"/>
      <c r="T1060" s="19"/>
      <c r="U1060" s="19"/>
      <c r="V1060" s="19"/>
      <c r="W1060" s="19"/>
      <c r="X1060" s="19"/>
      <c r="Y1060" s="19"/>
      <c r="Z1060" s="19"/>
      <c r="AA1060" s="19"/>
      <c r="AB1060" s="19"/>
      <c r="AC1060" s="19"/>
      <c r="AD1060" s="19"/>
      <c r="AE1060" s="19"/>
      <c r="AF1060" s="19"/>
      <c r="AG1060" s="19"/>
      <c r="AH1060" s="19"/>
      <c r="AI1060" s="19"/>
      <c r="AJ1060" s="19"/>
      <c r="FM1060" s="54"/>
    </row>
    <row r="1061" spans="1:169" s="18" customFormat="1">
      <c r="A1061" s="51"/>
      <c r="B1061" s="52"/>
      <c r="C1061" s="52"/>
      <c r="D1061" s="52"/>
      <c r="E1061" s="52"/>
      <c r="F1061" s="52"/>
      <c r="G1061" s="52"/>
      <c r="H1061" s="53"/>
      <c r="I1061" s="52"/>
      <c r="J1061" s="52"/>
      <c r="K1061" s="19"/>
      <c r="L1061" s="19"/>
      <c r="M1061" s="19"/>
      <c r="N1061" s="19"/>
      <c r="O1061" s="19"/>
      <c r="P1061" s="19"/>
      <c r="Q1061" s="19"/>
      <c r="R1061" s="19"/>
      <c r="S1061" s="19"/>
      <c r="T1061" s="19"/>
      <c r="U1061" s="19"/>
      <c r="V1061" s="19"/>
      <c r="W1061" s="19"/>
      <c r="X1061" s="19"/>
      <c r="Y1061" s="19"/>
      <c r="Z1061" s="19"/>
      <c r="AA1061" s="19"/>
      <c r="AB1061" s="19"/>
      <c r="AC1061" s="19"/>
      <c r="AD1061" s="19"/>
      <c r="AE1061" s="19"/>
      <c r="AF1061" s="19"/>
      <c r="AG1061" s="19"/>
      <c r="AH1061" s="19"/>
      <c r="AI1061" s="19"/>
      <c r="AJ1061" s="19"/>
      <c r="FM1061" s="54"/>
    </row>
    <row r="1062" spans="1:169" s="18" customFormat="1">
      <c r="A1062" s="51"/>
      <c r="B1062" s="52"/>
      <c r="C1062" s="52"/>
      <c r="D1062" s="52"/>
      <c r="E1062" s="52"/>
      <c r="F1062" s="52"/>
      <c r="G1062" s="52"/>
      <c r="H1062" s="53"/>
      <c r="I1062" s="52"/>
      <c r="J1062" s="52"/>
      <c r="K1062" s="19"/>
      <c r="L1062" s="19"/>
      <c r="M1062" s="19"/>
      <c r="N1062" s="19"/>
      <c r="O1062" s="19"/>
      <c r="P1062" s="19"/>
      <c r="Q1062" s="19"/>
      <c r="R1062" s="19"/>
      <c r="S1062" s="19"/>
      <c r="T1062" s="19"/>
      <c r="U1062" s="19"/>
      <c r="V1062" s="19"/>
      <c r="W1062" s="19"/>
      <c r="X1062" s="19"/>
      <c r="Y1062" s="19"/>
      <c r="Z1062" s="19"/>
      <c r="AA1062" s="19"/>
      <c r="AB1062" s="19"/>
      <c r="AC1062" s="19"/>
      <c r="AD1062" s="19"/>
      <c r="AE1062" s="19"/>
      <c r="AF1062" s="19"/>
      <c r="AG1062" s="19"/>
      <c r="AH1062" s="19"/>
      <c r="AI1062" s="19"/>
      <c r="AJ1062" s="19"/>
      <c r="FM1062" s="54"/>
    </row>
    <row r="1063" spans="1:169" s="18" customFormat="1">
      <c r="A1063" s="51"/>
      <c r="B1063" s="52"/>
      <c r="C1063" s="52"/>
      <c r="D1063" s="52"/>
      <c r="E1063" s="52"/>
      <c r="F1063" s="52"/>
      <c r="G1063" s="52"/>
      <c r="H1063" s="53"/>
      <c r="I1063" s="52"/>
      <c r="J1063" s="52"/>
      <c r="K1063" s="19"/>
      <c r="L1063" s="19"/>
      <c r="M1063" s="19"/>
      <c r="N1063" s="19"/>
      <c r="O1063" s="19"/>
      <c r="P1063" s="19"/>
      <c r="Q1063" s="19"/>
      <c r="R1063" s="19"/>
      <c r="S1063" s="19"/>
      <c r="T1063" s="19"/>
      <c r="U1063" s="19"/>
      <c r="V1063" s="19"/>
      <c r="W1063" s="19"/>
      <c r="X1063" s="19"/>
      <c r="Y1063" s="19"/>
      <c r="Z1063" s="19"/>
      <c r="AA1063" s="19"/>
      <c r="AB1063" s="19"/>
      <c r="AC1063" s="19"/>
      <c r="AD1063" s="19"/>
      <c r="AE1063" s="19"/>
      <c r="AF1063" s="19"/>
      <c r="AG1063" s="19"/>
      <c r="AH1063" s="19"/>
      <c r="AI1063" s="19"/>
      <c r="AJ1063" s="19"/>
      <c r="FM1063" s="54"/>
    </row>
    <row r="1064" spans="1:169" s="18" customFormat="1">
      <c r="A1064" s="51"/>
      <c r="B1064" s="52"/>
      <c r="C1064" s="52"/>
      <c r="D1064" s="52"/>
      <c r="E1064" s="52"/>
      <c r="F1064" s="52"/>
      <c r="G1064" s="52"/>
      <c r="H1064" s="53"/>
      <c r="I1064" s="52"/>
      <c r="J1064" s="52"/>
      <c r="K1064" s="19"/>
      <c r="L1064" s="19"/>
      <c r="M1064" s="19"/>
      <c r="N1064" s="19"/>
      <c r="O1064" s="19"/>
      <c r="P1064" s="19"/>
      <c r="Q1064" s="19"/>
      <c r="R1064" s="19"/>
      <c r="S1064" s="19"/>
      <c r="T1064" s="19"/>
      <c r="U1064" s="19"/>
      <c r="V1064" s="19"/>
      <c r="W1064" s="19"/>
      <c r="X1064" s="19"/>
      <c r="Y1064" s="19"/>
      <c r="Z1064" s="19"/>
      <c r="AA1064" s="19"/>
      <c r="AB1064" s="19"/>
      <c r="AC1064" s="19"/>
      <c r="AD1064" s="19"/>
      <c r="AE1064" s="19"/>
      <c r="AF1064" s="19"/>
      <c r="AG1064" s="19"/>
      <c r="AH1064" s="19"/>
      <c r="AI1064" s="19"/>
      <c r="AJ1064" s="19"/>
      <c r="FM1064" s="54"/>
    </row>
    <row r="1065" spans="1:169" s="18" customFormat="1">
      <c r="A1065" s="51"/>
      <c r="B1065" s="52"/>
      <c r="C1065" s="52"/>
      <c r="D1065" s="52"/>
      <c r="E1065" s="52"/>
      <c r="F1065" s="52"/>
      <c r="G1065" s="52"/>
      <c r="H1065" s="53"/>
      <c r="I1065" s="52"/>
      <c r="J1065" s="52"/>
      <c r="K1065" s="19"/>
      <c r="L1065" s="19"/>
      <c r="M1065" s="19"/>
      <c r="N1065" s="19"/>
      <c r="O1065" s="19"/>
      <c r="P1065" s="19"/>
      <c r="Q1065" s="19"/>
      <c r="R1065" s="19"/>
      <c r="S1065" s="19"/>
      <c r="T1065" s="19"/>
      <c r="U1065" s="19"/>
      <c r="V1065" s="19"/>
      <c r="W1065" s="19"/>
      <c r="X1065" s="19"/>
      <c r="Y1065" s="19"/>
      <c r="Z1065" s="19"/>
      <c r="AA1065" s="19"/>
      <c r="AB1065" s="19"/>
      <c r="AC1065" s="19"/>
      <c r="AD1065" s="19"/>
      <c r="AE1065" s="19"/>
      <c r="AF1065" s="19"/>
      <c r="AG1065" s="19"/>
      <c r="AH1065" s="19"/>
      <c r="AI1065" s="19"/>
      <c r="AJ1065" s="19"/>
      <c r="FM1065" s="54"/>
    </row>
    <row r="1066" spans="1:169" s="18" customFormat="1">
      <c r="A1066" s="51"/>
      <c r="B1066" s="52"/>
      <c r="C1066" s="52"/>
      <c r="D1066" s="52"/>
      <c r="E1066" s="52"/>
      <c r="F1066" s="52"/>
      <c r="G1066" s="52"/>
      <c r="H1066" s="53"/>
      <c r="I1066" s="52"/>
      <c r="J1066" s="52"/>
      <c r="K1066" s="19"/>
      <c r="L1066" s="19"/>
      <c r="M1066" s="19"/>
      <c r="N1066" s="19"/>
      <c r="O1066" s="19"/>
      <c r="P1066" s="19"/>
      <c r="Q1066" s="19"/>
      <c r="R1066" s="19"/>
      <c r="S1066" s="19"/>
      <c r="T1066" s="19"/>
      <c r="U1066" s="19"/>
      <c r="V1066" s="19"/>
      <c r="W1066" s="19"/>
      <c r="X1066" s="19"/>
      <c r="Y1066" s="19"/>
      <c r="Z1066" s="19"/>
      <c r="AA1066" s="19"/>
      <c r="AB1066" s="19"/>
      <c r="AC1066" s="19"/>
      <c r="AD1066" s="19"/>
      <c r="AE1066" s="19"/>
      <c r="AF1066" s="19"/>
      <c r="AG1066" s="19"/>
      <c r="AH1066" s="19"/>
      <c r="AI1066" s="19"/>
      <c r="AJ1066" s="19"/>
      <c r="FM1066" s="54"/>
    </row>
    <row r="1067" spans="1:169" s="18" customFormat="1">
      <c r="A1067" s="51"/>
      <c r="B1067" s="52"/>
      <c r="C1067" s="52"/>
      <c r="D1067" s="52"/>
      <c r="E1067" s="52"/>
      <c r="F1067" s="52"/>
      <c r="G1067" s="52"/>
      <c r="H1067" s="53"/>
      <c r="I1067" s="52"/>
      <c r="J1067" s="52"/>
      <c r="K1067" s="19"/>
      <c r="L1067" s="19"/>
      <c r="M1067" s="19"/>
      <c r="N1067" s="19"/>
      <c r="O1067" s="19"/>
      <c r="P1067" s="19"/>
      <c r="Q1067" s="19"/>
      <c r="R1067" s="19"/>
      <c r="S1067" s="19"/>
      <c r="T1067" s="19"/>
      <c r="U1067" s="19"/>
      <c r="V1067" s="19"/>
      <c r="W1067" s="19"/>
      <c r="X1067" s="19"/>
      <c r="Y1067" s="19"/>
      <c r="Z1067" s="19"/>
      <c r="AA1067" s="19"/>
      <c r="AB1067" s="19"/>
      <c r="AC1067" s="19"/>
      <c r="AD1067" s="19"/>
      <c r="AE1067" s="19"/>
      <c r="AF1067" s="19"/>
      <c r="AG1067" s="19"/>
      <c r="AH1067" s="19"/>
      <c r="AI1067" s="19"/>
      <c r="AJ1067" s="19"/>
      <c r="FM1067" s="54"/>
    </row>
    <row r="1068" spans="1:169" s="18" customFormat="1">
      <c r="A1068" s="51"/>
      <c r="B1068" s="52"/>
      <c r="C1068" s="52"/>
      <c r="D1068" s="52"/>
      <c r="E1068" s="52"/>
      <c r="F1068" s="52"/>
      <c r="G1068" s="52"/>
      <c r="H1068" s="53"/>
      <c r="I1068" s="52"/>
      <c r="J1068" s="52"/>
      <c r="K1068" s="19"/>
      <c r="L1068" s="19"/>
      <c r="M1068" s="19"/>
      <c r="N1068" s="19"/>
      <c r="O1068" s="19"/>
      <c r="P1068" s="19"/>
      <c r="Q1068" s="19"/>
      <c r="R1068" s="19"/>
      <c r="S1068" s="19"/>
      <c r="T1068" s="19"/>
      <c r="U1068" s="19"/>
      <c r="V1068" s="19"/>
      <c r="W1068" s="19"/>
      <c r="X1068" s="19"/>
      <c r="Y1068" s="19"/>
      <c r="Z1068" s="19"/>
      <c r="AA1068" s="19"/>
      <c r="AB1068" s="19"/>
      <c r="AC1068" s="19"/>
      <c r="AD1068" s="19"/>
      <c r="AE1068" s="19"/>
      <c r="AF1068" s="19"/>
      <c r="AG1068" s="19"/>
      <c r="AH1068" s="19"/>
      <c r="AI1068" s="19"/>
      <c r="AJ1068" s="19"/>
      <c r="FM1068" s="54"/>
    </row>
    <row r="1069" spans="1:169" s="18" customFormat="1">
      <c r="A1069" s="51"/>
      <c r="B1069" s="52"/>
      <c r="C1069" s="52"/>
      <c r="D1069" s="52"/>
      <c r="E1069" s="52"/>
      <c r="F1069" s="52"/>
      <c r="G1069" s="52"/>
      <c r="H1069" s="53"/>
      <c r="I1069" s="52"/>
      <c r="J1069" s="52"/>
      <c r="K1069" s="19"/>
      <c r="L1069" s="19"/>
      <c r="M1069" s="19"/>
      <c r="N1069" s="19"/>
      <c r="O1069" s="19"/>
      <c r="P1069" s="19"/>
      <c r="Q1069" s="19"/>
      <c r="R1069" s="19"/>
      <c r="S1069" s="19"/>
      <c r="T1069" s="19"/>
      <c r="U1069" s="19"/>
      <c r="V1069" s="19"/>
      <c r="W1069" s="19"/>
      <c r="X1069" s="19"/>
      <c r="Y1069" s="19"/>
      <c r="Z1069" s="19"/>
      <c r="AA1069" s="19"/>
      <c r="AB1069" s="19"/>
      <c r="AC1069" s="19"/>
      <c r="AD1069" s="19"/>
      <c r="AE1069" s="19"/>
      <c r="AF1069" s="19"/>
      <c r="AG1069" s="19"/>
      <c r="AH1069" s="19"/>
      <c r="AI1069" s="19"/>
      <c r="AJ1069" s="19"/>
      <c r="FM1069" s="54"/>
    </row>
    <row r="1070" spans="1:169" s="18" customFormat="1">
      <c r="A1070" s="51"/>
      <c r="B1070" s="52"/>
      <c r="C1070" s="52"/>
      <c r="D1070" s="52"/>
      <c r="E1070" s="52"/>
      <c r="F1070" s="52"/>
      <c r="G1070" s="52"/>
      <c r="H1070" s="53"/>
      <c r="I1070" s="52"/>
      <c r="J1070" s="52"/>
      <c r="K1070" s="19"/>
      <c r="L1070" s="19"/>
      <c r="M1070" s="19"/>
      <c r="N1070" s="19"/>
      <c r="O1070" s="19"/>
      <c r="P1070" s="19"/>
      <c r="Q1070" s="19"/>
      <c r="R1070" s="19"/>
      <c r="S1070" s="19"/>
      <c r="T1070" s="19"/>
      <c r="U1070" s="19"/>
      <c r="V1070" s="19"/>
      <c r="W1070" s="19"/>
      <c r="X1070" s="19"/>
      <c r="Y1070" s="19"/>
      <c r="Z1070" s="19"/>
      <c r="AA1070" s="19"/>
      <c r="AB1070" s="19"/>
      <c r="AC1070" s="19"/>
      <c r="AD1070" s="19"/>
      <c r="AE1070" s="19"/>
      <c r="AF1070" s="19"/>
      <c r="AG1070" s="19"/>
      <c r="AH1070" s="19"/>
      <c r="AI1070" s="19"/>
      <c r="AJ1070" s="19"/>
      <c r="FM1070" s="54"/>
    </row>
    <row r="1071" spans="1:169" s="18" customFormat="1">
      <c r="A1071" s="51"/>
      <c r="B1071" s="52"/>
      <c r="C1071" s="52"/>
      <c r="D1071" s="52"/>
      <c r="E1071" s="52"/>
      <c r="F1071" s="52"/>
      <c r="G1071" s="52"/>
      <c r="H1071" s="53"/>
      <c r="I1071" s="52"/>
      <c r="J1071" s="52"/>
      <c r="K1071" s="19"/>
      <c r="L1071" s="19"/>
      <c r="M1071" s="19"/>
      <c r="N1071" s="19"/>
      <c r="O1071" s="19"/>
      <c r="P1071" s="19"/>
      <c r="Q1071" s="19"/>
      <c r="R1071" s="19"/>
      <c r="S1071" s="19"/>
      <c r="T1071" s="19"/>
      <c r="U1071" s="19"/>
      <c r="V1071" s="19"/>
      <c r="W1071" s="19"/>
      <c r="X1071" s="19"/>
      <c r="Y1071" s="19"/>
      <c r="Z1071" s="19"/>
      <c r="AA1071" s="19"/>
      <c r="AB1071" s="19"/>
      <c r="AC1071" s="19"/>
      <c r="AD1071" s="19"/>
      <c r="AE1071" s="19"/>
      <c r="AF1071" s="19"/>
      <c r="AG1071" s="19"/>
      <c r="AH1071" s="19"/>
      <c r="AI1071" s="19"/>
      <c r="AJ1071" s="19"/>
      <c r="FM1071" s="54"/>
    </row>
    <row r="1072" spans="1:169" s="18" customFormat="1">
      <c r="A1072" s="51"/>
      <c r="B1072" s="52"/>
      <c r="C1072" s="52"/>
      <c r="D1072" s="52"/>
      <c r="E1072" s="52"/>
      <c r="F1072" s="52"/>
      <c r="G1072" s="52"/>
      <c r="H1072" s="53"/>
      <c r="I1072" s="52"/>
      <c r="J1072" s="52"/>
      <c r="K1072" s="19"/>
      <c r="L1072" s="19"/>
      <c r="M1072" s="19"/>
      <c r="N1072" s="19"/>
      <c r="O1072" s="19"/>
      <c r="P1072" s="19"/>
      <c r="Q1072" s="19"/>
      <c r="R1072" s="19"/>
      <c r="S1072" s="19"/>
      <c r="T1072" s="19"/>
      <c r="U1072" s="19"/>
      <c r="V1072" s="19"/>
      <c r="W1072" s="19"/>
      <c r="X1072" s="19"/>
      <c r="Y1072" s="19"/>
      <c r="Z1072" s="19"/>
      <c r="AA1072" s="19"/>
      <c r="AB1072" s="19"/>
      <c r="AC1072" s="19"/>
      <c r="AD1072" s="19"/>
      <c r="AE1072" s="19"/>
      <c r="AF1072" s="19"/>
      <c r="AG1072" s="19"/>
      <c r="AH1072" s="19"/>
      <c r="AI1072" s="19"/>
      <c r="AJ1072" s="19"/>
      <c r="FM1072" s="54"/>
    </row>
    <row r="1073" spans="1:169" s="18" customFormat="1">
      <c r="A1073" s="51"/>
      <c r="B1073" s="52"/>
      <c r="C1073" s="52"/>
      <c r="D1073" s="52"/>
      <c r="E1073" s="52"/>
      <c r="F1073" s="52"/>
      <c r="G1073" s="52"/>
      <c r="H1073" s="53"/>
      <c r="I1073" s="52"/>
      <c r="J1073" s="52"/>
      <c r="K1073" s="19"/>
      <c r="L1073" s="19"/>
      <c r="M1073" s="19"/>
      <c r="N1073" s="19"/>
      <c r="O1073" s="19"/>
      <c r="P1073" s="19"/>
      <c r="Q1073" s="19"/>
      <c r="R1073" s="19"/>
      <c r="S1073" s="19"/>
      <c r="T1073" s="19"/>
      <c r="U1073" s="19"/>
      <c r="V1073" s="19"/>
      <c r="W1073" s="19"/>
      <c r="X1073" s="19"/>
      <c r="Y1073" s="19"/>
      <c r="Z1073" s="19"/>
      <c r="AA1073" s="19"/>
      <c r="AB1073" s="19"/>
      <c r="AC1073" s="19"/>
      <c r="AD1073" s="19"/>
      <c r="AE1073" s="19"/>
      <c r="AF1073" s="19"/>
      <c r="AG1073" s="19"/>
      <c r="AH1073" s="19"/>
      <c r="AI1073" s="19"/>
      <c r="AJ1073" s="19"/>
      <c r="FM1073" s="54"/>
    </row>
    <row r="1074" spans="1:169" s="18" customFormat="1">
      <c r="A1074" s="51"/>
      <c r="B1074" s="52"/>
      <c r="C1074" s="52"/>
      <c r="D1074" s="52"/>
      <c r="E1074" s="52"/>
      <c r="F1074" s="52"/>
      <c r="G1074" s="52"/>
      <c r="H1074" s="53"/>
      <c r="I1074" s="52"/>
      <c r="J1074" s="52"/>
      <c r="K1074" s="19"/>
      <c r="L1074" s="19"/>
      <c r="M1074" s="19"/>
      <c r="N1074" s="19"/>
      <c r="O1074" s="19"/>
      <c r="P1074" s="19"/>
      <c r="Q1074" s="19"/>
      <c r="R1074" s="19"/>
      <c r="S1074" s="19"/>
      <c r="T1074" s="19"/>
      <c r="U1074" s="19"/>
      <c r="V1074" s="19"/>
      <c r="W1074" s="19"/>
      <c r="X1074" s="19"/>
      <c r="Y1074" s="19"/>
      <c r="Z1074" s="19"/>
      <c r="AA1074" s="19"/>
      <c r="AB1074" s="19"/>
      <c r="AC1074" s="19"/>
      <c r="AD1074" s="19"/>
      <c r="AE1074" s="19"/>
      <c r="AF1074" s="19"/>
      <c r="AG1074" s="19"/>
      <c r="AH1074" s="19"/>
      <c r="AI1074" s="19"/>
      <c r="AJ1074" s="19"/>
      <c r="FM1074" s="54"/>
    </row>
    <row r="1075" spans="1:169" s="18" customFormat="1">
      <c r="A1075" s="51"/>
      <c r="B1075" s="52"/>
      <c r="C1075" s="52"/>
      <c r="D1075" s="52"/>
      <c r="E1075" s="52"/>
      <c r="F1075" s="52"/>
      <c r="G1075" s="52"/>
      <c r="H1075" s="53"/>
      <c r="I1075" s="52"/>
      <c r="J1075" s="52"/>
      <c r="K1075" s="19"/>
      <c r="L1075" s="19"/>
      <c r="M1075" s="19"/>
      <c r="N1075" s="19"/>
      <c r="O1075" s="19"/>
      <c r="P1075" s="19"/>
      <c r="Q1075" s="19"/>
      <c r="R1075" s="19"/>
      <c r="S1075" s="19"/>
      <c r="T1075" s="19"/>
      <c r="U1075" s="19"/>
      <c r="V1075" s="19"/>
      <c r="W1075" s="19"/>
      <c r="X1075" s="19"/>
      <c r="Y1075" s="19"/>
      <c r="Z1075" s="19"/>
      <c r="AA1075" s="19"/>
      <c r="AB1075" s="19"/>
      <c r="AC1075" s="19"/>
      <c r="AD1075" s="19"/>
      <c r="AE1075" s="19"/>
      <c r="AF1075" s="19"/>
      <c r="AG1075" s="19"/>
      <c r="AH1075" s="19"/>
      <c r="AI1075" s="19"/>
      <c r="AJ1075" s="19"/>
      <c r="FM1075" s="54"/>
    </row>
    <row r="1076" spans="1:169" s="18" customFormat="1">
      <c r="A1076" s="51"/>
      <c r="B1076" s="52"/>
      <c r="C1076" s="52"/>
      <c r="D1076" s="52"/>
      <c r="E1076" s="52"/>
      <c r="F1076" s="52"/>
      <c r="G1076" s="52"/>
      <c r="H1076" s="53"/>
      <c r="I1076" s="52"/>
      <c r="J1076" s="52"/>
      <c r="K1076" s="19"/>
      <c r="L1076" s="19"/>
      <c r="M1076" s="19"/>
      <c r="N1076" s="19"/>
      <c r="O1076" s="19"/>
      <c r="P1076" s="19"/>
      <c r="Q1076" s="19"/>
      <c r="R1076" s="19"/>
      <c r="S1076" s="19"/>
      <c r="T1076" s="19"/>
      <c r="U1076" s="19"/>
      <c r="V1076" s="19"/>
      <c r="W1076" s="19"/>
      <c r="X1076" s="19"/>
      <c r="Y1076" s="19"/>
      <c r="Z1076" s="19"/>
      <c r="AA1076" s="19"/>
      <c r="AB1076" s="19"/>
      <c r="AC1076" s="19"/>
      <c r="AD1076" s="19"/>
      <c r="AE1076" s="19"/>
      <c r="AF1076" s="19"/>
      <c r="AG1076" s="19"/>
      <c r="AH1076" s="19"/>
      <c r="AI1076" s="19"/>
      <c r="AJ1076" s="19"/>
      <c r="FM1076" s="54"/>
    </row>
    <row r="1077" spans="1:169" s="18" customFormat="1">
      <c r="A1077" s="51"/>
      <c r="B1077" s="52"/>
      <c r="C1077" s="52"/>
      <c r="D1077" s="52"/>
      <c r="E1077" s="52"/>
      <c r="F1077" s="52"/>
      <c r="G1077" s="52"/>
      <c r="H1077" s="53"/>
      <c r="I1077" s="52"/>
      <c r="J1077" s="52"/>
      <c r="K1077" s="19"/>
      <c r="L1077" s="19"/>
      <c r="M1077" s="19"/>
      <c r="N1077" s="19"/>
      <c r="O1077" s="19"/>
      <c r="P1077" s="19"/>
      <c r="Q1077" s="19"/>
      <c r="R1077" s="19"/>
      <c r="S1077" s="19"/>
      <c r="T1077" s="19"/>
      <c r="U1077" s="19"/>
      <c r="V1077" s="19"/>
      <c r="W1077" s="19"/>
      <c r="X1077" s="19"/>
      <c r="Y1077" s="19"/>
      <c r="Z1077" s="19"/>
      <c r="AA1077" s="19"/>
      <c r="AB1077" s="19"/>
      <c r="AC1077" s="19"/>
      <c r="AD1077" s="19"/>
      <c r="AE1077" s="19"/>
      <c r="AF1077" s="19"/>
      <c r="AG1077" s="19"/>
      <c r="AH1077" s="19"/>
      <c r="AI1077" s="19"/>
      <c r="AJ1077" s="19"/>
      <c r="FM1077" s="54"/>
    </row>
    <row r="1078" spans="1:169" s="18" customFormat="1">
      <c r="A1078" s="51"/>
      <c r="B1078" s="52"/>
      <c r="C1078" s="52"/>
      <c r="D1078" s="52"/>
      <c r="E1078" s="52"/>
      <c r="F1078" s="52"/>
      <c r="G1078" s="52"/>
      <c r="H1078" s="53"/>
      <c r="I1078" s="52"/>
      <c r="J1078" s="52"/>
      <c r="K1078" s="19"/>
      <c r="L1078" s="19"/>
      <c r="M1078" s="19"/>
      <c r="N1078" s="19"/>
      <c r="O1078" s="19"/>
      <c r="P1078" s="19"/>
      <c r="Q1078" s="19"/>
      <c r="R1078" s="19"/>
      <c r="S1078" s="19"/>
      <c r="T1078" s="19"/>
      <c r="U1078" s="19"/>
      <c r="V1078" s="19"/>
      <c r="W1078" s="19"/>
      <c r="X1078" s="19"/>
      <c r="Y1078" s="19"/>
      <c r="Z1078" s="19"/>
      <c r="AA1078" s="19"/>
      <c r="AB1078" s="19"/>
      <c r="AC1078" s="19"/>
      <c r="AD1078" s="19"/>
      <c r="AE1078" s="19"/>
      <c r="AF1078" s="19"/>
      <c r="AG1078" s="19"/>
      <c r="AH1078" s="19"/>
      <c r="AI1078" s="19"/>
      <c r="AJ1078" s="19"/>
      <c r="FM1078" s="54"/>
    </row>
    <row r="1079" spans="1:169" s="18" customFormat="1">
      <c r="A1079" s="51"/>
      <c r="B1079" s="52"/>
      <c r="C1079" s="52"/>
      <c r="D1079" s="52"/>
      <c r="E1079" s="52"/>
      <c r="F1079" s="52"/>
      <c r="G1079" s="52"/>
      <c r="H1079" s="53"/>
      <c r="I1079" s="52"/>
      <c r="J1079" s="52"/>
      <c r="K1079" s="19"/>
      <c r="L1079" s="19"/>
      <c r="M1079" s="19"/>
      <c r="N1079" s="19"/>
      <c r="O1079" s="19"/>
      <c r="P1079" s="19"/>
      <c r="Q1079" s="19"/>
      <c r="R1079" s="19"/>
      <c r="S1079" s="19"/>
      <c r="T1079" s="19"/>
      <c r="U1079" s="19"/>
      <c r="V1079" s="19"/>
      <c r="W1079" s="19"/>
      <c r="X1079" s="19"/>
      <c r="Y1079" s="19"/>
      <c r="Z1079" s="19"/>
      <c r="AA1079" s="19"/>
      <c r="AB1079" s="19"/>
      <c r="AC1079" s="19"/>
      <c r="AD1079" s="19"/>
      <c r="AE1079" s="19"/>
      <c r="AF1079" s="19"/>
      <c r="AG1079" s="19"/>
      <c r="AH1079" s="19"/>
      <c r="AI1079" s="19"/>
      <c r="AJ1079" s="19"/>
      <c r="FM1079" s="54"/>
    </row>
    <row r="1080" spans="1:169" s="18" customFormat="1">
      <c r="A1080" s="51"/>
      <c r="B1080" s="52"/>
      <c r="C1080" s="52"/>
      <c r="D1080" s="52"/>
      <c r="E1080" s="52"/>
      <c r="F1080" s="52"/>
      <c r="G1080" s="52"/>
      <c r="H1080" s="53"/>
      <c r="I1080" s="52"/>
      <c r="J1080" s="52"/>
      <c r="K1080" s="19"/>
      <c r="L1080" s="19"/>
      <c r="M1080" s="19"/>
      <c r="N1080" s="19"/>
      <c r="O1080" s="19"/>
      <c r="P1080" s="19"/>
      <c r="Q1080" s="19"/>
      <c r="R1080" s="19"/>
      <c r="S1080" s="19"/>
      <c r="T1080" s="19"/>
      <c r="U1080" s="19"/>
      <c r="V1080" s="19"/>
      <c r="W1080" s="19"/>
      <c r="X1080" s="19"/>
      <c r="Y1080" s="19"/>
      <c r="Z1080" s="19"/>
      <c r="AA1080" s="19"/>
      <c r="AB1080" s="19"/>
      <c r="AC1080" s="19"/>
      <c r="AD1080" s="19"/>
      <c r="AE1080" s="19"/>
      <c r="AF1080" s="19"/>
      <c r="AG1080" s="19"/>
      <c r="AH1080" s="19"/>
      <c r="AI1080" s="19"/>
      <c r="AJ1080" s="19"/>
      <c r="FM1080" s="54"/>
    </row>
    <row r="1081" spans="1:169" s="18" customFormat="1">
      <c r="A1081" s="51"/>
      <c r="B1081" s="52"/>
      <c r="C1081" s="52"/>
      <c r="D1081" s="52"/>
      <c r="E1081" s="52"/>
      <c r="F1081" s="52"/>
      <c r="G1081" s="52"/>
      <c r="H1081" s="53"/>
      <c r="I1081" s="52"/>
      <c r="J1081" s="52"/>
      <c r="K1081" s="19"/>
      <c r="L1081" s="19"/>
      <c r="M1081" s="19"/>
      <c r="N1081" s="19"/>
      <c r="O1081" s="19"/>
      <c r="P1081" s="19"/>
      <c r="Q1081" s="19"/>
      <c r="R1081" s="19"/>
      <c r="S1081" s="19"/>
      <c r="T1081" s="19"/>
      <c r="U1081" s="19"/>
      <c r="V1081" s="19"/>
      <c r="W1081" s="19"/>
      <c r="X1081" s="19"/>
      <c r="Y1081" s="19"/>
      <c r="Z1081" s="19"/>
      <c r="AA1081" s="19"/>
      <c r="AB1081" s="19"/>
      <c r="AC1081" s="19"/>
      <c r="AD1081" s="19"/>
      <c r="AE1081" s="19"/>
      <c r="AF1081" s="19"/>
      <c r="AG1081" s="19"/>
      <c r="AH1081" s="19"/>
      <c r="AI1081" s="19"/>
      <c r="AJ1081" s="19"/>
      <c r="FM1081" s="54"/>
    </row>
    <row r="1082" spans="1:169" s="18" customFormat="1">
      <c r="A1082" s="51"/>
      <c r="B1082" s="52"/>
      <c r="C1082" s="52"/>
      <c r="D1082" s="52"/>
      <c r="E1082" s="52"/>
      <c r="F1082" s="52"/>
      <c r="G1082" s="52"/>
      <c r="H1082" s="53"/>
      <c r="I1082" s="52"/>
      <c r="J1082" s="52"/>
      <c r="K1082" s="19"/>
      <c r="L1082" s="19"/>
      <c r="M1082" s="19"/>
      <c r="N1082" s="19"/>
      <c r="O1082" s="19"/>
      <c r="P1082" s="19"/>
      <c r="Q1082" s="19"/>
      <c r="R1082" s="19"/>
      <c r="S1082" s="19"/>
      <c r="T1082" s="19"/>
      <c r="U1082" s="19"/>
      <c r="V1082" s="19"/>
      <c r="W1082" s="19"/>
      <c r="X1082" s="19"/>
      <c r="Y1082" s="19"/>
      <c r="Z1082" s="19"/>
      <c r="AA1082" s="19"/>
      <c r="AB1082" s="19"/>
      <c r="AC1082" s="19"/>
      <c r="AD1082" s="19"/>
      <c r="AE1082" s="19"/>
      <c r="AF1082" s="19"/>
      <c r="AG1082" s="19"/>
      <c r="AH1082" s="19"/>
      <c r="AI1082" s="19"/>
      <c r="AJ1082" s="19"/>
      <c r="FM1082" s="54"/>
    </row>
    <row r="1083" spans="1:169" s="18" customFormat="1">
      <c r="A1083" s="51"/>
      <c r="B1083" s="52"/>
      <c r="C1083" s="52"/>
      <c r="D1083" s="52"/>
      <c r="E1083" s="52"/>
      <c r="F1083" s="52"/>
      <c r="G1083" s="52"/>
      <c r="H1083" s="53"/>
      <c r="I1083" s="52"/>
      <c r="J1083" s="52"/>
      <c r="K1083" s="19"/>
      <c r="L1083" s="19"/>
      <c r="M1083" s="19"/>
      <c r="N1083" s="19"/>
      <c r="O1083" s="19"/>
      <c r="P1083" s="19"/>
      <c r="Q1083" s="19"/>
      <c r="R1083" s="19"/>
      <c r="S1083" s="19"/>
      <c r="T1083" s="19"/>
      <c r="U1083" s="19"/>
      <c r="V1083" s="19"/>
      <c r="W1083" s="19"/>
      <c r="X1083" s="19"/>
      <c r="Y1083" s="19"/>
      <c r="Z1083" s="19"/>
      <c r="AA1083" s="19"/>
      <c r="AB1083" s="19"/>
      <c r="AC1083" s="19"/>
      <c r="AD1083" s="19"/>
      <c r="AE1083" s="19"/>
      <c r="AF1083" s="19"/>
      <c r="AG1083" s="19"/>
      <c r="AH1083" s="19"/>
      <c r="AI1083" s="19"/>
      <c r="AJ1083" s="19"/>
      <c r="FM1083" s="54"/>
    </row>
    <row r="1084" spans="1:169" s="18" customFormat="1">
      <c r="A1084" s="51"/>
      <c r="B1084" s="52"/>
      <c r="C1084" s="52"/>
      <c r="D1084" s="52"/>
      <c r="E1084" s="52"/>
      <c r="F1084" s="52"/>
      <c r="G1084" s="52"/>
      <c r="H1084" s="53"/>
      <c r="I1084" s="52"/>
      <c r="J1084" s="52"/>
      <c r="K1084" s="19"/>
      <c r="L1084" s="19"/>
      <c r="M1084" s="19"/>
      <c r="N1084" s="19"/>
      <c r="O1084" s="19"/>
      <c r="P1084" s="19"/>
      <c r="Q1084" s="19"/>
      <c r="R1084" s="19"/>
      <c r="S1084" s="19"/>
      <c r="T1084" s="19"/>
      <c r="U1084" s="19"/>
      <c r="V1084" s="19"/>
      <c r="W1084" s="19"/>
      <c r="X1084" s="19"/>
      <c r="Y1084" s="19"/>
      <c r="Z1084" s="19"/>
      <c r="AA1084" s="19"/>
      <c r="AB1084" s="19"/>
      <c r="AC1084" s="19"/>
      <c r="AD1084" s="19"/>
      <c r="AE1084" s="19"/>
      <c r="AF1084" s="19"/>
      <c r="AG1084" s="19"/>
      <c r="AH1084" s="19"/>
      <c r="AI1084" s="19"/>
      <c r="AJ1084" s="19"/>
      <c r="FM1084" s="54"/>
    </row>
    <row r="1085" spans="1:169" s="18" customFormat="1">
      <c r="A1085" s="51"/>
      <c r="B1085" s="52"/>
      <c r="C1085" s="52"/>
      <c r="D1085" s="52"/>
      <c r="E1085" s="52"/>
      <c r="F1085" s="52"/>
      <c r="G1085" s="52"/>
      <c r="H1085" s="53"/>
      <c r="I1085" s="52"/>
      <c r="J1085" s="52"/>
      <c r="K1085" s="19"/>
      <c r="L1085" s="19"/>
      <c r="M1085" s="19"/>
      <c r="N1085" s="19"/>
      <c r="O1085" s="19"/>
      <c r="P1085" s="19"/>
      <c r="Q1085" s="19"/>
      <c r="R1085" s="19"/>
      <c r="S1085" s="19"/>
      <c r="T1085" s="19"/>
      <c r="U1085" s="19"/>
      <c r="V1085" s="19"/>
      <c r="W1085" s="19"/>
      <c r="X1085" s="19"/>
      <c r="Y1085" s="19"/>
      <c r="Z1085" s="19"/>
      <c r="AA1085" s="19"/>
      <c r="AB1085" s="19"/>
      <c r="AC1085" s="19"/>
      <c r="AD1085" s="19"/>
      <c r="AE1085" s="19"/>
      <c r="AF1085" s="19"/>
      <c r="AG1085" s="19"/>
      <c r="AH1085" s="19"/>
      <c r="AI1085" s="19"/>
      <c r="AJ1085" s="19"/>
      <c r="FM1085" s="54"/>
    </row>
    <row r="1086" spans="1:169" s="18" customFormat="1">
      <c r="A1086" s="51"/>
      <c r="B1086" s="52"/>
      <c r="C1086" s="52"/>
      <c r="D1086" s="52"/>
      <c r="E1086" s="52"/>
      <c r="F1086" s="52"/>
      <c r="G1086" s="52"/>
      <c r="H1086" s="53"/>
      <c r="I1086" s="52"/>
      <c r="J1086" s="52"/>
      <c r="K1086" s="19"/>
      <c r="L1086" s="19"/>
      <c r="M1086" s="19"/>
      <c r="N1086" s="19"/>
      <c r="O1086" s="19"/>
      <c r="P1086" s="19"/>
      <c r="Q1086" s="19"/>
      <c r="R1086" s="19"/>
      <c r="S1086" s="19"/>
      <c r="T1086" s="19"/>
      <c r="U1086" s="19"/>
      <c r="V1086" s="19"/>
      <c r="W1086" s="19"/>
      <c r="X1086" s="19"/>
      <c r="Y1086" s="19"/>
      <c r="Z1086" s="19"/>
      <c r="AA1086" s="19"/>
      <c r="AB1086" s="19"/>
      <c r="AC1086" s="19"/>
      <c r="AD1086" s="19"/>
      <c r="AE1086" s="19"/>
      <c r="AF1086" s="19"/>
      <c r="AG1086" s="19"/>
      <c r="AH1086" s="19"/>
      <c r="AI1086" s="19"/>
      <c r="AJ1086" s="19"/>
      <c r="FM1086" s="54"/>
    </row>
    <row r="1087" spans="1:169" s="18" customFormat="1">
      <c r="A1087" s="51"/>
      <c r="B1087" s="52"/>
      <c r="C1087" s="52"/>
      <c r="D1087" s="52"/>
      <c r="E1087" s="52"/>
      <c r="F1087" s="52"/>
      <c r="G1087" s="52"/>
      <c r="H1087" s="53"/>
      <c r="I1087" s="52"/>
      <c r="J1087" s="52"/>
      <c r="K1087" s="19"/>
      <c r="L1087" s="19"/>
      <c r="M1087" s="19"/>
      <c r="N1087" s="19"/>
      <c r="O1087" s="19"/>
      <c r="P1087" s="19"/>
      <c r="Q1087" s="19"/>
      <c r="R1087" s="19"/>
      <c r="S1087" s="19"/>
      <c r="T1087" s="19"/>
      <c r="U1087" s="19"/>
      <c r="V1087" s="19"/>
      <c r="W1087" s="19"/>
      <c r="X1087" s="19"/>
      <c r="Y1087" s="19"/>
      <c r="Z1087" s="19"/>
      <c r="AA1087" s="19"/>
      <c r="AB1087" s="19"/>
      <c r="AC1087" s="19"/>
      <c r="AD1087" s="19"/>
      <c r="AE1087" s="19"/>
      <c r="AF1087" s="19"/>
      <c r="AG1087" s="19"/>
      <c r="AH1087" s="19"/>
      <c r="AI1087" s="19"/>
      <c r="AJ1087" s="19"/>
      <c r="FM1087" s="54"/>
    </row>
    <row r="1088" spans="1:169" s="18" customFormat="1">
      <c r="A1088" s="51"/>
      <c r="B1088" s="52"/>
      <c r="C1088" s="52"/>
      <c r="D1088" s="52"/>
      <c r="E1088" s="52"/>
      <c r="F1088" s="52"/>
      <c r="G1088" s="52"/>
      <c r="H1088" s="53"/>
      <c r="I1088" s="52"/>
      <c r="J1088" s="52"/>
      <c r="K1088" s="19"/>
      <c r="L1088" s="19"/>
      <c r="M1088" s="19"/>
      <c r="N1088" s="19"/>
      <c r="O1088" s="19"/>
      <c r="P1088" s="19"/>
      <c r="Q1088" s="19"/>
      <c r="R1088" s="19"/>
      <c r="S1088" s="19"/>
      <c r="T1088" s="19"/>
      <c r="U1088" s="19"/>
      <c r="V1088" s="19"/>
      <c r="W1088" s="19"/>
      <c r="X1088" s="19"/>
      <c r="Y1088" s="19"/>
      <c r="Z1088" s="19"/>
      <c r="AA1088" s="19"/>
      <c r="AB1088" s="19"/>
      <c r="AC1088" s="19"/>
      <c r="AD1088" s="19"/>
      <c r="AE1088" s="19"/>
      <c r="AF1088" s="19"/>
      <c r="AG1088" s="19"/>
      <c r="AH1088" s="19"/>
      <c r="AI1088" s="19"/>
      <c r="AJ1088" s="19"/>
      <c r="FM1088" s="54"/>
    </row>
    <row r="1089" spans="1:169" s="18" customFormat="1">
      <c r="A1089" s="51"/>
      <c r="B1089" s="52"/>
      <c r="C1089" s="52"/>
      <c r="D1089" s="52"/>
      <c r="E1089" s="52"/>
      <c r="F1089" s="52"/>
      <c r="G1089" s="52"/>
      <c r="H1089" s="53"/>
      <c r="I1089" s="52"/>
      <c r="J1089" s="52"/>
      <c r="K1089" s="19"/>
      <c r="L1089" s="19"/>
      <c r="M1089" s="19"/>
      <c r="N1089" s="19"/>
      <c r="O1089" s="19"/>
      <c r="P1089" s="19"/>
      <c r="Q1089" s="19"/>
      <c r="R1089" s="19"/>
      <c r="S1089" s="19"/>
      <c r="T1089" s="19"/>
      <c r="U1089" s="19"/>
      <c r="V1089" s="19"/>
      <c r="W1089" s="19"/>
      <c r="X1089" s="19"/>
      <c r="Y1089" s="19"/>
      <c r="Z1089" s="19"/>
      <c r="AA1089" s="19"/>
      <c r="AB1089" s="19"/>
      <c r="AC1089" s="19"/>
      <c r="AD1089" s="19"/>
      <c r="AE1089" s="19"/>
      <c r="AF1089" s="19"/>
      <c r="AG1089" s="19"/>
      <c r="AH1089" s="19"/>
      <c r="AI1089" s="19"/>
      <c r="AJ1089" s="19"/>
      <c r="FM1089" s="54"/>
    </row>
    <row r="1090" spans="1:169" s="18" customFormat="1">
      <c r="A1090" s="51"/>
      <c r="B1090" s="52"/>
      <c r="C1090" s="52"/>
      <c r="D1090" s="52"/>
      <c r="E1090" s="52"/>
      <c r="F1090" s="52"/>
      <c r="G1090" s="52"/>
      <c r="H1090" s="53"/>
      <c r="I1090" s="52"/>
      <c r="J1090" s="52"/>
      <c r="K1090" s="19"/>
      <c r="L1090" s="19"/>
      <c r="M1090" s="19"/>
      <c r="N1090" s="19"/>
      <c r="O1090" s="19"/>
      <c r="P1090" s="19"/>
      <c r="Q1090" s="19"/>
      <c r="R1090" s="19"/>
      <c r="S1090" s="19"/>
      <c r="T1090" s="19"/>
      <c r="U1090" s="19"/>
      <c r="V1090" s="19"/>
      <c r="W1090" s="19"/>
      <c r="X1090" s="19"/>
      <c r="Y1090" s="19"/>
      <c r="Z1090" s="19"/>
      <c r="AA1090" s="19"/>
      <c r="AB1090" s="19"/>
      <c r="AC1090" s="19"/>
      <c r="AD1090" s="19"/>
      <c r="AE1090" s="19"/>
      <c r="AF1090" s="19"/>
      <c r="AG1090" s="19"/>
      <c r="AH1090" s="19"/>
      <c r="AI1090" s="19"/>
      <c r="AJ1090" s="19"/>
      <c r="FM1090" s="54"/>
    </row>
    <row r="1091" spans="1:169" s="18" customFormat="1">
      <c r="A1091" s="51"/>
      <c r="B1091" s="52"/>
      <c r="C1091" s="52"/>
      <c r="D1091" s="52"/>
      <c r="E1091" s="52"/>
      <c r="F1091" s="52"/>
      <c r="G1091" s="52"/>
      <c r="H1091" s="53"/>
      <c r="I1091" s="52"/>
      <c r="J1091" s="52"/>
      <c r="K1091" s="19"/>
      <c r="L1091" s="19"/>
      <c r="M1091" s="19"/>
      <c r="N1091" s="19"/>
      <c r="O1091" s="19"/>
      <c r="P1091" s="19"/>
      <c r="Q1091" s="19"/>
      <c r="R1091" s="19"/>
      <c r="S1091" s="19"/>
      <c r="T1091" s="19"/>
      <c r="U1091" s="19"/>
      <c r="V1091" s="19"/>
      <c r="W1091" s="19"/>
      <c r="X1091" s="19"/>
      <c r="Y1091" s="19"/>
      <c r="Z1091" s="19"/>
      <c r="AA1091" s="19"/>
      <c r="AB1091" s="19"/>
      <c r="AC1091" s="19"/>
      <c r="AD1091" s="19"/>
      <c r="AE1091" s="19"/>
      <c r="AF1091" s="19"/>
      <c r="AG1091" s="19"/>
      <c r="AH1091" s="19"/>
      <c r="AI1091" s="19"/>
      <c r="AJ1091" s="19"/>
      <c r="FM1091" s="54"/>
    </row>
    <row r="1092" spans="1:169" s="18" customFormat="1">
      <c r="A1092" s="51"/>
      <c r="B1092" s="52"/>
      <c r="C1092" s="52"/>
      <c r="D1092" s="52"/>
      <c r="E1092" s="52"/>
      <c r="F1092" s="52"/>
      <c r="G1092" s="52"/>
      <c r="H1092" s="53"/>
      <c r="I1092" s="52"/>
      <c r="J1092" s="52"/>
      <c r="K1092" s="19"/>
      <c r="L1092" s="19"/>
      <c r="M1092" s="19"/>
      <c r="N1092" s="19"/>
      <c r="O1092" s="19"/>
      <c r="P1092" s="19"/>
      <c r="Q1092" s="19"/>
      <c r="R1092" s="19"/>
      <c r="S1092" s="19"/>
      <c r="T1092" s="19"/>
      <c r="U1092" s="19"/>
      <c r="V1092" s="19"/>
      <c r="W1092" s="19"/>
      <c r="X1092" s="19"/>
      <c r="Y1092" s="19"/>
      <c r="Z1092" s="19"/>
      <c r="AA1092" s="19"/>
      <c r="AB1092" s="19"/>
      <c r="AC1092" s="19"/>
      <c r="AD1092" s="19"/>
      <c r="AE1092" s="19"/>
      <c r="AF1092" s="19"/>
      <c r="AG1092" s="19"/>
      <c r="AH1092" s="19"/>
      <c r="AI1092" s="19"/>
      <c r="AJ1092" s="19"/>
      <c r="FM1092" s="54"/>
    </row>
    <row r="1093" spans="1:169" s="18" customFormat="1">
      <c r="A1093" s="51"/>
      <c r="B1093" s="52"/>
      <c r="C1093" s="52"/>
      <c r="D1093" s="52"/>
      <c r="E1093" s="52"/>
      <c r="F1093" s="52"/>
      <c r="G1093" s="52"/>
      <c r="H1093" s="53"/>
      <c r="I1093" s="52"/>
      <c r="J1093" s="52"/>
      <c r="K1093" s="19"/>
      <c r="L1093" s="19"/>
      <c r="M1093" s="19"/>
      <c r="N1093" s="19"/>
      <c r="O1093" s="19"/>
      <c r="P1093" s="19"/>
      <c r="Q1093" s="19"/>
      <c r="R1093" s="19"/>
      <c r="S1093" s="19"/>
      <c r="T1093" s="19"/>
      <c r="U1093" s="19"/>
      <c r="V1093" s="19"/>
      <c r="W1093" s="19"/>
      <c r="X1093" s="19"/>
      <c r="Y1093" s="19"/>
      <c r="Z1093" s="19"/>
      <c r="AA1093" s="19"/>
      <c r="AB1093" s="19"/>
      <c r="AC1093" s="19"/>
      <c r="AD1093" s="19"/>
      <c r="AE1093" s="19"/>
      <c r="AF1093" s="19"/>
      <c r="AG1093" s="19"/>
      <c r="AH1093" s="19"/>
      <c r="AI1093" s="19"/>
      <c r="AJ1093" s="19"/>
      <c r="FM1093" s="54"/>
    </row>
    <row r="1094" spans="1:169" s="18" customFormat="1">
      <c r="A1094" s="51"/>
      <c r="B1094" s="52"/>
      <c r="C1094" s="52"/>
      <c r="D1094" s="52"/>
      <c r="E1094" s="52"/>
      <c r="F1094" s="52"/>
      <c r="G1094" s="52"/>
      <c r="H1094" s="53"/>
      <c r="I1094" s="52"/>
      <c r="J1094" s="52"/>
      <c r="K1094" s="19"/>
      <c r="L1094" s="19"/>
      <c r="M1094" s="19"/>
      <c r="N1094" s="19"/>
      <c r="O1094" s="19"/>
      <c r="P1094" s="19"/>
      <c r="Q1094" s="19"/>
      <c r="R1094" s="19"/>
      <c r="S1094" s="19"/>
      <c r="T1094" s="19"/>
      <c r="U1094" s="19"/>
      <c r="V1094" s="19"/>
      <c r="W1094" s="19"/>
      <c r="X1094" s="19"/>
      <c r="Y1094" s="19"/>
      <c r="Z1094" s="19"/>
      <c r="AA1094" s="19"/>
      <c r="AB1094" s="19"/>
      <c r="AC1094" s="19"/>
      <c r="AD1094" s="19"/>
      <c r="AE1094" s="19"/>
      <c r="AF1094" s="19"/>
      <c r="AG1094" s="19"/>
      <c r="AH1094" s="19"/>
      <c r="AI1094" s="19"/>
      <c r="AJ1094" s="19"/>
      <c r="FM1094" s="54"/>
    </row>
    <row r="1095" spans="1:169" s="18" customFormat="1">
      <c r="A1095" s="51"/>
      <c r="B1095" s="52"/>
      <c r="C1095" s="52"/>
      <c r="D1095" s="52"/>
      <c r="E1095" s="52"/>
      <c r="F1095" s="52"/>
      <c r="G1095" s="52"/>
      <c r="H1095" s="53"/>
      <c r="I1095" s="52"/>
      <c r="J1095" s="52"/>
      <c r="K1095" s="19"/>
      <c r="L1095" s="19"/>
      <c r="M1095" s="19"/>
      <c r="N1095" s="19"/>
      <c r="O1095" s="19"/>
      <c r="P1095" s="19"/>
      <c r="Q1095" s="19"/>
      <c r="R1095" s="19"/>
      <c r="S1095" s="19"/>
      <c r="T1095" s="19"/>
      <c r="U1095" s="19"/>
      <c r="V1095" s="19"/>
      <c r="W1095" s="19"/>
      <c r="X1095" s="19"/>
      <c r="Y1095" s="19"/>
      <c r="Z1095" s="19"/>
      <c r="AA1095" s="19"/>
      <c r="AB1095" s="19"/>
      <c r="AC1095" s="19"/>
      <c r="AD1095" s="19"/>
      <c r="AE1095" s="19"/>
      <c r="AF1095" s="19"/>
      <c r="AG1095" s="19"/>
      <c r="AH1095" s="19"/>
      <c r="AI1095" s="19"/>
      <c r="AJ1095" s="19"/>
      <c r="FM1095" s="54"/>
    </row>
    <row r="1096" spans="1:169" s="18" customFormat="1">
      <c r="A1096" s="51"/>
      <c r="B1096" s="52"/>
      <c r="C1096" s="52"/>
      <c r="D1096" s="52"/>
      <c r="E1096" s="52"/>
      <c r="F1096" s="52"/>
      <c r="G1096" s="52"/>
      <c r="H1096" s="53"/>
      <c r="I1096" s="52"/>
      <c r="J1096" s="52"/>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c r="AG1096" s="19"/>
      <c r="AH1096" s="19"/>
      <c r="AI1096" s="19"/>
      <c r="AJ1096" s="19"/>
      <c r="FM1096" s="54"/>
    </row>
    <row r="1097" spans="1:169" s="18" customFormat="1">
      <c r="A1097" s="51"/>
      <c r="B1097" s="52"/>
      <c r="C1097" s="52"/>
      <c r="D1097" s="52"/>
      <c r="E1097" s="52"/>
      <c r="F1097" s="52"/>
      <c r="G1097" s="52"/>
      <c r="H1097" s="53"/>
      <c r="I1097" s="52"/>
      <c r="J1097" s="52"/>
      <c r="K1097" s="19"/>
      <c r="L1097" s="19"/>
      <c r="M1097" s="19"/>
      <c r="N1097" s="19"/>
      <c r="O1097" s="19"/>
      <c r="P1097" s="19"/>
      <c r="Q1097" s="19"/>
      <c r="R1097" s="19"/>
      <c r="S1097" s="19"/>
      <c r="T1097" s="19"/>
      <c r="U1097" s="19"/>
      <c r="V1097" s="19"/>
      <c r="W1097" s="19"/>
      <c r="X1097" s="19"/>
      <c r="Y1097" s="19"/>
      <c r="Z1097" s="19"/>
      <c r="AA1097" s="19"/>
      <c r="AB1097" s="19"/>
      <c r="AC1097" s="19"/>
      <c r="AD1097" s="19"/>
      <c r="AE1097" s="19"/>
      <c r="AF1097" s="19"/>
      <c r="AG1097" s="19"/>
      <c r="AH1097" s="19"/>
      <c r="AI1097" s="19"/>
      <c r="AJ1097" s="19"/>
      <c r="FM1097" s="54"/>
    </row>
    <row r="1098" spans="1:169" s="18" customFormat="1">
      <c r="A1098" s="51"/>
      <c r="B1098" s="52"/>
      <c r="C1098" s="52"/>
      <c r="D1098" s="52"/>
      <c r="E1098" s="52"/>
      <c r="F1098" s="52"/>
      <c r="G1098" s="52"/>
      <c r="H1098" s="53"/>
      <c r="I1098" s="52"/>
      <c r="J1098" s="52"/>
      <c r="K1098" s="19"/>
      <c r="L1098" s="19"/>
      <c r="M1098" s="19"/>
      <c r="N1098" s="19"/>
      <c r="O1098" s="19"/>
      <c r="P1098" s="19"/>
      <c r="Q1098" s="19"/>
      <c r="R1098" s="19"/>
      <c r="S1098" s="19"/>
      <c r="T1098" s="19"/>
      <c r="U1098" s="19"/>
      <c r="V1098" s="19"/>
      <c r="W1098" s="19"/>
      <c r="X1098" s="19"/>
      <c r="Y1098" s="19"/>
      <c r="Z1098" s="19"/>
      <c r="AA1098" s="19"/>
      <c r="AB1098" s="19"/>
      <c r="AC1098" s="19"/>
      <c r="AD1098" s="19"/>
      <c r="AE1098" s="19"/>
      <c r="AF1098" s="19"/>
      <c r="AG1098" s="19"/>
      <c r="AH1098" s="19"/>
      <c r="AI1098" s="19"/>
      <c r="AJ1098" s="19"/>
      <c r="FM1098" s="54"/>
    </row>
    <row r="1099" spans="1:169" s="18" customFormat="1">
      <c r="A1099" s="51"/>
      <c r="B1099" s="52"/>
      <c r="C1099" s="52"/>
      <c r="D1099" s="52"/>
      <c r="E1099" s="52"/>
      <c r="F1099" s="52"/>
      <c r="G1099" s="52"/>
      <c r="H1099" s="53"/>
      <c r="I1099" s="52"/>
      <c r="J1099" s="52"/>
      <c r="K1099" s="19"/>
      <c r="L1099" s="19"/>
      <c r="M1099" s="19"/>
      <c r="N1099" s="19"/>
      <c r="O1099" s="19"/>
      <c r="P1099" s="19"/>
      <c r="Q1099" s="19"/>
      <c r="R1099" s="19"/>
      <c r="S1099" s="19"/>
      <c r="T1099" s="19"/>
      <c r="U1099" s="19"/>
      <c r="V1099" s="19"/>
      <c r="W1099" s="19"/>
      <c r="X1099" s="19"/>
      <c r="Y1099" s="19"/>
      <c r="Z1099" s="19"/>
      <c r="AA1099" s="19"/>
      <c r="AB1099" s="19"/>
      <c r="AC1099" s="19"/>
      <c r="AD1099" s="19"/>
      <c r="AE1099" s="19"/>
      <c r="AF1099" s="19"/>
      <c r="AG1099" s="19"/>
      <c r="AH1099" s="19"/>
      <c r="AI1099" s="19"/>
      <c r="AJ1099" s="19"/>
      <c r="FM1099" s="54"/>
    </row>
    <row r="1100" spans="1:169" s="18" customFormat="1">
      <c r="A1100" s="51"/>
      <c r="B1100" s="52"/>
      <c r="C1100" s="52"/>
      <c r="D1100" s="52"/>
      <c r="E1100" s="52"/>
      <c r="F1100" s="52"/>
      <c r="G1100" s="52"/>
      <c r="H1100" s="53"/>
      <c r="I1100" s="52"/>
      <c r="J1100" s="52"/>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c r="AG1100" s="19"/>
      <c r="AH1100" s="19"/>
      <c r="AI1100" s="19"/>
      <c r="AJ1100" s="19"/>
      <c r="FM1100" s="54"/>
    </row>
    <row r="1101" spans="1:169" s="18" customFormat="1">
      <c r="A1101" s="51"/>
      <c r="B1101" s="52"/>
      <c r="C1101" s="52"/>
      <c r="D1101" s="52"/>
      <c r="E1101" s="52"/>
      <c r="F1101" s="52"/>
      <c r="G1101" s="52"/>
      <c r="H1101" s="53"/>
      <c r="I1101" s="52"/>
      <c r="J1101" s="52"/>
      <c r="K1101" s="19"/>
      <c r="L1101" s="19"/>
      <c r="M1101" s="19"/>
      <c r="N1101" s="19"/>
      <c r="O1101" s="19"/>
      <c r="P1101" s="19"/>
      <c r="Q1101" s="19"/>
      <c r="R1101" s="19"/>
      <c r="S1101" s="19"/>
      <c r="T1101" s="19"/>
      <c r="U1101" s="19"/>
      <c r="V1101" s="19"/>
      <c r="W1101" s="19"/>
      <c r="X1101" s="19"/>
      <c r="Y1101" s="19"/>
      <c r="Z1101" s="19"/>
      <c r="AA1101" s="19"/>
      <c r="AB1101" s="19"/>
      <c r="AC1101" s="19"/>
      <c r="AD1101" s="19"/>
      <c r="AE1101" s="19"/>
      <c r="AF1101" s="19"/>
      <c r="AG1101" s="19"/>
      <c r="AH1101" s="19"/>
      <c r="AI1101" s="19"/>
      <c r="AJ1101" s="19"/>
      <c r="FM1101" s="54"/>
    </row>
    <row r="1102" spans="1:169" s="18" customFormat="1">
      <c r="A1102" s="51"/>
      <c r="B1102" s="52"/>
      <c r="C1102" s="52"/>
      <c r="D1102" s="52"/>
      <c r="E1102" s="52"/>
      <c r="F1102" s="52"/>
      <c r="G1102" s="52"/>
      <c r="H1102" s="53"/>
      <c r="I1102" s="52"/>
      <c r="J1102" s="52"/>
      <c r="K1102" s="19"/>
      <c r="L1102" s="19"/>
      <c r="M1102" s="19"/>
      <c r="N1102" s="19"/>
      <c r="O1102" s="19"/>
      <c r="P1102" s="19"/>
      <c r="Q1102" s="19"/>
      <c r="R1102" s="19"/>
      <c r="S1102" s="19"/>
      <c r="T1102" s="19"/>
      <c r="U1102" s="19"/>
      <c r="V1102" s="19"/>
      <c r="W1102" s="19"/>
      <c r="X1102" s="19"/>
      <c r="Y1102" s="19"/>
      <c r="Z1102" s="19"/>
      <c r="AA1102" s="19"/>
      <c r="AB1102" s="19"/>
      <c r="AC1102" s="19"/>
      <c r="AD1102" s="19"/>
      <c r="AE1102" s="19"/>
      <c r="AF1102" s="19"/>
      <c r="AG1102" s="19"/>
      <c r="AH1102" s="19"/>
      <c r="AI1102" s="19"/>
      <c r="AJ1102" s="19"/>
      <c r="FM1102" s="54"/>
    </row>
    <row r="1103" spans="1:169" s="18" customFormat="1">
      <c r="A1103" s="51"/>
      <c r="B1103" s="52"/>
      <c r="C1103" s="52"/>
      <c r="D1103" s="52"/>
      <c r="E1103" s="52"/>
      <c r="F1103" s="52"/>
      <c r="G1103" s="52"/>
      <c r="H1103" s="53"/>
      <c r="I1103" s="52"/>
      <c r="J1103" s="52"/>
      <c r="K1103" s="19"/>
      <c r="L1103" s="19"/>
      <c r="M1103" s="19"/>
      <c r="N1103" s="19"/>
      <c r="O1103" s="19"/>
      <c r="P1103" s="19"/>
      <c r="Q1103" s="19"/>
      <c r="R1103" s="19"/>
      <c r="S1103" s="19"/>
      <c r="T1103" s="19"/>
      <c r="U1103" s="19"/>
      <c r="V1103" s="19"/>
      <c r="W1103" s="19"/>
      <c r="X1103" s="19"/>
      <c r="Y1103" s="19"/>
      <c r="Z1103" s="19"/>
      <c r="AA1103" s="19"/>
      <c r="AB1103" s="19"/>
      <c r="AC1103" s="19"/>
      <c r="AD1103" s="19"/>
      <c r="AE1103" s="19"/>
      <c r="AF1103" s="19"/>
      <c r="AG1103" s="19"/>
      <c r="AH1103" s="19"/>
      <c r="AI1103" s="19"/>
      <c r="AJ1103" s="19"/>
      <c r="FM1103" s="54"/>
    </row>
    <row r="1104" spans="1:169" s="18" customFormat="1">
      <c r="A1104" s="51"/>
      <c r="B1104" s="52"/>
      <c r="C1104" s="52"/>
      <c r="D1104" s="52"/>
      <c r="E1104" s="52"/>
      <c r="F1104" s="52"/>
      <c r="G1104" s="52"/>
      <c r="H1104" s="53"/>
      <c r="I1104" s="52"/>
      <c r="J1104" s="52"/>
      <c r="K1104" s="19"/>
      <c r="L1104" s="19"/>
      <c r="M1104" s="19"/>
      <c r="N1104" s="19"/>
      <c r="O1104" s="19"/>
      <c r="P1104" s="19"/>
      <c r="Q1104" s="19"/>
      <c r="R1104" s="19"/>
      <c r="S1104" s="19"/>
      <c r="T1104" s="19"/>
      <c r="U1104" s="19"/>
      <c r="V1104" s="19"/>
      <c r="W1104" s="19"/>
      <c r="X1104" s="19"/>
      <c r="Y1104" s="19"/>
      <c r="Z1104" s="19"/>
      <c r="AA1104" s="19"/>
      <c r="AB1104" s="19"/>
      <c r="AC1104" s="19"/>
      <c r="AD1104" s="19"/>
      <c r="AE1104" s="19"/>
      <c r="AF1104" s="19"/>
      <c r="AG1104" s="19"/>
      <c r="AH1104" s="19"/>
      <c r="AI1104" s="19"/>
      <c r="AJ1104" s="19"/>
      <c r="FM1104" s="54"/>
    </row>
    <row r="1105" spans="1:169" s="18" customFormat="1">
      <c r="A1105" s="51"/>
      <c r="B1105" s="52"/>
      <c r="C1105" s="52"/>
      <c r="D1105" s="52"/>
      <c r="E1105" s="52"/>
      <c r="F1105" s="52"/>
      <c r="G1105" s="52"/>
      <c r="H1105" s="53"/>
      <c r="I1105" s="52"/>
      <c r="J1105" s="52"/>
      <c r="K1105" s="19"/>
      <c r="L1105" s="19"/>
      <c r="M1105" s="19"/>
      <c r="N1105" s="19"/>
      <c r="O1105" s="19"/>
      <c r="P1105" s="19"/>
      <c r="Q1105" s="19"/>
      <c r="R1105" s="19"/>
      <c r="S1105" s="19"/>
      <c r="T1105" s="19"/>
      <c r="U1105" s="19"/>
      <c r="V1105" s="19"/>
      <c r="W1105" s="19"/>
      <c r="X1105" s="19"/>
      <c r="Y1105" s="19"/>
      <c r="Z1105" s="19"/>
      <c r="AA1105" s="19"/>
      <c r="AB1105" s="19"/>
      <c r="AC1105" s="19"/>
      <c r="AD1105" s="19"/>
      <c r="AE1105" s="19"/>
      <c r="AF1105" s="19"/>
      <c r="AG1105" s="19"/>
      <c r="AH1105" s="19"/>
      <c r="AI1105" s="19"/>
      <c r="AJ1105" s="19"/>
      <c r="FM1105" s="54"/>
    </row>
    <row r="1106" spans="1:169" s="18" customFormat="1">
      <c r="A1106" s="51"/>
      <c r="B1106" s="52"/>
      <c r="C1106" s="52"/>
      <c r="D1106" s="52"/>
      <c r="E1106" s="52"/>
      <c r="F1106" s="52"/>
      <c r="G1106" s="52"/>
      <c r="H1106" s="53"/>
      <c r="I1106" s="52"/>
      <c r="J1106" s="52"/>
      <c r="K1106" s="19"/>
      <c r="L1106" s="19"/>
      <c r="M1106" s="19"/>
      <c r="N1106" s="19"/>
      <c r="O1106" s="19"/>
      <c r="P1106" s="19"/>
      <c r="Q1106" s="19"/>
      <c r="R1106" s="19"/>
      <c r="S1106" s="19"/>
      <c r="T1106" s="19"/>
      <c r="U1106" s="19"/>
      <c r="V1106" s="19"/>
      <c r="W1106" s="19"/>
      <c r="X1106" s="19"/>
      <c r="Y1106" s="19"/>
      <c r="Z1106" s="19"/>
      <c r="AA1106" s="19"/>
      <c r="AB1106" s="19"/>
      <c r="AC1106" s="19"/>
      <c r="AD1106" s="19"/>
      <c r="AE1106" s="19"/>
      <c r="AF1106" s="19"/>
      <c r="AG1106" s="19"/>
      <c r="AH1106" s="19"/>
      <c r="AI1106" s="19"/>
      <c r="AJ1106" s="19"/>
      <c r="FM1106" s="54"/>
    </row>
    <row r="1107" spans="1:169" s="18" customFormat="1">
      <c r="A1107" s="51"/>
      <c r="B1107" s="52"/>
      <c r="C1107" s="52"/>
      <c r="D1107" s="52"/>
      <c r="E1107" s="52"/>
      <c r="F1107" s="52"/>
      <c r="G1107" s="52"/>
      <c r="H1107" s="53"/>
      <c r="I1107" s="52"/>
      <c r="J1107" s="52"/>
      <c r="K1107" s="19"/>
      <c r="L1107" s="19"/>
      <c r="M1107" s="19"/>
      <c r="N1107" s="19"/>
      <c r="O1107" s="19"/>
      <c r="P1107" s="19"/>
      <c r="Q1107" s="19"/>
      <c r="R1107" s="19"/>
      <c r="S1107" s="19"/>
      <c r="T1107" s="19"/>
      <c r="U1107" s="19"/>
      <c r="V1107" s="19"/>
      <c r="W1107" s="19"/>
      <c r="X1107" s="19"/>
      <c r="Y1107" s="19"/>
      <c r="Z1107" s="19"/>
      <c r="AA1107" s="19"/>
      <c r="AB1107" s="19"/>
      <c r="AC1107" s="19"/>
      <c r="AD1107" s="19"/>
      <c r="AE1107" s="19"/>
      <c r="AF1107" s="19"/>
      <c r="AG1107" s="19"/>
      <c r="AH1107" s="19"/>
      <c r="AI1107" s="19"/>
      <c r="AJ1107" s="19"/>
      <c r="FM1107" s="54"/>
    </row>
    <row r="1108" spans="1:169" s="18" customFormat="1">
      <c r="A1108" s="51"/>
      <c r="B1108" s="52"/>
      <c r="C1108" s="52"/>
      <c r="D1108" s="52"/>
      <c r="E1108" s="52"/>
      <c r="F1108" s="52"/>
      <c r="G1108" s="52"/>
      <c r="H1108" s="53"/>
      <c r="I1108" s="52"/>
      <c r="J1108" s="52"/>
      <c r="K1108" s="19"/>
      <c r="L1108" s="19"/>
      <c r="M1108" s="19"/>
      <c r="N1108" s="19"/>
      <c r="O1108" s="19"/>
      <c r="P1108" s="19"/>
      <c r="Q1108" s="19"/>
      <c r="R1108" s="19"/>
      <c r="S1108" s="19"/>
      <c r="T1108" s="19"/>
      <c r="U1108" s="19"/>
      <c r="V1108" s="19"/>
      <c r="W1108" s="19"/>
      <c r="X1108" s="19"/>
      <c r="Y1108" s="19"/>
      <c r="Z1108" s="19"/>
      <c r="AA1108" s="19"/>
      <c r="AB1108" s="19"/>
      <c r="AC1108" s="19"/>
      <c r="AD1108" s="19"/>
      <c r="AE1108" s="19"/>
      <c r="AF1108" s="19"/>
      <c r="AG1108" s="19"/>
      <c r="AH1108" s="19"/>
      <c r="AI1108" s="19"/>
      <c r="AJ1108" s="19"/>
      <c r="FM1108" s="54"/>
    </row>
    <row r="1109" spans="1:169" s="18" customFormat="1">
      <c r="A1109" s="51"/>
      <c r="B1109" s="52"/>
      <c r="C1109" s="52"/>
      <c r="D1109" s="52"/>
      <c r="E1109" s="52"/>
      <c r="F1109" s="52"/>
      <c r="G1109" s="52"/>
      <c r="H1109" s="53"/>
      <c r="I1109" s="52"/>
      <c r="J1109" s="52"/>
      <c r="K1109" s="19"/>
      <c r="L1109" s="19"/>
      <c r="M1109" s="19"/>
      <c r="N1109" s="19"/>
      <c r="O1109" s="19"/>
      <c r="P1109" s="19"/>
      <c r="Q1109" s="19"/>
      <c r="R1109" s="19"/>
      <c r="S1109" s="19"/>
      <c r="T1109" s="19"/>
      <c r="U1109" s="19"/>
      <c r="V1109" s="19"/>
      <c r="W1109" s="19"/>
      <c r="X1109" s="19"/>
      <c r="Y1109" s="19"/>
      <c r="Z1109" s="19"/>
      <c r="AA1109" s="19"/>
      <c r="AB1109" s="19"/>
      <c r="AC1109" s="19"/>
      <c r="AD1109" s="19"/>
      <c r="AE1109" s="19"/>
      <c r="AF1109" s="19"/>
      <c r="AG1109" s="19"/>
      <c r="AH1109" s="19"/>
      <c r="AI1109" s="19"/>
      <c r="AJ1109" s="19"/>
      <c r="FM1109" s="54"/>
    </row>
    <row r="1110" spans="1:169" s="18" customFormat="1">
      <c r="A1110" s="51"/>
      <c r="B1110" s="52"/>
      <c r="C1110" s="52"/>
      <c r="D1110" s="52"/>
      <c r="E1110" s="52"/>
      <c r="F1110" s="52"/>
      <c r="G1110" s="52"/>
      <c r="H1110" s="53"/>
      <c r="I1110" s="52"/>
      <c r="J1110" s="52"/>
      <c r="K1110" s="19"/>
      <c r="L1110" s="19"/>
      <c r="M1110" s="19"/>
      <c r="N1110" s="19"/>
      <c r="O1110" s="19"/>
      <c r="P1110" s="19"/>
      <c r="Q1110" s="19"/>
      <c r="R1110" s="19"/>
      <c r="S1110" s="19"/>
      <c r="T1110" s="19"/>
      <c r="U1110" s="19"/>
      <c r="V1110" s="19"/>
      <c r="W1110" s="19"/>
      <c r="X1110" s="19"/>
      <c r="Y1110" s="19"/>
      <c r="Z1110" s="19"/>
      <c r="AA1110" s="19"/>
      <c r="AB1110" s="19"/>
      <c r="AC1110" s="19"/>
      <c r="AD1110" s="19"/>
      <c r="AE1110" s="19"/>
      <c r="AF1110" s="19"/>
      <c r="AG1110" s="19"/>
      <c r="AH1110" s="19"/>
      <c r="AI1110" s="19"/>
      <c r="AJ1110" s="19"/>
      <c r="FM1110" s="54"/>
    </row>
    <row r="1111" spans="1:169" s="18" customFormat="1">
      <c r="A1111" s="51"/>
      <c r="B1111" s="52"/>
      <c r="C1111" s="52"/>
      <c r="D1111" s="52"/>
      <c r="E1111" s="52"/>
      <c r="F1111" s="52"/>
      <c r="G1111" s="52"/>
      <c r="H1111" s="53"/>
      <c r="I1111" s="52"/>
      <c r="J1111" s="52"/>
      <c r="K1111" s="19"/>
      <c r="L1111" s="19"/>
      <c r="M1111" s="19"/>
      <c r="N1111" s="19"/>
      <c r="O1111" s="19"/>
      <c r="P1111" s="19"/>
      <c r="Q1111" s="19"/>
      <c r="R1111" s="19"/>
      <c r="S1111" s="19"/>
      <c r="T1111" s="19"/>
      <c r="U1111" s="19"/>
      <c r="V1111" s="19"/>
      <c r="W1111" s="19"/>
      <c r="X1111" s="19"/>
      <c r="Y1111" s="19"/>
      <c r="Z1111" s="19"/>
      <c r="AA1111" s="19"/>
      <c r="AB1111" s="19"/>
      <c r="AC1111" s="19"/>
      <c r="AD1111" s="19"/>
      <c r="AE1111" s="19"/>
      <c r="AF1111" s="19"/>
      <c r="AG1111" s="19"/>
      <c r="AH1111" s="19"/>
      <c r="AI1111" s="19"/>
      <c r="AJ1111" s="19"/>
      <c r="FM1111" s="54"/>
    </row>
    <row r="1112" spans="1:169" s="18" customFormat="1">
      <c r="A1112" s="51"/>
      <c r="B1112" s="52"/>
      <c r="C1112" s="52"/>
      <c r="D1112" s="52"/>
      <c r="E1112" s="52"/>
      <c r="F1112" s="52"/>
      <c r="G1112" s="52"/>
      <c r="H1112" s="53"/>
      <c r="I1112" s="52"/>
      <c r="J1112" s="52"/>
      <c r="K1112" s="19"/>
      <c r="L1112" s="19"/>
      <c r="M1112" s="19"/>
      <c r="N1112" s="19"/>
      <c r="O1112" s="19"/>
      <c r="P1112" s="19"/>
      <c r="Q1112" s="19"/>
      <c r="R1112" s="19"/>
      <c r="S1112" s="19"/>
      <c r="T1112" s="19"/>
      <c r="U1112" s="19"/>
      <c r="V1112" s="19"/>
      <c r="W1112" s="19"/>
      <c r="X1112" s="19"/>
      <c r="Y1112" s="19"/>
      <c r="Z1112" s="19"/>
      <c r="AA1112" s="19"/>
      <c r="AB1112" s="19"/>
      <c r="AC1112" s="19"/>
      <c r="AD1112" s="19"/>
      <c r="AE1112" s="19"/>
      <c r="AF1112" s="19"/>
      <c r="AG1112" s="19"/>
      <c r="AH1112" s="19"/>
      <c r="AI1112" s="19"/>
      <c r="AJ1112" s="19"/>
      <c r="FM1112" s="54"/>
    </row>
    <row r="1113" spans="1:169" s="18" customFormat="1">
      <c r="A1113" s="51"/>
      <c r="B1113" s="52"/>
      <c r="C1113" s="52"/>
      <c r="D1113" s="52"/>
      <c r="E1113" s="52"/>
      <c r="F1113" s="52"/>
      <c r="G1113" s="52"/>
      <c r="H1113" s="53"/>
      <c r="I1113" s="52"/>
      <c r="J1113" s="52"/>
      <c r="K1113" s="19"/>
      <c r="L1113" s="19"/>
      <c r="M1113" s="19"/>
      <c r="N1113" s="19"/>
      <c r="O1113" s="19"/>
      <c r="P1113" s="19"/>
      <c r="Q1113" s="19"/>
      <c r="R1113" s="19"/>
      <c r="S1113" s="19"/>
      <c r="T1113" s="19"/>
      <c r="U1113" s="19"/>
      <c r="V1113" s="19"/>
      <c r="W1113" s="19"/>
      <c r="X1113" s="19"/>
      <c r="Y1113" s="19"/>
      <c r="Z1113" s="19"/>
      <c r="AA1113" s="19"/>
      <c r="AB1113" s="19"/>
      <c r="AC1113" s="19"/>
      <c r="AD1113" s="19"/>
      <c r="AE1113" s="19"/>
      <c r="AF1113" s="19"/>
      <c r="AG1113" s="19"/>
      <c r="AH1113" s="19"/>
      <c r="AI1113" s="19"/>
      <c r="AJ1113" s="19"/>
      <c r="FM1113" s="54"/>
    </row>
    <row r="1114" spans="1:169" s="18" customFormat="1">
      <c r="A1114" s="51"/>
      <c r="B1114" s="52"/>
      <c r="C1114" s="52"/>
      <c r="D1114" s="52"/>
      <c r="E1114" s="52"/>
      <c r="F1114" s="52"/>
      <c r="G1114" s="52"/>
      <c r="H1114" s="53"/>
      <c r="I1114" s="52"/>
      <c r="J1114" s="52"/>
      <c r="K1114" s="19"/>
      <c r="L1114" s="19"/>
      <c r="M1114" s="19"/>
      <c r="N1114" s="19"/>
      <c r="O1114" s="19"/>
      <c r="P1114" s="19"/>
      <c r="Q1114" s="19"/>
      <c r="R1114" s="19"/>
      <c r="S1114" s="19"/>
      <c r="T1114" s="19"/>
      <c r="U1114" s="19"/>
      <c r="V1114" s="19"/>
      <c r="W1114" s="19"/>
      <c r="X1114" s="19"/>
      <c r="Y1114" s="19"/>
      <c r="Z1114" s="19"/>
      <c r="AA1114" s="19"/>
      <c r="AB1114" s="19"/>
      <c r="AC1114" s="19"/>
      <c r="AD1114" s="19"/>
      <c r="AE1114" s="19"/>
      <c r="AF1114" s="19"/>
      <c r="AG1114" s="19"/>
      <c r="AH1114" s="19"/>
      <c r="AI1114" s="19"/>
      <c r="AJ1114" s="19"/>
      <c r="FM1114" s="54"/>
    </row>
    <row r="1115" spans="1:169" s="18" customFormat="1">
      <c r="A1115" s="51"/>
      <c r="B1115" s="52"/>
      <c r="C1115" s="52"/>
      <c r="D1115" s="52"/>
      <c r="E1115" s="52"/>
      <c r="F1115" s="52"/>
      <c r="G1115" s="52"/>
      <c r="H1115" s="53"/>
      <c r="I1115" s="52"/>
      <c r="J1115" s="52"/>
      <c r="K1115" s="19"/>
      <c r="L1115" s="19"/>
      <c r="M1115" s="19"/>
      <c r="N1115" s="19"/>
      <c r="O1115" s="19"/>
      <c r="P1115" s="19"/>
      <c r="Q1115" s="19"/>
      <c r="R1115" s="19"/>
      <c r="S1115" s="19"/>
      <c r="T1115" s="19"/>
      <c r="U1115" s="19"/>
      <c r="V1115" s="19"/>
      <c r="W1115" s="19"/>
      <c r="X1115" s="19"/>
      <c r="Y1115" s="19"/>
      <c r="Z1115" s="19"/>
      <c r="AA1115" s="19"/>
      <c r="AB1115" s="19"/>
      <c r="AC1115" s="19"/>
      <c r="AD1115" s="19"/>
      <c r="AE1115" s="19"/>
      <c r="AF1115" s="19"/>
      <c r="AG1115" s="19"/>
      <c r="AH1115" s="19"/>
      <c r="AI1115" s="19"/>
      <c r="AJ1115" s="19"/>
      <c r="FM1115" s="54"/>
    </row>
    <row r="1116" spans="1:169" s="18" customFormat="1">
      <c r="A1116" s="51"/>
      <c r="B1116" s="52"/>
      <c r="C1116" s="52"/>
      <c r="D1116" s="52"/>
      <c r="E1116" s="52"/>
      <c r="F1116" s="52"/>
      <c r="G1116" s="52"/>
      <c r="H1116" s="53"/>
      <c r="I1116" s="52"/>
      <c r="J1116" s="52"/>
      <c r="K1116" s="19"/>
      <c r="L1116" s="19"/>
      <c r="M1116" s="19"/>
      <c r="N1116" s="19"/>
      <c r="O1116" s="19"/>
      <c r="P1116" s="19"/>
      <c r="Q1116" s="19"/>
      <c r="R1116" s="19"/>
      <c r="S1116" s="19"/>
      <c r="T1116" s="19"/>
      <c r="U1116" s="19"/>
      <c r="V1116" s="19"/>
      <c r="W1116" s="19"/>
      <c r="X1116" s="19"/>
      <c r="Y1116" s="19"/>
      <c r="Z1116" s="19"/>
      <c r="AA1116" s="19"/>
      <c r="AB1116" s="19"/>
      <c r="AC1116" s="19"/>
      <c r="AD1116" s="19"/>
      <c r="AE1116" s="19"/>
      <c r="AF1116" s="19"/>
      <c r="AG1116" s="19"/>
      <c r="AH1116" s="19"/>
      <c r="AI1116" s="19"/>
      <c r="AJ1116" s="19"/>
      <c r="FM1116" s="54"/>
    </row>
    <row r="1117" spans="1:169" s="18" customFormat="1">
      <c r="A1117" s="51"/>
      <c r="B1117" s="52"/>
      <c r="C1117" s="52"/>
      <c r="D1117" s="52"/>
      <c r="E1117" s="52"/>
      <c r="F1117" s="52"/>
      <c r="G1117" s="52"/>
      <c r="H1117" s="53"/>
      <c r="I1117" s="52"/>
      <c r="J1117" s="52"/>
      <c r="K1117" s="19"/>
      <c r="L1117" s="19"/>
      <c r="M1117" s="19"/>
      <c r="N1117" s="19"/>
      <c r="O1117" s="19"/>
      <c r="P1117" s="19"/>
      <c r="Q1117" s="19"/>
      <c r="R1117" s="19"/>
      <c r="S1117" s="19"/>
      <c r="T1117" s="19"/>
      <c r="U1117" s="19"/>
      <c r="V1117" s="19"/>
      <c r="W1117" s="19"/>
      <c r="X1117" s="19"/>
      <c r="Y1117" s="19"/>
      <c r="Z1117" s="19"/>
      <c r="AA1117" s="19"/>
      <c r="AB1117" s="19"/>
      <c r="AC1117" s="19"/>
      <c r="AD1117" s="19"/>
      <c r="AE1117" s="19"/>
      <c r="AF1117" s="19"/>
      <c r="AG1117" s="19"/>
      <c r="AH1117" s="19"/>
      <c r="AI1117" s="19"/>
      <c r="AJ1117" s="19"/>
      <c r="FM1117" s="54"/>
    </row>
    <row r="1118" spans="1:169" s="18" customFormat="1">
      <c r="A1118" s="51"/>
      <c r="B1118" s="52"/>
      <c r="C1118" s="52"/>
      <c r="D1118" s="52"/>
      <c r="E1118" s="52"/>
      <c r="F1118" s="52"/>
      <c r="G1118" s="52"/>
      <c r="H1118" s="53"/>
      <c r="I1118" s="52"/>
      <c r="J1118" s="52"/>
      <c r="K1118" s="19"/>
      <c r="L1118" s="19"/>
      <c r="M1118" s="19"/>
      <c r="N1118" s="19"/>
      <c r="O1118" s="19"/>
      <c r="P1118" s="19"/>
      <c r="Q1118" s="19"/>
      <c r="R1118" s="19"/>
      <c r="S1118" s="19"/>
      <c r="T1118" s="19"/>
      <c r="U1118" s="19"/>
      <c r="V1118" s="19"/>
      <c r="W1118" s="19"/>
      <c r="X1118" s="19"/>
      <c r="Y1118" s="19"/>
      <c r="Z1118" s="19"/>
      <c r="AA1118" s="19"/>
      <c r="AB1118" s="19"/>
      <c r="AC1118" s="19"/>
      <c r="AD1118" s="19"/>
      <c r="AE1118" s="19"/>
      <c r="AF1118" s="19"/>
      <c r="AG1118" s="19"/>
      <c r="AH1118" s="19"/>
      <c r="AI1118" s="19"/>
      <c r="AJ1118" s="19"/>
      <c r="FM1118" s="54"/>
    </row>
    <row r="1119" spans="1:169" s="18" customFormat="1">
      <c r="A1119" s="51"/>
      <c r="B1119" s="52"/>
      <c r="C1119" s="52"/>
      <c r="D1119" s="52"/>
      <c r="E1119" s="52"/>
      <c r="F1119" s="52"/>
      <c r="G1119" s="52"/>
      <c r="H1119" s="53"/>
      <c r="I1119" s="52"/>
      <c r="J1119" s="52"/>
      <c r="K1119" s="19"/>
      <c r="L1119" s="19"/>
      <c r="M1119" s="19"/>
      <c r="N1119" s="19"/>
      <c r="O1119" s="19"/>
      <c r="P1119" s="19"/>
      <c r="Q1119" s="19"/>
      <c r="R1119" s="19"/>
      <c r="S1119" s="19"/>
      <c r="T1119" s="19"/>
      <c r="U1119" s="19"/>
      <c r="V1119" s="19"/>
      <c r="W1119" s="19"/>
      <c r="X1119" s="19"/>
      <c r="Y1119" s="19"/>
      <c r="Z1119" s="19"/>
      <c r="AA1119" s="19"/>
      <c r="AB1119" s="19"/>
      <c r="AC1119" s="19"/>
      <c r="AD1119" s="19"/>
      <c r="AE1119" s="19"/>
      <c r="AF1119" s="19"/>
      <c r="AG1119" s="19"/>
      <c r="AH1119" s="19"/>
      <c r="AI1119" s="19"/>
      <c r="AJ1119" s="19"/>
      <c r="FM1119" s="54"/>
    </row>
    <row r="1120" spans="1:169" s="18" customFormat="1">
      <c r="A1120" s="51"/>
      <c r="B1120" s="52"/>
      <c r="C1120" s="52"/>
      <c r="D1120" s="52"/>
      <c r="E1120" s="52"/>
      <c r="F1120" s="52"/>
      <c r="G1120" s="52"/>
      <c r="H1120" s="53"/>
      <c r="I1120" s="52"/>
      <c r="J1120" s="52"/>
      <c r="K1120" s="19"/>
      <c r="L1120" s="19"/>
      <c r="M1120" s="19"/>
      <c r="N1120" s="19"/>
      <c r="O1120" s="19"/>
      <c r="P1120" s="19"/>
      <c r="Q1120" s="19"/>
      <c r="R1120" s="19"/>
      <c r="S1120" s="19"/>
      <c r="T1120" s="19"/>
      <c r="U1120" s="19"/>
      <c r="V1120" s="19"/>
      <c r="W1120" s="19"/>
      <c r="X1120" s="19"/>
      <c r="Y1120" s="19"/>
      <c r="Z1120" s="19"/>
      <c r="AA1120" s="19"/>
      <c r="AB1120" s="19"/>
      <c r="AC1120" s="19"/>
      <c r="AD1120" s="19"/>
      <c r="AE1120" s="19"/>
      <c r="AF1120" s="19"/>
      <c r="AG1120" s="19"/>
      <c r="AH1120" s="19"/>
      <c r="AI1120" s="19"/>
      <c r="AJ1120" s="19"/>
      <c r="FM1120" s="54"/>
    </row>
    <row r="1121" spans="1:169" s="18" customFormat="1">
      <c r="A1121" s="51"/>
      <c r="B1121" s="52"/>
      <c r="C1121" s="52"/>
      <c r="D1121" s="52"/>
      <c r="E1121" s="52"/>
      <c r="F1121" s="52"/>
      <c r="G1121" s="52"/>
      <c r="H1121" s="53"/>
      <c r="I1121" s="52"/>
      <c r="J1121" s="52"/>
      <c r="K1121" s="19"/>
      <c r="L1121" s="19"/>
      <c r="M1121" s="19"/>
      <c r="N1121" s="19"/>
      <c r="O1121" s="19"/>
      <c r="P1121" s="19"/>
      <c r="Q1121" s="19"/>
      <c r="R1121" s="19"/>
      <c r="S1121" s="19"/>
      <c r="T1121" s="19"/>
      <c r="U1121" s="19"/>
      <c r="V1121" s="19"/>
      <c r="W1121" s="19"/>
      <c r="X1121" s="19"/>
      <c r="Y1121" s="19"/>
      <c r="Z1121" s="19"/>
      <c r="AA1121" s="19"/>
      <c r="AB1121" s="19"/>
      <c r="AC1121" s="19"/>
      <c r="AD1121" s="19"/>
      <c r="AE1121" s="19"/>
      <c r="AF1121" s="19"/>
      <c r="AG1121" s="19"/>
      <c r="AH1121" s="19"/>
      <c r="AI1121" s="19"/>
      <c r="AJ1121" s="19"/>
      <c r="FM1121" s="54"/>
    </row>
    <row r="1122" spans="1:169" s="18" customFormat="1">
      <c r="A1122" s="51"/>
      <c r="B1122" s="52"/>
      <c r="C1122" s="52"/>
      <c r="D1122" s="52"/>
      <c r="E1122" s="52"/>
      <c r="F1122" s="52"/>
      <c r="G1122" s="52"/>
      <c r="H1122" s="53"/>
      <c r="I1122" s="52"/>
      <c r="J1122" s="52"/>
      <c r="K1122" s="19"/>
      <c r="L1122" s="19"/>
      <c r="M1122" s="19"/>
      <c r="N1122" s="19"/>
      <c r="O1122" s="19"/>
      <c r="P1122" s="19"/>
      <c r="Q1122" s="19"/>
      <c r="R1122" s="19"/>
      <c r="S1122" s="19"/>
      <c r="T1122" s="19"/>
      <c r="U1122" s="19"/>
      <c r="V1122" s="19"/>
      <c r="W1122" s="19"/>
      <c r="X1122" s="19"/>
      <c r="Y1122" s="19"/>
      <c r="Z1122" s="19"/>
      <c r="AA1122" s="19"/>
      <c r="AB1122" s="19"/>
      <c r="AC1122" s="19"/>
      <c r="AD1122" s="19"/>
      <c r="AE1122" s="19"/>
      <c r="AF1122" s="19"/>
      <c r="AG1122" s="19"/>
      <c r="AH1122" s="19"/>
      <c r="AI1122" s="19"/>
      <c r="AJ1122" s="19"/>
      <c r="FM1122" s="54"/>
    </row>
    <row r="1123" spans="1:169" s="18" customFormat="1">
      <c r="A1123" s="51"/>
      <c r="B1123" s="52"/>
      <c r="C1123" s="52"/>
      <c r="D1123" s="52"/>
      <c r="E1123" s="52"/>
      <c r="F1123" s="52"/>
      <c r="G1123" s="52"/>
      <c r="H1123" s="53"/>
      <c r="I1123" s="52"/>
      <c r="J1123" s="52"/>
      <c r="K1123" s="19"/>
      <c r="L1123" s="19"/>
      <c r="M1123" s="19"/>
      <c r="N1123" s="19"/>
      <c r="O1123" s="19"/>
      <c r="P1123" s="19"/>
      <c r="Q1123" s="19"/>
      <c r="R1123" s="19"/>
      <c r="S1123" s="19"/>
      <c r="T1123" s="19"/>
      <c r="U1123" s="19"/>
      <c r="V1123" s="19"/>
      <c r="W1123" s="19"/>
      <c r="X1123" s="19"/>
      <c r="Y1123" s="19"/>
      <c r="Z1123" s="19"/>
      <c r="AA1123" s="19"/>
      <c r="AB1123" s="19"/>
      <c r="AC1123" s="19"/>
      <c r="AD1123" s="19"/>
      <c r="AE1123" s="19"/>
      <c r="AF1123" s="19"/>
      <c r="AG1123" s="19"/>
      <c r="AH1123" s="19"/>
      <c r="AI1123" s="19"/>
      <c r="AJ1123" s="19"/>
      <c r="FM1123" s="54"/>
    </row>
    <row r="1124" spans="1:169" s="18" customFormat="1">
      <c r="A1124" s="51"/>
      <c r="B1124" s="52"/>
      <c r="C1124" s="52"/>
      <c r="D1124" s="52"/>
      <c r="E1124" s="52"/>
      <c r="F1124" s="52"/>
      <c r="G1124" s="52"/>
      <c r="H1124" s="53"/>
      <c r="I1124" s="52"/>
      <c r="J1124" s="52"/>
      <c r="K1124" s="19"/>
      <c r="L1124" s="19"/>
      <c r="M1124" s="19"/>
      <c r="N1124" s="19"/>
      <c r="O1124" s="19"/>
      <c r="P1124" s="19"/>
      <c r="Q1124" s="19"/>
      <c r="R1124" s="19"/>
      <c r="S1124" s="19"/>
      <c r="T1124" s="19"/>
      <c r="U1124" s="19"/>
      <c r="V1124" s="19"/>
      <c r="W1124" s="19"/>
      <c r="X1124" s="19"/>
      <c r="Y1124" s="19"/>
      <c r="Z1124" s="19"/>
      <c r="AA1124" s="19"/>
      <c r="AB1124" s="19"/>
      <c r="AC1124" s="19"/>
      <c r="AD1124" s="19"/>
      <c r="AE1124" s="19"/>
      <c r="AF1124" s="19"/>
      <c r="AG1124" s="19"/>
      <c r="AH1124" s="19"/>
      <c r="AI1124" s="19"/>
      <c r="AJ1124" s="19"/>
      <c r="FM1124" s="54"/>
    </row>
    <row r="1125" spans="1:169" s="18" customFormat="1">
      <c r="A1125" s="51"/>
      <c r="B1125" s="52"/>
      <c r="C1125" s="52"/>
      <c r="D1125" s="52"/>
      <c r="E1125" s="52"/>
      <c r="F1125" s="52"/>
      <c r="G1125" s="52"/>
      <c r="H1125" s="53"/>
      <c r="I1125" s="52"/>
      <c r="J1125" s="52"/>
      <c r="K1125" s="19"/>
      <c r="L1125" s="19"/>
      <c r="M1125" s="19"/>
      <c r="N1125" s="19"/>
      <c r="O1125" s="19"/>
      <c r="P1125" s="19"/>
      <c r="Q1125" s="19"/>
      <c r="R1125" s="19"/>
      <c r="S1125" s="19"/>
      <c r="T1125" s="19"/>
      <c r="U1125" s="19"/>
      <c r="V1125" s="19"/>
      <c r="W1125" s="19"/>
      <c r="X1125" s="19"/>
      <c r="Y1125" s="19"/>
      <c r="Z1125" s="19"/>
      <c r="AA1125" s="19"/>
      <c r="AB1125" s="19"/>
      <c r="AC1125" s="19"/>
      <c r="AD1125" s="19"/>
      <c r="AE1125" s="19"/>
      <c r="AF1125" s="19"/>
      <c r="AG1125" s="19"/>
      <c r="AH1125" s="19"/>
      <c r="AI1125" s="19"/>
      <c r="AJ1125" s="19"/>
      <c r="FM1125" s="54"/>
    </row>
    <row r="1126" spans="1:169" s="18" customFormat="1">
      <c r="A1126" s="51"/>
      <c r="B1126" s="52"/>
      <c r="C1126" s="52"/>
      <c r="D1126" s="52"/>
      <c r="E1126" s="52"/>
      <c r="F1126" s="52"/>
      <c r="G1126" s="52"/>
      <c r="H1126" s="53"/>
      <c r="I1126" s="52"/>
      <c r="J1126" s="52"/>
      <c r="K1126" s="19"/>
      <c r="L1126" s="19"/>
      <c r="M1126" s="19"/>
      <c r="N1126" s="19"/>
      <c r="O1126" s="19"/>
      <c r="P1126" s="19"/>
      <c r="Q1126" s="19"/>
      <c r="R1126" s="19"/>
      <c r="S1126" s="19"/>
      <c r="T1126" s="19"/>
      <c r="U1126" s="19"/>
      <c r="V1126" s="19"/>
      <c r="W1126" s="19"/>
      <c r="X1126" s="19"/>
      <c r="Y1126" s="19"/>
      <c r="Z1126" s="19"/>
      <c r="AA1126" s="19"/>
      <c r="AB1126" s="19"/>
      <c r="AC1126" s="19"/>
      <c r="AD1126" s="19"/>
      <c r="AE1126" s="19"/>
      <c r="AF1126" s="19"/>
      <c r="AG1126" s="19"/>
      <c r="AH1126" s="19"/>
      <c r="AI1126" s="19"/>
      <c r="AJ1126" s="19"/>
      <c r="FM1126" s="54"/>
    </row>
    <row r="1127" spans="1:169" s="18" customFormat="1">
      <c r="A1127" s="51"/>
      <c r="B1127" s="52"/>
      <c r="C1127" s="52"/>
      <c r="D1127" s="52"/>
      <c r="E1127" s="52"/>
      <c r="F1127" s="52"/>
      <c r="G1127" s="52"/>
      <c r="H1127" s="53"/>
      <c r="I1127" s="52"/>
      <c r="J1127" s="52"/>
      <c r="K1127" s="19"/>
      <c r="L1127" s="19"/>
      <c r="M1127" s="19"/>
      <c r="N1127" s="19"/>
      <c r="O1127" s="19"/>
      <c r="P1127" s="19"/>
      <c r="Q1127" s="19"/>
      <c r="R1127" s="19"/>
      <c r="S1127" s="19"/>
      <c r="T1127" s="19"/>
      <c r="U1127" s="19"/>
      <c r="V1127" s="19"/>
      <c r="W1127" s="19"/>
      <c r="X1127" s="19"/>
      <c r="Y1127" s="19"/>
      <c r="Z1127" s="19"/>
      <c r="AA1127" s="19"/>
      <c r="AB1127" s="19"/>
      <c r="AC1127" s="19"/>
      <c r="AD1127" s="19"/>
      <c r="AE1127" s="19"/>
      <c r="AF1127" s="19"/>
      <c r="AG1127" s="19"/>
      <c r="AH1127" s="19"/>
      <c r="AI1127" s="19"/>
      <c r="AJ1127" s="19"/>
      <c r="FM1127" s="54"/>
    </row>
    <row r="1128" spans="1:169" s="18" customFormat="1">
      <c r="A1128" s="51"/>
      <c r="B1128" s="52"/>
      <c r="C1128" s="52"/>
      <c r="D1128" s="52"/>
      <c r="E1128" s="52"/>
      <c r="F1128" s="52"/>
      <c r="G1128" s="52"/>
      <c r="H1128" s="53"/>
      <c r="I1128" s="52"/>
      <c r="J1128" s="52"/>
      <c r="K1128" s="19"/>
      <c r="L1128" s="19"/>
      <c r="M1128" s="19"/>
      <c r="N1128" s="19"/>
      <c r="O1128" s="19"/>
      <c r="P1128" s="19"/>
      <c r="Q1128" s="19"/>
      <c r="R1128" s="19"/>
      <c r="S1128" s="19"/>
      <c r="T1128" s="19"/>
      <c r="U1128" s="19"/>
      <c r="V1128" s="19"/>
      <c r="W1128" s="19"/>
      <c r="X1128" s="19"/>
      <c r="Y1128" s="19"/>
      <c r="Z1128" s="19"/>
      <c r="AA1128" s="19"/>
      <c r="AB1128" s="19"/>
      <c r="AC1128" s="19"/>
      <c r="AD1128" s="19"/>
      <c r="AE1128" s="19"/>
      <c r="AF1128" s="19"/>
      <c r="AG1128" s="19"/>
      <c r="AH1128" s="19"/>
      <c r="AI1128" s="19"/>
      <c r="AJ1128" s="19"/>
      <c r="FM1128" s="54"/>
    </row>
    <row r="1129" spans="1:169" s="18" customFormat="1">
      <c r="A1129" s="51"/>
      <c r="B1129" s="52"/>
      <c r="C1129" s="52"/>
      <c r="D1129" s="52"/>
      <c r="E1129" s="52"/>
      <c r="F1129" s="52"/>
      <c r="G1129" s="52"/>
      <c r="H1129" s="53"/>
      <c r="I1129" s="52"/>
      <c r="J1129" s="52"/>
      <c r="K1129" s="19"/>
      <c r="L1129" s="19"/>
      <c r="M1129" s="19"/>
      <c r="N1129" s="19"/>
      <c r="O1129" s="19"/>
      <c r="P1129" s="19"/>
      <c r="Q1129" s="19"/>
      <c r="R1129" s="19"/>
      <c r="S1129" s="19"/>
      <c r="T1129" s="19"/>
      <c r="U1129" s="19"/>
      <c r="V1129" s="19"/>
      <c r="W1129" s="19"/>
      <c r="X1129" s="19"/>
      <c r="Y1129" s="19"/>
      <c r="Z1129" s="19"/>
      <c r="AA1129" s="19"/>
      <c r="AB1129" s="19"/>
      <c r="AC1129" s="19"/>
      <c r="AD1129" s="19"/>
      <c r="AE1129" s="19"/>
      <c r="AF1129" s="19"/>
      <c r="AG1129" s="19"/>
      <c r="AH1129" s="19"/>
      <c r="AI1129" s="19"/>
      <c r="AJ1129" s="19"/>
      <c r="FM1129" s="54"/>
    </row>
    <row r="1130" spans="1:169" s="18" customFormat="1">
      <c r="A1130" s="51"/>
      <c r="B1130" s="52"/>
      <c r="C1130" s="52"/>
      <c r="D1130" s="52"/>
      <c r="E1130" s="52"/>
      <c r="F1130" s="52"/>
      <c r="G1130" s="52"/>
      <c r="H1130" s="53"/>
      <c r="I1130" s="52"/>
      <c r="J1130" s="52"/>
      <c r="K1130" s="19"/>
      <c r="L1130" s="19"/>
      <c r="M1130" s="19"/>
      <c r="N1130" s="19"/>
      <c r="O1130" s="19"/>
      <c r="P1130" s="19"/>
      <c r="Q1130" s="19"/>
      <c r="R1130" s="19"/>
      <c r="S1130" s="19"/>
      <c r="T1130" s="19"/>
      <c r="U1130" s="19"/>
      <c r="V1130" s="19"/>
      <c r="W1130" s="19"/>
      <c r="X1130" s="19"/>
      <c r="Y1130" s="19"/>
      <c r="Z1130" s="19"/>
      <c r="AA1130" s="19"/>
      <c r="AB1130" s="19"/>
      <c r="AC1130" s="19"/>
      <c r="AD1130" s="19"/>
      <c r="AE1130" s="19"/>
      <c r="AF1130" s="19"/>
      <c r="AG1130" s="19"/>
      <c r="AH1130" s="19"/>
      <c r="AI1130" s="19"/>
      <c r="AJ1130" s="19"/>
      <c r="FM1130" s="54"/>
    </row>
    <row r="1131" spans="1:169" s="18" customFormat="1">
      <c r="A1131" s="51"/>
      <c r="B1131" s="52"/>
      <c r="C1131" s="52"/>
      <c r="D1131" s="52"/>
      <c r="E1131" s="52"/>
      <c r="F1131" s="52"/>
      <c r="G1131" s="52"/>
      <c r="H1131" s="53"/>
      <c r="I1131" s="52"/>
      <c r="J1131" s="52"/>
      <c r="K1131" s="19"/>
      <c r="L1131" s="19"/>
      <c r="M1131" s="19"/>
      <c r="N1131" s="19"/>
      <c r="O1131" s="19"/>
      <c r="P1131" s="19"/>
      <c r="Q1131" s="19"/>
      <c r="R1131" s="19"/>
      <c r="S1131" s="19"/>
      <c r="T1131" s="19"/>
      <c r="U1131" s="19"/>
      <c r="V1131" s="19"/>
      <c r="W1131" s="19"/>
      <c r="X1131" s="19"/>
      <c r="Y1131" s="19"/>
      <c r="Z1131" s="19"/>
      <c r="AA1131" s="19"/>
      <c r="AB1131" s="19"/>
      <c r="AC1131" s="19"/>
      <c r="AD1131" s="19"/>
      <c r="AE1131" s="19"/>
      <c r="AF1131" s="19"/>
      <c r="AG1131" s="19"/>
      <c r="AH1131" s="19"/>
      <c r="AI1131" s="19"/>
      <c r="AJ1131" s="19"/>
      <c r="FM1131" s="54"/>
    </row>
    <row r="1132" spans="1:169" s="18" customFormat="1">
      <c r="A1132" s="51"/>
      <c r="B1132" s="52"/>
      <c r="C1132" s="52"/>
      <c r="D1132" s="52"/>
      <c r="E1132" s="52"/>
      <c r="F1132" s="52"/>
      <c r="G1132" s="52"/>
      <c r="H1132" s="53"/>
      <c r="I1132" s="52"/>
      <c r="J1132" s="52"/>
      <c r="K1132" s="19"/>
      <c r="L1132" s="19"/>
      <c r="M1132" s="19"/>
      <c r="N1132" s="19"/>
      <c r="O1132" s="19"/>
      <c r="P1132" s="19"/>
      <c r="Q1132" s="19"/>
      <c r="R1132" s="19"/>
      <c r="S1132" s="19"/>
      <c r="T1132" s="19"/>
      <c r="U1132" s="19"/>
      <c r="V1132" s="19"/>
      <c r="W1132" s="19"/>
      <c r="X1132" s="19"/>
      <c r="Y1132" s="19"/>
      <c r="Z1132" s="19"/>
      <c r="AA1132" s="19"/>
      <c r="AB1132" s="19"/>
      <c r="AC1132" s="19"/>
      <c r="AD1132" s="19"/>
      <c r="AE1132" s="19"/>
      <c r="AF1132" s="19"/>
      <c r="AG1132" s="19"/>
      <c r="AH1132" s="19"/>
      <c r="AI1132" s="19"/>
      <c r="AJ1132" s="19"/>
      <c r="FM1132" s="54"/>
    </row>
    <row r="1133" spans="1:169" s="18" customFormat="1">
      <c r="A1133" s="51"/>
      <c r="B1133" s="52"/>
      <c r="C1133" s="52"/>
      <c r="D1133" s="52"/>
      <c r="E1133" s="52"/>
      <c r="F1133" s="52"/>
      <c r="G1133" s="52"/>
      <c r="H1133" s="53"/>
      <c r="I1133" s="52"/>
      <c r="J1133" s="52"/>
      <c r="K1133" s="19"/>
      <c r="L1133" s="19"/>
      <c r="M1133" s="19"/>
      <c r="N1133" s="19"/>
      <c r="O1133" s="19"/>
      <c r="P1133" s="19"/>
      <c r="Q1133" s="19"/>
      <c r="R1133" s="19"/>
      <c r="S1133" s="19"/>
      <c r="T1133" s="19"/>
      <c r="U1133" s="19"/>
      <c r="V1133" s="19"/>
      <c r="W1133" s="19"/>
      <c r="X1133" s="19"/>
      <c r="Y1133" s="19"/>
      <c r="Z1133" s="19"/>
      <c r="AA1133" s="19"/>
      <c r="AB1133" s="19"/>
      <c r="AC1133" s="19"/>
      <c r="AD1133" s="19"/>
      <c r="AE1133" s="19"/>
      <c r="AF1133" s="19"/>
      <c r="AG1133" s="19"/>
      <c r="AH1133" s="19"/>
      <c r="AI1133" s="19"/>
      <c r="AJ1133" s="19"/>
      <c r="FM1133" s="54"/>
    </row>
    <row r="1134" spans="1:169" s="18" customFormat="1">
      <c r="A1134" s="51"/>
      <c r="B1134" s="52"/>
      <c r="C1134" s="52"/>
      <c r="D1134" s="52"/>
      <c r="E1134" s="52"/>
      <c r="F1134" s="52"/>
      <c r="G1134" s="52"/>
      <c r="H1134" s="53"/>
      <c r="I1134" s="52"/>
      <c r="J1134" s="52"/>
      <c r="K1134" s="19"/>
      <c r="L1134" s="19"/>
      <c r="M1134" s="19"/>
      <c r="N1134" s="19"/>
      <c r="O1134" s="19"/>
      <c r="P1134" s="19"/>
      <c r="Q1134" s="19"/>
      <c r="R1134" s="19"/>
      <c r="S1134" s="19"/>
      <c r="T1134" s="19"/>
      <c r="U1134" s="19"/>
      <c r="V1134" s="19"/>
      <c r="W1134" s="19"/>
      <c r="X1134" s="19"/>
      <c r="Y1134" s="19"/>
      <c r="Z1134" s="19"/>
      <c r="AA1134" s="19"/>
      <c r="AB1134" s="19"/>
      <c r="AC1134" s="19"/>
      <c r="AD1134" s="19"/>
      <c r="AE1134" s="19"/>
      <c r="AF1134" s="19"/>
      <c r="AG1134" s="19"/>
      <c r="AH1134" s="19"/>
      <c r="AI1134" s="19"/>
      <c r="AJ1134" s="19"/>
      <c r="FM1134" s="54"/>
    </row>
    <row r="1135" spans="1:169" s="18" customFormat="1">
      <c r="A1135" s="51"/>
      <c r="B1135" s="52"/>
      <c r="C1135" s="52"/>
      <c r="D1135" s="52"/>
      <c r="E1135" s="52"/>
      <c r="F1135" s="52"/>
      <c r="G1135" s="52"/>
      <c r="H1135" s="53"/>
      <c r="I1135" s="52"/>
      <c r="J1135" s="52"/>
      <c r="K1135" s="19"/>
      <c r="L1135" s="19"/>
      <c r="M1135" s="19"/>
      <c r="N1135" s="19"/>
      <c r="O1135" s="19"/>
      <c r="P1135" s="19"/>
      <c r="Q1135" s="19"/>
      <c r="R1135" s="19"/>
      <c r="S1135" s="19"/>
      <c r="T1135" s="19"/>
      <c r="U1135" s="19"/>
      <c r="V1135" s="19"/>
      <c r="W1135" s="19"/>
      <c r="X1135" s="19"/>
      <c r="Y1135" s="19"/>
      <c r="Z1135" s="19"/>
      <c r="AA1135" s="19"/>
      <c r="AB1135" s="19"/>
      <c r="AC1135" s="19"/>
      <c r="AD1135" s="19"/>
      <c r="AE1135" s="19"/>
      <c r="AF1135" s="19"/>
      <c r="AG1135" s="19"/>
      <c r="AH1135" s="19"/>
      <c r="AI1135" s="19"/>
      <c r="AJ1135" s="19"/>
      <c r="FM1135" s="54"/>
    </row>
    <row r="1136" spans="1:169" s="18" customFormat="1">
      <c r="A1136" s="51"/>
      <c r="B1136" s="52"/>
      <c r="C1136" s="52"/>
      <c r="D1136" s="52"/>
      <c r="E1136" s="52"/>
      <c r="F1136" s="52"/>
      <c r="G1136" s="52"/>
      <c r="H1136" s="53"/>
      <c r="I1136" s="52"/>
      <c r="J1136" s="52"/>
      <c r="K1136" s="19"/>
      <c r="L1136" s="19"/>
      <c r="M1136" s="19"/>
      <c r="N1136" s="19"/>
      <c r="O1136" s="19"/>
      <c r="P1136" s="19"/>
      <c r="Q1136" s="19"/>
      <c r="R1136" s="19"/>
      <c r="S1136" s="19"/>
      <c r="T1136" s="19"/>
      <c r="U1136" s="19"/>
      <c r="V1136" s="19"/>
      <c r="W1136" s="19"/>
      <c r="X1136" s="19"/>
      <c r="Y1136" s="19"/>
      <c r="Z1136" s="19"/>
      <c r="AA1136" s="19"/>
      <c r="AB1136" s="19"/>
      <c r="AC1136" s="19"/>
      <c r="AD1136" s="19"/>
      <c r="AE1136" s="19"/>
      <c r="AF1136" s="19"/>
      <c r="AG1136" s="19"/>
      <c r="AH1136" s="19"/>
      <c r="AI1136" s="19"/>
      <c r="AJ1136" s="19"/>
      <c r="FM1136" s="54"/>
    </row>
    <row r="1137" spans="1:169" s="18" customFormat="1">
      <c r="A1137" s="51"/>
      <c r="B1137" s="52"/>
      <c r="C1137" s="52"/>
      <c r="D1137" s="52"/>
      <c r="E1137" s="52"/>
      <c r="F1137" s="52"/>
      <c r="G1137" s="52"/>
      <c r="H1137" s="53"/>
      <c r="I1137" s="52"/>
      <c r="J1137" s="52"/>
      <c r="K1137" s="19"/>
      <c r="L1137" s="19"/>
      <c r="M1137" s="19"/>
      <c r="N1137" s="19"/>
      <c r="O1137" s="19"/>
      <c r="P1137" s="19"/>
      <c r="Q1137" s="19"/>
      <c r="R1137" s="19"/>
      <c r="S1137" s="19"/>
      <c r="T1137" s="19"/>
      <c r="U1137" s="19"/>
      <c r="V1137" s="19"/>
      <c r="W1137" s="19"/>
      <c r="X1137" s="19"/>
      <c r="Y1137" s="19"/>
      <c r="Z1137" s="19"/>
      <c r="AA1137" s="19"/>
      <c r="AB1137" s="19"/>
      <c r="AC1137" s="19"/>
      <c r="AD1137" s="19"/>
      <c r="AE1137" s="19"/>
      <c r="AF1137" s="19"/>
      <c r="AG1137" s="19"/>
      <c r="AH1137" s="19"/>
      <c r="AI1137" s="19"/>
      <c r="AJ1137" s="19"/>
      <c r="FM1137" s="54"/>
    </row>
    <row r="1138" spans="1:169" s="18" customFormat="1">
      <c r="A1138" s="51"/>
      <c r="B1138" s="52"/>
      <c r="C1138" s="52"/>
      <c r="D1138" s="52"/>
      <c r="E1138" s="52"/>
      <c r="F1138" s="52"/>
      <c r="G1138" s="52"/>
      <c r="H1138" s="53"/>
      <c r="I1138" s="52"/>
      <c r="J1138" s="52"/>
      <c r="K1138" s="19"/>
      <c r="L1138" s="19"/>
      <c r="M1138" s="19"/>
      <c r="N1138" s="19"/>
      <c r="O1138" s="19"/>
      <c r="P1138" s="19"/>
      <c r="Q1138" s="19"/>
      <c r="R1138" s="19"/>
      <c r="S1138" s="19"/>
      <c r="T1138" s="19"/>
      <c r="U1138" s="19"/>
      <c r="V1138" s="19"/>
      <c r="W1138" s="19"/>
      <c r="X1138" s="19"/>
      <c r="Y1138" s="19"/>
      <c r="Z1138" s="19"/>
      <c r="AA1138" s="19"/>
      <c r="AB1138" s="19"/>
      <c r="AC1138" s="19"/>
      <c r="AD1138" s="19"/>
      <c r="AE1138" s="19"/>
      <c r="AF1138" s="19"/>
      <c r="AG1138" s="19"/>
      <c r="AH1138" s="19"/>
      <c r="AI1138" s="19"/>
      <c r="AJ1138" s="19"/>
      <c r="FM1138" s="54"/>
    </row>
    <row r="1139" spans="1:169" s="18" customFormat="1">
      <c r="A1139" s="51"/>
      <c r="B1139" s="52"/>
      <c r="C1139" s="52"/>
      <c r="D1139" s="52"/>
      <c r="E1139" s="52"/>
      <c r="F1139" s="52"/>
      <c r="G1139" s="52"/>
      <c r="H1139" s="53"/>
      <c r="I1139" s="52"/>
      <c r="J1139" s="52"/>
      <c r="K1139" s="19"/>
      <c r="L1139" s="19"/>
      <c r="M1139" s="19"/>
      <c r="N1139" s="19"/>
      <c r="O1139" s="19"/>
      <c r="P1139" s="19"/>
      <c r="Q1139" s="19"/>
      <c r="R1139" s="19"/>
      <c r="S1139" s="19"/>
      <c r="T1139" s="19"/>
      <c r="U1139" s="19"/>
      <c r="V1139" s="19"/>
      <c r="W1139" s="19"/>
      <c r="X1139" s="19"/>
      <c r="Y1139" s="19"/>
      <c r="Z1139" s="19"/>
      <c r="AA1139" s="19"/>
      <c r="AB1139" s="19"/>
      <c r="AC1139" s="19"/>
      <c r="AD1139" s="19"/>
      <c r="AE1139" s="19"/>
      <c r="AF1139" s="19"/>
      <c r="AG1139" s="19"/>
      <c r="AH1139" s="19"/>
      <c r="AI1139" s="19"/>
      <c r="AJ1139" s="19"/>
      <c r="FM1139" s="54"/>
    </row>
    <row r="1140" spans="1:169" s="18" customFormat="1">
      <c r="A1140" s="51"/>
      <c r="B1140" s="52"/>
      <c r="C1140" s="52"/>
      <c r="D1140" s="52"/>
      <c r="E1140" s="52"/>
      <c r="F1140" s="52"/>
      <c r="G1140" s="52"/>
      <c r="H1140" s="53"/>
      <c r="I1140" s="52"/>
      <c r="J1140" s="52"/>
      <c r="K1140" s="19"/>
      <c r="L1140" s="19"/>
      <c r="M1140" s="19"/>
      <c r="N1140" s="19"/>
      <c r="O1140" s="19"/>
      <c r="P1140" s="19"/>
      <c r="Q1140" s="19"/>
      <c r="R1140" s="19"/>
      <c r="S1140" s="19"/>
      <c r="T1140" s="19"/>
      <c r="U1140" s="19"/>
      <c r="V1140" s="19"/>
      <c r="W1140" s="19"/>
      <c r="X1140" s="19"/>
      <c r="Y1140" s="19"/>
      <c r="Z1140" s="19"/>
      <c r="AA1140" s="19"/>
      <c r="AB1140" s="19"/>
      <c r="AC1140" s="19"/>
      <c r="AD1140" s="19"/>
      <c r="AE1140" s="19"/>
      <c r="AF1140" s="19"/>
      <c r="AG1140" s="19"/>
      <c r="AH1140" s="19"/>
      <c r="AI1140" s="19"/>
      <c r="AJ1140" s="19"/>
      <c r="FM1140" s="54"/>
    </row>
    <row r="1141" spans="1:169" s="18" customFormat="1">
      <c r="A1141" s="51"/>
      <c r="B1141" s="52"/>
      <c r="C1141" s="52"/>
      <c r="D1141" s="52"/>
      <c r="E1141" s="52"/>
      <c r="F1141" s="52"/>
      <c r="G1141" s="52"/>
      <c r="H1141" s="53"/>
      <c r="I1141" s="52"/>
      <c r="J1141" s="52"/>
      <c r="K1141" s="19"/>
      <c r="L1141" s="19"/>
      <c r="M1141" s="19"/>
      <c r="N1141" s="19"/>
      <c r="O1141" s="19"/>
      <c r="P1141" s="19"/>
      <c r="Q1141" s="19"/>
      <c r="R1141" s="19"/>
      <c r="S1141" s="19"/>
      <c r="T1141" s="19"/>
      <c r="U1141" s="19"/>
      <c r="V1141" s="19"/>
      <c r="W1141" s="19"/>
      <c r="X1141" s="19"/>
      <c r="Y1141" s="19"/>
      <c r="Z1141" s="19"/>
      <c r="AA1141" s="19"/>
      <c r="AB1141" s="19"/>
      <c r="AC1141" s="19"/>
      <c r="AD1141" s="19"/>
      <c r="AE1141" s="19"/>
      <c r="AF1141" s="19"/>
      <c r="AG1141" s="19"/>
      <c r="AH1141" s="19"/>
      <c r="AI1141" s="19"/>
      <c r="AJ1141" s="19"/>
      <c r="FM1141" s="54"/>
    </row>
    <row r="1142" spans="1:169" s="18" customFormat="1">
      <c r="A1142" s="51"/>
      <c r="B1142" s="52"/>
      <c r="C1142" s="52"/>
      <c r="D1142" s="52"/>
      <c r="E1142" s="52"/>
      <c r="F1142" s="52"/>
      <c r="G1142" s="52"/>
      <c r="H1142" s="53"/>
      <c r="I1142" s="52"/>
      <c r="J1142" s="52"/>
      <c r="K1142" s="19"/>
      <c r="L1142" s="19"/>
      <c r="M1142" s="19"/>
      <c r="N1142" s="19"/>
      <c r="O1142" s="19"/>
      <c r="P1142" s="19"/>
      <c r="Q1142" s="19"/>
      <c r="R1142" s="19"/>
      <c r="S1142" s="19"/>
      <c r="T1142" s="19"/>
      <c r="U1142" s="19"/>
      <c r="V1142" s="19"/>
      <c r="W1142" s="19"/>
      <c r="X1142" s="19"/>
      <c r="Y1142" s="19"/>
      <c r="Z1142" s="19"/>
      <c r="AA1142" s="19"/>
      <c r="AB1142" s="19"/>
      <c r="AC1142" s="19"/>
      <c r="AD1142" s="19"/>
      <c r="AE1142" s="19"/>
      <c r="AF1142" s="19"/>
      <c r="AG1142" s="19"/>
      <c r="AH1142" s="19"/>
      <c r="AI1142" s="19"/>
      <c r="AJ1142" s="19"/>
      <c r="FM1142" s="54"/>
    </row>
    <row r="1143" spans="1:169" s="18" customFormat="1">
      <c r="A1143" s="51"/>
      <c r="B1143" s="52"/>
      <c r="C1143" s="52"/>
      <c r="D1143" s="52"/>
      <c r="E1143" s="52"/>
      <c r="F1143" s="52"/>
      <c r="G1143" s="52"/>
      <c r="H1143" s="53"/>
      <c r="I1143" s="52"/>
      <c r="J1143" s="52"/>
      <c r="K1143" s="19"/>
      <c r="L1143" s="19"/>
      <c r="M1143" s="19"/>
      <c r="N1143" s="19"/>
      <c r="O1143" s="19"/>
      <c r="P1143" s="19"/>
      <c r="Q1143" s="19"/>
      <c r="R1143" s="19"/>
      <c r="S1143" s="19"/>
      <c r="T1143" s="19"/>
      <c r="U1143" s="19"/>
      <c r="V1143" s="19"/>
      <c r="W1143" s="19"/>
      <c r="X1143" s="19"/>
      <c r="Y1143" s="19"/>
      <c r="Z1143" s="19"/>
      <c r="AA1143" s="19"/>
      <c r="AB1143" s="19"/>
      <c r="AC1143" s="19"/>
      <c r="AD1143" s="19"/>
      <c r="AE1143" s="19"/>
      <c r="AF1143" s="19"/>
      <c r="AG1143" s="19"/>
      <c r="AH1143" s="19"/>
      <c r="AI1143" s="19"/>
      <c r="AJ1143" s="19"/>
      <c r="FM1143" s="54"/>
    </row>
    <row r="1144" spans="1:169" s="18" customFormat="1">
      <c r="A1144" s="51"/>
      <c r="B1144" s="52"/>
      <c r="C1144" s="52"/>
      <c r="D1144" s="52"/>
      <c r="E1144" s="52"/>
      <c r="F1144" s="52"/>
      <c r="G1144" s="52"/>
      <c r="H1144" s="53"/>
      <c r="I1144" s="52"/>
      <c r="J1144" s="52"/>
      <c r="K1144" s="19"/>
      <c r="L1144" s="19"/>
      <c r="M1144" s="19"/>
      <c r="N1144" s="19"/>
      <c r="O1144" s="19"/>
      <c r="P1144" s="19"/>
      <c r="Q1144" s="19"/>
      <c r="R1144" s="19"/>
      <c r="S1144" s="19"/>
      <c r="T1144" s="19"/>
      <c r="U1144" s="19"/>
      <c r="V1144" s="19"/>
      <c r="W1144" s="19"/>
      <c r="X1144" s="19"/>
      <c r="Y1144" s="19"/>
      <c r="Z1144" s="19"/>
      <c r="AA1144" s="19"/>
      <c r="AB1144" s="19"/>
      <c r="AC1144" s="19"/>
      <c r="AD1144" s="19"/>
      <c r="AE1144" s="19"/>
      <c r="AF1144" s="19"/>
      <c r="AG1144" s="19"/>
      <c r="AH1144" s="19"/>
      <c r="AI1144" s="19"/>
      <c r="AJ1144" s="19"/>
      <c r="FM1144" s="54"/>
    </row>
    <row r="1145" spans="1:169" s="18" customFormat="1">
      <c r="A1145" s="51"/>
      <c r="B1145" s="52"/>
      <c r="C1145" s="52"/>
      <c r="D1145" s="52"/>
      <c r="E1145" s="52"/>
      <c r="F1145" s="52"/>
      <c r="G1145" s="52"/>
      <c r="H1145" s="53"/>
      <c r="I1145" s="52"/>
      <c r="J1145" s="52"/>
      <c r="K1145" s="19"/>
      <c r="L1145" s="19"/>
      <c r="M1145" s="19"/>
      <c r="N1145" s="19"/>
      <c r="O1145" s="19"/>
      <c r="P1145" s="19"/>
      <c r="Q1145" s="19"/>
      <c r="R1145" s="19"/>
      <c r="S1145" s="19"/>
      <c r="T1145" s="19"/>
      <c r="U1145" s="19"/>
      <c r="V1145" s="19"/>
      <c r="W1145" s="19"/>
      <c r="X1145" s="19"/>
      <c r="Y1145" s="19"/>
      <c r="Z1145" s="19"/>
      <c r="AA1145" s="19"/>
      <c r="AB1145" s="19"/>
      <c r="AC1145" s="19"/>
      <c r="AD1145" s="19"/>
      <c r="AE1145" s="19"/>
      <c r="AF1145" s="19"/>
      <c r="AG1145" s="19"/>
      <c r="AH1145" s="19"/>
      <c r="AI1145" s="19"/>
      <c r="AJ1145" s="19"/>
      <c r="FM1145" s="54"/>
    </row>
    <row r="1146" spans="1:169" s="18" customFormat="1">
      <c r="A1146" s="51"/>
      <c r="B1146" s="52"/>
      <c r="C1146" s="52"/>
      <c r="D1146" s="52"/>
      <c r="E1146" s="52"/>
      <c r="F1146" s="52"/>
      <c r="G1146" s="52"/>
      <c r="H1146" s="53"/>
      <c r="I1146" s="52"/>
      <c r="J1146" s="52"/>
      <c r="K1146" s="19"/>
      <c r="L1146" s="19"/>
      <c r="M1146" s="19"/>
      <c r="N1146" s="19"/>
      <c r="O1146" s="19"/>
      <c r="P1146" s="19"/>
      <c r="Q1146" s="19"/>
      <c r="R1146" s="19"/>
      <c r="S1146" s="19"/>
      <c r="T1146" s="19"/>
      <c r="U1146" s="19"/>
      <c r="V1146" s="19"/>
      <c r="W1146" s="19"/>
      <c r="X1146" s="19"/>
      <c r="Y1146" s="19"/>
      <c r="Z1146" s="19"/>
      <c r="AA1146" s="19"/>
      <c r="AB1146" s="19"/>
      <c r="AC1146" s="19"/>
      <c r="AD1146" s="19"/>
      <c r="AE1146" s="19"/>
      <c r="AF1146" s="19"/>
      <c r="AG1146" s="19"/>
      <c r="AH1146" s="19"/>
      <c r="AI1146" s="19"/>
      <c r="AJ1146" s="19"/>
      <c r="FM1146" s="54"/>
    </row>
    <row r="1147" spans="1:169" s="18" customFormat="1">
      <c r="A1147" s="51"/>
      <c r="B1147" s="52"/>
      <c r="C1147" s="52"/>
      <c r="D1147" s="52"/>
      <c r="E1147" s="52"/>
      <c r="F1147" s="52"/>
      <c r="G1147" s="52"/>
      <c r="H1147" s="53"/>
      <c r="I1147" s="52"/>
      <c r="J1147" s="52"/>
      <c r="K1147" s="19"/>
      <c r="L1147" s="19"/>
      <c r="M1147" s="19"/>
      <c r="N1147" s="19"/>
      <c r="O1147" s="19"/>
      <c r="P1147" s="19"/>
      <c r="Q1147" s="19"/>
      <c r="R1147" s="19"/>
      <c r="S1147" s="19"/>
      <c r="T1147" s="19"/>
      <c r="U1147" s="19"/>
      <c r="V1147" s="19"/>
      <c r="W1147" s="19"/>
      <c r="X1147" s="19"/>
      <c r="Y1147" s="19"/>
      <c r="Z1147" s="19"/>
      <c r="AA1147" s="19"/>
      <c r="AB1147" s="19"/>
      <c r="AC1147" s="19"/>
      <c r="AD1147" s="19"/>
      <c r="AE1147" s="19"/>
      <c r="AF1147" s="19"/>
      <c r="AG1147" s="19"/>
      <c r="AH1147" s="19"/>
      <c r="AI1147" s="19"/>
      <c r="AJ1147" s="19"/>
      <c r="FM1147" s="54"/>
    </row>
    <row r="1148" spans="1:169" s="18" customFormat="1">
      <c r="A1148" s="51"/>
      <c r="B1148" s="52"/>
      <c r="C1148" s="52"/>
      <c r="D1148" s="52"/>
      <c r="E1148" s="52"/>
      <c r="F1148" s="52"/>
      <c r="G1148" s="52"/>
      <c r="H1148" s="53"/>
      <c r="I1148" s="52"/>
      <c r="J1148" s="52"/>
      <c r="K1148" s="19"/>
      <c r="L1148" s="19"/>
      <c r="M1148" s="19"/>
      <c r="N1148" s="19"/>
      <c r="O1148" s="19"/>
      <c r="P1148" s="19"/>
      <c r="Q1148" s="19"/>
      <c r="R1148" s="19"/>
      <c r="S1148" s="19"/>
      <c r="T1148" s="19"/>
      <c r="U1148" s="19"/>
      <c r="V1148" s="19"/>
      <c r="W1148" s="19"/>
      <c r="X1148" s="19"/>
      <c r="Y1148" s="19"/>
      <c r="Z1148" s="19"/>
      <c r="AA1148" s="19"/>
      <c r="AB1148" s="19"/>
      <c r="AC1148" s="19"/>
      <c r="AD1148" s="19"/>
      <c r="AE1148" s="19"/>
      <c r="AF1148" s="19"/>
      <c r="AG1148" s="19"/>
      <c r="AH1148" s="19"/>
      <c r="AI1148" s="19"/>
      <c r="AJ1148" s="19"/>
      <c r="FM1148" s="54"/>
    </row>
    <row r="1149" spans="1:169" s="18" customFormat="1">
      <c r="A1149" s="51"/>
      <c r="B1149" s="52"/>
      <c r="C1149" s="52"/>
      <c r="D1149" s="52"/>
      <c r="E1149" s="52"/>
      <c r="F1149" s="52"/>
      <c r="G1149" s="52"/>
      <c r="H1149" s="53"/>
      <c r="I1149" s="52"/>
      <c r="J1149" s="52"/>
      <c r="K1149" s="19"/>
      <c r="L1149" s="19"/>
      <c r="M1149" s="19"/>
      <c r="N1149" s="19"/>
      <c r="O1149" s="19"/>
      <c r="P1149" s="19"/>
      <c r="Q1149" s="19"/>
      <c r="R1149" s="19"/>
      <c r="S1149" s="19"/>
      <c r="T1149" s="19"/>
      <c r="U1149" s="19"/>
      <c r="V1149" s="19"/>
      <c r="W1149" s="19"/>
      <c r="X1149" s="19"/>
      <c r="Y1149" s="19"/>
      <c r="Z1149" s="19"/>
      <c r="AA1149" s="19"/>
      <c r="AB1149" s="19"/>
      <c r="AC1149" s="19"/>
      <c r="AD1149" s="19"/>
      <c r="AE1149" s="19"/>
      <c r="AF1149" s="19"/>
      <c r="AG1149" s="19"/>
      <c r="AH1149" s="19"/>
      <c r="AI1149" s="19"/>
      <c r="AJ1149" s="19"/>
      <c r="FM1149" s="54"/>
    </row>
    <row r="1150" spans="1:169" s="18" customFormat="1">
      <c r="A1150" s="51"/>
      <c r="B1150" s="52"/>
      <c r="C1150" s="52"/>
      <c r="D1150" s="52"/>
      <c r="E1150" s="52"/>
      <c r="F1150" s="52"/>
      <c r="G1150" s="52"/>
      <c r="H1150" s="53"/>
      <c r="I1150" s="52"/>
      <c r="J1150" s="52"/>
      <c r="K1150" s="19"/>
      <c r="L1150" s="19"/>
      <c r="M1150" s="19"/>
      <c r="N1150" s="19"/>
      <c r="O1150" s="19"/>
      <c r="P1150" s="19"/>
      <c r="Q1150" s="19"/>
      <c r="R1150" s="19"/>
      <c r="S1150" s="19"/>
      <c r="T1150" s="19"/>
      <c r="U1150" s="19"/>
      <c r="V1150" s="19"/>
      <c r="W1150" s="19"/>
      <c r="X1150" s="19"/>
      <c r="Y1150" s="19"/>
      <c r="Z1150" s="19"/>
      <c r="AA1150" s="19"/>
      <c r="AB1150" s="19"/>
      <c r="AC1150" s="19"/>
      <c r="AD1150" s="19"/>
      <c r="AE1150" s="19"/>
      <c r="AF1150" s="19"/>
      <c r="AG1150" s="19"/>
      <c r="AH1150" s="19"/>
      <c r="AI1150" s="19"/>
      <c r="AJ1150" s="19"/>
      <c r="FM1150" s="54"/>
    </row>
    <row r="1151" spans="1:169" s="18" customFormat="1">
      <c r="A1151" s="51"/>
      <c r="B1151" s="52"/>
      <c r="C1151" s="52"/>
      <c r="D1151" s="52"/>
      <c r="E1151" s="52"/>
      <c r="F1151" s="52"/>
      <c r="G1151" s="52"/>
      <c r="H1151" s="53"/>
      <c r="I1151" s="52"/>
      <c r="J1151" s="52"/>
      <c r="K1151" s="19"/>
      <c r="L1151" s="19"/>
      <c r="M1151" s="19"/>
      <c r="N1151" s="19"/>
      <c r="O1151" s="19"/>
      <c r="P1151" s="19"/>
      <c r="Q1151" s="19"/>
      <c r="R1151" s="19"/>
      <c r="S1151" s="19"/>
      <c r="T1151" s="19"/>
      <c r="U1151" s="19"/>
      <c r="V1151" s="19"/>
      <c r="W1151" s="19"/>
      <c r="X1151" s="19"/>
      <c r="Y1151" s="19"/>
      <c r="Z1151" s="19"/>
      <c r="AA1151" s="19"/>
      <c r="AB1151" s="19"/>
      <c r="AC1151" s="19"/>
      <c r="AD1151" s="19"/>
      <c r="AE1151" s="19"/>
      <c r="AF1151" s="19"/>
      <c r="AG1151" s="19"/>
      <c r="AH1151" s="19"/>
      <c r="AI1151" s="19"/>
      <c r="AJ1151" s="19"/>
      <c r="FM1151" s="54"/>
    </row>
    <row r="1152" spans="1:169" s="18" customFormat="1">
      <c r="A1152" s="51"/>
      <c r="B1152" s="52"/>
      <c r="C1152" s="52"/>
      <c r="D1152" s="52"/>
      <c r="E1152" s="52"/>
      <c r="F1152" s="52"/>
      <c r="G1152" s="52"/>
      <c r="H1152" s="53"/>
      <c r="I1152" s="52"/>
      <c r="J1152" s="52"/>
      <c r="K1152" s="19"/>
      <c r="L1152" s="19"/>
      <c r="M1152" s="19"/>
      <c r="N1152" s="19"/>
      <c r="O1152" s="19"/>
      <c r="P1152" s="19"/>
      <c r="Q1152" s="19"/>
      <c r="R1152" s="19"/>
      <c r="S1152" s="19"/>
      <c r="T1152" s="19"/>
      <c r="U1152" s="19"/>
      <c r="V1152" s="19"/>
      <c r="W1152" s="19"/>
      <c r="X1152" s="19"/>
      <c r="Y1152" s="19"/>
      <c r="Z1152" s="19"/>
      <c r="AA1152" s="19"/>
      <c r="AB1152" s="19"/>
      <c r="AC1152" s="19"/>
      <c r="AD1152" s="19"/>
      <c r="AE1152" s="19"/>
      <c r="AF1152" s="19"/>
      <c r="AG1152" s="19"/>
      <c r="AH1152" s="19"/>
      <c r="AI1152" s="19"/>
      <c r="AJ1152" s="19"/>
      <c r="FM1152" s="54"/>
    </row>
    <row r="1153" spans="1:169" s="18" customFormat="1">
      <c r="A1153" s="51"/>
      <c r="B1153" s="52"/>
      <c r="C1153" s="52"/>
      <c r="D1153" s="52"/>
      <c r="E1153" s="52"/>
      <c r="F1153" s="52"/>
      <c r="G1153" s="52"/>
      <c r="H1153" s="53"/>
      <c r="I1153" s="52"/>
      <c r="J1153" s="52"/>
      <c r="K1153" s="19"/>
      <c r="L1153" s="19"/>
      <c r="M1153" s="19"/>
      <c r="N1153" s="19"/>
      <c r="O1153" s="19"/>
      <c r="P1153" s="19"/>
      <c r="Q1153" s="19"/>
      <c r="R1153" s="19"/>
      <c r="S1153" s="19"/>
      <c r="T1153" s="19"/>
      <c r="U1153" s="19"/>
      <c r="V1153" s="19"/>
      <c r="W1153" s="19"/>
      <c r="X1153" s="19"/>
      <c r="Y1153" s="19"/>
      <c r="Z1153" s="19"/>
      <c r="AA1153" s="19"/>
      <c r="AB1153" s="19"/>
      <c r="AC1153" s="19"/>
      <c r="AD1153" s="19"/>
      <c r="AE1153" s="19"/>
      <c r="AF1153" s="19"/>
      <c r="AG1153" s="19"/>
      <c r="AH1153" s="19"/>
      <c r="AI1153" s="19"/>
      <c r="AJ1153" s="19"/>
      <c r="FM1153" s="54"/>
    </row>
    <row r="1154" spans="1:169" s="18" customFormat="1">
      <c r="A1154" s="51"/>
      <c r="B1154" s="52"/>
      <c r="C1154" s="52"/>
      <c r="D1154" s="52"/>
      <c r="E1154" s="52"/>
      <c r="F1154" s="52"/>
      <c r="G1154" s="52"/>
      <c r="H1154" s="53"/>
      <c r="I1154" s="52"/>
      <c r="J1154" s="52"/>
      <c r="K1154" s="19"/>
      <c r="L1154" s="19"/>
      <c r="M1154" s="19"/>
      <c r="N1154" s="19"/>
      <c r="O1154" s="19"/>
      <c r="P1154" s="19"/>
      <c r="Q1154" s="19"/>
      <c r="R1154" s="19"/>
      <c r="S1154" s="19"/>
      <c r="T1154" s="19"/>
      <c r="U1154" s="19"/>
      <c r="V1154" s="19"/>
      <c r="W1154" s="19"/>
      <c r="X1154" s="19"/>
      <c r="Y1154" s="19"/>
      <c r="Z1154" s="19"/>
      <c r="AA1154" s="19"/>
      <c r="AB1154" s="19"/>
      <c r="AC1154" s="19"/>
      <c r="AD1154" s="19"/>
      <c r="AE1154" s="19"/>
      <c r="AF1154" s="19"/>
      <c r="AG1154" s="19"/>
      <c r="AH1154" s="19"/>
      <c r="AI1154" s="19"/>
      <c r="AJ1154" s="19"/>
      <c r="FM1154" s="54"/>
    </row>
    <row r="1155" spans="1:169" s="18" customFormat="1">
      <c r="A1155" s="51"/>
      <c r="B1155" s="52"/>
      <c r="C1155" s="52"/>
      <c r="D1155" s="52"/>
      <c r="E1155" s="52"/>
      <c r="F1155" s="52"/>
      <c r="G1155" s="52"/>
      <c r="H1155" s="53"/>
      <c r="I1155" s="52"/>
      <c r="J1155" s="52"/>
      <c r="K1155" s="19"/>
      <c r="L1155" s="19"/>
      <c r="M1155" s="19"/>
      <c r="N1155" s="19"/>
      <c r="O1155" s="19"/>
      <c r="P1155" s="19"/>
      <c r="Q1155" s="19"/>
      <c r="R1155" s="19"/>
      <c r="S1155" s="19"/>
      <c r="T1155" s="19"/>
      <c r="U1155" s="19"/>
      <c r="V1155" s="19"/>
      <c r="W1155" s="19"/>
      <c r="X1155" s="19"/>
      <c r="Y1155" s="19"/>
      <c r="Z1155" s="19"/>
      <c r="AA1155" s="19"/>
      <c r="AB1155" s="19"/>
      <c r="AC1155" s="19"/>
      <c r="AD1155" s="19"/>
      <c r="AE1155" s="19"/>
      <c r="AF1155" s="19"/>
      <c r="AG1155" s="19"/>
      <c r="AH1155" s="19"/>
      <c r="AI1155" s="19"/>
      <c r="AJ1155" s="19"/>
      <c r="FM1155" s="54"/>
    </row>
    <row r="1156" spans="1:169" s="18" customFormat="1">
      <c r="A1156" s="51"/>
      <c r="B1156" s="52"/>
      <c r="C1156" s="52"/>
      <c r="D1156" s="52"/>
      <c r="E1156" s="52"/>
      <c r="F1156" s="52"/>
      <c r="G1156" s="52"/>
      <c r="H1156" s="53"/>
      <c r="I1156" s="52"/>
      <c r="J1156" s="52"/>
      <c r="K1156" s="19"/>
      <c r="L1156" s="19"/>
      <c r="M1156" s="19"/>
      <c r="N1156" s="19"/>
      <c r="O1156" s="19"/>
      <c r="P1156" s="19"/>
      <c r="Q1156" s="19"/>
      <c r="R1156" s="19"/>
      <c r="S1156" s="19"/>
      <c r="T1156" s="19"/>
      <c r="U1156" s="19"/>
      <c r="V1156" s="19"/>
      <c r="W1156" s="19"/>
      <c r="X1156" s="19"/>
      <c r="Y1156" s="19"/>
      <c r="Z1156" s="19"/>
      <c r="AA1156" s="19"/>
      <c r="AB1156" s="19"/>
      <c r="AC1156" s="19"/>
      <c r="AD1156" s="19"/>
      <c r="AE1156" s="19"/>
      <c r="AF1156" s="19"/>
      <c r="AG1156" s="19"/>
      <c r="AH1156" s="19"/>
      <c r="AI1156" s="19"/>
      <c r="AJ1156" s="19"/>
      <c r="FM1156" s="54"/>
    </row>
    <row r="1157" spans="1:169" s="18" customFormat="1">
      <c r="A1157" s="51"/>
      <c r="B1157" s="52"/>
      <c r="C1157" s="52"/>
      <c r="D1157" s="52"/>
      <c r="E1157" s="52"/>
      <c r="F1157" s="52"/>
      <c r="G1157" s="52"/>
      <c r="H1157" s="53"/>
      <c r="I1157" s="52"/>
      <c r="J1157" s="52"/>
      <c r="K1157" s="19"/>
      <c r="L1157" s="19"/>
      <c r="M1157" s="19"/>
      <c r="N1157" s="19"/>
      <c r="O1157" s="19"/>
      <c r="P1157" s="19"/>
      <c r="Q1157" s="19"/>
      <c r="R1157" s="19"/>
      <c r="S1157" s="19"/>
      <c r="T1157" s="19"/>
      <c r="U1157" s="19"/>
      <c r="V1157" s="19"/>
      <c r="W1157" s="19"/>
      <c r="X1157" s="19"/>
      <c r="Y1157" s="19"/>
      <c r="Z1157" s="19"/>
      <c r="AA1157" s="19"/>
      <c r="AB1157" s="19"/>
      <c r="AC1157" s="19"/>
      <c r="AD1157" s="19"/>
      <c r="AE1157" s="19"/>
      <c r="AF1157" s="19"/>
      <c r="AG1157" s="19"/>
      <c r="AH1157" s="19"/>
      <c r="AI1157" s="19"/>
      <c r="AJ1157" s="19"/>
      <c r="FM1157" s="54"/>
    </row>
    <row r="1158" spans="1:169" s="18" customFormat="1">
      <c r="A1158" s="51"/>
      <c r="B1158" s="52"/>
      <c r="C1158" s="52"/>
      <c r="D1158" s="52"/>
      <c r="E1158" s="52"/>
      <c r="F1158" s="52"/>
      <c r="G1158" s="52"/>
      <c r="H1158" s="53"/>
      <c r="I1158" s="52"/>
      <c r="J1158" s="52"/>
      <c r="K1158" s="19"/>
      <c r="L1158" s="19"/>
      <c r="M1158" s="19"/>
      <c r="N1158" s="19"/>
      <c r="O1158" s="19"/>
      <c r="P1158" s="19"/>
      <c r="Q1158" s="19"/>
      <c r="R1158" s="19"/>
      <c r="S1158" s="19"/>
      <c r="T1158" s="19"/>
      <c r="U1158" s="19"/>
      <c r="V1158" s="19"/>
      <c r="W1158" s="19"/>
      <c r="X1158" s="19"/>
      <c r="Y1158" s="19"/>
      <c r="Z1158" s="19"/>
      <c r="AA1158" s="19"/>
      <c r="AB1158" s="19"/>
      <c r="AC1158" s="19"/>
      <c r="AD1158" s="19"/>
      <c r="AE1158" s="19"/>
      <c r="AF1158" s="19"/>
      <c r="AG1158" s="19"/>
      <c r="AH1158" s="19"/>
      <c r="AI1158" s="19"/>
      <c r="AJ1158" s="19"/>
      <c r="FM1158" s="54"/>
    </row>
    <row r="1159" spans="1:169" s="18" customFormat="1">
      <c r="A1159" s="51"/>
      <c r="B1159" s="52"/>
      <c r="C1159" s="52"/>
      <c r="D1159" s="52"/>
      <c r="E1159" s="52"/>
      <c r="F1159" s="52"/>
      <c r="G1159" s="52"/>
      <c r="H1159" s="53"/>
      <c r="I1159" s="52"/>
      <c r="J1159" s="52"/>
      <c r="K1159" s="19"/>
      <c r="L1159" s="19"/>
      <c r="M1159" s="19"/>
      <c r="N1159" s="19"/>
      <c r="O1159" s="19"/>
      <c r="P1159" s="19"/>
      <c r="Q1159" s="19"/>
      <c r="R1159" s="19"/>
      <c r="S1159" s="19"/>
      <c r="T1159" s="19"/>
      <c r="U1159" s="19"/>
      <c r="V1159" s="19"/>
      <c r="W1159" s="19"/>
      <c r="X1159" s="19"/>
      <c r="Y1159" s="19"/>
      <c r="Z1159" s="19"/>
      <c r="AA1159" s="19"/>
      <c r="AB1159" s="19"/>
      <c r="AC1159" s="19"/>
      <c r="AD1159" s="19"/>
      <c r="AE1159" s="19"/>
      <c r="AF1159" s="19"/>
      <c r="AG1159" s="19"/>
      <c r="AH1159" s="19"/>
      <c r="AI1159" s="19"/>
      <c r="AJ1159" s="19"/>
      <c r="FM1159" s="54"/>
    </row>
    <row r="1160" spans="1:169" s="18" customFormat="1">
      <c r="A1160" s="51"/>
      <c r="B1160" s="52"/>
      <c r="C1160" s="52"/>
      <c r="D1160" s="52"/>
      <c r="E1160" s="52"/>
      <c r="F1160" s="52"/>
      <c r="G1160" s="52"/>
      <c r="H1160" s="53"/>
      <c r="I1160" s="52"/>
      <c r="J1160" s="52"/>
      <c r="K1160" s="19"/>
      <c r="L1160" s="19"/>
      <c r="M1160" s="19"/>
      <c r="N1160" s="19"/>
      <c r="O1160" s="19"/>
      <c r="P1160" s="19"/>
      <c r="Q1160" s="19"/>
      <c r="R1160" s="19"/>
      <c r="S1160" s="19"/>
      <c r="T1160" s="19"/>
      <c r="U1160" s="19"/>
      <c r="V1160" s="19"/>
      <c r="W1160" s="19"/>
      <c r="X1160" s="19"/>
      <c r="Y1160" s="19"/>
      <c r="Z1160" s="19"/>
      <c r="AA1160" s="19"/>
      <c r="AB1160" s="19"/>
      <c r="AC1160" s="19"/>
      <c r="AD1160" s="19"/>
      <c r="AE1160" s="19"/>
      <c r="AF1160" s="19"/>
      <c r="AG1160" s="19"/>
      <c r="AH1160" s="19"/>
      <c r="AI1160" s="19"/>
      <c r="AJ1160" s="19"/>
      <c r="FM1160" s="54"/>
    </row>
    <row r="1161" spans="1:169" s="18" customFormat="1">
      <c r="A1161" s="51"/>
      <c r="B1161" s="52"/>
      <c r="C1161" s="52"/>
      <c r="D1161" s="52"/>
      <c r="E1161" s="52"/>
      <c r="F1161" s="52"/>
      <c r="G1161" s="52"/>
      <c r="H1161" s="53"/>
      <c r="I1161" s="52"/>
      <c r="J1161" s="52"/>
      <c r="K1161" s="19"/>
      <c r="L1161" s="19"/>
      <c r="M1161" s="19"/>
      <c r="N1161" s="19"/>
      <c r="O1161" s="19"/>
      <c r="P1161" s="19"/>
      <c r="Q1161" s="19"/>
      <c r="R1161" s="19"/>
      <c r="S1161" s="19"/>
      <c r="T1161" s="19"/>
      <c r="U1161" s="19"/>
      <c r="V1161" s="19"/>
      <c r="W1161" s="19"/>
      <c r="X1161" s="19"/>
      <c r="Y1161" s="19"/>
      <c r="Z1161" s="19"/>
      <c r="AA1161" s="19"/>
      <c r="AB1161" s="19"/>
      <c r="AC1161" s="19"/>
      <c r="AD1161" s="19"/>
      <c r="AE1161" s="19"/>
      <c r="AF1161" s="19"/>
      <c r="AG1161" s="19"/>
      <c r="AH1161" s="19"/>
      <c r="AI1161" s="19"/>
      <c r="AJ1161" s="19"/>
      <c r="FM1161" s="54"/>
    </row>
    <row r="1162" spans="1:169" s="18" customFormat="1">
      <c r="A1162" s="51"/>
      <c r="B1162" s="52"/>
      <c r="C1162" s="52"/>
      <c r="D1162" s="52"/>
      <c r="E1162" s="52"/>
      <c r="F1162" s="52"/>
      <c r="G1162" s="52"/>
      <c r="H1162" s="53"/>
      <c r="I1162" s="52"/>
      <c r="J1162" s="52"/>
      <c r="K1162" s="19"/>
      <c r="L1162" s="19"/>
      <c r="M1162" s="19"/>
      <c r="N1162" s="19"/>
      <c r="O1162" s="19"/>
      <c r="P1162" s="19"/>
      <c r="Q1162" s="19"/>
      <c r="R1162" s="19"/>
      <c r="S1162" s="19"/>
      <c r="T1162" s="19"/>
      <c r="U1162" s="19"/>
      <c r="V1162" s="19"/>
      <c r="W1162" s="19"/>
      <c r="X1162" s="19"/>
      <c r="Y1162" s="19"/>
      <c r="Z1162" s="19"/>
      <c r="AA1162" s="19"/>
      <c r="AB1162" s="19"/>
      <c r="AC1162" s="19"/>
      <c r="AD1162" s="19"/>
      <c r="AE1162" s="19"/>
      <c r="AF1162" s="19"/>
      <c r="AG1162" s="19"/>
      <c r="AH1162" s="19"/>
      <c r="AI1162" s="19"/>
      <c r="AJ1162" s="19"/>
      <c r="FM1162" s="54"/>
    </row>
    <row r="1163" spans="1:169" s="18" customFormat="1">
      <c r="A1163" s="51"/>
      <c r="B1163" s="52"/>
      <c r="C1163" s="52"/>
      <c r="D1163" s="52"/>
      <c r="E1163" s="52"/>
      <c r="F1163" s="52"/>
      <c r="G1163" s="52"/>
      <c r="H1163" s="53"/>
      <c r="I1163" s="52"/>
      <c r="J1163" s="52"/>
      <c r="K1163" s="19"/>
      <c r="L1163" s="19"/>
      <c r="M1163" s="19"/>
      <c r="N1163" s="19"/>
      <c r="O1163" s="19"/>
      <c r="P1163" s="19"/>
      <c r="Q1163" s="19"/>
      <c r="R1163" s="19"/>
      <c r="S1163" s="19"/>
      <c r="T1163" s="19"/>
      <c r="U1163" s="19"/>
      <c r="V1163" s="19"/>
      <c r="W1163" s="19"/>
      <c r="X1163" s="19"/>
      <c r="Y1163" s="19"/>
      <c r="Z1163" s="19"/>
      <c r="AA1163" s="19"/>
      <c r="AB1163" s="19"/>
      <c r="AC1163" s="19"/>
      <c r="AD1163" s="19"/>
      <c r="AE1163" s="19"/>
      <c r="AF1163" s="19"/>
      <c r="AG1163" s="19"/>
      <c r="AH1163" s="19"/>
      <c r="AI1163" s="19"/>
      <c r="AJ1163" s="19"/>
      <c r="FM1163" s="54"/>
    </row>
    <row r="1164" spans="1:169" s="18" customFormat="1">
      <c r="A1164" s="51"/>
      <c r="B1164" s="52"/>
      <c r="C1164" s="52"/>
      <c r="D1164" s="52"/>
      <c r="E1164" s="52"/>
      <c r="F1164" s="52"/>
      <c r="G1164" s="52"/>
      <c r="H1164" s="53"/>
      <c r="I1164" s="52"/>
      <c r="J1164" s="52"/>
      <c r="K1164" s="19"/>
      <c r="L1164" s="19"/>
      <c r="M1164" s="19"/>
      <c r="N1164" s="19"/>
      <c r="O1164" s="19"/>
      <c r="P1164" s="19"/>
      <c r="Q1164" s="19"/>
      <c r="R1164" s="19"/>
      <c r="S1164" s="19"/>
      <c r="T1164" s="19"/>
      <c r="U1164" s="19"/>
      <c r="V1164" s="19"/>
      <c r="W1164" s="19"/>
      <c r="X1164" s="19"/>
      <c r="Y1164" s="19"/>
      <c r="Z1164" s="19"/>
      <c r="AA1164" s="19"/>
      <c r="AB1164" s="19"/>
      <c r="AC1164" s="19"/>
      <c r="AD1164" s="19"/>
      <c r="AE1164" s="19"/>
      <c r="AF1164" s="19"/>
      <c r="AG1164" s="19"/>
      <c r="AH1164" s="19"/>
      <c r="AI1164" s="19"/>
      <c r="AJ1164" s="19"/>
      <c r="FM1164" s="54"/>
    </row>
    <row r="1165" spans="1:169" s="18" customFormat="1">
      <c r="A1165" s="51"/>
      <c r="B1165" s="52"/>
      <c r="C1165" s="52"/>
      <c r="D1165" s="52"/>
      <c r="E1165" s="52"/>
      <c r="F1165" s="52"/>
      <c r="G1165" s="52"/>
      <c r="H1165" s="53"/>
      <c r="I1165" s="52"/>
      <c r="J1165" s="52"/>
      <c r="K1165" s="19"/>
      <c r="L1165" s="19"/>
      <c r="M1165" s="19"/>
      <c r="N1165" s="19"/>
      <c r="O1165" s="19"/>
      <c r="P1165" s="19"/>
      <c r="Q1165" s="19"/>
      <c r="R1165" s="19"/>
      <c r="S1165" s="19"/>
      <c r="T1165" s="19"/>
      <c r="U1165" s="19"/>
      <c r="V1165" s="19"/>
      <c r="W1165" s="19"/>
      <c r="X1165" s="19"/>
      <c r="Y1165" s="19"/>
      <c r="Z1165" s="19"/>
      <c r="AA1165" s="19"/>
      <c r="AB1165" s="19"/>
      <c r="AC1165" s="19"/>
      <c r="AD1165" s="19"/>
      <c r="AE1165" s="19"/>
      <c r="AF1165" s="19"/>
      <c r="AG1165" s="19"/>
      <c r="AH1165" s="19"/>
      <c r="AI1165" s="19"/>
      <c r="AJ1165" s="19"/>
      <c r="FM1165" s="54"/>
    </row>
    <row r="1166" spans="1:169" s="18" customFormat="1">
      <c r="A1166" s="51"/>
      <c r="B1166" s="52"/>
      <c r="C1166" s="52"/>
      <c r="D1166" s="52"/>
      <c r="E1166" s="52"/>
      <c r="F1166" s="52"/>
      <c r="G1166" s="52"/>
      <c r="H1166" s="53"/>
      <c r="I1166" s="52"/>
      <c r="J1166" s="52"/>
      <c r="K1166" s="19"/>
      <c r="L1166" s="19"/>
      <c r="M1166" s="19"/>
      <c r="N1166" s="19"/>
      <c r="O1166" s="19"/>
      <c r="P1166" s="19"/>
      <c r="Q1166" s="19"/>
      <c r="R1166" s="19"/>
      <c r="S1166" s="19"/>
      <c r="T1166" s="19"/>
      <c r="U1166" s="19"/>
      <c r="V1166" s="19"/>
      <c r="W1166" s="19"/>
      <c r="X1166" s="19"/>
      <c r="Y1166" s="19"/>
      <c r="Z1166" s="19"/>
      <c r="AA1166" s="19"/>
      <c r="AB1166" s="19"/>
      <c r="AC1166" s="19"/>
      <c r="AD1166" s="19"/>
      <c r="AE1166" s="19"/>
      <c r="AF1166" s="19"/>
      <c r="AG1166" s="19"/>
      <c r="AH1166" s="19"/>
      <c r="AI1166" s="19"/>
      <c r="AJ1166" s="19"/>
      <c r="FM1166" s="54"/>
    </row>
    <row r="1167" spans="1:169" s="18" customFormat="1">
      <c r="A1167" s="51"/>
      <c r="B1167" s="52"/>
      <c r="C1167" s="52"/>
      <c r="D1167" s="52"/>
      <c r="E1167" s="52"/>
      <c r="F1167" s="52"/>
      <c r="G1167" s="52"/>
      <c r="H1167" s="53"/>
      <c r="I1167" s="52"/>
      <c r="J1167" s="52"/>
      <c r="K1167" s="19"/>
      <c r="L1167" s="19"/>
      <c r="M1167" s="19"/>
      <c r="N1167" s="19"/>
      <c r="O1167" s="19"/>
      <c r="P1167" s="19"/>
      <c r="Q1167" s="19"/>
      <c r="R1167" s="19"/>
      <c r="S1167" s="19"/>
      <c r="T1167" s="19"/>
      <c r="U1167" s="19"/>
      <c r="V1167" s="19"/>
      <c r="W1167" s="19"/>
      <c r="X1167" s="19"/>
      <c r="Y1167" s="19"/>
      <c r="Z1167" s="19"/>
      <c r="AA1167" s="19"/>
      <c r="AB1167" s="19"/>
      <c r="AC1167" s="19"/>
      <c r="AD1167" s="19"/>
      <c r="AE1167" s="19"/>
      <c r="AF1167" s="19"/>
      <c r="AG1167" s="19"/>
      <c r="AH1167" s="19"/>
      <c r="AI1167" s="19"/>
      <c r="AJ1167" s="19"/>
      <c r="FM1167" s="54"/>
    </row>
    <row r="1168" spans="1:169" s="18" customFormat="1">
      <c r="A1168" s="51"/>
      <c r="B1168" s="52"/>
      <c r="C1168" s="52"/>
      <c r="D1168" s="52"/>
      <c r="E1168" s="52"/>
      <c r="F1168" s="52"/>
      <c r="G1168" s="52"/>
      <c r="H1168" s="53"/>
      <c r="I1168" s="52"/>
      <c r="J1168" s="52"/>
      <c r="K1168" s="19"/>
      <c r="L1168" s="19"/>
      <c r="M1168" s="19"/>
      <c r="N1168" s="19"/>
      <c r="O1168" s="19"/>
      <c r="P1168" s="19"/>
      <c r="Q1168" s="19"/>
      <c r="R1168" s="19"/>
      <c r="S1168" s="19"/>
      <c r="T1168" s="19"/>
      <c r="U1168" s="19"/>
      <c r="V1168" s="19"/>
      <c r="W1168" s="19"/>
      <c r="X1168" s="19"/>
      <c r="Y1168" s="19"/>
      <c r="Z1168" s="19"/>
      <c r="AA1168" s="19"/>
      <c r="AB1168" s="19"/>
      <c r="AC1168" s="19"/>
      <c r="AD1168" s="19"/>
      <c r="AE1168" s="19"/>
      <c r="AF1168" s="19"/>
      <c r="AG1168" s="19"/>
      <c r="AH1168" s="19"/>
      <c r="AI1168" s="19"/>
      <c r="AJ1168" s="19"/>
      <c r="FM1168" s="54"/>
    </row>
    <row r="1169" spans="1:169" s="18" customFormat="1">
      <c r="A1169" s="51"/>
      <c r="B1169" s="52"/>
      <c r="C1169" s="52"/>
      <c r="D1169" s="52"/>
      <c r="E1169" s="52"/>
      <c r="F1169" s="52"/>
      <c r="G1169" s="52"/>
      <c r="H1169" s="53"/>
      <c r="I1169" s="52"/>
      <c r="J1169" s="52"/>
      <c r="K1169" s="19"/>
      <c r="L1169" s="19"/>
      <c r="M1169" s="19"/>
      <c r="N1169" s="19"/>
      <c r="O1169" s="19"/>
      <c r="P1169" s="19"/>
      <c r="Q1169" s="19"/>
      <c r="R1169" s="19"/>
      <c r="S1169" s="19"/>
      <c r="T1169" s="19"/>
      <c r="U1169" s="19"/>
      <c r="V1169" s="19"/>
      <c r="W1169" s="19"/>
      <c r="X1169" s="19"/>
      <c r="Y1169" s="19"/>
      <c r="Z1169" s="19"/>
      <c r="AA1169" s="19"/>
      <c r="AB1169" s="19"/>
      <c r="AC1169" s="19"/>
      <c r="AD1169" s="19"/>
      <c r="AE1169" s="19"/>
      <c r="AF1169" s="19"/>
      <c r="AG1169" s="19"/>
      <c r="AH1169" s="19"/>
      <c r="AI1169" s="19"/>
      <c r="AJ1169" s="19"/>
      <c r="FM1169" s="54"/>
    </row>
    <row r="1170" spans="1:169" s="18" customFormat="1">
      <c r="A1170" s="51"/>
      <c r="B1170" s="52"/>
      <c r="C1170" s="52"/>
      <c r="D1170" s="52"/>
      <c r="E1170" s="52"/>
      <c r="F1170" s="52"/>
      <c r="G1170" s="52"/>
      <c r="H1170" s="53"/>
      <c r="I1170" s="52"/>
      <c r="J1170" s="52"/>
      <c r="K1170" s="19"/>
      <c r="L1170" s="19"/>
      <c r="M1170" s="19"/>
      <c r="N1170" s="19"/>
      <c r="O1170" s="19"/>
      <c r="P1170" s="19"/>
      <c r="Q1170" s="19"/>
      <c r="R1170" s="19"/>
      <c r="S1170" s="19"/>
      <c r="T1170" s="19"/>
      <c r="U1170" s="19"/>
      <c r="V1170" s="19"/>
      <c r="W1170" s="19"/>
      <c r="X1170" s="19"/>
      <c r="Y1170" s="19"/>
      <c r="Z1170" s="19"/>
      <c r="AA1170" s="19"/>
      <c r="AB1170" s="19"/>
      <c r="AC1170" s="19"/>
      <c r="AD1170" s="19"/>
      <c r="AE1170" s="19"/>
      <c r="AF1170" s="19"/>
      <c r="AG1170" s="19"/>
      <c r="AH1170" s="19"/>
      <c r="AI1170" s="19"/>
      <c r="AJ1170" s="19"/>
      <c r="FM1170" s="54"/>
    </row>
    <row r="1171" spans="1:169" s="18" customFormat="1">
      <c r="A1171" s="51"/>
      <c r="B1171" s="52"/>
      <c r="C1171" s="52"/>
      <c r="D1171" s="52"/>
      <c r="E1171" s="52"/>
      <c r="F1171" s="52"/>
      <c r="G1171" s="52"/>
      <c r="H1171" s="53"/>
      <c r="I1171" s="52"/>
      <c r="J1171" s="52"/>
      <c r="K1171" s="19"/>
      <c r="L1171" s="19"/>
      <c r="M1171" s="19"/>
      <c r="N1171" s="19"/>
      <c r="O1171" s="19"/>
      <c r="P1171" s="19"/>
      <c r="Q1171" s="19"/>
      <c r="R1171" s="19"/>
      <c r="S1171" s="19"/>
      <c r="T1171" s="19"/>
      <c r="U1171" s="19"/>
      <c r="V1171" s="19"/>
      <c r="W1171" s="19"/>
      <c r="X1171" s="19"/>
      <c r="Y1171" s="19"/>
      <c r="Z1171" s="19"/>
      <c r="AA1171" s="19"/>
      <c r="AB1171" s="19"/>
      <c r="AC1171" s="19"/>
      <c r="AD1171" s="19"/>
      <c r="AE1171" s="19"/>
      <c r="AF1171" s="19"/>
      <c r="AG1171" s="19"/>
      <c r="AH1171" s="19"/>
      <c r="AI1171" s="19"/>
      <c r="AJ1171" s="19"/>
      <c r="FM1171" s="54"/>
    </row>
    <row r="1172" spans="1:169" s="18" customFormat="1">
      <c r="A1172" s="51"/>
      <c r="B1172" s="52"/>
      <c r="C1172" s="52"/>
      <c r="D1172" s="52"/>
      <c r="E1172" s="52"/>
      <c r="F1172" s="52"/>
      <c r="G1172" s="52"/>
      <c r="H1172" s="53"/>
      <c r="I1172" s="52"/>
      <c r="J1172" s="52"/>
      <c r="K1172" s="19"/>
      <c r="L1172" s="19"/>
      <c r="M1172" s="19"/>
      <c r="N1172" s="19"/>
      <c r="O1172" s="19"/>
      <c r="P1172" s="19"/>
      <c r="Q1172" s="19"/>
      <c r="R1172" s="19"/>
      <c r="S1172" s="19"/>
      <c r="T1172" s="19"/>
      <c r="U1172" s="19"/>
      <c r="V1172" s="19"/>
      <c r="W1172" s="19"/>
      <c r="X1172" s="19"/>
      <c r="Y1172" s="19"/>
      <c r="Z1172" s="19"/>
      <c r="AA1172" s="19"/>
      <c r="AB1172" s="19"/>
      <c r="AC1172" s="19"/>
      <c r="AD1172" s="19"/>
      <c r="AE1172" s="19"/>
      <c r="AF1172" s="19"/>
      <c r="AG1172" s="19"/>
      <c r="AH1172" s="19"/>
      <c r="AI1172" s="19"/>
      <c r="AJ1172" s="19"/>
      <c r="FM1172" s="54"/>
    </row>
    <row r="1173" spans="1:169" s="18" customFormat="1">
      <c r="A1173" s="51"/>
      <c r="B1173" s="52"/>
      <c r="C1173" s="52"/>
      <c r="D1173" s="52"/>
      <c r="E1173" s="52"/>
      <c r="F1173" s="52"/>
      <c r="G1173" s="52"/>
      <c r="H1173" s="53"/>
      <c r="I1173" s="52"/>
      <c r="J1173" s="52"/>
      <c r="K1173" s="19"/>
      <c r="L1173" s="19"/>
      <c r="M1173" s="19"/>
      <c r="N1173" s="19"/>
      <c r="O1173" s="19"/>
      <c r="P1173" s="19"/>
      <c r="Q1173" s="19"/>
      <c r="R1173" s="19"/>
      <c r="S1173" s="19"/>
      <c r="T1173" s="19"/>
      <c r="U1173" s="19"/>
      <c r="V1173" s="19"/>
      <c r="W1173" s="19"/>
      <c r="X1173" s="19"/>
      <c r="Y1173" s="19"/>
      <c r="Z1173" s="19"/>
      <c r="AA1173" s="19"/>
      <c r="AB1173" s="19"/>
      <c r="AC1173" s="19"/>
      <c r="AD1173" s="19"/>
      <c r="AE1173" s="19"/>
      <c r="AF1173" s="19"/>
      <c r="AG1173" s="19"/>
      <c r="AH1173" s="19"/>
      <c r="AI1173" s="19"/>
      <c r="AJ1173" s="19"/>
      <c r="FM1173" s="54"/>
    </row>
    <row r="1174" spans="1:169" s="18" customFormat="1">
      <c r="A1174" s="51"/>
      <c r="B1174" s="52"/>
      <c r="C1174" s="52"/>
      <c r="D1174" s="52"/>
      <c r="E1174" s="52"/>
      <c r="F1174" s="52"/>
      <c r="G1174" s="52"/>
      <c r="H1174" s="53"/>
      <c r="I1174" s="52"/>
      <c r="J1174" s="52"/>
      <c r="K1174" s="19"/>
      <c r="L1174" s="19"/>
      <c r="M1174" s="19"/>
      <c r="N1174" s="19"/>
      <c r="O1174" s="19"/>
      <c r="P1174" s="19"/>
      <c r="Q1174" s="19"/>
      <c r="R1174" s="19"/>
      <c r="S1174" s="19"/>
      <c r="T1174" s="19"/>
      <c r="U1174" s="19"/>
      <c r="V1174" s="19"/>
      <c r="W1174" s="19"/>
      <c r="X1174" s="19"/>
      <c r="Y1174" s="19"/>
      <c r="Z1174" s="19"/>
      <c r="AA1174" s="19"/>
      <c r="AB1174" s="19"/>
      <c r="AC1174" s="19"/>
      <c r="AD1174" s="19"/>
      <c r="AE1174" s="19"/>
      <c r="AF1174" s="19"/>
      <c r="AG1174" s="19"/>
      <c r="AH1174" s="19"/>
      <c r="AI1174" s="19"/>
      <c r="AJ1174" s="19"/>
      <c r="FM1174" s="54"/>
    </row>
    <row r="1175" spans="1:169" s="18" customFormat="1">
      <c r="A1175" s="51"/>
      <c r="B1175" s="52"/>
      <c r="C1175" s="52"/>
      <c r="D1175" s="52"/>
      <c r="E1175" s="52"/>
      <c r="F1175" s="52"/>
      <c r="G1175" s="52"/>
      <c r="H1175" s="53"/>
      <c r="I1175" s="52"/>
      <c r="J1175" s="52"/>
      <c r="K1175" s="19"/>
      <c r="L1175" s="19"/>
      <c r="M1175" s="19"/>
      <c r="N1175" s="19"/>
      <c r="O1175" s="19"/>
      <c r="P1175" s="19"/>
      <c r="Q1175" s="19"/>
      <c r="R1175" s="19"/>
      <c r="S1175" s="19"/>
      <c r="T1175" s="19"/>
      <c r="U1175" s="19"/>
      <c r="V1175" s="19"/>
      <c r="W1175" s="19"/>
      <c r="X1175" s="19"/>
      <c r="Y1175" s="19"/>
      <c r="Z1175" s="19"/>
      <c r="AA1175" s="19"/>
      <c r="AB1175" s="19"/>
      <c r="AC1175" s="19"/>
      <c r="AD1175" s="19"/>
      <c r="AE1175" s="19"/>
      <c r="AF1175" s="19"/>
      <c r="AG1175" s="19"/>
      <c r="AH1175" s="19"/>
      <c r="AI1175" s="19"/>
      <c r="AJ1175" s="19"/>
      <c r="FM1175" s="54"/>
    </row>
    <row r="1176" spans="1:169" s="18" customFormat="1">
      <c r="A1176" s="51"/>
      <c r="B1176" s="52"/>
      <c r="C1176" s="52"/>
      <c r="D1176" s="52"/>
      <c r="E1176" s="52"/>
      <c r="F1176" s="52"/>
      <c r="G1176" s="52"/>
      <c r="H1176" s="53"/>
      <c r="I1176" s="52"/>
      <c r="J1176" s="52"/>
      <c r="K1176" s="19"/>
      <c r="L1176" s="19"/>
      <c r="M1176" s="19"/>
      <c r="N1176" s="19"/>
      <c r="O1176" s="19"/>
      <c r="P1176" s="19"/>
      <c r="Q1176" s="19"/>
      <c r="R1176" s="19"/>
      <c r="S1176" s="19"/>
      <c r="T1176" s="19"/>
      <c r="U1176" s="19"/>
      <c r="V1176" s="19"/>
      <c r="W1176" s="19"/>
      <c r="X1176" s="19"/>
      <c r="Y1176" s="19"/>
      <c r="Z1176" s="19"/>
      <c r="AA1176" s="19"/>
      <c r="AB1176" s="19"/>
      <c r="AC1176" s="19"/>
      <c r="AD1176" s="19"/>
      <c r="AE1176" s="19"/>
      <c r="AF1176" s="19"/>
      <c r="AG1176" s="19"/>
      <c r="AH1176" s="19"/>
      <c r="AI1176" s="19"/>
      <c r="AJ1176" s="19"/>
      <c r="FM1176" s="54"/>
    </row>
    <row r="1177" spans="1:169" s="18" customFormat="1">
      <c r="A1177" s="51"/>
      <c r="B1177" s="52"/>
      <c r="C1177" s="52"/>
      <c r="D1177" s="52"/>
      <c r="E1177" s="52"/>
      <c r="F1177" s="52"/>
      <c r="G1177" s="52"/>
      <c r="H1177" s="53"/>
      <c r="I1177" s="52"/>
      <c r="J1177" s="52"/>
      <c r="K1177" s="19"/>
      <c r="L1177" s="19"/>
      <c r="M1177" s="19"/>
      <c r="N1177" s="19"/>
      <c r="O1177" s="19"/>
      <c r="P1177" s="19"/>
      <c r="Q1177" s="19"/>
      <c r="R1177" s="19"/>
      <c r="S1177" s="19"/>
      <c r="T1177" s="19"/>
      <c r="U1177" s="19"/>
      <c r="V1177" s="19"/>
      <c r="W1177" s="19"/>
      <c r="X1177" s="19"/>
      <c r="Y1177" s="19"/>
      <c r="Z1177" s="19"/>
      <c r="AA1177" s="19"/>
      <c r="AB1177" s="19"/>
      <c r="AC1177" s="19"/>
      <c r="AD1177" s="19"/>
      <c r="AE1177" s="19"/>
      <c r="AF1177" s="19"/>
      <c r="AG1177" s="19"/>
      <c r="AH1177" s="19"/>
      <c r="AI1177" s="19"/>
      <c r="AJ1177" s="19"/>
      <c r="FM1177" s="54"/>
    </row>
    <row r="1178" spans="1:169" s="18" customFormat="1">
      <c r="A1178" s="51"/>
      <c r="B1178" s="52"/>
      <c r="C1178" s="52"/>
      <c r="D1178" s="52"/>
      <c r="E1178" s="52"/>
      <c r="F1178" s="52"/>
      <c r="G1178" s="52"/>
      <c r="H1178" s="53"/>
      <c r="I1178" s="52"/>
      <c r="J1178" s="52"/>
      <c r="K1178" s="19"/>
      <c r="L1178" s="19"/>
      <c r="M1178" s="19"/>
      <c r="N1178" s="19"/>
      <c r="O1178" s="19"/>
      <c r="P1178" s="19"/>
      <c r="Q1178" s="19"/>
      <c r="R1178" s="19"/>
      <c r="S1178" s="19"/>
      <c r="T1178" s="19"/>
      <c r="U1178" s="19"/>
      <c r="V1178" s="19"/>
      <c r="W1178" s="19"/>
      <c r="X1178" s="19"/>
      <c r="Y1178" s="19"/>
      <c r="Z1178" s="19"/>
      <c r="AA1178" s="19"/>
      <c r="AB1178" s="19"/>
      <c r="AC1178" s="19"/>
      <c r="AD1178" s="19"/>
      <c r="AE1178" s="19"/>
      <c r="AF1178" s="19"/>
      <c r="AG1178" s="19"/>
      <c r="AH1178" s="19"/>
      <c r="AI1178" s="19"/>
      <c r="AJ1178" s="19"/>
      <c r="FM1178" s="54"/>
    </row>
    <row r="1179" spans="1:169" s="18" customFormat="1">
      <c r="A1179" s="51"/>
      <c r="B1179" s="52"/>
      <c r="C1179" s="52"/>
      <c r="D1179" s="52"/>
      <c r="E1179" s="52"/>
      <c r="F1179" s="52"/>
      <c r="G1179" s="52"/>
      <c r="H1179" s="53"/>
      <c r="I1179" s="52"/>
      <c r="J1179" s="52"/>
      <c r="K1179" s="19"/>
      <c r="L1179" s="19"/>
      <c r="M1179" s="19"/>
      <c r="N1179" s="19"/>
      <c r="O1179" s="19"/>
      <c r="P1179" s="19"/>
      <c r="Q1179" s="19"/>
      <c r="R1179" s="19"/>
      <c r="S1179" s="19"/>
      <c r="T1179" s="19"/>
      <c r="U1179" s="19"/>
      <c r="V1179" s="19"/>
      <c r="W1179" s="19"/>
      <c r="X1179" s="19"/>
      <c r="Y1179" s="19"/>
      <c r="Z1179" s="19"/>
      <c r="AA1179" s="19"/>
      <c r="AB1179" s="19"/>
      <c r="AC1179" s="19"/>
      <c r="AD1179" s="19"/>
      <c r="AE1179" s="19"/>
      <c r="AF1179" s="19"/>
      <c r="AG1179" s="19"/>
      <c r="AH1179" s="19"/>
      <c r="AI1179" s="19"/>
      <c r="AJ1179" s="19"/>
      <c r="FM1179" s="54"/>
    </row>
    <row r="1180" spans="1:169" s="18" customFormat="1">
      <c r="A1180" s="51"/>
      <c r="B1180" s="52"/>
      <c r="C1180" s="52"/>
      <c r="D1180" s="52"/>
      <c r="E1180" s="52"/>
      <c r="F1180" s="52"/>
      <c r="G1180" s="52"/>
      <c r="H1180" s="53"/>
      <c r="I1180" s="52"/>
      <c r="J1180" s="52"/>
      <c r="K1180" s="19"/>
      <c r="L1180" s="19"/>
      <c r="M1180" s="19"/>
      <c r="N1180" s="19"/>
      <c r="O1180" s="19"/>
      <c r="P1180" s="19"/>
      <c r="Q1180" s="19"/>
      <c r="R1180" s="19"/>
      <c r="S1180" s="19"/>
      <c r="T1180" s="19"/>
      <c r="U1180" s="19"/>
      <c r="V1180" s="19"/>
      <c r="W1180" s="19"/>
      <c r="X1180" s="19"/>
      <c r="Y1180" s="19"/>
      <c r="Z1180" s="19"/>
      <c r="AA1180" s="19"/>
      <c r="AB1180" s="19"/>
      <c r="AC1180" s="19"/>
      <c r="AD1180" s="19"/>
      <c r="AE1180" s="19"/>
      <c r="AF1180" s="19"/>
      <c r="AG1180" s="19"/>
      <c r="AH1180" s="19"/>
      <c r="AI1180" s="19"/>
      <c r="AJ1180" s="19"/>
      <c r="FM1180" s="54"/>
    </row>
    <row r="1181" spans="1:169" s="18" customFormat="1">
      <c r="A1181" s="51"/>
      <c r="B1181" s="52"/>
      <c r="C1181" s="52"/>
      <c r="D1181" s="52"/>
      <c r="E1181" s="52"/>
      <c r="F1181" s="52"/>
      <c r="G1181" s="52"/>
      <c r="H1181" s="53"/>
      <c r="I1181" s="52"/>
      <c r="J1181" s="52"/>
      <c r="K1181" s="19"/>
      <c r="L1181" s="19"/>
      <c r="M1181" s="19"/>
      <c r="N1181" s="19"/>
      <c r="O1181" s="19"/>
      <c r="P1181" s="19"/>
      <c r="Q1181" s="19"/>
      <c r="R1181" s="19"/>
      <c r="S1181" s="19"/>
      <c r="T1181" s="19"/>
      <c r="U1181" s="19"/>
      <c r="V1181" s="19"/>
      <c r="W1181" s="19"/>
      <c r="X1181" s="19"/>
      <c r="Y1181" s="19"/>
      <c r="Z1181" s="19"/>
      <c r="AA1181" s="19"/>
      <c r="AB1181" s="19"/>
      <c r="AC1181" s="19"/>
      <c r="AD1181" s="19"/>
      <c r="AE1181" s="19"/>
      <c r="AF1181" s="19"/>
      <c r="AG1181" s="19"/>
      <c r="AH1181" s="19"/>
      <c r="AI1181" s="19"/>
      <c r="AJ1181" s="19"/>
      <c r="FM1181" s="54"/>
    </row>
    <row r="1182" spans="1:169" s="18" customFormat="1">
      <c r="A1182" s="51"/>
      <c r="B1182" s="52"/>
      <c r="C1182" s="52"/>
      <c r="D1182" s="52"/>
      <c r="E1182" s="52"/>
      <c r="F1182" s="52"/>
      <c r="G1182" s="52"/>
      <c r="H1182" s="53"/>
      <c r="I1182" s="52"/>
      <c r="J1182" s="52"/>
      <c r="K1182" s="19"/>
      <c r="L1182" s="19"/>
      <c r="M1182" s="19"/>
      <c r="N1182" s="19"/>
      <c r="O1182" s="19"/>
      <c r="P1182" s="19"/>
      <c r="Q1182" s="19"/>
      <c r="R1182" s="19"/>
      <c r="S1182" s="19"/>
      <c r="T1182" s="19"/>
      <c r="U1182" s="19"/>
      <c r="V1182" s="19"/>
      <c r="W1182" s="19"/>
      <c r="X1182" s="19"/>
      <c r="Y1182" s="19"/>
      <c r="Z1182" s="19"/>
      <c r="AA1182" s="19"/>
      <c r="AB1182" s="19"/>
      <c r="AC1182" s="19"/>
      <c r="AD1182" s="19"/>
      <c r="AE1182" s="19"/>
      <c r="AF1182" s="19"/>
      <c r="AG1182" s="19"/>
      <c r="AH1182" s="19"/>
      <c r="AI1182" s="19"/>
      <c r="AJ1182" s="19"/>
      <c r="FM1182" s="54"/>
    </row>
    <row r="1183" spans="1:169" s="18" customFormat="1">
      <c r="A1183" s="51"/>
      <c r="B1183" s="52"/>
      <c r="C1183" s="52"/>
      <c r="D1183" s="52"/>
      <c r="E1183" s="52"/>
      <c r="F1183" s="52"/>
      <c r="G1183" s="52"/>
      <c r="H1183" s="53"/>
      <c r="I1183" s="52"/>
      <c r="J1183" s="52"/>
      <c r="K1183" s="19"/>
      <c r="L1183" s="19"/>
      <c r="M1183" s="19"/>
      <c r="N1183" s="19"/>
      <c r="O1183" s="19"/>
      <c r="P1183" s="19"/>
      <c r="Q1183" s="19"/>
      <c r="R1183" s="19"/>
      <c r="S1183" s="19"/>
      <c r="T1183" s="19"/>
      <c r="U1183" s="19"/>
      <c r="V1183" s="19"/>
      <c r="W1183" s="19"/>
      <c r="X1183" s="19"/>
      <c r="Y1183" s="19"/>
      <c r="Z1183" s="19"/>
      <c r="AA1183" s="19"/>
      <c r="AB1183" s="19"/>
      <c r="AC1183" s="19"/>
      <c r="AD1183" s="19"/>
      <c r="AE1183" s="19"/>
      <c r="AF1183" s="19"/>
      <c r="AG1183" s="19"/>
      <c r="AH1183" s="19"/>
      <c r="AI1183" s="19"/>
      <c r="AJ1183" s="19"/>
      <c r="FM1183" s="54"/>
    </row>
    <row r="1184" spans="1:169" s="18" customFormat="1">
      <c r="A1184" s="51"/>
      <c r="B1184" s="52"/>
      <c r="C1184" s="52"/>
      <c r="D1184" s="52"/>
      <c r="E1184" s="52"/>
      <c r="F1184" s="52"/>
      <c r="G1184" s="52"/>
      <c r="H1184" s="53"/>
      <c r="I1184" s="52"/>
      <c r="J1184" s="52"/>
      <c r="K1184" s="19"/>
      <c r="L1184" s="19"/>
      <c r="M1184" s="19"/>
      <c r="N1184" s="19"/>
      <c r="O1184" s="19"/>
      <c r="P1184" s="19"/>
      <c r="Q1184" s="19"/>
      <c r="R1184" s="19"/>
      <c r="S1184" s="19"/>
      <c r="T1184" s="19"/>
      <c r="U1184" s="19"/>
      <c r="V1184" s="19"/>
      <c r="W1184" s="19"/>
      <c r="X1184" s="19"/>
      <c r="Y1184" s="19"/>
      <c r="Z1184" s="19"/>
      <c r="AA1184" s="19"/>
      <c r="AB1184" s="19"/>
      <c r="AC1184" s="19"/>
      <c r="AD1184" s="19"/>
      <c r="AE1184" s="19"/>
      <c r="AF1184" s="19"/>
      <c r="AG1184" s="19"/>
      <c r="AH1184" s="19"/>
      <c r="AI1184" s="19"/>
      <c r="AJ1184" s="19"/>
      <c r="FM1184" s="54"/>
    </row>
    <row r="1185" spans="1:169" s="18" customFormat="1">
      <c r="A1185" s="51"/>
      <c r="B1185" s="52"/>
      <c r="C1185" s="52"/>
      <c r="D1185" s="52"/>
      <c r="E1185" s="52"/>
      <c r="F1185" s="52"/>
      <c r="G1185" s="52"/>
      <c r="H1185" s="53"/>
      <c r="I1185" s="52"/>
      <c r="J1185" s="52"/>
      <c r="K1185" s="19"/>
      <c r="L1185" s="19"/>
      <c r="M1185" s="19"/>
      <c r="N1185" s="19"/>
      <c r="O1185" s="19"/>
      <c r="P1185" s="19"/>
      <c r="Q1185" s="19"/>
      <c r="R1185" s="19"/>
      <c r="S1185" s="19"/>
      <c r="T1185" s="19"/>
      <c r="U1185" s="19"/>
      <c r="V1185" s="19"/>
      <c r="W1185" s="19"/>
      <c r="X1185" s="19"/>
      <c r="Y1185" s="19"/>
      <c r="Z1185" s="19"/>
      <c r="AA1185" s="19"/>
      <c r="AB1185" s="19"/>
      <c r="AC1185" s="19"/>
      <c r="AD1185" s="19"/>
      <c r="AE1185" s="19"/>
      <c r="AF1185" s="19"/>
      <c r="AG1185" s="19"/>
      <c r="AH1185" s="19"/>
      <c r="AI1185" s="19"/>
      <c r="AJ1185" s="19"/>
      <c r="FM1185" s="54"/>
    </row>
    <row r="1186" spans="1:169" s="18" customFormat="1">
      <c r="A1186" s="51"/>
      <c r="B1186" s="52"/>
      <c r="C1186" s="52"/>
      <c r="D1186" s="52"/>
      <c r="E1186" s="52"/>
      <c r="F1186" s="52"/>
      <c r="G1186" s="52"/>
      <c r="H1186" s="53"/>
      <c r="I1186" s="52"/>
      <c r="J1186" s="52"/>
      <c r="K1186" s="19"/>
      <c r="L1186" s="19"/>
      <c r="M1186" s="19"/>
      <c r="N1186" s="19"/>
      <c r="O1186" s="19"/>
      <c r="P1186" s="19"/>
      <c r="Q1186" s="19"/>
      <c r="R1186" s="19"/>
      <c r="S1186" s="19"/>
      <c r="T1186" s="19"/>
      <c r="U1186" s="19"/>
      <c r="V1186" s="19"/>
      <c r="W1186" s="19"/>
      <c r="X1186" s="19"/>
      <c r="Y1186" s="19"/>
      <c r="Z1186" s="19"/>
      <c r="AA1186" s="19"/>
      <c r="AB1186" s="19"/>
      <c r="AC1186" s="19"/>
      <c r="AD1186" s="19"/>
      <c r="AE1186" s="19"/>
      <c r="AF1186" s="19"/>
      <c r="AG1186" s="19"/>
      <c r="AH1186" s="19"/>
      <c r="AI1186" s="19"/>
      <c r="AJ1186" s="19"/>
      <c r="FM1186" s="54"/>
    </row>
    <row r="1187" spans="1:169" s="18" customFormat="1">
      <c r="A1187" s="51"/>
      <c r="B1187" s="52"/>
      <c r="C1187" s="52"/>
      <c r="D1187" s="52"/>
      <c r="E1187" s="52"/>
      <c r="F1187" s="52"/>
      <c r="G1187" s="52"/>
      <c r="H1187" s="53"/>
      <c r="I1187" s="52"/>
      <c r="J1187" s="52"/>
      <c r="K1187" s="19"/>
      <c r="L1187" s="19"/>
      <c r="M1187" s="19"/>
      <c r="N1187" s="19"/>
      <c r="O1187" s="19"/>
      <c r="P1187" s="19"/>
      <c r="Q1187" s="19"/>
      <c r="R1187" s="19"/>
      <c r="S1187" s="19"/>
      <c r="T1187" s="19"/>
      <c r="U1187" s="19"/>
      <c r="V1187" s="19"/>
      <c r="W1187" s="19"/>
      <c r="X1187" s="19"/>
      <c r="Y1187" s="19"/>
      <c r="Z1187" s="19"/>
      <c r="AA1187" s="19"/>
      <c r="AB1187" s="19"/>
      <c r="AC1187" s="19"/>
      <c r="AD1187" s="19"/>
      <c r="AE1187" s="19"/>
      <c r="AF1187" s="19"/>
      <c r="AG1187" s="19"/>
      <c r="AH1187" s="19"/>
      <c r="AI1187" s="19"/>
      <c r="AJ1187" s="19"/>
      <c r="FM1187" s="54"/>
    </row>
    <row r="1188" spans="1:169" s="18" customFormat="1">
      <c r="A1188" s="51"/>
      <c r="B1188" s="52"/>
      <c r="C1188" s="52"/>
      <c r="D1188" s="52"/>
      <c r="E1188" s="52"/>
      <c r="F1188" s="52"/>
      <c r="G1188" s="52"/>
      <c r="H1188" s="53"/>
      <c r="I1188" s="52"/>
      <c r="J1188" s="52"/>
      <c r="K1188" s="19"/>
      <c r="L1188" s="19"/>
      <c r="M1188" s="19"/>
      <c r="N1188" s="19"/>
      <c r="O1188" s="19"/>
      <c r="P1188" s="19"/>
      <c r="Q1188" s="19"/>
      <c r="R1188" s="19"/>
      <c r="S1188" s="19"/>
      <c r="T1188" s="19"/>
      <c r="U1188" s="19"/>
      <c r="V1188" s="19"/>
      <c r="W1188" s="19"/>
      <c r="X1188" s="19"/>
      <c r="Y1188" s="19"/>
      <c r="Z1188" s="19"/>
      <c r="AA1188" s="19"/>
      <c r="AB1188" s="19"/>
      <c r="AC1188" s="19"/>
      <c r="AD1188" s="19"/>
      <c r="AE1188" s="19"/>
      <c r="AF1188" s="19"/>
      <c r="AG1188" s="19"/>
      <c r="AH1188" s="19"/>
      <c r="AI1188" s="19"/>
      <c r="AJ1188" s="19"/>
      <c r="FM1188" s="54"/>
    </row>
    <row r="1189" spans="1:169" s="18" customFormat="1">
      <c r="A1189" s="51"/>
      <c r="B1189" s="52"/>
      <c r="C1189" s="52"/>
      <c r="D1189" s="52"/>
      <c r="E1189" s="52"/>
      <c r="F1189" s="52"/>
      <c r="G1189" s="52"/>
      <c r="H1189" s="53"/>
      <c r="I1189" s="52"/>
      <c r="J1189" s="52"/>
      <c r="K1189" s="19"/>
      <c r="L1189" s="19"/>
      <c r="M1189" s="19"/>
      <c r="N1189" s="19"/>
      <c r="O1189" s="19"/>
      <c r="P1189" s="19"/>
      <c r="Q1189" s="19"/>
      <c r="R1189" s="19"/>
      <c r="S1189" s="19"/>
      <c r="T1189" s="19"/>
      <c r="U1189" s="19"/>
      <c r="V1189" s="19"/>
      <c r="W1189" s="19"/>
      <c r="X1189" s="19"/>
      <c r="Y1189" s="19"/>
      <c r="Z1189" s="19"/>
      <c r="AA1189" s="19"/>
      <c r="AB1189" s="19"/>
      <c r="AC1189" s="19"/>
      <c r="AD1189" s="19"/>
      <c r="AE1189" s="19"/>
      <c r="AF1189" s="19"/>
      <c r="AG1189" s="19"/>
      <c r="AH1189" s="19"/>
      <c r="AI1189" s="19"/>
      <c r="AJ1189" s="19"/>
      <c r="FM1189" s="54"/>
    </row>
    <row r="1190" spans="1:169" s="18" customFormat="1">
      <c r="A1190" s="51"/>
      <c r="B1190" s="52"/>
      <c r="C1190" s="52"/>
      <c r="D1190" s="52"/>
      <c r="E1190" s="52"/>
      <c r="F1190" s="52"/>
      <c r="G1190" s="52"/>
      <c r="H1190" s="53"/>
      <c r="I1190" s="52"/>
      <c r="J1190" s="52"/>
      <c r="K1190" s="19"/>
      <c r="L1190" s="19"/>
      <c r="M1190" s="19"/>
      <c r="N1190" s="19"/>
      <c r="O1190" s="19"/>
      <c r="P1190" s="19"/>
      <c r="Q1190" s="19"/>
      <c r="R1190" s="19"/>
      <c r="S1190" s="19"/>
      <c r="T1190" s="19"/>
      <c r="U1190" s="19"/>
      <c r="V1190" s="19"/>
      <c r="W1190" s="19"/>
      <c r="X1190" s="19"/>
      <c r="Y1190" s="19"/>
      <c r="Z1190" s="19"/>
      <c r="AA1190" s="19"/>
      <c r="AB1190" s="19"/>
      <c r="AC1190" s="19"/>
      <c r="AD1190" s="19"/>
      <c r="AE1190" s="19"/>
      <c r="AF1190" s="19"/>
      <c r="AG1190" s="19"/>
      <c r="AH1190" s="19"/>
      <c r="AI1190" s="19"/>
      <c r="AJ1190" s="19"/>
      <c r="FM1190" s="54"/>
    </row>
    <row r="1191" spans="1:169" s="18" customFormat="1">
      <c r="A1191" s="51"/>
      <c r="B1191" s="52"/>
      <c r="C1191" s="52"/>
      <c r="D1191" s="52"/>
      <c r="E1191" s="52"/>
      <c r="F1191" s="52"/>
      <c r="G1191" s="52"/>
      <c r="H1191" s="53"/>
      <c r="I1191" s="52"/>
      <c r="J1191" s="52"/>
      <c r="K1191" s="19"/>
      <c r="L1191" s="19"/>
      <c r="M1191" s="19"/>
      <c r="N1191" s="19"/>
      <c r="O1191" s="19"/>
      <c r="P1191" s="19"/>
      <c r="Q1191" s="19"/>
      <c r="R1191" s="19"/>
      <c r="S1191" s="19"/>
      <c r="T1191" s="19"/>
      <c r="U1191" s="19"/>
      <c r="V1191" s="19"/>
      <c r="W1191" s="19"/>
      <c r="X1191" s="19"/>
      <c r="Y1191" s="19"/>
      <c r="Z1191" s="19"/>
      <c r="AA1191" s="19"/>
      <c r="AB1191" s="19"/>
      <c r="AC1191" s="19"/>
      <c r="AD1191" s="19"/>
      <c r="AE1191" s="19"/>
      <c r="AF1191" s="19"/>
      <c r="AG1191" s="19"/>
      <c r="AH1191" s="19"/>
      <c r="AI1191" s="19"/>
      <c r="AJ1191" s="19"/>
      <c r="FM1191" s="54"/>
    </row>
    <row r="1192" spans="1:169" s="18" customFormat="1">
      <c r="A1192" s="51"/>
      <c r="B1192" s="52"/>
      <c r="C1192" s="52"/>
      <c r="D1192" s="52"/>
      <c r="E1192" s="52"/>
      <c r="F1192" s="52"/>
      <c r="G1192" s="52"/>
      <c r="H1192" s="53"/>
      <c r="I1192" s="52"/>
      <c r="J1192" s="52"/>
      <c r="K1192" s="19"/>
      <c r="L1192" s="19"/>
      <c r="M1192" s="19"/>
      <c r="N1192" s="19"/>
      <c r="O1192" s="19"/>
      <c r="P1192" s="19"/>
      <c r="Q1192" s="19"/>
      <c r="R1192" s="19"/>
      <c r="S1192" s="19"/>
      <c r="T1192" s="19"/>
      <c r="U1192" s="19"/>
      <c r="V1192" s="19"/>
      <c r="W1192" s="19"/>
      <c r="X1192" s="19"/>
      <c r="Y1192" s="19"/>
      <c r="Z1192" s="19"/>
      <c r="AA1192" s="19"/>
      <c r="AB1192" s="19"/>
      <c r="AC1192" s="19"/>
      <c r="AD1192" s="19"/>
      <c r="AE1192" s="19"/>
      <c r="AF1192" s="19"/>
      <c r="AG1192" s="19"/>
      <c r="AH1192" s="19"/>
      <c r="AI1192" s="19"/>
      <c r="AJ1192" s="19"/>
      <c r="FM1192" s="54"/>
    </row>
    <row r="1193" spans="1:169" s="18" customFormat="1">
      <c r="A1193" s="51"/>
      <c r="B1193" s="52"/>
      <c r="C1193" s="52"/>
      <c r="D1193" s="52"/>
      <c r="E1193" s="52"/>
      <c r="F1193" s="52"/>
      <c r="G1193" s="52"/>
      <c r="H1193" s="53"/>
      <c r="I1193" s="52"/>
      <c r="J1193" s="52"/>
      <c r="K1193" s="19"/>
      <c r="L1193" s="19"/>
      <c r="M1193" s="19"/>
      <c r="N1193" s="19"/>
      <c r="O1193" s="19"/>
      <c r="P1193" s="19"/>
      <c r="Q1193" s="19"/>
      <c r="R1193" s="19"/>
      <c r="S1193" s="19"/>
      <c r="T1193" s="19"/>
      <c r="U1193" s="19"/>
      <c r="V1193" s="19"/>
      <c r="W1193" s="19"/>
      <c r="X1193" s="19"/>
      <c r="Y1193" s="19"/>
      <c r="Z1193" s="19"/>
      <c r="AA1193" s="19"/>
      <c r="AB1193" s="19"/>
      <c r="AC1193" s="19"/>
      <c r="AD1193" s="19"/>
      <c r="AE1193" s="19"/>
      <c r="AF1193" s="19"/>
      <c r="AG1193" s="19"/>
      <c r="AH1193" s="19"/>
      <c r="AI1193" s="19"/>
      <c r="AJ1193" s="19"/>
      <c r="FM1193" s="54"/>
    </row>
    <row r="1194" spans="1:169" s="18" customFormat="1">
      <c r="A1194" s="51"/>
      <c r="B1194" s="52"/>
      <c r="C1194" s="52"/>
      <c r="D1194" s="52"/>
      <c r="E1194" s="52"/>
      <c r="F1194" s="52"/>
      <c r="G1194" s="52"/>
      <c r="H1194" s="53"/>
      <c r="I1194" s="52"/>
      <c r="J1194" s="52"/>
      <c r="K1194" s="19"/>
      <c r="L1194" s="19"/>
      <c r="M1194" s="19"/>
      <c r="N1194" s="19"/>
      <c r="O1194" s="19"/>
      <c r="P1194" s="19"/>
      <c r="Q1194" s="19"/>
      <c r="R1194" s="19"/>
      <c r="S1194" s="19"/>
      <c r="T1194" s="19"/>
      <c r="U1194" s="19"/>
      <c r="V1194" s="19"/>
      <c r="W1194" s="19"/>
      <c r="X1194" s="19"/>
      <c r="Y1194" s="19"/>
      <c r="Z1194" s="19"/>
      <c r="AA1194" s="19"/>
      <c r="AB1194" s="19"/>
      <c r="AC1194" s="19"/>
      <c r="AD1194" s="19"/>
      <c r="AE1194" s="19"/>
      <c r="AF1194" s="19"/>
      <c r="AG1194" s="19"/>
      <c r="AH1194" s="19"/>
      <c r="AI1194" s="19"/>
      <c r="AJ1194" s="19"/>
      <c r="FM1194" s="54"/>
    </row>
    <row r="1195" spans="1:169" s="18" customFormat="1">
      <c r="A1195" s="51"/>
      <c r="B1195" s="52"/>
      <c r="C1195" s="52"/>
      <c r="D1195" s="52"/>
      <c r="E1195" s="52"/>
      <c r="F1195" s="52"/>
      <c r="G1195" s="52"/>
      <c r="H1195" s="53"/>
      <c r="I1195" s="52"/>
      <c r="J1195" s="52"/>
      <c r="K1195" s="19"/>
      <c r="L1195" s="19"/>
      <c r="M1195" s="19"/>
      <c r="N1195" s="19"/>
      <c r="O1195" s="19"/>
      <c r="P1195" s="19"/>
      <c r="Q1195" s="19"/>
      <c r="R1195" s="19"/>
      <c r="S1195" s="19"/>
      <c r="T1195" s="19"/>
      <c r="U1195" s="19"/>
      <c r="V1195" s="19"/>
      <c r="W1195" s="19"/>
      <c r="X1195" s="19"/>
      <c r="Y1195" s="19"/>
      <c r="Z1195" s="19"/>
      <c r="AA1195" s="19"/>
      <c r="AB1195" s="19"/>
      <c r="AC1195" s="19"/>
      <c r="AD1195" s="19"/>
      <c r="AE1195" s="19"/>
      <c r="AF1195" s="19"/>
      <c r="AG1195" s="19"/>
      <c r="AH1195" s="19"/>
      <c r="AI1195" s="19"/>
      <c r="AJ1195" s="19"/>
      <c r="FM1195" s="54"/>
    </row>
    <row r="1196" spans="1:169" s="18" customFormat="1">
      <c r="A1196" s="51"/>
      <c r="B1196" s="52"/>
      <c r="C1196" s="52"/>
      <c r="D1196" s="52"/>
      <c r="E1196" s="52"/>
      <c r="F1196" s="52"/>
      <c r="G1196" s="52"/>
      <c r="H1196" s="53"/>
      <c r="I1196" s="52"/>
      <c r="J1196" s="52"/>
      <c r="K1196" s="19"/>
      <c r="L1196" s="19"/>
      <c r="M1196" s="19"/>
      <c r="N1196" s="19"/>
      <c r="O1196" s="19"/>
      <c r="P1196" s="19"/>
      <c r="Q1196" s="19"/>
      <c r="R1196" s="19"/>
      <c r="S1196" s="19"/>
      <c r="T1196" s="19"/>
      <c r="U1196" s="19"/>
      <c r="V1196" s="19"/>
      <c r="W1196" s="19"/>
      <c r="X1196" s="19"/>
      <c r="Y1196" s="19"/>
      <c r="Z1196" s="19"/>
      <c r="AA1196" s="19"/>
      <c r="AB1196" s="19"/>
      <c r="AC1196" s="19"/>
      <c r="AD1196" s="19"/>
      <c r="AE1196" s="19"/>
      <c r="AF1196" s="19"/>
      <c r="AG1196" s="19"/>
      <c r="AH1196" s="19"/>
      <c r="AI1196" s="19"/>
      <c r="AJ1196" s="19"/>
      <c r="FM1196" s="54"/>
    </row>
    <row r="1197" spans="1:169" s="18" customFormat="1">
      <c r="A1197" s="51"/>
      <c r="B1197" s="52"/>
      <c r="C1197" s="52"/>
      <c r="D1197" s="52"/>
      <c r="E1197" s="52"/>
      <c r="F1197" s="52"/>
      <c r="G1197" s="52"/>
      <c r="H1197" s="53"/>
      <c r="I1197" s="52"/>
      <c r="J1197" s="52"/>
      <c r="K1197" s="19"/>
      <c r="L1197" s="19"/>
      <c r="M1197" s="19"/>
      <c r="N1197" s="19"/>
      <c r="O1197" s="19"/>
      <c r="P1197" s="19"/>
      <c r="Q1197" s="19"/>
      <c r="R1197" s="19"/>
      <c r="S1197" s="19"/>
      <c r="T1197" s="19"/>
      <c r="U1197" s="19"/>
      <c r="V1197" s="19"/>
      <c r="W1197" s="19"/>
      <c r="X1197" s="19"/>
      <c r="Y1197" s="19"/>
      <c r="Z1197" s="19"/>
      <c r="AA1197" s="19"/>
      <c r="AB1197" s="19"/>
      <c r="AC1197" s="19"/>
      <c r="AD1197" s="19"/>
      <c r="AE1197" s="19"/>
      <c r="AF1197" s="19"/>
      <c r="AG1197" s="19"/>
      <c r="AH1197" s="19"/>
      <c r="AI1197" s="19"/>
      <c r="AJ1197" s="19"/>
      <c r="FM1197" s="54"/>
    </row>
    <row r="1198" spans="1:169" s="18" customFormat="1">
      <c r="A1198" s="51"/>
      <c r="B1198" s="52"/>
      <c r="C1198" s="52"/>
      <c r="D1198" s="52"/>
      <c r="E1198" s="52"/>
      <c r="F1198" s="52"/>
      <c r="G1198" s="52"/>
      <c r="H1198" s="53"/>
      <c r="I1198" s="52"/>
      <c r="J1198" s="52"/>
      <c r="K1198" s="19"/>
      <c r="L1198" s="19"/>
      <c r="M1198" s="19"/>
      <c r="N1198" s="19"/>
      <c r="O1198" s="19"/>
      <c r="P1198" s="19"/>
      <c r="Q1198" s="19"/>
      <c r="R1198" s="19"/>
      <c r="S1198" s="19"/>
      <c r="T1198" s="19"/>
      <c r="U1198" s="19"/>
      <c r="V1198" s="19"/>
      <c r="W1198" s="19"/>
      <c r="X1198" s="19"/>
      <c r="Y1198" s="19"/>
      <c r="Z1198" s="19"/>
      <c r="AA1198" s="19"/>
      <c r="AB1198" s="19"/>
      <c r="AC1198" s="19"/>
      <c r="AD1198" s="19"/>
      <c r="AE1198" s="19"/>
      <c r="AF1198" s="19"/>
      <c r="AG1198" s="19"/>
      <c r="AH1198" s="19"/>
      <c r="AI1198" s="19"/>
      <c r="AJ1198" s="19"/>
      <c r="FM1198" s="54"/>
    </row>
    <row r="1199" spans="1:169" s="18" customFormat="1">
      <c r="A1199" s="51"/>
      <c r="B1199" s="52"/>
      <c r="C1199" s="52"/>
      <c r="D1199" s="52"/>
      <c r="E1199" s="52"/>
      <c r="F1199" s="52"/>
      <c r="G1199" s="52"/>
      <c r="H1199" s="53"/>
      <c r="I1199" s="52"/>
      <c r="J1199" s="52"/>
      <c r="K1199" s="19"/>
      <c r="L1199" s="19"/>
      <c r="M1199" s="19"/>
      <c r="N1199" s="19"/>
      <c r="O1199" s="19"/>
      <c r="P1199" s="19"/>
      <c r="Q1199" s="19"/>
      <c r="R1199" s="19"/>
      <c r="S1199" s="19"/>
      <c r="T1199" s="19"/>
      <c r="U1199" s="19"/>
      <c r="V1199" s="19"/>
      <c r="W1199" s="19"/>
      <c r="X1199" s="19"/>
      <c r="Y1199" s="19"/>
      <c r="Z1199" s="19"/>
      <c r="AA1199" s="19"/>
      <c r="AB1199" s="19"/>
      <c r="AC1199" s="19"/>
      <c r="AD1199" s="19"/>
      <c r="AE1199" s="19"/>
      <c r="AF1199" s="19"/>
      <c r="AG1199" s="19"/>
      <c r="AH1199" s="19"/>
      <c r="AI1199" s="19"/>
      <c r="AJ1199" s="19"/>
      <c r="FM1199" s="54"/>
    </row>
    <row r="1200" spans="1:169" s="18" customFormat="1">
      <c r="A1200" s="51"/>
      <c r="B1200" s="52"/>
      <c r="C1200" s="52"/>
      <c r="D1200" s="52"/>
      <c r="E1200" s="52"/>
      <c r="F1200" s="52"/>
      <c r="G1200" s="52"/>
      <c r="H1200" s="53"/>
      <c r="I1200" s="52"/>
      <c r="J1200" s="52"/>
      <c r="K1200" s="19"/>
      <c r="L1200" s="19"/>
      <c r="M1200" s="19"/>
      <c r="N1200" s="19"/>
      <c r="O1200" s="19"/>
      <c r="P1200" s="19"/>
      <c r="Q1200" s="19"/>
      <c r="R1200" s="19"/>
      <c r="S1200" s="19"/>
      <c r="T1200" s="19"/>
      <c r="U1200" s="19"/>
      <c r="V1200" s="19"/>
      <c r="W1200" s="19"/>
      <c r="X1200" s="19"/>
      <c r="Y1200" s="19"/>
      <c r="Z1200" s="19"/>
      <c r="AA1200" s="19"/>
      <c r="AB1200" s="19"/>
      <c r="AC1200" s="19"/>
      <c r="AD1200" s="19"/>
      <c r="AE1200" s="19"/>
      <c r="AF1200" s="19"/>
      <c r="AG1200" s="19"/>
      <c r="AH1200" s="19"/>
      <c r="AI1200" s="19"/>
      <c r="AJ1200" s="19"/>
      <c r="FM1200" s="54"/>
    </row>
    <row r="1201" spans="1:169" s="18" customFormat="1">
      <c r="A1201" s="51"/>
      <c r="B1201" s="52"/>
      <c r="C1201" s="52"/>
      <c r="D1201" s="52"/>
      <c r="E1201" s="52"/>
      <c r="F1201" s="52"/>
      <c r="G1201" s="52"/>
      <c r="H1201" s="53"/>
      <c r="I1201" s="52"/>
      <c r="J1201" s="52"/>
      <c r="K1201" s="19"/>
      <c r="L1201" s="19"/>
      <c r="M1201" s="19"/>
      <c r="N1201" s="19"/>
      <c r="O1201" s="19"/>
      <c r="P1201" s="19"/>
      <c r="Q1201" s="19"/>
      <c r="R1201" s="19"/>
      <c r="S1201" s="19"/>
      <c r="T1201" s="19"/>
      <c r="U1201" s="19"/>
      <c r="V1201" s="19"/>
      <c r="W1201" s="19"/>
      <c r="X1201" s="19"/>
      <c r="Y1201" s="19"/>
      <c r="Z1201" s="19"/>
      <c r="AA1201" s="19"/>
      <c r="AB1201" s="19"/>
      <c r="AC1201" s="19"/>
      <c r="AD1201" s="19"/>
      <c r="AE1201" s="19"/>
      <c r="AF1201" s="19"/>
      <c r="AG1201" s="19"/>
      <c r="AH1201" s="19"/>
      <c r="AI1201" s="19"/>
      <c r="AJ1201" s="19"/>
      <c r="FM1201" s="54"/>
    </row>
    <row r="1202" spans="1:169" s="18" customFormat="1">
      <c r="A1202" s="51"/>
      <c r="B1202" s="52"/>
      <c r="C1202" s="52"/>
      <c r="D1202" s="52"/>
      <c r="E1202" s="52"/>
      <c r="F1202" s="52"/>
      <c r="G1202" s="52"/>
      <c r="H1202" s="53"/>
      <c r="I1202" s="52"/>
      <c r="J1202" s="52"/>
      <c r="K1202" s="19"/>
      <c r="L1202" s="19"/>
      <c r="M1202" s="19"/>
      <c r="N1202" s="19"/>
      <c r="O1202" s="19"/>
      <c r="P1202" s="19"/>
      <c r="Q1202" s="19"/>
      <c r="R1202" s="19"/>
      <c r="S1202" s="19"/>
      <c r="T1202" s="19"/>
      <c r="U1202" s="19"/>
      <c r="V1202" s="19"/>
      <c r="W1202" s="19"/>
      <c r="X1202" s="19"/>
      <c r="Y1202" s="19"/>
      <c r="Z1202" s="19"/>
      <c r="AA1202" s="19"/>
      <c r="AB1202" s="19"/>
      <c r="AC1202" s="19"/>
      <c r="AD1202" s="19"/>
      <c r="AE1202" s="19"/>
      <c r="AF1202" s="19"/>
      <c r="AG1202" s="19"/>
      <c r="AH1202" s="19"/>
      <c r="AI1202" s="19"/>
      <c r="AJ1202" s="19"/>
      <c r="FM1202" s="54"/>
    </row>
    <row r="1203" spans="1:169" s="18" customFormat="1">
      <c r="A1203" s="51"/>
      <c r="B1203" s="52"/>
      <c r="C1203" s="52"/>
      <c r="D1203" s="52"/>
      <c r="E1203" s="52"/>
      <c r="F1203" s="52"/>
      <c r="G1203" s="52"/>
      <c r="H1203" s="53"/>
      <c r="I1203" s="52"/>
      <c r="J1203" s="52"/>
      <c r="K1203" s="19"/>
      <c r="L1203" s="19"/>
      <c r="M1203" s="19"/>
      <c r="N1203" s="19"/>
      <c r="O1203" s="19"/>
      <c r="P1203" s="19"/>
      <c r="Q1203" s="19"/>
      <c r="R1203" s="19"/>
      <c r="S1203" s="19"/>
      <c r="T1203" s="19"/>
      <c r="U1203" s="19"/>
      <c r="V1203" s="19"/>
      <c r="W1203" s="19"/>
      <c r="X1203" s="19"/>
      <c r="Y1203" s="19"/>
      <c r="Z1203" s="19"/>
      <c r="AA1203" s="19"/>
      <c r="AB1203" s="19"/>
      <c r="AC1203" s="19"/>
      <c r="AD1203" s="19"/>
      <c r="AE1203" s="19"/>
      <c r="AF1203" s="19"/>
      <c r="AG1203" s="19"/>
      <c r="AH1203" s="19"/>
      <c r="AI1203" s="19"/>
      <c r="AJ1203" s="19"/>
      <c r="FM1203" s="54"/>
    </row>
    <row r="1204" spans="1:169" s="18" customFormat="1">
      <c r="A1204" s="51"/>
      <c r="B1204" s="52"/>
      <c r="C1204" s="52"/>
      <c r="D1204" s="52"/>
      <c r="E1204" s="52"/>
      <c r="F1204" s="52"/>
      <c r="G1204" s="52"/>
      <c r="H1204" s="53"/>
      <c r="I1204" s="52"/>
      <c r="J1204" s="52"/>
      <c r="K1204" s="19"/>
      <c r="L1204" s="19"/>
      <c r="M1204" s="19"/>
      <c r="N1204" s="19"/>
      <c r="O1204" s="19"/>
      <c r="P1204" s="19"/>
      <c r="Q1204" s="19"/>
      <c r="R1204" s="19"/>
      <c r="S1204" s="19"/>
      <c r="T1204" s="19"/>
      <c r="U1204" s="19"/>
      <c r="V1204" s="19"/>
      <c r="W1204" s="19"/>
      <c r="X1204" s="19"/>
      <c r="Y1204" s="19"/>
      <c r="Z1204" s="19"/>
      <c r="AA1204" s="19"/>
      <c r="AB1204" s="19"/>
      <c r="AC1204" s="19"/>
      <c r="AD1204" s="19"/>
      <c r="AE1204" s="19"/>
      <c r="AF1204" s="19"/>
      <c r="AG1204" s="19"/>
      <c r="AH1204" s="19"/>
      <c r="AI1204" s="19"/>
      <c r="AJ1204" s="19"/>
      <c r="FM1204" s="54"/>
    </row>
    <row r="1205" spans="1:169" s="18" customFormat="1">
      <c r="A1205" s="51"/>
      <c r="B1205" s="52"/>
      <c r="C1205" s="52"/>
      <c r="D1205" s="52"/>
      <c r="E1205" s="52"/>
      <c r="F1205" s="52"/>
      <c r="G1205" s="52"/>
      <c r="H1205" s="53"/>
      <c r="I1205" s="52"/>
      <c r="J1205" s="52"/>
      <c r="K1205" s="19"/>
      <c r="L1205" s="19"/>
      <c r="M1205" s="19"/>
      <c r="N1205" s="19"/>
      <c r="O1205" s="19"/>
      <c r="P1205" s="19"/>
      <c r="Q1205" s="19"/>
      <c r="R1205" s="19"/>
      <c r="S1205" s="19"/>
      <c r="T1205" s="19"/>
      <c r="U1205" s="19"/>
      <c r="V1205" s="19"/>
      <c r="W1205" s="19"/>
      <c r="X1205" s="19"/>
      <c r="Y1205" s="19"/>
      <c r="Z1205" s="19"/>
      <c r="AA1205" s="19"/>
      <c r="AB1205" s="19"/>
      <c r="AC1205" s="19"/>
      <c r="AD1205" s="19"/>
      <c r="AE1205" s="19"/>
      <c r="AF1205" s="19"/>
      <c r="AG1205" s="19"/>
      <c r="AH1205" s="19"/>
      <c r="AI1205" s="19"/>
      <c r="AJ1205" s="19"/>
      <c r="FM1205" s="54"/>
    </row>
    <row r="1206" spans="1:169" s="18" customFormat="1">
      <c r="A1206" s="51"/>
      <c r="B1206" s="52"/>
      <c r="C1206" s="52"/>
      <c r="D1206" s="52"/>
      <c r="E1206" s="52"/>
      <c r="F1206" s="52"/>
      <c r="G1206" s="52"/>
      <c r="H1206" s="53"/>
      <c r="I1206" s="52"/>
      <c r="J1206" s="52"/>
      <c r="K1206" s="19"/>
      <c r="L1206" s="19"/>
      <c r="M1206" s="19"/>
      <c r="N1206" s="19"/>
      <c r="O1206" s="19"/>
      <c r="P1206" s="19"/>
      <c r="Q1206" s="19"/>
      <c r="R1206" s="19"/>
      <c r="S1206" s="19"/>
      <c r="T1206" s="19"/>
      <c r="U1206" s="19"/>
      <c r="V1206" s="19"/>
      <c r="W1206" s="19"/>
      <c r="X1206" s="19"/>
      <c r="Y1206" s="19"/>
      <c r="Z1206" s="19"/>
      <c r="AA1206" s="19"/>
      <c r="AB1206" s="19"/>
      <c r="AC1206" s="19"/>
      <c r="AD1206" s="19"/>
      <c r="AE1206" s="19"/>
      <c r="AF1206" s="19"/>
      <c r="AG1206" s="19"/>
      <c r="AH1206" s="19"/>
      <c r="AI1206" s="19"/>
      <c r="AJ1206" s="19"/>
      <c r="FM1206" s="54"/>
    </row>
    <row r="1207" spans="1:169" s="18" customFormat="1">
      <c r="A1207" s="51"/>
      <c r="B1207" s="52"/>
      <c r="C1207" s="52"/>
      <c r="D1207" s="52"/>
      <c r="E1207" s="52"/>
      <c r="F1207" s="52"/>
      <c r="G1207" s="52"/>
      <c r="H1207" s="53"/>
      <c r="I1207" s="52"/>
      <c r="J1207" s="52"/>
      <c r="K1207" s="19"/>
      <c r="L1207" s="19"/>
      <c r="M1207" s="19"/>
      <c r="N1207" s="19"/>
      <c r="O1207" s="19"/>
      <c r="P1207" s="19"/>
      <c r="Q1207" s="19"/>
      <c r="R1207" s="19"/>
      <c r="S1207" s="19"/>
      <c r="T1207" s="19"/>
      <c r="U1207" s="19"/>
      <c r="V1207" s="19"/>
      <c r="W1207" s="19"/>
      <c r="X1207" s="19"/>
      <c r="Y1207" s="19"/>
      <c r="Z1207" s="19"/>
      <c r="AA1207" s="19"/>
      <c r="AB1207" s="19"/>
      <c r="AC1207" s="19"/>
      <c r="AD1207" s="19"/>
      <c r="AE1207" s="19"/>
      <c r="AF1207" s="19"/>
      <c r="AG1207" s="19"/>
      <c r="AH1207" s="19"/>
      <c r="AI1207" s="19"/>
      <c r="AJ1207" s="19"/>
      <c r="FM1207" s="54"/>
    </row>
    <row r="1208" spans="1:169" s="18" customFormat="1">
      <c r="A1208" s="51"/>
      <c r="B1208" s="52"/>
      <c r="C1208" s="52"/>
      <c r="D1208" s="52"/>
      <c r="E1208" s="52"/>
      <c r="F1208" s="52"/>
      <c r="G1208" s="52"/>
      <c r="H1208" s="53"/>
      <c r="I1208" s="52"/>
      <c r="J1208" s="52"/>
      <c r="K1208" s="19"/>
      <c r="L1208" s="19"/>
      <c r="M1208" s="19"/>
      <c r="N1208" s="19"/>
      <c r="O1208" s="19"/>
      <c r="P1208" s="19"/>
      <c r="Q1208" s="19"/>
      <c r="R1208" s="19"/>
      <c r="S1208" s="19"/>
      <c r="T1208" s="19"/>
      <c r="U1208" s="19"/>
      <c r="V1208" s="19"/>
      <c r="W1208" s="19"/>
      <c r="X1208" s="19"/>
      <c r="Y1208" s="19"/>
      <c r="Z1208" s="19"/>
      <c r="AA1208" s="19"/>
      <c r="AB1208" s="19"/>
      <c r="AC1208" s="19"/>
      <c r="AD1208" s="19"/>
      <c r="AE1208" s="19"/>
      <c r="AF1208" s="19"/>
      <c r="AG1208" s="19"/>
      <c r="AH1208" s="19"/>
      <c r="AI1208" s="19"/>
      <c r="AJ1208" s="19"/>
      <c r="FM1208" s="54"/>
    </row>
    <row r="1209" spans="1:169" s="18" customFormat="1">
      <c r="A1209" s="51"/>
      <c r="B1209" s="52"/>
      <c r="C1209" s="52"/>
      <c r="D1209" s="52"/>
      <c r="E1209" s="52"/>
      <c r="F1209" s="52"/>
      <c r="G1209" s="52"/>
      <c r="H1209" s="53"/>
      <c r="I1209" s="52"/>
      <c r="J1209" s="52"/>
      <c r="K1209" s="19"/>
      <c r="L1209" s="19"/>
      <c r="M1209" s="19"/>
      <c r="N1209" s="19"/>
      <c r="O1209" s="19"/>
      <c r="P1209" s="19"/>
      <c r="Q1209" s="19"/>
      <c r="R1209" s="19"/>
      <c r="S1209" s="19"/>
      <c r="T1209" s="19"/>
      <c r="U1209" s="19"/>
      <c r="V1209" s="19"/>
      <c r="W1209" s="19"/>
      <c r="X1209" s="19"/>
      <c r="Y1209" s="19"/>
      <c r="Z1209" s="19"/>
      <c r="AA1209" s="19"/>
      <c r="AB1209" s="19"/>
      <c r="AC1209" s="19"/>
      <c r="AD1209" s="19"/>
      <c r="AE1209" s="19"/>
      <c r="AF1209" s="19"/>
      <c r="AG1209" s="19"/>
      <c r="AH1209" s="19"/>
      <c r="AI1209" s="19"/>
      <c r="AJ1209" s="19"/>
      <c r="FM1209" s="54"/>
    </row>
    <row r="1210" spans="1:169" s="18" customFormat="1">
      <c r="A1210" s="51"/>
      <c r="B1210" s="52"/>
      <c r="C1210" s="52"/>
      <c r="D1210" s="52"/>
      <c r="E1210" s="52"/>
      <c r="F1210" s="52"/>
      <c r="G1210" s="52"/>
      <c r="H1210" s="53"/>
      <c r="I1210" s="52"/>
      <c r="J1210" s="52"/>
      <c r="K1210" s="19"/>
      <c r="L1210" s="19"/>
      <c r="M1210" s="19"/>
      <c r="N1210" s="19"/>
      <c r="O1210" s="19"/>
      <c r="P1210" s="19"/>
      <c r="Q1210" s="19"/>
      <c r="R1210" s="19"/>
      <c r="S1210" s="19"/>
      <c r="T1210" s="19"/>
      <c r="U1210" s="19"/>
      <c r="V1210" s="19"/>
      <c r="W1210" s="19"/>
      <c r="X1210" s="19"/>
      <c r="Y1210" s="19"/>
      <c r="Z1210" s="19"/>
      <c r="AA1210" s="19"/>
      <c r="AB1210" s="19"/>
      <c r="AC1210" s="19"/>
      <c r="AD1210" s="19"/>
      <c r="AE1210" s="19"/>
      <c r="AF1210" s="19"/>
      <c r="AG1210" s="19"/>
      <c r="AH1210" s="19"/>
      <c r="AI1210" s="19"/>
      <c r="AJ1210" s="19"/>
      <c r="FM1210" s="54"/>
    </row>
    <row r="1211" spans="1:169" s="18" customFormat="1">
      <c r="A1211" s="51"/>
      <c r="B1211" s="52"/>
      <c r="C1211" s="52"/>
      <c r="D1211" s="52"/>
      <c r="E1211" s="52"/>
      <c r="F1211" s="52"/>
      <c r="G1211" s="52"/>
      <c r="H1211" s="53"/>
      <c r="I1211" s="52"/>
      <c r="J1211" s="52"/>
      <c r="K1211" s="19"/>
      <c r="L1211" s="19"/>
      <c r="M1211" s="19"/>
      <c r="N1211" s="19"/>
      <c r="O1211" s="19"/>
      <c r="P1211" s="19"/>
      <c r="Q1211" s="19"/>
      <c r="R1211" s="19"/>
      <c r="S1211" s="19"/>
      <c r="T1211" s="19"/>
      <c r="U1211" s="19"/>
      <c r="V1211" s="19"/>
      <c r="W1211" s="19"/>
      <c r="X1211" s="19"/>
      <c r="Y1211" s="19"/>
      <c r="Z1211" s="19"/>
      <c r="AA1211" s="19"/>
      <c r="AB1211" s="19"/>
      <c r="AC1211" s="19"/>
      <c r="AD1211" s="19"/>
      <c r="AE1211" s="19"/>
      <c r="AF1211" s="19"/>
      <c r="AG1211" s="19"/>
      <c r="AH1211" s="19"/>
      <c r="AI1211" s="19"/>
      <c r="AJ1211" s="19"/>
      <c r="FM1211" s="54"/>
    </row>
    <row r="1212" spans="1:169" s="18" customFormat="1">
      <c r="A1212" s="51"/>
      <c r="B1212" s="52"/>
      <c r="C1212" s="52"/>
      <c r="D1212" s="52"/>
      <c r="E1212" s="52"/>
      <c r="F1212" s="52"/>
      <c r="G1212" s="52"/>
      <c r="H1212" s="53"/>
      <c r="I1212" s="52"/>
      <c r="J1212" s="52"/>
      <c r="K1212" s="19"/>
      <c r="L1212" s="19"/>
      <c r="M1212" s="19"/>
      <c r="N1212" s="19"/>
      <c r="O1212" s="19"/>
      <c r="P1212" s="19"/>
      <c r="Q1212" s="19"/>
      <c r="R1212" s="19"/>
      <c r="S1212" s="19"/>
      <c r="T1212" s="19"/>
      <c r="U1212" s="19"/>
      <c r="V1212" s="19"/>
      <c r="W1212" s="19"/>
      <c r="X1212" s="19"/>
      <c r="Y1212" s="19"/>
      <c r="Z1212" s="19"/>
      <c r="AA1212" s="19"/>
      <c r="AB1212" s="19"/>
      <c r="AC1212" s="19"/>
      <c r="AD1212" s="19"/>
      <c r="AE1212" s="19"/>
      <c r="AF1212" s="19"/>
      <c r="AG1212" s="19"/>
      <c r="AH1212" s="19"/>
      <c r="AI1212" s="19"/>
      <c r="AJ1212" s="19"/>
      <c r="FM1212" s="54"/>
    </row>
    <row r="1213" spans="1:169" s="18" customFormat="1">
      <c r="A1213" s="51"/>
      <c r="B1213" s="52"/>
      <c r="C1213" s="52"/>
      <c r="D1213" s="52"/>
      <c r="E1213" s="52"/>
      <c r="F1213" s="52"/>
      <c r="G1213" s="52"/>
      <c r="H1213" s="53"/>
      <c r="I1213" s="52"/>
      <c r="J1213" s="52"/>
      <c r="K1213" s="19"/>
      <c r="L1213" s="19"/>
      <c r="M1213" s="19"/>
      <c r="N1213" s="19"/>
      <c r="O1213" s="19"/>
      <c r="P1213" s="19"/>
      <c r="Q1213" s="19"/>
      <c r="R1213" s="19"/>
      <c r="S1213" s="19"/>
      <c r="T1213" s="19"/>
      <c r="U1213" s="19"/>
      <c r="V1213" s="19"/>
      <c r="W1213" s="19"/>
      <c r="X1213" s="19"/>
      <c r="Y1213" s="19"/>
      <c r="Z1213" s="19"/>
      <c r="AA1213" s="19"/>
      <c r="AB1213" s="19"/>
      <c r="AC1213" s="19"/>
      <c r="AD1213" s="19"/>
      <c r="AE1213" s="19"/>
      <c r="AF1213" s="19"/>
      <c r="AG1213" s="19"/>
      <c r="AH1213" s="19"/>
      <c r="AI1213" s="19"/>
      <c r="AJ1213" s="19"/>
      <c r="FM1213" s="54"/>
    </row>
    <row r="1214" spans="1:169" s="18" customFormat="1">
      <c r="A1214" s="51"/>
      <c r="B1214" s="52"/>
      <c r="C1214" s="52"/>
      <c r="D1214" s="52"/>
      <c r="E1214" s="52"/>
      <c r="F1214" s="52"/>
      <c r="G1214" s="52"/>
      <c r="H1214" s="53"/>
      <c r="I1214" s="52"/>
      <c r="J1214" s="52"/>
      <c r="K1214" s="19"/>
      <c r="L1214" s="19"/>
      <c r="M1214" s="19"/>
      <c r="N1214" s="19"/>
      <c r="O1214" s="19"/>
      <c r="P1214" s="19"/>
      <c r="Q1214" s="19"/>
      <c r="R1214" s="19"/>
      <c r="S1214" s="19"/>
      <c r="T1214" s="19"/>
      <c r="U1214" s="19"/>
      <c r="V1214" s="19"/>
      <c r="W1214" s="19"/>
      <c r="X1214" s="19"/>
      <c r="Y1214" s="19"/>
      <c r="Z1214" s="19"/>
      <c r="AA1214" s="19"/>
      <c r="AB1214" s="19"/>
      <c r="AC1214" s="19"/>
      <c r="AD1214" s="19"/>
      <c r="AE1214" s="19"/>
      <c r="AF1214" s="19"/>
      <c r="AG1214" s="19"/>
      <c r="AH1214" s="19"/>
      <c r="AI1214" s="19"/>
      <c r="AJ1214" s="19"/>
      <c r="FM1214" s="54"/>
    </row>
    <row r="1215" spans="1:169" s="18" customFormat="1">
      <c r="A1215" s="51"/>
      <c r="B1215" s="52"/>
      <c r="C1215" s="52"/>
      <c r="D1215" s="52"/>
      <c r="E1215" s="52"/>
      <c r="F1215" s="52"/>
      <c r="G1215" s="52"/>
      <c r="H1215" s="53"/>
      <c r="I1215" s="52"/>
      <c r="J1215" s="52"/>
      <c r="K1215" s="19"/>
      <c r="L1215" s="19"/>
      <c r="M1215" s="19"/>
      <c r="N1215" s="19"/>
      <c r="O1215" s="19"/>
      <c r="P1215" s="19"/>
      <c r="Q1215" s="19"/>
      <c r="R1215" s="19"/>
      <c r="S1215" s="19"/>
      <c r="T1215" s="19"/>
      <c r="U1215" s="19"/>
      <c r="V1215" s="19"/>
      <c r="W1215" s="19"/>
      <c r="X1215" s="19"/>
      <c r="Y1215" s="19"/>
      <c r="Z1215" s="19"/>
      <c r="AA1215" s="19"/>
      <c r="AB1215" s="19"/>
      <c r="AC1215" s="19"/>
      <c r="AD1215" s="19"/>
      <c r="AE1215" s="19"/>
      <c r="AF1215" s="19"/>
      <c r="AG1215" s="19"/>
      <c r="AH1215" s="19"/>
      <c r="AI1215" s="19"/>
      <c r="AJ1215" s="19"/>
      <c r="FM1215" s="54"/>
    </row>
    <row r="1216" spans="1:169" s="18" customFormat="1">
      <c r="A1216" s="51"/>
      <c r="B1216" s="52"/>
      <c r="C1216" s="52"/>
      <c r="D1216" s="52"/>
      <c r="E1216" s="52"/>
      <c r="F1216" s="52"/>
      <c r="G1216" s="52"/>
      <c r="H1216" s="53"/>
      <c r="I1216" s="52"/>
      <c r="J1216" s="52"/>
      <c r="K1216" s="19"/>
      <c r="L1216" s="19"/>
      <c r="M1216" s="19"/>
      <c r="N1216" s="19"/>
      <c r="O1216" s="19"/>
      <c r="P1216" s="19"/>
      <c r="Q1216" s="19"/>
      <c r="R1216" s="19"/>
      <c r="S1216" s="19"/>
      <c r="T1216" s="19"/>
      <c r="U1216" s="19"/>
      <c r="V1216" s="19"/>
      <c r="W1216" s="19"/>
      <c r="X1216" s="19"/>
      <c r="Y1216" s="19"/>
      <c r="Z1216" s="19"/>
      <c r="AA1216" s="19"/>
      <c r="AB1216" s="19"/>
      <c r="AC1216" s="19"/>
      <c r="AD1216" s="19"/>
      <c r="AE1216" s="19"/>
      <c r="AF1216" s="19"/>
      <c r="AG1216" s="19"/>
      <c r="AH1216" s="19"/>
      <c r="AI1216" s="19"/>
      <c r="AJ1216" s="19"/>
      <c r="FM1216" s="54"/>
    </row>
    <row r="1217" spans="1:169" s="18" customFormat="1">
      <c r="A1217" s="51"/>
      <c r="B1217" s="52"/>
      <c r="C1217" s="52"/>
      <c r="D1217" s="52"/>
      <c r="E1217" s="52"/>
      <c r="F1217" s="52"/>
      <c r="G1217" s="52"/>
      <c r="H1217" s="53"/>
      <c r="I1217" s="52"/>
      <c r="J1217" s="52"/>
      <c r="K1217" s="19"/>
      <c r="L1217" s="19"/>
      <c r="M1217" s="19"/>
      <c r="N1217" s="19"/>
      <c r="O1217" s="19"/>
      <c r="P1217" s="19"/>
      <c r="Q1217" s="19"/>
      <c r="R1217" s="19"/>
      <c r="S1217" s="19"/>
      <c r="T1217" s="19"/>
      <c r="U1217" s="19"/>
      <c r="V1217" s="19"/>
      <c r="W1217" s="19"/>
      <c r="X1217" s="19"/>
      <c r="Y1217" s="19"/>
      <c r="Z1217" s="19"/>
      <c r="AA1217" s="19"/>
      <c r="AB1217" s="19"/>
      <c r="AC1217" s="19"/>
      <c r="AD1217" s="19"/>
      <c r="AE1217" s="19"/>
      <c r="AF1217" s="19"/>
      <c r="AG1217" s="19"/>
      <c r="AH1217" s="19"/>
      <c r="AI1217" s="19"/>
      <c r="AJ1217" s="19"/>
      <c r="FM1217" s="54"/>
    </row>
    <row r="1218" spans="1:169" s="18" customFormat="1">
      <c r="A1218" s="51"/>
      <c r="B1218" s="52"/>
      <c r="C1218" s="52"/>
      <c r="D1218" s="52"/>
      <c r="E1218" s="52"/>
      <c r="F1218" s="52"/>
      <c r="G1218" s="52"/>
      <c r="H1218" s="53"/>
      <c r="I1218" s="52"/>
      <c r="J1218" s="52"/>
      <c r="K1218" s="19"/>
      <c r="L1218" s="19"/>
      <c r="M1218" s="19"/>
      <c r="N1218" s="19"/>
      <c r="O1218" s="19"/>
      <c r="P1218" s="19"/>
      <c r="Q1218" s="19"/>
      <c r="R1218" s="19"/>
      <c r="S1218" s="19"/>
      <c r="T1218" s="19"/>
      <c r="U1218" s="19"/>
      <c r="V1218" s="19"/>
      <c r="W1218" s="19"/>
      <c r="X1218" s="19"/>
      <c r="Y1218" s="19"/>
      <c r="Z1218" s="19"/>
      <c r="AA1218" s="19"/>
      <c r="AB1218" s="19"/>
      <c r="AC1218" s="19"/>
      <c r="AD1218" s="19"/>
      <c r="AE1218" s="19"/>
      <c r="AF1218" s="19"/>
      <c r="AG1218" s="19"/>
      <c r="AH1218" s="19"/>
      <c r="AI1218" s="19"/>
      <c r="AJ1218" s="19"/>
      <c r="FM1218" s="54"/>
    </row>
    <row r="1219" spans="1:169" s="18" customFormat="1">
      <c r="A1219" s="51"/>
      <c r="B1219" s="52"/>
      <c r="C1219" s="52"/>
      <c r="D1219" s="52"/>
      <c r="E1219" s="52"/>
      <c r="F1219" s="52"/>
      <c r="G1219" s="52"/>
      <c r="H1219" s="53"/>
      <c r="I1219" s="52"/>
      <c r="J1219" s="52"/>
      <c r="K1219" s="19"/>
      <c r="L1219" s="19"/>
      <c r="M1219" s="19"/>
      <c r="N1219" s="19"/>
      <c r="O1219" s="19"/>
      <c r="P1219" s="19"/>
      <c r="Q1219" s="19"/>
      <c r="R1219" s="19"/>
      <c r="S1219" s="19"/>
      <c r="T1219" s="19"/>
      <c r="U1219" s="19"/>
      <c r="V1219" s="19"/>
      <c r="W1219" s="19"/>
      <c r="X1219" s="19"/>
      <c r="Y1219" s="19"/>
      <c r="Z1219" s="19"/>
      <c r="AA1219" s="19"/>
      <c r="AB1219" s="19"/>
      <c r="AC1219" s="19"/>
      <c r="AD1219" s="19"/>
      <c r="AE1219" s="19"/>
      <c r="AF1219" s="19"/>
      <c r="AG1219" s="19"/>
      <c r="AH1219" s="19"/>
      <c r="AI1219" s="19"/>
      <c r="AJ1219" s="19"/>
      <c r="FM1219" s="54"/>
    </row>
    <row r="1220" spans="1:169" s="18" customFormat="1">
      <c r="A1220" s="51"/>
      <c r="B1220" s="52"/>
      <c r="C1220" s="52"/>
      <c r="D1220" s="52"/>
      <c r="E1220" s="52"/>
      <c r="F1220" s="52"/>
      <c r="G1220" s="52"/>
      <c r="H1220" s="53"/>
      <c r="I1220" s="52"/>
      <c r="J1220" s="52"/>
      <c r="K1220" s="19"/>
      <c r="L1220" s="19"/>
      <c r="M1220" s="19"/>
      <c r="N1220" s="19"/>
      <c r="O1220" s="19"/>
      <c r="P1220" s="19"/>
      <c r="Q1220" s="19"/>
      <c r="R1220" s="19"/>
      <c r="S1220" s="19"/>
      <c r="T1220" s="19"/>
      <c r="U1220" s="19"/>
      <c r="V1220" s="19"/>
      <c r="W1220" s="19"/>
      <c r="X1220" s="19"/>
      <c r="Y1220" s="19"/>
      <c r="Z1220" s="19"/>
      <c r="AA1220" s="19"/>
      <c r="AB1220" s="19"/>
      <c r="AC1220" s="19"/>
      <c r="AD1220" s="19"/>
      <c r="AE1220" s="19"/>
      <c r="AF1220" s="19"/>
      <c r="AG1220" s="19"/>
      <c r="AH1220" s="19"/>
      <c r="AI1220" s="19"/>
      <c r="AJ1220" s="19"/>
      <c r="FM1220" s="54"/>
    </row>
    <row r="1221" spans="1:169" s="18" customFormat="1">
      <c r="A1221" s="51"/>
      <c r="B1221" s="52"/>
      <c r="C1221" s="52"/>
      <c r="D1221" s="52"/>
      <c r="E1221" s="52"/>
      <c r="F1221" s="52"/>
      <c r="G1221" s="52"/>
      <c r="H1221" s="53"/>
      <c r="I1221" s="52"/>
      <c r="J1221" s="52"/>
      <c r="K1221" s="19"/>
      <c r="L1221" s="19"/>
      <c r="M1221" s="19"/>
      <c r="N1221" s="19"/>
      <c r="O1221" s="19"/>
      <c r="P1221" s="19"/>
      <c r="Q1221" s="19"/>
      <c r="R1221" s="19"/>
      <c r="S1221" s="19"/>
      <c r="T1221" s="19"/>
      <c r="U1221" s="19"/>
      <c r="V1221" s="19"/>
      <c r="W1221" s="19"/>
      <c r="X1221" s="19"/>
      <c r="Y1221" s="19"/>
      <c r="Z1221" s="19"/>
      <c r="AA1221" s="19"/>
      <c r="AB1221" s="19"/>
      <c r="AC1221" s="19"/>
      <c r="AD1221" s="19"/>
      <c r="AE1221" s="19"/>
      <c r="AF1221" s="19"/>
      <c r="AG1221" s="19"/>
      <c r="AH1221" s="19"/>
      <c r="AI1221" s="19"/>
      <c r="AJ1221" s="19"/>
      <c r="FM1221" s="54"/>
    </row>
    <row r="1222" spans="1:169" s="18" customFormat="1">
      <c r="A1222" s="51"/>
      <c r="B1222" s="52"/>
      <c r="C1222" s="52"/>
      <c r="D1222" s="52"/>
      <c r="E1222" s="52"/>
      <c r="F1222" s="52"/>
      <c r="G1222" s="52"/>
      <c r="H1222" s="53"/>
      <c r="I1222" s="52"/>
      <c r="J1222" s="52"/>
      <c r="K1222" s="19"/>
      <c r="L1222" s="19"/>
      <c r="M1222" s="19"/>
      <c r="N1222" s="19"/>
      <c r="O1222" s="19"/>
      <c r="P1222" s="19"/>
      <c r="Q1222" s="19"/>
      <c r="R1222" s="19"/>
      <c r="S1222" s="19"/>
      <c r="T1222" s="19"/>
      <c r="U1222" s="19"/>
      <c r="V1222" s="19"/>
      <c r="W1222" s="19"/>
      <c r="X1222" s="19"/>
      <c r="Y1222" s="19"/>
      <c r="Z1222" s="19"/>
      <c r="AA1222" s="19"/>
      <c r="AB1222" s="19"/>
      <c r="AC1222" s="19"/>
      <c r="AD1222" s="19"/>
      <c r="AE1222" s="19"/>
      <c r="AF1222" s="19"/>
      <c r="AG1222" s="19"/>
      <c r="AH1222" s="19"/>
      <c r="AI1222" s="19"/>
      <c r="AJ1222" s="19"/>
      <c r="FM1222" s="54"/>
    </row>
    <row r="1223" spans="1:169" s="18" customFormat="1">
      <c r="A1223" s="51"/>
      <c r="B1223" s="52"/>
      <c r="C1223" s="52"/>
      <c r="D1223" s="52"/>
      <c r="E1223" s="52"/>
      <c r="F1223" s="52"/>
      <c r="G1223" s="52"/>
      <c r="H1223" s="53"/>
      <c r="I1223" s="52"/>
      <c r="J1223" s="52"/>
      <c r="K1223" s="19"/>
      <c r="L1223" s="19"/>
      <c r="M1223" s="19"/>
      <c r="N1223" s="19"/>
      <c r="O1223" s="19"/>
      <c r="P1223" s="19"/>
      <c r="Q1223" s="19"/>
      <c r="R1223" s="19"/>
      <c r="S1223" s="19"/>
      <c r="T1223" s="19"/>
      <c r="U1223" s="19"/>
      <c r="V1223" s="19"/>
      <c r="W1223" s="19"/>
      <c r="X1223" s="19"/>
      <c r="Y1223" s="19"/>
      <c r="Z1223" s="19"/>
      <c r="AA1223" s="19"/>
      <c r="AB1223" s="19"/>
      <c r="AC1223" s="19"/>
      <c r="AD1223" s="19"/>
      <c r="AE1223" s="19"/>
      <c r="AF1223" s="19"/>
      <c r="AG1223" s="19"/>
      <c r="AH1223" s="19"/>
      <c r="AI1223" s="19"/>
      <c r="AJ1223" s="19"/>
      <c r="FM1223" s="54"/>
    </row>
    <row r="1224" spans="1:169" s="18" customFormat="1">
      <c r="A1224" s="51"/>
      <c r="B1224" s="52"/>
      <c r="C1224" s="52"/>
      <c r="D1224" s="52"/>
      <c r="E1224" s="52"/>
      <c r="F1224" s="52"/>
      <c r="G1224" s="52"/>
      <c r="H1224" s="53"/>
      <c r="I1224" s="52"/>
      <c r="J1224" s="52"/>
      <c r="K1224" s="19"/>
      <c r="L1224" s="19"/>
      <c r="M1224" s="19"/>
      <c r="N1224" s="19"/>
      <c r="O1224" s="19"/>
      <c r="P1224" s="19"/>
      <c r="Q1224" s="19"/>
      <c r="R1224" s="19"/>
      <c r="S1224" s="19"/>
      <c r="T1224" s="19"/>
      <c r="U1224" s="19"/>
      <c r="V1224" s="19"/>
      <c r="W1224" s="19"/>
      <c r="X1224" s="19"/>
      <c r="Y1224" s="19"/>
      <c r="Z1224" s="19"/>
      <c r="AA1224" s="19"/>
      <c r="AB1224" s="19"/>
      <c r="AC1224" s="19"/>
      <c r="AD1224" s="19"/>
      <c r="AE1224" s="19"/>
      <c r="AF1224" s="19"/>
      <c r="AG1224" s="19"/>
      <c r="AH1224" s="19"/>
      <c r="AI1224" s="19"/>
      <c r="AJ1224" s="19"/>
      <c r="FM1224" s="54"/>
    </row>
    <row r="1225" spans="1:169" s="18" customFormat="1">
      <c r="A1225" s="51"/>
      <c r="B1225" s="52"/>
      <c r="C1225" s="52"/>
      <c r="D1225" s="52"/>
      <c r="E1225" s="52"/>
      <c r="F1225" s="52"/>
      <c r="G1225" s="52"/>
      <c r="H1225" s="53"/>
      <c r="I1225" s="52"/>
      <c r="J1225" s="52"/>
      <c r="K1225" s="19"/>
      <c r="L1225" s="19"/>
      <c r="M1225" s="19"/>
      <c r="N1225" s="19"/>
      <c r="O1225" s="19"/>
      <c r="P1225" s="19"/>
      <c r="Q1225" s="19"/>
      <c r="R1225" s="19"/>
      <c r="S1225" s="19"/>
      <c r="T1225" s="19"/>
      <c r="U1225" s="19"/>
      <c r="V1225" s="19"/>
      <c r="W1225" s="19"/>
      <c r="X1225" s="19"/>
      <c r="Y1225" s="19"/>
      <c r="Z1225" s="19"/>
      <c r="AA1225" s="19"/>
      <c r="AB1225" s="19"/>
      <c r="AC1225" s="19"/>
      <c r="AD1225" s="19"/>
      <c r="AE1225" s="19"/>
      <c r="AF1225" s="19"/>
      <c r="AG1225" s="19"/>
      <c r="AH1225" s="19"/>
      <c r="AI1225" s="19"/>
      <c r="AJ1225" s="19"/>
      <c r="FM1225" s="54"/>
    </row>
    <row r="1226" spans="1:169" s="18" customFormat="1">
      <c r="A1226" s="51"/>
      <c r="B1226" s="52"/>
      <c r="C1226" s="52"/>
      <c r="D1226" s="52"/>
      <c r="E1226" s="52"/>
      <c r="F1226" s="52"/>
      <c r="G1226" s="52"/>
      <c r="H1226" s="53"/>
      <c r="I1226" s="52"/>
      <c r="J1226" s="52"/>
      <c r="K1226" s="19"/>
      <c r="L1226" s="19"/>
      <c r="M1226" s="19"/>
      <c r="N1226" s="19"/>
      <c r="O1226" s="19"/>
      <c r="P1226" s="19"/>
      <c r="Q1226" s="19"/>
      <c r="R1226" s="19"/>
      <c r="S1226" s="19"/>
      <c r="T1226" s="19"/>
      <c r="U1226" s="19"/>
      <c r="V1226" s="19"/>
      <c r="W1226" s="19"/>
      <c r="X1226" s="19"/>
      <c r="Y1226" s="19"/>
      <c r="Z1226" s="19"/>
      <c r="AA1226" s="19"/>
      <c r="AB1226" s="19"/>
      <c r="AC1226" s="19"/>
      <c r="AD1226" s="19"/>
      <c r="AE1226" s="19"/>
      <c r="AF1226" s="19"/>
      <c r="AG1226" s="19"/>
      <c r="AH1226" s="19"/>
      <c r="AI1226" s="19"/>
      <c r="AJ1226" s="19"/>
      <c r="FM1226" s="54"/>
    </row>
    <row r="1227" spans="1:169" s="18" customFormat="1">
      <c r="A1227" s="51"/>
      <c r="B1227" s="52"/>
      <c r="C1227" s="52"/>
      <c r="D1227" s="52"/>
      <c r="E1227" s="52"/>
      <c r="F1227" s="52"/>
      <c r="G1227" s="52"/>
      <c r="H1227" s="53"/>
      <c r="I1227" s="52"/>
      <c r="J1227" s="52"/>
      <c r="K1227" s="19"/>
      <c r="L1227" s="19"/>
      <c r="M1227" s="19"/>
      <c r="N1227" s="19"/>
      <c r="O1227" s="19"/>
      <c r="P1227" s="19"/>
      <c r="Q1227" s="19"/>
      <c r="R1227" s="19"/>
      <c r="S1227" s="19"/>
      <c r="T1227" s="19"/>
      <c r="U1227" s="19"/>
      <c r="V1227" s="19"/>
      <c r="W1227" s="19"/>
      <c r="X1227" s="19"/>
      <c r="Y1227" s="19"/>
      <c r="Z1227" s="19"/>
      <c r="AA1227" s="19"/>
      <c r="AB1227" s="19"/>
      <c r="AC1227" s="19"/>
      <c r="AD1227" s="19"/>
      <c r="AE1227" s="19"/>
      <c r="AF1227" s="19"/>
      <c r="AG1227" s="19"/>
      <c r="AH1227" s="19"/>
      <c r="AI1227" s="19"/>
      <c r="AJ1227" s="19"/>
      <c r="FM1227" s="54"/>
    </row>
    <row r="1228" spans="1:169" s="18" customFormat="1">
      <c r="A1228" s="51"/>
      <c r="B1228" s="52"/>
      <c r="C1228" s="52"/>
      <c r="D1228" s="52"/>
      <c r="E1228" s="52"/>
      <c r="F1228" s="52"/>
      <c r="G1228" s="52"/>
      <c r="H1228" s="53"/>
      <c r="I1228" s="52"/>
      <c r="J1228" s="52"/>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c r="AG1228" s="19"/>
      <c r="AH1228" s="19"/>
      <c r="AI1228" s="19"/>
      <c r="AJ1228" s="19"/>
      <c r="FM1228" s="54"/>
    </row>
    <row r="1229" spans="1:169" s="18" customFormat="1">
      <c r="A1229" s="51"/>
      <c r="B1229" s="52"/>
      <c r="C1229" s="52"/>
      <c r="D1229" s="52"/>
      <c r="E1229" s="52"/>
      <c r="F1229" s="52"/>
      <c r="G1229" s="52"/>
      <c r="H1229" s="53"/>
      <c r="I1229" s="52"/>
      <c r="J1229" s="52"/>
      <c r="K1229" s="19"/>
      <c r="L1229" s="19"/>
      <c r="M1229" s="19"/>
      <c r="N1229" s="19"/>
      <c r="O1229" s="19"/>
      <c r="P1229" s="19"/>
      <c r="Q1229" s="19"/>
      <c r="R1229" s="19"/>
      <c r="S1229" s="19"/>
      <c r="T1229" s="19"/>
      <c r="U1229" s="19"/>
      <c r="V1229" s="19"/>
      <c r="W1229" s="19"/>
      <c r="X1229" s="19"/>
      <c r="Y1229" s="19"/>
      <c r="Z1229" s="19"/>
      <c r="AA1229" s="19"/>
      <c r="AB1229" s="19"/>
      <c r="AC1229" s="19"/>
      <c r="AD1229" s="19"/>
      <c r="AE1229" s="19"/>
      <c r="AF1229" s="19"/>
      <c r="AG1229" s="19"/>
      <c r="AH1229" s="19"/>
      <c r="AI1229" s="19"/>
      <c r="AJ1229" s="19"/>
      <c r="FM1229" s="54"/>
    </row>
    <row r="1230" spans="1:169" s="18" customFormat="1">
      <c r="A1230" s="51"/>
      <c r="B1230" s="52"/>
      <c r="C1230" s="52"/>
      <c r="D1230" s="52"/>
      <c r="E1230" s="52"/>
      <c r="F1230" s="52"/>
      <c r="G1230" s="52"/>
      <c r="H1230" s="53"/>
      <c r="I1230" s="52"/>
      <c r="J1230" s="52"/>
      <c r="K1230" s="19"/>
      <c r="L1230" s="19"/>
      <c r="M1230" s="19"/>
      <c r="N1230" s="19"/>
      <c r="O1230" s="19"/>
      <c r="P1230" s="19"/>
      <c r="Q1230" s="19"/>
      <c r="R1230" s="19"/>
      <c r="S1230" s="19"/>
      <c r="T1230" s="19"/>
      <c r="U1230" s="19"/>
      <c r="V1230" s="19"/>
      <c r="W1230" s="19"/>
      <c r="X1230" s="19"/>
      <c r="Y1230" s="19"/>
      <c r="Z1230" s="19"/>
      <c r="AA1230" s="19"/>
      <c r="AB1230" s="19"/>
      <c r="AC1230" s="19"/>
      <c r="AD1230" s="19"/>
      <c r="AE1230" s="19"/>
      <c r="AF1230" s="19"/>
      <c r="AG1230" s="19"/>
      <c r="AH1230" s="19"/>
      <c r="AI1230" s="19"/>
      <c r="AJ1230" s="19"/>
      <c r="FM1230" s="54"/>
    </row>
    <row r="1231" spans="1:169" s="18" customFormat="1">
      <c r="A1231" s="51"/>
      <c r="B1231" s="52"/>
      <c r="C1231" s="52"/>
      <c r="D1231" s="52"/>
      <c r="E1231" s="52"/>
      <c r="F1231" s="52"/>
      <c r="G1231" s="52"/>
      <c r="H1231" s="53"/>
      <c r="I1231" s="52"/>
      <c r="J1231" s="52"/>
      <c r="K1231" s="19"/>
      <c r="L1231" s="19"/>
      <c r="M1231" s="19"/>
      <c r="N1231" s="19"/>
      <c r="O1231" s="19"/>
      <c r="P1231" s="19"/>
      <c r="Q1231" s="19"/>
      <c r="R1231" s="19"/>
      <c r="S1231" s="19"/>
      <c r="T1231" s="19"/>
      <c r="U1231" s="19"/>
      <c r="V1231" s="19"/>
      <c r="W1231" s="19"/>
      <c r="X1231" s="19"/>
      <c r="Y1231" s="19"/>
      <c r="Z1231" s="19"/>
      <c r="AA1231" s="19"/>
      <c r="AB1231" s="19"/>
      <c r="AC1231" s="19"/>
      <c r="AD1231" s="19"/>
      <c r="AE1231" s="19"/>
      <c r="AF1231" s="19"/>
      <c r="AG1231" s="19"/>
      <c r="AH1231" s="19"/>
      <c r="AI1231" s="19"/>
      <c r="AJ1231" s="19"/>
      <c r="FM1231" s="54"/>
    </row>
    <row r="1232" spans="1:169" s="18" customFormat="1">
      <c r="A1232" s="51"/>
      <c r="B1232" s="52"/>
      <c r="C1232" s="52"/>
      <c r="D1232" s="52"/>
      <c r="E1232" s="52"/>
      <c r="F1232" s="52"/>
      <c r="G1232" s="52"/>
      <c r="H1232" s="53"/>
      <c r="I1232" s="52"/>
      <c r="J1232" s="52"/>
      <c r="K1232" s="19"/>
      <c r="L1232" s="19"/>
      <c r="M1232" s="19"/>
      <c r="N1232" s="19"/>
      <c r="O1232" s="19"/>
      <c r="P1232" s="19"/>
      <c r="Q1232" s="19"/>
      <c r="R1232" s="19"/>
      <c r="S1232" s="19"/>
      <c r="T1232" s="19"/>
      <c r="U1232" s="19"/>
      <c r="V1232" s="19"/>
      <c r="W1232" s="19"/>
      <c r="X1232" s="19"/>
      <c r="Y1232" s="19"/>
      <c r="Z1232" s="19"/>
      <c r="AA1232" s="19"/>
      <c r="AB1232" s="19"/>
      <c r="AC1232" s="19"/>
      <c r="AD1232" s="19"/>
      <c r="AE1232" s="19"/>
      <c r="AF1232" s="19"/>
      <c r="AG1232" s="19"/>
      <c r="AH1232" s="19"/>
      <c r="AI1232" s="19"/>
      <c r="AJ1232" s="19"/>
      <c r="FM1232" s="54"/>
    </row>
    <row r="1233" spans="1:169" s="18" customFormat="1">
      <c r="A1233" s="51"/>
      <c r="B1233" s="52"/>
      <c r="C1233" s="52"/>
      <c r="D1233" s="52"/>
      <c r="E1233" s="52"/>
      <c r="F1233" s="52"/>
      <c r="G1233" s="52"/>
      <c r="H1233" s="53"/>
      <c r="I1233" s="52"/>
      <c r="J1233" s="52"/>
      <c r="K1233" s="19"/>
      <c r="L1233" s="19"/>
      <c r="M1233" s="19"/>
      <c r="N1233" s="19"/>
      <c r="O1233" s="19"/>
      <c r="P1233" s="19"/>
      <c r="Q1233" s="19"/>
      <c r="R1233" s="19"/>
      <c r="S1233" s="19"/>
      <c r="T1233" s="19"/>
      <c r="U1233" s="19"/>
      <c r="V1233" s="19"/>
      <c r="W1233" s="19"/>
      <c r="X1233" s="19"/>
      <c r="Y1233" s="19"/>
      <c r="Z1233" s="19"/>
      <c r="AA1233" s="19"/>
      <c r="AB1233" s="19"/>
      <c r="AC1233" s="19"/>
      <c r="AD1233" s="19"/>
      <c r="AE1233" s="19"/>
      <c r="AF1233" s="19"/>
      <c r="AG1233" s="19"/>
      <c r="AH1233" s="19"/>
      <c r="AI1233" s="19"/>
      <c r="AJ1233" s="19"/>
      <c r="FM1233" s="54"/>
    </row>
    <row r="1234" spans="1:169" s="18" customFormat="1">
      <c r="A1234" s="51"/>
      <c r="B1234" s="52"/>
      <c r="C1234" s="52"/>
      <c r="D1234" s="52"/>
      <c r="E1234" s="52"/>
      <c r="F1234" s="52"/>
      <c r="G1234" s="52"/>
      <c r="H1234" s="53"/>
      <c r="I1234" s="52"/>
      <c r="J1234" s="52"/>
      <c r="K1234" s="19"/>
      <c r="L1234" s="19"/>
      <c r="M1234" s="19"/>
      <c r="N1234" s="19"/>
      <c r="O1234" s="19"/>
      <c r="P1234" s="19"/>
      <c r="Q1234" s="19"/>
      <c r="R1234" s="19"/>
      <c r="S1234" s="19"/>
      <c r="T1234" s="19"/>
      <c r="U1234" s="19"/>
      <c r="V1234" s="19"/>
      <c r="W1234" s="19"/>
      <c r="X1234" s="19"/>
      <c r="Y1234" s="19"/>
      <c r="Z1234" s="19"/>
      <c r="AA1234" s="19"/>
      <c r="AB1234" s="19"/>
      <c r="AC1234" s="19"/>
      <c r="AD1234" s="19"/>
      <c r="AE1234" s="19"/>
      <c r="AF1234" s="19"/>
      <c r="AG1234" s="19"/>
      <c r="AH1234" s="19"/>
      <c r="AI1234" s="19"/>
      <c r="AJ1234" s="19"/>
      <c r="FM1234" s="54"/>
    </row>
    <row r="1235" spans="1:169" s="18" customFormat="1">
      <c r="A1235" s="51"/>
      <c r="B1235" s="52"/>
      <c r="C1235" s="52"/>
      <c r="D1235" s="52"/>
      <c r="E1235" s="52"/>
      <c r="F1235" s="52"/>
      <c r="G1235" s="52"/>
      <c r="H1235" s="53"/>
      <c r="I1235" s="52"/>
      <c r="J1235" s="52"/>
      <c r="K1235" s="19"/>
      <c r="L1235" s="19"/>
      <c r="M1235" s="19"/>
      <c r="N1235" s="19"/>
      <c r="O1235" s="19"/>
      <c r="P1235" s="19"/>
      <c r="Q1235" s="19"/>
      <c r="R1235" s="19"/>
      <c r="S1235" s="19"/>
      <c r="T1235" s="19"/>
      <c r="U1235" s="19"/>
      <c r="V1235" s="19"/>
      <c r="W1235" s="19"/>
      <c r="X1235" s="19"/>
      <c r="Y1235" s="19"/>
      <c r="Z1235" s="19"/>
      <c r="AA1235" s="19"/>
      <c r="AB1235" s="19"/>
      <c r="AC1235" s="19"/>
      <c r="AD1235" s="19"/>
      <c r="AE1235" s="19"/>
      <c r="AF1235" s="19"/>
      <c r="AG1235" s="19"/>
      <c r="AH1235" s="19"/>
      <c r="AI1235" s="19"/>
      <c r="AJ1235" s="19"/>
      <c r="FM1235" s="54"/>
    </row>
    <row r="1236" spans="1:169" s="18" customFormat="1">
      <c r="A1236" s="51"/>
      <c r="B1236" s="52"/>
      <c r="C1236" s="52"/>
      <c r="D1236" s="52"/>
      <c r="E1236" s="52"/>
      <c r="F1236" s="52"/>
      <c r="G1236" s="52"/>
      <c r="H1236" s="53"/>
      <c r="I1236" s="52"/>
      <c r="J1236" s="52"/>
      <c r="K1236" s="19"/>
      <c r="L1236" s="19"/>
      <c r="M1236" s="19"/>
      <c r="N1236" s="19"/>
      <c r="O1236" s="19"/>
      <c r="P1236" s="19"/>
      <c r="Q1236" s="19"/>
      <c r="R1236" s="19"/>
      <c r="S1236" s="19"/>
      <c r="T1236" s="19"/>
      <c r="U1236" s="19"/>
      <c r="V1236" s="19"/>
      <c r="W1236" s="19"/>
      <c r="X1236" s="19"/>
      <c r="Y1236" s="19"/>
      <c r="Z1236" s="19"/>
      <c r="AA1236" s="19"/>
      <c r="AB1236" s="19"/>
      <c r="AC1236" s="19"/>
      <c r="AD1236" s="19"/>
      <c r="AE1236" s="19"/>
      <c r="AF1236" s="19"/>
      <c r="AG1236" s="19"/>
      <c r="AH1236" s="19"/>
      <c r="AI1236" s="19"/>
      <c r="AJ1236" s="19"/>
      <c r="FM1236" s="54"/>
    </row>
    <row r="1237" spans="1:169" s="18" customFormat="1">
      <c r="A1237" s="51"/>
      <c r="B1237" s="52"/>
      <c r="C1237" s="52"/>
      <c r="D1237" s="52"/>
      <c r="E1237" s="52"/>
      <c r="F1237" s="52"/>
      <c r="G1237" s="52"/>
      <c r="H1237" s="53"/>
      <c r="I1237" s="52"/>
      <c r="J1237" s="52"/>
      <c r="K1237" s="19"/>
      <c r="L1237" s="19"/>
      <c r="M1237" s="19"/>
      <c r="N1237" s="19"/>
      <c r="O1237" s="19"/>
      <c r="P1237" s="19"/>
      <c r="Q1237" s="19"/>
      <c r="R1237" s="19"/>
      <c r="S1237" s="19"/>
      <c r="T1237" s="19"/>
      <c r="U1237" s="19"/>
      <c r="V1237" s="19"/>
      <c r="W1237" s="19"/>
      <c r="X1237" s="19"/>
      <c r="Y1237" s="19"/>
      <c r="Z1237" s="19"/>
      <c r="AA1237" s="19"/>
      <c r="AB1237" s="19"/>
      <c r="AC1237" s="19"/>
      <c r="AD1237" s="19"/>
      <c r="AE1237" s="19"/>
      <c r="AF1237" s="19"/>
      <c r="AG1237" s="19"/>
      <c r="AH1237" s="19"/>
      <c r="AI1237" s="19"/>
      <c r="AJ1237" s="19"/>
      <c r="FM1237" s="54"/>
    </row>
    <row r="1238" spans="1:169" s="18" customFormat="1">
      <c r="A1238" s="51"/>
      <c r="B1238" s="52"/>
      <c r="C1238" s="52"/>
      <c r="D1238" s="52"/>
      <c r="E1238" s="52"/>
      <c r="F1238" s="52"/>
      <c r="G1238" s="52"/>
      <c r="H1238" s="53"/>
      <c r="I1238" s="52"/>
      <c r="J1238" s="52"/>
      <c r="K1238" s="19"/>
      <c r="L1238" s="19"/>
      <c r="M1238" s="19"/>
      <c r="N1238" s="19"/>
      <c r="O1238" s="19"/>
      <c r="P1238" s="19"/>
      <c r="Q1238" s="19"/>
      <c r="R1238" s="19"/>
      <c r="S1238" s="19"/>
      <c r="T1238" s="19"/>
      <c r="U1238" s="19"/>
      <c r="V1238" s="19"/>
      <c r="W1238" s="19"/>
      <c r="X1238" s="19"/>
      <c r="Y1238" s="19"/>
      <c r="Z1238" s="19"/>
      <c r="AA1238" s="19"/>
      <c r="AB1238" s="19"/>
      <c r="AC1238" s="19"/>
      <c r="AD1238" s="19"/>
      <c r="AE1238" s="19"/>
      <c r="AF1238" s="19"/>
      <c r="AG1238" s="19"/>
      <c r="AH1238" s="19"/>
      <c r="AI1238" s="19"/>
      <c r="AJ1238" s="19"/>
      <c r="FM1238" s="54"/>
    </row>
    <row r="1239" spans="1:169" s="18" customFormat="1">
      <c r="A1239" s="51"/>
      <c r="B1239" s="52"/>
      <c r="C1239" s="52"/>
      <c r="D1239" s="52"/>
      <c r="E1239" s="52"/>
      <c r="F1239" s="52"/>
      <c r="G1239" s="52"/>
      <c r="H1239" s="53"/>
      <c r="I1239" s="52"/>
      <c r="J1239" s="52"/>
      <c r="K1239" s="19"/>
      <c r="L1239" s="19"/>
      <c r="M1239" s="19"/>
      <c r="N1239" s="19"/>
      <c r="O1239" s="19"/>
      <c r="P1239" s="19"/>
      <c r="Q1239" s="19"/>
      <c r="R1239" s="19"/>
      <c r="S1239" s="19"/>
      <c r="T1239" s="19"/>
      <c r="U1239" s="19"/>
      <c r="V1239" s="19"/>
      <c r="W1239" s="19"/>
      <c r="X1239" s="19"/>
      <c r="Y1239" s="19"/>
      <c r="Z1239" s="19"/>
      <c r="AA1239" s="19"/>
      <c r="AB1239" s="19"/>
      <c r="AC1239" s="19"/>
      <c r="AD1239" s="19"/>
      <c r="AE1239" s="19"/>
      <c r="AF1239" s="19"/>
      <c r="AG1239" s="19"/>
      <c r="AH1239" s="19"/>
      <c r="AI1239" s="19"/>
      <c r="AJ1239" s="19"/>
      <c r="FM1239" s="54"/>
    </row>
    <row r="1240" spans="1:169" s="18" customFormat="1">
      <c r="A1240" s="51"/>
      <c r="B1240" s="52"/>
      <c r="C1240" s="52"/>
      <c r="D1240" s="52"/>
      <c r="E1240" s="52"/>
      <c r="F1240" s="52"/>
      <c r="G1240" s="52"/>
      <c r="H1240" s="53"/>
      <c r="I1240" s="52"/>
      <c r="J1240" s="52"/>
      <c r="K1240" s="19"/>
      <c r="L1240" s="19"/>
      <c r="M1240" s="19"/>
      <c r="N1240" s="19"/>
      <c r="O1240" s="19"/>
      <c r="P1240" s="19"/>
      <c r="Q1240" s="19"/>
      <c r="R1240" s="19"/>
      <c r="S1240" s="19"/>
      <c r="T1240" s="19"/>
      <c r="U1240" s="19"/>
      <c r="V1240" s="19"/>
      <c r="W1240" s="19"/>
      <c r="X1240" s="19"/>
      <c r="Y1240" s="19"/>
      <c r="Z1240" s="19"/>
      <c r="AA1240" s="19"/>
      <c r="AB1240" s="19"/>
      <c r="AC1240" s="19"/>
      <c r="AD1240" s="19"/>
      <c r="AE1240" s="19"/>
      <c r="AF1240" s="19"/>
      <c r="AG1240" s="19"/>
      <c r="AH1240" s="19"/>
      <c r="AI1240" s="19"/>
      <c r="AJ1240" s="19"/>
      <c r="FM1240" s="54"/>
    </row>
    <row r="1241" spans="1:169" s="18" customFormat="1">
      <c r="A1241" s="51"/>
      <c r="B1241" s="52"/>
      <c r="C1241" s="52"/>
      <c r="D1241" s="52"/>
      <c r="E1241" s="52"/>
      <c r="F1241" s="52"/>
      <c r="G1241" s="52"/>
      <c r="H1241" s="53"/>
      <c r="I1241" s="52"/>
      <c r="J1241" s="52"/>
      <c r="K1241" s="19"/>
      <c r="L1241" s="19"/>
      <c r="M1241" s="19"/>
      <c r="N1241" s="19"/>
      <c r="O1241" s="19"/>
      <c r="P1241" s="19"/>
      <c r="Q1241" s="19"/>
      <c r="R1241" s="19"/>
      <c r="S1241" s="19"/>
      <c r="T1241" s="19"/>
      <c r="U1241" s="19"/>
      <c r="V1241" s="19"/>
      <c r="W1241" s="19"/>
      <c r="X1241" s="19"/>
      <c r="Y1241" s="19"/>
      <c r="Z1241" s="19"/>
      <c r="AA1241" s="19"/>
      <c r="AB1241" s="19"/>
      <c r="AC1241" s="19"/>
      <c r="AD1241" s="19"/>
      <c r="AE1241" s="19"/>
      <c r="AF1241" s="19"/>
      <c r="AG1241" s="19"/>
      <c r="AH1241" s="19"/>
      <c r="AI1241" s="19"/>
      <c r="AJ1241" s="19"/>
      <c r="FM1241" s="54"/>
    </row>
    <row r="1242" spans="1:169" s="18" customFormat="1">
      <c r="A1242" s="51"/>
      <c r="B1242" s="52"/>
      <c r="C1242" s="52"/>
      <c r="D1242" s="52"/>
      <c r="E1242" s="52"/>
      <c r="F1242" s="52"/>
      <c r="G1242" s="52"/>
      <c r="H1242" s="53"/>
      <c r="I1242" s="52"/>
      <c r="J1242" s="52"/>
      <c r="K1242" s="19"/>
      <c r="L1242" s="19"/>
      <c r="M1242" s="19"/>
      <c r="N1242" s="19"/>
      <c r="O1242" s="19"/>
      <c r="P1242" s="19"/>
      <c r="Q1242" s="19"/>
      <c r="R1242" s="19"/>
      <c r="S1242" s="19"/>
      <c r="T1242" s="19"/>
      <c r="U1242" s="19"/>
      <c r="V1242" s="19"/>
      <c r="W1242" s="19"/>
      <c r="X1242" s="19"/>
      <c r="Y1242" s="19"/>
      <c r="Z1242" s="19"/>
      <c r="AA1242" s="19"/>
      <c r="AB1242" s="19"/>
      <c r="AC1242" s="19"/>
      <c r="AD1242" s="19"/>
      <c r="AE1242" s="19"/>
      <c r="AF1242" s="19"/>
      <c r="AG1242" s="19"/>
      <c r="AH1242" s="19"/>
      <c r="AI1242" s="19"/>
      <c r="AJ1242" s="19"/>
      <c r="FM1242" s="54"/>
    </row>
    <row r="1243" spans="1:169" s="18" customFormat="1">
      <c r="A1243" s="51"/>
      <c r="B1243" s="52"/>
      <c r="C1243" s="52"/>
      <c r="D1243" s="52"/>
      <c r="E1243" s="52"/>
      <c r="F1243" s="52"/>
      <c r="G1243" s="52"/>
      <c r="H1243" s="53"/>
      <c r="I1243" s="52"/>
      <c r="J1243" s="52"/>
      <c r="K1243" s="19"/>
      <c r="L1243" s="19"/>
      <c r="M1243" s="19"/>
      <c r="N1243" s="19"/>
      <c r="O1243" s="19"/>
      <c r="P1243" s="19"/>
      <c r="Q1243" s="19"/>
      <c r="R1243" s="19"/>
      <c r="S1243" s="19"/>
      <c r="T1243" s="19"/>
      <c r="U1243" s="19"/>
      <c r="V1243" s="19"/>
      <c r="W1243" s="19"/>
      <c r="X1243" s="19"/>
      <c r="Y1243" s="19"/>
      <c r="Z1243" s="19"/>
      <c r="AA1243" s="19"/>
      <c r="AB1243" s="19"/>
      <c r="AC1243" s="19"/>
      <c r="AD1243" s="19"/>
      <c r="AE1243" s="19"/>
      <c r="AF1243" s="19"/>
      <c r="AG1243" s="19"/>
      <c r="AH1243" s="19"/>
      <c r="AI1243" s="19"/>
      <c r="AJ1243" s="19"/>
      <c r="FM1243" s="54"/>
    </row>
    <row r="1244" spans="1:169" s="18" customFormat="1">
      <c r="A1244" s="51"/>
      <c r="B1244" s="52"/>
      <c r="C1244" s="52"/>
      <c r="D1244" s="52"/>
      <c r="E1244" s="52"/>
      <c r="F1244" s="52"/>
      <c r="G1244" s="52"/>
      <c r="H1244" s="53"/>
      <c r="I1244" s="52"/>
      <c r="J1244" s="52"/>
      <c r="K1244" s="19"/>
      <c r="L1244" s="19"/>
      <c r="M1244" s="19"/>
      <c r="N1244" s="19"/>
      <c r="O1244" s="19"/>
      <c r="P1244" s="19"/>
      <c r="Q1244" s="19"/>
      <c r="R1244" s="19"/>
      <c r="S1244" s="19"/>
      <c r="T1244" s="19"/>
      <c r="U1244" s="19"/>
      <c r="V1244" s="19"/>
      <c r="W1244" s="19"/>
      <c r="X1244" s="19"/>
      <c r="Y1244" s="19"/>
      <c r="Z1244" s="19"/>
      <c r="AA1244" s="19"/>
      <c r="AB1244" s="19"/>
      <c r="AC1244" s="19"/>
      <c r="AD1244" s="19"/>
      <c r="AE1244" s="19"/>
      <c r="AF1244" s="19"/>
      <c r="AG1244" s="19"/>
      <c r="AH1244" s="19"/>
      <c r="AI1244" s="19"/>
      <c r="AJ1244" s="19"/>
      <c r="FM1244" s="54"/>
    </row>
    <row r="1245" spans="1:169" s="18" customFormat="1">
      <c r="A1245" s="51"/>
      <c r="B1245" s="52"/>
      <c r="C1245" s="52"/>
      <c r="D1245" s="52"/>
      <c r="E1245" s="52"/>
      <c r="F1245" s="52"/>
      <c r="G1245" s="52"/>
      <c r="H1245" s="53"/>
      <c r="I1245" s="52"/>
      <c r="J1245" s="52"/>
      <c r="K1245" s="19"/>
      <c r="L1245" s="19"/>
      <c r="M1245" s="19"/>
      <c r="N1245" s="19"/>
      <c r="O1245" s="19"/>
      <c r="P1245" s="19"/>
      <c r="Q1245" s="19"/>
      <c r="R1245" s="19"/>
      <c r="S1245" s="19"/>
      <c r="T1245" s="19"/>
      <c r="U1245" s="19"/>
      <c r="V1245" s="19"/>
      <c r="W1245" s="19"/>
      <c r="X1245" s="19"/>
      <c r="Y1245" s="19"/>
      <c r="Z1245" s="19"/>
      <c r="AA1245" s="19"/>
      <c r="AB1245" s="19"/>
      <c r="AC1245" s="19"/>
      <c r="AD1245" s="19"/>
      <c r="AE1245" s="19"/>
      <c r="AF1245" s="19"/>
      <c r="AG1245" s="19"/>
      <c r="AH1245" s="19"/>
      <c r="AI1245" s="19"/>
      <c r="AJ1245" s="19"/>
      <c r="FM1245" s="54"/>
    </row>
    <row r="1246" spans="1:169" s="18" customFormat="1">
      <c r="A1246" s="51"/>
      <c r="B1246" s="52"/>
      <c r="C1246" s="52"/>
      <c r="D1246" s="52"/>
      <c r="E1246" s="52"/>
      <c r="F1246" s="52"/>
      <c r="G1246" s="52"/>
      <c r="H1246" s="53"/>
      <c r="I1246" s="52"/>
      <c r="J1246" s="52"/>
      <c r="K1246" s="19"/>
      <c r="L1246" s="19"/>
      <c r="M1246" s="19"/>
      <c r="N1246" s="19"/>
      <c r="O1246" s="19"/>
      <c r="P1246" s="19"/>
      <c r="Q1246" s="19"/>
      <c r="R1246" s="19"/>
      <c r="S1246" s="19"/>
      <c r="T1246" s="19"/>
      <c r="U1246" s="19"/>
      <c r="V1246" s="19"/>
      <c r="W1246" s="19"/>
      <c r="X1246" s="19"/>
      <c r="Y1246" s="19"/>
      <c r="Z1246" s="19"/>
      <c r="AA1246" s="19"/>
      <c r="AB1246" s="19"/>
      <c r="AC1246" s="19"/>
      <c r="AD1246" s="19"/>
      <c r="AE1246" s="19"/>
      <c r="AF1246" s="19"/>
      <c r="AG1246" s="19"/>
      <c r="AH1246" s="19"/>
      <c r="AI1246" s="19"/>
      <c r="AJ1246" s="19"/>
      <c r="FM1246" s="54"/>
    </row>
    <row r="1247" spans="1:169" s="18" customFormat="1">
      <c r="A1247" s="51"/>
      <c r="B1247" s="52"/>
      <c r="C1247" s="52"/>
      <c r="D1247" s="52"/>
      <c r="E1247" s="52"/>
      <c r="F1247" s="52"/>
      <c r="G1247" s="52"/>
      <c r="H1247" s="53"/>
      <c r="I1247" s="52"/>
      <c r="J1247" s="52"/>
      <c r="K1247" s="19"/>
      <c r="L1247" s="19"/>
      <c r="M1247" s="19"/>
      <c r="N1247" s="19"/>
      <c r="O1247" s="19"/>
      <c r="P1247" s="19"/>
      <c r="Q1247" s="19"/>
      <c r="R1247" s="19"/>
      <c r="S1247" s="19"/>
      <c r="T1247" s="19"/>
      <c r="U1247" s="19"/>
      <c r="V1247" s="19"/>
      <c r="W1247" s="19"/>
      <c r="X1247" s="19"/>
      <c r="Y1247" s="19"/>
      <c r="Z1247" s="19"/>
      <c r="AA1247" s="19"/>
      <c r="AB1247" s="19"/>
      <c r="AC1247" s="19"/>
      <c r="AD1247" s="19"/>
      <c r="AE1247" s="19"/>
      <c r="AF1247" s="19"/>
      <c r="AG1247" s="19"/>
      <c r="AH1247" s="19"/>
      <c r="AI1247" s="19"/>
      <c r="AJ1247" s="19"/>
      <c r="FM1247" s="54"/>
    </row>
    <row r="1248" spans="1:169" s="18" customFormat="1">
      <c r="A1248" s="51"/>
      <c r="B1248" s="52"/>
      <c r="C1248" s="52"/>
      <c r="D1248" s="52"/>
      <c r="E1248" s="52"/>
      <c r="F1248" s="52"/>
      <c r="G1248" s="52"/>
      <c r="H1248" s="53"/>
      <c r="I1248" s="52"/>
      <c r="J1248" s="52"/>
      <c r="K1248" s="19"/>
      <c r="L1248" s="19"/>
      <c r="M1248" s="19"/>
      <c r="N1248" s="19"/>
      <c r="O1248" s="19"/>
      <c r="P1248" s="19"/>
      <c r="Q1248" s="19"/>
      <c r="R1248" s="19"/>
      <c r="S1248" s="19"/>
      <c r="T1248" s="19"/>
      <c r="U1248" s="19"/>
      <c r="V1248" s="19"/>
      <c r="W1248" s="19"/>
      <c r="X1248" s="19"/>
      <c r="Y1248" s="19"/>
      <c r="Z1248" s="19"/>
      <c r="AA1248" s="19"/>
      <c r="AB1248" s="19"/>
      <c r="AC1248" s="19"/>
      <c r="AD1248" s="19"/>
      <c r="AE1248" s="19"/>
      <c r="AF1248" s="19"/>
      <c r="AG1248" s="19"/>
      <c r="AH1248" s="19"/>
      <c r="AI1248" s="19"/>
      <c r="AJ1248" s="19"/>
      <c r="FM1248" s="54"/>
    </row>
    <row r="1249" spans="1:169" s="18" customFormat="1">
      <c r="A1249" s="51"/>
      <c r="B1249" s="52"/>
      <c r="C1249" s="52"/>
      <c r="D1249" s="52"/>
      <c r="E1249" s="52"/>
      <c r="F1249" s="52"/>
      <c r="G1249" s="52"/>
      <c r="H1249" s="53"/>
      <c r="I1249" s="52"/>
      <c r="J1249" s="52"/>
      <c r="K1249" s="19"/>
      <c r="L1249" s="19"/>
      <c r="M1249" s="19"/>
      <c r="N1249" s="19"/>
      <c r="O1249" s="19"/>
      <c r="P1249" s="19"/>
      <c r="Q1249" s="19"/>
      <c r="R1249" s="19"/>
      <c r="S1249" s="19"/>
      <c r="T1249" s="19"/>
      <c r="U1249" s="19"/>
      <c r="V1249" s="19"/>
      <c r="W1249" s="19"/>
      <c r="X1249" s="19"/>
      <c r="Y1249" s="19"/>
      <c r="Z1249" s="19"/>
      <c r="AA1249" s="19"/>
      <c r="AB1249" s="19"/>
      <c r="AC1249" s="19"/>
      <c r="AD1249" s="19"/>
      <c r="AE1249" s="19"/>
      <c r="AF1249" s="19"/>
      <c r="AG1249" s="19"/>
      <c r="AH1249" s="19"/>
      <c r="AI1249" s="19"/>
      <c r="AJ1249" s="19"/>
      <c r="FM1249" s="54"/>
    </row>
    <row r="1250" spans="1:169" s="18" customFormat="1">
      <c r="A1250" s="51"/>
      <c r="B1250" s="52"/>
      <c r="C1250" s="52"/>
      <c r="D1250" s="52"/>
      <c r="E1250" s="52"/>
      <c r="F1250" s="52"/>
      <c r="G1250" s="52"/>
      <c r="H1250" s="53"/>
      <c r="I1250" s="52"/>
      <c r="J1250" s="52"/>
      <c r="K1250" s="19"/>
      <c r="L1250" s="19"/>
      <c r="M1250" s="19"/>
      <c r="N1250" s="19"/>
      <c r="O1250" s="19"/>
      <c r="P1250" s="19"/>
      <c r="Q1250" s="19"/>
      <c r="R1250" s="19"/>
      <c r="S1250" s="19"/>
      <c r="T1250" s="19"/>
      <c r="U1250" s="19"/>
      <c r="V1250" s="19"/>
      <c r="W1250" s="19"/>
      <c r="X1250" s="19"/>
      <c r="Y1250" s="19"/>
      <c r="Z1250" s="19"/>
      <c r="AA1250" s="19"/>
      <c r="AB1250" s="19"/>
      <c r="AC1250" s="19"/>
      <c r="AD1250" s="19"/>
      <c r="AE1250" s="19"/>
      <c r="AF1250" s="19"/>
      <c r="AG1250" s="19"/>
      <c r="AH1250" s="19"/>
      <c r="AI1250" s="19"/>
      <c r="AJ1250" s="19"/>
      <c r="FM1250" s="54"/>
    </row>
    <row r="1251" spans="1:169" s="18" customFormat="1">
      <c r="A1251" s="51"/>
      <c r="B1251" s="52"/>
      <c r="C1251" s="52"/>
      <c r="D1251" s="52"/>
      <c r="E1251" s="52"/>
      <c r="F1251" s="52"/>
      <c r="G1251" s="52"/>
      <c r="H1251" s="53"/>
      <c r="I1251" s="52"/>
      <c r="J1251" s="52"/>
      <c r="K1251" s="19"/>
      <c r="L1251" s="19"/>
      <c r="M1251" s="19"/>
      <c r="N1251" s="19"/>
      <c r="O1251" s="19"/>
      <c r="P1251" s="19"/>
      <c r="Q1251" s="19"/>
      <c r="R1251" s="19"/>
      <c r="S1251" s="19"/>
      <c r="T1251" s="19"/>
      <c r="U1251" s="19"/>
      <c r="V1251" s="19"/>
      <c r="W1251" s="19"/>
      <c r="X1251" s="19"/>
      <c r="Y1251" s="19"/>
      <c r="Z1251" s="19"/>
      <c r="AA1251" s="19"/>
      <c r="AB1251" s="19"/>
      <c r="AC1251" s="19"/>
      <c r="AD1251" s="19"/>
      <c r="AE1251" s="19"/>
      <c r="AF1251" s="19"/>
      <c r="AG1251" s="19"/>
      <c r="AH1251" s="19"/>
      <c r="AI1251" s="19"/>
      <c r="AJ1251" s="19"/>
      <c r="FM1251" s="54"/>
    </row>
    <row r="1252" spans="1:169" s="18" customFormat="1">
      <c r="A1252" s="51"/>
      <c r="B1252" s="52"/>
      <c r="C1252" s="52"/>
      <c r="D1252" s="52"/>
      <c r="E1252" s="52"/>
      <c r="F1252" s="52"/>
      <c r="G1252" s="52"/>
      <c r="H1252" s="53"/>
      <c r="I1252" s="52"/>
      <c r="J1252" s="52"/>
      <c r="K1252" s="19"/>
      <c r="L1252" s="19"/>
      <c r="M1252" s="19"/>
      <c r="N1252" s="19"/>
      <c r="O1252" s="19"/>
      <c r="P1252" s="19"/>
      <c r="Q1252" s="19"/>
      <c r="R1252" s="19"/>
      <c r="S1252" s="19"/>
      <c r="T1252" s="19"/>
      <c r="U1252" s="19"/>
      <c r="V1252" s="19"/>
      <c r="W1252" s="19"/>
      <c r="X1252" s="19"/>
      <c r="Y1252" s="19"/>
      <c r="Z1252" s="19"/>
      <c r="AA1252" s="19"/>
      <c r="AB1252" s="19"/>
      <c r="AC1252" s="19"/>
      <c r="AD1252" s="19"/>
      <c r="AE1252" s="19"/>
      <c r="AF1252" s="19"/>
      <c r="AG1252" s="19"/>
      <c r="AH1252" s="19"/>
      <c r="AI1252" s="19"/>
      <c r="AJ1252" s="19"/>
      <c r="FM1252" s="54"/>
    </row>
    <row r="1253" spans="1:169" s="18" customFormat="1">
      <c r="A1253" s="51"/>
      <c r="B1253" s="52"/>
      <c r="C1253" s="52"/>
      <c r="D1253" s="52"/>
      <c r="E1253" s="52"/>
      <c r="F1253" s="52"/>
      <c r="G1253" s="52"/>
      <c r="H1253" s="53"/>
      <c r="I1253" s="52"/>
      <c r="J1253" s="52"/>
      <c r="K1253" s="19"/>
      <c r="L1253" s="19"/>
      <c r="M1253" s="19"/>
      <c r="N1253" s="19"/>
      <c r="O1253" s="19"/>
      <c r="P1253" s="19"/>
      <c r="Q1253" s="19"/>
      <c r="R1253" s="19"/>
      <c r="S1253" s="19"/>
      <c r="T1253" s="19"/>
      <c r="U1253" s="19"/>
      <c r="V1253" s="19"/>
      <c r="W1253" s="19"/>
      <c r="X1253" s="19"/>
      <c r="Y1253" s="19"/>
      <c r="Z1253" s="19"/>
      <c r="AA1253" s="19"/>
      <c r="AB1253" s="19"/>
      <c r="AC1253" s="19"/>
      <c r="AD1253" s="19"/>
      <c r="AE1253" s="19"/>
      <c r="AF1253" s="19"/>
      <c r="AG1253" s="19"/>
      <c r="AH1253" s="19"/>
      <c r="AI1253" s="19"/>
      <c r="AJ1253" s="19"/>
      <c r="FM1253" s="54"/>
    </row>
    <row r="1254" spans="1:169" s="18" customFormat="1">
      <c r="A1254" s="51"/>
      <c r="B1254" s="52"/>
      <c r="C1254" s="52"/>
      <c r="D1254" s="52"/>
      <c r="E1254" s="52"/>
      <c r="F1254" s="52"/>
      <c r="G1254" s="52"/>
      <c r="H1254" s="53"/>
      <c r="I1254" s="52"/>
      <c r="J1254" s="52"/>
      <c r="K1254" s="19"/>
      <c r="L1254" s="19"/>
      <c r="M1254" s="19"/>
      <c r="N1254" s="19"/>
      <c r="O1254" s="19"/>
      <c r="P1254" s="19"/>
      <c r="Q1254" s="19"/>
      <c r="R1254" s="19"/>
      <c r="S1254" s="19"/>
      <c r="T1254" s="19"/>
      <c r="U1254" s="19"/>
      <c r="V1254" s="19"/>
      <c r="W1254" s="19"/>
      <c r="X1254" s="19"/>
      <c r="Y1254" s="19"/>
      <c r="Z1254" s="19"/>
      <c r="AA1254" s="19"/>
      <c r="AB1254" s="19"/>
      <c r="AC1254" s="19"/>
      <c r="AD1254" s="19"/>
      <c r="AE1254" s="19"/>
      <c r="AF1254" s="19"/>
      <c r="AG1254" s="19"/>
      <c r="AH1254" s="19"/>
      <c r="AI1254" s="19"/>
      <c r="AJ1254" s="19"/>
      <c r="FM1254" s="54"/>
    </row>
    <row r="1255" spans="1:169" s="18" customFormat="1">
      <c r="A1255" s="51"/>
      <c r="B1255" s="52"/>
      <c r="C1255" s="52"/>
      <c r="D1255" s="52"/>
      <c r="E1255" s="52"/>
      <c r="F1255" s="52"/>
      <c r="G1255" s="52"/>
      <c r="H1255" s="53"/>
      <c r="I1255" s="52"/>
      <c r="J1255" s="52"/>
      <c r="K1255" s="19"/>
      <c r="L1255" s="19"/>
      <c r="M1255" s="19"/>
      <c r="N1255" s="19"/>
      <c r="O1255" s="19"/>
      <c r="P1255" s="19"/>
      <c r="Q1255" s="19"/>
      <c r="R1255" s="19"/>
      <c r="S1255" s="19"/>
      <c r="T1255" s="19"/>
      <c r="U1255" s="19"/>
      <c r="V1255" s="19"/>
      <c r="W1255" s="19"/>
      <c r="X1255" s="19"/>
      <c r="Y1255" s="19"/>
      <c r="Z1255" s="19"/>
      <c r="AA1255" s="19"/>
      <c r="AB1255" s="19"/>
      <c r="AC1255" s="19"/>
      <c r="AD1255" s="19"/>
      <c r="AE1255" s="19"/>
      <c r="AF1255" s="19"/>
      <c r="AG1255" s="19"/>
      <c r="AH1255" s="19"/>
      <c r="AI1255" s="19"/>
      <c r="AJ1255" s="19"/>
      <c r="FM1255" s="54"/>
    </row>
    <row r="1256" spans="1:169" s="18" customFormat="1">
      <c r="A1256" s="51"/>
      <c r="B1256" s="52"/>
      <c r="C1256" s="52"/>
      <c r="D1256" s="52"/>
      <c r="E1256" s="52"/>
      <c r="F1256" s="52"/>
      <c r="G1256" s="52"/>
      <c r="H1256" s="53"/>
      <c r="I1256" s="52"/>
      <c r="J1256" s="52"/>
      <c r="K1256" s="19"/>
      <c r="L1256" s="19"/>
      <c r="M1256" s="19"/>
      <c r="N1256" s="19"/>
      <c r="O1256" s="19"/>
      <c r="P1256" s="19"/>
      <c r="Q1256" s="19"/>
      <c r="R1256" s="19"/>
      <c r="S1256" s="19"/>
      <c r="T1256" s="19"/>
      <c r="U1256" s="19"/>
      <c r="V1256" s="19"/>
      <c r="W1256" s="19"/>
      <c r="X1256" s="19"/>
      <c r="Y1256" s="19"/>
      <c r="Z1256" s="19"/>
      <c r="AA1256" s="19"/>
      <c r="AB1256" s="19"/>
      <c r="AC1256" s="19"/>
      <c r="AD1256" s="19"/>
      <c r="AE1256" s="19"/>
      <c r="AF1256" s="19"/>
      <c r="AG1256" s="19"/>
      <c r="AH1256" s="19"/>
      <c r="AI1256" s="19"/>
      <c r="AJ1256" s="19"/>
      <c r="FM1256" s="54"/>
    </row>
    <row r="1257" spans="1:169" s="18" customFormat="1">
      <c r="A1257" s="51"/>
      <c r="B1257" s="52"/>
      <c r="C1257" s="52"/>
      <c r="D1257" s="52"/>
      <c r="E1257" s="52"/>
      <c r="F1257" s="52"/>
      <c r="G1257" s="52"/>
      <c r="H1257" s="53"/>
      <c r="I1257" s="52"/>
      <c r="J1257" s="52"/>
      <c r="K1257" s="19"/>
      <c r="L1257" s="19"/>
      <c r="M1257" s="19"/>
      <c r="N1257" s="19"/>
      <c r="O1257" s="19"/>
      <c r="P1257" s="19"/>
      <c r="Q1257" s="19"/>
      <c r="R1257" s="19"/>
      <c r="S1257" s="19"/>
      <c r="T1257" s="19"/>
      <c r="U1257" s="19"/>
      <c r="V1257" s="19"/>
      <c r="W1257" s="19"/>
      <c r="X1257" s="19"/>
      <c r="Y1257" s="19"/>
      <c r="Z1257" s="19"/>
      <c r="AA1257" s="19"/>
      <c r="AB1257" s="19"/>
      <c r="AC1257" s="19"/>
      <c r="AD1257" s="19"/>
      <c r="AE1257" s="19"/>
      <c r="AF1257" s="19"/>
      <c r="AG1257" s="19"/>
      <c r="AH1257" s="19"/>
      <c r="AI1257" s="19"/>
      <c r="AJ1257" s="19"/>
      <c r="FM1257" s="54"/>
    </row>
    <row r="1258" spans="1:169" s="18" customFormat="1">
      <c r="A1258" s="51"/>
      <c r="B1258" s="52"/>
      <c r="C1258" s="52"/>
      <c r="D1258" s="52"/>
      <c r="E1258" s="52"/>
      <c r="F1258" s="52"/>
      <c r="G1258" s="52"/>
      <c r="H1258" s="53"/>
      <c r="I1258" s="52"/>
      <c r="J1258" s="52"/>
      <c r="K1258" s="19"/>
      <c r="L1258" s="19"/>
      <c r="M1258" s="19"/>
      <c r="N1258" s="19"/>
      <c r="O1258" s="19"/>
      <c r="P1258" s="19"/>
      <c r="Q1258" s="19"/>
      <c r="R1258" s="19"/>
      <c r="S1258" s="19"/>
      <c r="T1258" s="19"/>
      <c r="U1258" s="19"/>
      <c r="V1258" s="19"/>
      <c r="W1258" s="19"/>
      <c r="X1258" s="19"/>
      <c r="Y1258" s="19"/>
      <c r="Z1258" s="19"/>
      <c r="AA1258" s="19"/>
      <c r="AB1258" s="19"/>
      <c r="AC1258" s="19"/>
      <c r="AD1258" s="19"/>
      <c r="AE1258" s="19"/>
      <c r="AF1258" s="19"/>
      <c r="AG1258" s="19"/>
      <c r="AH1258" s="19"/>
      <c r="AI1258" s="19"/>
      <c r="AJ1258" s="19"/>
      <c r="FM1258" s="54"/>
    </row>
    <row r="1259" spans="1:169" s="18" customFormat="1">
      <c r="A1259" s="51"/>
      <c r="B1259" s="52"/>
      <c r="C1259" s="52"/>
      <c r="D1259" s="52"/>
      <c r="E1259" s="52"/>
      <c r="F1259" s="52"/>
      <c r="G1259" s="52"/>
      <c r="H1259" s="53"/>
      <c r="I1259" s="52"/>
      <c r="J1259" s="52"/>
      <c r="K1259" s="19"/>
      <c r="L1259" s="19"/>
      <c r="M1259" s="19"/>
      <c r="N1259" s="19"/>
      <c r="O1259" s="19"/>
      <c r="P1259" s="19"/>
      <c r="Q1259" s="19"/>
      <c r="R1259" s="19"/>
      <c r="S1259" s="19"/>
      <c r="T1259" s="19"/>
      <c r="U1259" s="19"/>
      <c r="V1259" s="19"/>
      <c r="W1259" s="19"/>
      <c r="X1259" s="19"/>
      <c r="Y1259" s="19"/>
      <c r="Z1259" s="19"/>
      <c r="AA1259" s="19"/>
      <c r="AB1259" s="19"/>
      <c r="AC1259" s="19"/>
      <c r="AD1259" s="19"/>
      <c r="AE1259" s="19"/>
      <c r="AF1259" s="19"/>
      <c r="AG1259" s="19"/>
      <c r="AH1259" s="19"/>
      <c r="AI1259" s="19"/>
      <c r="AJ1259" s="19"/>
      <c r="FM1259" s="54"/>
    </row>
    <row r="1260" spans="1:169" s="18" customFormat="1">
      <c r="A1260" s="51"/>
      <c r="B1260" s="52"/>
      <c r="C1260" s="52"/>
      <c r="D1260" s="52"/>
      <c r="E1260" s="52"/>
      <c r="F1260" s="52"/>
      <c r="G1260" s="52"/>
      <c r="H1260" s="53"/>
      <c r="I1260" s="52"/>
      <c r="J1260" s="52"/>
      <c r="K1260" s="19"/>
      <c r="L1260" s="19"/>
      <c r="M1260" s="19"/>
      <c r="N1260" s="19"/>
      <c r="O1260" s="19"/>
      <c r="P1260" s="19"/>
      <c r="Q1260" s="19"/>
      <c r="R1260" s="19"/>
      <c r="S1260" s="19"/>
      <c r="T1260" s="19"/>
      <c r="U1260" s="19"/>
      <c r="V1260" s="19"/>
      <c r="W1260" s="19"/>
      <c r="X1260" s="19"/>
      <c r="Y1260" s="19"/>
      <c r="Z1260" s="19"/>
      <c r="AA1260" s="19"/>
      <c r="AB1260" s="19"/>
      <c r="AC1260" s="19"/>
      <c r="AD1260" s="19"/>
      <c r="AE1260" s="19"/>
      <c r="AF1260" s="19"/>
      <c r="AG1260" s="19"/>
      <c r="AH1260" s="19"/>
      <c r="AI1260" s="19"/>
      <c r="AJ1260" s="19"/>
      <c r="FM1260" s="54"/>
    </row>
    <row r="1261" spans="1:169" s="18" customFormat="1">
      <c r="A1261" s="51"/>
      <c r="B1261" s="52"/>
      <c r="C1261" s="52"/>
      <c r="D1261" s="52"/>
      <c r="E1261" s="52"/>
      <c r="F1261" s="52"/>
      <c r="G1261" s="52"/>
      <c r="H1261" s="53"/>
      <c r="I1261" s="52"/>
      <c r="J1261" s="52"/>
      <c r="K1261" s="19"/>
      <c r="L1261" s="19"/>
      <c r="M1261" s="19"/>
      <c r="N1261" s="19"/>
      <c r="O1261" s="19"/>
      <c r="P1261" s="19"/>
      <c r="Q1261" s="19"/>
      <c r="R1261" s="19"/>
      <c r="S1261" s="19"/>
      <c r="T1261" s="19"/>
      <c r="U1261" s="19"/>
      <c r="V1261" s="19"/>
      <c r="W1261" s="19"/>
      <c r="X1261" s="19"/>
      <c r="Y1261" s="19"/>
      <c r="Z1261" s="19"/>
      <c r="AA1261" s="19"/>
      <c r="AB1261" s="19"/>
      <c r="AC1261" s="19"/>
      <c r="AD1261" s="19"/>
      <c r="AE1261" s="19"/>
      <c r="AF1261" s="19"/>
      <c r="AG1261" s="19"/>
      <c r="AH1261" s="19"/>
      <c r="AI1261" s="19"/>
      <c r="AJ1261" s="19"/>
      <c r="FM1261" s="54"/>
    </row>
    <row r="1262" spans="1:169" s="18" customFormat="1">
      <c r="A1262" s="51"/>
      <c r="B1262" s="52"/>
      <c r="C1262" s="52"/>
      <c r="D1262" s="52"/>
      <c r="E1262" s="52"/>
      <c r="F1262" s="52"/>
      <c r="G1262" s="52"/>
      <c r="H1262" s="53"/>
      <c r="I1262" s="52"/>
      <c r="J1262" s="52"/>
      <c r="K1262" s="19"/>
      <c r="L1262" s="19"/>
      <c r="M1262" s="19"/>
      <c r="N1262" s="19"/>
      <c r="O1262" s="19"/>
      <c r="P1262" s="19"/>
      <c r="Q1262" s="19"/>
      <c r="R1262" s="19"/>
      <c r="S1262" s="19"/>
      <c r="T1262" s="19"/>
      <c r="U1262" s="19"/>
      <c r="V1262" s="19"/>
      <c r="W1262" s="19"/>
      <c r="X1262" s="19"/>
      <c r="Y1262" s="19"/>
      <c r="Z1262" s="19"/>
      <c r="AA1262" s="19"/>
      <c r="AB1262" s="19"/>
      <c r="AC1262" s="19"/>
      <c r="AD1262" s="19"/>
      <c r="AE1262" s="19"/>
      <c r="AF1262" s="19"/>
      <c r="AG1262" s="19"/>
      <c r="AH1262" s="19"/>
      <c r="AI1262" s="19"/>
      <c r="AJ1262" s="19"/>
      <c r="FM1262" s="54"/>
    </row>
    <row r="1263" spans="1:169" s="18" customFormat="1">
      <c r="A1263" s="51"/>
      <c r="B1263" s="52"/>
      <c r="C1263" s="52"/>
      <c r="D1263" s="52"/>
      <c r="E1263" s="52"/>
      <c r="F1263" s="52"/>
      <c r="G1263" s="52"/>
      <c r="H1263" s="53"/>
      <c r="I1263" s="52"/>
      <c r="J1263" s="52"/>
      <c r="K1263" s="19"/>
      <c r="L1263" s="19"/>
      <c r="M1263" s="19"/>
      <c r="N1263" s="19"/>
      <c r="O1263" s="19"/>
      <c r="P1263" s="19"/>
      <c r="Q1263" s="19"/>
      <c r="R1263" s="19"/>
      <c r="S1263" s="19"/>
      <c r="T1263" s="19"/>
      <c r="U1263" s="19"/>
      <c r="V1263" s="19"/>
      <c r="W1263" s="19"/>
      <c r="X1263" s="19"/>
      <c r="Y1263" s="19"/>
      <c r="Z1263" s="19"/>
      <c r="AA1263" s="19"/>
      <c r="AB1263" s="19"/>
      <c r="AC1263" s="19"/>
      <c r="AD1263" s="19"/>
      <c r="AE1263" s="19"/>
      <c r="AF1263" s="19"/>
      <c r="AG1263" s="19"/>
      <c r="AH1263" s="19"/>
      <c r="AI1263" s="19"/>
      <c r="AJ1263" s="19"/>
      <c r="FM1263" s="54"/>
    </row>
    <row r="1264" spans="1:169" s="18" customFormat="1">
      <c r="A1264" s="51"/>
      <c r="B1264" s="52"/>
      <c r="C1264" s="52"/>
      <c r="D1264" s="52"/>
      <c r="E1264" s="52"/>
      <c r="F1264" s="52"/>
      <c r="G1264" s="52"/>
      <c r="H1264" s="53"/>
      <c r="I1264" s="52"/>
      <c r="J1264" s="52"/>
      <c r="K1264" s="19"/>
      <c r="L1264" s="19"/>
      <c r="M1264" s="19"/>
      <c r="N1264" s="19"/>
      <c r="O1264" s="19"/>
      <c r="P1264" s="19"/>
      <c r="Q1264" s="19"/>
      <c r="R1264" s="19"/>
      <c r="S1264" s="19"/>
      <c r="T1264" s="19"/>
      <c r="U1264" s="19"/>
      <c r="V1264" s="19"/>
      <c r="W1264" s="19"/>
      <c r="X1264" s="19"/>
      <c r="Y1264" s="19"/>
      <c r="Z1264" s="19"/>
      <c r="AA1264" s="19"/>
      <c r="AB1264" s="19"/>
      <c r="AC1264" s="19"/>
      <c r="AD1264" s="19"/>
      <c r="AE1264" s="19"/>
      <c r="AF1264" s="19"/>
      <c r="AG1264" s="19"/>
      <c r="AH1264" s="19"/>
      <c r="AI1264" s="19"/>
      <c r="AJ1264" s="19"/>
      <c r="FM1264" s="54"/>
    </row>
    <row r="1265" spans="1:169" s="18" customFormat="1">
      <c r="A1265" s="51"/>
      <c r="B1265" s="52"/>
      <c r="C1265" s="52"/>
      <c r="D1265" s="52"/>
      <c r="E1265" s="52"/>
      <c r="F1265" s="52"/>
      <c r="G1265" s="52"/>
      <c r="H1265" s="53"/>
      <c r="I1265" s="52"/>
      <c r="J1265" s="52"/>
      <c r="K1265" s="19"/>
      <c r="L1265" s="19"/>
      <c r="M1265" s="19"/>
      <c r="N1265" s="19"/>
      <c r="O1265" s="19"/>
      <c r="P1265" s="19"/>
      <c r="Q1265" s="19"/>
      <c r="R1265" s="19"/>
      <c r="S1265" s="19"/>
      <c r="T1265" s="19"/>
      <c r="U1265" s="19"/>
      <c r="V1265" s="19"/>
      <c r="W1265" s="19"/>
      <c r="X1265" s="19"/>
      <c r="Y1265" s="19"/>
      <c r="Z1265" s="19"/>
      <c r="AA1265" s="19"/>
      <c r="AB1265" s="19"/>
      <c r="AC1265" s="19"/>
      <c r="AD1265" s="19"/>
      <c r="AE1265" s="19"/>
      <c r="AF1265" s="19"/>
      <c r="AG1265" s="19"/>
      <c r="AH1265" s="19"/>
      <c r="AI1265" s="19"/>
      <c r="AJ1265" s="19"/>
      <c r="FM1265" s="54"/>
    </row>
    <row r="1266" spans="1:169" s="18" customFormat="1">
      <c r="A1266" s="51"/>
      <c r="B1266" s="52"/>
      <c r="C1266" s="52"/>
      <c r="D1266" s="52"/>
      <c r="E1266" s="52"/>
      <c r="F1266" s="52"/>
      <c r="G1266" s="52"/>
      <c r="H1266" s="53"/>
      <c r="I1266" s="52"/>
      <c r="J1266" s="52"/>
      <c r="K1266" s="19"/>
      <c r="L1266" s="19"/>
      <c r="M1266" s="19"/>
      <c r="N1266" s="19"/>
      <c r="O1266" s="19"/>
      <c r="P1266" s="19"/>
      <c r="Q1266" s="19"/>
      <c r="R1266" s="19"/>
      <c r="S1266" s="19"/>
      <c r="T1266" s="19"/>
      <c r="U1266" s="19"/>
      <c r="V1266" s="19"/>
      <c r="W1266" s="19"/>
      <c r="X1266" s="19"/>
      <c r="Y1266" s="19"/>
      <c r="Z1266" s="19"/>
      <c r="AA1266" s="19"/>
      <c r="AB1266" s="19"/>
      <c r="AC1266" s="19"/>
      <c r="AD1266" s="19"/>
      <c r="AE1266" s="19"/>
      <c r="AF1266" s="19"/>
      <c r="AG1266" s="19"/>
      <c r="AH1266" s="19"/>
      <c r="AI1266" s="19"/>
      <c r="AJ1266" s="19"/>
      <c r="FM1266" s="54"/>
    </row>
    <row r="1267" spans="1:169" s="18" customFormat="1">
      <c r="A1267" s="51"/>
      <c r="B1267" s="52"/>
      <c r="C1267" s="52"/>
      <c r="D1267" s="52"/>
      <c r="E1267" s="52"/>
      <c r="F1267" s="52"/>
      <c r="G1267" s="52"/>
      <c r="H1267" s="53"/>
      <c r="I1267" s="52"/>
      <c r="J1267" s="52"/>
      <c r="K1267" s="19"/>
      <c r="L1267" s="19"/>
      <c r="M1267" s="19"/>
      <c r="N1267" s="19"/>
      <c r="O1267" s="19"/>
      <c r="P1267" s="19"/>
      <c r="Q1267" s="19"/>
      <c r="R1267" s="19"/>
      <c r="S1267" s="19"/>
      <c r="T1267" s="19"/>
      <c r="U1267" s="19"/>
      <c r="V1267" s="19"/>
      <c r="W1267" s="19"/>
      <c r="X1267" s="19"/>
      <c r="Y1267" s="19"/>
      <c r="Z1267" s="19"/>
      <c r="AA1267" s="19"/>
      <c r="AB1267" s="19"/>
      <c r="AC1267" s="19"/>
      <c r="AD1267" s="19"/>
      <c r="AE1267" s="19"/>
      <c r="AF1267" s="19"/>
      <c r="AG1267" s="19"/>
      <c r="AH1267" s="19"/>
      <c r="AI1267" s="19"/>
      <c r="AJ1267" s="19"/>
      <c r="FM1267" s="54"/>
    </row>
    <row r="1268" spans="1:169" s="18" customFormat="1">
      <c r="A1268" s="51"/>
      <c r="B1268" s="52"/>
      <c r="C1268" s="52"/>
      <c r="D1268" s="52"/>
      <c r="E1268" s="52"/>
      <c r="F1268" s="52"/>
      <c r="G1268" s="52"/>
      <c r="H1268" s="53"/>
      <c r="I1268" s="52"/>
      <c r="J1268" s="52"/>
      <c r="K1268" s="19"/>
      <c r="L1268" s="19"/>
      <c r="M1268" s="19"/>
      <c r="N1268" s="19"/>
      <c r="O1268" s="19"/>
      <c r="P1268" s="19"/>
      <c r="Q1268" s="19"/>
      <c r="R1268" s="19"/>
      <c r="S1268" s="19"/>
      <c r="T1268" s="19"/>
      <c r="U1268" s="19"/>
      <c r="V1268" s="19"/>
      <c r="W1268" s="19"/>
      <c r="X1268" s="19"/>
      <c r="Y1268" s="19"/>
      <c r="Z1268" s="19"/>
      <c r="AA1268" s="19"/>
      <c r="AB1268" s="19"/>
      <c r="AC1268" s="19"/>
      <c r="AD1268" s="19"/>
      <c r="AE1268" s="19"/>
      <c r="AF1268" s="19"/>
      <c r="AG1268" s="19"/>
      <c r="AH1268" s="19"/>
      <c r="AI1268" s="19"/>
      <c r="AJ1268" s="19"/>
      <c r="FM1268" s="54"/>
    </row>
    <row r="1269" spans="1:169" s="18" customFormat="1">
      <c r="A1269" s="51"/>
      <c r="B1269" s="52"/>
      <c r="C1269" s="52"/>
      <c r="D1269" s="52"/>
      <c r="E1269" s="52"/>
      <c r="F1269" s="52"/>
      <c r="G1269" s="52"/>
      <c r="H1269" s="53"/>
      <c r="I1269" s="52"/>
      <c r="J1269" s="52"/>
      <c r="K1269" s="19"/>
      <c r="L1269" s="19"/>
      <c r="M1269" s="19"/>
      <c r="N1269" s="19"/>
      <c r="O1269" s="19"/>
      <c r="P1269" s="19"/>
      <c r="Q1269" s="19"/>
      <c r="R1269" s="19"/>
      <c r="S1269" s="19"/>
      <c r="T1269" s="19"/>
      <c r="U1269" s="19"/>
      <c r="V1269" s="19"/>
      <c r="W1269" s="19"/>
      <c r="X1269" s="19"/>
      <c r="Y1269" s="19"/>
      <c r="Z1269" s="19"/>
      <c r="AA1269" s="19"/>
      <c r="AB1269" s="19"/>
      <c r="AC1269" s="19"/>
      <c r="AD1269" s="19"/>
      <c r="AE1269" s="19"/>
      <c r="AF1269" s="19"/>
      <c r="AG1269" s="19"/>
      <c r="AH1269" s="19"/>
      <c r="AI1269" s="19"/>
      <c r="AJ1269" s="19"/>
      <c r="FM1269" s="54"/>
    </row>
    <row r="1270" spans="1:169" s="18" customFormat="1">
      <c r="A1270" s="51"/>
      <c r="B1270" s="52"/>
      <c r="C1270" s="52"/>
      <c r="D1270" s="52"/>
      <c r="E1270" s="52"/>
      <c r="F1270" s="52"/>
      <c r="G1270" s="52"/>
      <c r="H1270" s="53"/>
      <c r="I1270" s="52"/>
      <c r="J1270" s="52"/>
      <c r="K1270" s="19"/>
      <c r="L1270" s="19"/>
      <c r="M1270" s="19"/>
      <c r="N1270" s="19"/>
      <c r="O1270" s="19"/>
      <c r="P1270" s="19"/>
      <c r="Q1270" s="19"/>
      <c r="R1270" s="19"/>
      <c r="S1270" s="19"/>
      <c r="T1270" s="19"/>
      <c r="U1270" s="19"/>
      <c r="V1270" s="19"/>
      <c r="W1270" s="19"/>
      <c r="X1270" s="19"/>
      <c r="Y1270" s="19"/>
      <c r="Z1270" s="19"/>
      <c r="AA1270" s="19"/>
      <c r="AB1270" s="19"/>
      <c r="AC1270" s="19"/>
      <c r="AD1270" s="19"/>
      <c r="AE1270" s="19"/>
      <c r="AF1270" s="19"/>
      <c r="AG1270" s="19"/>
      <c r="AH1270" s="19"/>
      <c r="AI1270" s="19"/>
      <c r="AJ1270" s="19"/>
      <c r="FM1270" s="54"/>
    </row>
    <row r="1271" spans="1:169" s="18" customFormat="1">
      <c r="A1271" s="51"/>
      <c r="B1271" s="52"/>
      <c r="C1271" s="52"/>
      <c r="D1271" s="52"/>
      <c r="E1271" s="52"/>
      <c r="F1271" s="52"/>
      <c r="G1271" s="52"/>
      <c r="H1271" s="53"/>
      <c r="I1271" s="52"/>
      <c r="J1271" s="52"/>
      <c r="K1271" s="19"/>
      <c r="L1271" s="19"/>
      <c r="M1271" s="19"/>
      <c r="N1271" s="19"/>
      <c r="O1271" s="19"/>
      <c r="P1271" s="19"/>
      <c r="Q1271" s="19"/>
      <c r="R1271" s="19"/>
      <c r="S1271" s="19"/>
      <c r="T1271" s="19"/>
      <c r="U1271" s="19"/>
      <c r="V1271" s="19"/>
      <c r="W1271" s="19"/>
      <c r="X1271" s="19"/>
      <c r="Y1271" s="19"/>
      <c r="Z1271" s="19"/>
      <c r="AA1271" s="19"/>
      <c r="AB1271" s="19"/>
      <c r="AC1271" s="19"/>
      <c r="AD1271" s="19"/>
      <c r="AE1271" s="19"/>
      <c r="AF1271" s="19"/>
      <c r="AG1271" s="19"/>
      <c r="AH1271" s="19"/>
      <c r="AI1271" s="19"/>
      <c r="AJ1271" s="19"/>
      <c r="FM1271" s="54"/>
    </row>
    <row r="1272" spans="1:169" s="18" customFormat="1">
      <c r="A1272" s="51"/>
      <c r="B1272" s="52"/>
      <c r="C1272" s="52"/>
      <c r="D1272" s="52"/>
      <c r="E1272" s="52"/>
      <c r="F1272" s="52"/>
      <c r="G1272" s="52"/>
      <c r="H1272" s="53"/>
      <c r="I1272" s="52"/>
      <c r="J1272" s="52"/>
      <c r="K1272" s="19"/>
      <c r="L1272" s="19"/>
      <c r="M1272" s="19"/>
      <c r="N1272" s="19"/>
      <c r="O1272" s="19"/>
      <c r="P1272" s="19"/>
      <c r="Q1272" s="19"/>
      <c r="R1272" s="19"/>
      <c r="S1272" s="19"/>
      <c r="T1272" s="19"/>
      <c r="U1272" s="19"/>
      <c r="V1272" s="19"/>
      <c r="W1272" s="19"/>
      <c r="X1272" s="19"/>
      <c r="Y1272" s="19"/>
      <c r="Z1272" s="19"/>
      <c r="AA1272" s="19"/>
      <c r="AB1272" s="19"/>
      <c r="AC1272" s="19"/>
      <c r="AD1272" s="19"/>
      <c r="AE1272" s="19"/>
      <c r="AF1272" s="19"/>
      <c r="AG1272" s="19"/>
      <c r="AH1272" s="19"/>
      <c r="AI1272" s="19"/>
      <c r="AJ1272" s="19"/>
      <c r="FM1272" s="54"/>
    </row>
    <row r="1273" spans="1:169" s="18" customFormat="1">
      <c r="A1273" s="51"/>
      <c r="B1273" s="52"/>
      <c r="C1273" s="52"/>
      <c r="D1273" s="52"/>
      <c r="E1273" s="52"/>
      <c r="F1273" s="52"/>
      <c r="G1273" s="52"/>
      <c r="H1273" s="53"/>
      <c r="I1273" s="52"/>
      <c r="J1273" s="52"/>
      <c r="K1273" s="19"/>
      <c r="L1273" s="19"/>
      <c r="M1273" s="19"/>
      <c r="N1273" s="19"/>
      <c r="O1273" s="19"/>
      <c r="P1273" s="19"/>
      <c r="Q1273" s="19"/>
      <c r="R1273" s="19"/>
      <c r="S1273" s="19"/>
      <c r="T1273" s="19"/>
      <c r="U1273" s="19"/>
      <c r="V1273" s="19"/>
      <c r="W1273" s="19"/>
      <c r="X1273" s="19"/>
      <c r="Y1273" s="19"/>
      <c r="Z1273" s="19"/>
      <c r="AA1273" s="19"/>
      <c r="AB1273" s="19"/>
      <c r="AC1273" s="19"/>
      <c r="AD1273" s="19"/>
      <c r="AE1273" s="19"/>
      <c r="AF1273" s="19"/>
      <c r="AG1273" s="19"/>
      <c r="AH1273" s="19"/>
      <c r="AI1273" s="19"/>
      <c r="AJ1273" s="19"/>
      <c r="FM1273" s="54"/>
    </row>
    <row r="1274" spans="1:169" s="18" customFormat="1">
      <c r="A1274" s="51"/>
      <c r="B1274" s="52"/>
      <c r="C1274" s="52"/>
      <c r="D1274" s="52"/>
      <c r="E1274" s="52"/>
      <c r="F1274" s="52"/>
      <c r="G1274" s="52"/>
      <c r="H1274" s="53"/>
      <c r="I1274" s="52"/>
      <c r="J1274" s="52"/>
      <c r="K1274" s="19"/>
      <c r="L1274" s="19"/>
      <c r="M1274" s="19"/>
      <c r="N1274" s="19"/>
      <c r="O1274" s="19"/>
      <c r="P1274" s="19"/>
      <c r="Q1274" s="19"/>
      <c r="R1274" s="19"/>
      <c r="S1274" s="19"/>
      <c r="T1274" s="19"/>
      <c r="U1274" s="19"/>
      <c r="V1274" s="19"/>
      <c r="W1274" s="19"/>
      <c r="X1274" s="19"/>
      <c r="Y1274" s="19"/>
      <c r="Z1274" s="19"/>
      <c r="AA1274" s="19"/>
      <c r="AB1274" s="19"/>
      <c r="AC1274" s="19"/>
      <c r="AD1274" s="19"/>
      <c r="AE1274" s="19"/>
      <c r="AF1274" s="19"/>
      <c r="AG1274" s="19"/>
      <c r="AH1274" s="19"/>
      <c r="AI1274" s="19"/>
      <c r="AJ1274" s="19"/>
      <c r="FM1274" s="54"/>
    </row>
    <row r="1275" spans="1:169" s="18" customFormat="1">
      <c r="A1275" s="51"/>
      <c r="B1275" s="52"/>
      <c r="C1275" s="52"/>
      <c r="D1275" s="52"/>
      <c r="E1275" s="52"/>
      <c r="F1275" s="52"/>
      <c r="G1275" s="52"/>
      <c r="H1275" s="53"/>
      <c r="I1275" s="52"/>
      <c r="J1275" s="52"/>
      <c r="K1275" s="19"/>
      <c r="L1275" s="19"/>
      <c r="M1275" s="19"/>
      <c r="N1275" s="19"/>
      <c r="O1275" s="19"/>
      <c r="P1275" s="19"/>
      <c r="Q1275" s="19"/>
      <c r="R1275" s="19"/>
      <c r="S1275" s="19"/>
      <c r="T1275" s="19"/>
      <c r="U1275" s="19"/>
      <c r="V1275" s="19"/>
      <c r="W1275" s="19"/>
      <c r="X1275" s="19"/>
      <c r="Y1275" s="19"/>
      <c r="Z1275" s="19"/>
      <c r="AA1275" s="19"/>
      <c r="AB1275" s="19"/>
      <c r="AC1275" s="19"/>
      <c r="AD1275" s="19"/>
      <c r="AE1275" s="19"/>
      <c r="AF1275" s="19"/>
      <c r="AG1275" s="19"/>
      <c r="AH1275" s="19"/>
      <c r="AI1275" s="19"/>
      <c r="AJ1275" s="19"/>
      <c r="FM1275" s="54"/>
    </row>
    <row r="1276" spans="1:169" s="18" customFormat="1">
      <c r="A1276" s="51"/>
      <c r="B1276" s="52"/>
      <c r="C1276" s="52"/>
      <c r="D1276" s="52"/>
      <c r="E1276" s="52"/>
      <c r="F1276" s="52"/>
      <c r="G1276" s="52"/>
      <c r="H1276" s="53"/>
      <c r="I1276" s="52"/>
      <c r="J1276" s="52"/>
      <c r="K1276" s="19"/>
      <c r="L1276" s="19"/>
      <c r="M1276" s="19"/>
      <c r="N1276" s="19"/>
      <c r="O1276" s="19"/>
      <c r="P1276" s="19"/>
      <c r="Q1276" s="19"/>
      <c r="R1276" s="19"/>
      <c r="S1276" s="19"/>
      <c r="T1276" s="19"/>
      <c r="U1276" s="19"/>
      <c r="V1276" s="19"/>
      <c r="W1276" s="19"/>
      <c r="X1276" s="19"/>
      <c r="Y1276" s="19"/>
      <c r="Z1276" s="19"/>
      <c r="AA1276" s="19"/>
      <c r="AB1276" s="19"/>
      <c r="AC1276" s="19"/>
      <c r="AD1276" s="19"/>
      <c r="AE1276" s="19"/>
      <c r="AF1276" s="19"/>
      <c r="AG1276" s="19"/>
      <c r="AH1276" s="19"/>
      <c r="AI1276" s="19"/>
      <c r="AJ1276" s="19"/>
      <c r="FM1276" s="54"/>
    </row>
    <row r="1277" spans="1:169" s="18" customFormat="1">
      <c r="A1277" s="51"/>
      <c r="B1277" s="52"/>
      <c r="C1277" s="52"/>
      <c r="D1277" s="52"/>
      <c r="E1277" s="52"/>
      <c r="F1277" s="52"/>
      <c r="G1277" s="52"/>
      <c r="H1277" s="53"/>
      <c r="I1277" s="52"/>
      <c r="J1277" s="52"/>
      <c r="K1277" s="19"/>
      <c r="L1277" s="19"/>
      <c r="M1277" s="19"/>
      <c r="N1277" s="19"/>
      <c r="O1277" s="19"/>
      <c r="P1277" s="19"/>
      <c r="Q1277" s="19"/>
      <c r="R1277" s="19"/>
      <c r="S1277" s="19"/>
      <c r="T1277" s="19"/>
      <c r="U1277" s="19"/>
      <c r="V1277" s="19"/>
      <c r="W1277" s="19"/>
      <c r="X1277" s="19"/>
      <c r="Y1277" s="19"/>
      <c r="Z1277" s="19"/>
      <c r="AA1277" s="19"/>
      <c r="AB1277" s="19"/>
      <c r="AC1277" s="19"/>
      <c r="AD1277" s="19"/>
      <c r="AE1277" s="19"/>
      <c r="AF1277" s="19"/>
      <c r="AG1277" s="19"/>
      <c r="AH1277" s="19"/>
      <c r="AI1277" s="19"/>
      <c r="AJ1277" s="19"/>
      <c r="FM1277" s="54"/>
    </row>
    <row r="1278" spans="1:169" s="18" customFormat="1">
      <c r="A1278" s="51"/>
      <c r="B1278" s="52"/>
      <c r="C1278" s="52"/>
      <c r="D1278" s="52"/>
      <c r="E1278" s="52"/>
      <c r="F1278" s="52"/>
      <c r="G1278" s="52"/>
      <c r="H1278" s="53"/>
      <c r="I1278" s="52"/>
      <c r="J1278" s="52"/>
      <c r="K1278" s="19"/>
      <c r="L1278" s="19"/>
      <c r="M1278" s="19"/>
      <c r="N1278" s="19"/>
      <c r="O1278" s="19"/>
      <c r="P1278" s="19"/>
      <c r="Q1278" s="19"/>
      <c r="R1278" s="19"/>
      <c r="S1278" s="19"/>
      <c r="T1278" s="19"/>
      <c r="U1278" s="19"/>
      <c r="V1278" s="19"/>
      <c r="W1278" s="19"/>
      <c r="X1278" s="19"/>
      <c r="Y1278" s="19"/>
      <c r="Z1278" s="19"/>
      <c r="AA1278" s="19"/>
      <c r="AB1278" s="19"/>
      <c r="AC1278" s="19"/>
      <c r="AD1278" s="19"/>
      <c r="AE1278" s="19"/>
      <c r="AF1278" s="19"/>
      <c r="AG1278" s="19"/>
      <c r="AH1278" s="19"/>
      <c r="AI1278" s="19"/>
      <c r="AJ1278" s="19"/>
      <c r="FM1278" s="54"/>
    </row>
    <row r="1279" spans="1:169" s="18" customFormat="1">
      <c r="A1279" s="51"/>
      <c r="B1279" s="52"/>
      <c r="C1279" s="52"/>
      <c r="D1279" s="52"/>
      <c r="E1279" s="52"/>
      <c r="F1279" s="52"/>
      <c r="G1279" s="52"/>
      <c r="H1279" s="53"/>
      <c r="I1279" s="52"/>
      <c r="J1279" s="52"/>
      <c r="K1279" s="19"/>
      <c r="L1279" s="19"/>
      <c r="M1279" s="19"/>
      <c r="N1279" s="19"/>
      <c r="O1279" s="19"/>
      <c r="P1279" s="19"/>
      <c r="Q1279" s="19"/>
      <c r="R1279" s="19"/>
      <c r="S1279" s="19"/>
      <c r="T1279" s="19"/>
      <c r="U1279" s="19"/>
      <c r="V1279" s="19"/>
      <c r="W1279" s="19"/>
      <c r="X1279" s="19"/>
      <c r="Y1279" s="19"/>
      <c r="Z1279" s="19"/>
      <c r="AA1279" s="19"/>
      <c r="AB1279" s="19"/>
      <c r="AC1279" s="19"/>
      <c r="AD1279" s="19"/>
      <c r="AE1279" s="19"/>
      <c r="AF1279" s="19"/>
      <c r="AG1279" s="19"/>
      <c r="AH1279" s="19"/>
      <c r="AI1279" s="19"/>
      <c r="AJ1279" s="19"/>
      <c r="FM1279" s="54"/>
    </row>
    <row r="1280" spans="1:169" s="18" customFormat="1">
      <c r="A1280" s="51"/>
      <c r="B1280" s="52"/>
      <c r="C1280" s="52"/>
      <c r="D1280" s="52"/>
      <c r="E1280" s="52"/>
      <c r="F1280" s="52"/>
      <c r="G1280" s="52"/>
      <c r="H1280" s="53"/>
      <c r="I1280" s="52"/>
      <c r="J1280" s="52"/>
      <c r="K1280" s="19"/>
      <c r="L1280" s="19"/>
      <c r="M1280" s="19"/>
      <c r="N1280" s="19"/>
      <c r="O1280" s="19"/>
      <c r="P1280" s="19"/>
      <c r="Q1280" s="19"/>
      <c r="R1280" s="19"/>
      <c r="S1280" s="19"/>
      <c r="T1280" s="19"/>
      <c r="U1280" s="19"/>
      <c r="V1280" s="19"/>
      <c r="W1280" s="19"/>
      <c r="X1280" s="19"/>
      <c r="Y1280" s="19"/>
      <c r="Z1280" s="19"/>
      <c r="AA1280" s="19"/>
      <c r="AB1280" s="19"/>
      <c r="AC1280" s="19"/>
      <c r="AD1280" s="19"/>
      <c r="AE1280" s="19"/>
      <c r="AF1280" s="19"/>
      <c r="AG1280" s="19"/>
      <c r="AH1280" s="19"/>
      <c r="AI1280" s="19"/>
      <c r="AJ1280" s="19"/>
      <c r="FM1280" s="54"/>
    </row>
    <row r="1281" spans="1:169" s="18" customFormat="1">
      <c r="A1281" s="51"/>
      <c r="B1281" s="52"/>
      <c r="C1281" s="52"/>
      <c r="D1281" s="52"/>
      <c r="E1281" s="52"/>
      <c r="F1281" s="52"/>
      <c r="G1281" s="52"/>
      <c r="H1281" s="53"/>
      <c r="I1281" s="52"/>
      <c r="J1281" s="52"/>
      <c r="K1281" s="19"/>
      <c r="L1281" s="19"/>
      <c r="M1281" s="19"/>
      <c r="N1281" s="19"/>
      <c r="O1281" s="19"/>
      <c r="P1281" s="19"/>
      <c r="Q1281" s="19"/>
      <c r="R1281" s="19"/>
      <c r="S1281" s="19"/>
      <c r="T1281" s="19"/>
      <c r="U1281" s="19"/>
      <c r="V1281" s="19"/>
      <c r="W1281" s="19"/>
      <c r="X1281" s="19"/>
      <c r="Y1281" s="19"/>
      <c r="Z1281" s="19"/>
      <c r="AA1281" s="19"/>
      <c r="AB1281" s="19"/>
      <c r="AC1281" s="19"/>
      <c r="AD1281" s="19"/>
      <c r="AE1281" s="19"/>
      <c r="AF1281" s="19"/>
      <c r="AG1281" s="19"/>
      <c r="AH1281" s="19"/>
      <c r="AI1281" s="19"/>
      <c r="AJ1281" s="19"/>
      <c r="FM1281" s="54"/>
    </row>
    <row r="1282" spans="1:169" s="18" customFormat="1">
      <c r="A1282" s="51"/>
      <c r="B1282" s="52"/>
      <c r="C1282" s="52"/>
      <c r="D1282" s="52"/>
      <c r="E1282" s="52"/>
      <c r="F1282" s="52"/>
      <c r="G1282" s="52"/>
      <c r="H1282" s="53"/>
      <c r="I1282" s="52"/>
      <c r="J1282" s="52"/>
      <c r="K1282" s="19"/>
      <c r="L1282" s="19"/>
      <c r="M1282" s="19"/>
      <c r="N1282" s="19"/>
      <c r="O1282" s="19"/>
      <c r="P1282" s="19"/>
      <c r="Q1282" s="19"/>
      <c r="R1282" s="19"/>
      <c r="S1282" s="19"/>
      <c r="T1282" s="19"/>
      <c r="U1282" s="19"/>
      <c r="V1282" s="19"/>
      <c r="W1282" s="19"/>
      <c r="X1282" s="19"/>
      <c r="Y1282" s="19"/>
      <c r="Z1282" s="19"/>
      <c r="AA1282" s="19"/>
      <c r="AB1282" s="19"/>
      <c r="AC1282" s="19"/>
      <c r="AD1282" s="19"/>
      <c r="AE1282" s="19"/>
      <c r="AF1282" s="19"/>
      <c r="AG1282" s="19"/>
      <c r="AH1282" s="19"/>
      <c r="AI1282" s="19"/>
      <c r="AJ1282" s="19"/>
      <c r="FM1282" s="54"/>
    </row>
    <row r="1283" spans="1:169" s="18" customFormat="1">
      <c r="A1283" s="51"/>
      <c r="B1283" s="52"/>
      <c r="C1283" s="52"/>
      <c r="D1283" s="52"/>
      <c r="E1283" s="52"/>
      <c r="F1283" s="52"/>
      <c r="G1283" s="52"/>
      <c r="H1283" s="53"/>
      <c r="I1283" s="52"/>
      <c r="J1283" s="52"/>
      <c r="K1283" s="19"/>
      <c r="L1283" s="19"/>
      <c r="M1283" s="19"/>
      <c r="N1283" s="19"/>
      <c r="O1283" s="19"/>
      <c r="P1283" s="19"/>
      <c r="Q1283" s="19"/>
      <c r="R1283" s="19"/>
      <c r="S1283" s="19"/>
      <c r="T1283" s="19"/>
      <c r="U1283" s="19"/>
      <c r="V1283" s="19"/>
      <c r="W1283" s="19"/>
      <c r="X1283" s="19"/>
      <c r="Y1283" s="19"/>
      <c r="Z1283" s="19"/>
      <c r="AA1283" s="19"/>
      <c r="AB1283" s="19"/>
      <c r="AC1283" s="19"/>
      <c r="AD1283" s="19"/>
      <c r="AE1283" s="19"/>
      <c r="AF1283" s="19"/>
      <c r="AG1283" s="19"/>
      <c r="AH1283" s="19"/>
      <c r="AI1283" s="19"/>
      <c r="AJ1283" s="19"/>
      <c r="FM1283" s="54"/>
    </row>
    <row r="1284" spans="1:169" s="18" customFormat="1">
      <c r="A1284" s="51"/>
      <c r="B1284" s="52"/>
      <c r="C1284" s="52"/>
      <c r="D1284" s="52"/>
      <c r="E1284" s="52"/>
      <c r="F1284" s="52"/>
      <c r="G1284" s="52"/>
      <c r="H1284" s="53"/>
      <c r="I1284" s="52"/>
      <c r="J1284" s="52"/>
      <c r="K1284" s="19"/>
      <c r="L1284" s="19"/>
      <c r="M1284" s="19"/>
      <c r="N1284" s="19"/>
      <c r="O1284" s="19"/>
      <c r="P1284" s="19"/>
      <c r="Q1284" s="19"/>
      <c r="R1284" s="19"/>
      <c r="S1284" s="19"/>
      <c r="T1284" s="19"/>
      <c r="U1284" s="19"/>
      <c r="V1284" s="19"/>
      <c r="W1284" s="19"/>
      <c r="X1284" s="19"/>
      <c r="Y1284" s="19"/>
      <c r="Z1284" s="19"/>
      <c r="AA1284" s="19"/>
      <c r="AB1284" s="19"/>
      <c r="AC1284" s="19"/>
      <c r="AD1284" s="19"/>
      <c r="AE1284" s="19"/>
      <c r="AF1284" s="19"/>
      <c r="AG1284" s="19"/>
      <c r="AH1284" s="19"/>
      <c r="AI1284" s="19"/>
      <c r="AJ1284" s="19"/>
      <c r="FM1284" s="54"/>
    </row>
    <row r="1285" spans="1:169" s="18" customFormat="1">
      <c r="A1285" s="51"/>
      <c r="B1285" s="52"/>
      <c r="C1285" s="52"/>
      <c r="D1285" s="52"/>
      <c r="E1285" s="52"/>
      <c r="F1285" s="52"/>
      <c r="G1285" s="52"/>
      <c r="H1285" s="53"/>
      <c r="I1285" s="52"/>
      <c r="J1285" s="52"/>
      <c r="K1285" s="19"/>
      <c r="L1285" s="19"/>
      <c r="M1285" s="19"/>
      <c r="N1285" s="19"/>
      <c r="O1285" s="19"/>
      <c r="P1285" s="19"/>
      <c r="Q1285" s="19"/>
      <c r="R1285" s="19"/>
      <c r="S1285" s="19"/>
      <c r="T1285" s="19"/>
      <c r="U1285" s="19"/>
      <c r="V1285" s="19"/>
      <c r="W1285" s="19"/>
      <c r="X1285" s="19"/>
      <c r="Y1285" s="19"/>
      <c r="Z1285" s="19"/>
      <c r="AA1285" s="19"/>
      <c r="AB1285" s="19"/>
      <c r="AC1285" s="19"/>
      <c r="AD1285" s="19"/>
      <c r="AE1285" s="19"/>
      <c r="AF1285" s="19"/>
      <c r="AG1285" s="19"/>
      <c r="AH1285" s="19"/>
      <c r="AI1285" s="19"/>
      <c r="AJ1285" s="19"/>
      <c r="FM1285" s="54"/>
    </row>
    <row r="1286" spans="1:169" s="18" customFormat="1">
      <c r="A1286" s="51"/>
      <c r="B1286" s="52"/>
      <c r="C1286" s="52"/>
      <c r="D1286" s="52"/>
      <c r="E1286" s="52"/>
      <c r="F1286" s="52"/>
      <c r="G1286" s="52"/>
      <c r="H1286" s="53"/>
      <c r="I1286" s="52"/>
      <c r="J1286" s="52"/>
      <c r="K1286" s="19"/>
      <c r="L1286" s="19"/>
      <c r="M1286" s="19"/>
      <c r="N1286" s="19"/>
      <c r="O1286" s="19"/>
      <c r="P1286" s="19"/>
      <c r="Q1286" s="19"/>
      <c r="R1286" s="19"/>
      <c r="S1286" s="19"/>
      <c r="T1286" s="19"/>
      <c r="U1286" s="19"/>
      <c r="V1286" s="19"/>
      <c r="W1286" s="19"/>
      <c r="X1286" s="19"/>
      <c r="Y1286" s="19"/>
      <c r="Z1286" s="19"/>
      <c r="AA1286" s="19"/>
      <c r="AB1286" s="19"/>
      <c r="AC1286" s="19"/>
      <c r="AD1286" s="19"/>
      <c r="AE1286" s="19"/>
      <c r="AF1286" s="19"/>
      <c r="AG1286" s="19"/>
      <c r="AH1286" s="19"/>
      <c r="AI1286" s="19"/>
      <c r="AJ1286" s="19"/>
      <c r="FM1286" s="54"/>
    </row>
    <row r="1287" spans="1:169" s="18" customFormat="1">
      <c r="A1287" s="51"/>
      <c r="B1287" s="52"/>
      <c r="C1287" s="52"/>
      <c r="D1287" s="52"/>
      <c r="E1287" s="52"/>
      <c r="F1287" s="52"/>
      <c r="G1287" s="52"/>
      <c r="H1287" s="53"/>
      <c r="I1287" s="52"/>
      <c r="J1287" s="52"/>
      <c r="K1287" s="19"/>
      <c r="L1287" s="19"/>
      <c r="M1287" s="19"/>
      <c r="N1287" s="19"/>
      <c r="O1287" s="19"/>
      <c r="P1287" s="19"/>
      <c r="Q1287" s="19"/>
      <c r="R1287" s="19"/>
      <c r="S1287" s="19"/>
      <c r="T1287" s="19"/>
      <c r="U1287" s="19"/>
      <c r="V1287" s="19"/>
      <c r="W1287" s="19"/>
      <c r="X1287" s="19"/>
      <c r="Y1287" s="19"/>
      <c r="Z1287" s="19"/>
      <c r="AA1287" s="19"/>
      <c r="AB1287" s="19"/>
      <c r="AC1287" s="19"/>
      <c r="AD1287" s="19"/>
      <c r="AE1287" s="19"/>
      <c r="AF1287" s="19"/>
      <c r="AG1287" s="19"/>
      <c r="AH1287" s="19"/>
      <c r="AI1287" s="19"/>
      <c r="AJ1287" s="19"/>
      <c r="FM1287" s="54"/>
    </row>
    <row r="1288" spans="1:169" s="18" customFormat="1">
      <c r="A1288" s="51"/>
      <c r="B1288" s="52"/>
      <c r="C1288" s="52"/>
      <c r="D1288" s="52"/>
      <c r="E1288" s="52"/>
      <c r="F1288" s="52"/>
      <c r="G1288" s="52"/>
      <c r="H1288" s="53"/>
      <c r="I1288" s="52"/>
      <c r="J1288" s="52"/>
      <c r="K1288" s="19"/>
      <c r="L1288" s="19"/>
      <c r="M1288" s="19"/>
      <c r="N1288" s="19"/>
      <c r="O1288" s="19"/>
      <c r="P1288" s="19"/>
      <c r="Q1288" s="19"/>
      <c r="R1288" s="19"/>
      <c r="S1288" s="19"/>
      <c r="T1288" s="19"/>
      <c r="U1288" s="19"/>
      <c r="V1288" s="19"/>
      <c r="W1288" s="19"/>
      <c r="X1288" s="19"/>
      <c r="Y1288" s="19"/>
      <c r="Z1288" s="19"/>
      <c r="AA1288" s="19"/>
      <c r="AB1288" s="19"/>
      <c r="AC1288" s="19"/>
      <c r="AD1288" s="19"/>
      <c r="AE1288" s="19"/>
      <c r="AF1288" s="19"/>
      <c r="AG1288" s="19"/>
      <c r="AH1288" s="19"/>
      <c r="AI1288" s="19"/>
      <c r="AJ1288" s="19"/>
      <c r="FM1288" s="54"/>
    </row>
    <row r="1289" spans="1:169" s="18" customFormat="1">
      <c r="A1289" s="51"/>
      <c r="B1289" s="52"/>
      <c r="C1289" s="52"/>
      <c r="D1289" s="52"/>
      <c r="E1289" s="52"/>
      <c r="F1289" s="52"/>
      <c r="G1289" s="52"/>
      <c r="H1289" s="53"/>
      <c r="I1289" s="52"/>
      <c r="J1289" s="52"/>
      <c r="K1289" s="19"/>
      <c r="L1289" s="19"/>
      <c r="M1289" s="19"/>
      <c r="N1289" s="19"/>
      <c r="O1289" s="19"/>
      <c r="P1289" s="19"/>
      <c r="Q1289" s="19"/>
      <c r="R1289" s="19"/>
      <c r="S1289" s="19"/>
      <c r="T1289" s="19"/>
      <c r="U1289" s="19"/>
      <c r="V1289" s="19"/>
      <c r="W1289" s="19"/>
      <c r="X1289" s="19"/>
      <c r="Y1289" s="19"/>
      <c r="Z1289" s="19"/>
      <c r="AA1289" s="19"/>
      <c r="AB1289" s="19"/>
      <c r="AC1289" s="19"/>
      <c r="AD1289" s="19"/>
      <c r="AE1289" s="19"/>
      <c r="AF1289" s="19"/>
      <c r="AG1289" s="19"/>
      <c r="AH1289" s="19"/>
      <c r="AI1289" s="19"/>
      <c r="AJ1289" s="19"/>
      <c r="FM1289" s="54"/>
    </row>
    <row r="1290" spans="1:169" s="18" customFormat="1">
      <c r="A1290" s="51"/>
      <c r="B1290" s="52"/>
      <c r="C1290" s="52"/>
      <c r="D1290" s="52"/>
      <c r="E1290" s="52"/>
      <c r="F1290" s="52"/>
      <c r="G1290" s="52"/>
      <c r="H1290" s="53"/>
      <c r="I1290" s="52"/>
      <c r="J1290" s="52"/>
      <c r="K1290" s="19"/>
      <c r="L1290" s="19"/>
      <c r="M1290" s="19"/>
      <c r="N1290" s="19"/>
      <c r="O1290" s="19"/>
      <c r="P1290" s="19"/>
      <c r="Q1290" s="19"/>
      <c r="R1290" s="19"/>
      <c r="S1290" s="19"/>
      <c r="T1290" s="19"/>
      <c r="U1290" s="19"/>
      <c r="V1290" s="19"/>
      <c r="W1290" s="19"/>
      <c r="X1290" s="19"/>
      <c r="Y1290" s="19"/>
      <c r="Z1290" s="19"/>
      <c r="AA1290" s="19"/>
      <c r="AB1290" s="19"/>
      <c r="AC1290" s="19"/>
      <c r="AD1290" s="19"/>
      <c r="AE1290" s="19"/>
      <c r="AF1290" s="19"/>
      <c r="AG1290" s="19"/>
      <c r="AH1290" s="19"/>
      <c r="AI1290" s="19"/>
      <c r="AJ1290" s="19"/>
      <c r="FM1290" s="54"/>
    </row>
    <row r="1291" spans="1:169" s="18" customFormat="1">
      <c r="A1291" s="51"/>
      <c r="B1291" s="52"/>
      <c r="C1291" s="52"/>
      <c r="D1291" s="52"/>
      <c r="E1291" s="52"/>
      <c r="F1291" s="52"/>
      <c r="G1291" s="52"/>
      <c r="H1291" s="53"/>
      <c r="I1291" s="52"/>
      <c r="J1291" s="52"/>
      <c r="K1291" s="19"/>
      <c r="L1291" s="19"/>
      <c r="M1291" s="19"/>
      <c r="N1291" s="19"/>
      <c r="O1291" s="19"/>
      <c r="P1291" s="19"/>
      <c r="Q1291" s="19"/>
      <c r="R1291" s="19"/>
      <c r="S1291" s="19"/>
      <c r="T1291" s="19"/>
      <c r="U1291" s="19"/>
      <c r="V1291" s="19"/>
      <c r="W1291" s="19"/>
      <c r="X1291" s="19"/>
      <c r="Y1291" s="19"/>
      <c r="Z1291" s="19"/>
      <c r="AA1291" s="19"/>
      <c r="AB1291" s="19"/>
      <c r="AC1291" s="19"/>
      <c r="AD1291" s="19"/>
      <c r="AE1291" s="19"/>
      <c r="AF1291" s="19"/>
      <c r="AG1291" s="19"/>
      <c r="AH1291" s="19"/>
      <c r="AI1291" s="19"/>
      <c r="AJ1291" s="19"/>
      <c r="FM1291" s="54"/>
    </row>
    <row r="1292" spans="1:169" s="18" customFormat="1">
      <c r="A1292" s="51"/>
      <c r="B1292" s="52"/>
      <c r="C1292" s="52"/>
      <c r="D1292" s="52"/>
      <c r="E1292" s="52"/>
      <c r="F1292" s="52"/>
      <c r="G1292" s="52"/>
      <c r="H1292" s="53"/>
      <c r="I1292" s="52"/>
      <c r="J1292" s="52"/>
      <c r="K1292" s="19"/>
      <c r="L1292" s="19"/>
      <c r="M1292" s="19"/>
      <c r="N1292" s="19"/>
      <c r="O1292" s="19"/>
      <c r="P1292" s="19"/>
      <c r="Q1292" s="19"/>
      <c r="R1292" s="19"/>
      <c r="S1292" s="19"/>
      <c r="T1292" s="19"/>
      <c r="U1292" s="19"/>
      <c r="V1292" s="19"/>
      <c r="W1292" s="19"/>
      <c r="X1292" s="19"/>
      <c r="Y1292" s="19"/>
      <c r="Z1292" s="19"/>
      <c r="AA1292" s="19"/>
      <c r="AB1292" s="19"/>
      <c r="AC1292" s="19"/>
      <c r="AD1292" s="19"/>
      <c r="AE1292" s="19"/>
      <c r="AF1292" s="19"/>
      <c r="AG1292" s="19"/>
      <c r="AH1292" s="19"/>
      <c r="AI1292" s="19"/>
      <c r="AJ1292" s="19"/>
      <c r="FM1292" s="54"/>
    </row>
    <row r="1293" spans="1:169" s="18" customFormat="1">
      <c r="A1293" s="51"/>
      <c r="B1293" s="52"/>
      <c r="C1293" s="52"/>
      <c r="D1293" s="52"/>
      <c r="E1293" s="52"/>
      <c r="F1293" s="52"/>
      <c r="G1293" s="52"/>
      <c r="H1293" s="53"/>
      <c r="I1293" s="52"/>
      <c r="J1293" s="52"/>
      <c r="K1293" s="19"/>
      <c r="L1293" s="19"/>
      <c r="M1293" s="19"/>
      <c r="N1293" s="19"/>
      <c r="O1293" s="19"/>
      <c r="P1293" s="19"/>
      <c r="Q1293" s="19"/>
      <c r="R1293" s="19"/>
      <c r="S1293" s="19"/>
      <c r="T1293" s="19"/>
      <c r="U1293" s="19"/>
      <c r="V1293" s="19"/>
      <c r="W1293" s="19"/>
      <c r="X1293" s="19"/>
      <c r="Y1293" s="19"/>
      <c r="Z1293" s="19"/>
      <c r="AA1293" s="19"/>
      <c r="AB1293" s="19"/>
      <c r="AC1293" s="19"/>
      <c r="AD1293" s="19"/>
      <c r="AE1293" s="19"/>
      <c r="AF1293" s="19"/>
      <c r="AG1293" s="19"/>
      <c r="AH1293" s="19"/>
      <c r="AI1293" s="19"/>
      <c r="AJ1293" s="19"/>
      <c r="FM1293" s="54"/>
    </row>
    <row r="1294" spans="1:169" s="18" customFormat="1">
      <c r="A1294" s="51"/>
      <c r="B1294" s="52"/>
      <c r="C1294" s="52"/>
      <c r="D1294" s="52"/>
      <c r="E1294" s="52"/>
      <c r="F1294" s="52"/>
      <c r="G1294" s="52"/>
      <c r="H1294" s="53"/>
      <c r="I1294" s="52"/>
      <c r="J1294" s="52"/>
      <c r="K1294" s="19"/>
      <c r="L1294" s="19"/>
      <c r="M1294" s="19"/>
      <c r="N1294" s="19"/>
      <c r="O1294" s="19"/>
      <c r="P1294" s="19"/>
      <c r="Q1294" s="19"/>
      <c r="R1294" s="19"/>
      <c r="S1294" s="19"/>
      <c r="T1294" s="19"/>
      <c r="U1294" s="19"/>
      <c r="V1294" s="19"/>
      <c r="W1294" s="19"/>
      <c r="X1294" s="19"/>
      <c r="Y1294" s="19"/>
      <c r="Z1294" s="19"/>
      <c r="AA1294" s="19"/>
      <c r="AB1294" s="19"/>
      <c r="AC1294" s="19"/>
      <c r="AD1294" s="19"/>
      <c r="AE1294" s="19"/>
      <c r="AF1294" s="19"/>
      <c r="AG1294" s="19"/>
      <c r="AH1294" s="19"/>
      <c r="AI1294" s="19"/>
      <c r="AJ1294" s="19"/>
      <c r="FM1294" s="54"/>
    </row>
    <row r="1295" spans="1:169" s="18" customFormat="1">
      <c r="A1295" s="51"/>
      <c r="B1295" s="52"/>
      <c r="C1295" s="52"/>
      <c r="D1295" s="52"/>
      <c r="E1295" s="52"/>
      <c r="F1295" s="52"/>
      <c r="G1295" s="52"/>
      <c r="H1295" s="53"/>
      <c r="I1295" s="52"/>
      <c r="J1295" s="52"/>
      <c r="K1295" s="19"/>
      <c r="L1295" s="19"/>
      <c r="M1295" s="19"/>
      <c r="N1295" s="19"/>
      <c r="O1295" s="19"/>
      <c r="P1295" s="19"/>
      <c r="Q1295" s="19"/>
      <c r="R1295" s="19"/>
      <c r="S1295" s="19"/>
      <c r="T1295" s="19"/>
      <c r="U1295" s="19"/>
      <c r="V1295" s="19"/>
      <c r="W1295" s="19"/>
      <c r="X1295" s="19"/>
      <c r="Y1295" s="19"/>
      <c r="Z1295" s="19"/>
      <c r="AA1295" s="19"/>
      <c r="AB1295" s="19"/>
      <c r="AC1295" s="19"/>
      <c r="AD1295" s="19"/>
      <c r="AE1295" s="19"/>
      <c r="AF1295" s="19"/>
      <c r="AG1295" s="19"/>
      <c r="AH1295" s="19"/>
      <c r="AI1295" s="19"/>
      <c r="AJ1295" s="19"/>
      <c r="FM1295" s="54"/>
    </row>
    <row r="1296" spans="1:169" s="18" customFormat="1">
      <c r="A1296" s="51"/>
      <c r="B1296" s="52"/>
      <c r="C1296" s="52"/>
      <c r="D1296" s="52"/>
      <c r="E1296" s="52"/>
      <c r="F1296" s="52"/>
      <c r="G1296" s="52"/>
      <c r="H1296" s="53"/>
      <c r="I1296" s="52"/>
      <c r="J1296" s="52"/>
      <c r="K1296" s="19"/>
      <c r="L1296" s="19"/>
      <c r="M1296" s="19"/>
      <c r="N1296" s="19"/>
      <c r="O1296" s="19"/>
      <c r="P1296" s="19"/>
      <c r="Q1296" s="19"/>
      <c r="R1296" s="19"/>
      <c r="S1296" s="19"/>
      <c r="T1296" s="19"/>
      <c r="U1296" s="19"/>
      <c r="V1296" s="19"/>
      <c r="W1296" s="19"/>
      <c r="X1296" s="19"/>
      <c r="Y1296" s="19"/>
      <c r="Z1296" s="19"/>
      <c r="AA1296" s="19"/>
      <c r="AB1296" s="19"/>
      <c r="AC1296" s="19"/>
      <c r="AD1296" s="19"/>
      <c r="AE1296" s="19"/>
      <c r="AF1296" s="19"/>
      <c r="AG1296" s="19"/>
      <c r="AH1296" s="19"/>
      <c r="AI1296" s="19"/>
      <c r="AJ1296" s="19"/>
      <c r="FM1296" s="54"/>
    </row>
    <row r="1297" spans="1:169" s="18" customFormat="1">
      <c r="A1297" s="51"/>
      <c r="B1297" s="52"/>
      <c r="C1297" s="52"/>
      <c r="D1297" s="52"/>
      <c r="E1297" s="52"/>
      <c r="F1297" s="52"/>
      <c r="G1297" s="52"/>
      <c r="H1297" s="53"/>
      <c r="I1297" s="52"/>
      <c r="J1297" s="52"/>
      <c r="K1297" s="19"/>
      <c r="L1297" s="19"/>
      <c r="M1297" s="19"/>
      <c r="N1297" s="19"/>
      <c r="O1297" s="19"/>
      <c r="P1297" s="19"/>
      <c r="Q1297" s="19"/>
      <c r="R1297" s="19"/>
      <c r="S1297" s="19"/>
      <c r="T1297" s="19"/>
      <c r="U1297" s="19"/>
      <c r="V1297" s="19"/>
      <c r="W1297" s="19"/>
      <c r="X1297" s="19"/>
      <c r="Y1297" s="19"/>
      <c r="Z1297" s="19"/>
      <c r="AA1297" s="19"/>
      <c r="AB1297" s="19"/>
      <c r="AC1297" s="19"/>
      <c r="AD1297" s="19"/>
      <c r="AE1297" s="19"/>
      <c r="AF1297" s="19"/>
      <c r="AG1297" s="19"/>
      <c r="AH1297" s="19"/>
      <c r="AI1297" s="19"/>
      <c r="AJ1297" s="19"/>
      <c r="FM1297" s="54"/>
    </row>
    <row r="1298" spans="1:169" s="18" customFormat="1">
      <c r="A1298" s="51"/>
      <c r="B1298" s="52"/>
      <c r="C1298" s="52"/>
      <c r="D1298" s="52"/>
      <c r="E1298" s="52"/>
      <c r="F1298" s="52"/>
      <c r="G1298" s="52"/>
      <c r="H1298" s="53"/>
      <c r="I1298" s="52"/>
      <c r="J1298" s="52"/>
      <c r="K1298" s="19"/>
      <c r="L1298" s="19"/>
      <c r="M1298" s="19"/>
      <c r="N1298" s="19"/>
      <c r="O1298" s="19"/>
      <c r="P1298" s="19"/>
      <c r="Q1298" s="19"/>
      <c r="R1298" s="19"/>
      <c r="S1298" s="19"/>
      <c r="T1298" s="19"/>
      <c r="U1298" s="19"/>
      <c r="V1298" s="19"/>
      <c r="W1298" s="19"/>
      <c r="X1298" s="19"/>
      <c r="Y1298" s="19"/>
      <c r="Z1298" s="19"/>
      <c r="AA1298" s="19"/>
      <c r="AB1298" s="19"/>
      <c r="AC1298" s="19"/>
      <c r="AD1298" s="19"/>
      <c r="AE1298" s="19"/>
      <c r="AF1298" s="19"/>
      <c r="AG1298" s="19"/>
      <c r="AH1298" s="19"/>
      <c r="AI1298" s="19"/>
      <c r="AJ1298" s="19"/>
      <c r="FM1298" s="54"/>
    </row>
    <row r="1299" spans="1:169" s="18" customFormat="1">
      <c r="A1299" s="51"/>
      <c r="B1299" s="52"/>
      <c r="C1299" s="52"/>
      <c r="D1299" s="52"/>
      <c r="E1299" s="52"/>
      <c r="F1299" s="52"/>
      <c r="G1299" s="52"/>
      <c r="H1299" s="53"/>
      <c r="I1299" s="52"/>
      <c r="J1299" s="52"/>
      <c r="K1299" s="19"/>
      <c r="L1299" s="19"/>
      <c r="M1299" s="19"/>
      <c r="N1299" s="19"/>
      <c r="O1299" s="19"/>
      <c r="P1299" s="19"/>
      <c r="Q1299" s="19"/>
      <c r="R1299" s="19"/>
      <c r="S1299" s="19"/>
      <c r="T1299" s="19"/>
      <c r="U1299" s="19"/>
      <c r="V1299" s="19"/>
      <c r="W1299" s="19"/>
      <c r="X1299" s="19"/>
      <c r="Y1299" s="19"/>
      <c r="Z1299" s="19"/>
      <c r="AA1299" s="19"/>
      <c r="AB1299" s="19"/>
      <c r="AC1299" s="19"/>
      <c r="AD1299" s="19"/>
      <c r="AE1299" s="19"/>
      <c r="AF1299" s="19"/>
      <c r="AG1299" s="19"/>
      <c r="AH1299" s="19"/>
      <c r="AI1299" s="19"/>
      <c r="AJ1299" s="19"/>
      <c r="FM1299" s="54"/>
    </row>
    <row r="1300" spans="1:169" s="18" customFormat="1">
      <c r="A1300" s="51"/>
      <c r="B1300" s="52"/>
      <c r="C1300" s="52"/>
      <c r="D1300" s="52"/>
      <c r="E1300" s="52"/>
      <c r="F1300" s="52"/>
      <c r="G1300" s="52"/>
      <c r="H1300" s="53"/>
      <c r="I1300" s="52"/>
      <c r="J1300" s="52"/>
      <c r="K1300" s="19"/>
      <c r="L1300" s="19"/>
      <c r="M1300" s="19"/>
      <c r="N1300" s="19"/>
      <c r="O1300" s="19"/>
      <c r="P1300" s="19"/>
      <c r="Q1300" s="19"/>
      <c r="R1300" s="19"/>
      <c r="S1300" s="19"/>
      <c r="T1300" s="19"/>
      <c r="U1300" s="19"/>
      <c r="V1300" s="19"/>
      <c r="W1300" s="19"/>
      <c r="X1300" s="19"/>
      <c r="Y1300" s="19"/>
      <c r="Z1300" s="19"/>
      <c r="AA1300" s="19"/>
      <c r="AB1300" s="19"/>
      <c r="AC1300" s="19"/>
      <c r="AD1300" s="19"/>
      <c r="AE1300" s="19"/>
      <c r="AF1300" s="19"/>
      <c r="AG1300" s="19"/>
      <c r="AH1300" s="19"/>
      <c r="AI1300" s="19"/>
      <c r="AJ1300" s="19"/>
      <c r="FM1300" s="54"/>
    </row>
    <row r="1301" spans="1:169" s="18" customFormat="1">
      <c r="A1301" s="51"/>
      <c r="B1301" s="52"/>
      <c r="C1301" s="52"/>
      <c r="D1301" s="52"/>
      <c r="E1301" s="52"/>
      <c r="F1301" s="52"/>
      <c r="G1301" s="52"/>
      <c r="H1301" s="53"/>
      <c r="I1301" s="52"/>
      <c r="J1301" s="52"/>
      <c r="K1301" s="19"/>
      <c r="L1301" s="19"/>
      <c r="M1301" s="19"/>
      <c r="N1301" s="19"/>
      <c r="O1301" s="19"/>
      <c r="P1301" s="19"/>
      <c r="Q1301" s="19"/>
      <c r="R1301" s="19"/>
      <c r="S1301" s="19"/>
      <c r="T1301" s="19"/>
      <c r="U1301" s="19"/>
      <c r="V1301" s="19"/>
      <c r="W1301" s="19"/>
      <c r="X1301" s="19"/>
      <c r="Y1301" s="19"/>
      <c r="Z1301" s="19"/>
      <c r="AA1301" s="19"/>
      <c r="AB1301" s="19"/>
      <c r="AC1301" s="19"/>
      <c r="AD1301" s="19"/>
      <c r="AE1301" s="19"/>
      <c r="AF1301" s="19"/>
      <c r="AG1301" s="19"/>
      <c r="AH1301" s="19"/>
      <c r="AI1301" s="19"/>
      <c r="AJ1301" s="19"/>
      <c r="FM1301" s="54"/>
    </row>
    <row r="1302" spans="1:169" s="18" customFormat="1">
      <c r="A1302" s="51"/>
      <c r="B1302" s="52"/>
      <c r="C1302" s="52"/>
      <c r="D1302" s="52"/>
      <c r="E1302" s="52"/>
      <c r="F1302" s="52"/>
      <c r="G1302" s="52"/>
      <c r="H1302" s="53"/>
      <c r="I1302" s="52"/>
      <c r="J1302" s="52"/>
      <c r="K1302" s="19"/>
      <c r="L1302" s="19"/>
      <c r="M1302" s="19"/>
      <c r="N1302" s="19"/>
      <c r="O1302" s="19"/>
      <c r="P1302" s="19"/>
      <c r="Q1302" s="19"/>
      <c r="R1302" s="19"/>
      <c r="S1302" s="19"/>
      <c r="T1302" s="19"/>
      <c r="U1302" s="19"/>
      <c r="V1302" s="19"/>
      <c r="W1302" s="19"/>
      <c r="X1302" s="19"/>
      <c r="Y1302" s="19"/>
      <c r="Z1302" s="19"/>
      <c r="AA1302" s="19"/>
      <c r="AB1302" s="19"/>
      <c r="AC1302" s="19"/>
      <c r="AD1302" s="19"/>
      <c r="AE1302" s="19"/>
      <c r="AF1302" s="19"/>
      <c r="AG1302" s="19"/>
      <c r="AH1302" s="19"/>
      <c r="AI1302" s="19"/>
      <c r="AJ1302" s="19"/>
      <c r="FM1302" s="54"/>
    </row>
    <row r="1303" spans="1:169" s="18" customFormat="1">
      <c r="A1303" s="51"/>
      <c r="B1303" s="52"/>
      <c r="C1303" s="52"/>
      <c r="D1303" s="52"/>
      <c r="E1303" s="52"/>
      <c r="F1303" s="52"/>
      <c r="G1303" s="52"/>
      <c r="H1303" s="53"/>
      <c r="I1303" s="52"/>
      <c r="J1303" s="52"/>
      <c r="K1303" s="19"/>
      <c r="L1303" s="19"/>
      <c r="M1303" s="19"/>
      <c r="N1303" s="19"/>
      <c r="O1303" s="19"/>
      <c r="P1303" s="19"/>
      <c r="Q1303" s="19"/>
      <c r="R1303" s="19"/>
      <c r="S1303" s="19"/>
      <c r="T1303" s="19"/>
      <c r="U1303" s="19"/>
      <c r="V1303" s="19"/>
      <c r="W1303" s="19"/>
      <c r="X1303" s="19"/>
      <c r="Y1303" s="19"/>
      <c r="Z1303" s="19"/>
      <c r="AA1303" s="19"/>
      <c r="AB1303" s="19"/>
      <c r="AC1303" s="19"/>
      <c r="AD1303" s="19"/>
      <c r="AE1303" s="19"/>
      <c r="AF1303" s="19"/>
      <c r="AG1303" s="19"/>
      <c r="AH1303" s="19"/>
      <c r="AI1303" s="19"/>
      <c r="AJ1303" s="19"/>
      <c r="FM1303" s="54"/>
    </row>
    <row r="1304" spans="1:169" s="18" customFormat="1">
      <c r="A1304" s="51"/>
      <c r="B1304" s="52"/>
      <c r="C1304" s="52"/>
      <c r="D1304" s="52"/>
      <c r="E1304" s="52"/>
      <c r="F1304" s="52"/>
      <c r="G1304" s="52"/>
      <c r="H1304" s="53"/>
      <c r="I1304" s="52"/>
      <c r="J1304" s="52"/>
      <c r="K1304" s="19"/>
      <c r="L1304" s="19"/>
      <c r="M1304" s="19"/>
      <c r="N1304" s="19"/>
      <c r="O1304" s="19"/>
      <c r="P1304" s="19"/>
      <c r="Q1304" s="19"/>
      <c r="R1304" s="19"/>
      <c r="S1304" s="19"/>
      <c r="T1304" s="19"/>
      <c r="U1304" s="19"/>
      <c r="V1304" s="19"/>
      <c r="W1304" s="19"/>
      <c r="X1304" s="19"/>
      <c r="Y1304" s="19"/>
      <c r="Z1304" s="19"/>
      <c r="AA1304" s="19"/>
      <c r="AB1304" s="19"/>
      <c r="AC1304" s="19"/>
      <c r="AD1304" s="19"/>
      <c r="AE1304" s="19"/>
      <c r="AF1304" s="19"/>
      <c r="AG1304" s="19"/>
      <c r="AH1304" s="19"/>
      <c r="AI1304" s="19"/>
      <c r="AJ1304" s="19"/>
      <c r="FM1304" s="54"/>
    </row>
    <row r="1305" spans="1:169" s="18" customFormat="1">
      <c r="A1305" s="51"/>
      <c r="B1305" s="52"/>
      <c r="C1305" s="52"/>
      <c r="D1305" s="52"/>
      <c r="E1305" s="52"/>
      <c r="F1305" s="52"/>
      <c r="G1305" s="52"/>
      <c r="H1305" s="53"/>
      <c r="I1305" s="52"/>
      <c r="J1305" s="52"/>
      <c r="K1305" s="19"/>
      <c r="L1305" s="19"/>
      <c r="M1305" s="19"/>
      <c r="N1305" s="19"/>
      <c r="O1305" s="19"/>
      <c r="P1305" s="19"/>
      <c r="Q1305" s="19"/>
      <c r="R1305" s="19"/>
      <c r="S1305" s="19"/>
      <c r="T1305" s="19"/>
      <c r="U1305" s="19"/>
      <c r="V1305" s="19"/>
      <c r="W1305" s="19"/>
      <c r="X1305" s="19"/>
      <c r="Y1305" s="19"/>
      <c r="Z1305" s="19"/>
      <c r="AA1305" s="19"/>
      <c r="AB1305" s="19"/>
      <c r="AC1305" s="19"/>
      <c r="AD1305" s="19"/>
      <c r="AE1305" s="19"/>
      <c r="AF1305" s="19"/>
      <c r="AG1305" s="19"/>
      <c r="AH1305" s="19"/>
      <c r="AI1305" s="19"/>
      <c r="AJ1305" s="19"/>
      <c r="FM1305" s="54"/>
    </row>
    <row r="1306" spans="1:169" s="18" customFormat="1">
      <c r="A1306" s="51"/>
      <c r="B1306" s="52"/>
      <c r="C1306" s="52"/>
      <c r="D1306" s="52"/>
      <c r="E1306" s="52"/>
      <c r="F1306" s="52"/>
      <c r="G1306" s="52"/>
      <c r="H1306" s="53"/>
      <c r="I1306" s="52"/>
      <c r="J1306" s="52"/>
      <c r="K1306" s="19"/>
      <c r="L1306" s="19"/>
      <c r="M1306" s="19"/>
      <c r="N1306" s="19"/>
      <c r="O1306" s="19"/>
      <c r="P1306" s="19"/>
      <c r="Q1306" s="19"/>
      <c r="R1306" s="19"/>
      <c r="S1306" s="19"/>
      <c r="T1306" s="19"/>
      <c r="U1306" s="19"/>
      <c r="V1306" s="19"/>
      <c r="W1306" s="19"/>
      <c r="X1306" s="19"/>
      <c r="Y1306" s="19"/>
      <c r="Z1306" s="19"/>
      <c r="AA1306" s="19"/>
      <c r="AB1306" s="19"/>
      <c r="AC1306" s="19"/>
      <c r="AD1306" s="19"/>
      <c r="AE1306" s="19"/>
      <c r="AF1306" s="19"/>
      <c r="AG1306" s="19"/>
      <c r="AH1306" s="19"/>
      <c r="AI1306" s="19"/>
      <c r="AJ1306" s="19"/>
      <c r="FM1306" s="54"/>
    </row>
    <row r="1307" spans="1:169" s="18" customFormat="1">
      <c r="A1307" s="51"/>
      <c r="B1307" s="52"/>
      <c r="C1307" s="52"/>
      <c r="D1307" s="52"/>
      <c r="E1307" s="52"/>
      <c r="F1307" s="52"/>
      <c r="G1307" s="52"/>
      <c r="H1307" s="53"/>
      <c r="I1307" s="52"/>
      <c r="J1307" s="52"/>
      <c r="K1307" s="19"/>
      <c r="L1307" s="19"/>
      <c r="M1307" s="19"/>
      <c r="N1307" s="19"/>
      <c r="O1307" s="19"/>
      <c r="P1307" s="19"/>
      <c r="Q1307" s="19"/>
      <c r="R1307" s="19"/>
      <c r="S1307" s="19"/>
      <c r="T1307" s="19"/>
      <c r="U1307" s="19"/>
      <c r="V1307" s="19"/>
      <c r="W1307" s="19"/>
      <c r="X1307" s="19"/>
      <c r="Y1307" s="19"/>
      <c r="Z1307" s="19"/>
      <c r="AA1307" s="19"/>
      <c r="AB1307" s="19"/>
      <c r="AC1307" s="19"/>
      <c r="AD1307" s="19"/>
      <c r="AE1307" s="19"/>
      <c r="AF1307" s="19"/>
      <c r="AG1307" s="19"/>
      <c r="AH1307" s="19"/>
      <c r="AI1307" s="19"/>
      <c r="AJ1307" s="19"/>
      <c r="FM1307" s="54"/>
    </row>
    <row r="1308" spans="1:169" s="18" customFormat="1">
      <c r="A1308" s="51"/>
      <c r="B1308" s="52"/>
      <c r="C1308" s="52"/>
      <c r="D1308" s="52"/>
      <c r="E1308" s="52"/>
      <c r="F1308" s="52"/>
      <c r="G1308" s="52"/>
      <c r="H1308" s="53"/>
      <c r="I1308" s="52"/>
      <c r="J1308" s="52"/>
      <c r="K1308" s="19"/>
      <c r="L1308" s="19"/>
      <c r="M1308" s="19"/>
      <c r="N1308" s="19"/>
      <c r="O1308" s="19"/>
      <c r="P1308" s="19"/>
      <c r="Q1308" s="19"/>
      <c r="R1308" s="19"/>
      <c r="S1308" s="19"/>
      <c r="T1308" s="19"/>
      <c r="U1308" s="19"/>
      <c r="V1308" s="19"/>
      <c r="W1308" s="19"/>
      <c r="X1308" s="19"/>
      <c r="Y1308" s="19"/>
      <c r="Z1308" s="19"/>
      <c r="AA1308" s="19"/>
      <c r="AB1308" s="19"/>
      <c r="AC1308" s="19"/>
      <c r="AD1308" s="19"/>
      <c r="AE1308" s="19"/>
      <c r="AF1308" s="19"/>
      <c r="AG1308" s="19"/>
      <c r="AH1308" s="19"/>
      <c r="AI1308" s="19"/>
      <c r="AJ1308" s="19"/>
      <c r="FM1308" s="54"/>
    </row>
    <row r="1309" spans="1:169" s="18" customFormat="1">
      <c r="A1309" s="51"/>
      <c r="B1309" s="52"/>
      <c r="C1309" s="52"/>
      <c r="D1309" s="52"/>
      <c r="E1309" s="52"/>
      <c r="F1309" s="52"/>
      <c r="G1309" s="52"/>
      <c r="H1309" s="53"/>
      <c r="I1309" s="52"/>
      <c r="J1309" s="52"/>
      <c r="K1309" s="19"/>
      <c r="L1309" s="19"/>
      <c r="M1309" s="19"/>
      <c r="N1309" s="19"/>
      <c r="O1309" s="19"/>
      <c r="P1309" s="19"/>
      <c r="Q1309" s="19"/>
      <c r="R1309" s="19"/>
      <c r="S1309" s="19"/>
      <c r="T1309" s="19"/>
      <c r="U1309" s="19"/>
      <c r="V1309" s="19"/>
      <c r="W1309" s="19"/>
      <c r="X1309" s="19"/>
      <c r="Y1309" s="19"/>
      <c r="Z1309" s="19"/>
      <c r="AA1309" s="19"/>
      <c r="AB1309" s="19"/>
      <c r="AC1309" s="19"/>
      <c r="AD1309" s="19"/>
      <c r="AE1309" s="19"/>
      <c r="AF1309" s="19"/>
      <c r="AG1309" s="19"/>
      <c r="AH1309" s="19"/>
      <c r="AI1309" s="19"/>
      <c r="AJ1309" s="19"/>
      <c r="FM1309" s="54"/>
    </row>
    <row r="1310" spans="1:169" s="18" customFormat="1">
      <c r="A1310" s="51"/>
      <c r="B1310" s="52"/>
      <c r="C1310" s="52"/>
      <c r="D1310" s="52"/>
      <c r="E1310" s="52"/>
      <c r="F1310" s="52"/>
      <c r="G1310" s="52"/>
      <c r="H1310" s="53"/>
      <c r="I1310" s="52"/>
      <c r="J1310" s="52"/>
      <c r="K1310" s="19"/>
      <c r="L1310" s="19"/>
      <c r="M1310" s="19"/>
      <c r="N1310" s="19"/>
      <c r="O1310" s="19"/>
      <c r="P1310" s="19"/>
      <c r="Q1310" s="19"/>
      <c r="R1310" s="19"/>
      <c r="S1310" s="19"/>
      <c r="T1310" s="19"/>
      <c r="U1310" s="19"/>
      <c r="V1310" s="19"/>
      <c r="W1310" s="19"/>
      <c r="X1310" s="19"/>
      <c r="Y1310" s="19"/>
      <c r="Z1310" s="19"/>
      <c r="AA1310" s="19"/>
      <c r="AB1310" s="19"/>
      <c r="AC1310" s="19"/>
      <c r="AD1310" s="19"/>
      <c r="AE1310" s="19"/>
      <c r="AF1310" s="19"/>
      <c r="AG1310" s="19"/>
      <c r="AH1310" s="19"/>
      <c r="AI1310" s="19"/>
      <c r="AJ1310" s="19"/>
      <c r="FM1310" s="54"/>
    </row>
    <row r="1311" spans="1:169" s="18" customFormat="1">
      <c r="A1311" s="51"/>
      <c r="B1311" s="52"/>
      <c r="C1311" s="52"/>
      <c r="D1311" s="52"/>
      <c r="E1311" s="52"/>
      <c r="F1311" s="52"/>
      <c r="G1311" s="52"/>
      <c r="H1311" s="53"/>
      <c r="I1311" s="52"/>
      <c r="J1311" s="52"/>
      <c r="K1311" s="19"/>
      <c r="L1311" s="19"/>
      <c r="M1311" s="19"/>
      <c r="N1311" s="19"/>
      <c r="O1311" s="19"/>
      <c r="P1311" s="19"/>
      <c r="Q1311" s="19"/>
      <c r="R1311" s="19"/>
      <c r="S1311" s="19"/>
      <c r="T1311" s="19"/>
      <c r="U1311" s="19"/>
      <c r="V1311" s="19"/>
      <c r="W1311" s="19"/>
      <c r="X1311" s="19"/>
      <c r="Y1311" s="19"/>
      <c r="Z1311" s="19"/>
      <c r="AA1311" s="19"/>
      <c r="AB1311" s="19"/>
      <c r="AC1311" s="19"/>
      <c r="AD1311" s="19"/>
      <c r="AE1311" s="19"/>
      <c r="AF1311" s="19"/>
      <c r="AG1311" s="19"/>
      <c r="AH1311" s="19"/>
      <c r="AI1311" s="19"/>
      <c r="AJ1311" s="19"/>
      <c r="FM1311" s="54"/>
    </row>
    <row r="1312" spans="1:169" s="18" customFormat="1">
      <c r="A1312" s="51"/>
      <c r="B1312" s="52"/>
      <c r="C1312" s="52"/>
      <c r="D1312" s="52"/>
      <c r="E1312" s="52"/>
      <c r="F1312" s="52"/>
      <c r="G1312" s="52"/>
      <c r="H1312" s="53"/>
      <c r="I1312" s="52"/>
      <c r="J1312" s="52"/>
      <c r="K1312" s="19"/>
      <c r="L1312" s="19"/>
      <c r="M1312" s="19"/>
      <c r="N1312" s="19"/>
      <c r="O1312" s="19"/>
      <c r="P1312" s="19"/>
      <c r="Q1312" s="19"/>
      <c r="R1312" s="19"/>
      <c r="S1312" s="19"/>
      <c r="T1312" s="19"/>
      <c r="U1312" s="19"/>
      <c r="V1312" s="19"/>
      <c r="W1312" s="19"/>
      <c r="X1312" s="19"/>
      <c r="Y1312" s="19"/>
      <c r="Z1312" s="19"/>
      <c r="AA1312" s="19"/>
      <c r="AB1312" s="19"/>
      <c r="AC1312" s="19"/>
      <c r="AD1312" s="19"/>
      <c r="AE1312" s="19"/>
      <c r="AF1312" s="19"/>
      <c r="AG1312" s="19"/>
      <c r="AH1312" s="19"/>
      <c r="AI1312" s="19"/>
      <c r="AJ1312" s="19"/>
      <c r="FM1312" s="54"/>
    </row>
    <row r="1313" spans="1:169" s="18" customFormat="1">
      <c r="A1313" s="51"/>
      <c r="B1313" s="52"/>
      <c r="C1313" s="52"/>
      <c r="D1313" s="52"/>
      <c r="E1313" s="52"/>
      <c r="F1313" s="52"/>
      <c r="G1313" s="52"/>
      <c r="H1313" s="53"/>
      <c r="I1313" s="52"/>
      <c r="J1313" s="52"/>
      <c r="K1313" s="19"/>
      <c r="L1313" s="19"/>
      <c r="M1313" s="19"/>
      <c r="N1313" s="19"/>
      <c r="O1313" s="19"/>
      <c r="P1313" s="19"/>
      <c r="Q1313" s="19"/>
      <c r="R1313" s="19"/>
      <c r="S1313" s="19"/>
      <c r="T1313" s="19"/>
      <c r="U1313" s="19"/>
      <c r="V1313" s="19"/>
      <c r="W1313" s="19"/>
      <c r="X1313" s="19"/>
      <c r="Y1313" s="19"/>
      <c r="Z1313" s="19"/>
      <c r="AA1313" s="19"/>
      <c r="AB1313" s="19"/>
      <c r="AC1313" s="19"/>
      <c r="AD1313" s="19"/>
      <c r="AE1313" s="19"/>
      <c r="AF1313" s="19"/>
      <c r="AG1313" s="19"/>
      <c r="AH1313" s="19"/>
      <c r="AI1313" s="19"/>
      <c r="AJ1313" s="19"/>
      <c r="FM1313" s="54"/>
    </row>
    <row r="1314" spans="1:169" s="18" customFormat="1">
      <c r="A1314" s="51"/>
      <c r="B1314" s="52"/>
      <c r="C1314" s="52"/>
      <c r="D1314" s="52"/>
      <c r="E1314" s="52"/>
      <c r="F1314" s="52"/>
      <c r="G1314" s="52"/>
      <c r="H1314" s="53"/>
      <c r="I1314" s="52"/>
      <c r="J1314" s="52"/>
      <c r="K1314" s="19"/>
      <c r="L1314" s="19"/>
      <c r="M1314" s="19"/>
      <c r="N1314" s="19"/>
      <c r="O1314" s="19"/>
      <c r="P1314" s="19"/>
      <c r="Q1314" s="19"/>
      <c r="R1314" s="19"/>
      <c r="S1314" s="19"/>
      <c r="T1314" s="19"/>
      <c r="U1314" s="19"/>
      <c r="V1314" s="19"/>
      <c r="W1314" s="19"/>
      <c r="X1314" s="19"/>
      <c r="Y1314" s="19"/>
      <c r="Z1314" s="19"/>
      <c r="AA1314" s="19"/>
      <c r="AB1314" s="19"/>
      <c r="AC1314" s="19"/>
      <c r="AD1314" s="19"/>
      <c r="AE1314" s="19"/>
      <c r="AF1314" s="19"/>
      <c r="AG1314" s="19"/>
      <c r="AH1314" s="19"/>
      <c r="AI1314" s="19"/>
      <c r="AJ1314" s="19"/>
      <c r="FM1314" s="54"/>
    </row>
    <row r="1315" spans="1:169" s="18" customFormat="1">
      <c r="A1315" s="51"/>
      <c r="B1315" s="52"/>
      <c r="C1315" s="52"/>
      <c r="D1315" s="52"/>
      <c r="E1315" s="52"/>
      <c r="F1315" s="52"/>
      <c r="G1315" s="52"/>
      <c r="H1315" s="53"/>
      <c r="I1315" s="52"/>
      <c r="J1315" s="52"/>
      <c r="K1315" s="19"/>
      <c r="L1315" s="19"/>
      <c r="M1315" s="19"/>
      <c r="N1315" s="19"/>
      <c r="O1315" s="19"/>
      <c r="P1315" s="19"/>
      <c r="Q1315" s="19"/>
      <c r="R1315" s="19"/>
      <c r="S1315" s="19"/>
      <c r="T1315" s="19"/>
      <c r="U1315" s="19"/>
      <c r="V1315" s="19"/>
      <c r="W1315" s="19"/>
      <c r="X1315" s="19"/>
      <c r="Y1315" s="19"/>
      <c r="Z1315" s="19"/>
      <c r="AA1315" s="19"/>
      <c r="AB1315" s="19"/>
      <c r="AC1315" s="19"/>
      <c r="AD1315" s="19"/>
      <c r="AE1315" s="19"/>
      <c r="AF1315" s="19"/>
      <c r="AG1315" s="19"/>
      <c r="AH1315" s="19"/>
      <c r="AI1315" s="19"/>
      <c r="AJ1315" s="19"/>
      <c r="FM1315" s="54"/>
    </row>
    <row r="1316" spans="1:169" s="18" customFormat="1">
      <c r="A1316" s="51"/>
      <c r="B1316" s="52"/>
      <c r="C1316" s="52"/>
      <c r="D1316" s="52"/>
      <c r="E1316" s="52"/>
      <c r="F1316" s="52"/>
      <c r="G1316" s="52"/>
      <c r="H1316" s="53"/>
      <c r="I1316" s="52"/>
      <c r="J1316" s="52"/>
      <c r="K1316" s="19"/>
      <c r="L1316" s="19"/>
      <c r="M1316" s="19"/>
      <c r="N1316" s="19"/>
      <c r="O1316" s="19"/>
      <c r="P1316" s="19"/>
      <c r="Q1316" s="19"/>
      <c r="R1316" s="19"/>
      <c r="S1316" s="19"/>
      <c r="T1316" s="19"/>
      <c r="U1316" s="19"/>
      <c r="V1316" s="19"/>
      <c r="W1316" s="19"/>
      <c r="X1316" s="19"/>
      <c r="Y1316" s="19"/>
      <c r="Z1316" s="19"/>
      <c r="AA1316" s="19"/>
      <c r="AB1316" s="19"/>
      <c r="AC1316" s="19"/>
      <c r="AD1316" s="19"/>
      <c r="AE1316" s="19"/>
      <c r="AF1316" s="19"/>
      <c r="AG1316" s="19"/>
      <c r="AH1316" s="19"/>
      <c r="AI1316" s="19"/>
      <c r="AJ1316" s="19"/>
      <c r="FM1316" s="54"/>
    </row>
    <row r="1317" spans="1:169" s="18" customFormat="1">
      <c r="A1317" s="51"/>
      <c r="B1317" s="52"/>
      <c r="C1317" s="52"/>
      <c r="D1317" s="52"/>
      <c r="E1317" s="52"/>
      <c r="F1317" s="52"/>
      <c r="G1317" s="52"/>
      <c r="H1317" s="53"/>
      <c r="I1317" s="52"/>
      <c r="J1317" s="52"/>
      <c r="K1317" s="19"/>
      <c r="L1317" s="19"/>
      <c r="M1317" s="19"/>
      <c r="N1317" s="19"/>
      <c r="O1317" s="19"/>
      <c r="P1317" s="19"/>
      <c r="Q1317" s="19"/>
      <c r="R1317" s="19"/>
      <c r="S1317" s="19"/>
      <c r="T1317" s="19"/>
      <c r="U1317" s="19"/>
      <c r="V1317" s="19"/>
      <c r="W1317" s="19"/>
      <c r="X1317" s="19"/>
      <c r="Y1317" s="19"/>
      <c r="Z1317" s="19"/>
      <c r="AA1317" s="19"/>
      <c r="AB1317" s="19"/>
      <c r="AC1317" s="19"/>
      <c r="AD1317" s="19"/>
      <c r="AE1317" s="19"/>
      <c r="AF1317" s="19"/>
      <c r="AG1317" s="19"/>
      <c r="AH1317" s="19"/>
      <c r="AI1317" s="19"/>
      <c r="AJ1317" s="19"/>
      <c r="FM1317" s="54"/>
    </row>
    <row r="1318" spans="1:169" s="18" customFormat="1">
      <c r="A1318" s="51"/>
      <c r="B1318" s="52"/>
      <c r="C1318" s="52"/>
      <c r="D1318" s="52"/>
      <c r="E1318" s="52"/>
      <c r="F1318" s="52"/>
      <c r="G1318" s="52"/>
      <c r="H1318" s="53"/>
      <c r="I1318" s="52"/>
      <c r="J1318" s="52"/>
      <c r="K1318" s="19"/>
      <c r="L1318" s="19"/>
      <c r="M1318" s="19"/>
      <c r="N1318" s="19"/>
      <c r="O1318" s="19"/>
      <c r="P1318" s="19"/>
      <c r="Q1318" s="19"/>
      <c r="R1318" s="19"/>
      <c r="S1318" s="19"/>
      <c r="T1318" s="19"/>
      <c r="U1318" s="19"/>
      <c r="V1318" s="19"/>
      <c r="W1318" s="19"/>
      <c r="X1318" s="19"/>
      <c r="Y1318" s="19"/>
      <c r="Z1318" s="19"/>
      <c r="AA1318" s="19"/>
      <c r="AB1318" s="19"/>
      <c r="AC1318" s="19"/>
      <c r="AD1318" s="19"/>
      <c r="AE1318" s="19"/>
      <c r="AF1318" s="19"/>
      <c r="AG1318" s="19"/>
      <c r="AH1318" s="19"/>
      <c r="AI1318" s="19"/>
      <c r="AJ1318" s="19"/>
      <c r="FM1318" s="54"/>
    </row>
    <row r="1319" spans="1:169" s="18" customFormat="1">
      <c r="A1319" s="51"/>
      <c r="B1319" s="52"/>
      <c r="C1319" s="52"/>
      <c r="D1319" s="52"/>
      <c r="E1319" s="52"/>
      <c r="F1319" s="52"/>
      <c r="G1319" s="52"/>
      <c r="H1319" s="53"/>
      <c r="I1319" s="52"/>
      <c r="J1319" s="52"/>
      <c r="K1319" s="19"/>
      <c r="L1319" s="19"/>
      <c r="M1319" s="19"/>
      <c r="N1319" s="19"/>
      <c r="O1319" s="19"/>
      <c r="P1319" s="19"/>
      <c r="Q1319" s="19"/>
      <c r="R1319" s="19"/>
      <c r="S1319" s="19"/>
      <c r="T1319" s="19"/>
      <c r="U1319" s="19"/>
      <c r="V1319" s="19"/>
      <c r="W1319" s="19"/>
      <c r="X1319" s="19"/>
      <c r="Y1319" s="19"/>
      <c r="Z1319" s="19"/>
      <c r="AA1319" s="19"/>
      <c r="AB1319" s="19"/>
      <c r="AC1319" s="19"/>
      <c r="AD1319" s="19"/>
      <c r="AE1319" s="19"/>
      <c r="AF1319" s="19"/>
      <c r="AG1319" s="19"/>
      <c r="AH1319" s="19"/>
      <c r="AI1319" s="19"/>
      <c r="AJ1319" s="19"/>
      <c r="FM1319" s="54"/>
    </row>
    <row r="1320" spans="1:169" s="18" customFormat="1">
      <c r="A1320" s="51"/>
      <c r="B1320" s="52"/>
      <c r="C1320" s="52"/>
      <c r="D1320" s="52"/>
      <c r="E1320" s="52"/>
      <c r="F1320" s="52"/>
      <c r="G1320" s="52"/>
      <c r="H1320" s="53"/>
      <c r="I1320" s="52"/>
      <c r="J1320" s="52"/>
      <c r="K1320" s="19"/>
      <c r="L1320" s="19"/>
      <c r="M1320" s="19"/>
      <c r="N1320" s="19"/>
      <c r="O1320" s="19"/>
      <c r="P1320" s="19"/>
      <c r="Q1320" s="19"/>
      <c r="R1320" s="19"/>
      <c r="S1320" s="19"/>
      <c r="T1320" s="19"/>
      <c r="U1320" s="19"/>
      <c r="V1320" s="19"/>
      <c r="W1320" s="19"/>
      <c r="X1320" s="19"/>
      <c r="Y1320" s="19"/>
      <c r="Z1320" s="19"/>
      <c r="AA1320" s="19"/>
      <c r="AB1320" s="19"/>
      <c r="AC1320" s="19"/>
      <c r="AD1320" s="19"/>
      <c r="AE1320" s="19"/>
      <c r="AF1320" s="19"/>
      <c r="AG1320" s="19"/>
      <c r="AH1320" s="19"/>
      <c r="AI1320" s="19"/>
      <c r="AJ1320" s="19"/>
      <c r="FM1320" s="54"/>
    </row>
    <row r="1321" spans="1:169" s="18" customFormat="1">
      <c r="A1321" s="51"/>
      <c r="B1321" s="52"/>
      <c r="C1321" s="52"/>
      <c r="D1321" s="52"/>
      <c r="E1321" s="52"/>
      <c r="F1321" s="52"/>
      <c r="G1321" s="52"/>
      <c r="H1321" s="53"/>
      <c r="I1321" s="52"/>
      <c r="J1321" s="52"/>
      <c r="K1321" s="19"/>
      <c r="L1321" s="19"/>
      <c r="M1321" s="19"/>
      <c r="N1321" s="19"/>
      <c r="O1321" s="19"/>
      <c r="P1321" s="19"/>
      <c r="Q1321" s="19"/>
      <c r="R1321" s="19"/>
      <c r="S1321" s="19"/>
      <c r="T1321" s="19"/>
      <c r="U1321" s="19"/>
      <c r="V1321" s="19"/>
      <c r="W1321" s="19"/>
      <c r="X1321" s="19"/>
      <c r="Y1321" s="19"/>
      <c r="Z1321" s="19"/>
      <c r="AA1321" s="19"/>
      <c r="AB1321" s="19"/>
      <c r="AC1321" s="19"/>
      <c r="AD1321" s="19"/>
      <c r="AE1321" s="19"/>
      <c r="AF1321" s="19"/>
      <c r="AG1321" s="19"/>
      <c r="AH1321" s="19"/>
      <c r="AI1321" s="19"/>
      <c r="AJ1321" s="19"/>
      <c r="FM1321" s="54"/>
    </row>
    <row r="1322" spans="1:169" s="18" customFormat="1">
      <c r="A1322" s="51"/>
      <c r="B1322" s="52"/>
      <c r="C1322" s="52"/>
      <c r="D1322" s="52"/>
      <c r="E1322" s="52"/>
      <c r="F1322" s="52"/>
      <c r="G1322" s="52"/>
      <c r="H1322" s="53"/>
      <c r="I1322" s="52"/>
      <c r="J1322" s="52"/>
      <c r="K1322" s="19"/>
      <c r="L1322" s="19"/>
      <c r="M1322" s="19"/>
      <c r="N1322" s="19"/>
      <c r="O1322" s="19"/>
      <c r="P1322" s="19"/>
      <c r="Q1322" s="19"/>
      <c r="R1322" s="19"/>
      <c r="S1322" s="19"/>
      <c r="T1322" s="19"/>
      <c r="U1322" s="19"/>
      <c r="V1322" s="19"/>
      <c r="W1322" s="19"/>
      <c r="X1322" s="19"/>
      <c r="Y1322" s="19"/>
      <c r="Z1322" s="19"/>
      <c r="AA1322" s="19"/>
      <c r="AB1322" s="19"/>
      <c r="AC1322" s="19"/>
      <c r="AD1322" s="19"/>
      <c r="AE1322" s="19"/>
      <c r="AF1322" s="19"/>
      <c r="AG1322" s="19"/>
      <c r="AH1322" s="19"/>
      <c r="AI1322" s="19"/>
      <c r="AJ1322" s="19"/>
      <c r="FM1322" s="54"/>
    </row>
    <row r="1323" spans="1:169" s="18" customFormat="1">
      <c r="A1323" s="51"/>
      <c r="B1323" s="52"/>
      <c r="C1323" s="52"/>
      <c r="D1323" s="52"/>
      <c r="E1323" s="52"/>
      <c r="F1323" s="52"/>
      <c r="G1323" s="52"/>
      <c r="H1323" s="53"/>
      <c r="I1323" s="52"/>
      <c r="J1323" s="52"/>
      <c r="K1323" s="19"/>
      <c r="L1323" s="19"/>
      <c r="M1323" s="19"/>
      <c r="N1323" s="19"/>
      <c r="O1323" s="19"/>
      <c r="P1323" s="19"/>
      <c r="Q1323" s="19"/>
      <c r="R1323" s="19"/>
      <c r="S1323" s="19"/>
      <c r="T1323" s="19"/>
      <c r="U1323" s="19"/>
      <c r="V1323" s="19"/>
      <c r="W1323" s="19"/>
      <c r="X1323" s="19"/>
      <c r="Y1323" s="19"/>
      <c r="Z1323" s="19"/>
      <c r="AA1323" s="19"/>
      <c r="AB1323" s="19"/>
      <c r="AC1323" s="19"/>
      <c r="AD1323" s="19"/>
      <c r="AE1323" s="19"/>
      <c r="AF1323" s="19"/>
      <c r="AG1323" s="19"/>
      <c r="AH1323" s="19"/>
      <c r="AI1323" s="19"/>
      <c r="AJ1323" s="19"/>
      <c r="FM1323" s="54"/>
    </row>
    <row r="1324" spans="1:169" s="18" customFormat="1">
      <c r="A1324" s="51"/>
      <c r="B1324" s="52"/>
      <c r="C1324" s="52"/>
      <c r="D1324" s="52"/>
      <c r="E1324" s="52"/>
      <c r="F1324" s="52"/>
      <c r="G1324" s="52"/>
      <c r="H1324" s="53"/>
      <c r="I1324" s="52"/>
      <c r="J1324" s="52"/>
      <c r="K1324" s="19"/>
      <c r="L1324" s="19"/>
      <c r="M1324" s="19"/>
      <c r="N1324" s="19"/>
      <c r="O1324" s="19"/>
      <c r="P1324" s="19"/>
      <c r="Q1324" s="19"/>
      <c r="R1324" s="19"/>
      <c r="S1324" s="19"/>
      <c r="T1324" s="19"/>
      <c r="U1324" s="19"/>
      <c r="V1324" s="19"/>
      <c r="W1324" s="19"/>
      <c r="X1324" s="19"/>
      <c r="Y1324" s="19"/>
      <c r="Z1324" s="19"/>
      <c r="AA1324" s="19"/>
      <c r="AB1324" s="19"/>
      <c r="AC1324" s="19"/>
      <c r="AD1324" s="19"/>
      <c r="AE1324" s="19"/>
      <c r="AF1324" s="19"/>
      <c r="AG1324" s="19"/>
      <c r="AH1324" s="19"/>
      <c r="AI1324" s="19"/>
      <c r="AJ1324" s="19"/>
      <c r="FM1324" s="54"/>
    </row>
    <row r="1325" spans="1:169" s="18" customFormat="1">
      <c r="A1325" s="51"/>
      <c r="B1325" s="52"/>
      <c r="C1325" s="52"/>
      <c r="D1325" s="52"/>
      <c r="E1325" s="52"/>
      <c r="F1325" s="52"/>
      <c r="G1325" s="52"/>
      <c r="H1325" s="53"/>
      <c r="I1325" s="52"/>
      <c r="J1325" s="52"/>
      <c r="K1325" s="19"/>
      <c r="L1325" s="19"/>
      <c r="M1325" s="19"/>
      <c r="N1325" s="19"/>
      <c r="O1325" s="19"/>
      <c r="P1325" s="19"/>
      <c r="Q1325" s="19"/>
      <c r="R1325" s="19"/>
      <c r="S1325" s="19"/>
      <c r="T1325" s="19"/>
      <c r="U1325" s="19"/>
      <c r="V1325" s="19"/>
      <c r="W1325" s="19"/>
      <c r="X1325" s="19"/>
      <c r="Y1325" s="19"/>
      <c r="Z1325" s="19"/>
      <c r="AA1325" s="19"/>
      <c r="AB1325" s="19"/>
      <c r="AC1325" s="19"/>
      <c r="AD1325" s="19"/>
      <c r="AE1325" s="19"/>
      <c r="AF1325" s="19"/>
      <c r="AG1325" s="19"/>
      <c r="AH1325" s="19"/>
      <c r="AI1325" s="19"/>
      <c r="AJ1325" s="19"/>
      <c r="FM1325" s="54"/>
    </row>
    <row r="1326" spans="1:169" s="18" customFormat="1">
      <c r="A1326" s="51"/>
      <c r="B1326" s="52"/>
      <c r="C1326" s="52"/>
      <c r="D1326" s="52"/>
      <c r="E1326" s="52"/>
      <c r="F1326" s="52"/>
      <c r="G1326" s="52"/>
      <c r="H1326" s="53"/>
      <c r="I1326" s="52"/>
      <c r="J1326" s="52"/>
      <c r="K1326" s="19"/>
      <c r="L1326" s="19"/>
      <c r="M1326" s="19"/>
      <c r="N1326" s="19"/>
      <c r="O1326" s="19"/>
      <c r="P1326" s="19"/>
      <c r="Q1326" s="19"/>
      <c r="R1326" s="19"/>
      <c r="S1326" s="19"/>
      <c r="T1326" s="19"/>
      <c r="U1326" s="19"/>
      <c r="V1326" s="19"/>
      <c r="W1326" s="19"/>
      <c r="X1326" s="19"/>
      <c r="Y1326" s="19"/>
      <c r="Z1326" s="19"/>
      <c r="AA1326" s="19"/>
      <c r="AB1326" s="19"/>
      <c r="AC1326" s="19"/>
      <c r="AD1326" s="19"/>
      <c r="AE1326" s="19"/>
      <c r="AF1326" s="19"/>
      <c r="AG1326" s="19"/>
      <c r="AH1326" s="19"/>
      <c r="AI1326" s="19"/>
      <c r="AJ1326" s="19"/>
      <c r="FM1326" s="54"/>
    </row>
    <row r="1327" spans="1:169" s="18" customFormat="1">
      <c r="A1327" s="51"/>
      <c r="B1327" s="52"/>
      <c r="C1327" s="52"/>
      <c r="D1327" s="52"/>
      <c r="E1327" s="52"/>
      <c r="F1327" s="52"/>
      <c r="G1327" s="52"/>
      <c r="H1327" s="53"/>
      <c r="I1327" s="52"/>
      <c r="J1327" s="52"/>
      <c r="K1327" s="19"/>
      <c r="L1327" s="19"/>
      <c r="M1327" s="19"/>
      <c r="N1327" s="19"/>
      <c r="O1327" s="19"/>
      <c r="P1327" s="19"/>
      <c r="Q1327" s="19"/>
      <c r="R1327" s="19"/>
      <c r="S1327" s="19"/>
      <c r="T1327" s="19"/>
      <c r="U1327" s="19"/>
      <c r="V1327" s="19"/>
      <c r="W1327" s="19"/>
      <c r="X1327" s="19"/>
      <c r="Y1327" s="19"/>
      <c r="Z1327" s="19"/>
      <c r="AA1327" s="19"/>
      <c r="AB1327" s="19"/>
      <c r="AC1327" s="19"/>
      <c r="AD1327" s="19"/>
      <c r="AE1327" s="19"/>
      <c r="AF1327" s="19"/>
      <c r="AG1327" s="19"/>
      <c r="AH1327" s="19"/>
      <c r="AI1327" s="19"/>
      <c r="AJ1327" s="19"/>
      <c r="FM1327" s="54"/>
    </row>
    <row r="1328" spans="1:169" s="18" customFormat="1">
      <c r="A1328" s="51"/>
      <c r="B1328" s="52"/>
      <c r="C1328" s="52"/>
      <c r="D1328" s="52"/>
      <c r="E1328" s="52"/>
      <c r="F1328" s="52"/>
      <c r="G1328" s="52"/>
      <c r="H1328" s="53"/>
      <c r="I1328" s="52"/>
      <c r="J1328" s="52"/>
      <c r="K1328" s="19"/>
      <c r="L1328" s="19"/>
      <c r="M1328" s="19"/>
      <c r="N1328" s="19"/>
      <c r="O1328" s="19"/>
      <c r="P1328" s="19"/>
      <c r="Q1328" s="19"/>
      <c r="R1328" s="19"/>
      <c r="S1328" s="19"/>
      <c r="T1328" s="19"/>
      <c r="U1328" s="19"/>
      <c r="V1328" s="19"/>
      <c r="W1328" s="19"/>
      <c r="X1328" s="19"/>
      <c r="Y1328" s="19"/>
      <c r="Z1328" s="19"/>
      <c r="AA1328" s="19"/>
      <c r="AB1328" s="19"/>
      <c r="AC1328" s="19"/>
      <c r="AD1328" s="19"/>
      <c r="AE1328" s="19"/>
      <c r="AF1328" s="19"/>
      <c r="AG1328" s="19"/>
      <c r="AH1328" s="19"/>
      <c r="AI1328" s="19"/>
      <c r="AJ1328" s="19"/>
      <c r="FM1328" s="54"/>
    </row>
    <row r="1329" spans="1:169" s="18" customFormat="1">
      <c r="A1329" s="51"/>
      <c r="B1329" s="52"/>
      <c r="C1329" s="52"/>
      <c r="D1329" s="52"/>
      <c r="E1329" s="52"/>
      <c r="F1329" s="52"/>
      <c r="G1329" s="52"/>
      <c r="H1329" s="53"/>
      <c r="I1329" s="52"/>
      <c r="J1329" s="52"/>
      <c r="K1329" s="19"/>
      <c r="L1329" s="19"/>
      <c r="M1329" s="19"/>
      <c r="N1329" s="19"/>
      <c r="O1329" s="19"/>
      <c r="P1329" s="19"/>
      <c r="Q1329" s="19"/>
      <c r="R1329" s="19"/>
      <c r="S1329" s="19"/>
      <c r="T1329" s="19"/>
      <c r="U1329" s="19"/>
      <c r="V1329" s="19"/>
      <c r="W1329" s="19"/>
      <c r="X1329" s="19"/>
      <c r="Y1329" s="19"/>
      <c r="Z1329" s="19"/>
      <c r="AA1329" s="19"/>
      <c r="AB1329" s="19"/>
      <c r="AC1329" s="19"/>
      <c r="AD1329" s="19"/>
      <c r="AE1329" s="19"/>
      <c r="AF1329" s="19"/>
      <c r="AG1329" s="19"/>
      <c r="AH1329" s="19"/>
      <c r="AI1329" s="19"/>
      <c r="AJ1329" s="19"/>
      <c r="FM1329" s="54"/>
    </row>
    <row r="1330" spans="1:169" s="18" customFormat="1">
      <c r="A1330" s="51"/>
      <c r="B1330" s="52"/>
      <c r="C1330" s="52"/>
      <c r="D1330" s="52"/>
      <c r="E1330" s="52"/>
      <c r="F1330" s="52"/>
      <c r="G1330" s="52"/>
      <c r="H1330" s="53"/>
      <c r="I1330" s="52"/>
      <c r="J1330" s="52"/>
      <c r="K1330" s="19"/>
      <c r="L1330" s="19"/>
      <c r="M1330" s="19"/>
      <c r="N1330" s="19"/>
      <c r="O1330" s="19"/>
      <c r="P1330" s="19"/>
      <c r="Q1330" s="19"/>
      <c r="R1330" s="19"/>
      <c r="S1330" s="19"/>
      <c r="T1330" s="19"/>
      <c r="U1330" s="19"/>
      <c r="V1330" s="19"/>
      <c r="W1330" s="19"/>
      <c r="X1330" s="19"/>
      <c r="Y1330" s="19"/>
      <c r="Z1330" s="19"/>
      <c r="AA1330" s="19"/>
      <c r="AB1330" s="19"/>
      <c r="AC1330" s="19"/>
      <c r="AD1330" s="19"/>
      <c r="AE1330" s="19"/>
      <c r="AF1330" s="19"/>
      <c r="AG1330" s="19"/>
      <c r="AH1330" s="19"/>
      <c r="AI1330" s="19"/>
      <c r="AJ1330" s="19"/>
      <c r="FM1330" s="54"/>
    </row>
    <row r="1331" spans="1:169" s="18" customFormat="1">
      <c r="A1331" s="51"/>
      <c r="B1331" s="52"/>
      <c r="C1331" s="52"/>
      <c r="D1331" s="52"/>
      <c r="E1331" s="52"/>
      <c r="F1331" s="52"/>
      <c r="G1331" s="52"/>
      <c r="H1331" s="53"/>
      <c r="I1331" s="52"/>
      <c r="J1331" s="52"/>
      <c r="K1331" s="19"/>
      <c r="L1331" s="19"/>
      <c r="M1331" s="19"/>
      <c r="N1331" s="19"/>
      <c r="O1331" s="19"/>
      <c r="P1331" s="19"/>
      <c r="Q1331" s="19"/>
      <c r="R1331" s="19"/>
      <c r="S1331" s="19"/>
      <c r="T1331" s="19"/>
      <c r="U1331" s="19"/>
      <c r="V1331" s="19"/>
      <c r="W1331" s="19"/>
      <c r="X1331" s="19"/>
      <c r="Y1331" s="19"/>
      <c r="Z1331" s="19"/>
      <c r="AA1331" s="19"/>
      <c r="AB1331" s="19"/>
      <c r="AC1331" s="19"/>
      <c r="AD1331" s="19"/>
      <c r="AE1331" s="19"/>
      <c r="AF1331" s="19"/>
      <c r="AG1331" s="19"/>
      <c r="AH1331" s="19"/>
      <c r="AI1331" s="19"/>
      <c r="AJ1331" s="19"/>
      <c r="FM1331" s="54"/>
    </row>
    <row r="1332" spans="1:169" s="18" customFormat="1">
      <c r="A1332" s="51"/>
      <c r="B1332" s="52"/>
      <c r="C1332" s="52"/>
      <c r="D1332" s="52"/>
      <c r="E1332" s="52"/>
      <c r="F1332" s="52"/>
      <c r="G1332" s="52"/>
      <c r="H1332" s="53"/>
      <c r="I1332" s="52"/>
      <c r="J1332" s="52"/>
      <c r="K1332" s="19"/>
      <c r="L1332" s="19"/>
      <c r="M1332" s="19"/>
      <c r="N1332" s="19"/>
      <c r="O1332" s="19"/>
      <c r="P1332" s="19"/>
      <c r="Q1332" s="19"/>
      <c r="R1332" s="19"/>
      <c r="S1332" s="19"/>
      <c r="T1332" s="19"/>
      <c r="U1332" s="19"/>
      <c r="V1332" s="19"/>
      <c r="W1332" s="19"/>
      <c r="X1332" s="19"/>
      <c r="Y1332" s="19"/>
      <c r="Z1332" s="19"/>
      <c r="AA1332" s="19"/>
      <c r="AB1332" s="19"/>
      <c r="AC1332" s="19"/>
      <c r="AD1332" s="19"/>
      <c r="AE1332" s="19"/>
      <c r="AF1332" s="19"/>
      <c r="AG1332" s="19"/>
      <c r="AH1332" s="19"/>
      <c r="AI1332" s="19"/>
      <c r="AJ1332" s="19"/>
      <c r="FM1332" s="54"/>
    </row>
    <row r="1333" spans="1:169" s="18" customFormat="1">
      <c r="A1333" s="51"/>
      <c r="B1333" s="52"/>
      <c r="C1333" s="52"/>
      <c r="D1333" s="52"/>
      <c r="E1333" s="52"/>
      <c r="F1333" s="52"/>
      <c r="G1333" s="52"/>
      <c r="H1333" s="53"/>
      <c r="I1333" s="52"/>
      <c r="J1333" s="52"/>
      <c r="K1333" s="19"/>
      <c r="L1333" s="19"/>
      <c r="M1333" s="19"/>
      <c r="N1333" s="19"/>
      <c r="O1333" s="19"/>
      <c r="P1333" s="19"/>
      <c r="Q1333" s="19"/>
      <c r="R1333" s="19"/>
      <c r="S1333" s="19"/>
      <c r="T1333" s="19"/>
      <c r="U1333" s="19"/>
      <c r="V1333" s="19"/>
      <c r="W1333" s="19"/>
      <c r="X1333" s="19"/>
      <c r="Y1333" s="19"/>
      <c r="Z1333" s="19"/>
      <c r="AA1333" s="19"/>
      <c r="AB1333" s="19"/>
      <c r="AC1333" s="19"/>
      <c r="AD1333" s="19"/>
      <c r="AE1333" s="19"/>
      <c r="AF1333" s="19"/>
      <c r="AG1333" s="19"/>
      <c r="AH1333" s="19"/>
      <c r="AI1333" s="19"/>
      <c r="AJ1333" s="19"/>
      <c r="FM1333" s="54"/>
    </row>
    <row r="1334" spans="1:169" s="18" customFormat="1">
      <c r="A1334" s="51"/>
      <c r="B1334" s="52"/>
      <c r="C1334" s="52"/>
      <c r="D1334" s="52"/>
      <c r="E1334" s="52"/>
      <c r="F1334" s="52"/>
      <c r="G1334" s="52"/>
      <c r="H1334" s="53"/>
      <c r="I1334" s="52"/>
      <c r="J1334" s="52"/>
      <c r="K1334" s="19"/>
      <c r="L1334" s="19"/>
      <c r="M1334" s="19"/>
      <c r="N1334" s="19"/>
      <c r="O1334" s="19"/>
      <c r="P1334" s="19"/>
      <c r="Q1334" s="19"/>
      <c r="R1334" s="19"/>
      <c r="S1334" s="19"/>
      <c r="T1334" s="19"/>
      <c r="U1334" s="19"/>
      <c r="V1334" s="19"/>
      <c r="W1334" s="19"/>
      <c r="X1334" s="19"/>
      <c r="Y1334" s="19"/>
      <c r="Z1334" s="19"/>
      <c r="AA1334" s="19"/>
      <c r="AB1334" s="19"/>
      <c r="AC1334" s="19"/>
      <c r="AD1334" s="19"/>
      <c r="AE1334" s="19"/>
      <c r="AF1334" s="19"/>
      <c r="AG1334" s="19"/>
      <c r="AH1334" s="19"/>
      <c r="AI1334" s="19"/>
      <c r="AJ1334" s="19"/>
      <c r="FM1334" s="54"/>
    </row>
    <row r="1335" spans="1:169" s="18" customFormat="1">
      <c r="A1335" s="51"/>
      <c r="B1335" s="52"/>
      <c r="C1335" s="52"/>
      <c r="D1335" s="52"/>
      <c r="E1335" s="52"/>
      <c r="F1335" s="52"/>
      <c r="G1335" s="52"/>
      <c r="H1335" s="53"/>
      <c r="I1335" s="52"/>
      <c r="J1335" s="52"/>
      <c r="K1335" s="19"/>
      <c r="L1335" s="19"/>
      <c r="M1335" s="19"/>
      <c r="N1335" s="19"/>
      <c r="O1335" s="19"/>
      <c r="P1335" s="19"/>
      <c r="Q1335" s="19"/>
      <c r="R1335" s="19"/>
      <c r="S1335" s="19"/>
      <c r="T1335" s="19"/>
      <c r="U1335" s="19"/>
      <c r="V1335" s="19"/>
      <c r="W1335" s="19"/>
      <c r="X1335" s="19"/>
      <c r="Y1335" s="19"/>
      <c r="Z1335" s="19"/>
      <c r="AA1335" s="19"/>
      <c r="AB1335" s="19"/>
      <c r="AC1335" s="19"/>
      <c r="AD1335" s="19"/>
      <c r="AE1335" s="19"/>
      <c r="AF1335" s="19"/>
      <c r="AG1335" s="19"/>
      <c r="AH1335" s="19"/>
      <c r="AI1335" s="19"/>
      <c r="AJ1335" s="19"/>
      <c r="FM1335" s="54"/>
    </row>
    <row r="1336" spans="1:169" s="18" customFormat="1">
      <c r="A1336" s="51"/>
      <c r="B1336" s="52"/>
      <c r="C1336" s="52"/>
      <c r="D1336" s="52"/>
      <c r="E1336" s="52"/>
      <c r="F1336" s="52"/>
      <c r="G1336" s="52"/>
      <c r="H1336" s="53"/>
      <c r="I1336" s="52"/>
      <c r="J1336" s="52"/>
      <c r="K1336" s="19"/>
      <c r="L1336" s="19"/>
      <c r="M1336" s="19"/>
      <c r="N1336" s="19"/>
      <c r="O1336" s="19"/>
      <c r="P1336" s="19"/>
      <c r="Q1336" s="19"/>
      <c r="R1336" s="19"/>
      <c r="S1336" s="19"/>
      <c r="T1336" s="19"/>
      <c r="U1336" s="19"/>
      <c r="V1336" s="19"/>
      <c r="W1336" s="19"/>
      <c r="X1336" s="19"/>
      <c r="Y1336" s="19"/>
      <c r="Z1336" s="19"/>
      <c r="AA1336" s="19"/>
      <c r="AB1336" s="19"/>
      <c r="AC1336" s="19"/>
      <c r="AD1336" s="19"/>
      <c r="AE1336" s="19"/>
      <c r="AF1336" s="19"/>
      <c r="AG1336" s="19"/>
      <c r="AH1336" s="19"/>
      <c r="AI1336" s="19"/>
      <c r="AJ1336" s="19"/>
      <c r="FM1336" s="54"/>
    </row>
    <row r="1337" spans="1:169" s="18" customFormat="1">
      <c r="A1337" s="51"/>
      <c r="B1337" s="52"/>
      <c r="C1337" s="52"/>
      <c r="D1337" s="52"/>
      <c r="E1337" s="52"/>
      <c r="F1337" s="52"/>
      <c r="G1337" s="52"/>
      <c r="H1337" s="53"/>
      <c r="I1337" s="52"/>
      <c r="J1337" s="52"/>
      <c r="K1337" s="19"/>
      <c r="L1337" s="19"/>
      <c r="M1337" s="19"/>
      <c r="N1337" s="19"/>
      <c r="O1337" s="19"/>
      <c r="P1337" s="19"/>
      <c r="Q1337" s="19"/>
      <c r="R1337" s="19"/>
      <c r="S1337" s="19"/>
      <c r="T1337" s="19"/>
      <c r="U1337" s="19"/>
      <c r="V1337" s="19"/>
      <c r="W1337" s="19"/>
      <c r="X1337" s="19"/>
      <c r="Y1337" s="19"/>
      <c r="Z1337" s="19"/>
      <c r="AA1337" s="19"/>
      <c r="AB1337" s="19"/>
      <c r="AC1337" s="19"/>
      <c r="AD1337" s="19"/>
      <c r="AE1337" s="19"/>
      <c r="AF1337" s="19"/>
      <c r="AG1337" s="19"/>
      <c r="AH1337" s="19"/>
      <c r="AI1337" s="19"/>
      <c r="AJ1337" s="19"/>
      <c r="FM1337" s="54"/>
    </row>
    <row r="1338" spans="1:169" s="18" customFormat="1">
      <c r="A1338" s="51"/>
      <c r="B1338" s="52"/>
      <c r="C1338" s="52"/>
      <c r="D1338" s="52"/>
      <c r="E1338" s="52"/>
      <c r="F1338" s="52"/>
      <c r="G1338" s="52"/>
      <c r="H1338" s="53"/>
      <c r="I1338" s="52"/>
      <c r="J1338" s="52"/>
      <c r="K1338" s="19"/>
      <c r="L1338" s="19"/>
      <c r="M1338" s="19"/>
      <c r="N1338" s="19"/>
      <c r="O1338" s="19"/>
      <c r="P1338" s="19"/>
      <c r="Q1338" s="19"/>
      <c r="R1338" s="19"/>
      <c r="S1338" s="19"/>
      <c r="T1338" s="19"/>
      <c r="U1338" s="19"/>
      <c r="V1338" s="19"/>
      <c r="W1338" s="19"/>
      <c r="X1338" s="19"/>
      <c r="Y1338" s="19"/>
      <c r="Z1338" s="19"/>
      <c r="AA1338" s="19"/>
      <c r="AB1338" s="19"/>
      <c r="AC1338" s="19"/>
      <c r="AD1338" s="19"/>
      <c r="AE1338" s="19"/>
      <c r="AF1338" s="19"/>
      <c r="AG1338" s="19"/>
      <c r="AH1338" s="19"/>
      <c r="AI1338" s="19"/>
      <c r="AJ1338" s="19"/>
      <c r="FM1338" s="54"/>
    </row>
    <row r="1339" spans="1:169" s="18" customFormat="1">
      <c r="A1339" s="51"/>
      <c r="B1339" s="52"/>
      <c r="C1339" s="52"/>
      <c r="D1339" s="52"/>
      <c r="E1339" s="52"/>
      <c r="F1339" s="52"/>
      <c r="G1339" s="52"/>
      <c r="H1339" s="53"/>
      <c r="I1339" s="52"/>
      <c r="J1339" s="52"/>
      <c r="K1339" s="19"/>
      <c r="L1339" s="19"/>
      <c r="M1339" s="19"/>
      <c r="N1339" s="19"/>
      <c r="O1339" s="19"/>
      <c r="P1339" s="19"/>
      <c r="Q1339" s="19"/>
      <c r="R1339" s="19"/>
      <c r="S1339" s="19"/>
      <c r="T1339" s="19"/>
      <c r="U1339" s="19"/>
      <c r="V1339" s="19"/>
      <c r="W1339" s="19"/>
      <c r="X1339" s="19"/>
      <c r="Y1339" s="19"/>
      <c r="Z1339" s="19"/>
      <c r="AA1339" s="19"/>
      <c r="AB1339" s="19"/>
      <c r="AC1339" s="19"/>
      <c r="AD1339" s="19"/>
      <c r="AE1339" s="19"/>
      <c r="AF1339" s="19"/>
      <c r="AG1339" s="19"/>
      <c r="AH1339" s="19"/>
      <c r="AI1339" s="19"/>
      <c r="AJ1339" s="19"/>
      <c r="FM1339" s="54"/>
    </row>
    <row r="1340" spans="1:169" s="18" customFormat="1">
      <c r="A1340" s="51"/>
      <c r="B1340" s="52"/>
      <c r="C1340" s="52"/>
      <c r="D1340" s="52"/>
      <c r="E1340" s="52"/>
      <c r="F1340" s="52"/>
      <c r="G1340" s="52"/>
      <c r="H1340" s="53"/>
      <c r="I1340" s="52"/>
      <c r="J1340" s="52"/>
      <c r="K1340" s="19"/>
      <c r="L1340" s="19"/>
      <c r="M1340" s="19"/>
      <c r="N1340" s="19"/>
      <c r="O1340" s="19"/>
      <c r="P1340" s="19"/>
      <c r="Q1340" s="19"/>
      <c r="R1340" s="19"/>
      <c r="S1340" s="19"/>
      <c r="T1340" s="19"/>
      <c r="U1340" s="19"/>
      <c r="V1340" s="19"/>
      <c r="W1340" s="19"/>
      <c r="X1340" s="19"/>
      <c r="Y1340" s="19"/>
      <c r="Z1340" s="19"/>
      <c r="AA1340" s="19"/>
      <c r="AB1340" s="19"/>
      <c r="AC1340" s="19"/>
      <c r="AD1340" s="19"/>
      <c r="AE1340" s="19"/>
      <c r="AF1340" s="19"/>
      <c r="AG1340" s="19"/>
      <c r="AH1340" s="19"/>
      <c r="AI1340" s="19"/>
      <c r="AJ1340" s="19"/>
      <c r="FM1340" s="54"/>
    </row>
    <row r="1341" spans="1:169" s="18" customFormat="1">
      <c r="A1341" s="51"/>
      <c r="B1341" s="52"/>
      <c r="C1341" s="52"/>
      <c r="D1341" s="52"/>
      <c r="E1341" s="52"/>
      <c r="F1341" s="52"/>
      <c r="G1341" s="52"/>
      <c r="H1341" s="53"/>
      <c r="I1341" s="52"/>
      <c r="J1341" s="52"/>
      <c r="K1341" s="19"/>
      <c r="L1341" s="19"/>
      <c r="M1341" s="19"/>
      <c r="N1341" s="19"/>
      <c r="O1341" s="19"/>
      <c r="P1341" s="19"/>
      <c r="Q1341" s="19"/>
      <c r="R1341" s="19"/>
      <c r="S1341" s="19"/>
      <c r="T1341" s="19"/>
      <c r="U1341" s="19"/>
      <c r="V1341" s="19"/>
      <c r="W1341" s="19"/>
      <c r="X1341" s="19"/>
      <c r="Y1341" s="19"/>
      <c r="Z1341" s="19"/>
      <c r="AA1341" s="19"/>
      <c r="AB1341" s="19"/>
      <c r="AC1341" s="19"/>
      <c r="AD1341" s="19"/>
      <c r="AE1341" s="19"/>
      <c r="AF1341" s="19"/>
      <c r="AG1341" s="19"/>
      <c r="AH1341" s="19"/>
      <c r="AI1341" s="19"/>
      <c r="AJ1341" s="19"/>
      <c r="FM1341" s="54"/>
    </row>
    <row r="1342" spans="1:169" s="18" customFormat="1">
      <c r="A1342" s="51"/>
      <c r="B1342" s="52"/>
      <c r="C1342" s="52"/>
      <c r="D1342" s="52"/>
      <c r="E1342" s="52"/>
      <c r="F1342" s="52"/>
      <c r="G1342" s="52"/>
      <c r="H1342" s="53"/>
      <c r="I1342" s="52"/>
      <c r="J1342" s="52"/>
      <c r="K1342" s="19"/>
      <c r="L1342" s="19"/>
      <c r="M1342" s="19"/>
      <c r="N1342" s="19"/>
      <c r="O1342" s="19"/>
      <c r="P1342" s="19"/>
      <c r="Q1342" s="19"/>
      <c r="R1342" s="19"/>
      <c r="S1342" s="19"/>
      <c r="T1342" s="19"/>
      <c r="U1342" s="19"/>
      <c r="V1342" s="19"/>
      <c r="W1342" s="19"/>
      <c r="X1342" s="19"/>
      <c r="Y1342" s="19"/>
      <c r="Z1342" s="19"/>
      <c r="AA1342" s="19"/>
      <c r="AB1342" s="19"/>
      <c r="AC1342" s="19"/>
      <c r="AD1342" s="19"/>
      <c r="AE1342" s="19"/>
      <c r="AF1342" s="19"/>
      <c r="AG1342" s="19"/>
      <c r="AH1342" s="19"/>
      <c r="AI1342" s="19"/>
      <c r="AJ1342" s="19"/>
      <c r="FM1342" s="54"/>
    </row>
    <row r="1343" spans="1:169" s="18" customFormat="1">
      <c r="A1343" s="51"/>
      <c r="B1343" s="52"/>
      <c r="C1343" s="52"/>
      <c r="D1343" s="52"/>
      <c r="E1343" s="52"/>
      <c r="F1343" s="52"/>
      <c r="G1343" s="52"/>
      <c r="H1343" s="53"/>
      <c r="I1343" s="52"/>
      <c r="J1343" s="52"/>
      <c r="K1343" s="19"/>
      <c r="L1343" s="19"/>
      <c r="M1343" s="19"/>
      <c r="N1343" s="19"/>
      <c r="O1343" s="19"/>
      <c r="P1343" s="19"/>
      <c r="Q1343" s="19"/>
      <c r="R1343" s="19"/>
      <c r="S1343" s="19"/>
      <c r="T1343" s="19"/>
      <c r="U1343" s="19"/>
      <c r="V1343" s="19"/>
      <c r="W1343" s="19"/>
      <c r="X1343" s="19"/>
      <c r="Y1343" s="19"/>
      <c r="Z1343" s="19"/>
      <c r="AA1343" s="19"/>
      <c r="AB1343" s="19"/>
      <c r="AC1343" s="19"/>
      <c r="AD1343" s="19"/>
      <c r="AE1343" s="19"/>
      <c r="AF1343" s="19"/>
      <c r="AG1343" s="19"/>
      <c r="AH1343" s="19"/>
      <c r="AI1343" s="19"/>
      <c r="AJ1343" s="19"/>
      <c r="FM1343" s="54"/>
    </row>
    <row r="1344" spans="1:169" s="18" customFormat="1">
      <c r="A1344" s="51"/>
      <c r="B1344" s="52"/>
      <c r="C1344" s="52"/>
      <c r="D1344" s="52"/>
      <c r="E1344" s="52"/>
      <c r="F1344" s="52"/>
      <c r="G1344" s="52"/>
      <c r="H1344" s="53"/>
      <c r="I1344" s="52"/>
      <c r="J1344" s="52"/>
      <c r="K1344" s="19"/>
      <c r="L1344" s="19"/>
      <c r="M1344" s="19"/>
      <c r="N1344" s="19"/>
      <c r="O1344" s="19"/>
      <c r="P1344" s="19"/>
      <c r="Q1344" s="19"/>
      <c r="R1344" s="19"/>
      <c r="S1344" s="19"/>
      <c r="T1344" s="19"/>
      <c r="U1344" s="19"/>
      <c r="V1344" s="19"/>
      <c r="W1344" s="19"/>
      <c r="X1344" s="19"/>
      <c r="Y1344" s="19"/>
      <c r="Z1344" s="19"/>
      <c r="AA1344" s="19"/>
      <c r="AB1344" s="19"/>
      <c r="AC1344" s="19"/>
      <c r="AD1344" s="19"/>
      <c r="AE1344" s="19"/>
      <c r="AF1344" s="19"/>
      <c r="AG1344" s="19"/>
      <c r="AH1344" s="19"/>
      <c r="AI1344" s="19"/>
      <c r="AJ1344" s="19"/>
      <c r="FM1344" s="54"/>
    </row>
    <row r="1345" spans="1:169" s="18" customFormat="1">
      <c r="A1345" s="51"/>
      <c r="B1345" s="52"/>
      <c r="C1345" s="52"/>
      <c r="D1345" s="52"/>
      <c r="E1345" s="52"/>
      <c r="F1345" s="52"/>
      <c r="G1345" s="52"/>
      <c r="H1345" s="53"/>
      <c r="I1345" s="52"/>
      <c r="J1345" s="52"/>
      <c r="K1345" s="19"/>
      <c r="L1345" s="19"/>
      <c r="M1345" s="19"/>
      <c r="N1345" s="19"/>
      <c r="O1345" s="19"/>
      <c r="P1345" s="19"/>
      <c r="Q1345" s="19"/>
      <c r="R1345" s="19"/>
      <c r="S1345" s="19"/>
      <c r="T1345" s="19"/>
      <c r="U1345" s="19"/>
      <c r="V1345" s="19"/>
      <c r="W1345" s="19"/>
      <c r="X1345" s="19"/>
      <c r="Y1345" s="19"/>
      <c r="Z1345" s="19"/>
      <c r="AA1345" s="19"/>
      <c r="AB1345" s="19"/>
      <c r="AC1345" s="19"/>
      <c r="AD1345" s="19"/>
      <c r="AE1345" s="19"/>
      <c r="AF1345" s="19"/>
      <c r="AG1345" s="19"/>
      <c r="AH1345" s="19"/>
      <c r="AI1345" s="19"/>
      <c r="AJ1345" s="19"/>
      <c r="FM1345" s="54"/>
    </row>
    <row r="1346" spans="1:169" s="18" customFormat="1">
      <c r="A1346" s="51"/>
      <c r="B1346" s="52"/>
      <c r="C1346" s="52"/>
      <c r="D1346" s="52"/>
      <c r="E1346" s="52"/>
      <c r="F1346" s="52"/>
      <c r="G1346" s="52"/>
      <c r="H1346" s="53"/>
      <c r="I1346" s="52"/>
      <c r="J1346" s="52"/>
      <c r="K1346" s="19"/>
      <c r="L1346" s="19"/>
      <c r="M1346" s="19"/>
      <c r="N1346" s="19"/>
      <c r="O1346" s="19"/>
      <c r="P1346" s="19"/>
      <c r="Q1346" s="19"/>
      <c r="R1346" s="19"/>
      <c r="S1346" s="19"/>
      <c r="T1346" s="19"/>
      <c r="U1346" s="19"/>
      <c r="V1346" s="19"/>
      <c r="W1346" s="19"/>
      <c r="X1346" s="19"/>
      <c r="Y1346" s="19"/>
      <c r="Z1346" s="19"/>
      <c r="AA1346" s="19"/>
      <c r="AB1346" s="19"/>
      <c r="AC1346" s="19"/>
      <c r="AD1346" s="19"/>
      <c r="AE1346" s="19"/>
      <c r="AF1346" s="19"/>
      <c r="AG1346" s="19"/>
      <c r="AH1346" s="19"/>
      <c r="AI1346" s="19"/>
      <c r="AJ1346" s="19"/>
      <c r="FM1346" s="54"/>
    </row>
    <row r="1347" spans="1:169" s="18" customFormat="1">
      <c r="A1347" s="51"/>
      <c r="B1347" s="52"/>
      <c r="C1347" s="52"/>
      <c r="D1347" s="52"/>
      <c r="E1347" s="52"/>
      <c r="F1347" s="52"/>
      <c r="G1347" s="52"/>
      <c r="H1347" s="53"/>
      <c r="I1347" s="52"/>
      <c r="J1347" s="52"/>
      <c r="K1347" s="19"/>
      <c r="L1347" s="19"/>
      <c r="M1347" s="19"/>
      <c r="N1347" s="19"/>
      <c r="O1347" s="19"/>
      <c r="P1347" s="19"/>
      <c r="Q1347" s="19"/>
      <c r="R1347" s="19"/>
      <c r="S1347" s="19"/>
      <c r="T1347" s="19"/>
      <c r="U1347" s="19"/>
      <c r="V1347" s="19"/>
      <c r="W1347" s="19"/>
      <c r="X1347" s="19"/>
      <c r="Y1347" s="19"/>
      <c r="Z1347" s="19"/>
      <c r="AA1347" s="19"/>
      <c r="AB1347" s="19"/>
      <c r="AC1347" s="19"/>
      <c r="AD1347" s="19"/>
      <c r="AE1347" s="19"/>
      <c r="AF1347" s="19"/>
      <c r="AG1347" s="19"/>
      <c r="AH1347" s="19"/>
      <c r="AI1347" s="19"/>
      <c r="AJ1347" s="19"/>
      <c r="FM1347" s="54"/>
    </row>
    <row r="1348" spans="1:169" s="18" customFormat="1">
      <c r="A1348" s="51"/>
      <c r="B1348" s="52"/>
      <c r="C1348" s="52"/>
      <c r="D1348" s="52"/>
      <c r="E1348" s="52"/>
      <c r="F1348" s="52"/>
      <c r="G1348" s="52"/>
      <c r="H1348" s="53"/>
      <c r="I1348" s="52"/>
      <c r="J1348" s="52"/>
      <c r="K1348" s="19"/>
      <c r="L1348" s="19"/>
      <c r="M1348" s="19"/>
      <c r="N1348" s="19"/>
      <c r="O1348" s="19"/>
      <c r="P1348" s="19"/>
      <c r="Q1348" s="19"/>
      <c r="R1348" s="19"/>
      <c r="S1348" s="19"/>
      <c r="T1348" s="19"/>
      <c r="U1348" s="19"/>
      <c r="V1348" s="19"/>
      <c r="W1348" s="19"/>
      <c r="X1348" s="19"/>
      <c r="Y1348" s="19"/>
      <c r="Z1348" s="19"/>
      <c r="AA1348" s="19"/>
      <c r="AB1348" s="19"/>
      <c r="AC1348" s="19"/>
      <c r="AD1348" s="19"/>
      <c r="AE1348" s="19"/>
      <c r="AF1348" s="19"/>
      <c r="AG1348" s="19"/>
      <c r="AH1348" s="19"/>
      <c r="AI1348" s="19"/>
      <c r="AJ1348" s="19"/>
      <c r="FM1348" s="54"/>
    </row>
    <row r="1349" spans="1:169" s="18" customFormat="1">
      <c r="A1349" s="51"/>
      <c r="B1349" s="52"/>
      <c r="C1349" s="52"/>
      <c r="D1349" s="52"/>
      <c r="E1349" s="52"/>
      <c r="F1349" s="52"/>
      <c r="G1349" s="52"/>
      <c r="H1349" s="53"/>
      <c r="I1349" s="52"/>
      <c r="J1349" s="52"/>
      <c r="K1349" s="19"/>
      <c r="L1349" s="19"/>
      <c r="M1349" s="19"/>
      <c r="N1349" s="19"/>
      <c r="O1349" s="19"/>
      <c r="P1349" s="19"/>
      <c r="Q1349" s="19"/>
      <c r="R1349" s="19"/>
      <c r="S1349" s="19"/>
      <c r="T1349" s="19"/>
      <c r="U1349" s="19"/>
      <c r="V1349" s="19"/>
      <c r="W1349" s="19"/>
      <c r="X1349" s="19"/>
      <c r="Y1349" s="19"/>
      <c r="Z1349" s="19"/>
      <c r="AA1349" s="19"/>
      <c r="AB1349" s="19"/>
      <c r="AC1349" s="19"/>
      <c r="AD1349" s="19"/>
      <c r="AE1349" s="19"/>
      <c r="AF1349" s="19"/>
      <c r="AG1349" s="19"/>
      <c r="AH1349" s="19"/>
      <c r="AI1349" s="19"/>
      <c r="AJ1349" s="19"/>
      <c r="FM1349" s="54"/>
    </row>
    <row r="1350" spans="1:169" s="18" customFormat="1">
      <c r="A1350" s="51"/>
      <c r="B1350" s="52"/>
      <c r="C1350" s="52"/>
      <c r="D1350" s="52"/>
      <c r="E1350" s="52"/>
      <c r="F1350" s="52"/>
      <c r="G1350" s="52"/>
      <c r="H1350" s="53"/>
      <c r="I1350" s="52"/>
      <c r="J1350" s="52"/>
      <c r="K1350" s="19"/>
      <c r="L1350" s="19"/>
      <c r="M1350" s="19"/>
      <c r="N1350" s="19"/>
      <c r="O1350" s="19"/>
      <c r="P1350" s="19"/>
      <c r="Q1350" s="19"/>
      <c r="R1350" s="19"/>
      <c r="S1350" s="19"/>
      <c r="T1350" s="19"/>
      <c r="U1350" s="19"/>
      <c r="V1350" s="19"/>
      <c r="W1350" s="19"/>
      <c r="X1350" s="19"/>
      <c r="Y1350" s="19"/>
      <c r="Z1350" s="19"/>
      <c r="AA1350" s="19"/>
      <c r="AB1350" s="19"/>
      <c r="AC1350" s="19"/>
      <c r="AD1350" s="19"/>
      <c r="AE1350" s="19"/>
      <c r="AF1350" s="19"/>
      <c r="AG1350" s="19"/>
      <c r="AH1350" s="19"/>
      <c r="AI1350" s="19"/>
      <c r="AJ1350" s="19"/>
      <c r="FM1350" s="54"/>
    </row>
    <row r="1351" spans="1:169" s="18" customFormat="1">
      <c r="A1351" s="51"/>
      <c r="B1351" s="52"/>
      <c r="C1351" s="52"/>
      <c r="D1351" s="52"/>
      <c r="E1351" s="52"/>
      <c r="F1351" s="52"/>
      <c r="G1351" s="52"/>
      <c r="H1351" s="53"/>
      <c r="I1351" s="52"/>
      <c r="J1351" s="52"/>
      <c r="K1351" s="19"/>
      <c r="L1351" s="19"/>
      <c r="M1351" s="19"/>
      <c r="N1351" s="19"/>
      <c r="O1351" s="19"/>
      <c r="P1351" s="19"/>
      <c r="Q1351" s="19"/>
      <c r="R1351" s="19"/>
      <c r="S1351" s="19"/>
      <c r="T1351" s="19"/>
      <c r="U1351" s="19"/>
      <c r="V1351" s="19"/>
      <c r="W1351" s="19"/>
      <c r="X1351" s="19"/>
      <c r="Y1351" s="19"/>
      <c r="Z1351" s="19"/>
      <c r="AA1351" s="19"/>
      <c r="AB1351" s="19"/>
      <c r="AC1351" s="19"/>
      <c r="AD1351" s="19"/>
      <c r="AE1351" s="19"/>
      <c r="AF1351" s="19"/>
      <c r="AG1351" s="19"/>
      <c r="AH1351" s="19"/>
      <c r="AI1351" s="19"/>
      <c r="AJ1351" s="19"/>
      <c r="FM1351" s="54"/>
    </row>
    <row r="1352" spans="1:169" s="18" customFormat="1">
      <c r="A1352" s="51"/>
      <c r="B1352" s="52"/>
      <c r="C1352" s="52"/>
      <c r="D1352" s="52"/>
      <c r="E1352" s="52"/>
      <c r="F1352" s="52"/>
      <c r="G1352" s="52"/>
      <c r="H1352" s="53"/>
      <c r="I1352" s="52"/>
      <c r="J1352" s="52"/>
      <c r="K1352" s="19"/>
      <c r="L1352" s="19"/>
      <c r="M1352" s="19"/>
      <c r="N1352" s="19"/>
      <c r="O1352" s="19"/>
      <c r="P1352" s="19"/>
      <c r="Q1352" s="19"/>
      <c r="R1352" s="19"/>
      <c r="S1352" s="19"/>
      <c r="T1352" s="19"/>
      <c r="U1352" s="19"/>
      <c r="V1352" s="19"/>
      <c r="W1352" s="19"/>
      <c r="X1352" s="19"/>
      <c r="Y1352" s="19"/>
      <c r="Z1352" s="19"/>
      <c r="AA1352" s="19"/>
      <c r="AB1352" s="19"/>
      <c r="AC1352" s="19"/>
      <c r="AD1352" s="19"/>
      <c r="AE1352" s="19"/>
      <c r="AF1352" s="19"/>
      <c r="AG1352" s="19"/>
      <c r="AH1352" s="19"/>
      <c r="AI1352" s="19"/>
      <c r="AJ1352" s="19"/>
      <c r="FM1352" s="54"/>
    </row>
    <row r="1353" spans="1:169" s="18" customFormat="1">
      <c r="A1353" s="51"/>
      <c r="B1353" s="52"/>
      <c r="C1353" s="52"/>
      <c r="D1353" s="52"/>
      <c r="E1353" s="52"/>
      <c r="F1353" s="52"/>
      <c r="G1353" s="52"/>
      <c r="H1353" s="53"/>
      <c r="I1353" s="52"/>
      <c r="J1353" s="52"/>
      <c r="K1353" s="19"/>
      <c r="L1353" s="19"/>
      <c r="M1353" s="19"/>
      <c r="N1353" s="19"/>
      <c r="O1353" s="19"/>
      <c r="P1353" s="19"/>
      <c r="Q1353" s="19"/>
      <c r="R1353" s="19"/>
      <c r="S1353" s="19"/>
      <c r="T1353" s="19"/>
      <c r="U1353" s="19"/>
      <c r="V1353" s="19"/>
      <c r="W1353" s="19"/>
      <c r="X1353" s="19"/>
      <c r="Y1353" s="19"/>
      <c r="Z1353" s="19"/>
      <c r="AA1353" s="19"/>
      <c r="AB1353" s="19"/>
      <c r="AC1353" s="19"/>
      <c r="AD1353" s="19"/>
      <c r="AE1353" s="19"/>
      <c r="AF1353" s="19"/>
      <c r="AG1353" s="19"/>
      <c r="AH1353" s="19"/>
      <c r="AI1353" s="19"/>
      <c r="AJ1353" s="19"/>
      <c r="FM1353" s="54"/>
    </row>
    <row r="1354" spans="1:169" s="18" customFormat="1">
      <c r="A1354" s="51"/>
      <c r="B1354" s="52"/>
      <c r="C1354" s="52"/>
      <c r="D1354" s="52"/>
      <c r="E1354" s="52"/>
      <c r="F1354" s="52"/>
      <c r="G1354" s="52"/>
      <c r="H1354" s="53"/>
      <c r="I1354" s="52"/>
      <c r="J1354" s="52"/>
      <c r="K1354" s="19"/>
      <c r="L1354" s="19"/>
      <c r="M1354" s="19"/>
      <c r="N1354" s="19"/>
      <c r="O1354" s="19"/>
      <c r="P1354" s="19"/>
      <c r="Q1354" s="19"/>
      <c r="R1354" s="19"/>
      <c r="S1354" s="19"/>
      <c r="T1354" s="19"/>
      <c r="U1354" s="19"/>
      <c r="V1354" s="19"/>
      <c r="W1354" s="19"/>
      <c r="X1354" s="19"/>
      <c r="Y1354" s="19"/>
      <c r="Z1354" s="19"/>
      <c r="AA1354" s="19"/>
      <c r="AB1354" s="19"/>
      <c r="AC1354" s="19"/>
      <c r="AD1354" s="19"/>
      <c r="AE1354" s="19"/>
      <c r="AF1354" s="19"/>
      <c r="AG1354" s="19"/>
      <c r="AH1354" s="19"/>
      <c r="AI1354" s="19"/>
      <c r="AJ1354" s="19"/>
      <c r="FM1354" s="54"/>
    </row>
    <row r="1355" spans="1:169" s="18" customFormat="1">
      <c r="A1355" s="51"/>
      <c r="B1355" s="52"/>
      <c r="C1355" s="52"/>
      <c r="D1355" s="52"/>
      <c r="E1355" s="52"/>
      <c r="F1355" s="52"/>
      <c r="G1355" s="52"/>
      <c r="H1355" s="53"/>
      <c r="I1355" s="52"/>
      <c r="J1355" s="52"/>
      <c r="K1355" s="19"/>
      <c r="L1355" s="19"/>
      <c r="M1355" s="19"/>
      <c r="N1355" s="19"/>
      <c r="O1355" s="19"/>
      <c r="P1355" s="19"/>
      <c r="Q1355" s="19"/>
      <c r="R1355" s="19"/>
      <c r="S1355" s="19"/>
      <c r="T1355" s="19"/>
      <c r="U1355" s="19"/>
      <c r="V1355" s="19"/>
      <c r="W1355" s="19"/>
      <c r="X1355" s="19"/>
      <c r="Y1355" s="19"/>
      <c r="Z1355" s="19"/>
      <c r="AA1355" s="19"/>
      <c r="AB1355" s="19"/>
      <c r="AC1355" s="19"/>
      <c r="AD1355" s="19"/>
      <c r="AE1355" s="19"/>
      <c r="AF1355" s="19"/>
      <c r="AG1355" s="19"/>
      <c r="AH1355" s="19"/>
      <c r="AI1355" s="19"/>
      <c r="AJ1355" s="19"/>
      <c r="FM1355" s="54"/>
    </row>
    <row r="1356" spans="1:169" s="18" customFormat="1">
      <c r="A1356" s="51"/>
      <c r="B1356" s="52"/>
      <c r="C1356" s="52"/>
      <c r="D1356" s="52"/>
      <c r="E1356" s="52"/>
      <c r="F1356" s="52"/>
      <c r="G1356" s="52"/>
      <c r="H1356" s="53"/>
      <c r="I1356" s="52"/>
      <c r="J1356" s="52"/>
      <c r="K1356" s="19"/>
      <c r="L1356" s="19"/>
      <c r="M1356" s="19"/>
      <c r="N1356" s="19"/>
      <c r="O1356" s="19"/>
      <c r="P1356" s="19"/>
      <c r="Q1356" s="19"/>
      <c r="R1356" s="19"/>
      <c r="S1356" s="19"/>
      <c r="T1356" s="19"/>
      <c r="U1356" s="19"/>
      <c r="V1356" s="19"/>
      <c r="W1356" s="19"/>
      <c r="X1356" s="19"/>
      <c r="Y1356" s="19"/>
      <c r="Z1356" s="19"/>
      <c r="AA1356" s="19"/>
      <c r="AB1356" s="19"/>
      <c r="AC1356" s="19"/>
      <c r="AD1356" s="19"/>
      <c r="AE1356" s="19"/>
      <c r="AF1356" s="19"/>
      <c r="AG1356" s="19"/>
      <c r="AH1356" s="19"/>
      <c r="AI1356" s="19"/>
      <c r="AJ1356" s="19"/>
      <c r="FM1356" s="54"/>
    </row>
    <row r="1357" spans="1:169" s="18" customFormat="1">
      <c r="A1357" s="51"/>
      <c r="B1357" s="52"/>
      <c r="C1357" s="52"/>
      <c r="D1357" s="52"/>
      <c r="E1357" s="52"/>
      <c r="F1357" s="52"/>
      <c r="G1357" s="52"/>
      <c r="H1357" s="53"/>
      <c r="I1357" s="52"/>
      <c r="J1357" s="52"/>
      <c r="K1357" s="19"/>
      <c r="L1357" s="19"/>
      <c r="M1357" s="19"/>
      <c r="N1357" s="19"/>
      <c r="O1357" s="19"/>
      <c r="P1357" s="19"/>
      <c r="Q1357" s="19"/>
      <c r="R1357" s="19"/>
      <c r="S1357" s="19"/>
      <c r="T1357" s="19"/>
      <c r="U1357" s="19"/>
      <c r="V1357" s="19"/>
      <c r="W1357" s="19"/>
      <c r="X1357" s="19"/>
      <c r="Y1357" s="19"/>
      <c r="Z1357" s="19"/>
      <c r="AA1357" s="19"/>
      <c r="AB1357" s="19"/>
      <c r="AC1357" s="19"/>
      <c r="AD1357" s="19"/>
      <c r="AE1357" s="19"/>
      <c r="AF1357" s="19"/>
      <c r="AG1357" s="19"/>
      <c r="AH1357" s="19"/>
      <c r="AI1357" s="19"/>
      <c r="AJ1357" s="19"/>
      <c r="FM1357" s="54"/>
    </row>
    <row r="1358" spans="1:169" s="18" customFormat="1">
      <c r="A1358" s="51"/>
      <c r="B1358" s="52"/>
      <c r="C1358" s="52"/>
      <c r="D1358" s="52"/>
      <c r="E1358" s="52"/>
      <c r="F1358" s="52"/>
      <c r="G1358" s="52"/>
      <c r="H1358" s="53"/>
      <c r="I1358" s="52"/>
      <c r="J1358" s="52"/>
      <c r="K1358" s="19"/>
      <c r="L1358" s="19"/>
      <c r="M1358" s="19"/>
      <c r="N1358" s="19"/>
      <c r="O1358" s="19"/>
      <c r="P1358" s="19"/>
      <c r="Q1358" s="19"/>
      <c r="R1358" s="19"/>
      <c r="S1358" s="19"/>
      <c r="T1358" s="19"/>
      <c r="U1358" s="19"/>
      <c r="V1358" s="19"/>
      <c r="W1358" s="19"/>
      <c r="X1358" s="19"/>
      <c r="Y1358" s="19"/>
      <c r="Z1358" s="19"/>
      <c r="AA1358" s="19"/>
      <c r="AB1358" s="19"/>
      <c r="AC1358" s="19"/>
      <c r="AD1358" s="19"/>
      <c r="AE1358" s="19"/>
      <c r="AF1358" s="19"/>
      <c r="AG1358" s="19"/>
      <c r="AH1358" s="19"/>
      <c r="AI1358" s="19"/>
      <c r="AJ1358" s="19"/>
      <c r="FM1358" s="54"/>
    </row>
    <row r="1359" spans="1:169" s="18" customFormat="1">
      <c r="A1359" s="51"/>
      <c r="B1359" s="52"/>
      <c r="C1359" s="52"/>
      <c r="D1359" s="52"/>
      <c r="E1359" s="52"/>
      <c r="F1359" s="52"/>
      <c r="G1359" s="52"/>
      <c r="H1359" s="53"/>
      <c r="I1359" s="52"/>
      <c r="J1359" s="52"/>
      <c r="K1359" s="19"/>
      <c r="L1359" s="19"/>
      <c r="M1359" s="19"/>
      <c r="N1359" s="19"/>
      <c r="O1359" s="19"/>
      <c r="P1359" s="19"/>
      <c r="Q1359" s="19"/>
      <c r="R1359" s="19"/>
      <c r="S1359" s="19"/>
      <c r="T1359" s="19"/>
      <c r="U1359" s="19"/>
      <c r="V1359" s="19"/>
      <c r="W1359" s="19"/>
      <c r="X1359" s="19"/>
      <c r="Y1359" s="19"/>
      <c r="Z1359" s="19"/>
      <c r="AA1359" s="19"/>
      <c r="AB1359" s="19"/>
      <c r="AC1359" s="19"/>
      <c r="AD1359" s="19"/>
      <c r="AE1359" s="19"/>
      <c r="AF1359" s="19"/>
      <c r="AG1359" s="19"/>
      <c r="AH1359" s="19"/>
      <c r="AI1359" s="19"/>
      <c r="AJ1359" s="19"/>
      <c r="FM1359" s="54"/>
    </row>
    <row r="1360" spans="1:169" s="18" customFormat="1">
      <c r="A1360" s="51"/>
      <c r="B1360" s="52"/>
      <c r="C1360" s="52"/>
      <c r="D1360" s="52"/>
      <c r="E1360" s="52"/>
      <c r="F1360" s="52"/>
      <c r="G1360" s="52"/>
      <c r="H1360" s="53"/>
      <c r="I1360" s="52"/>
      <c r="J1360" s="52"/>
      <c r="K1360" s="19"/>
      <c r="L1360" s="19"/>
      <c r="M1360" s="19"/>
      <c r="N1360" s="19"/>
      <c r="O1360" s="19"/>
      <c r="P1360" s="19"/>
      <c r="Q1360" s="19"/>
      <c r="R1360" s="19"/>
      <c r="S1360" s="19"/>
      <c r="T1360" s="19"/>
      <c r="U1360" s="19"/>
      <c r="V1360" s="19"/>
      <c r="W1360" s="19"/>
      <c r="X1360" s="19"/>
      <c r="Y1360" s="19"/>
      <c r="Z1360" s="19"/>
      <c r="AA1360" s="19"/>
      <c r="AB1360" s="19"/>
      <c r="AC1360" s="19"/>
      <c r="AD1360" s="19"/>
      <c r="AE1360" s="19"/>
      <c r="AF1360" s="19"/>
      <c r="AG1360" s="19"/>
      <c r="AH1360" s="19"/>
      <c r="AI1360" s="19"/>
      <c r="AJ1360" s="19"/>
      <c r="FM1360" s="54"/>
    </row>
    <row r="1361" spans="1:169" s="18" customFormat="1">
      <c r="A1361" s="51"/>
      <c r="B1361" s="52"/>
      <c r="C1361" s="52"/>
      <c r="D1361" s="52"/>
      <c r="E1361" s="52"/>
      <c r="F1361" s="52"/>
      <c r="G1361" s="52"/>
      <c r="H1361" s="53"/>
      <c r="I1361" s="52"/>
      <c r="J1361" s="52"/>
      <c r="K1361" s="19"/>
      <c r="L1361" s="19"/>
      <c r="M1361" s="19"/>
      <c r="N1361" s="19"/>
      <c r="O1361" s="19"/>
      <c r="P1361" s="19"/>
      <c r="Q1361" s="19"/>
      <c r="R1361" s="19"/>
      <c r="S1361" s="19"/>
      <c r="T1361" s="19"/>
      <c r="U1361" s="19"/>
      <c r="V1361" s="19"/>
      <c r="W1361" s="19"/>
      <c r="X1361" s="19"/>
      <c r="Y1361" s="19"/>
      <c r="Z1361" s="19"/>
      <c r="AA1361" s="19"/>
      <c r="AB1361" s="19"/>
      <c r="AC1361" s="19"/>
      <c r="AD1361" s="19"/>
      <c r="AE1361" s="19"/>
      <c r="AF1361" s="19"/>
      <c r="AG1361" s="19"/>
      <c r="AH1361" s="19"/>
      <c r="AI1361" s="19"/>
      <c r="AJ1361" s="19"/>
      <c r="FM1361" s="54"/>
    </row>
    <row r="1362" spans="1:169" s="18" customFormat="1">
      <c r="A1362" s="51"/>
      <c r="B1362" s="52"/>
      <c r="C1362" s="52"/>
      <c r="D1362" s="52"/>
      <c r="E1362" s="52"/>
      <c r="F1362" s="52"/>
      <c r="G1362" s="52"/>
      <c r="H1362" s="53"/>
      <c r="I1362" s="52"/>
      <c r="J1362" s="52"/>
      <c r="K1362" s="19"/>
      <c r="L1362" s="19"/>
      <c r="M1362" s="19"/>
      <c r="N1362" s="19"/>
      <c r="O1362" s="19"/>
      <c r="P1362" s="19"/>
      <c r="Q1362" s="19"/>
      <c r="R1362" s="19"/>
      <c r="S1362" s="19"/>
      <c r="T1362" s="19"/>
      <c r="U1362" s="19"/>
      <c r="V1362" s="19"/>
      <c r="W1362" s="19"/>
      <c r="X1362" s="19"/>
      <c r="Y1362" s="19"/>
      <c r="Z1362" s="19"/>
      <c r="AA1362" s="19"/>
      <c r="AB1362" s="19"/>
      <c r="AC1362" s="19"/>
      <c r="AD1362" s="19"/>
      <c r="AE1362" s="19"/>
      <c r="AF1362" s="19"/>
      <c r="AG1362" s="19"/>
      <c r="AH1362" s="19"/>
      <c r="AI1362" s="19"/>
      <c r="AJ1362" s="19"/>
      <c r="FM1362" s="54"/>
    </row>
    <row r="1363" spans="1:169" s="18" customFormat="1">
      <c r="A1363" s="51"/>
      <c r="B1363" s="52"/>
      <c r="C1363" s="52"/>
      <c r="D1363" s="52"/>
      <c r="E1363" s="52"/>
      <c r="F1363" s="52"/>
      <c r="G1363" s="52"/>
      <c r="H1363" s="53"/>
      <c r="I1363" s="52"/>
      <c r="J1363" s="52"/>
      <c r="K1363" s="19"/>
      <c r="L1363" s="19"/>
      <c r="M1363" s="19"/>
      <c r="N1363" s="19"/>
      <c r="O1363" s="19"/>
      <c r="P1363" s="19"/>
      <c r="Q1363" s="19"/>
      <c r="R1363" s="19"/>
      <c r="S1363" s="19"/>
      <c r="T1363" s="19"/>
      <c r="U1363" s="19"/>
      <c r="V1363" s="19"/>
      <c r="W1363" s="19"/>
      <c r="X1363" s="19"/>
      <c r="Y1363" s="19"/>
      <c r="Z1363" s="19"/>
      <c r="AA1363" s="19"/>
      <c r="AB1363" s="19"/>
      <c r="AC1363" s="19"/>
      <c r="AD1363" s="19"/>
      <c r="AE1363" s="19"/>
      <c r="AF1363" s="19"/>
      <c r="AG1363" s="19"/>
      <c r="AH1363" s="19"/>
      <c r="AI1363" s="19"/>
      <c r="AJ1363" s="19"/>
      <c r="FM1363" s="54"/>
    </row>
    <row r="1364" spans="1:169" s="18" customFormat="1">
      <c r="A1364" s="51"/>
      <c r="B1364" s="52"/>
      <c r="C1364" s="52"/>
      <c r="D1364" s="52"/>
      <c r="E1364" s="52"/>
      <c r="F1364" s="52"/>
      <c r="G1364" s="52"/>
      <c r="H1364" s="53"/>
      <c r="I1364" s="52"/>
      <c r="J1364" s="52"/>
      <c r="K1364" s="19"/>
      <c r="L1364" s="19"/>
      <c r="M1364" s="19"/>
      <c r="N1364" s="19"/>
      <c r="O1364" s="19"/>
      <c r="P1364" s="19"/>
      <c r="Q1364" s="19"/>
      <c r="R1364" s="19"/>
      <c r="S1364" s="19"/>
      <c r="T1364" s="19"/>
      <c r="U1364" s="19"/>
      <c r="V1364" s="19"/>
      <c r="W1364" s="19"/>
      <c r="X1364" s="19"/>
      <c r="Y1364" s="19"/>
      <c r="Z1364" s="19"/>
      <c r="AA1364" s="19"/>
      <c r="AB1364" s="19"/>
      <c r="AC1364" s="19"/>
      <c r="AD1364" s="19"/>
      <c r="AE1364" s="19"/>
      <c r="AF1364" s="19"/>
      <c r="AG1364" s="19"/>
      <c r="AH1364" s="19"/>
      <c r="AI1364" s="19"/>
      <c r="AJ1364" s="19"/>
      <c r="FM1364" s="54"/>
    </row>
    <row r="1365" spans="1:169" s="18" customFormat="1">
      <c r="A1365" s="51"/>
      <c r="B1365" s="52"/>
      <c r="C1365" s="52"/>
      <c r="D1365" s="52"/>
      <c r="E1365" s="52"/>
      <c r="F1365" s="52"/>
      <c r="G1365" s="52"/>
      <c r="H1365" s="53"/>
      <c r="I1365" s="52"/>
      <c r="J1365" s="52"/>
      <c r="K1365" s="19"/>
      <c r="L1365" s="19"/>
      <c r="M1365" s="19"/>
      <c r="N1365" s="19"/>
      <c r="O1365" s="19"/>
      <c r="P1365" s="19"/>
      <c r="Q1365" s="19"/>
      <c r="R1365" s="19"/>
      <c r="S1365" s="19"/>
      <c r="T1365" s="19"/>
      <c r="U1365" s="19"/>
      <c r="V1365" s="19"/>
      <c r="W1365" s="19"/>
      <c r="X1365" s="19"/>
      <c r="Y1365" s="19"/>
      <c r="Z1365" s="19"/>
      <c r="AA1365" s="19"/>
      <c r="AB1365" s="19"/>
      <c r="AC1365" s="19"/>
      <c r="AD1365" s="19"/>
      <c r="AE1365" s="19"/>
      <c r="AF1365" s="19"/>
      <c r="AG1365" s="19"/>
      <c r="AH1365" s="19"/>
      <c r="AI1365" s="19"/>
      <c r="AJ1365" s="19"/>
      <c r="FM1365" s="54"/>
    </row>
    <row r="1366" spans="1:169" s="18" customFormat="1">
      <c r="A1366" s="51"/>
      <c r="B1366" s="52"/>
      <c r="C1366" s="52"/>
      <c r="D1366" s="52"/>
      <c r="E1366" s="52"/>
      <c r="F1366" s="52"/>
      <c r="G1366" s="52"/>
      <c r="H1366" s="53"/>
      <c r="I1366" s="52"/>
      <c r="J1366" s="52"/>
      <c r="K1366" s="19"/>
      <c r="L1366" s="19"/>
      <c r="M1366" s="19"/>
      <c r="N1366" s="19"/>
      <c r="O1366" s="19"/>
      <c r="P1366" s="19"/>
      <c r="Q1366" s="19"/>
      <c r="R1366" s="19"/>
      <c r="S1366" s="19"/>
      <c r="T1366" s="19"/>
      <c r="U1366" s="19"/>
      <c r="V1366" s="19"/>
      <c r="W1366" s="19"/>
      <c r="X1366" s="19"/>
      <c r="Y1366" s="19"/>
      <c r="Z1366" s="19"/>
      <c r="AA1366" s="19"/>
      <c r="AB1366" s="19"/>
      <c r="AC1366" s="19"/>
      <c r="AD1366" s="19"/>
      <c r="AE1366" s="19"/>
      <c r="AF1366" s="19"/>
      <c r="AG1366" s="19"/>
      <c r="AH1366" s="19"/>
      <c r="AI1366" s="19"/>
      <c r="AJ1366" s="19"/>
      <c r="FM1366" s="54"/>
    </row>
    <row r="1367" spans="1:169" s="18" customFormat="1">
      <c r="A1367" s="51"/>
      <c r="B1367" s="52"/>
      <c r="C1367" s="52"/>
      <c r="D1367" s="52"/>
      <c r="E1367" s="52"/>
      <c r="F1367" s="52"/>
      <c r="G1367" s="52"/>
      <c r="H1367" s="53"/>
      <c r="I1367" s="52"/>
      <c r="J1367" s="52"/>
      <c r="K1367" s="19"/>
      <c r="L1367" s="19"/>
      <c r="M1367" s="19"/>
      <c r="N1367" s="19"/>
      <c r="O1367" s="19"/>
      <c r="P1367" s="19"/>
      <c r="Q1367" s="19"/>
      <c r="R1367" s="19"/>
      <c r="S1367" s="19"/>
      <c r="T1367" s="19"/>
      <c r="U1367" s="19"/>
      <c r="V1367" s="19"/>
      <c r="W1367" s="19"/>
      <c r="X1367" s="19"/>
      <c r="Y1367" s="19"/>
      <c r="Z1367" s="19"/>
      <c r="AA1367" s="19"/>
      <c r="AB1367" s="19"/>
      <c r="AC1367" s="19"/>
      <c r="AD1367" s="19"/>
      <c r="AE1367" s="19"/>
      <c r="AF1367" s="19"/>
      <c r="AG1367" s="19"/>
      <c r="AH1367" s="19"/>
      <c r="AI1367" s="19"/>
      <c r="AJ1367" s="19"/>
      <c r="FM1367" s="54"/>
    </row>
    <row r="1368" spans="1:169" s="18" customFormat="1">
      <c r="A1368" s="51"/>
      <c r="B1368" s="52"/>
      <c r="C1368" s="52"/>
      <c r="D1368" s="52"/>
      <c r="E1368" s="52"/>
      <c r="F1368" s="52"/>
      <c r="G1368" s="52"/>
      <c r="H1368" s="53"/>
      <c r="I1368" s="52"/>
      <c r="J1368" s="52"/>
      <c r="K1368" s="19"/>
      <c r="L1368" s="19"/>
      <c r="M1368" s="19"/>
      <c r="N1368" s="19"/>
      <c r="O1368" s="19"/>
      <c r="P1368" s="19"/>
      <c r="Q1368" s="19"/>
      <c r="R1368" s="19"/>
      <c r="S1368" s="19"/>
      <c r="T1368" s="19"/>
      <c r="U1368" s="19"/>
      <c r="V1368" s="19"/>
      <c r="W1368" s="19"/>
      <c r="X1368" s="19"/>
      <c r="Y1368" s="19"/>
      <c r="Z1368" s="19"/>
      <c r="AA1368" s="19"/>
      <c r="AB1368" s="19"/>
      <c r="AC1368" s="19"/>
      <c r="AD1368" s="19"/>
      <c r="AE1368" s="19"/>
      <c r="AF1368" s="19"/>
      <c r="AG1368" s="19"/>
      <c r="AH1368" s="19"/>
      <c r="AI1368" s="19"/>
      <c r="AJ1368" s="19"/>
      <c r="FM1368" s="54"/>
    </row>
    <row r="1369" spans="1:169" s="18" customFormat="1">
      <c r="A1369" s="51"/>
      <c r="B1369" s="52"/>
      <c r="C1369" s="52"/>
      <c r="D1369" s="52"/>
      <c r="E1369" s="52"/>
      <c r="F1369" s="52"/>
      <c r="G1369" s="52"/>
      <c r="H1369" s="53"/>
      <c r="I1369" s="52"/>
      <c r="J1369" s="52"/>
      <c r="K1369" s="19"/>
      <c r="L1369" s="19"/>
      <c r="M1369" s="19"/>
      <c r="N1369" s="19"/>
      <c r="O1369" s="19"/>
      <c r="P1369" s="19"/>
      <c r="Q1369" s="19"/>
      <c r="R1369" s="19"/>
      <c r="S1369" s="19"/>
      <c r="T1369" s="19"/>
      <c r="U1369" s="19"/>
      <c r="V1369" s="19"/>
      <c r="W1369" s="19"/>
      <c r="X1369" s="19"/>
      <c r="Y1369" s="19"/>
      <c r="Z1369" s="19"/>
      <c r="AA1369" s="19"/>
      <c r="AB1369" s="19"/>
      <c r="AC1369" s="19"/>
      <c r="AD1369" s="19"/>
      <c r="AE1369" s="19"/>
      <c r="AF1369" s="19"/>
      <c r="AG1369" s="19"/>
      <c r="AH1369" s="19"/>
      <c r="AI1369" s="19"/>
      <c r="AJ1369" s="19"/>
      <c r="FM1369" s="54"/>
    </row>
    <row r="1370" spans="1:169" s="18" customFormat="1">
      <c r="A1370" s="51"/>
      <c r="B1370" s="52"/>
      <c r="C1370" s="52"/>
      <c r="D1370" s="52"/>
      <c r="E1370" s="52"/>
      <c r="F1370" s="52"/>
      <c r="G1370" s="52"/>
      <c r="H1370" s="53"/>
      <c r="I1370" s="52"/>
      <c r="J1370" s="52"/>
      <c r="K1370" s="19"/>
      <c r="L1370" s="19"/>
      <c r="M1370" s="19"/>
      <c r="N1370" s="19"/>
      <c r="O1370" s="19"/>
      <c r="P1370" s="19"/>
      <c r="Q1370" s="19"/>
      <c r="R1370" s="19"/>
      <c r="S1370" s="19"/>
      <c r="T1370" s="19"/>
      <c r="U1370" s="19"/>
      <c r="V1370" s="19"/>
      <c r="W1370" s="19"/>
      <c r="X1370" s="19"/>
      <c r="Y1370" s="19"/>
      <c r="Z1370" s="19"/>
      <c r="AA1370" s="19"/>
      <c r="AB1370" s="19"/>
      <c r="AC1370" s="19"/>
      <c r="AD1370" s="19"/>
      <c r="AE1370" s="19"/>
      <c r="AF1370" s="19"/>
      <c r="AG1370" s="19"/>
      <c r="AH1370" s="19"/>
      <c r="AI1370" s="19"/>
      <c r="AJ1370" s="19"/>
      <c r="FM1370" s="54"/>
    </row>
    <row r="1371" spans="1:169" s="18" customFormat="1">
      <c r="A1371" s="51"/>
      <c r="B1371" s="52"/>
      <c r="C1371" s="52"/>
      <c r="D1371" s="52"/>
      <c r="E1371" s="52"/>
      <c r="F1371" s="52"/>
      <c r="G1371" s="52"/>
      <c r="H1371" s="53"/>
      <c r="I1371" s="52"/>
      <c r="J1371" s="52"/>
      <c r="K1371" s="19"/>
      <c r="L1371" s="19"/>
      <c r="M1371" s="19"/>
      <c r="N1371" s="19"/>
      <c r="O1371" s="19"/>
      <c r="P1371" s="19"/>
      <c r="Q1371" s="19"/>
      <c r="R1371" s="19"/>
      <c r="S1371" s="19"/>
      <c r="T1371" s="19"/>
      <c r="U1371" s="19"/>
      <c r="V1371" s="19"/>
      <c r="W1371" s="19"/>
      <c r="X1371" s="19"/>
      <c r="Y1371" s="19"/>
      <c r="Z1371" s="19"/>
      <c r="AA1371" s="19"/>
      <c r="AB1371" s="19"/>
      <c r="AC1371" s="19"/>
      <c r="AD1371" s="19"/>
      <c r="AE1371" s="19"/>
      <c r="AF1371" s="19"/>
      <c r="AG1371" s="19"/>
      <c r="AH1371" s="19"/>
      <c r="AI1371" s="19"/>
      <c r="AJ1371" s="19"/>
      <c r="FM1371" s="54"/>
    </row>
    <row r="1372" spans="1:169" s="18" customFormat="1">
      <c r="A1372" s="51"/>
      <c r="B1372" s="52"/>
      <c r="C1372" s="52"/>
      <c r="D1372" s="52"/>
      <c r="E1372" s="52"/>
      <c r="F1372" s="52"/>
      <c r="G1372" s="52"/>
      <c r="H1372" s="53"/>
      <c r="I1372" s="52"/>
      <c r="J1372" s="52"/>
      <c r="K1372" s="19"/>
      <c r="L1372" s="19"/>
      <c r="M1372" s="19"/>
      <c r="N1372" s="19"/>
      <c r="O1372" s="19"/>
      <c r="P1372" s="19"/>
      <c r="Q1372" s="19"/>
      <c r="R1372" s="19"/>
      <c r="S1372" s="19"/>
      <c r="T1372" s="19"/>
      <c r="U1372" s="19"/>
      <c r="V1372" s="19"/>
      <c r="W1372" s="19"/>
      <c r="X1372" s="19"/>
      <c r="Y1372" s="19"/>
      <c r="Z1372" s="19"/>
      <c r="AA1372" s="19"/>
      <c r="AB1372" s="19"/>
      <c r="AC1372" s="19"/>
      <c r="AD1372" s="19"/>
      <c r="AE1372" s="19"/>
      <c r="AF1372" s="19"/>
      <c r="AG1372" s="19"/>
      <c r="AH1372" s="19"/>
      <c r="AI1372" s="19"/>
      <c r="AJ1372" s="19"/>
      <c r="FM1372" s="54"/>
    </row>
    <row r="1373" spans="1:169" s="18" customFormat="1">
      <c r="A1373" s="51"/>
      <c r="B1373" s="52"/>
      <c r="C1373" s="52"/>
      <c r="D1373" s="52"/>
      <c r="E1373" s="52"/>
      <c r="F1373" s="52"/>
      <c r="G1373" s="52"/>
      <c r="H1373" s="53"/>
      <c r="I1373" s="52"/>
      <c r="J1373" s="52"/>
      <c r="K1373" s="19"/>
      <c r="L1373" s="19"/>
      <c r="M1373" s="19"/>
      <c r="N1373" s="19"/>
      <c r="O1373" s="19"/>
      <c r="P1373" s="19"/>
      <c r="Q1373" s="19"/>
      <c r="R1373" s="19"/>
      <c r="S1373" s="19"/>
      <c r="T1373" s="19"/>
      <c r="U1373" s="19"/>
      <c r="V1373" s="19"/>
      <c r="W1373" s="19"/>
      <c r="X1373" s="19"/>
      <c r="Y1373" s="19"/>
      <c r="Z1373" s="19"/>
      <c r="AA1373" s="19"/>
      <c r="AB1373" s="19"/>
      <c r="AC1373" s="19"/>
      <c r="AD1373" s="19"/>
      <c r="AE1373" s="19"/>
      <c r="AF1373" s="19"/>
      <c r="AG1373" s="19"/>
      <c r="AH1373" s="19"/>
      <c r="AI1373" s="19"/>
      <c r="AJ1373" s="19"/>
      <c r="FM1373" s="54"/>
    </row>
    <row r="1374" spans="1:169" s="18" customFormat="1">
      <c r="A1374" s="51"/>
      <c r="B1374" s="52"/>
      <c r="C1374" s="52"/>
      <c r="D1374" s="52"/>
      <c r="E1374" s="52"/>
      <c r="F1374" s="52"/>
      <c r="G1374" s="52"/>
      <c r="H1374" s="53"/>
      <c r="I1374" s="52"/>
      <c r="J1374" s="52"/>
      <c r="K1374" s="19"/>
      <c r="L1374" s="19"/>
      <c r="M1374" s="19"/>
      <c r="N1374" s="19"/>
      <c r="O1374" s="19"/>
      <c r="P1374" s="19"/>
      <c r="Q1374" s="19"/>
      <c r="R1374" s="19"/>
      <c r="S1374" s="19"/>
      <c r="T1374" s="19"/>
      <c r="U1374" s="19"/>
      <c r="V1374" s="19"/>
      <c r="W1374" s="19"/>
      <c r="X1374" s="19"/>
      <c r="Y1374" s="19"/>
      <c r="Z1374" s="19"/>
      <c r="AA1374" s="19"/>
      <c r="AB1374" s="19"/>
      <c r="AC1374" s="19"/>
      <c r="AD1374" s="19"/>
      <c r="AE1374" s="19"/>
      <c r="AF1374" s="19"/>
      <c r="AG1374" s="19"/>
      <c r="AH1374" s="19"/>
      <c r="AI1374" s="19"/>
      <c r="AJ1374" s="19"/>
      <c r="FM1374" s="54"/>
    </row>
    <row r="1375" spans="1:169" s="18" customFormat="1">
      <c r="A1375" s="51"/>
      <c r="B1375" s="52"/>
      <c r="C1375" s="52"/>
      <c r="D1375" s="52"/>
      <c r="E1375" s="52"/>
      <c r="F1375" s="52"/>
      <c r="G1375" s="52"/>
      <c r="H1375" s="53"/>
      <c r="I1375" s="52"/>
      <c r="J1375" s="52"/>
      <c r="K1375" s="19"/>
      <c r="L1375" s="19"/>
      <c r="M1375" s="19"/>
      <c r="N1375" s="19"/>
      <c r="O1375" s="19"/>
      <c r="P1375" s="19"/>
      <c r="Q1375" s="19"/>
      <c r="R1375" s="19"/>
      <c r="S1375" s="19"/>
      <c r="T1375" s="19"/>
      <c r="U1375" s="19"/>
      <c r="V1375" s="19"/>
      <c r="W1375" s="19"/>
      <c r="X1375" s="19"/>
      <c r="Y1375" s="19"/>
      <c r="Z1375" s="19"/>
      <c r="AA1375" s="19"/>
      <c r="AB1375" s="19"/>
      <c r="AC1375" s="19"/>
      <c r="AD1375" s="19"/>
      <c r="AE1375" s="19"/>
      <c r="AF1375" s="19"/>
      <c r="AG1375" s="19"/>
      <c r="AH1375" s="19"/>
      <c r="AI1375" s="19"/>
      <c r="AJ1375" s="19"/>
      <c r="FM1375" s="54"/>
    </row>
    <row r="1376" spans="1:169" s="18" customFormat="1">
      <c r="A1376" s="51"/>
      <c r="B1376" s="52"/>
      <c r="C1376" s="52"/>
      <c r="D1376" s="52"/>
      <c r="E1376" s="52"/>
      <c r="F1376" s="52"/>
      <c r="G1376" s="52"/>
      <c r="H1376" s="53"/>
      <c r="I1376" s="52"/>
      <c r="J1376" s="52"/>
      <c r="K1376" s="19"/>
      <c r="L1376" s="19"/>
      <c r="M1376" s="19"/>
      <c r="N1376" s="19"/>
      <c r="O1376" s="19"/>
      <c r="P1376" s="19"/>
      <c r="Q1376" s="19"/>
      <c r="R1376" s="19"/>
      <c r="S1376" s="19"/>
      <c r="T1376" s="19"/>
      <c r="U1376" s="19"/>
      <c r="V1376" s="19"/>
      <c r="W1376" s="19"/>
      <c r="X1376" s="19"/>
      <c r="Y1376" s="19"/>
      <c r="Z1376" s="19"/>
      <c r="AA1376" s="19"/>
      <c r="AB1376" s="19"/>
      <c r="AC1376" s="19"/>
      <c r="AD1376" s="19"/>
      <c r="AE1376" s="19"/>
      <c r="AF1376" s="19"/>
      <c r="AG1376" s="19"/>
      <c r="AH1376" s="19"/>
      <c r="AI1376" s="19"/>
      <c r="AJ1376" s="19"/>
      <c r="FM1376" s="54"/>
    </row>
    <row r="1377" spans="1:169" s="18" customFormat="1">
      <c r="A1377" s="51"/>
      <c r="B1377" s="52"/>
      <c r="C1377" s="52"/>
      <c r="D1377" s="52"/>
      <c r="E1377" s="52"/>
      <c r="F1377" s="52"/>
      <c r="G1377" s="52"/>
      <c r="H1377" s="53"/>
      <c r="I1377" s="52"/>
      <c r="J1377" s="52"/>
      <c r="K1377" s="19"/>
      <c r="L1377" s="19"/>
      <c r="M1377" s="19"/>
      <c r="N1377" s="19"/>
      <c r="O1377" s="19"/>
      <c r="P1377" s="19"/>
      <c r="Q1377" s="19"/>
      <c r="R1377" s="19"/>
      <c r="S1377" s="19"/>
      <c r="T1377" s="19"/>
      <c r="U1377" s="19"/>
      <c r="V1377" s="19"/>
      <c r="W1377" s="19"/>
      <c r="X1377" s="19"/>
      <c r="Y1377" s="19"/>
      <c r="Z1377" s="19"/>
      <c r="AA1377" s="19"/>
      <c r="AB1377" s="19"/>
      <c r="AC1377" s="19"/>
      <c r="AD1377" s="19"/>
      <c r="AE1377" s="19"/>
      <c r="AF1377" s="19"/>
      <c r="AG1377" s="19"/>
      <c r="AH1377" s="19"/>
      <c r="AI1377" s="19"/>
      <c r="AJ1377" s="19"/>
      <c r="FM1377" s="54"/>
    </row>
    <row r="1378" spans="1:169" s="18" customFormat="1">
      <c r="A1378" s="51"/>
      <c r="B1378" s="52"/>
      <c r="C1378" s="52"/>
      <c r="D1378" s="52"/>
      <c r="E1378" s="52"/>
      <c r="F1378" s="52"/>
      <c r="G1378" s="52"/>
      <c r="H1378" s="53"/>
      <c r="I1378" s="52"/>
      <c r="J1378" s="52"/>
      <c r="K1378" s="19"/>
      <c r="L1378" s="19"/>
      <c r="M1378" s="19"/>
      <c r="N1378" s="19"/>
      <c r="O1378" s="19"/>
      <c r="P1378" s="19"/>
      <c r="Q1378" s="19"/>
      <c r="R1378" s="19"/>
      <c r="S1378" s="19"/>
      <c r="T1378" s="19"/>
      <c r="U1378" s="19"/>
      <c r="V1378" s="19"/>
      <c r="W1378" s="19"/>
      <c r="X1378" s="19"/>
      <c r="Y1378" s="19"/>
      <c r="Z1378" s="19"/>
      <c r="AA1378" s="19"/>
      <c r="AB1378" s="19"/>
      <c r="AC1378" s="19"/>
      <c r="AD1378" s="19"/>
      <c r="AE1378" s="19"/>
      <c r="AF1378" s="19"/>
      <c r="AG1378" s="19"/>
      <c r="AH1378" s="19"/>
      <c r="AI1378" s="19"/>
      <c r="AJ1378" s="19"/>
      <c r="FM1378" s="54"/>
    </row>
    <row r="1379" spans="1:169" s="18" customFormat="1">
      <c r="A1379" s="51"/>
      <c r="B1379" s="52"/>
      <c r="C1379" s="52"/>
      <c r="D1379" s="52"/>
      <c r="E1379" s="52"/>
      <c r="F1379" s="52"/>
      <c r="G1379" s="52"/>
      <c r="H1379" s="53"/>
      <c r="I1379" s="52"/>
      <c r="J1379" s="52"/>
      <c r="K1379" s="19"/>
      <c r="L1379" s="19"/>
      <c r="M1379" s="19"/>
      <c r="N1379" s="19"/>
      <c r="O1379" s="19"/>
      <c r="P1379" s="19"/>
      <c r="Q1379" s="19"/>
      <c r="R1379" s="19"/>
      <c r="S1379" s="19"/>
      <c r="T1379" s="19"/>
      <c r="U1379" s="19"/>
      <c r="V1379" s="19"/>
      <c r="W1379" s="19"/>
      <c r="X1379" s="19"/>
      <c r="Y1379" s="19"/>
      <c r="Z1379" s="19"/>
      <c r="AA1379" s="19"/>
      <c r="AB1379" s="19"/>
      <c r="AC1379" s="19"/>
      <c r="AD1379" s="19"/>
      <c r="AE1379" s="19"/>
      <c r="AF1379" s="19"/>
      <c r="AG1379" s="19"/>
      <c r="AH1379" s="19"/>
      <c r="AI1379" s="19"/>
      <c r="AJ1379" s="19"/>
      <c r="FM1379" s="54"/>
    </row>
    <row r="1380" spans="1:169" s="18" customFormat="1">
      <c r="A1380" s="51"/>
      <c r="B1380" s="52"/>
      <c r="C1380" s="52"/>
      <c r="D1380" s="52"/>
      <c r="E1380" s="52"/>
      <c r="F1380" s="52"/>
      <c r="G1380" s="52"/>
      <c r="H1380" s="53"/>
      <c r="I1380" s="52"/>
      <c r="J1380" s="52"/>
      <c r="K1380" s="19"/>
      <c r="L1380" s="19"/>
      <c r="M1380" s="19"/>
      <c r="N1380" s="19"/>
      <c r="O1380" s="19"/>
      <c r="P1380" s="19"/>
      <c r="Q1380" s="19"/>
      <c r="R1380" s="19"/>
      <c r="S1380" s="19"/>
      <c r="T1380" s="19"/>
      <c r="U1380" s="19"/>
      <c r="V1380" s="19"/>
      <c r="W1380" s="19"/>
      <c r="X1380" s="19"/>
      <c r="Y1380" s="19"/>
      <c r="Z1380" s="19"/>
      <c r="AA1380" s="19"/>
      <c r="AB1380" s="19"/>
      <c r="AC1380" s="19"/>
      <c r="AD1380" s="19"/>
      <c r="AE1380" s="19"/>
      <c r="AF1380" s="19"/>
      <c r="AG1380" s="19"/>
      <c r="AH1380" s="19"/>
      <c r="AI1380" s="19"/>
      <c r="AJ1380" s="19"/>
      <c r="FM1380" s="54"/>
    </row>
    <row r="1381" spans="1:169" s="18" customFormat="1">
      <c r="A1381" s="51"/>
      <c r="B1381" s="52"/>
      <c r="C1381" s="52"/>
      <c r="D1381" s="52"/>
      <c r="E1381" s="52"/>
      <c r="F1381" s="52"/>
      <c r="G1381" s="52"/>
      <c r="H1381" s="53"/>
      <c r="I1381" s="52"/>
      <c r="J1381" s="52"/>
      <c r="K1381" s="19"/>
      <c r="L1381" s="19"/>
      <c r="M1381" s="19"/>
      <c r="N1381" s="19"/>
      <c r="O1381" s="19"/>
      <c r="P1381" s="19"/>
      <c r="Q1381" s="19"/>
      <c r="R1381" s="19"/>
      <c r="S1381" s="19"/>
      <c r="T1381" s="19"/>
      <c r="U1381" s="19"/>
      <c r="V1381" s="19"/>
      <c r="W1381" s="19"/>
      <c r="X1381" s="19"/>
      <c r="Y1381" s="19"/>
      <c r="Z1381" s="19"/>
      <c r="AA1381" s="19"/>
      <c r="AB1381" s="19"/>
      <c r="AC1381" s="19"/>
      <c r="AD1381" s="19"/>
      <c r="AE1381" s="19"/>
      <c r="AF1381" s="19"/>
      <c r="AG1381" s="19"/>
      <c r="AH1381" s="19"/>
      <c r="AI1381" s="19"/>
      <c r="AJ1381" s="19"/>
      <c r="FM1381" s="54"/>
    </row>
    <row r="1382" spans="1:169" s="18" customFormat="1">
      <c r="A1382" s="51"/>
      <c r="B1382" s="52"/>
      <c r="C1382" s="52"/>
      <c r="D1382" s="52"/>
      <c r="E1382" s="52"/>
      <c r="F1382" s="52"/>
      <c r="G1382" s="52"/>
      <c r="H1382" s="53"/>
      <c r="I1382" s="52"/>
      <c r="J1382" s="52"/>
      <c r="K1382" s="19"/>
      <c r="L1382" s="19"/>
      <c r="M1382" s="19"/>
      <c r="N1382" s="19"/>
      <c r="O1382" s="19"/>
      <c r="P1382" s="19"/>
      <c r="Q1382" s="19"/>
      <c r="R1382" s="19"/>
      <c r="S1382" s="19"/>
      <c r="T1382" s="19"/>
      <c r="U1382" s="19"/>
      <c r="V1382" s="19"/>
      <c r="W1382" s="19"/>
      <c r="X1382" s="19"/>
      <c r="Y1382" s="19"/>
      <c r="Z1382" s="19"/>
      <c r="AA1382" s="19"/>
      <c r="AB1382" s="19"/>
      <c r="AC1382" s="19"/>
      <c r="AD1382" s="19"/>
      <c r="AE1382" s="19"/>
      <c r="AF1382" s="19"/>
      <c r="AG1382" s="19"/>
      <c r="AH1382" s="19"/>
      <c r="AI1382" s="19"/>
      <c r="AJ1382" s="19"/>
      <c r="FM1382" s="54"/>
    </row>
    <row r="1383" spans="1:169" s="18" customFormat="1">
      <c r="A1383" s="51"/>
      <c r="B1383" s="52"/>
      <c r="C1383" s="52"/>
      <c r="D1383" s="52"/>
      <c r="E1383" s="52"/>
      <c r="F1383" s="52"/>
      <c r="G1383" s="52"/>
      <c r="H1383" s="53"/>
      <c r="I1383" s="52"/>
      <c r="J1383" s="52"/>
      <c r="K1383" s="19"/>
      <c r="L1383" s="19"/>
      <c r="M1383" s="19"/>
      <c r="N1383" s="19"/>
      <c r="O1383" s="19"/>
      <c r="P1383" s="19"/>
      <c r="Q1383" s="19"/>
      <c r="R1383" s="19"/>
      <c r="S1383" s="19"/>
      <c r="T1383" s="19"/>
      <c r="U1383" s="19"/>
      <c r="V1383" s="19"/>
      <c r="W1383" s="19"/>
      <c r="X1383" s="19"/>
      <c r="Y1383" s="19"/>
      <c r="Z1383" s="19"/>
      <c r="AA1383" s="19"/>
      <c r="AB1383" s="19"/>
      <c r="AC1383" s="19"/>
      <c r="AD1383" s="19"/>
      <c r="AE1383" s="19"/>
      <c r="AF1383" s="19"/>
      <c r="AG1383" s="19"/>
      <c r="AH1383" s="19"/>
      <c r="AI1383" s="19"/>
      <c r="AJ1383" s="19"/>
      <c r="FM1383" s="54"/>
    </row>
    <row r="1384" spans="1:169" s="18" customFormat="1">
      <c r="A1384" s="51"/>
      <c r="B1384" s="52"/>
      <c r="C1384" s="52"/>
      <c r="D1384" s="52"/>
      <c r="E1384" s="52"/>
      <c r="F1384" s="52"/>
      <c r="G1384" s="52"/>
      <c r="H1384" s="53"/>
      <c r="I1384" s="52"/>
      <c r="J1384" s="52"/>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c r="AG1384" s="19"/>
      <c r="AH1384" s="19"/>
      <c r="AI1384" s="19"/>
      <c r="AJ1384" s="19"/>
      <c r="FM1384" s="54"/>
    </row>
    <row r="1385" spans="1:169" s="18" customFormat="1">
      <c r="A1385" s="51"/>
      <c r="B1385" s="52"/>
      <c r="C1385" s="52"/>
      <c r="D1385" s="52"/>
      <c r="E1385" s="52"/>
      <c r="F1385" s="52"/>
      <c r="G1385" s="52"/>
      <c r="H1385" s="53"/>
      <c r="I1385" s="52"/>
      <c r="J1385" s="52"/>
      <c r="K1385" s="19"/>
      <c r="L1385" s="19"/>
      <c r="M1385" s="19"/>
      <c r="N1385" s="19"/>
      <c r="O1385" s="19"/>
      <c r="P1385" s="19"/>
      <c r="Q1385" s="19"/>
      <c r="R1385" s="19"/>
      <c r="S1385" s="19"/>
      <c r="T1385" s="19"/>
      <c r="U1385" s="19"/>
      <c r="V1385" s="19"/>
      <c r="W1385" s="19"/>
      <c r="X1385" s="19"/>
      <c r="Y1385" s="19"/>
      <c r="Z1385" s="19"/>
      <c r="AA1385" s="19"/>
      <c r="AB1385" s="19"/>
      <c r="AC1385" s="19"/>
      <c r="AD1385" s="19"/>
      <c r="AE1385" s="19"/>
      <c r="AF1385" s="19"/>
      <c r="AG1385" s="19"/>
      <c r="AH1385" s="19"/>
      <c r="AI1385" s="19"/>
      <c r="AJ1385" s="19"/>
      <c r="FM1385" s="54"/>
    </row>
    <row r="1386" spans="1:169" s="18" customFormat="1">
      <c r="A1386" s="51"/>
      <c r="B1386" s="52"/>
      <c r="C1386" s="52"/>
      <c r="D1386" s="52"/>
      <c r="E1386" s="52"/>
      <c r="F1386" s="52"/>
      <c r="G1386" s="52"/>
      <c r="H1386" s="53"/>
      <c r="I1386" s="52"/>
      <c r="J1386" s="52"/>
      <c r="K1386" s="19"/>
      <c r="L1386" s="19"/>
      <c r="M1386" s="19"/>
      <c r="N1386" s="19"/>
      <c r="O1386" s="19"/>
      <c r="P1386" s="19"/>
      <c r="Q1386" s="19"/>
      <c r="R1386" s="19"/>
      <c r="S1386" s="19"/>
      <c r="T1386" s="19"/>
      <c r="U1386" s="19"/>
      <c r="V1386" s="19"/>
      <c r="W1386" s="19"/>
      <c r="X1386" s="19"/>
      <c r="Y1386" s="19"/>
      <c r="Z1386" s="19"/>
      <c r="AA1386" s="19"/>
      <c r="AB1386" s="19"/>
      <c r="AC1386" s="19"/>
      <c r="AD1386" s="19"/>
      <c r="AE1386" s="19"/>
      <c r="AF1386" s="19"/>
      <c r="AG1386" s="19"/>
      <c r="AH1386" s="19"/>
      <c r="AI1386" s="19"/>
      <c r="AJ1386" s="19"/>
      <c r="FM1386" s="54"/>
    </row>
    <row r="1387" spans="1:169" s="18" customFormat="1">
      <c r="A1387" s="51"/>
      <c r="B1387" s="52"/>
      <c r="C1387" s="52"/>
      <c r="D1387" s="52"/>
      <c r="E1387" s="52"/>
      <c r="F1387" s="52"/>
      <c r="G1387" s="52"/>
      <c r="H1387" s="53"/>
      <c r="I1387" s="52"/>
      <c r="J1387" s="52"/>
      <c r="K1387" s="19"/>
      <c r="L1387" s="19"/>
      <c r="M1387" s="19"/>
      <c r="N1387" s="19"/>
      <c r="O1387" s="19"/>
      <c r="P1387" s="19"/>
      <c r="Q1387" s="19"/>
      <c r="R1387" s="19"/>
      <c r="S1387" s="19"/>
      <c r="T1387" s="19"/>
      <c r="U1387" s="19"/>
      <c r="V1387" s="19"/>
      <c r="W1387" s="19"/>
      <c r="X1387" s="19"/>
      <c r="Y1387" s="19"/>
      <c r="Z1387" s="19"/>
      <c r="AA1387" s="19"/>
      <c r="AB1387" s="19"/>
      <c r="AC1387" s="19"/>
      <c r="AD1387" s="19"/>
      <c r="AE1387" s="19"/>
      <c r="AF1387" s="19"/>
      <c r="AG1387" s="19"/>
      <c r="AH1387" s="19"/>
      <c r="AI1387" s="19"/>
      <c r="AJ1387" s="19"/>
      <c r="FM1387" s="54"/>
    </row>
    <row r="1388" spans="1:169" s="18" customFormat="1">
      <c r="A1388" s="51"/>
      <c r="B1388" s="52"/>
      <c r="C1388" s="52"/>
      <c r="D1388" s="52"/>
      <c r="E1388" s="52"/>
      <c r="F1388" s="52"/>
      <c r="G1388" s="52"/>
      <c r="H1388" s="53"/>
      <c r="I1388" s="52"/>
      <c r="J1388" s="52"/>
      <c r="K1388" s="19"/>
      <c r="L1388" s="19"/>
      <c r="M1388" s="19"/>
      <c r="N1388" s="19"/>
      <c r="O1388" s="19"/>
      <c r="P1388" s="19"/>
      <c r="Q1388" s="19"/>
      <c r="R1388" s="19"/>
      <c r="S1388" s="19"/>
      <c r="T1388" s="19"/>
      <c r="U1388" s="19"/>
      <c r="V1388" s="19"/>
      <c r="W1388" s="19"/>
      <c r="X1388" s="19"/>
      <c r="Y1388" s="19"/>
      <c r="Z1388" s="19"/>
      <c r="AA1388" s="19"/>
      <c r="AB1388" s="19"/>
      <c r="AC1388" s="19"/>
      <c r="AD1388" s="19"/>
      <c r="AE1388" s="19"/>
      <c r="AF1388" s="19"/>
      <c r="AG1388" s="19"/>
      <c r="AH1388" s="19"/>
      <c r="AI1388" s="19"/>
      <c r="AJ1388" s="19"/>
      <c r="FM1388" s="54"/>
    </row>
    <row r="1389" spans="1:169" s="18" customFormat="1">
      <c r="A1389" s="51"/>
      <c r="B1389" s="52"/>
      <c r="C1389" s="52"/>
      <c r="D1389" s="52"/>
      <c r="E1389" s="52"/>
      <c r="F1389" s="52"/>
      <c r="G1389" s="52"/>
      <c r="H1389" s="53"/>
      <c r="I1389" s="52"/>
      <c r="J1389" s="52"/>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c r="AG1389" s="19"/>
      <c r="AH1389" s="19"/>
      <c r="AI1389" s="19"/>
      <c r="AJ1389" s="19"/>
      <c r="FM1389" s="54"/>
    </row>
    <row r="1390" spans="1:169" s="18" customFormat="1">
      <c r="A1390" s="51"/>
      <c r="B1390" s="52"/>
      <c r="C1390" s="52"/>
      <c r="D1390" s="52"/>
      <c r="E1390" s="52"/>
      <c r="F1390" s="52"/>
      <c r="G1390" s="52"/>
      <c r="H1390" s="53"/>
      <c r="I1390" s="52"/>
      <c r="J1390" s="52"/>
      <c r="K1390" s="19"/>
      <c r="L1390" s="19"/>
      <c r="M1390" s="19"/>
      <c r="N1390" s="19"/>
      <c r="O1390" s="19"/>
      <c r="P1390" s="19"/>
      <c r="Q1390" s="19"/>
      <c r="R1390" s="19"/>
      <c r="S1390" s="19"/>
      <c r="T1390" s="19"/>
      <c r="U1390" s="19"/>
      <c r="V1390" s="19"/>
      <c r="W1390" s="19"/>
      <c r="X1390" s="19"/>
      <c r="Y1390" s="19"/>
      <c r="Z1390" s="19"/>
      <c r="AA1390" s="19"/>
      <c r="AB1390" s="19"/>
      <c r="AC1390" s="19"/>
      <c r="AD1390" s="19"/>
      <c r="AE1390" s="19"/>
      <c r="AF1390" s="19"/>
      <c r="AG1390" s="19"/>
      <c r="AH1390" s="19"/>
      <c r="AI1390" s="19"/>
      <c r="AJ1390" s="19"/>
      <c r="FM1390" s="54"/>
    </row>
    <row r="1391" spans="1:169" s="18" customFormat="1">
      <c r="A1391" s="51"/>
      <c r="B1391" s="52"/>
      <c r="C1391" s="52"/>
      <c r="D1391" s="52"/>
      <c r="E1391" s="52"/>
      <c r="F1391" s="52"/>
      <c r="G1391" s="52"/>
      <c r="H1391" s="53"/>
      <c r="I1391" s="52"/>
      <c r="J1391" s="52"/>
      <c r="K1391" s="19"/>
      <c r="L1391" s="19"/>
      <c r="M1391" s="19"/>
      <c r="N1391" s="19"/>
      <c r="O1391" s="19"/>
      <c r="P1391" s="19"/>
      <c r="Q1391" s="19"/>
      <c r="R1391" s="19"/>
      <c r="S1391" s="19"/>
      <c r="T1391" s="19"/>
      <c r="U1391" s="19"/>
      <c r="V1391" s="19"/>
      <c r="W1391" s="19"/>
      <c r="X1391" s="19"/>
      <c r="Y1391" s="19"/>
      <c r="Z1391" s="19"/>
      <c r="AA1391" s="19"/>
      <c r="AB1391" s="19"/>
      <c r="AC1391" s="19"/>
      <c r="AD1391" s="19"/>
      <c r="AE1391" s="19"/>
      <c r="AF1391" s="19"/>
      <c r="AG1391" s="19"/>
      <c r="AH1391" s="19"/>
      <c r="AI1391" s="19"/>
      <c r="AJ1391" s="19"/>
      <c r="FM1391" s="54"/>
    </row>
    <row r="1392" spans="1:169" s="18" customFormat="1">
      <c r="A1392" s="51"/>
      <c r="B1392" s="52"/>
      <c r="C1392" s="52"/>
      <c r="D1392" s="52"/>
      <c r="E1392" s="52"/>
      <c r="F1392" s="52"/>
      <c r="G1392" s="52"/>
      <c r="H1392" s="53"/>
      <c r="I1392" s="52"/>
      <c r="J1392" s="52"/>
      <c r="K1392" s="19"/>
      <c r="L1392" s="19"/>
      <c r="M1392" s="19"/>
      <c r="N1392" s="19"/>
      <c r="O1392" s="19"/>
      <c r="P1392" s="19"/>
      <c r="Q1392" s="19"/>
      <c r="R1392" s="19"/>
      <c r="S1392" s="19"/>
      <c r="T1392" s="19"/>
      <c r="U1392" s="19"/>
      <c r="V1392" s="19"/>
      <c r="W1392" s="19"/>
      <c r="X1392" s="19"/>
      <c r="Y1392" s="19"/>
      <c r="Z1392" s="19"/>
      <c r="AA1392" s="19"/>
      <c r="AB1392" s="19"/>
      <c r="AC1392" s="19"/>
      <c r="AD1392" s="19"/>
      <c r="AE1392" s="19"/>
      <c r="AF1392" s="19"/>
      <c r="AG1392" s="19"/>
      <c r="AH1392" s="19"/>
      <c r="AI1392" s="19"/>
      <c r="AJ1392" s="19"/>
      <c r="FM1392" s="54"/>
    </row>
    <row r="1393" spans="1:169" s="18" customFormat="1">
      <c r="A1393" s="51"/>
      <c r="B1393" s="52"/>
      <c r="C1393" s="52"/>
      <c r="D1393" s="52"/>
      <c r="E1393" s="52"/>
      <c r="F1393" s="52"/>
      <c r="G1393" s="52"/>
      <c r="H1393" s="53"/>
      <c r="I1393" s="52"/>
      <c r="J1393" s="52"/>
      <c r="K1393" s="19"/>
      <c r="L1393" s="19"/>
      <c r="M1393" s="19"/>
      <c r="N1393" s="19"/>
      <c r="O1393" s="19"/>
      <c r="P1393" s="19"/>
      <c r="Q1393" s="19"/>
      <c r="R1393" s="19"/>
      <c r="S1393" s="19"/>
      <c r="T1393" s="19"/>
      <c r="U1393" s="19"/>
      <c r="V1393" s="19"/>
      <c r="W1393" s="19"/>
      <c r="X1393" s="19"/>
      <c r="Y1393" s="19"/>
      <c r="Z1393" s="19"/>
      <c r="AA1393" s="19"/>
      <c r="AB1393" s="19"/>
      <c r="AC1393" s="19"/>
      <c r="AD1393" s="19"/>
      <c r="AE1393" s="19"/>
      <c r="AF1393" s="19"/>
      <c r="AG1393" s="19"/>
      <c r="AH1393" s="19"/>
      <c r="AI1393" s="19"/>
      <c r="AJ1393" s="19"/>
      <c r="FM1393" s="54"/>
    </row>
    <row r="1394" spans="1:169" s="18" customFormat="1">
      <c r="A1394" s="51"/>
      <c r="B1394" s="52"/>
      <c r="C1394" s="52"/>
      <c r="D1394" s="52"/>
      <c r="E1394" s="52"/>
      <c r="F1394" s="52"/>
      <c r="G1394" s="52"/>
      <c r="H1394" s="53"/>
      <c r="I1394" s="52"/>
      <c r="J1394" s="52"/>
      <c r="K1394" s="19"/>
      <c r="L1394" s="19"/>
      <c r="M1394" s="19"/>
      <c r="N1394" s="19"/>
      <c r="O1394" s="19"/>
      <c r="P1394" s="19"/>
      <c r="Q1394" s="19"/>
      <c r="R1394" s="19"/>
      <c r="S1394" s="19"/>
      <c r="T1394" s="19"/>
      <c r="U1394" s="19"/>
      <c r="V1394" s="19"/>
      <c r="W1394" s="19"/>
      <c r="X1394" s="19"/>
      <c r="Y1394" s="19"/>
      <c r="Z1394" s="19"/>
      <c r="AA1394" s="19"/>
      <c r="AB1394" s="19"/>
      <c r="AC1394" s="19"/>
      <c r="AD1394" s="19"/>
      <c r="AE1394" s="19"/>
      <c r="AF1394" s="19"/>
      <c r="AG1394" s="19"/>
      <c r="AH1394" s="19"/>
      <c r="AI1394" s="19"/>
      <c r="AJ1394" s="19"/>
      <c r="FM1394" s="54"/>
    </row>
    <row r="1395" spans="1:169" s="18" customFormat="1">
      <c r="A1395" s="51"/>
      <c r="B1395" s="52"/>
      <c r="C1395" s="52"/>
      <c r="D1395" s="52"/>
      <c r="E1395" s="52"/>
      <c r="F1395" s="52"/>
      <c r="G1395" s="52"/>
      <c r="H1395" s="53"/>
      <c r="I1395" s="52"/>
      <c r="J1395" s="52"/>
      <c r="K1395" s="19"/>
      <c r="L1395" s="19"/>
      <c r="M1395" s="19"/>
      <c r="N1395" s="19"/>
      <c r="O1395" s="19"/>
      <c r="P1395" s="19"/>
      <c r="Q1395" s="19"/>
      <c r="R1395" s="19"/>
      <c r="S1395" s="19"/>
      <c r="T1395" s="19"/>
      <c r="U1395" s="19"/>
      <c r="V1395" s="19"/>
      <c r="W1395" s="19"/>
      <c r="X1395" s="19"/>
      <c r="Y1395" s="19"/>
      <c r="Z1395" s="19"/>
      <c r="AA1395" s="19"/>
      <c r="AB1395" s="19"/>
      <c r="AC1395" s="19"/>
      <c r="AD1395" s="19"/>
      <c r="AE1395" s="19"/>
      <c r="AF1395" s="19"/>
      <c r="AG1395" s="19"/>
      <c r="AH1395" s="19"/>
      <c r="AI1395" s="19"/>
      <c r="AJ1395" s="19"/>
      <c r="FM1395" s="54"/>
    </row>
    <row r="1396" spans="1:169" s="18" customFormat="1">
      <c r="A1396" s="51"/>
      <c r="B1396" s="52"/>
      <c r="C1396" s="52"/>
      <c r="D1396" s="52"/>
      <c r="E1396" s="52"/>
      <c r="F1396" s="52"/>
      <c r="G1396" s="52"/>
      <c r="H1396" s="53"/>
      <c r="I1396" s="52"/>
      <c r="J1396" s="52"/>
      <c r="K1396" s="19"/>
      <c r="L1396" s="19"/>
      <c r="M1396" s="19"/>
      <c r="N1396" s="19"/>
      <c r="O1396" s="19"/>
      <c r="P1396" s="19"/>
      <c r="Q1396" s="19"/>
      <c r="R1396" s="19"/>
      <c r="S1396" s="19"/>
      <c r="T1396" s="19"/>
      <c r="U1396" s="19"/>
      <c r="V1396" s="19"/>
      <c r="W1396" s="19"/>
      <c r="X1396" s="19"/>
      <c r="Y1396" s="19"/>
      <c r="Z1396" s="19"/>
      <c r="AA1396" s="19"/>
      <c r="AB1396" s="19"/>
      <c r="AC1396" s="19"/>
      <c r="AD1396" s="19"/>
      <c r="AE1396" s="19"/>
      <c r="AF1396" s="19"/>
      <c r="AG1396" s="19"/>
      <c r="AH1396" s="19"/>
      <c r="AI1396" s="19"/>
      <c r="AJ1396" s="19"/>
      <c r="FM1396" s="54"/>
    </row>
    <row r="1397" spans="1:169" s="18" customFormat="1">
      <c r="A1397" s="51"/>
      <c r="B1397" s="52"/>
      <c r="C1397" s="52"/>
      <c r="D1397" s="52"/>
      <c r="E1397" s="52"/>
      <c r="F1397" s="52"/>
      <c r="G1397" s="52"/>
      <c r="H1397" s="53"/>
      <c r="I1397" s="52"/>
      <c r="J1397" s="52"/>
      <c r="K1397" s="19"/>
      <c r="L1397" s="19"/>
      <c r="M1397" s="19"/>
      <c r="N1397" s="19"/>
      <c r="O1397" s="19"/>
      <c r="P1397" s="19"/>
      <c r="Q1397" s="19"/>
      <c r="R1397" s="19"/>
      <c r="S1397" s="19"/>
      <c r="T1397" s="19"/>
      <c r="U1397" s="19"/>
      <c r="V1397" s="19"/>
      <c r="W1397" s="19"/>
      <c r="X1397" s="19"/>
      <c r="Y1397" s="19"/>
      <c r="Z1397" s="19"/>
      <c r="AA1397" s="19"/>
      <c r="AB1397" s="19"/>
      <c r="AC1397" s="19"/>
      <c r="AD1397" s="19"/>
      <c r="AE1397" s="19"/>
      <c r="AF1397" s="19"/>
      <c r="AG1397" s="19"/>
      <c r="AH1397" s="19"/>
      <c r="AI1397" s="19"/>
      <c r="AJ1397" s="19"/>
      <c r="FM1397" s="54"/>
    </row>
    <row r="1398" spans="1:169" s="18" customFormat="1">
      <c r="A1398" s="51"/>
      <c r="B1398" s="52"/>
      <c r="C1398" s="52"/>
      <c r="D1398" s="52"/>
      <c r="E1398" s="52"/>
      <c r="F1398" s="52"/>
      <c r="G1398" s="52"/>
      <c r="H1398" s="53"/>
      <c r="I1398" s="52"/>
      <c r="J1398" s="52"/>
      <c r="K1398" s="19"/>
      <c r="L1398" s="19"/>
      <c r="M1398" s="19"/>
      <c r="N1398" s="19"/>
      <c r="O1398" s="19"/>
      <c r="P1398" s="19"/>
      <c r="Q1398" s="19"/>
      <c r="R1398" s="19"/>
      <c r="S1398" s="19"/>
      <c r="T1398" s="19"/>
      <c r="U1398" s="19"/>
      <c r="V1398" s="19"/>
      <c r="W1398" s="19"/>
      <c r="X1398" s="19"/>
      <c r="Y1398" s="19"/>
      <c r="Z1398" s="19"/>
      <c r="AA1398" s="19"/>
      <c r="AB1398" s="19"/>
      <c r="AC1398" s="19"/>
      <c r="AD1398" s="19"/>
      <c r="AE1398" s="19"/>
      <c r="AF1398" s="19"/>
      <c r="AG1398" s="19"/>
      <c r="AH1398" s="19"/>
      <c r="AI1398" s="19"/>
      <c r="AJ1398" s="19"/>
      <c r="FM1398" s="54"/>
    </row>
    <row r="1399" spans="1:169" s="18" customFormat="1">
      <c r="A1399" s="51"/>
      <c r="B1399" s="52"/>
      <c r="C1399" s="52"/>
      <c r="D1399" s="52"/>
      <c r="E1399" s="52"/>
      <c r="F1399" s="52"/>
      <c r="G1399" s="52"/>
      <c r="H1399" s="53"/>
      <c r="I1399" s="52"/>
      <c r="J1399" s="52"/>
      <c r="K1399" s="19"/>
      <c r="L1399" s="19"/>
      <c r="M1399" s="19"/>
      <c r="N1399" s="19"/>
      <c r="O1399" s="19"/>
      <c r="P1399" s="19"/>
      <c r="Q1399" s="19"/>
      <c r="R1399" s="19"/>
      <c r="S1399" s="19"/>
      <c r="T1399" s="19"/>
      <c r="U1399" s="19"/>
      <c r="V1399" s="19"/>
      <c r="W1399" s="19"/>
      <c r="X1399" s="19"/>
      <c r="Y1399" s="19"/>
      <c r="Z1399" s="19"/>
      <c r="AA1399" s="19"/>
      <c r="AB1399" s="19"/>
      <c r="AC1399" s="19"/>
      <c r="AD1399" s="19"/>
      <c r="AE1399" s="19"/>
      <c r="AF1399" s="19"/>
      <c r="AG1399" s="19"/>
      <c r="AH1399" s="19"/>
      <c r="AI1399" s="19"/>
      <c r="AJ1399" s="19"/>
      <c r="FM1399" s="54"/>
    </row>
    <row r="1400" spans="1:169" s="18" customFormat="1">
      <c r="A1400" s="51"/>
      <c r="B1400" s="52"/>
      <c r="C1400" s="52"/>
      <c r="D1400" s="52"/>
      <c r="E1400" s="52"/>
      <c r="F1400" s="52"/>
      <c r="G1400" s="52"/>
      <c r="H1400" s="53"/>
      <c r="I1400" s="52"/>
      <c r="J1400" s="52"/>
      <c r="K1400" s="19"/>
      <c r="L1400" s="19"/>
      <c r="M1400" s="19"/>
      <c r="N1400" s="19"/>
      <c r="O1400" s="19"/>
      <c r="P1400" s="19"/>
      <c r="Q1400" s="19"/>
      <c r="R1400" s="19"/>
      <c r="S1400" s="19"/>
      <c r="T1400" s="19"/>
      <c r="U1400" s="19"/>
      <c r="V1400" s="19"/>
      <c r="W1400" s="19"/>
      <c r="X1400" s="19"/>
      <c r="Y1400" s="19"/>
      <c r="Z1400" s="19"/>
      <c r="AA1400" s="19"/>
      <c r="AB1400" s="19"/>
      <c r="AC1400" s="19"/>
      <c r="AD1400" s="19"/>
      <c r="AE1400" s="19"/>
      <c r="AF1400" s="19"/>
      <c r="AG1400" s="19"/>
      <c r="AH1400" s="19"/>
      <c r="AI1400" s="19"/>
      <c r="AJ1400" s="19"/>
      <c r="FM1400" s="54"/>
    </row>
    <row r="1401" spans="1:169" s="18" customFormat="1">
      <c r="A1401" s="51"/>
      <c r="B1401" s="52"/>
      <c r="C1401" s="52"/>
      <c r="D1401" s="52"/>
      <c r="E1401" s="52"/>
      <c r="F1401" s="52"/>
      <c r="G1401" s="52"/>
      <c r="H1401" s="53"/>
      <c r="I1401" s="52"/>
      <c r="J1401" s="52"/>
      <c r="K1401" s="19"/>
      <c r="L1401" s="19"/>
      <c r="M1401" s="19"/>
      <c r="N1401" s="19"/>
      <c r="O1401" s="19"/>
      <c r="P1401" s="19"/>
      <c r="Q1401" s="19"/>
      <c r="R1401" s="19"/>
      <c r="S1401" s="19"/>
      <c r="T1401" s="19"/>
      <c r="U1401" s="19"/>
      <c r="V1401" s="19"/>
      <c r="W1401" s="19"/>
      <c r="X1401" s="19"/>
      <c r="Y1401" s="19"/>
      <c r="Z1401" s="19"/>
      <c r="AA1401" s="19"/>
      <c r="AB1401" s="19"/>
      <c r="AC1401" s="19"/>
      <c r="AD1401" s="19"/>
      <c r="AE1401" s="19"/>
      <c r="AF1401" s="19"/>
      <c r="AG1401" s="19"/>
      <c r="AH1401" s="19"/>
      <c r="AI1401" s="19"/>
      <c r="AJ1401" s="19"/>
      <c r="FM1401" s="54"/>
    </row>
    <row r="1402" spans="1:169" s="18" customFormat="1">
      <c r="A1402" s="51"/>
      <c r="B1402" s="52"/>
      <c r="C1402" s="52"/>
      <c r="D1402" s="52"/>
      <c r="E1402" s="52"/>
      <c r="F1402" s="52"/>
      <c r="G1402" s="52"/>
      <c r="H1402" s="53"/>
      <c r="I1402" s="52"/>
      <c r="J1402" s="52"/>
      <c r="K1402" s="19"/>
      <c r="L1402" s="19"/>
      <c r="M1402" s="19"/>
      <c r="N1402" s="19"/>
      <c r="O1402" s="19"/>
      <c r="P1402" s="19"/>
      <c r="Q1402" s="19"/>
      <c r="R1402" s="19"/>
      <c r="S1402" s="19"/>
      <c r="T1402" s="19"/>
      <c r="U1402" s="19"/>
      <c r="V1402" s="19"/>
      <c r="W1402" s="19"/>
      <c r="X1402" s="19"/>
      <c r="Y1402" s="19"/>
      <c r="Z1402" s="19"/>
      <c r="AA1402" s="19"/>
      <c r="AB1402" s="19"/>
      <c r="AC1402" s="19"/>
      <c r="AD1402" s="19"/>
      <c r="AE1402" s="19"/>
      <c r="AF1402" s="19"/>
      <c r="AG1402" s="19"/>
      <c r="AH1402" s="19"/>
      <c r="AI1402" s="19"/>
      <c r="AJ1402" s="19"/>
      <c r="FM1402" s="54"/>
    </row>
    <row r="1403" spans="1:169" s="18" customFormat="1">
      <c r="A1403" s="51"/>
      <c r="B1403" s="52"/>
      <c r="C1403" s="52"/>
      <c r="D1403" s="52"/>
      <c r="E1403" s="52"/>
      <c r="F1403" s="52"/>
      <c r="G1403" s="52"/>
      <c r="H1403" s="53"/>
      <c r="I1403" s="52"/>
      <c r="J1403" s="52"/>
      <c r="K1403" s="19"/>
      <c r="L1403" s="19"/>
      <c r="M1403" s="19"/>
      <c r="N1403" s="19"/>
      <c r="O1403" s="19"/>
      <c r="P1403" s="19"/>
      <c r="Q1403" s="19"/>
      <c r="R1403" s="19"/>
      <c r="S1403" s="19"/>
      <c r="T1403" s="19"/>
      <c r="U1403" s="19"/>
      <c r="V1403" s="19"/>
      <c r="W1403" s="19"/>
      <c r="X1403" s="19"/>
      <c r="Y1403" s="19"/>
      <c r="Z1403" s="19"/>
      <c r="AA1403" s="19"/>
      <c r="AB1403" s="19"/>
      <c r="AC1403" s="19"/>
      <c r="AD1403" s="19"/>
      <c r="AE1403" s="19"/>
      <c r="AF1403" s="19"/>
      <c r="AG1403" s="19"/>
      <c r="AH1403" s="19"/>
      <c r="AI1403" s="19"/>
      <c r="AJ1403" s="19"/>
      <c r="FM1403" s="54"/>
    </row>
    <row r="1404" spans="1:169" s="18" customFormat="1">
      <c r="A1404" s="51"/>
      <c r="B1404" s="52"/>
      <c r="C1404" s="52"/>
      <c r="D1404" s="52"/>
      <c r="E1404" s="52"/>
      <c r="F1404" s="52"/>
      <c r="G1404" s="52"/>
      <c r="H1404" s="53"/>
      <c r="I1404" s="52"/>
      <c r="J1404" s="52"/>
      <c r="K1404" s="19"/>
      <c r="L1404" s="19"/>
      <c r="M1404" s="19"/>
      <c r="N1404" s="19"/>
      <c r="O1404" s="19"/>
      <c r="P1404" s="19"/>
      <c r="Q1404" s="19"/>
      <c r="R1404" s="19"/>
      <c r="S1404" s="19"/>
      <c r="T1404" s="19"/>
      <c r="U1404" s="19"/>
      <c r="V1404" s="19"/>
      <c r="W1404" s="19"/>
      <c r="X1404" s="19"/>
      <c r="Y1404" s="19"/>
      <c r="Z1404" s="19"/>
      <c r="AA1404" s="19"/>
      <c r="AB1404" s="19"/>
      <c r="AC1404" s="19"/>
      <c r="AD1404" s="19"/>
      <c r="AE1404" s="19"/>
      <c r="AF1404" s="19"/>
      <c r="AG1404" s="19"/>
      <c r="AH1404" s="19"/>
      <c r="AI1404" s="19"/>
      <c r="AJ1404" s="19"/>
      <c r="FM1404" s="54"/>
    </row>
    <row r="1405" spans="1:169" s="18" customFormat="1">
      <c r="A1405" s="51"/>
      <c r="B1405" s="52"/>
      <c r="C1405" s="52"/>
      <c r="D1405" s="52"/>
      <c r="E1405" s="52"/>
      <c r="F1405" s="52"/>
      <c r="G1405" s="52"/>
      <c r="H1405" s="53"/>
      <c r="I1405" s="52"/>
      <c r="J1405" s="52"/>
      <c r="K1405" s="19"/>
      <c r="L1405" s="19"/>
      <c r="M1405" s="19"/>
      <c r="N1405" s="19"/>
      <c r="O1405" s="19"/>
      <c r="P1405" s="19"/>
      <c r="Q1405" s="19"/>
      <c r="R1405" s="19"/>
      <c r="S1405" s="19"/>
      <c r="T1405" s="19"/>
      <c r="U1405" s="19"/>
      <c r="V1405" s="19"/>
      <c r="W1405" s="19"/>
      <c r="X1405" s="19"/>
      <c r="Y1405" s="19"/>
      <c r="Z1405" s="19"/>
      <c r="AA1405" s="19"/>
      <c r="AB1405" s="19"/>
      <c r="AC1405" s="19"/>
      <c r="AD1405" s="19"/>
      <c r="AE1405" s="19"/>
      <c r="AF1405" s="19"/>
      <c r="AG1405" s="19"/>
      <c r="AH1405" s="19"/>
      <c r="AI1405" s="19"/>
      <c r="AJ1405" s="19"/>
      <c r="FM1405" s="54"/>
    </row>
    <row r="1406" spans="1:169" s="18" customFormat="1">
      <c r="A1406" s="51"/>
      <c r="B1406" s="52"/>
      <c r="C1406" s="52"/>
      <c r="D1406" s="52"/>
      <c r="E1406" s="52"/>
      <c r="F1406" s="52"/>
      <c r="G1406" s="52"/>
      <c r="H1406" s="53"/>
      <c r="I1406" s="52"/>
      <c r="J1406" s="52"/>
      <c r="K1406" s="19"/>
      <c r="L1406" s="19"/>
      <c r="M1406" s="19"/>
      <c r="N1406" s="19"/>
      <c r="O1406" s="19"/>
      <c r="P1406" s="19"/>
      <c r="Q1406" s="19"/>
      <c r="R1406" s="19"/>
      <c r="S1406" s="19"/>
      <c r="T1406" s="19"/>
      <c r="U1406" s="19"/>
      <c r="V1406" s="19"/>
      <c r="W1406" s="19"/>
      <c r="X1406" s="19"/>
      <c r="Y1406" s="19"/>
      <c r="Z1406" s="19"/>
      <c r="AA1406" s="19"/>
      <c r="AB1406" s="19"/>
      <c r="AC1406" s="19"/>
      <c r="AD1406" s="19"/>
      <c r="AE1406" s="19"/>
      <c r="AF1406" s="19"/>
      <c r="AG1406" s="19"/>
      <c r="AH1406" s="19"/>
      <c r="AI1406" s="19"/>
      <c r="AJ1406" s="19"/>
      <c r="FM1406" s="54"/>
    </row>
    <row r="1407" spans="1:169" s="18" customFormat="1">
      <c r="A1407" s="51"/>
      <c r="B1407" s="52"/>
      <c r="C1407" s="52"/>
      <c r="D1407" s="52"/>
      <c r="E1407" s="52"/>
      <c r="F1407" s="52"/>
      <c r="G1407" s="52"/>
      <c r="H1407" s="53"/>
      <c r="I1407" s="52"/>
      <c r="J1407" s="52"/>
      <c r="K1407" s="19"/>
      <c r="L1407" s="19"/>
      <c r="M1407" s="19"/>
      <c r="N1407" s="19"/>
      <c r="O1407" s="19"/>
      <c r="P1407" s="19"/>
      <c r="Q1407" s="19"/>
      <c r="R1407" s="19"/>
      <c r="S1407" s="19"/>
      <c r="T1407" s="19"/>
      <c r="U1407" s="19"/>
      <c r="V1407" s="19"/>
      <c r="W1407" s="19"/>
      <c r="X1407" s="19"/>
      <c r="Y1407" s="19"/>
      <c r="Z1407" s="19"/>
      <c r="AA1407" s="19"/>
      <c r="AB1407" s="19"/>
      <c r="AC1407" s="19"/>
      <c r="AD1407" s="19"/>
      <c r="AE1407" s="19"/>
      <c r="AF1407" s="19"/>
      <c r="AG1407" s="19"/>
      <c r="AH1407" s="19"/>
      <c r="AI1407" s="19"/>
      <c r="AJ1407" s="19"/>
      <c r="FM1407" s="54"/>
    </row>
    <row r="1408" spans="1:169" s="18" customFormat="1">
      <c r="A1408" s="51"/>
      <c r="B1408" s="52"/>
      <c r="C1408" s="52"/>
      <c r="D1408" s="52"/>
      <c r="E1408" s="52"/>
      <c r="F1408" s="52"/>
      <c r="G1408" s="52"/>
      <c r="H1408" s="53"/>
      <c r="I1408" s="52"/>
      <c r="J1408" s="52"/>
      <c r="K1408" s="19"/>
      <c r="L1408" s="19"/>
      <c r="M1408" s="19"/>
      <c r="N1408" s="19"/>
      <c r="O1408" s="19"/>
      <c r="P1408" s="19"/>
      <c r="Q1408" s="19"/>
      <c r="R1408" s="19"/>
      <c r="S1408" s="19"/>
      <c r="T1408" s="19"/>
      <c r="U1408" s="19"/>
      <c r="V1408" s="19"/>
      <c r="W1408" s="19"/>
      <c r="X1408" s="19"/>
      <c r="Y1408" s="19"/>
      <c r="Z1408" s="19"/>
      <c r="AA1408" s="19"/>
      <c r="AB1408" s="19"/>
      <c r="AC1408" s="19"/>
      <c r="AD1408" s="19"/>
      <c r="AE1408" s="19"/>
      <c r="AF1408" s="19"/>
      <c r="AG1408" s="19"/>
      <c r="AH1408" s="19"/>
      <c r="AI1408" s="19"/>
      <c r="AJ1408" s="19"/>
      <c r="FM1408" s="54"/>
    </row>
    <row r="1409" spans="1:169" s="18" customFormat="1">
      <c r="A1409" s="51"/>
      <c r="B1409" s="52"/>
      <c r="C1409" s="52"/>
      <c r="D1409" s="52"/>
      <c r="E1409" s="52"/>
      <c r="F1409" s="52"/>
      <c r="G1409" s="52"/>
      <c r="H1409" s="53"/>
      <c r="I1409" s="52"/>
      <c r="J1409" s="52"/>
      <c r="K1409" s="19"/>
      <c r="L1409" s="19"/>
      <c r="M1409" s="19"/>
      <c r="N1409" s="19"/>
      <c r="O1409" s="19"/>
      <c r="P1409" s="19"/>
      <c r="Q1409" s="19"/>
      <c r="R1409" s="19"/>
      <c r="S1409" s="19"/>
      <c r="T1409" s="19"/>
      <c r="U1409" s="19"/>
      <c r="V1409" s="19"/>
      <c r="W1409" s="19"/>
      <c r="X1409" s="19"/>
      <c r="Y1409" s="19"/>
      <c r="Z1409" s="19"/>
      <c r="AA1409" s="19"/>
      <c r="AB1409" s="19"/>
      <c r="AC1409" s="19"/>
      <c r="AD1409" s="19"/>
      <c r="AE1409" s="19"/>
      <c r="AF1409" s="19"/>
      <c r="AG1409" s="19"/>
      <c r="AH1409" s="19"/>
      <c r="AI1409" s="19"/>
      <c r="AJ1409" s="19"/>
      <c r="FM1409" s="54"/>
    </row>
    <row r="1410" spans="1:169" s="18" customFormat="1">
      <c r="A1410" s="51"/>
      <c r="B1410" s="52"/>
      <c r="C1410" s="52"/>
      <c r="D1410" s="52"/>
      <c r="E1410" s="52"/>
      <c r="F1410" s="52"/>
      <c r="G1410" s="52"/>
      <c r="H1410" s="53"/>
      <c r="I1410" s="52"/>
      <c r="J1410" s="52"/>
      <c r="K1410" s="19"/>
      <c r="L1410" s="19"/>
      <c r="M1410" s="19"/>
      <c r="N1410" s="19"/>
      <c r="O1410" s="19"/>
      <c r="P1410" s="19"/>
      <c r="Q1410" s="19"/>
      <c r="R1410" s="19"/>
      <c r="S1410" s="19"/>
      <c r="T1410" s="19"/>
      <c r="U1410" s="19"/>
      <c r="V1410" s="19"/>
      <c r="W1410" s="19"/>
      <c r="X1410" s="19"/>
      <c r="Y1410" s="19"/>
      <c r="Z1410" s="19"/>
      <c r="AA1410" s="19"/>
      <c r="AB1410" s="19"/>
      <c r="AC1410" s="19"/>
      <c r="AD1410" s="19"/>
      <c r="AE1410" s="19"/>
      <c r="AF1410" s="19"/>
      <c r="AG1410" s="19"/>
      <c r="AH1410" s="19"/>
      <c r="AI1410" s="19"/>
      <c r="AJ1410" s="19"/>
      <c r="FM1410" s="54"/>
    </row>
    <row r="1411" spans="1:169" s="18" customFormat="1">
      <c r="A1411" s="51"/>
      <c r="B1411" s="52"/>
      <c r="C1411" s="52"/>
      <c r="D1411" s="52"/>
      <c r="E1411" s="52"/>
      <c r="F1411" s="52"/>
      <c r="G1411" s="52"/>
      <c r="H1411" s="53"/>
      <c r="I1411" s="52"/>
      <c r="J1411" s="52"/>
      <c r="K1411" s="19"/>
      <c r="L1411" s="19"/>
      <c r="M1411" s="19"/>
      <c r="N1411" s="19"/>
      <c r="O1411" s="19"/>
      <c r="P1411" s="19"/>
      <c r="Q1411" s="19"/>
      <c r="R1411" s="19"/>
      <c r="S1411" s="19"/>
      <c r="T1411" s="19"/>
      <c r="U1411" s="19"/>
      <c r="V1411" s="19"/>
      <c r="W1411" s="19"/>
      <c r="X1411" s="19"/>
      <c r="Y1411" s="19"/>
      <c r="Z1411" s="19"/>
      <c r="AA1411" s="19"/>
      <c r="AB1411" s="19"/>
      <c r="AC1411" s="19"/>
      <c r="AD1411" s="19"/>
      <c r="AE1411" s="19"/>
      <c r="AF1411" s="19"/>
      <c r="AG1411" s="19"/>
      <c r="AH1411" s="19"/>
      <c r="AI1411" s="19"/>
      <c r="AJ1411" s="19"/>
      <c r="FM1411" s="54"/>
    </row>
    <row r="1412" spans="1:169" s="18" customFormat="1">
      <c r="A1412" s="51"/>
      <c r="B1412" s="52"/>
      <c r="C1412" s="52"/>
      <c r="D1412" s="52"/>
      <c r="E1412" s="52"/>
      <c r="F1412" s="52"/>
      <c r="G1412" s="52"/>
      <c r="H1412" s="53"/>
      <c r="I1412" s="52"/>
      <c r="J1412" s="52"/>
      <c r="K1412" s="19"/>
      <c r="L1412" s="19"/>
      <c r="M1412" s="19"/>
      <c r="N1412" s="19"/>
      <c r="O1412" s="19"/>
      <c r="P1412" s="19"/>
      <c r="Q1412" s="19"/>
      <c r="R1412" s="19"/>
      <c r="S1412" s="19"/>
      <c r="T1412" s="19"/>
      <c r="U1412" s="19"/>
      <c r="V1412" s="19"/>
      <c r="W1412" s="19"/>
      <c r="X1412" s="19"/>
      <c r="Y1412" s="19"/>
      <c r="Z1412" s="19"/>
      <c r="AA1412" s="19"/>
      <c r="AB1412" s="19"/>
      <c r="AC1412" s="19"/>
      <c r="AD1412" s="19"/>
      <c r="AE1412" s="19"/>
      <c r="AF1412" s="19"/>
      <c r="AG1412" s="19"/>
      <c r="AH1412" s="19"/>
      <c r="AI1412" s="19"/>
      <c r="AJ1412" s="19"/>
      <c r="FM1412" s="54"/>
    </row>
    <row r="1413" spans="1:169" s="18" customFormat="1">
      <c r="A1413" s="51"/>
      <c r="B1413" s="52"/>
      <c r="C1413" s="52"/>
      <c r="D1413" s="52"/>
      <c r="E1413" s="52"/>
      <c r="F1413" s="52"/>
      <c r="G1413" s="52"/>
      <c r="H1413" s="53"/>
      <c r="I1413" s="52"/>
      <c r="J1413" s="52"/>
      <c r="K1413" s="19"/>
      <c r="L1413" s="19"/>
      <c r="M1413" s="19"/>
      <c r="N1413" s="19"/>
      <c r="O1413" s="19"/>
      <c r="P1413" s="19"/>
      <c r="Q1413" s="19"/>
      <c r="R1413" s="19"/>
      <c r="S1413" s="19"/>
      <c r="T1413" s="19"/>
      <c r="U1413" s="19"/>
      <c r="V1413" s="19"/>
      <c r="W1413" s="19"/>
      <c r="X1413" s="19"/>
      <c r="Y1413" s="19"/>
      <c r="Z1413" s="19"/>
      <c r="AA1413" s="19"/>
      <c r="AB1413" s="19"/>
      <c r="AC1413" s="19"/>
      <c r="AD1413" s="19"/>
      <c r="AE1413" s="19"/>
      <c r="AF1413" s="19"/>
      <c r="AG1413" s="19"/>
      <c r="AH1413" s="19"/>
      <c r="AI1413" s="19"/>
      <c r="AJ1413" s="19"/>
      <c r="FM1413" s="54"/>
    </row>
    <row r="1414" spans="1:169" s="18" customFormat="1">
      <c r="A1414" s="51"/>
      <c r="B1414" s="52"/>
      <c r="C1414" s="52"/>
      <c r="D1414" s="52"/>
      <c r="E1414" s="52"/>
      <c r="F1414" s="52"/>
      <c r="G1414" s="52"/>
      <c r="H1414" s="53"/>
      <c r="I1414" s="52"/>
      <c r="J1414" s="52"/>
      <c r="K1414" s="19"/>
      <c r="L1414" s="19"/>
      <c r="M1414" s="19"/>
      <c r="N1414" s="19"/>
      <c r="O1414" s="19"/>
      <c r="P1414" s="19"/>
      <c r="Q1414" s="19"/>
      <c r="R1414" s="19"/>
      <c r="S1414" s="19"/>
      <c r="T1414" s="19"/>
      <c r="U1414" s="19"/>
      <c r="V1414" s="19"/>
      <c r="W1414" s="19"/>
      <c r="X1414" s="19"/>
      <c r="Y1414" s="19"/>
      <c r="Z1414" s="19"/>
      <c r="AA1414" s="19"/>
      <c r="AB1414" s="19"/>
      <c r="AC1414" s="19"/>
      <c r="AD1414" s="19"/>
      <c r="AE1414" s="19"/>
      <c r="AF1414" s="19"/>
      <c r="AG1414" s="19"/>
      <c r="AH1414" s="19"/>
      <c r="AI1414" s="19"/>
      <c r="AJ1414" s="19"/>
      <c r="FM1414" s="54"/>
    </row>
    <row r="1415" spans="1:169" s="18" customFormat="1">
      <c r="A1415" s="51"/>
      <c r="B1415" s="52"/>
      <c r="C1415" s="52"/>
      <c r="D1415" s="52"/>
      <c r="E1415" s="52"/>
      <c r="F1415" s="52"/>
      <c r="G1415" s="52"/>
      <c r="H1415" s="53"/>
      <c r="I1415" s="52"/>
      <c r="J1415" s="52"/>
      <c r="K1415" s="19"/>
      <c r="L1415" s="19"/>
      <c r="M1415" s="19"/>
      <c r="N1415" s="19"/>
      <c r="O1415" s="19"/>
      <c r="P1415" s="19"/>
      <c r="Q1415" s="19"/>
      <c r="R1415" s="19"/>
      <c r="S1415" s="19"/>
      <c r="T1415" s="19"/>
      <c r="U1415" s="19"/>
      <c r="V1415" s="19"/>
      <c r="W1415" s="19"/>
      <c r="X1415" s="19"/>
      <c r="Y1415" s="19"/>
      <c r="Z1415" s="19"/>
      <c r="AA1415" s="19"/>
      <c r="AB1415" s="19"/>
      <c r="AC1415" s="19"/>
      <c r="AD1415" s="19"/>
      <c r="AE1415" s="19"/>
      <c r="AF1415" s="19"/>
      <c r="AG1415" s="19"/>
      <c r="AH1415" s="19"/>
      <c r="AI1415" s="19"/>
      <c r="AJ1415" s="19"/>
      <c r="FM1415" s="54"/>
    </row>
    <row r="1416" spans="1:169" s="18" customFormat="1">
      <c r="A1416" s="51"/>
      <c r="B1416" s="52"/>
      <c r="C1416" s="52"/>
      <c r="D1416" s="52"/>
      <c r="E1416" s="52"/>
      <c r="F1416" s="52"/>
      <c r="G1416" s="52"/>
      <c r="H1416" s="53"/>
      <c r="I1416" s="52"/>
      <c r="J1416" s="52"/>
      <c r="K1416" s="19"/>
      <c r="L1416" s="19"/>
      <c r="M1416" s="19"/>
      <c r="N1416" s="19"/>
      <c r="O1416" s="19"/>
      <c r="P1416" s="19"/>
      <c r="Q1416" s="19"/>
      <c r="R1416" s="19"/>
      <c r="S1416" s="19"/>
      <c r="T1416" s="19"/>
      <c r="U1416" s="19"/>
      <c r="V1416" s="19"/>
      <c r="W1416" s="19"/>
      <c r="X1416" s="19"/>
      <c r="Y1416" s="19"/>
      <c r="Z1416" s="19"/>
      <c r="AA1416" s="19"/>
      <c r="AB1416" s="19"/>
      <c r="AC1416" s="19"/>
      <c r="AD1416" s="19"/>
      <c r="AE1416" s="19"/>
      <c r="AF1416" s="19"/>
      <c r="AG1416" s="19"/>
      <c r="AH1416" s="19"/>
      <c r="AI1416" s="19"/>
      <c r="AJ1416" s="19"/>
      <c r="FM1416" s="54"/>
    </row>
    <row r="1417" spans="1:169" s="18" customFormat="1">
      <c r="A1417" s="51"/>
      <c r="B1417" s="52"/>
      <c r="C1417" s="52"/>
      <c r="D1417" s="52"/>
      <c r="E1417" s="52"/>
      <c r="F1417" s="52"/>
      <c r="G1417" s="52"/>
      <c r="H1417" s="53"/>
      <c r="I1417" s="52"/>
      <c r="J1417" s="52"/>
      <c r="K1417" s="19"/>
      <c r="L1417" s="19"/>
      <c r="M1417" s="19"/>
      <c r="N1417" s="19"/>
      <c r="O1417" s="19"/>
      <c r="P1417" s="19"/>
      <c r="Q1417" s="19"/>
      <c r="R1417" s="19"/>
      <c r="S1417" s="19"/>
      <c r="T1417" s="19"/>
      <c r="U1417" s="19"/>
      <c r="V1417" s="19"/>
      <c r="W1417" s="19"/>
      <c r="X1417" s="19"/>
      <c r="Y1417" s="19"/>
      <c r="Z1417" s="19"/>
      <c r="AA1417" s="19"/>
      <c r="AB1417" s="19"/>
      <c r="AC1417" s="19"/>
      <c r="AD1417" s="19"/>
      <c r="AE1417" s="19"/>
      <c r="AF1417" s="19"/>
      <c r="AG1417" s="19"/>
      <c r="AH1417" s="19"/>
      <c r="AI1417" s="19"/>
      <c r="AJ1417" s="19"/>
      <c r="FM1417" s="54"/>
    </row>
    <row r="1418" spans="1:169" s="18" customFormat="1">
      <c r="A1418" s="51"/>
      <c r="B1418" s="52"/>
      <c r="C1418" s="52"/>
      <c r="D1418" s="52"/>
      <c r="E1418" s="52"/>
      <c r="F1418" s="52"/>
      <c r="G1418" s="52"/>
      <c r="H1418" s="53"/>
      <c r="I1418" s="52"/>
      <c r="J1418" s="52"/>
      <c r="K1418" s="19"/>
      <c r="L1418" s="19"/>
      <c r="M1418" s="19"/>
      <c r="N1418" s="19"/>
      <c r="O1418" s="19"/>
      <c r="P1418" s="19"/>
      <c r="Q1418" s="19"/>
      <c r="R1418" s="19"/>
      <c r="S1418" s="19"/>
      <c r="T1418" s="19"/>
      <c r="U1418" s="19"/>
      <c r="V1418" s="19"/>
      <c r="W1418" s="19"/>
      <c r="X1418" s="19"/>
      <c r="Y1418" s="19"/>
      <c r="Z1418" s="19"/>
      <c r="AA1418" s="19"/>
      <c r="AB1418" s="19"/>
      <c r="AC1418" s="19"/>
      <c r="AD1418" s="19"/>
      <c r="AE1418" s="19"/>
      <c r="AF1418" s="19"/>
      <c r="AG1418" s="19"/>
      <c r="AH1418" s="19"/>
      <c r="AI1418" s="19"/>
      <c r="AJ1418" s="19"/>
      <c r="FM1418" s="54"/>
    </row>
    <row r="1419" spans="1:169" s="18" customFormat="1">
      <c r="A1419" s="51"/>
      <c r="B1419" s="52"/>
      <c r="C1419" s="52"/>
      <c r="D1419" s="52"/>
      <c r="E1419" s="52"/>
      <c r="F1419" s="52"/>
      <c r="G1419" s="52"/>
      <c r="H1419" s="53"/>
      <c r="I1419" s="52"/>
      <c r="J1419" s="52"/>
      <c r="K1419" s="19"/>
      <c r="L1419" s="19"/>
      <c r="M1419" s="19"/>
      <c r="N1419" s="19"/>
      <c r="O1419" s="19"/>
      <c r="P1419" s="19"/>
      <c r="Q1419" s="19"/>
      <c r="R1419" s="19"/>
      <c r="S1419" s="19"/>
      <c r="T1419" s="19"/>
      <c r="U1419" s="19"/>
      <c r="V1419" s="19"/>
      <c r="W1419" s="19"/>
      <c r="X1419" s="19"/>
      <c r="Y1419" s="19"/>
      <c r="Z1419" s="19"/>
      <c r="AA1419" s="19"/>
      <c r="AB1419" s="19"/>
      <c r="AC1419" s="19"/>
      <c r="AD1419" s="19"/>
      <c r="AE1419" s="19"/>
      <c r="AF1419" s="19"/>
      <c r="AG1419" s="19"/>
      <c r="AH1419" s="19"/>
      <c r="AI1419" s="19"/>
      <c r="AJ1419" s="19"/>
      <c r="FM1419" s="54"/>
    </row>
    <row r="1420" spans="1:169" s="18" customFormat="1">
      <c r="A1420" s="51"/>
      <c r="B1420" s="52"/>
      <c r="C1420" s="52"/>
      <c r="D1420" s="52"/>
      <c r="E1420" s="52"/>
      <c r="F1420" s="52"/>
      <c r="G1420" s="52"/>
      <c r="H1420" s="53"/>
      <c r="I1420" s="52"/>
      <c r="J1420" s="52"/>
      <c r="K1420" s="19"/>
      <c r="L1420" s="19"/>
      <c r="M1420" s="19"/>
      <c r="N1420" s="19"/>
      <c r="O1420" s="19"/>
      <c r="P1420" s="19"/>
      <c r="Q1420" s="19"/>
      <c r="R1420" s="19"/>
      <c r="S1420" s="19"/>
      <c r="T1420" s="19"/>
      <c r="U1420" s="19"/>
      <c r="V1420" s="19"/>
      <c r="W1420" s="19"/>
      <c r="X1420" s="19"/>
      <c r="Y1420" s="19"/>
      <c r="Z1420" s="19"/>
      <c r="AA1420" s="19"/>
      <c r="AB1420" s="19"/>
      <c r="AC1420" s="19"/>
      <c r="AD1420" s="19"/>
      <c r="AE1420" s="19"/>
      <c r="AF1420" s="19"/>
      <c r="AG1420" s="19"/>
      <c r="AH1420" s="19"/>
      <c r="AI1420" s="19"/>
      <c r="AJ1420" s="19"/>
      <c r="FM1420" s="54"/>
    </row>
    <row r="1421" spans="1:169" s="18" customFormat="1">
      <c r="A1421" s="51"/>
      <c r="B1421" s="52"/>
      <c r="C1421" s="52"/>
      <c r="D1421" s="52"/>
      <c r="E1421" s="52"/>
      <c r="F1421" s="52"/>
      <c r="G1421" s="52"/>
      <c r="H1421" s="53"/>
      <c r="I1421" s="52"/>
      <c r="J1421" s="52"/>
      <c r="K1421" s="19"/>
      <c r="L1421" s="19"/>
      <c r="M1421" s="19"/>
      <c r="N1421" s="19"/>
      <c r="O1421" s="19"/>
      <c r="P1421" s="19"/>
      <c r="Q1421" s="19"/>
      <c r="R1421" s="19"/>
      <c r="S1421" s="19"/>
      <c r="T1421" s="19"/>
      <c r="U1421" s="19"/>
      <c r="V1421" s="19"/>
      <c r="W1421" s="19"/>
      <c r="X1421" s="19"/>
      <c r="Y1421" s="19"/>
      <c r="Z1421" s="19"/>
      <c r="AA1421" s="19"/>
      <c r="AB1421" s="19"/>
      <c r="AC1421" s="19"/>
      <c r="AD1421" s="19"/>
      <c r="AE1421" s="19"/>
      <c r="AF1421" s="19"/>
      <c r="AG1421" s="19"/>
      <c r="AH1421" s="19"/>
      <c r="AI1421" s="19"/>
      <c r="AJ1421" s="19"/>
      <c r="FM1421" s="54"/>
    </row>
    <row r="1422" spans="1:169" s="18" customFormat="1">
      <c r="A1422" s="51"/>
      <c r="B1422" s="52"/>
      <c r="C1422" s="52"/>
      <c r="D1422" s="52"/>
      <c r="E1422" s="52"/>
      <c r="F1422" s="52"/>
      <c r="G1422" s="52"/>
      <c r="H1422" s="53"/>
      <c r="I1422" s="52"/>
      <c r="J1422" s="52"/>
      <c r="K1422" s="19"/>
      <c r="L1422" s="19"/>
      <c r="M1422" s="19"/>
      <c r="N1422" s="19"/>
      <c r="O1422" s="19"/>
      <c r="P1422" s="19"/>
      <c r="Q1422" s="19"/>
      <c r="R1422" s="19"/>
      <c r="S1422" s="19"/>
      <c r="T1422" s="19"/>
      <c r="U1422" s="19"/>
      <c r="V1422" s="19"/>
      <c r="W1422" s="19"/>
      <c r="X1422" s="19"/>
      <c r="Y1422" s="19"/>
      <c r="Z1422" s="19"/>
      <c r="AA1422" s="19"/>
      <c r="AB1422" s="19"/>
      <c r="AC1422" s="19"/>
      <c r="AD1422" s="19"/>
      <c r="AE1422" s="19"/>
      <c r="AF1422" s="19"/>
      <c r="AG1422" s="19"/>
      <c r="AH1422" s="19"/>
      <c r="AI1422" s="19"/>
      <c r="AJ1422" s="19"/>
      <c r="FM1422" s="54"/>
    </row>
    <row r="1423" spans="1:169" s="18" customFormat="1">
      <c r="A1423" s="51"/>
      <c r="B1423" s="52"/>
      <c r="C1423" s="52"/>
      <c r="D1423" s="52"/>
      <c r="E1423" s="52"/>
      <c r="F1423" s="52"/>
      <c r="G1423" s="52"/>
      <c r="H1423" s="53"/>
      <c r="I1423" s="52"/>
      <c r="J1423" s="52"/>
      <c r="K1423" s="19"/>
      <c r="L1423" s="19"/>
      <c r="M1423" s="19"/>
      <c r="N1423" s="19"/>
      <c r="O1423" s="19"/>
      <c r="P1423" s="19"/>
      <c r="Q1423" s="19"/>
      <c r="R1423" s="19"/>
      <c r="S1423" s="19"/>
      <c r="T1423" s="19"/>
      <c r="U1423" s="19"/>
      <c r="V1423" s="19"/>
      <c r="W1423" s="19"/>
      <c r="X1423" s="19"/>
      <c r="Y1423" s="19"/>
      <c r="Z1423" s="19"/>
      <c r="AA1423" s="19"/>
      <c r="AB1423" s="19"/>
      <c r="AC1423" s="19"/>
      <c r="AD1423" s="19"/>
      <c r="AE1423" s="19"/>
      <c r="AF1423" s="19"/>
      <c r="AG1423" s="19"/>
      <c r="AH1423" s="19"/>
      <c r="AI1423" s="19"/>
      <c r="AJ1423" s="19"/>
      <c r="FM1423" s="54"/>
    </row>
    <row r="1424" spans="1:169" s="18" customFormat="1">
      <c r="A1424" s="51"/>
      <c r="B1424" s="52"/>
      <c r="C1424" s="52"/>
      <c r="D1424" s="52"/>
      <c r="E1424" s="52"/>
      <c r="F1424" s="52"/>
      <c r="G1424" s="52"/>
      <c r="H1424" s="53"/>
      <c r="I1424" s="52"/>
      <c r="J1424" s="52"/>
      <c r="K1424" s="19"/>
      <c r="L1424" s="19"/>
      <c r="M1424" s="19"/>
      <c r="N1424" s="19"/>
      <c r="O1424" s="19"/>
      <c r="P1424" s="19"/>
      <c r="Q1424" s="19"/>
      <c r="R1424" s="19"/>
      <c r="S1424" s="19"/>
      <c r="T1424" s="19"/>
      <c r="U1424" s="19"/>
      <c r="V1424" s="19"/>
      <c r="W1424" s="19"/>
      <c r="X1424" s="19"/>
      <c r="Y1424" s="19"/>
      <c r="Z1424" s="19"/>
      <c r="AA1424" s="19"/>
      <c r="AB1424" s="19"/>
      <c r="AC1424" s="19"/>
      <c r="AD1424" s="19"/>
      <c r="AE1424" s="19"/>
      <c r="AF1424" s="19"/>
      <c r="AG1424" s="19"/>
      <c r="AH1424" s="19"/>
      <c r="AI1424" s="19"/>
      <c r="AJ1424" s="19"/>
      <c r="FM1424" s="54"/>
    </row>
    <row r="1425" spans="1:169" s="18" customFormat="1">
      <c r="A1425" s="51"/>
      <c r="B1425" s="52"/>
      <c r="C1425" s="52"/>
      <c r="D1425" s="52"/>
      <c r="E1425" s="52"/>
      <c r="F1425" s="52"/>
      <c r="G1425" s="52"/>
      <c r="H1425" s="53"/>
      <c r="I1425" s="52"/>
      <c r="J1425" s="52"/>
      <c r="K1425" s="19"/>
      <c r="L1425" s="19"/>
      <c r="M1425" s="19"/>
      <c r="N1425" s="19"/>
      <c r="O1425" s="19"/>
      <c r="P1425" s="19"/>
      <c r="Q1425" s="19"/>
      <c r="R1425" s="19"/>
      <c r="S1425" s="19"/>
      <c r="T1425" s="19"/>
      <c r="U1425" s="19"/>
      <c r="V1425" s="19"/>
      <c r="W1425" s="19"/>
      <c r="X1425" s="19"/>
      <c r="Y1425" s="19"/>
      <c r="Z1425" s="19"/>
      <c r="AA1425" s="19"/>
      <c r="AB1425" s="19"/>
      <c r="AC1425" s="19"/>
      <c r="AD1425" s="19"/>
      <c r="AE1425" s="19"/>
      <c r="AF1425" s="19"/>
      <c r="AG1425" s="19"/>
      <c r="AH1425" s="19"/>
      <c r="AI1425" s="19"/>
      <c r="AJ1425" s="19"/>
      <c r="FM1425" s="54"/>
    </row>
    <row r="1426" spans="1:169" s="18" customFormat="1">
      <c r="A1426" s="51"/>
      <c r="B1426" s="52"/>
      <c r="C1426" s="52"/>
      <c r="D1426" s="52"/>
      <c r="E1426" s="52"/>
      <c r="F1426" s="52"/>
      <c r="G1426" s="52"/>
      <c r="H1426" s="53"/>
      <c r="I1426" s="52"/>
      <c r="J1426" s="52"/>
      <c r="K1426" s="19"/>
      <c r="L1426" s="19"/>
      <c r="M1426" s="19"/>
      <c r="N1426" s="19"/>
      <c r="O1426" s="19"/>
      <c r="P1426" s="19"/>
      <c r="Q1426" s="19"/>
      <c r="R1426" s="19"/>
      <c r="S1426" s="19"/>
      <c r="T1426" s="19"/>
      <c r="U1426" s="19"/>
      <c r="V1426" s="19"/>
      <c r="W1426" s="19"/>
      <c r="X1426" s="19"/>
      <c r="Y1426" s="19"/>
      <c r="Z1426" s="19"/>
      <c r="AA1426" s="19"/>
      <c r="AB1426" s="19"/>
      <c r="AC1426" s="19"/>
      <c r="AD1426" s="19"/>
      <c r="AE1426" s="19"/>
      <c r="AF1426" s="19"/>
      <c r="AG1426" s="19"/>
      <c r="AH1426" s="19"/>
      <c r="AI1426" s="19"/>
      <c r="AJ1426" s="19"/>
      <c r="FM1426" s="54"/>
    </row>
    <row r="1427" spans="1:169" s="18" customFormat="1">
      <c r="A1427" s="51"/>
      <c r="B1427" s="52"/>
      <c r="C1427" s="52"/>
      <c r="D1427" s="52"/>
      <c r="E1427" s="52"/>
      <c r="F1427" s="52"/>
      <c r="G1427" s="52"/>
      <c r="H1427" s="53"/>
      <c r="I1427" s="52"/>
      <c r="J1427" s="52"/>
      <c r="K1427" s="19"/>
      <c r="L1427" s="19"/>
      <c r="M1427" s="19"/>
      <c r="N1427" s="19"/>
      <c r="O1427" s="19"/>
      <c r="P1427" s="19"/>
      <c r="Q1427" s="19"/>
      <c r="R1427" s="19"/>
      <c r="S1427" s="19"/>
      <c r="T1427" s="19"/>
      <c r="U1427" s="19"/>
      <c r="V1427" s="19"/>
      <c r="W1427" s="19"/>
      <c r="X1427" s="19"/>
      <c r="Y1427" s="19"/>
      <c r="Z1427" s="19"/>
      <c r="AA1427" s="19"/>
      <c r="AB1427" s="19"/>
      <c r="AC1427" s="19"/>
      <c r="AD1427" s="19"/>
      <c r="AE1427" s="19"/>
      <c r="AF1427" s="19"/>
      <c r="AG1427" s="19"/>
      <c r="AH1427" s="19"/>
      <c r="AI1427" s="19"/>
      <c r="AJ1427" s="19"/>
      <c r="FM1427" s="54"/>
    </row>
    <row r="1428" spans="1:169" s="18" customFormat="1">
      <c r="A1428" s="51"/>
      <c r="B1428" s="52"/>
      <c r="C1428" s="52"/>
      <c r="D1428" s="52"/>
      <c r="E1428" s="52"/>
      <c r="F1428" s="52"/>
      <c r="G1428" s="52"/>
      <c r="H1428" s="53"/>
      <c r="I1428" s="52"/>
      <c r="J1428" s="52"/>
      <c r="K1428" s="19"/>
      <c r="L1428" s="19"/>
      <c r="M1428" s="19"/>
      <c r="N1428" s="19"/>
      <c r="O1428" s="19"/>
      <c r="P1428" s="19"/>
      <c r="Q1428" s="19"/>
      <c r="R1428" s="19"/>
      <c r="S1428" s="19"/>
      <c r="T1428" s="19"/>
      <c r="U1428" s="19"/>
      <c r="V1428" s="19"/>
      <c r="W1428" s="19"/>
      <c r="X1428" s="19"/>
      <c r="Y1428" s="19"/>
      <c r="Z1428" s="19"/>
      <c r="AA1428" s="19"/>
      <c r="AB1428" s="19"/>
      <c r="AC1428" s="19"/>
      <c r="AD1428" s="19"/>
      <c r="AE1428" s="19"/>
      <c r="AF1428" s="19"/>
      <c r="AG1428" s="19"/>
      <c r="AH1428" s="19"/>
      <c r="AI1428" s="19"/>
      <c r="AJ1428" s="19"/>
      <c r="FM1428" s="54"/>
    </row>
    <row r="1429" spans="1:169" s="18" customFormat="1">
      <c r="A1429" s="51"/>
      <c r="B1429" s="52"/>
      <c r="C1429" s="52"/>
      <c r="D1429" s="52"/>
      <c r="E1429" s="52"/>
      <c r="F1429" s="52"/>
      <c r="G1429" s="52"/>
      <c r="H1429" s="53"/>
      <c r="I1429" s="52"/>
      <c r="J1429" s="52"/>
      <c r="K1429" s="19"/>
      <c r="L1429" s="19"/>
      <c r="M1429" s="19"/>
      <c r="N1429" s="19"/>
      <c r="O1429" s="19"/>
      <c r="P1429" s="19"/>
      <c r="Q1429" s="19"/>
      <c r="R1429" s="19"/>
      <c r="S1429" s="19"/>
      <c r="T1429" s="19"/>
      <c r="U1429" s="19"/>
      <c r="V1429" s="19"/>
      <c r="W1429" s="19"/>
      <c r="X1429" s="19"/>
      <c r="Y1429" s="19"/>
      <c r="Z1429" s="19"/>
      <c r="AA1429" s="19"/>
      <c r="AB1429" s="19"/>
      <c r="AC1429" s="19"/>
      <c r="AD1429" s="19"/>
      <c r="AE1429" s="19"/>
      <c r="AF1429" s="19"/>
      <c r="AG1429" s="19"/>
      <c r="AH1429" s="19"/>
      <c r="AI1429" s="19"/>
      <c r="AJ1429" s="19"/>
      <c r="FM1429" s="54"/>
    </row>
    <row r="1430" spans="1:169" s="18" customFormat="1">
      <c r="A1430" s="51"/>
      <c r="B1430" s="52"/>
      <c r="C1430" s="52"/>
      <c r="D1430" s="52"/>
      <c r="E1430" s="52"/>
      <c r="F1430" s="52"/>
      <c r="G1430" s="52"/>
      <c r="H1430" s="53"/>
      <c r="I1430" s="52"/>
      <c r="J1430" s="52"/>
      <c r="K1430" s="19"/>
      <c r="L1430" s="19"/>
      <c r="M1430" s="19"/>
      <c r="N1430" s="19"/>
      <c r="O1430" s="19"/>
      <c r="P1430" s="19"/>
      <c r="Q1430" s="19"/>
      <c r="R1430" s="19"/>
      <c r="S1430" s="19"/>
      <c r="T1430" s="19"/>
      <c r="U1430" s="19"/>
      <c r="V1430" s="19"/>
      <c r="W1430" s="19"/>
      <c r="X1430" s="19"/>
      <c r="Y1430" s="19"/>
      <c r="Z1430" s="19"/>
      <c r="AA1430" s="19"/>
      <c r="AB1430" s="19"/>
      <c r="AC1430" s="19"/>
      <c r="AD1430" s="19"/>
      <c r="AE1430" s="19"/>
      <c r="AF1430" s="19"/>
      <c r="AG1430" s="19"/>
      <c r="AH1430" s="19"/>
      <c r="AI1430" s="19"/>
      <c r="AJ1430" s="19"/>
      <c r="FM1430" s="54"/>
    </row>
    <row r="1431" spans="1:169" s="18" customFormat="1">
      <c r="A1431" s="51"/>
      <c r="B1431" s="52"/>
      <c r="C1431" s="52"/>
      <c r="D1431" s="52"/>
      <c r="E1431" s="52"/>
      <c r="F1431" s="52"/>
      <c r="G1431" s="52"/>
      <c r="H1431" s="53"/>
      <c r="I1431" s="52"/>
      <c r="J1431" s="52"/>
      <c r="K1431" s="19"/>
      <c r="L1431" s="19"/>
      <c r="M1431" s="19"/>
      <c r="N1431" s="19"/>
      <c r="O1431" s="19"/>
      <c r="P1431" s="19"/>
      <c r="Q1431" s="19"/>
      <c r="R1431" s="19"/>
      <c r="S1431" s="19"/>
      <c r="T1431" s="19"/>
      <c r="U1431" s="19"/>
      <c r="V1431" s="19"/>
      <c r="W1431" s="19"/>
      <c r="X1431" s="19"/>
      <c r="Y1431" s="19"/>
      <c r="Z1431" s="19"/>
      <c r="AA1431" s="19"/>
      <c r="AB1431" s="19"/>
      <c r="AC1431" s="19"/>
      <c r="AD1431" s="19"/>
      <c r="AE1431" s="19"/>
      <c r="AF1431" s="19"/>
      <c r="AG1431" s="19"/>
      <c r="AH1431" s="19"/>
      <c r="AI1431" s="19"/>
      <c r="AJ1431" s="19"/>
      <c r="FM1431" s="54"/>
    </row>
    <row r="1432" spans="1:169" s="18" customFormat="1">
      <c r="A1432" s="51"/>
      <c r="B1432" s="52"/>
      <c r="C1432" s="52"/>
      <c r="D1432" s="52"/>
      <c r="E1432" s="52"/>
      <c r="F1432" s="52"/>
      <c r="G1432" s="52"/>
      <c r="H1432" s="53"/>
      <c r="I1432" s="52"/>
      <c r="J1432" s="52"/>
      <c r="K1432" s="19"/>
      <c r="L1432" s="19"/>
      <c r="M1432" s="19"/>
      <c r="N1432" s="19"/>
      <c r="O1432" s="19"/>
      <c r="P1432" s="19"/>
      <c r="Q1432" s="19"/>
      <c r="R1432" s="19"/>
      <c r="S1432" s="19"/>
      <c r="T1432" s="19"/>
      <c r="U1432" s="19"/>
      <c r="V1432" s="19"/>
      <c r="W1432" s="19"/>
      <c r="X1432" s="19"/>
      <c r="Y1432" s="19"/>
      <c r="Z1432" s="19"/>
      <c r="AA1432" s="19"/>
      <c r="AB1432" s="19"/>
      <c r="AC1432" s="19"/>
      <c r="AD1432" s="19"/>
      <c r="AE1432" s="19"/>
      <c r="AF1432" s="19"/>
      <c r="AG1432" s="19"/>
      <c r="AH1432" s="19"/>
      <c r="AI1432" s="19"/>
      <c r="AJ1432" s="19"/>
      <c r="FM1432" s="54"/>
    </row>
    <row r="1433" spans="1:169" s="18" customFormat="1">
      <c r="A1433" s="51"/>
      <c r="B1433" s="52"/>
      <c r="C1433" s="52"/>
      <c r="D1433" s="52"/>
      <c r="E1433" s="52"/>
      <c r="F1433" s="52"/>
      <c r="G1433" s="52"/>
      <c r="H1433" s="53"/>
      <c r="I1433" s="52"/>
      <c r="J1433" s="52"/>
      <c r="K1433" s="19"/>
      <c r="L1433" s="19"/>
      <c r="M1433" s="19"/>
      <c r="N1433" s="19"/>
      <c r="O1433" s="19"/>
      <c r="P1433" s="19"/>
      <c r="Q1433" s="19"/>
      <c r="R1433" s="19"/>
      <c r="S1433" s="19"/>
      <c r="T1433" s="19"/>
      <c r="U1433" s="19"/>
      <c r="V1433" s="19"/>
      <c r="W1433" s="19"/>
      <c r="X1433" s="19"/>
      <c r="Y1433" s="19"/>
      <c r="Z1433" s="19"/>
      <c r="AA1433" s="19"/>
      <c r="AB1433" s="19"/>
      <c r="AC1433" s="19"/>
      <c r="AD1433" s="19"/>
      <c r="AE1433" s="19"/>
      <c r="AF1433" s="19"/>
      <c r="AG1433" s="19"/>
      <c r="AH1433" s="19"/>
      <c r="AI1433" s="19"/>
      <c r="AJ1433" s="19"/>
      <c r="FM1433" s="54"/>
    </row>
    <row r="1434" spans="1:169" s="18" customFormat="1">
      <c r="A1434" s="51"/>
      <c r="B1434" s="52"/>
      <c r="C1434" s="52"/>
      <c r="D1434" s="52"/>
      <c r="E1434" s="52"/>
      <c r="F1434" s="52"/>
      <c r="G1434" s="52"/>
      <c r="H1434" s="53"/>
      <c r="I1434" s="52"/>
      <c r="J1434" s="52"/>
      <c r="K1434" s="19"/>
      <c r="L1434" s="19"/>
      <c r="M1434" s="19"/>
      <c r="N1434" s="19"/>
      <c r="O1434" s="19"/>
      <c r="P1434" s="19"/>
      <c r="Q1434" s="19"/>
      <c r="R1434" s="19"/>
      <c r="S1434" s="19"/>
      <c r="T1434" s="19"/>
      <c r="U1434" s="19"/>
      <c r="V1434" s="19"/>
      <c r="W1434" s="19"/>
      <c r="X1434" s="19"/>
      <c r="Y1434" s="19"/>
      <c r="Z1434" s="19"/>
      <c r="AA1434" s="19"/>
      <c r="AB1434" s="19"/>
      <c r="AC1434" s="19"/>
      <c r="AD1434" s="19"/>
      <c r="AE1434" s="19"/>
      <c r="AF1434" s="19"/>
      <c r="AG1434" s="19"/>
      <c r="AH1434" s="19"/>
      <c r="AI1434" s="19"/>
      <c r="AJ1434" s="19"/>
      <c r="FM1434" s="54"/>
    </row>
    <row r="1435" spans="1:169" s="18" customFormat="1">
      <c r="A1435" s="51"/>
      <c r="B1435" s="52"/>
      <c r="C1435" s="52"/>
      <c r="D1435" s="52"/>
      <c r="E1435" s="52"/>
      <c r="F1435" s="52"/>
      <c r="G1435" s="52"/>
      <c r="H1435" s="53"/>
      <c r="I1435" s="52"/>
      <c r="J1435" s="52"/>
      <c r="K1435" s="19"/>
      <c r="L1435" s="19"/>
      <c r="M1435" s="19"/>
      <c r="N1435" s="19"/>
      <c r="O1435" s="19"/>
      <c r="P1435" s="19"/>
      <c r="Q1435" s="19"/>
      <c r="R1435" s="19"/>
      <c r="S1435" s="19"/>
      <c r="T1435" s="19"/>
      <c r="U1435" s="19"/>
      <c r="V1435" s="19"/>
      <c r="W1435" s="19"/>
      <c r="X1435" s="19"/>
      <c r="Y1435" s="19"/>
      <c r="Z1435" s="19"/>
      <c r="AA1435" s="19"/>
      <c r="AB1435" s="19"/>
      <c r="AC1435" s="19"/>
      <c r="AD1435" s="19"/>
      <c r="AE1435" s="19"/>
      <c r="AF1435" s="19"/>
      <c r="AG1435" s="19"/>
      <c r="AH1435" s="19"/>
      <c r="AI1435" s="19"/>
      <c r="AJ1435" s="19"/>
      <c r="FM1435" s="54"/>
    </row>
    <row r="1436" spans="1:169" s="18" customFormat="1">
      <c r="A1436" s="51"/>
      <c r="B1436" s="52"/>
      <c r="C1436" s="52"/>
      <c r="D1436" s="52"/>
      <c r="E1436" s="52"/>
      <c r="F1436" s="52"/>
      <c r="G1436" s="52"/>
      <c r="H1436" s="53"/>
      <c r="I1436" s="52"/>
      <c r="J1436" s="52"/>
      <c r="K1436" s="19"/>
      <c r="L1436" s="19"/>
      <c r="M1436" s="19"/>
      <c r="N1436" s="19"/>
      <c r="O1436" s="19"/>
      <c r="P1436" s="19"/>
      <c r="Q1436" s="19"/>
      <c r="R1436" s="19"/>
      <c r="S1436" s="19"/>
      <c r="T1436" s="19"/>
      <c r="U1436" s="19"/>
      <c r="V1436" s="19"/>
      <c r="W1436" s="19"/>
      <c r="X1436" s="19"/>
      <c r="Y1436" s="19"/>
      <c r="Z1436" s="19"/>
      <c r="AA1436" s="19"/>
      <c r="AB1436" s="19"/>
      <c r="AC1436" s="19"/>
      <c r="AD1436" s="19"/>
      <c r="AE1436" s="19"/>
      <c r="AF1436" s="19"/>
      <c r="AG1436" s="19"/>
      <c r="AH1436" s="19"/>
      <c r="AI1436" s="19"/>
      <c r="AJ1436" s="19"/>
      <c r="FM1436" s="54"/>
    </row>
    <row r="1437" spans="1:169" s="18" customFormat="1">
      <c r="A1437" s="51"/>
      <c r="B1437" s="52"/>
      <c r="C1437" s="52"/>
      <c r="D1437" s="52"/>
      <c r="E1437" s="52"/>
      <c r="F1437" s="52"/>
      <c r="G1437" s="52"/>
      <c r="H1437" s="53"/>
      <c r="I1437" s="52"/>
      <c r="J1437" s="52"/>
      <c r="K1437" s="19"/>
      <c r="L1437" s="19"/>
      <c r="M1437" s="19"/>
      <c r="N1437" s="19"/>
      <c r="O1437" s="19"/>
      <c r="P1437" s="19"/>
      <c r="Q1437" s="19"/>
      <c r="R1437" s="19"/>
      <c r="S1437" s="19"/>
      <c r="T1437" s="19"/>
      <c r="U1437" s="19"/>
      <c r="V1437" s="19"/>
      <c r="W1437" s="19"/>
      <c r="X1437" s="19"/>
      <c r="Y1437" s="19"/>
      <c r="Z1437" s="19"/>
      <c r="AA1437" s="19"/>
      <c r="AB1437" s="19"/>
      <c r="AC1437" s="19"/>
      <c r="AD1437" s="19"/>
      <c r="AE1437" s="19"/>
      <c r="AF1437" s="19"/>
      <c r="AG1437" s="19"/>
      <c r="AH1437" s="19"/>
      <c r="AI1437" s="19"/>
      <c r="AJ1437" s="19"/>
      <c r="FM1437" s="54"/>
    </row>
    <row r="1438" spans="1:169" s="18" customFormat="1">
      <c r="A1438" s="51"/>
      <c r="B1438" s="52"/>
      <c r="C1438" s="52"/>
      <c r="D1438" s="52"/>
      <c r="E1438" s="52"/>
      <c r="F1438" s="52"/>
      <c r="G1438" s="52"/>
      <c r="H1438" s="53"/>
      <c r="I1438" s="52"/>
      <c r="J1438" s="52"/>
      <c r="K1438" s="19"/>
      <c r="L1438" s="19"/>
      <c r="M1438" s="19"/>
      <c r="N1438" s="19"/>
      <c r="O1438" s="19"/>
      <c r="P1438" s="19"/>
      <c r="Q1438" s="19"/>
      <c r="R1438" s="19"/>
      <c r="S1438" s="19"/>
      <c r="T1438" s="19"/>
      <c r="U1438" s="19"/>
      <c r="V1438" s="19"/>
      <c r="W1438" s="19"/>
      <c r="X1438" s="19"/>
      <c r="Y1438" s="19"/>
      <c r="Z1438" s="19"/>
      <c r="AA1438" s="19"/>
      <c r="AB1438" s="19"/>
      <c r="AC1438" s="19"/>
      <c r="AD1438" s="19"/>
      <c r="AE1438" s="19"/>
      <c r="AF1438" s="19"/>
      <c r="AG1438" s="19"/>
      <c r="AH1438" s="19"/>
      <c r="AI1438" s="19"/>
      <c r="AJ1438" s="19"/>
      <c r="FM1438" s="54"/>
    </row>
    <row r="1439" spans="1:169" s="18" customFormat="1">
      <c r="A1439" s="51"/>
      <c r="B1439" s="52"/>
      <c r="C1439" s="52"/>
      <c r="D1439" s="52"/>
      <c r="E1439" s="52"/>
      <c r="F1439" s="52"/>
      <c r="G1439" s="52"/>
      <c r="H1439" s="53"/>
      <c r="I1439" s="52"/>
      <c r="J1439" s="52"/>
      <c r="K1439" s="19"/>
      <c r="L1439" s="19"/>
      <c r="M1439" s="19"/>
      <c r="N1439" s="19"/>
      <c r="O1439" s="19"/>
      <c r="P1439" s="19"/>
      <c r="Q1439" s="19"/>
      <c r="R1439" s="19"/>
      <c r="S1439" s="19"/>
      <c r="T1439" s="19"/>
      <c r="U1439" s="19"/>
      <c r="V1439" s="19"/>
      <c r="W1439" s="19"/>
      <c r="X1439" s="19"/>
      <c r="Y1439" s="19"/>
      <c r="Z1439" s="19"/>
      <c r="AA1439" s="19"/>
      <c r="AB1439" s="19"/>
      <c r="AC1439" s="19"/>
      <c r="AD1439" s="19"/>
      <c r="AE1439" s="19"/>
      <c r="AF1439" s="19"/>
      <c r="AG1439" s="19"/>
      <c r="AH1439" s="19"/>
      <c r="AI1439" s="19"/>
      <c r="AJ1439" s="19"/>
      <c r="FM1439" s="54"/>
    </row>
    <row r="1440" spans="1:169" s="18" customFormat="1">
      <c r="A1440" s="51"/>
      <c r="B1440" s="52"/>
      <c r="C1440" s="52"/>
      <c r="D1440" s="52"/>
      <c r="E1440" s="52"/>
      <c r="F1440" s="52"/>
      <c r="G1440" s="52"/>
      <c r="H1440" s="53"/>
      <c r="I1440" s="52"/>
      <c r="J1440" s="52"/>
      <c r="K1440" s="19"/>
      <c r="L1440" s="19"/>
      <c r="M1440" s="19"/>
      <c r="N1440" s="19"/>
      <c r="O1440" s="19"/>
      <c r="P1440" s="19"/>
      <c r="Q1440" s="19"/>
      <c r="R1440" s="19"/>
      <c r="S1440" s="19"/>
      <c r="T1440" s="19"/>
      <c r="U1440" s="19"/>
      <c r="V1440" s="19"/>
      <c r="W1440" s="19"/>
      <c r="X1440" s="19"/>
      <c r="Y1440" s="19"/>
      <c r="Z1440" s="19"/>
      <c r="AA1440" s="19"/>
      <c r="AB1440" s="19"/>
      <c r="AC1440" s="19"/>
      <c r="AD1440" s="19"/>
      <c r="AE1440" s="19"/>
      <c r="AF1440" s="19"/>
      <c r="AG1440" s="19"/>
      <c r="AH1440" s="19"/>
      <c r="AI1440" s="19"/>
      <c r="AJ1440" s="19"/>
      <c r="FM1440" s="54"/>
    </row>
    <row r="1441" spans="1:169" s="18" customFormat="1">
      <c r="A1441" s="51"/>
      <c r="B1441" s="52"/>
      <c r="C1441" s="52"/>
      <c r="D1441" s="52"/>
      <c r="E1441" s="52"/>
      <c r="F1441" s="52"/>
      <c r="G1441" s="52"/>
      <c r="H1441" s="53"/>
      <c r="I1441" s="52"/>
      <c r="J1441" s="52"/>
      <c r="K1441" s="19"/>
      <c r="L1441" s="19"/>
      <c r="M1441" s="19"/>
      <c r="N1441" s="19"/>
      <c r="O1441" s="19"/>
      <c r="P1441" s="19"/>
      <c r="Q1441" s="19"/>
      <c r="R1441" s="19"/>
      <c r="S1441" s="19"/>
      <c r="T1441" s="19"/>
      <c r="U1441" s="19"/>
      <c r="V1441" s="19"/>
      <c r="W1441" s="19"/>
      <c r="X1441" s="19"/>
      <c r="Y1441" s="19"/>
      <c r="Z1441" s="19"/>
      <c r="AA1441" s="19"/>
      <c r="AB1441" s="19"/>
      <c r="AC1441" s="19"/>
      <c r="AD1441" s="19"/>
      <c r="AE1441" s="19"/>
      <c r="AF1441" s="19"/>
      <c r="AG1441" s="19"/>
      <c r="AH1441" s="19"/>
      <c r="AI1441" s="19"/>
      <c r="AJ1441" s="19"/>
      <c r="FM1441" s="54"/>
    </row>
    <row r="1442" spans="1:169" s="18" customFormat="1">
      <c r="A1442" s="51"/>
      <c r="B1442" s="52"/>
      <c r="C1442" s="52"/>
      <c r="D1442" s="52"/>
      <c r="E1442" s="52"/>
      <c r="F1442" s="52"/>
      <c r="G1442" s="52"/>
      <c r="H1442" s="53"/>
      <c r="I1442" s="52"/>
      <c r="J1442" s="52"/>
      <c r="K1442" s="19"/>
      <c r="L1442" s="19"/>
      <c r="M1442" s="19"/>
      <c r="N1442" s="19"/>
      <c r="O1442" s="19"/>
      <c r="P1442" s="19"/>
      <c r="Q1442" s="19"/>
      <c r="R1442" s="19"/>
      <c r="S1442" s="19"/>
      <c r="T1442" s="19"/>
      <c r="U1442" s="19"/>
      <c r="V1442" s="19"/>
      <c r="W1442" s="19"/>
      <c r="X1442" s="19"/>
      <c r="Y1442" s="19"/>
      <c r="Z1442" s="19"/>
      <c r="AA1442" s="19"/>
      <c r="AB1442" s="19"/>
      <c r="AC1442" s="19"/>
      <c r="AD1442" s="19"/>
      <c r="AE1442" s="19"/>
      <c r="AF1442" s="19"/>
      <c r="AG1442" s="19"/>
      <c r="AH1442" s="19"/>
      <c r="AI1442" s="19"/>
      <c r="AJ1442" s="19"/>
      <c r="FM1442" s="54"/>
    </row>
    <row r="1443" spans="1:169" s="18" customFormat="1">
      <c r="A1443" s="51"/>
      <c r="B1443" s="52"/>
      <c r="C1443" s="52"/>
      <c r="D1443" s="52"/>
      <c r="E1443" s="52"/>
      <c r="F1443" s="52"/>
      <c r="G1443" s="52"/>
      <c r="H1443" s="53"/>
      <c r="I1443" s="52"/>
      <c r="J1443" s="52"/>
      <c r="K1443" s="19"/>
      <c r="L1443" s="19"/>
      <c r="M1443" s="19"/>
      <c r="N1443" s="19"/>
      <c r="O1443" s="19"/>
      <c r="P1443" s="19"/>
      <c r="Q1443" s="19"/>
      <c r="R1443" s="19"/>
      <c r="S1443" s="19"/>
      <c r="T1443" s="19"/>
      <c r="U1443" s="19"/>
      <c r="V1443" s="19"/>
      <c r="W1443" s="19"/>
      <c r="X1443" s="19"/>
      <c r="Y1443" s="19"/>
      <c r="Z1443" s="19"/>
      <c r="AA1443" s="19"/>
      <c r="AB1443" s="19"/>
      <c r="AC1443" s="19"/>
      <c r="AD1443" s="19"/>
      <c r="AE1443" s="19"/>
      <c r="AF1443" s="19"/>
      <c r="AG1443" s="19"/>
      <c r="AH1443" s="19"/>
      <c r="AI1443" s="19"/>
      <c r="AJ1443" s="19"/>
      <c r="FM1443" s="54"/>
    </row>
    <row r="1444" spans="1:169" s="18" customFormat="1">
      <c r="A1444" s="51"/>
      <c r="B1444" s="52"/>
      <c r="C1444" s="52"/>
      <c r="D1444" s="52"/>
      <c r="E1444" s="52"/>
      <c r="F1444" s="52"/>
      <c r="G1444" s="52"/>
      <c r="H1444" s="53"/>
      <c r="I1444" s="52"/>
      <c r="J1444" s="52"/>
      <c r="K1444" s="19"/>
      <c r="L1444" s="19"/>
      <c r="M1444" s="19"/>
      <c r="N1444" s="19"/>
      <c r="O1444" s="19"/>
      <c r="P1444" s="19"/>
      <c r="Q1444" s="19"/>
      <c r="R1444" s="19"/>
      <c r="S1444" s="19"/>
      <c r="T1444" s="19"/>
      <c r="U1444" s="19"/>
      <c r="V1444" s="19"/>
      <c r="W1444" s="19"/>
      <c r="X1444" s="19"/>
      <c r="Y1444" s="19"/>
      <c r="Z1444" s="19"/>
      <c r="AA1444" s="19"/>
      <c r="AB1444" s="19"/>
      <c r="AC1444" s="19"/>
      <c r="AD1444" s="19"/>
      <c r="AE1444" s="19"/>
      <c r="AF1444" s="19"/>
      <c r="AG1444" s="19"/>
      <c r="AH1444" s="19"/>
      <c r="AI1444" s="19"/>
      <c r="AJ1444" s="19"/>
      <c r="FM1444" s="54"/>
    </row>
    <row r="1445" spans="1:169" s="18" customFormat="1">
      <c r="A1445" s="51"/>
      <c r="B1445" s="52"/>
      <c r="C1445" s="52"/>
      <c r="D1445" s="52"/>
      <c r="E1445" s="52"/>
      <c r="F1445" s="52"/>
      <c r="G1445" s="52"/>
      <c r="H1445" s="53"/>
      <c r="I1445" s="52"/>
      <c r="J1445" s="52"/>
      <c r="K1445" s="19"/>
      <c r="L1445" s="19"/>
      <c r="M1445" s="19"/>
      <c r="N1445" s="19"/>
      <c r="O1445" s="19"/>
      <c r="P1445" s="19"/>
      <c r="Q1445" s="19"/>
      <c r="R1445" s="19"/>
      <c r="S1445" s="19"/>
      <c r="T1445" s="19"/>
      <c r="U1445" s="19"/>
      <c r="V1445" s="19"/>
      <c r="W1445" s="19"/>
      <c r="X1445" s="19"/>
      <c r="Y1445" s="19"/>
      <c r="Z1445" s="19"/>
      <c r="AA1445" s="19"/>
      <c r="AB1445" s="19"/>
      <c r="AC1445" s="19"/>
      <c r="AD1445" s="19"/>
      <c r="AE1445" s="19"/>
      <c r="AF1445" s="19"/>
      <c r="AG1445" s="19"/>
      <c r="AH1445" s="19"/>
      <c r="AI1445" s="19"/>
      <c r="AJ1445" s="19"/>
      <c r="FM1445" s="54"/>
    </row>
    <row r="1446" spans="1:169" s="18" customFormat="1">
      <c r="A1446" s="51"/>
      <c r="B1446" s="52"/>
      <c r="C1446" s="52"/>
      <c r="D1446" s="52"/>
      <c r="E1446" s="52"/>
      <c r="F1446" s="52"/>
      <c r="G1446" s="52"/>
      <c r="H1446" s="53"/>
      <c r="I1446" s="52"/>
      <c r="J1446" s="52"/>
      <c r="K1446" s="19"/>
      <c r="L1446" s="19"/>
      <c r="M1446" s="19"/>
      <c r="N1446" s="19"/>
      <c r="O1446" s="19"/>
      <c r="P1446" s="19"/>
      <c r="Q1446" s="19"/>
      <c r="R1446" s="19"/>
      <c r="S1446" s="19"/>
      <c r="T1446" s="19"/>
      <c r="U1446" s="19"/>
      <c r="V1446" s="19"/>
      <c r="W1446" s="19"/>
      <c r="X1446" s="19"/>
      <c r="Y1446" s="19"/>
      <c r="Z1446" s="19"/>
      <c r="AA1446" s="19"/>
      <c r="AB1446" s="19"/>
      <c r="AC1446" s="19"/>
      <c r="AD1446" s="19"/>
      <c r="AE1446" s="19"/>
      <c r="AF1446" s="19"/>
      <c r="AG1446" s="19"/>
      <c r="AH1446" s="19"/>
      <c r="AI1446" s="19"/>
      <c r="AJ1446" s="19"/>
      <c r="FM1446" s="54"/>
    </row>
    <row r="1447" spans="1:169" s="18" customFormat="1">
      <c r="A1447" s="51"/>
      <c r="B1447" s="52"/>
      <c r="C1447" s="52"/>
      <c r="D1447" s="52"/>
      <c r="E1447" s="52"/>
      <c r="F1447" s="52"/>
      <c r="G1447" s="52"/>
      <c r="H1447" s="53"/>
      <c r="I1447" s="52"/>
      <c r="J1447" s="52"/>
      <c r="K1447" s="19"/>
      <c r="L1447" s="19"/>
      <c r="M1447" s="19"/>
      <c r="N1447" s="19"/>
      <c r="O1447" s="19"/>
      <c r="P1447" s="19"/>
      <c r="Q1447" s="19"/>
      <c r="R1447" s="19"/>
      <c r="S1447" s="19"/>
      <c r="T1447" s="19"/>
      <c r="U1447" s="19"/>
      <c r="V1447" s="19"/>
      <c r="W1447" s="19"/>
      <c r="X1447" s="19"/>
      <c r="Y1447" s="19"/>
      <c r="Z1447" s="19"/>
      <c r="AA1447" s="19"/>
      <c r="AB1447" s="19"/>
      <c r="AC1447" s="19"/>
      <c r="AD1447" s="19"/>
      <c r="AE1447" s="19"/>
      <c r="AF1447" s="19"/>
      <c r="AG1447" s="19"/>
      <c r="AH1447" s="19"/>
      <c r="AI1447" s="19"/>
      <c r="AJ1447" s="19"/>
      <c r="FM1447" s="54"/>
    </row>
    <row r="1448" spans="1:169" s="18" customFormat="1">
      <c r="A1448" s="51"/>
      <c r="B1448" s="52"/>
      <c r="C1448" s="52"/>
      <c r="D1448" s="52"/>
      <c r="E1448" s="52"/>
      <c r="F1448" s="52"/>
      <c r="G1448" s="52"/>
      <c r="H1448" s="53"/>
      <c r="I1448" s="52"/>
      <c r="J1448" s="52"/>
      <c r="K1448" s="19"/>
      <c r="L1448" s="19"/>
      <c r="M1448" s="19"/>
      <c r="N1448" s="19"/>
      <c r="O1448" s="19"/>
      <c r="P1448" s="19"/>
      <c r="Q1448" s="19"/>
      <c r="R1448" s="19"/>
      <c r="S1448" s="19"/>
      <c r="T1448" s="19"/>
      <c r="U1448" s="19"/>
      <c r="V1448" s="19"/>
      <c r="W1448" s="19"/>
      <c r="X1448" s="19"/>
      <c r="Y1448" s="19"/>
      <c r="Z1448" s="19"/>
      <c r="AA1448" s="19"/>
      <c r="AB1448" s="19"/>
      <c r="AC1448" s="19"/>
      <c r="AD1448" s="19"/>
      <c r="AE1448" s="19"/>
      <c r="AF1448" s="19"/>
      <c r="AG1448" s="19"/>
      <c r="AH1448" s="19"/>
      <c r="AI1448" s="19"/>
      <c r="AJ1448" s="19"/>
      <c r="FM1448" s="54"/>
    </row>
    <row r="1449" spans="1:169" s="18" customFormat="1">
      <c r="A1449" s="51"/>
      <c r="B1449" s="52"/>
      <c r="C1449" s="52"/>
      <c r="D1449" s="52"/>
      <c r="E1449" s="52"/>
      <c r="F1449" s="52"/>
      <c r="G1449" s="52"/>
      <c r="H1449" s="53"/>
      <c r="I1449" s="52"/>
      <c r="J1449" s="52"/>
      <c r="K1449" s="19"/>
      <c r="L1449" s="19"/>
      <c r="M1449" s="19"/>
      <c r="N1449" s="19"/>
      <c r="O1449" s="19"/>
      <c r="P1449" s="19"/>
      <c r="Q1449" s="19"/>
      <c r="R1449" s="19"/>
      <c r="S1449" s="19"/>
      <c r="T1449" s="19"/>
      <c r="U1449" s="19"/>
      <c r="V1449" s="19"/>
      <c r="W1449" s="19"/>
      <c r="X1449" s="19"/>
      <c r="Y1449" s="19"/>
      <c r="Z1449" s="19"/>
      <c r="AA1449" s="19"/>
      <c r="AB1449" s="19"/>
      <c r="AC1449" s="19"/>
      <c r="AD1449" s="19"/>
      <c r="AE1449" s="19"/>
      <c r="AF1449" s="19"/>
      <c r="AG1449" s="19"/>
      <c r="AH1449" s="19"/>
      <c r="AI1449" s="19"/>
      <c r="AJ1449" s="19"/>
      <c r="FM1449" s="54"/>
    </row>
    <row r="1450" spans="1:169" s="18" customFormat="1">
      <c r="A1450" s="51"/>
      <c r="B1450" s="52"/>
      <c r="C1450" s="52"/>
      <c r="D1450" s="52"/>
      <c r="E1450" s="52"/>
      <c r="F1450" s="52"/>
      <c r="G1450" s="52"/>
      <c r="H1450" s="53"/>
      <c r="I1450" s="52"/>
      <c r="J1450" s="52"/>
      <c r="K1450" s="19"/>
      <c r="L1450" s="19"/>
      <c r="M1450" s="19"/>
      <c r="N1450" s="19"/>
      <c r="O1450" s="19"/>
      <c r="P1450" s="19"/>
      <c r="Q1450" s="19"/>
      <c r="R1450" s="19"/>
      <c r="S1450" s="19"/>
      <c r="T1450" s="19"/>
      <c r="U1450" s="19"/>
      <c r="V1450" s="19"/>
      <c r="W1450" s="19"/>
      <c r="X1450" s="19"/>
      <c r="Y1450" s="19"/>
      <c r="Z1450" s="19"/>
      <c r="AA1450" s="19"/>
      <c r="AB1450" s="19"/>
      <c r="AC1450" s="19"/>
      <c r="AD1450" s="19"/>
      <c r="AE1450" s="19"/>
      <c r="AF1450" s="19"/>
      <c r="AG1450" s="19"/>
      <c r="AH1450" s="19"/>
      <c r="AI1450" s="19"/>
      <c r="AJ1450" s="19"/>
      <c r="FM1450" s="54"/>
    </row>
    <row r="1451" spans="1:169" s="18" customFormat="1">
      <c r="A1451" s="51"/>
      <c r="B1451" s="52"/>
      <c r="C1451" s="52"/>
      <c r="D1451" s="52"/>
      <c r="E1451" s="52"/>
      <c r="F1451" s="52"/>
      <c r="G1451" s="52"/>
      <c r="H1451" s="53"/>
      <c r="I1451" s="52"/>
      <c r="J1451" s="52"/>
      <c r="K1451" s="19"/>
      <c r="L1451" s="19"/>
      <c r="M1451" s="19"/>
      <c r="N1451" s="19"/>
      <c r="O1451" s="19"/>
      <c r="P1451" s="19"/>
      <c r="Q1451" s="19"/>
      <c r="R1451" s="19"/>
      <c r="S1451" s="19"/>
      <c r="T1451" s="19"/>
      <c r="U1451" s="19"/>
      <c r="V1451" s="19"/>
      <c r="W1451" s="19"/>
      <c r="X1451" s="19"/>
      <c r="Y1451" s="19"/>
      <c r="Z1451" s="19"/>
      <c r="AA1451" s="19"/>
      <c r="AB1451" s="19"/>
      <c r="AC1451" s="19"/>
      <c r="AD1451" s="19"/>
      <c r="AE1451" s="19"/>
      <c r="AF1451" s="19"/>
      <c r="AG1451" s="19"/>
      <c r="AH1451" s="19"/>
      <c r="AI1451" s="19"/>
      <c r="AJ1451" s="19"/>
      <c r="FM1451" s="54"/>
    </row>
    <row r="1452" spans="1:169" s="18" customFormat="1">
      <c r="A1452" s="51"/>
      <c r="B1452" s="52"/>
      <c r="C1452" s="52"/>
      <c r="D1452" s="52"/>
      <c r="E1452" s="52"/>
      <c r="F1452" s="52"/>
      <c r="G1452" s="52"/>
      <c r="H1452" s="53"/>
      <c r="I1452" s="52"/>
      <c r="J1452" s="52"/>
      <c r="K1452" s="19"/>
      <c r="L1452" s="19"/>
      <c r="M1452" s="19"/>
      <c r="N1452" s="19"/>
      <c r="O1452" s="19"/>
      <c r="P1452" s="19"/>
      <c r="Q1452" s="19"/>
      <c r="R1452" s="19"/>
      <c r="S1452" s="19"/>
      <c r="T1452" s="19"/>
      <c r="U1452" s="19"/>
      <c r="V1452" s="19"/>
      <c r="W1452" s="19"/>
      <c r="X1452" s="19"/>
      <c r="Y1452" s="19"/>
      <c r="Z1452" s="19"/>
      <c r="AA1452" s="19"/>
      <c r="AB1452" s="19"/>
      <c r="AC1452" s="19"/>
      <c r="AD1452" s="19"/>
      <c r="AE1452" s="19"/>
      <c r="AF1452" s="19"/>
      <c r="AG1452" s="19"/>
      <c r="AH1452" s="19"/>
      <c r="AI1452" s="19"/>
      <c r="AJ1452" s="19"/>
      <c r="FM1452" s="54"/>
    </row>
    <row r="1453" spans="1:169" s="18" customFormat="1">
      <c r="A1453" s="51"/>
      <c r="B1453" s="52"/>
      <c r="C1453" s="52"/>
      <c r="D1453" s="52"/>
      <c r="E1453" s="52"/>
      <c r="F1453" s="52"/>
      <c r="G1453" s="52"/>
      <c r="H1453" s="53"/>
      <c r="I1453" s="52"/>
      <c r="J1453" s="52"/>
      <c r="K1453" s="19"/>
      <c r="L1453" s="19"/>
      <c r="M1453" s="19"/>
      <c r="N1453" s="19"/>
      <c r="O1453" s="19"/>
      <c r="P1453" s="19"/>
      <c r="Q1453" s="19"/>
      <c r="R1453" s="19"/>
      <c r="S1453" s="19"/>
      <c r="T1453" s="19"/>
      <c r="U1453" s="19"/>
      <c r="V1453" s="19"/>
      <c r="W1453" s="19"/>
      <c r="X1453" s="19"/>
      <c r="Y1453" s="19"/>
      <c r="Z1453" s="19"/>
      <c r="AA1453" s="19"/>
      <c r="AB1453" s="19"/>
      <c r="AC1453" s="19"/>
      <c r="AD1453" s="19"/>
      <c r="AE1453" s="19"/>
      <c r="AF1453" s="19"/>
      <c r="AG1453" s="19"/>
      <c r="AH1453" s="19"/>
      <c r="AI1453" s="19"/>
      <c r="AJ1453" s="19"/>
      <c r="FM1453" s="54"/>
    </row>
    <row r="1454" spans="1:169" s="18" customFormat="1">
      <c r="A1454" s="51"/>
      <c r="B1454" s="52"/>
      <c r="C1454" s="52"/>
      <c r="D1454" s="52"/>
      <c r="E1454" s="52"/>
      <c r="F1454" s="52"/>
      <c r="G1454" s="52"/>
      <c r="H1454" s="53"/>
      <c r="I1454" s="52"/>
      <c r="J1454" s="52"/>
      <c r="K1454" s="19"/>
      <c r="L1454" s="19"/>
      <c r="M1454" s="19"/>
      <c r="N1454" s="19"/>
      <c r="O1454" s="19"/>
      <c r="P1454" s="19"/>
      <c r="Q1454" s="19"/>
      <c r="R1454" s="19"/>
      <c r="S1454" s="19"/>
      <c r="T1454" s="19"/>
      <c r="U1454" s="19"/>
      <c r="V1454" s="19"/>
      <c r="W1454" s="19"/>
      <c r="X1454" s="19"/>
      <c r="Y1454" s="19"/>
      <c r="Z1454" s="19"/>
      <c r="AA1454" s="19"/>
      <c r="AB1454" s="19"/>
      <c r="AC1454" s="19"/>
      <c r="AD1454" s="19"/>
      <c r="AE1454" s="19"/>
      <c r="AF1454" s="19"/>
      <c r="AG1454" s="19"/>
      <c r="AH1454" s="19"/>
      <c r="AI1454" s="19"/>
      <c r="AJ1454" s="19"/>
      <c r="FM1454" s="54"/>
    </row>
    <row r="1455" spans="1:169" s="18" customFormat="1">
      <c r="A1455" s="51"/>
      <c r="B1455" s="52"/>
      <c r="C1455" s="52"/>
      <c r="D1455" s="52"/>
      <c r="E1455" s="52"/>
      <c r="F1455" s="52"/>
      <c r="G1455" s="52"/>
      <c r="H1455" s="53"/>
      <c r="I1455" s="52"/>
      <c r="J1455" s="52"/>
      <c r="K1455" s="19"/>
      <c r="L1455" s="19"/>
      <c r="M1455" s="19"/>
      <c r="N1455" s="19"/>
      <c r="O1455" s="19"/>
      <c r="P1455" s="19"/>
      <c r="Q1455" s="19"/>
      <c r="R1455" s="19"/>
      <c r="S1455" s="19"/>
      <c r="T1455" s="19"/>
      <c r="U1455" s="19"/>
      <c r="V1455" s="19"/>
      <c r="W1455" s="19"/>
      <c r="X1455" s="19"/>
      <c r="Y1455" s="19"/>
      <c r="Z1455" s="19"/>
      <c r="AA1455" s="19"/>
      <c r="AB1455" s="19"/>
      <c r="AC1455" s="19"/>
      <c r="AD1455" s="19"/>
      <c r="AE1455" s="19"/>
      <c r="AF1455" s="19"/>
      <c r="AG1455" s="19"/>
      <c r="AH1455" s="19"/>
      <c r="AI1455" s="19"/>
      <c r="AJ1455" s="19"/>
      <c r="FM1455" s="54"/>
    </row>
    <row r="1456" spans="1:169" s="18" customFormat="1">
      <c r="A1456" s="51"/>
      <c r="B1456" s="52"/>
      <c r="C1456" s="52"/>
      <c r="D1456" s="52"/>
      <c r="E1456" s="52"/>
      <c r="F1456" s="52"/>
      <c r="G1456" s="52"/>
      <c r="H1456" s="53"/>
      <c r="I1456" s="52"/>
      <c r="J1456" s="52"/>
      <c r="K1456" s="19"/>
      <c r="L1456" s="19"/>
      <c r="M1456" s="19"/>
      <c r="N1456" s="19"/>
      <c r="O1456" s="19"/>
      <c r="P1456" s="19"/>
      <c r="Q1456" s="19"/>
      <c r="R1456" s="19"/>
      <c r="S1456" s="19"/>
      <c r="T1456" s="19"/>
      <c r="U1456" s="19"/>
      <c r="V1456" s="19"/>
      <c r="W1456" s="19"/>
      <c r="X1456" s="19"/>
      <c r="Y1456" s="19"/>
      <c r="Z1456" s="19"/>
      <c r="AA1456" s="19"/>
      <c r="AB1456" s="19"/>
      <c r="AC1456" s="19"/>
      <c r="AD1456" s="19"/>
      <c r="AE1456" s="19"/>
      <c r="AF1456" s="19"/>
      <c r="AG1456" s="19"/>
      <c r="AH1456" s="19"/>
      <c r="AI1456" s="19"/>
      <c r="AJ1456" s="19"/>
      <c r="FM1456" s="54"/>
    </row>
    <row r="1457" spans="1:169" s="18" customFormat="1">
      <c r="A1457" s="51"/>
      <c r="B1457" s="52"/>
      <c r="C1457" s="52"/>
      <c r="D1457" s="52"/>
      <c r="E1457" s="52"/>
      <c r="F1457" s="52"/>
      <c r="G1457" s="52"/>
      <c r="H1457" s="53"/>
      <c r="I1457" s="52"/>
      <c r="J1457" s="52"/>
      <c r="K1457" s="19"/>
      <c r="L1457" s="19"/>
      <c r="M1457" s="19"/>
      <c r="N1457" s="19"/>
      <c r="O1457" s="19"/>
      <c r="P1457" s="19"/>
      <c r="Q1457" s="19"/>
      <c r="R1457" s="19"/>
      <c r="S1457" s="19"/>
      <c r="T1457" s="19"/>
      <c r="U1457" s="19"/>
      <c r="V1457" s="19"/>
      <c r="W1457" s="19"/>
      <c r="X1457" s="19"/>
      <c r="Y1457" s="19"/>
      <c r="Z1457" s="19"/>
      <c r="AA1457" s="19"/>
      <c r="AB1457" s="19"/>
      <c r="AC1457" s="19"/>
      <c r="AD1457" s="19"/>
      <c r="AE1457" s="19"/>
      <c r="AF1457" s="19"/>
      <c r="AG1457" s="19"/>
      <c r="AH1457" s="19"/>
      <c r="AI1457" s="19"/>
      <c r="AJ1457" s="19"/>
      <c r="FM1457" s="54"/>
    </row>
    <row r="1458" spans="1:169" s="18" customFormat="1">
      <c r="A1458" s="51"/>
      <c r="B1458" s="52"/>
      <c r="C1458" s="52"/>
      <c r="D1458" s="52"/>
      <c r="E1458" s="52"/>
      <c r="F1458" s="52"/>
      <c r="G1458" s="52"/>
      <c r="H1458" s="53"/>
      <c r="I1458" s="52"/>
      <c r="J1458" s="52"/>
      <c r="K1458" s="19"/>
      <c r="L1458" s="19"/>
      <c r="M1458" s="19"/>
      <c r="N1458" s="19"/>
      <c r="O1458" s="19"/>
      <c r="P1458" s="19"/>
      <c r="Q1458" s="19"/>
      <c r="R1458" s="19"/>
      <c r="S1458" s="19"/>
      <c r="T1458" s="19"/>
      <c r="U1458" s="19"/>
      <c r="V1458" s="19"/>
      <c r="W1458" s="19"/>
      <c r="X1458" s="19"/>
      <c r="Y1458" s="19"/>
      <c r="Z1458" s="19"/>
      <c r="AA1458" s="19"/>
      <c r="AB1458" s="19"/>
      <c r="AC1458" s="19"/>
      <c r="AD1458" s="19"/>
      <c r="AE1458" s="19"/>
      <c r="AF1458" s="19"/>
      <c r="AG1458" s="19"/>
      <c r="AH1458" s="19"/>
      <c r="AI1458" s="19"/>
      <c r="AJ1458" s="19"/>
      <c r="FM1458" s="54"/>
    </row>
    <row r="1459" spans="1:169" s="18" customFormat="1">
      <c r="A1459" s="51"/>
      <c r="B1459" s="52"/>
      <c r="C1459" s="52"/>
      <c r="D1459" s="52"/>
      <c r="E1459" s="52"/>
      <c r="F1459" s="52"/>
      <c r="G1459" s="52"/>
      <c r="H1459" s="53"/>
      <c r="I1459" s="52"/>
      <c r="J1459" s="52"/>
      <c r="K1459" s="19"/>
      <c r="L1459" s="19"/>
      <c r="M1459" s="19"/>
      <c r="N1459" s="19"/>
      <c r="O1459" s="19"/>
      <c r="P1459" s="19"/>
      <c r="Q1459" s="19"/>
      <c r="R1459" s="19"/>
      <c r="S1459" s="19"/>
      <c r="T1459" s="19"/>
      <c r="U1459" s="19"/>
      <c r="V1459" s="19"/>
      <c r="W1459" s="19"/>
      <c r="X1459" s="19"/>
      <c r="Y1459" s="19"/>
      <c r="Z1459" s="19"/>
      <c r="AA1459" s="19"/>
      <c r="AB1459" s="19"/>
      <c r="AC1459" s="19"/>
      <c r="AD1459" s="19"/>
      <c r="AE1459" s="19"/>
      <c r="AF1459" s="19"/>
      <c r="AG1459" s="19"/>
      <c r="AH1459" s="19"/>
      <c r="AI1459" s="19"/>
      <c r="AJ1459" s="19"/>
      <c r="FM1459" s="54"/>
    </row>
    <row r="1460" spans="1:169" s="18" customFormat="1">
      <c r="A1460" s="51"/>
      <c r="B1460" s="52"/>
      <c r="C1460" s="52"/>
      <c r="D1460" s="52"/>
      <c r="E1460" s="52"/>
      <c r="F1460" s="52"/>
      <c r="G1460" s="52"/>
      <c r="H1460" s="53"/>
      <c r="I1460" s="52"/>
      <c r="J1460" s="52"/>
      <c r="K1460" s="19"/>
      <c r="L1460" s="19"/>
      <c r="M1460" s="19"/>
      <c r="N1460" s="19"/>
      <c r="O1460" s="19"/>
      <c r="P1460" s="19"/>
      <c r="Q1460" s="19"/>
      <c r="R1460" s="19"/>
      <c r="S1460" s="19"/>
      <c r="T1460" s="19"/>
      <c r="U1460" s="19"/>
      <c r="V1460" s="19"/>
      <c r="W1460" s="19"/>
      <c r="X1460" s="19"/>
      <c r="Y1460" s="19"/>
      <c r="Z1460" s="19"/>
      <c r="AA1460" s="19"/>
      <c r="AB1460" s="19"/>
      <c r="AC1460" s="19"/>
      <c r="AD1460" s="19"/>
      <c r="AE1460" s="19"/>
      <c r="AF1460" s="19"/>
      <c r="AG1460" s="19"/>
      <c r="AH1460" s="19"/>
      <c r="AI1460" s="19"/>
      <c r="AJ1460" s="19"/>
      <c r="FM1460" s="54"/>
    </row>
    <row r="1461" spans="1:169" s="18" customFormat="1">
      <c r="A1461" s="51"/>
      <c r="B1461" s="52"/>
      <c r="C1461" s="52"/>
      <c r="D1461" s="52"/>
      <c r="E1461" s="52"/>
      <c r="F1461" s="52"/>
      <c r="G1461" s="52"/>
      <c r="H1461" s="53"/>
      <c r="I1461" s="52"/>
      <c r="J1461" s="52"/>
      <c r="K1461" s="19"/>
      <c r="L1461" s="19"/>
      <c r="M1461" s="19"/>
      <c r="N1461" s="19"/>
      <c r="O1461" s="19"/>
      <c r="P1461" s="19"/>
      <c r="Q1461" s="19"/>
      <c r="R1461" s="19"/>
      <c r="S1461" s="19"/>
      <c r="T1461" s="19"/>
      <c r="U1461" s="19"/>
      <c r="V1461" s="19"/>
      <c r="W1461" s="19"/>
      <c r="X1461" s="19"/>
      <c r="Y1461" s="19"/>
      <c r="Z1461" s="19"/>
      <c r="AA1461" s="19"/>
      <c r="AB1461" s="19"/>
      <c r="AC1461" s="19"/>
      <c r="AD1461" s="19"/>
      <c r="AE1461" s="19"/>
      <c r="AF1461" s="19"/>
      <c r="AG1461" s="19"/>
      <c r="AH1461" s="19"/>
      <c r="AI1461" s="19"/>
      <c r="AJ1461" s="19"/>
      <c r="FM1461" s="54"/>
    </row>
    <row r="1462" spans="1:169" s="18" customFormat="1">
      <c r="A1462" s="51"/>
      <c r="B1462" s="52"/>
      <c r="C1462" s="52"/>
      <c r="D1462" s="52"/>
      <c r="E1462" s="52"/>
      <c r="F1462" s="52"/>
      <c r="G1462" s="52"/>
      <c r="H1462" s="53"/>
      <c r="I1462" s="52"/>
      <c r="J1462" s="52"/>
      <c r="K1462" s="19"/>
      <c r="L1462" s="19"/>
      <c r="M1462" s="19"/>
      <c r="N1462" s="19"/>
      <c r="O1462" s="19"/>
      <c r="P1462" s="19"/>
      <c r="Q1462" s="19"/>
      <c r="R1462" s="19"/>
      <c r="S1462" s="19"/>
      <c r="T1462" s="19"/>
      <c r="U1462" s="19"/>
      <c r="V1462" s="19"/>
      <c r="W1462" s="19"/>
      <c r="X1462" s="19"/>
      <c r="Y1462" s="19"/>
      <c r="Z1462" s="19"/>
      <c r="AA1462" s="19"/>
      <c r="AB1462" s="19"/>
      <c r="AC1462" s="19"/>
      <c r="AD1462" s="19"/>
      <c r="AE1462" s="19"/>
      <c r="AF1462" s="19"/>
      <c r="AG1462" s="19"/>
      <c r="AH1462" s="19"/>
      <c r="AI1462" s="19"/>
      <c r="AJ1462" s="19"/>
      <c r="FM1462" s="54"/>
    </row>
    <row r="1463" spans="1:169" s="18" customFormat="1">
      <c r="A1463" s="51"/>
      <c r="B1463" s="52"/>
      <c r="C1463" s="52"/>
      <c r="D1463" s="52"/>
      <c r="E1463" s="52"/>
      <c r="F1463" s="52"/>
      <c r="G1463" s="52"/>
      <c r="H1463" s="53"/>
      <c r="I1463" s="52"/>
      <c r="J1463" s="52"/>
      <c r="K1463" s="19"/>
      <c r="L1463" s="19"/>
      <c r="M1463" s="19"/>
      <c r="N1463" s="19"/>
      <c r="O1463" s="19"/>
      <c r="P1463" s="19"/>
      <c r="Q1463" s="19"/>
      <c r="R1463" s="19"/>
      <c r="S1463" s="19"/>
      <c r="T1463" s="19"/>
      <c r="U1463" s="19"/>
      <c r="V1463" s="19"/>
      <c r="W1463" s="19"/>
      <c r="X1463" s="19"/>
      <c r="Y1463" s="19"/>
      <c r="Z1463" s="19"/>
      <c r="AA1463" s="19"/>
      <c r="AB1463" s="19"/>
      <c r="AC1463" s="19"/>
      <c r="AD1463" s="19"/>
      <c r="AE1463" s="19"/>
      <c r="AF1463" s="19"/>
      <c r="AG1463" s="19"/>
      <c r="AH1463" s="19"/>
      <c r="AI1463" s="19"/>
      <c r="AJ1463" s="19"/>
      <c r="FM1463" s="54"/>
    </row>
    <row r="1464" spans="1:169" s="18" customFormat="1">
      <c r="A1464" s="51"/>
      <c r="B1464" s="52"/>
      <c r="C1464" s="52"/>
      <c r="D1464" s="52"/>
      <c r="E1464" s="52"/>
      <c r="F1464" s="52"/>
      <c r="G1464" s="52"/>
      <c r="H1464" s="53"/>
      <c r="I1464" s="52"/>
      <c r="J1464" s="52"/>
      <c r="K1464" s="19"/>
      <c r="L1464" s="19"/>
      <c r="M1464" s="19"/>
      <c r="N1464" s="19"/>
      <c r="O1464" s="19"/>
      <c r="P1464" s="19"/>
      <c r="Q1464" s="19"/>
      <c r="R1464" s="19"/>
      <c r="S1464" s="19"/>
      <c r="T1464" s="19"/>
      <c r="U1464" s="19"/>
      <c r="V1464" s="19"/>
      <c r="W1464" s="19"/>
      <c r="X1464" s="19"/>
      <c r="Y1464" s="19"/>
      <c r="Z1464" s="19"/>
      <c r="AA1464" s="19"/>
      <c r="AB1464" s="19"/>
      <c r="AC1464" s="19"/>
      <c r="AD1464" s="19"/>
      <c r="AE1464" s="19"/>
      <c r="AF1464" s="19"/>
      <c r="AG1464" s="19"/>
      <c r="AH1464" s="19"/>
      <c r="AI1464" s="19"/>
      <c r="AJ1464" s="19"/>
      <c r="FM1464" s="54"/>
    </row>
    <row r="1465" spans="1:169" s="18" customFormat="1">
      <c r="A1465" s="51"/>
      <c r="B1465" s="52"/>
      <c r="C1465" s="52"/>
      <c r="D1465" s="52"/>
      <c r="E1465" s="52"/>
      <c r="F1465" s="52"/>
      <c r="G1465" s="52"/>
      <c r="H1465" s="53"/>
      <c r="I1465" s="52"/>
      <c r="J1465" s="52"/>
      <c r="K1465" s="19"/>
      <c r="L1465" s="19"/>
      <c r="M1465" s="19"/>
      <c r="N1465" s="19"/>
      <c r="O1465" s="19"/>
      <c r="P1465" s="19"/>
      <c r="Q1465" s="19"/>
      <c r="R1465" s="19"/>
      <c r="S1465" s="19"/>
      <c r="T1465" s="19"/>
      <c r="U1465" s="19"/>
      <c r="V1465" s="19"/>
      <c r="W1465" s="19"/>
      <c r="X1465" s="19"/>
      <c r="Y1465" s="19"/>
      <c r="Z1465" s="19"/>
      <c r="AA1465" s="19"/>
      <c r="AB1465" s="19"/>
      <c r="AC1465" s="19"/>
      <c r="AD1465" s="19"/>
      <c r="AE1465" s="19"/>
      <c r="AF1465" s="19"/>
      <c r="AG1465" s="19"/>
      <c r="AH1465" s="19"/>
      <c r="AI1465" s="19"/>
      <c r="AJ1465" s="19"/>
      <c r="FM1465" s="54"/>
    </row>
    <row r="1466" spans="1:169" s="18" customFormat="1">
      <c r="A1466" s="51"/>
      <c r="B1466" s="52"/>
      <c r="C1466" s="52"/>
      <c r="D1466" s="52"/>
      <c r="E1466" s="52"/>
      <c r="F1466" s="52"/>
      <c r="G1466" s="52"/>
      <c r="H1466" s="53"/>
      <c r="I1466" s="52"/>
      <c r="J1466" s="52"/>
      <c r="K1466" s="19"/>
      <c r="L1466" s="19"/>
      <c r="M1466" s="19"/>
      <c r="N1466" s="19"/>
      <c r="O1466" s="19"/>
      <c r="P1466" s="19"/>
      <c r="Q1466" s="19"/>
      <c r="R1466" s="19"/>
      <c r="S1466" s="19"/>
      <c r="T1466" s="19"/>
      <c r="U1466" s="19"/>
      <c r="V1466" s="19"/>
      <c r="W1466" s="19"/>
      <c r="X1466" s="19"/>
      <c r="Y1466" s="19"/>
      <c r="Z1466" s="19"/>
      <c r="AA1466" s="19"/>
      <c r="AB1466" s="19"/>
      <c r="AC1466" s="19"/>
      <c r="AD1466" s="19"/>
      <c r="AE1466" s="19"/>
      <c r="AF1466" s="19"/>
      <c r="AG1466" s="19"/>
      <c r="AH1466" s="19"/>
      <c r="AI1466" s="19"/>
      <c r="AJ1466" s="19"/>
      <c r="FM1466" s="54"/>
    </row>
    <row r="1467" spans="1:169" s="18" customFormat="1">
      <c r="A1467" s="51"/>
      <c r="B1467" s="52"/>
      <c r="C1467" s="52"/>
      <c r="D1467" s="52"/>
      <c r="E1467" s="52"/>
      <c r="F1467" s="52"/>
      <c r="G1467" s="52"/>
      <c r="H1467" s="53"/>
      <c r="I1467" s="52"/>
      <c r="J1467" s="52"/>
      <c r="K1467" s="19"/>
      <c r="L1467" s="19"/>
      <c r="M1467" s="19"/>
      <c r="N1467" s="19"/>
      <c r="O1467" s="19"/>
      <c r="P1467" s="19"/>
      <c r="Q1467" s="19"/>
      <c r="R1467" s="19"/>
      <c r="S1467" s="19"/>
      <c r="T1467" s="19"/>
      <c r="U1467" s="19"/>
      <c r="V1467" s="19"/>
      <c r="W1467" s="19"/>
      <c r="X1467" s="19"/>
      <c r="Y1467" s="19"/>
      <c r="Z1467" s="19"/>
      <c r="AA1467" s="19"/>
      <c r="AB1467" s="19"/>
      <c r="AC1467" s="19"/>
      <c r="AD1467" s="19"/>
      <c r="AE1467" s="19"/>
      <c r="AF1467" s="19"/>
      <c r="AG1467" s="19"/>
      <c r="AH1467" s="19"/>
      <c r="AI1467" s="19"/>
      <c r="AJ1467" s="19"/>
      <c r="FM1467" s="54"/>
    </row>
    <row r="1468" spans="1:169" s="18" customFormat="1">
      <c r="A1468" s="51"/>
      <c r="B1468" s="52"/>
      <c r="C1468" s="52"/>
      <c r="D1468" s="52"/>
      <c r="E1468" s="52"/>
      <c r="F1468" s="52"/>
      <c r="G1468" s="52"/>
      <c r="H1468" s="53"/>
      <c r="I1468" s="52"/>
      <c r="J1468" s="52"/>
      <c r="K1468" s="19"/>
      <c r="L1468" s="19"/>
      <c r="M1468" s="19"/>
      <c r="N1468" s="19"/>
      <c r="O1468" s="19"/>
      <c r="P1468" s="19"/>
      <c r="Q1468" s="19"/>
      <c r="R1468" s="19"/>
      <c r="S1468" s="19"/>
      <c r="T1468" s="19"/>
      <c r="U1468" s="19"/>
      <c r="V1468" s="19"/>
      <c r="W1468" s="19"/>
      <c r="X1468" s="19"/>
      <c r="Y1468" s="19"/>
      <c r="Z1468" s="19"/>
      <c r="AA1468" s="19"/>
      <c r="AB1468" s="19"/>
      <c r="AC1468" s="19"/>
      <c r="AD1468" s="19"/>
      <c r="AE1468" s="19"/>
      <c r="AF1468" s="19"/>
      <c r="AG1468" s="19"/>
      <c r="AH1468" s="19"/>
      <c r="AI1468" s="19"/>
      <c r="AJ1468" s="19"/>
      <c r="FM1468" s="54"/>
    </row>
    <row r="1469" spans="1:169" s="18" customFormat="1">
      <c r="A1469" s="51"/>
      <c r="B1469" s="52"/>
      <c r="C1469" s="52"/>
      <c r="D1469" s="52"/>
      <c r="E1469" s="52"/>
      <c r="F1469" s="52"/>
      <c r="G1469" s="52"/>
      <c r="H1469" s="53"/>
      <c r="I1469" s="52"/>
      <c r="J1469" s="52"/>
      <c r="K1469" s="19"/>
      <c r="L1469" s="19"/>
      <c r="M1469" s="19"/>
      <c r="N1469" s="19"/>
      <c r="O1469" s="19"/>
      <c r="P1469" s="19"/>
      <c r="Q1469" s="19"/>
      <c r="R1469" s="19"/>
      <c r="S1469" s="19"/>
      <c r="T1469" s="19"/>
      <c r="U1469" s="19"/>
      <c r="V1469" s="19"/>
      <c r="W1469" s="19"/>
      <c r="X1469" s="19"/>
      <c r="Y1469" s="19"/>
      <c r="Z1469" s="19"/>
      <c r="AA1469" s="19"/>
      <c r="AB1469" s="19"/>
      <c r="AC1469" s="19"/>
      <c r="AD1469" s="19"/>
      <c r="AE1469" s="19"/>
      <c r="AF1469" s="19"/>
      <c r="AG1469" s="19"/>
      <c r="AH1469" s="19"/>
      <c r="AI1469" s="19"/>
      <c r="AJ1469" s="19"/>
      <c r="FM1469" s="54"/>
    </row>
    <row r="1470" spans="1:169" s="18" customFormat="1">
      <c r="A1470" s="51"/>
      <c r="B1470" s="52"/>
      <c r="C1470" s="52"/>
      <c r="D1470" s="52"/>
      <c r="E1470" s="52"/>
      <c r="F1470" s="52"/>
      <c r="G1470" s="52"/>
      <c r="H1470" s="53"/>
      <c r="I1470" s="52"/>
      <c r="J1470" s="52"/>
      <c r="K1470" s="19"/>
      <c r="L1470" s="19"/>
      <c r="M1470" s="19"/>
      <c r="N1470" s="19"/>
      <c r="O1470" s="19"/>
      <c r="P1470" s="19"/>
      <c r="Q1470" s="19"/>
      <c r="R1470" s="19"/>
      <c r="S1470" s="19"/>
      <c r="T1470" s="19"/>
      <c r="U1470" s="19"/>
      <c r="V1470" s="19"/>
      <c r="W1470" s="19"/>
      <c r="X1470" s="19"/>
      <c r="Y1470" s="19"/>
      <c r="Z1470" s="19"/>
      <c r="AA1470" s="19"/>
      <c r="AB1470" s="19"/>
      <c r="AC1470" s="19"/>
      <c r="AD1470" s="19"/>
      <c r="AE1470" s="19"/>
      <c r="AF1470" s="19"/>
      <c r="AG1470" s="19"/>
      <c r="AH1470" s="19"/>
      <c r="AI1470" s="19"/>
      <c r="AJ1470" s="19"/>
      <c r="FM1470" s="54"/>
    </row>
    <row r="1471" spans="1:169" s="18" customFormat="1">
      <c r="A1471" s="51"/>
      <c r="B1471" s="52"/>
      <c r="C1471" s="52"/>
      <c r="D1471" s="52"/>
      <c r="E1471" s="52"/>
      <c r="F1471" s="52"/>
      <c r="G1471" s="52"/>
      <c r="H1471" s="53"/>
      <c r="I1471" s="52"/>
      <c r="J1471" s="52"/>
      <c r="K1471" s="19"/>
      <c r="L1471" s="19"/>
      <c r="M1471" s="19"/>
      <c r="N1471" s="19"/>
      <c r="O1471" s="19"/>
      <c r="P1471" s="19"/>
      <c r="Q1471" s="19"/>
      <c r="R1471" s="19"/>
      <c r="S1471" s="19"/>
      <c r="T1471" s="19"/>
      <c r="U1471" s="19"/>
      <c r="V1471" s="19"/>
      <c r="W1471" s="19"/>
      <c r="X1471" s="19"/>
      <c r="Y1471" s="19"/>
      <c r="Z1471" s="19"/>
      <c r="AA1471" s="19"/>
      <c r="AB1471" s="19"/>
      <c r="AC1471" s="19"/>
      <c r="AD1471" s="19"/>
      <c r="AE1471" s="19"/>
      <c r="AF1471" s="19"/>
      <c r="AG1471" s="19"/>
      <c r="AH1471" s="19"/>
      <c r="AI1471" s="19"/>
      <c r="AJ1471" s="19"/>
      <c r="FM1471" s="54"/>
    </row>
    <row r="1472" spans="1:169" s="18" customFormat="1">
      <c r="A1472" s="51"/>
      <c r="B1472" s="52"/>
      <c r="C1472" s="52"/>
      <c r="D1472" s="52"/>
      <c r="E1472" s="52"/>
      <c r="F1472" s="52"/>
      <c r="G1472" s="52"/>
      <c r="H1472" s="53"/>
      <c r="I1472" s="52"/>
      <c r="J1472" s="52"/>
      <c r="K1472" s="19"/>
      <c r="L1472" s="19"/>
      <c r="M1472" s="19"/>
      <c r="N1472" s="19"/>
      <c r="O1472" s="19"/>
      <c r="P1472" s="19"/>
      <c r="Q1472" s="19"/>
      <c r="R1472" s="19"/>
      <c r="S1472" s="19"/>
      <c r="T1472" s="19"/>
      <c r="U1472" s="19"/>
      <c r="V1472" s="19"/>
      <c r="W1472" s="19"/>
      <c r="X1472" s="19"/>
      <c r="Y1472" s="19"/>
      <c r="Z1472" s="19"/>
      <c r="AA1472" s="19"/>
      <c r="AB1472" s="19"/>
      <c r="AC1472" s="19"/>
      <c r="AD1472" s="19"/>
      <c r="AE1472" s="19"/>
      <c r="AF1472" s="19"/>
      <c r="AG1472" s="19"/>
      <c r="AH1472" s="19"/>
      <c r="AI1472" s="19"/>
      <c r="AJ1472" s="19"/>
      <c r="FM1472" s="54"/>
    </row>
    <row r="1473" spans="1:169" s="18" customFormat="1">
      <c r="A1473" s="51"/>
      <c r="B1473" s="52"/>
      <c r="C1473" s="52"/>
      <c r="D1473" s="52"/>
      <c r="E1473" s="52"/>
      <c r="F1473" s="52"/>
      <c r="G1473" s="52"/>
      <c r="H1473" s="53"/>
      <c r="I1473" s="52"/>
      <c r="J1473" s="52"/>
      <c r="K1473" s="19"/>
      <c r="L1473" s="19"/>
      <c r="M1473" s="19"/>
      <c r="N1473" s="19"/>
      <c r="O1473" s="19"/>
      <c r="P1473" s="19"/>
      <c r="Q1473" s="19"/>
      <c r="R1473" s="19"/>
      <c r="S1473" s="19"/>
      <c r="T1473" s="19"/>
      <c r="U1473" s="19"/>
      <c r="V1473" s="19"/>
      <c r="W1473" s="19"/>
      <c r="X1473" s="19"/>
      <c r="Y1473" s="19"/>
      <c r="Z1473" s="19"/>
      <c r="AA1473" s="19"/>
      <c r="AB1473" s="19"/>
      <c r="AC1473" s="19"/>
      <c r="AD1473" s="19"/>
      <c r="AE1473" s="19"/>
      <c r="AF1473" s="19"/>
      <c r="AG1473" s="19"/>
      <c r="AH1473" s="19"/>
      <c r="AI1473" s="19"/>
      <c r="AJ1473" s="19"/>
      <c r="FM1473" s="54"/>
    </row>
    <row r="1474" spans="1:169" s="18" customFormat="1">
      <c r="A1474" s="51"/>
      <c r="B1474" s="52"/>
      <c r="C1474" s="52"/>
      <c r="D1474" s="52"/>
      <c r="E1474" s="52"/>
      <c r="F1474" s="52"/>
      <c r="G1474" s="52"/>
      <c r="H1474" s="53"/>
      <c r="I1474" s="52"/>
      <c r="J1474" s="52"/>
      <c r="K1474" s="19"/>
      <c r="L1474" s="19"/>
      <c r="M1474" s="19"/>
      <c r="N1474" s="19"/>
      <c r="O1474" s="19"/>
      <c r="P1474" s="19"/>
      <c r="Q1474" s="19"/>
      <c r="R1474" s="19"/>
      <c r="S1474" s="19"/>
      <c r="T1474" s="19"/>
      <c r="U1474" s="19"/>
      <c r="V1474" s="19"/>
      <c r="W1474" s="19"/>
      <c r="X1474" s="19"/>
      <c r="Y1474" s="19"/>
      <c r="Z1474" s="19"/>
      <c r="AA1474" s="19"/>
      <c r="AB1474" s="19"/>
      <c r="AC1474" s="19"/>
      <c r="AD1474" s="19"/>
      <c r="AE1474" s="19"/>
      <c r="AF1474" s="19"/>
      <c r="AG1474" s="19"/>
      <c r="AH1474" s="19"/>
      <c r="AI1474" s="19"/>
      <c r="AJ1474" s="19"/>
      <c r="FM1474" s="54"/>
    </row>
    <row r="1475" spans="1:169" s="18" customFormat="1">
      <c r="A1475" s="51"/>
      <c r="B1475" s="52"/>
      <c r="C1475" s="52"/>
      <c r="D1475" s="52"/>
      <c r="E1475" s="52"/>
      <c r="F1475" s="52"/>
      <c r="G1475" s="52"/>
      <c r="H1475" s="53"/>
      <c r="I1475" s="52"/>
      <c r="J1475" s="52"/>
      <c r="K1475" s="19"/>
      <c r="L1475" s="19"/>
      <c r="M1475" s="19"/>
      <c r="N1475" s="19"/>
      <c r="O1475" s="19"/>
      <c r="P1475" s="19"/>
      <c r="Q1475" s="19"/>
      <c r="R1475" s="19"/>
      <c r="S1475" s="19"/>
      <c r="T1475" s="19"/>
      <c r="U1475" s="19"/>
      <c r="V1475" s="19"/>
      <c r="W1475" s="19"/>
      <c r="X1475" s="19"/>
      <c r="Y1475" s="19"/>
      <c r="Z1475" s="19"/>
      <c r="AA1475" s="19"/>
      <c r="AB1475" s="19"/>
      <c r="AC1475" s="19"/>
      <c r="AD1475" s="19"/>
      <c r="AE1475" s="19"/>
      <c r="AF1475" s="19"/>
      <c r="AG1475" s="19"/>
      <c r="AH1475" s="19"/>
      <c r="AI1475" s="19"/>
      <c r="AJ1475" s="19"/>
      <c r="FM1475" s="54"/>
    </row>
    <row r="1476" spans="1:169" s="18" customFormat="1">
      <c r="A1476" s="51"/>
      <c r="B1476" s="52"/>
      <c r="C1476" s="52"/>
      <c r="D1476" s="52"/>
      <c r="E1476" s="52"/>
      <c r="F1476" s="52"/>
      <c r="G1476" s="52"/>
      <c r="H1476" s="53"/>
      <c r="I1476" s="52"/>
      <c r="J1476" s="52"/>
      <c r="K1476" s="19"/>
      <c r="L1476" s="19"/>
      <c r="M1476" s="19"/>
      <c r="N1476" s="19"/>
      <c r="O1476" s="19"/>
      <c r="P1476" s="19"/>
      <c r="Q1476" s="19"/>
      <c r="R1476" s="19"/>
      <c r="S1476" s="19"/>
      <c r="T1476" s="19"/>
      <c r="U1476" s="19"/>
      <c r="V1476" s="19"/>
      <c r="W1476" s="19"/>
      <c r="X1476" s="19"/>
      <c r="Y1476" s="19"/>
      <c r="Z1476" s="19"/>
      <c r="AA1476" s="19"/>
      <c r="AB1476" s="19"/>
      <c r="AC1476" s="19"/>
      <c r="AD1476" s="19"/>
      <c r="AE1476" s="19"/>
      <c r="AF1476" s="19"/>
      <c r="AG1476" s="19"/>
      <c r="AH1476" s="19"/>
      <c r="AI1476" s="19"/>
      <c r="AJ1476" s="19"/>
      <c r="FM1476" s="54"/>
    </row>
    <row r="1477" spans="1:169" s="18" customFormat="1">
      <c r="A1477" s="51"/>
      <c r="B1477" s="52"/>
      <c r="C1477" s="52"/>
      <c r="D1477" s="52"/>
      <c r="E1477" s="52"/>
      <c r="F1477" s="52"/>
      <c r="G1477" s="52"/>
      <c r="H1477" s="53"/>
      <c r="I1477" s="52"/>
      <c r="J1477" s="52"/>
      <c r="K1477" s="19"/>
      <c r="L1477" s="19"/>
      <c r="M1477" s="19"/>
      <c r="N1477" s="19"/>
      <c r="O1477" s="19"/>
      <c r="P1477" s="19"/>
      <c r="Q1477" s="19"/>
      <c r="R1477" s="19"/>
      <c r="S1477" s="19"/>
      <c r="T1477" s="19"/>
      <c r="U1477" s="19"/>
      <c r="V1477" s="19"/>
      <c r="W1477" s="19"/>
      <c r="X1477" s="19"/>
      <c r="Y1477" s="19"/>
      <c r="Z1477" s="19"/>
      <c r="AA1477" s="19"/>
      <c r="AB1477" s="19"/>
      <c r="AC1477" s="19"/>
      <c r="AD1477" s="19"/>
      <c r="AE1477" s="19"/>
      <c r="AF1477" s="19"/>
      <c r="AG1477" s="19"/>
      <c r="AH1477" s="19"/>
      <c r="AI1477" s="19"/>
      <c r="AJ1477" s="19"/>
      <c r="FM1477" s="54"/>
    </row>
    <row r="1478" spans="1:169" s="18" customFormat="1">
      <c r="A1478" s="51"/>
      <c r="B1478" s="52"/>
      <c r="C1478" s="52"/>
      <c r="D1478" s="52"/>
      <c r="E1478" s="52"/>
      <c r="F1478" s="52"/>
      <c r="G1478" s="52"/>
      <c r="H1478" s="53"/>
      <c r="I1478" s="52"/>
      <c r="J1478" s="52"/>
      <c r="K1478" s="19"/>
      <c r="L1478" s="19"/>
      <c r="M1478" s="19"/>
      <c r="N1478" s="19"/>
      <c r="O1478" s="19"/>
      <c r="P1478" s="19"/>
      <c r="Q1478" s="19"/>
      <c r="R1478" s="19"/>
      <c r="S1478" s="19"/>
      <c r="T1478" s="19"/>
      <c r="U1478" s="19"/>
      <c r="V1478" s="19"/>
      <c r="W1478" s="19"/>
      <c r="X1478" s="19"/>
      <c r="Y1478" s="19"/>
      <c r="Z1478" s="19"/>
      <c r="AA1478" s="19"/>
      <c r="AB1478" s="19"/>
      <c r="AC1478" s="19"/>
      <c r="AD1478" s="19"/>
      <c r="AE1478" s="19"/>
      <c r="AF1478" s="19"/>
      <c r="AG1478" s="19"/>
      <c r="AH1478" s="19"/>
      <c r="AI1478" s="19"/>
      <c r="AJ1478" s="19"/>
      <c r="FM1478" s="54"/>
    </row>
    <row r="1479" spans="1:169" s="18" customFormat="1">
      <c r="A1479" s="51"/>
      <c r="B1479" s="52"/>
      <c r="C1479" s="52"/>
      <c r="D1479" s="52"/>
      <c r="E1479" s="52"/>
      <c r="F1479" s="52"/>
      <c r="G1479" s="52"/>
      <c r="H1479" s="53"/>
      <c r="I1479" s="52"/>
      <c r="J1479" s="52"/>
      <c r="K1479" s="19"/>
      <c r="L1479" s="19"/>
      <c r="M1479" s="19"/>
      <c r="N1479" s="19"/>
      <c r="O1479" s="19"/>
      <c r="P1479" s="19"/>
      <c r="Q1479" s="19"/>
      <c r="R1479" s="19"/>
      <c r="S1479" s="19"/>
      <c r="T1479" s="19"/>
      <c r="U1479" s="19"/>
      <c r="V1479" s="19"/>
      <c r="W1479" s="19"/>
      <c r="X1479" s="19"/>
      <c r="Y1479" s="19"/>
      <c r="Z1479" s="19"/>
      <c r="AA1479" s="19"/>
      <c r="AB1479" s="19"/>
      <c r="AC1479" s="19"/>
      <c r="AD1479" s="19"/>
      <c r="AE1479" s="19"/>
      <c r="AF1479" s="19"/>
      <c r="AG1479" s="19"/>
      <c r="AH1479" s="19"/>
      <c r="AI1479" s="19"/>
      <c r="AJ1479" s="19"/>
      <c r="FM1479" s="54"/>
    </row>
    <row r="1480" spans="1:169" s="18" customFormat="1">
      <c r="A1480" s="51"/>
      <c r="B1480" s="52"/>
      <c r="C1480" s="52"/>
      <c r="D1480" s="52"/>
      <c r="E1480" s="52"/>
      <c r="F1480" s="52"/>
      <c r="G1480" s="52"/>
      <c r="H1480" s="53"/>
      <c r="I1480" s="52"/>
      <c r="J1480" s="52"/>
      <c r="K1480" s="19"/>
      <c r="L1480" s="19"/>
      <c r="M1480" s="19"/>
      <c r="N1480" s="19"/>
      <c r="O1480" s="19"/>
      <c r="P1480" s="19"/>
      <c r="Q1480" s="19"/>
      <c r="R1480" s="19"/>
      <c r="S1480" s="19"/>
      <c r="T1480" s="19"/>
      <c r="U1480" s="19"/>
      <c r="V1480" s="19"/>
      <c r="W1480" s="19"/>
      <c r="X1480" s="19"/>
      <c r="Y1480" s="19"/>
      <c r="Z1480" s="19"/>
      <c r="AA1480" s="19"/>
      <c r="AB1480" s="19"/>
      <c r="AC1480" s="19"/>
      <c r="AD1480" s="19"/>
      <c r="AE1480" s="19"/>
      <c r="AF1480" s="19"/>
      <c r="AG1480" s="19"/>
      <c r="AH1480" s="19"/>
      <c r="AI1480" s="19"/>
      <c r="AJ1480" s="19"/>
      <c r="FM1480" s="54"/>
    </row>
    <row r="1481" spans="1:169" s="18" customFormat="1">
      <c r="A1481" s="51"/>
      <c r="B1481" s="52"/>
      <c r="C1481" s="52"/>
      <c r="D1481" s="52"/>
      <c r="E1481" s="52"/>
      <c r="F1481" s="52"/>
      <c r="G1481" s="52"/>
      <c r="H1481" s="53"/>
      <c r="I1481" s="52"/>
      <c r="J1481" s="52"/>
      <c r="K1481" s="19"/>
      <c r="L1481" s="19"/>
      <c r="M1481" s="19"/>
      <c r="N1481" s="19"/>
      <c r="O1481" s="19"/>
      <c r="P1481" s="19"/>
      <c r="Q1481" s="19"/>
      <c r="R1481" s="19"/>
      <c r="S1481" s="19"/>
      <c r="T1481" s="19"/>
      <c r="U1481" s="19"/>
      <c r="V1481" s="19"/>
      <c r="W1481" s="19"/>
      <c r="X1481" s="19"/>
      <c r="Y1481" s="19"/>
      <c r="Z1481" s="19"/>
      <c r="AA1481" s="19"/>
      <c r="AB1481" s="19"/>
      <c r="AC1481" s="19"/>
      <c r="AD1481" s="19"/>
      <c r="AE1481" s="19"/>
      <c r="AF1481" s="19"/>
      <c r="AG1481" s="19"/>
      <c r="AH1481" s="19"/>
      <c r="AI1481" s="19"/>
      <c r="AJ1481" s="19"/>
      <c r="FM1481" s="54"/>
    </row>
    <row r="1482" spans="1:169" s="18" customFormat="1">
      <c r="A1482" s="51"/>
      <c r="B1482" s="52"/>
      <c r="C1482" s="52"/>
      <c r="D1482" s="52"/>
      <c r="E1482" s="52"/>
      <c r="F1482" s="52"/>
      <c r="G1482" s="52"/>
      <c r="H1482" s="53"/>
      <c r="I1482" s="52"/>
      <c r="J1482" s="52"/>
      <c r="K1482" s="19"/>
      <c r="L1482" s="19"/>
      <c r="M1482" s="19"/>
      <c r="N1482" s="19"/>
      <c r="O1482" s="19"/>
      <c r="P1482" s="19"/>
      <c r="Q1482" s="19"/>
      <c r="R1482" s="19"/>
      <c r="S1482" s="19"/>
      <c r="T1482" s="19"/>
      <c r="U1482" s="19"/>
      <c r="V1482" s="19"/>
      <c r="W1482" s="19"/>
      <c r="X1482" s="19"/>
      <c r="Y1482" s="19"/>
      <c r="Z1482" s="19"/>
      <c r="AA1482" s="19"/>
      <c r="AB1482" s="19"/>
      <c r="AC1482" s="19"/>
      <c r="AD1482" s="19"/>
      <c r="AE1482" s="19"/>
      <c r="AF1482" s="19"/>
      <c r="AG1482" s="19"/>
      <c r="AH1482" s="19"/>
      <c r="AI1482" s="19"/>
      <c r="AJ1482" s="19"/>
      <c r="FM1482" s="54"/>
    </row>
    <row r="1483" spans="1:169" s="18" customFormat="1">
      <c r="A1483" s="51"/>
      <c r="B1483" s="52"/>
      <c r="C1483" s="52"/>
      <c r="D1483" s="52"/>
      <c r="E1483" s="52"/>
      <c r="F1483" s="52"/>
      <c r="G1483" s="52"/>
      <c r="H1483" s="53"/>
      <c r="I1483" s="52"/>
      <c r="J1483" s="52"/>
      <c r="K1483" s="19"/>
      <c r="L1483" s="19"/>
      <c r="M1483" s="19"/>
      <c r="N1483" s="19"/>
      <c r="O1483" s="19"/>
      <c r="P1483" s="19"/>
      <c r="Q1483" s="19"/>
      <c r="R1483" s="19"/>
      <c r="S1483" s="19"/>
      <c r="T1483" s="19"/>
      <c r="U1483" s="19"/>
      <c r="V1483" s="19"/>
      <c r="W1483" s="19"/>
      <c r="X1483" s="19"/>
      <c r="Y1483" s="19"/>
      <c r="Z1483" s="19"/>
      <c r="AA1483" s="19"/>
      <c r="AB1483" s="19"/>
      <c r="AC1483" s="19"/>
      <c r="AD1483" s="19"/>
      <c r="AE1483" s="19"/>
      <c r="AF1483" s="19"/>
      <c r="AG1483" s="19"/>
      <c r="AH1483" s="19"/>
      <c r="AI1483" s="19"/>
      <c r="AJ1483" s="19"/>
      <c r="FM1483" s="54"/>
    </row>
    <row r="1484" spans="1:169" s="18" customFormat="1">
      <c r="A1484" s="51"/>
      <c r="B1484" s="52"/>
      <c r="C1484" s="52"/>
      <c r="D1484" s="52"/>
      <c r="E1484" s="52"/>
      <c r="F1484" s="52"/>
      <c r="G1484" s="52"/>
      <c r="H1484" s="53"/>
      <c r="I1484" s="52"/>
      <c r="J1484" s="52"/>
      <c r="K1484" s="19"/>
      <c r="L1484" s="19"/>
      <c r="M1484" s="19"/>
      <c r="N1484" s="19"/>
      <c r="O1484" s="19"/>
      <c r="P1484" s="19"/>
      <c r="Q1484" s="19"/>
      <c r="R1484" s="19"/>
      <c r="S1484" s="19"/>
      <c r="T1484" s="19"/>
      <c r="U1484" s="19"/>
      <c r="V1484" s="19"/>
      <c r="W1484" s="19"/>
      <c r="X1484" s="19"/>
      <c r="Y1484" s="19"/>
      <c r="Z1484" s="19"/>
      <c r="AA1484" s="19"/>
      <c r="AB1484" s="19"/>
      <c r="AC1484" s="19"/>
      <c r="AD1484" s="19"/>
      <c r="AE1484" s="19"/>
      <c r="AF1484" s="19"/>
      <c r="AG1484" s="19"/>
      <c r="AH1484" s="19"/>
      <c r="AI1484" s="19"/>
      <c r="AJ1484" s="19"/>
      <c r="FM1484" s="54"/>
    </row>
    <row r="1485" spans="1:169" s="18" customFormat="1">
      <c r="A1485" s="51"/>
      <c r="B1485" s="52"/>
      <c r="C1485" s="52"/>
      <c r="D1485" s="52"/>
      <c r="E1485" s="52"/>
      <c r="F1485" s="52"/>
      <c r="G1485" s="52"/>
      <c r="H1485" s="53"/>
      <c r="I1485" s="52"/>
      <c r="J1485" s="52"/>
      <c r="K1485" s="19"/>
      <c r="L1485" s="19"/>
      <c r="M1485" s="19"/>
      <c r="N1485" s="19"/>
      <c r="O1485" s="19"/>
      <c r="P1485" s="19"/>
      <c r="Q1485" s="19"/>
      <c r="R1485" s="19"/>
      <c r="S1485" s="19"/>
      <c r="T1485" s="19"/>
      <c r="U1485" s="19"/>
      <c r="V1485" s="19"/>
      <c r="W1485" s="19"/>
      <c r="X1485" s="19"/>
      <c r="Y1485" s="19"/>
      <c r="Z1485" s="19"/>
      <c r="AA1485" s="19"/>
      <c r="AB1485" s="19"/>
      <c r="AC1485" s="19"/>
      <c r="AD1485" s="19"/>
      <c r="AE1485" s="19"/>
      <c r="AF1485" s="19"/>
      <c r="AG1485" s="19"/>
      <c r="AH1485" s="19"/>
      <c r="AI1485" s="19"/>
      <c r="AJ1485" s="19"/>
      <c r="FM1485" s="54"/>
    </row>
    <row r="1486" spans="1:169" s="18" customFormat="1">
      <c r="A1486" s="51"/>
      <c r="B1486" s="52"/>
      <c r="C1486" s="52"/>
      <c r="D1486" s="52"/>
      <c r="E1486" s="52"/>
      <c r="F1486" s="52"/>
      <c r="G1486" s="52"/>
      <c r="H1486" s="53"/>
      <c r="I1486" s="52"/>
      <c r="J1486" s="52"/>
      <c r="K1486" s="19"/>
      <c r="L1486" s="19"/>
      <c r="M1486" s="19"/>
      <c r="N1486" s="19"/>
      <c r="O1486" s="19"/>
      <c r="P1486" s="19"/>
      <c r="Q1486" s="19"/>
      <c r="R1486" s="19"/>
      <c r="S1486" s="19"/>
      <c r="T1486" s="19"/>
      <c r="U1486" s="19"/>
      <c r="V1486" s="19"/>
      <c r="W1486" s="19"/>
      <c r="X1486" s="19"/>
      <c r="Y1486" s="19"/>
      <c r="Z1486" s="19"/>
      <c r="AA1486" s="19"/>
      <c r="AB1486" s="19"/>
      <c r="AC1486" s="19"/>
      <c r="AD1486" s="19"/>
      <c r="AE1486" s="19"/>
      <c r="AF1486" s="19"/>
      <c r="AG1486" s="19"/>
      <c r="AH1486" s="19"/>
      <c r="AI1486" s="19"/>
      <c r="AJ1486" s="19"/>
      <c r="FM1486" s="54"/>
    </row>
    <row r="1487" spans="1:169" s="18" customFormat="1">
      <c r="A1487" s="51"/>
      <c r="B1487" s="52"/>
      <c r="C1487" s="52"/>
      <c r="D1487" s="52"/>
      <c r="E1487" s="52"/>
      <c r="F1487" s="52"/>
      <c r="G1487" s="52"/>
      <c r="H1487" s="53"/>
      <c r="I1487" s="52"/>
      <c r="J1487" s="52"/>
      <c r="K1487" s="19"/>
      <c r="L1487" s="19"/>
      <c r="M1487" s="19"/>
      <c r="N1487" s="19"/>
      <c r="O1487" s="19"/>
      <c r="P1487" s="19"/>
      <c r="Q1487" s="19"/>
      <c r="R1487" s="19"/>
      <c r="S1487" s="19"/>
      <c r="T1487" s="19"/>
      <c r="U1487" s="19"/>
      <c r="V1487" s="19"/>
      <c r="W1487" s="19"/>
      <c r="X1487" s="19"/>
      <c r="Y1487" s="19"/>
      <c r="Z1487" s="19"/>
      <c r="AA1487" s="19"/>
      <c r="AB1487" s="19"/>
      <c r="AC1487" s="19"/>
      <c r="AD1487" s="19"/>
      <c r="AE1487" s="19"/>
      <c r="AF1487" s="19"/>
      <c r="AG1487" s="19"/>
      <c r="AH1487" s="19"/>
      <c r="AI1487" s="19"/>
      <c r="AJ1487" s="19"/>
      <c r="FM1487" s="54"/>
    </row>
    <row r="1488" spans="1:169" s="18" customFormat="1">
      <c r="A1488" s="51"/>
      <c r="B1488" s="52"/>
      <c r="C1488" s="52"/>
      <c r="D1488" s="52"/>
      <c r="E1488" s="52"/>
      <c r="F1488" s="52"/>
      <c r="G1488" s="52"/>
      <c r="H1488" s="53"/>
      <c r="I1488" s="52"/>
      <c r="J1488" s="52"/>
      <c r="K1488" s="19"/>
      <c r="L1488" s="19"/>
      <c r="M1488" s="19"/>
      <c r="N1488" s="19"/>
      <c r="O1488" s="19"/>
      <c r="P1488" s="19"/>
      <c r="Q1488" s="19"/>
      <c r="R1488" s="19"/>
      <c r="S1488" s="19"/>
      <c r="T1488" s="19"/>
      <c r="U1488" s="19"/>
      <c r="V1488" s="19"/>
      <c r="W1488" s="19"/>
      <c r="X1488" s="19"/>
      <c r="Y1488" s="19"/>
      <c r="Z1488" s="19"/>
      <c r="AA1488" s="19"/>
      <c r="AB1488" s="19"/>
      <c r="AC1488" s="19"/>
      <c r="AD1488" s="19"/>
      <c r="AE1488" s="19"/>
      <c r="AF1488" s="19"/>
      <c r="AG1488" s="19"/>
      <c r="AH1488" s="19"/>
      <c r="AI1488" s="19"/>
      <c r="AJ1488" s="19"/>
      <c r="FM1488" s="54"/>
    </row>
    <row r="1489" spans="1:169" s="18" customFormat="1">
      <c r="A1489" s="51"/>
      <c r="B1489" s="52"/>
      <c r="C1489" s="52"/>
      <c r="D1489" s="52"/>
      <c r="E1489" s="52"/>
      <c r="F1489" s="52"/>
      <c r="G1489" s="52"/>
      <c r="H1489" s="53"/>
      <c r="I1489" s="52"/>
      <c r="J1489" s="52"/>
      <c r="K1489" s="19"/>
      <c r="L1489" s="19"/>
      <c r="M1489" s="19"/>
      <c r="N1489" s="19"/>
      <c r="O1489" s="19"/>
      <c r="P1489" s="19"/>
      <c r="Q1489" s="19"/>
      <c r="R1489" s="19"/>
      <c r="S1489" s="19"/>
      <c r="T1489" s="19"/>
      <c r="U1489" s="19"/>
      <c r="V1489" s="19"/>
      <c r="W1489" s="19"/>
      <c r="X1489" s="19"/>
      <c r="Y1489" s="19"/>
      <c r="Z1489" s="19"/>
      <c r="AA1489" s="19"/>
      <c r="AB1489" s="19"/>
      <c r="AC1489" s="19"/>
      <c r="AD1489" s="19"/>
      <c r="AE1489" s="19"/>
      <c r="AF1489" s="19"/>
      <c r="AG1489" s="19"/>
      <c r="AH1489" s="19"/>
      <c r="AI1489" s="19"/>
      <c r="AJ1489" s="19"/>
      <c r="FM1489" s="54"/>
    </row>
    <row r="1490" spans="1:169" s="18" customFormat="1">
      <c r="A1490" s="51"/>
      <c r="B1490" s="52"/>
      <c r="C1490" s="52"/>
      <c r="D1490" s="52"/>
      <c r="E1490" s="52"/>
      <c r="F1490" s="52"/>
      <c r="G1490" s="52"/>
      <c r="H1490" s="53"/>
      <c r="I1490" s="52"/>
      <c r="J1490" s="52"/>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c r="AG1490" s="19"/>
      <c r="AH1490" s="19"/>
      <c r="AI1490" s="19"/>
      <c r="AJ1490" s="19"/>
      <c r="FM1490" s="54"/>
    </row>
    <row r="1491" spans="1:169" s="18" customFormat="1">
      <c r="A1491" s="51"/>
      <c r="B1491" s="52"/>
      <c r="C1491" s="52"/>
      <c r="D1491" s="52"/>
      <c r="E1491" s="52"/>
      <c r="F1491" s="52"/>
      <c r="G1491" s="52"/>
      <c r="H1491" s="53"/>
      <c r="I1491" s="52"/>
      <c r="J1491" s="52"/>
      <c r="K1491" s="19"/>
      <c r="L1491" s="19"/>
      <c r="M1491" s="19"/>
      <c r="N1491" s="19"/>
      <c r="O1491" s="19"/>
      <c r="P1491" s="19"/>
      <c r="Q1491" s="19"/>
      <c r="R1491" s="19"/>
      <c r="S1491" s="19"/>
      <c r="T1491" s="19"/>
      <c r="U1491" s="19"/>
      <c r="V1491" s="19"/>
      <c r="W1491" s="19"/>
      <c r="X1491" s="19"/>
      <c r="Y1491" s="19"/>
      <c r="Z1491" s="19"/>
      <c r="AA1491" s="19"/>
      <c r="AB1491" s="19"/>
      <c r="AC1491" s="19"/>
      <c r="AD1491" s="19"/>
      <c r="AE1491" s="19"/>
      <c r="AF1491" s="19"/>
      <c r="AG1491" s="19"/>
      <c r="AH1491" s="19"/>
      <c r="AI1491" s="19"/>
      <c r="AJ1491" s="19"/>
      <c r="FM1491" s="54"/>
    </row>
    <row r="1492" spans="1:169" s="18" customFormat="1">
      <c r="A1492" s="51"/>
      <c r="B1492" s="52"/>
      <c r="C1492" s="52"/>
      <c r="D1492" s="52"/>
      <c r="E1492" s="52"/>
      <c r="F1492" s="52"/>
      <c r="G1492" s="52"/>
      <c r="H1492" s="53"/>
      <c r="I1492" s="52"/>
      <c r="J1492" s="52"/>
      <c r="K1492" s="19"/>
      <c r="L1492" s="19"/>
      <c r="M1492" s="19"/>
      <c r="N1492" s="19"/>
      <c r="O1492" s="19"/>
      <c r="P1492" s="19"/>
      <c r="Q1492" s="19"/>
      <c r="R1492" s="19"/>
      <c r="S1492" s="19"/>
      <c r="T1492" s="19"/>
      <c r="U1492" s="19"/>
      <c r="V1492" s="19"/>
      <c r="W1492" s="19"/>
      <c r="X1492" s="19"/>
      <c r="Y1492" s="19"/>
      <c r="Z1492" s="19"/>
      <c r="AA1492" s="19"/>
      <c r="AB1492" s="19"/>
      <c r="AC1492" s="19"/>
      <c r="AD1492" s="19"/>
      <c r="AE1492" s="19"/>
      <c r="AF1492" s="19"/>
      <c r="AG1492" s="19"/>
      <c r="AH1492" s="19"/>
      <c r="AI1492" s="19"/>
      <c r="AJ1492" s="19"/>
      <c r="FM1492" s="54"/>
    </row>
    <row r="1493" spans="1:169" s="18" customFormat="1">
      <c r="A1493" s="51"/>
      <c r="B1493" s="52"/>
      <c r="C1493" s="52"/>
      <c r="D1493" s="52"/>
      <c r="E1493" s="52"/>
      <c r="F1493" s="52"/>
      <c r="G1493" s="52"/>
      <c r="H1493" s="53"/>
      <c r="I1493" s="52"/>
      <c r="J1493" s="52"/>
      <c r="K1493" s="19"/>
      <c r="L1493" s="19"/>
      <c r="M1493" s="19"/>
      <c r="N1493" s="19"/>
      <c r="O1493" s="19"/>
      <c r="P1493" s="19"/>
      <c r="Q1493" s="19"/>
      <c r="R1493" s="19"/>
      <c r="S1493" s="19"/>
      <c r="T1493" s="19"/>
      <c r="U1493" s="19"/>
      <c r="V1493" s="19"/>
      <c r="W1493" s="19"/>
      <c r="X1493" s="19"/>
      <c r="Y1493" s="19"/>
      <c r="Z1493" s="19"/>
      <c r="AA1493" s="19"/>
      <c r="AB1493" s="19"/>
      <c r="AC1493" s="19"/>
      <c r="AD1493" s="19"/>
      <c r="AE1493" s="19"/>
      <c r="AF1493" s="19"/>
      <c r="AG1493" s="19"/>
      <c r="AH1493" s="19"/>
      <c r="AI1493" s="19"/>
      <c r="AJ1493" s="19"/>
      <c r="FM1493" s="54"/>
    </row>
    <row r="1494" spans="1:169" s="18" customFormat="1">
      <c r="A1494" s="51"/>
      <c r="B1494" s="52"/>
      <c r="C1494" s="52"/>
      <c r="D1494" s="52"/>
      <c r="E1494" s="52"/>
      <c r="F1494" s="52"/>
      <c r="G1494" s="52"/>
      <c r="H1494" s="53"/>
      <c r="I1494" s="52"/>
      <c r="J1494" s="52"/>
      <c r="K1494" s="19"/>
      <c r="L1494" s="19"/>
      <c r="M1494" s="19"/>
      <c r="N1494" s="19"/>
      <c r="O1494" s="19"/>
      <c r="P1494" s="19"/>
      <c r="Q1494" s="19"/>
      <c r="R1494" s="19"/>
      <c r="S1494" s="19"/>
      <c r="T1494" s="19"/>
      <c r="U1494" s="19"/>
      <c r="V1494" s="19"/>
      <c r="W1494" s="19"/>
      <c r="X1494" s="19"/>
      <c r="Y1494" s="19"/>
      <c r="Z1494" s="19"/>
      <c r="AA1494" s="19"/>
      <c r="AB1494" s="19"/>
      <c r="AC1494" s="19"/>
      <c r="AD1494" s="19"/>
      <c r="AE1494" s="19"/>
      <c r="AF1494" s="19"/>
      <c r="AG1494" s="19"/>
      <c r="AH1494" s="19"/>
      <c r="AI1494" s="19"/>
      <c r="AJ1494" s="19"/>
      <c r="FM1494" s="54"/>
    </row>
    <row r="1495" spans="1:169" s="18" customFormat="1">
      <c r="A1495" s="51"/>
      <c r="B1495" s="52"/>
      <c r="C1495" s="52"/>
      <c r="D1495" s="52"/>
      <c r="E1495" s="52"/>
      <c r="F1495" s="52"/>
      <c r="G1495" s="52"/>
      <c r="H1495" s="53"/>
      <c r="I1495" s="52"/>
      <c r="J1495" s="52"/>
      <c r="K1495" s="19"/>
      <c r="L1495" s="19"/>
      <c r="M1495" s="19"/>
      <c r="N1495" s="19"/>
      <c r="O1495" s="19"/>
      <c r="P1495" s="19"/>
      <c r="Q1495" s="19"/>
      <c r="R1495" s="19"/>
      <c r="S1495" s="19"/>
      <c r="T1495" s="19"/>
      <c r="U1495" s="19"/>
      <c r="V1495" s="19"/>
      <c r="W1495" s="19"/>
      <c r="X1495" s="19"/>
      <c r="Y1495" s="19"/>
      <c r="Z1495" s="19"/>
      <c r="AA1495" s="19"/>
      <c r="AB1495" s="19"/>
      <c r="AC1495" s="19"/>
      <c r="AD1495" s="19"/>
      <c r="AE1495" s="19"/>
      <c r="AF1495" s="19"/>
      <c r="AG1495" s="19"/>
      <c r="AH1495" s="19"/>
      <c r="AI1495" s="19"/>
      <c r="AJ1495" s="19"/>
      <c r="FM1495" s="54"/>
    </row>
    <row r="1496" spans="1:169" s="18" customFormat="1">
      <c r="A1496" s="51"/>
      <c r="B1496" s="52"/>
      <c r="C1496" s="52"/>
      <c r="D1496" s="52"/>
      <c r="E1496" s="52"/>
      <c r="F1496" s="52"/>
      <c r="G1496" s="52"/>
      <c r="H1496" s="53"/>
      <c r="I1496" s="52"/>
      <c r="J1496" s="52"/>
      <c r="K1496" s="19"/>
      <c r="L1496" s="19"/>
      <c r="M1496" s="19"/>
      <c r="N1496" s="19"/>
      <c r="O1496" s="19"/>
      <c r="P1496" s="19"/>
      <c r="Q1496" s="19"/>
      <c r="R1496" s="19"/>
      <c r="S1496" s="19"/>
      <c r="T1496" s="19"/>
      <c r="U1496" s="19"/>
      <c r="V1496" s="19"/>
      <c r="W1496" s="19"/>
      <c r="X1496" s="19"/>
      <c r="Y1496" s="19"/>
      <c r="Z1496" s="19"/>
      <c r="AA1496" s="19"/>
      <c r="AB1496" s="19"/>
      <c r="AC1496" s="19"/>
      <c r="AD1496" s="19"/>
      <c r="AE1496" s="19"/>
      <c r="AF1496" s="19"/>
      <c r="AG1496" s="19"/>
      <c r="AH1496" s="19"/>
      <c r="AI1496" s="19"/>
      <c r="AJ1496" s="19"/>
      <c r="FM1496" s="54"/>
    </row>
    <row r="1497" spans="1:169" s="18" customFormat="1">
      <c r="A1497" s="51"/>
      <c r="B1497" s="52"/>
      <c r="C1497" s="52"/>
      <c r="D1497" s="52"/>
      <c r="E1497" s="52"/>
      <c r="F1497" s="52"/>
      <c r="G1497" s="52"/>
      <c r="H1497" s="53"/>
      <c r="I1497" s="52"/>
      <c r="J1497" s="52"/>
      <c r="K1497" s="19"/>
      <c r="L1497" s="19"/>
      <c r="M1497" s="19"/>
      <c r="N1497" s="19"/>
      <c r="O1497" s="19"/>
      <c r="P1497" s="19"/>
      <c r="Q1497" s="19"/>
      <c r="R1497" s="19"/>
      <c r="S1497" s="19"/>
      <c r="T1497" s="19"/>
      <c r="U1497" s="19"/>
      <c r="V1497" s="19"/>
      <c r="W1497" s="19"/>
      <c r="X1497" s="19"/>
      <c r="Y1497" s="19"/>
      <c r="Z1497" s="19"/>
      <c r="AA1497" s="19"/>
      <c r="AB1497" s="19"/>
      <c r="AC1497" s="19"/>
      <c r="AD1497" s="19"/>
      <c r="AE1497" s="19"/>
      <c r="AF1497" s="19"/>
      <c r="AG1497" s="19"/>
      <c r="AH1497" s="19"/>
      <c r="AI1497" s="19"/>
      <c r="AJ1497" s="19"/>
      <c r="FM1497" s="54"/>
    </row>
    <row r="1498" spans="1:169" s="18" customFormat="1">
      <c r="A1498" s="51"/>
      <c r="B1498" s="52"/>
      <c r="C1498" s="52"/>
      <c r="D1498" s="52"/>
      <c r="E1498" s="52"/>
      <c r="F1498" s="52"/>
      <c r="G1498" s="52"/>
      <c r="H1498" s="53"/>
      <c r="I1498" s="52"/>
      <c r="J1498" s="52"/>
      <c r="K1498" s="19"/>
      <c r="L1498" s="19"/>
      <c r="M1498" s="19"/>
      <c r="N1498" s="19"/>
      <c r="O1498" s="19"/>
      <c r="P1498" s="19"/>
      <c r="Q1498" s="19"/>
      <c r="R1498" s="19"/>
      <c r="S1498" s="19"/>
      <c r="T1498" s="19"/>
      <c r="U1498" s="19"/>
      <c r="V1498" s="19"/>
      <c r="W1498" s="19"/>
      <c r="X1498" s="19"/>
      <c r="Y1498" s="19"/>
      <c r="Z1498" s="19"/>
      <c r="AA1498" s="19"/>
      <c r="AB1498" s="19"/>
      <c r="AC1498" s="19"/>
      <c r="AD1498" s="19"/>
      <c r="AE1498" s="19"/>
      <c r="AF1498" s="19"/>
      <c r="AG1498" s="19"/>
      <c r="AH1498" s="19"/>
      <c r="AI1498" s="19"/>
      <c r="AJ1498" s="19"/>
      <c r="FM1498" s="54"/>
    </row>
    <row r="1499" spans="1:169" s="18" customFormat="1">
      <c r="A1499" s="51"/>
      <c r="B1499" s="52"/>
      <c r="C1499" s="52"/>
      <c r="D1499" s="52"/>
      <c r="E1499" s="52"/>
      <c r="F1499" s="52"/>
      <c r="G1499" s="52"/>
      <c r="H1499" s="53"/>
      <c r="I1499" s="52"/>
      <c r="J1499" s="52"/>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c r="AG1499" s="19"/>
      <c r="AH1499" s="19"/>
      <c r="AI1499" s="19"/>
      <c r="AJ1499" s="19"/>
      <c r="FM1499" s="54"/>
    </row>
    <row r="1500" spans="1:169" s="18" customFormat="1">
      <c r="A1500" s="51"/>
      <c r="B1500" s="52"/>
      <c r="C1500" s="52"/>
      <c r="D1500" s="52"/>
      <c r="E1500" s="52"/>
      <c r="F1500" s="52"/>
      <c r="G1500" s="52"/>
      <c r="H1500" s="53"/>
      <c r="I1500" s="52"/>
      <c r="J1500" s="52"/>
      <c r="K1500" s="19"/>
      <c r="L1500" s="19"/>
      <c r="M1500" s="19"/>
      <c r="N1500" s="19"/>
      <c r="O1500" s="19"/>
      <c r="P1500" s="19"/>
      <c r="Q1500" s="19"/>
      <c r="R1500" s="19"/>
      <c r="S1500" s="19"/>
      <c r="T1500" s="19"/>
      <c r="U1500" s="19"/>
      <c r="V1500" s="19"/>
      <c r="W1500" s="19"/>
      <c r="X1500" s="19"/>
      <c r="Y1500" s="19"/>
      <c r="Z1500" s="19"/>
      <c r="AA1500" s="19"/>
      <c r="AB1500" s="19"/>
      <c r="AC1500" s="19"/>
      <c r="AD1500" s="19"/>
      <c r="AE1500" s="19"/>
      <c r="AF1500" s="19"/>
      <c r="AG1500" s="19"/>
      <c r="AH1500" s="19"/>
      <c r="AI1500" s="19"/>
      <c r="AJ1500" s="19"/>
      <c r="FM1500" s="54"/>
    </row>
    <row r="1501" spans="1:169" s="18" customFormat="1">
      <c r="A1501" s="51"/>
      <c r="B1501" s="52"/>
      <c r="C1501" s="52"/>
      <c r="D1501" s="52"/>
      <c r="E1501" s="52"/>
      <c r="F1501" s="52"/>
      <c r="G1501" s="52"/>
      <c r="H1501" s="53"/>
      <c r="I1501" s="52"/>
      <c r="J1501" s="52"/>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c r="AG1501" s="19"/>
      <c r="AH1501" s="19"/>
      <c r="AI1501" s="19"/>
      <c r="AJ1501" s="19"/>
      <c r="FM1501" s="54"/>
    </row>
    <row r="1502" spans="1:169" s="18" customFormat="1">
      <c r="A1502" s="51"/>
      <c r="B1502" s="52"/>
      <c r="C1502" s="52"/>
      <c r="D1502" s="52"/>
      <c r="E1502" s="52"/>
      <c r="F1502" s="52"/>
      <c r="G1502" s="52"/>
      <c r="H1502" s="53"/>
      <c r="I1502" s="52"/>
      <c r="J1502" s="52"/>
      <c r="K1502" s="19"/>
      <c r="L1502" s="19"/>
      <c r="M1502" s="19"/>
      <c r="N1502" s="19"/>
      <c r="O1502" s="19"/>
      <c r="P1502" s="19"/>
      <c r="Q1502" s="19"/>
      <c r="R1502" s="19"/>
      <c r="S1502" s="19"/>
      <c r="T1502" s="19"/>
      <c r="U1502" s="19"/>
      <c r="V1502" s="19"/>
      <c r="W1502" s="19"/>
      <c r="X1502" s="19"/>
      <c r="Y1502" s="19"/>
      <c r="Z1502" s="19"/>
      <c r="AA1502" s="19"/>
      <c r="AB1502" s="19"/>
      <c r="AC1502" s="19"/>
      <c r="AD1502" s="19"/>
      <c r="AE1502" s="19"/>
      <c r="AF1502" s="19"/>
      <c r="AG1502" s="19"/>
      <c r="AH1502" s="19"/>
      <c r="AI1502" s="19"/>
      <c r="AJ1502" s="19"/>
      <c r="FM1502" s="54"/>
    </row>
    <row r="1503" spans="1:169" s="18" customFormat="1">
      <c r="A1503" s="51"/>
      <c r="B1503" s="52"/>
      <c r="C1503" s="52"/>
      <c r="D1503" s="52"/>
      <c r="E1503" s="52"/>
      <c r="F1503" s="52"/>
      <c r="G1503" s="52"/>
      <c r="H1503" s="53"/>
      <c r="I1503" s="52"/>
      <c r="J1503" s="52"/>
      <c r="K1503" s="19"/>
      <c r="L1503" s="19"/>
      <c r="M1503" s="19"/>
      <c r="N1503" s="19"/>
      <c r="O1503" s="19"/>
      <c r="P1503" s="19"/>
      <c r="Q1503" s="19"/>
      <c r="R1503" s="19"/>
      <c r="S1503" s="19"/>
      <c r="T1503" s="19"/>
      <c r="U1503" s="19"/>
      <c r="V1503" s="19"/>
      <c r="W1503" s="19"/>
      <c r="X1503" s="19"/>
      <c r="Y1503" s="19"/>
      <c r="Z1503" s="19"/>
      <c r="AA1503" s="19"/>
      <c r="AB1503" s="19"/>
      <c r="AC1503" s="19"/>
      <c r="AD1503" s="19"/>
      <c r="AE1503" s="19"/>
      <c r="AF1503" s="19"/>
      <c r="AG1503" s="19"/>
      <c r="AH1503" s="19"/>
      <c r="AI1503" s="19"/>
      <c r="AJ1503" s="19"/>
      <c r="FM1503" s="54"/>
    </row>
    <row r="1504" spans="1:169" s="18" customFormat="1">
      <c r="A1504" s="51"/>
      <c r="B1504" s="52"/>
      <c r="C1504" s="52"/>
      <c r="D1504" s="52"/>
      <c r="E1504" s="52"/>
      <c r="F1504" s="52"/>
      <c r="G1504" s="52"/>
      <c r="H1504" s="53"/>
      <c r="I1504" s="52"/>
      <c r="J1504" s="52"/>
      <c r="K1504" s="19"/>
      <c r="L1504" s="19"/>
      <c r="M1504" s="19"/>
      <c r="N1504" s="19"/>
      <c r="O1504" s="19"/>
      <c r="P1504" s="19"/>
      <c r="Q1504" s="19"/>
      <c r="R1504" s="19"/>
      <c r="S1504" s="19"/>
      <c r="T1504" s="19"/>
      <c r="U1504" s="19"/>
      <c r="V1504" s="19"/>
      <c r="W1504" s="19"/>
      <c r="X1504" s="19"/>
      <c r="Y1504" s="19"/>
      <c r="Z1504" s="19"/>
      <c r="AA1504" s="19"/>
      <c r="AB1504" s="19"/>
      <c r="AC1504" s="19"/>
      <c r="AD1504" s="19"/>
      <c r="AE1504" s="19"/>
      <c r="AF1504" s="19"/>
      <c r="AG1504" s="19"/>
      <c r="AH1504" s="19"/>
      <c r="AI1504" s="19"/>
      <c r="AJ1504" s="19"/>
      <c r="FM1504" s="54"/>
    </row>
    <row r="1505" spans="1:169" s="18" customFormat="1">
      <c r="A1505" s="51"/>
      <c r="B1505" s="52"/>
      <c r="C1505" s="52"/>
      <c r="D1505" s="52"/>
      <c r="E1505" s="52"/>
      <c r="F1505" s="52"/>
      <c r="G1505" s="52"/>
      <c r="H1505" s="53"/>
      <c r="I1505" s="52"/>
      <c r="J1505" s="52"/>
      <c r="K1505" s="19"/>
      <c r="L1505" s="19"/>
      <c r="M1505" s="19"/>
      <c r="N1505" s="19"/>
      <c r="O1505" s="19"/>
      <c r="P1505" s="19"/>
      <c r="Q1505" s="19"/>
      <c r="R1505" s="19"/>
      <c r="S1505" s="19"/>
      <c r="T1505" s="19"/>
      <c r="U1505" s="19"/>
      <c r="V1505" s="19"/>
      <c r="W1505" s="19"/>
      <c r="X1505" s="19"/>
      <c r="Y1505" s="19"/>
      <c r="Z1505" s="19"/>
      <c r="AA1505" s="19"/>
      <c r="AB1505" s="19"/>
      <c r="AC1505" s="19"/>
      <c r="AD1505" s="19"/>
      <c r="AE1505" s="19"/>
      <c r="AF1505" s="19"/>
      <c r="AG1505" s="19"/>
      <c r="AH1505" s="19"/>
      <c r="AI1505" s="19"/>
      <c r="AJ1505" s="19"/>
      <c r="FM1505" s="54"/>
    </row>
    <row r="1506" spans="1:169" s="18" customFormat="1">
      <c r="A1506" s="51"/>
      <c r="B1506" s="52"/>
      <c r="C1506" s="52"/>
      <c r="D1506" s="52"/>
      <c r="E1506" s="52"/>
      <c r="F1506" s="52"/>
      <c r="G1506" s="52"/>
      <c r="H1506" s="53"/>
      <c r="I1506" s="52"/>
      <c r="J1506" s="52"/>
      <c r="K1506" s="19"/>
      <c r="L1506" s="19"/>
      <c r="M1506" s="19"/>
      <c r="N1506" s="19"/>
      <c r="O1506" s="19"/>
      <c r="P1506" s="19"/>
      <c r="Q1506" s="19"/>
      <c r="R1506" s="19"/>
      <c r="S1506" s="19"/>
      <c r="T1506" s="19"/>
      <c r="U1506" s="19"/>
      <c r="V1506" s="19"/>
      <c r="W1506" s="19"/>
      <c r="X1506" s="19"/>
      <c r="Y1506" s="19"/>
      <c r="Z1506" s="19"/>
      <c r="AA1506" s="19"/>
      <c r="AB1506" s="19"/>
      <c r="AC1506" s="19"/>
      <c r="AD1506" s="19"/>
      <c r="AE1506" s="19"/>
      <c r="AF1506" s="19"/>
      <c r="AG1506" s="19"/>
      <c r="AH1506" s="19"/>
      <c r="AI1506" s="19"/>
      <c r="AJ1506" s="19"/>
      <c r="FM1506" s="54"/>
    </row>
    <row r="1507" spans="1:169" s="18" customFormat="1">
      <c r="A1507" s="51"/>
      <c r="B1507" s="52"/>
      <c r="C1507" s="52"/>
      <c r="D1507" s="52"/>
      <c r="E1507" s="52"/>
      <c r="F1507" s="52"/>
      <c r="G1507" s="52"/>
      <c r="H1507" s="53"/>
      <c r="I1507" s="52"/>
      <c r="J1507" s="52"/>
      <c r="K1507" s="19"/>
      <c r="L1507" s="19"/>
      <c r="M1507" s="19"/>
      <c r="N1507" s="19"/>
      <c r="O1507" s="19"/>
      <c r="P1507" s="19"/>
      <c r="Q1507" s="19"/>
      <c r="R1507" s="19"/>
      <c r="S1507" s="19"/>
      <c r="T1507" s="19"/>
      <c r="U1507" s="19"/>
      <c r="V1507" s="19"/>
      <c r="W1507" s="19"/>
      <c r="X1507" s="19"/>
      <c r="Y1507" s="19"/>
      <c r="Z1507" s="19"/>
      <c r="AA1507" s="19"/>
      <c r="AB1507" s="19"/>
      <c r="AC1507" s="19"/>
      <c r="AD1507" s="19"/>
      <c r="AE1507" s="19"/>
      <c r="AF1507" s="19"/>
      <c r="AG1507" s="19"/>
      <c r="AH1507" s="19"/>
      <c r="AI1507" s="19"/>
      <c r="AJ1507" s="19"/>
      <c r="FM1507" s="54"/>
    </row>
    <row r="1508" spans="1:169" s="18" customFormat="1">
      <c r="A1508" s="51"/>
      <c r="B1508" s="52"/>
      <c r="C1508" s="52"/>
      <c r="D1508" s="52"/>
      <c r="E1508" s="52"/>
      <c r="F1508" s="52"/>
      <c r="G1508" s="52"/>
      <c r="H1508" s="53"/>
      <c r="I1508" s="52"/>
      <c r="J1508" s="52"/>
      <c r="K1508" s="19"/>
      <c r="L1508" s="19"/>
      <c r="M1508" s="19"/>
      <c r="N1508" s="19"/>
      <c r="O1508" s="19"/>
      <c r="P1508" s="19"/>
      <c r="Q1508" s="19"/>
      <c r="R1508" s="19"/>
      <c r="S1508" s="19"/>
      <c r="T1508" s="19"/>
      <c r="U1508" s="19"/>
      <c r="V1508" s="19"/>
      <c r="W1508" s="19"/>
      <c r="X1508" s="19"/>
      <c r="Y1508" s="19"/>
      <c r="Z1508" s="19"/>
      <c r="AA1508" s="19"/>
      <c r="AB1508" s="19"/>
      <c r="AC1508" s="19"/>
      <c r="AD1508" s="19"/>
      <c r="AE1508" s="19"/>
      <c r="AF1508" s="19"/>
      <c r="AG1508" s="19"/>
      <c r="AH1508" s="19"/>
      <c r="AI1508" s="19"/>
      <c r="AJ1508" s="19"/>
      <c r="FM1508" s="54"/>
    </row>
    <row r="1509" spans="1:169" s="18" customFormat="1">
      <c r="A1509" s="51"/>
      <c r="B1509" s="52"/>
      <c r="C1509" s="52"/>
      <c r="D1509" s="52"/>
      <c r="E1509" s="52"/>
      <c r="F1509" s="52"/>
      <c r="G1509" s="52"/>
      <c r="H1509" s="53"/>
      <c r="I1509" s="52"/>
      <c r="J1509" s="52"/>
      <c r="K1509" s="19"/>
      <c r="L1509" s="19"/>
      <c r="M1509" s="19"/>
      <c r="N1509" s="19"/>
      <c r="O1509" s="19"/>
      <c r="P1509" s="19"/>
      <c r="Q1509" s="19"/>
      <c r="R1509" s="19"/>
      <c r="S1509" s="19"/>
      <c r="T1509" s="19"/>
      <c r="U1509" s="19"/>
      <c r="V1509" s="19"/>
      <c r="W1509" s="19"/>
      <c r="X1509" s="19"/>
      <c r="Y1509" s="19"/>
      <c r="Z1509" s="19"/>
      <c r="AA1509" s="19"/>
      <c r="AB1509" s="19"/>
      <c r="AC1509" s="19"/>
      <c r="AD1509" s="19"/>
      <c r="AE1509" s="19"/>
      <c r="AF1509" s="19"/>
      <c r="AG1509" s="19"/>
      <c r="AH1509" s="19"/>
      <c r="AI1509" s="19"/>
      <c r="AJ1509" s="19"/>
      <c r="FM1509" s="54"/>
    </row>
    <row r="1510" spans="1:169" s="18" customFormat="1">
      <c r="A1510" s="51"/>
      <c r="B1510" s="52"/>
      <c r="C1510" s="52"/>
      <c r="D1510" s="52"/>
      <c r="E1510" s="52"/>
      <c r="F1510" s="52"/>
      <c r="G1510" s="52"/>
      <c r="H1510" s="53"/>
      <c r="I1510" s="52"/>
      <c r="J1510" s="52"/>
      <c r="K1510" s="19"/>
      <c r="L1510" s="19"/>
      <c r="M1510" s="19"/>
      <c r="N1510" s="19"/>
      <c r="O1510" s="19"/>
      <c r="P1510" s="19"/>
      <c r="Q1510" s="19"/>
      <c r="R1510" s="19"/>
      <c r="S1510" s="19"/>
      <c r="T1510" s="19"/>
      <c r="U1510" s="19"/>
      <c r="V1510" s="19"/>
      <c r="W1510" s="19"/>
      <c r="X1510" s="19"/>
      <c r="Y1510" s="19"/>
      <c r="Z1510" s="19"/>
      <c r="AA1510" s="19"/>
      <c r="AB1510" s="19"/>
      <c r="AC1510" s="19"/>
      <c r="AD1510" s="19"/>
      <c r="AE1510" s="19"/>
      <c r="AF1510" s="19"/>
      <c r="AG1510" s="19"/>
      <c r="AH1510" s="19"/>
      <c r="AI1510" s="19"/>
      <c r="AJ1510" s="19"/>
      <c r="FM1510" s="54"/>
    </row>
    <row r="1511" spans="1:169" s="18" customFormat="1">
      <c r="A1511" s="51"/>
      <c r="B1511" s="52"/>
      <c r="C1511" s="52"/>
      <c r="D1511" s="52"/>
      <c r="E1511" s="52"/>
      <c r="F1511" s="52"/>
      <c r="G1511" s="52"/>
      <c r="H1511" s="53"/>
      <c r="I1511" s="52"/>
      <c r="J1511" s="52"/>
      <c r="K1511" s="19"/>
      <c r="L1511" s="19"/>
      <c r="M1511" s="19"/>
      <c r="N1511" s="19"/>
      <c r="O1511" s="19"/>
      <c r="P1511" s="19"/>
      <c r="Q1511" s="19"/>
      <c r="R1511" s="19"/>
      <c r="S1511" s="19"/>
      <c r="T1511" s="19"/>
      <c r="U1511" s="19"/>
      <c r="V1511" s="19"/>
      <c r="W1511" s="19"/>
      <c r="X1511" s="19"/>
      <c r="Y1511" s="19"/>
      <c r="Z1511" s="19"/>
      <c r="AA1511" s="19"/>
      <c r="AB1511" s="19"/>
      <c r="AC1511" s="19"/>
      <c r="AD1511" s="19"/>
      <c r="AE1511" s="19"/>
      <c r="AF1511" s="19"/>
      <c r="AG1511" s="19"/>
      <c r="AH1511" s="19"/>
      <c r="AI1511" s="19"/>
      <c r="AJ1511" s="19"/>
      <c r="FM1511" s="54"/>
    </row>
    <row r="1512" spans="1:169" s="18" customFormat="1">
      <c r="A1512" s="51"/>
      <c r="B1512" s="52"/>
      <c r="C1512" s="52"/>
      <c r="D1512" s="52"/>
      <c r="E1512" s="52"/>
      <c r="F1512" s="52"/>
      <c r="G1512" s="52"/>
      <c r="H1512" s="53"/>
      <c r="I1512" s="52"/>
      <c r="J1512" s="52"/>
      <c r="K1512" s="19"/>
      <c r="L1512" s="19"/>
      <c r="M1512" s="19"/>
      <c r="N1512" s="19"/>
      <c r="O1512" s="19"/>
      <c r="P1512" s="19"/>
      <c r="Q1512" s="19"/>
      <c r="R1512" s="19"/>
      <c r="S1512" s="19"/>
      <c r="T1512" s="19"/>
      <c r="U1512" s="19"/>
      <c r="V1512" s="19"/>
      <c r="W1512" s="19"/>
      <c r="X1512" s="19"/>
      <c r="Y1512" s="19"/>
      <c r="Z1512" s="19"/>
      <c r="AA1512" s="19"/>
      <c r="AB1512" s="19"/>
      <c r="AC1512" s="19"/>
      <c r="AD1512" s="19"/>
      <c r="AE1512" s="19"/>
      <c r="AF1512" s="19"/>
      <c r="AG1512" s="19"/>
      <c r="AH1512" s="19"/>
      <c r="AI1512" s="19"/>
      <c r="AJ1512" s="19"/>
      <c r="FM1512" s="54"/>
    </row>
    <row r="1513" spans="1:169" s="18" customFormat="1">
      <c r="A1513" s="51"/>
      <c r="B1513" s="52"/>
      <c r="C1513" s="52"/>
      <c r="D1513" s="52"/>
      <c r="E1513" s="52"/>
      <c r="F1513" s="52"/>
      <c r="G1513" s="52"/>
      <c r="H1513" s="53"/>
      <c r="I1513" s="52"/>
      <c r="J1513" s="52"/>
      <c r="K1513" s="19"/>
      <c r="L1513" s="19"/>
      <c r="M1513" s="19"/>
      <c r="N1513" s="19"/>
      <c r="O1513" s="19"/>
      <c r="P1513" s="19"/>
      <c r="Q1513" s="19"/>
      <c r="R1513" s="19"/>
      <c r="S1513" s="19"/>
      <c r="T1513" s="19"/>
      <c r="U1513" s="19"/>
      <c r="V1513" s="19"/>
      <c r="W1513" s="19"/>
      <c r="X1513" s="19"/>
      <c r="Y1513" s="19"/>
      <c r="Z1513" s="19"/>
      <c r="AA1513" s="19"/>
      <c r="AB1513" s="19"/>
      <c r="AC1513" s="19"/>
      <c r="AD1513" s="19"/>
      <c r="AE1513" s="19"/>
      <c r="AF1513" s="19"/>
      <c r="AG1513" s="19"/>
      <c r="AH1513" s="19"/>
      <c r="AI1513" s="19"/>
      <c r="AJ1513" s="19"/>
      <c r="FM1513" s="54"/>
    </row>
    <row r="1514" spans="1:169" s="18" customFormat="1">
      <c r="A1514" s="51"/>
      <c r="B1514" s="52"/>
      <c r="C1514" s="52"/>
      <c r="D1514" s="52"/>
      <c r="E1514" s="52"/>
      <c r="F1514" s="52"/>
      <c r="G1514" s="52"/>
      <c r="H1514" s="53"/>
      <c r="I1514" s="52"/>
      <c r="J1514" s="52"/>
      <c r="K1514" s="19"/>
      <c r="L1514" s="19"/>
      <c r="M1514" s="19"/>
      <c r="N1514" s="19"/>
      <c r="O1514" s="19"/>
      <c r="P1514" s="19"/>
      <c r="Q1514" s="19"/>
      <c r="R1514" s="19"/>
      <c r="S1514" s="19"/>
      <c r="T1514" s="19"/>
      <c r="U1514" s="19"/>
      <c r="V1514" s="19"/>
      <c r="W1514" s="19"/>
      <c r="X1514" s="19"/>
      <c r="Y1514" s="19"/>
      <c r="Z1514" s="19"/>
      <c r="AA1514" s="19"/>
      <c r="AB1514" s="19"/>
      <c r="AC1514" s="19"/>
      <c r="AD1514" s="19"/>
      <c r="AE1514" s="19"/>
      <c r="AF1514" s="19"/>
      <c r="AG1514" s="19"/>
      <c r="AH1514" s="19"/>
      <c r="AI1514" s="19"/>
      <c r="AJ1514" s="19"/>
      <c r="FM1514" s="54"/>
    </row>
    <row r="1515" spans="1:169" s="18" customFormat="1">
      <c r="A1515" s="51"/>
      <c r="B1515" s="52"/>
      <c r="C1515" s="52"/>
      <c r="D1515" s="52"/>
      <c r="E1515" s="52"/>
      <c r="F1515" s="52"/>
      <c r="G1515" s="52"/>
      <c r="H1515" s="53"/>
      <c r="I1515" s="52"/>
      <c r="J1515" s="52"/>
      <c r="K1515" s="19"/>
      <c r="L1515" s="19"/>
      <c r="M1515" s="19"/>
      <c r="N1515" s="19"/>
      <c r="O1515" s="19"/>
      <c r="P1515" s="19"/>
      <c r="Q1515" s="19"/>
      <c r="R1515" s="19"/>
      <c r="S1515" s="19"/>
      <c r="T1515" s="19"/>
      <c r="U1515" s="19"/>
      <c r="V1515" s="19"/>
      <c r="W1515" s="19"/>
      <c r="X1515" s="19"/>
      <c r="Y1515" s="19"/>
      <c r="Z1515" s="19"/>
      <c r="AA1515" s="19"/>
      <c r="AB1515" s="19"/>
      <c r="AC1515" s="19"/>
      <c r="AD1515" s="19"/>
      <c r="AE1515" s="19"/>
      <c r="AF1515" s="19"/>
      <c r="AG1515" s="19"/>
      <c r="AH1515" s="19"/>
      <c r="AI1515" s="19"/>
      <c r="AJ1515" s="19"/>
      <c r="FM1515" s="54"/>
    </row>
    <row r="1516" spans="1:169" s="18" customFormat="1">
      <c r="A1516" s="51"/>
      <c r="B1516" s="52"/>
      <c r="C1516" s="52"/>
      <c r="D1516" s="52"/>
      <c r="E1516" s="52"/>
      <c r="F1516" s="52"/>
      <c r="G1516" s="52"/>
      <c r="H1516" s="53"/>
      <c r="I1516" s="52"/>
      <c r="J1516" s="52"/>
      <c r="K1516" s="19"/>
      <c r="L1516" s="19"/>
      <c r="M1516" s="19"/>
      <c r="N1516" s="19"/>
      <c r="O1516" s="19"/>
      <c r="P1516" s="19"/>
      <c r="Q1516" s="19"/>
      <c r="R1516" s="19"/>
      <c r="S1516" s="19"/>
      <c r="T1516" s="19"/>
      <c r="U1516" s="19"/>
      <c r="V1516" s="19"/>
      <c r="W1516" s="19"/>
      <c r="X1516" s="19"/>
      <c r="Y1516" s="19"/>
      <c r="Z1516" s="19"/>
      <c r="AA1516" s="19"/>
      <c r="AB1516" s="19"/>
      <c r="AC1516" s="19"/>
      <c r="AD1516" s="19"/>
      <c r="AE1516" s="19"/>
      <c r="AF1516" s="19"/>
      <c r="AG1516" s="19"/>
      <c r="AH1516" s="19"/>
      <c r="AI1516" s="19"/>
      <c r="AJ1516" s="19"/>
      <c r="FM1516" s="54"/>
    </row>
    <row r="1517" spans="1:169" s="18" customFormat="1">
      <c r="A1517" s="51"/>
      <c r="B1517" s="52"/>
      <c r="C1517" s="52"/>
      <c r="D1517" s="52"/>
      <c r="E1517" s="52"/>
      <c r="F1517" s="52"/>
      <c r="G1517" s="52"/>
      <c r="H1517" s="53"/>
      <c r="I1517" s="52"/>
      <c r="J1517" s="52"/>
      <c r="K1517" s="19"/>
      <c r="L1517" s="19"/>
      <c r="M1517" s="19"/>
      <c r="N1517" s="19"/>
      <c r="O1517" s="19"/>
      <c r="P1517" s="19"/>
      <c r="Q1517" s="19"/>
      <c r="R1517" s="19"/>
      <c r="S1517" s="19"/>
      <c r="T1517" s="19"/>
      <c r="U1517" s="19"/>
      <c r="V1517" s="19"/>
      <c r="W1517" s="19"/>
      <c r="X1517" s="19"/>
      <c r="Y1517" s="19"/>
      <c r="Z1517" s="19"/>
      <c r="AA1517" s="19"/>
      <c r="AB1517" s="19"/>
      <c r="AC1517" s="19"/>
      <c r="AD1517" s="19"/>
      <c r="AE1517" s="19"/>
      <c r="AF1517" s="19"/>
      <c r="AG1517" s="19"/>
      <c r="AH1517" s="19"/>
      <c r="AI1517" s="19"/>
      <c r="AJ1517" s="19"/>
      <c r="FM1517" s="54"/>
    </row>
    <row r="1518" spans="1:169" s="18" customFormat="1">
      <c r="A1518" s="51"/>
      <c r="B1518" s="52"/>
      <c r="C1518" s="52"/>
      <c r="D1518" s="52"/>
      <c r="E1518" s="52"/>
      <c r="F1518" s="52"/>
      <c r="G1518" s="52"/>
      <c r="H1518" s="53"/>
      <c r="I1518" s="52"/>
      <c r="J1518" s="52"/>
      <c r="K1518" s="19"/>
      <c r="L1518" s="19"/>
      <c r="M1518" s="19"/>
      <c r="N1518" s="19"/>
      <c r="O1518" s="19"/>
      <c r="P1518" s="19"/>
      <c r="Q1518" s="19"/>
      <c r="R1518" s="19"/>
      <c r="S1518" s="19"/>
      <c r="T1518" s="19"/>
      <c r="U1518" s="19"/>
      <c r="V1518" s="19"/>
      <c r="W1518" s="19"/>
      <c r="X1518" s="19"/>
      <c r="Y1518" s="19"/>
      <c r="Z1518" s="19"/>
      <c r="AA1518" s="19"/>
      <c r="AB1518" s="19"/>
      <c r="AC1518" s="19"/>
      <c r="AD1518" s="19"/>
      <c r="AE1518" s="19"/>
      <c r="AF1518" s="19"/>
      <c r="AG1518" s="19"/>
      <c r="AH1518" s="19"/>
      <c r="AI1518" s="19"/>
      <c r="AJ1518" s="19"/>
      <c r="FM1518" s="54"/>
    </row>
    <row r="1519" spans="1:169" s="18" customFormat="1">
      <c r="A1519" s="51"/>
      <c r="B1519" s="52"/>
      <c r="C1519" s="52"/>
      <c r="D1519" s="52"/>
      <c r="E1519" s="52"/>
      <c r="F1519" s="52"/>
      <c r="G1519" s="52"/>
      <c r="H1519" s="53"/>
      <c r="I1519" s="52"/>
      <c r="J1519" s="52"/>
      <c r="K1519" s="19"/>
      <c r="L1519" s="19"/>
      <c r="M1519" s="19"/>
      <c r="N1519" s="19"/>
      <c r="O1519" s="19"/>
      <c r="P1519" s="19"/>
      <c r="Q1519" s="19"/>
      <c r="R1519" s="19"/>
      <c r="S1519" s="19"/>
      <c r="T1519" s="19"/>
      <c r="U1519" s="19"/>
      <c r="V1519" s="19"/>
      <c r="W1519" s="19"/>
      <c r="X1519" s="19"/>
      <c r="Y1519" s="19"/>
      <c r="Z1519" s="19"/>
      <c r="AA1519" s="19"/>
      <c r="AB1519" s="19"/>
      <c r="AC1519" s="19"/>
      <c r="AD1519" s="19"/>
      <c r="AE1519" s="19"/>
      <c r="AF1519" s="19"/>
      <c r="AG1519" s="19"/>
      <c r="AH1519" s="19"/>
      <c r="AI1519" s="19"/>
      <c r="AJ1519" s="19"/>
      <c r="FM1519" s="54"/>
    </row>
    <row r="1520" spans="1:169" s="18" customFormat="1">
      <c r="A1520" s="51"/>
      <c r="B1520" s="52"/>
      <c r="C1520" s="52"/>
      <c r="D1520" s="52"/>
      <c r="E1520" s="52"/>
      <c r="F1520" s="52"/>
      <c r="G1520" s="52"/>
      <c r="H1520" s="53"/>
      <c r="I1520" s="52"/>
      <c r="J1520" s="52"/>
      <c r="K1520" s="19"/>
      <c r="L1520" s="19"/>
      <c r="M1520" s="19"/>
      <c r="N1520" s="19"/>
      <c r="O1520" s="19"/>
      <c r="P1520" s="19"/>
      <c r="Q1520" s="19"/>
      <c r="R1520" s="19"/>
      <c r="S1520" s="19"/>
      <c r="T1520" s="19"/>
      <c r="U1520" s="19"/>
      <c r="V1520" s="19"/>
      <c r="W1520" s="19"/>
      <c r="X1520" s="19"/>
      <c r="Y1520" s="19"/>
      <c r="Z1520" s="19"/>
      <c r="AA1520" s="19"/>
      <c r="AB1520" s="19"/>
      <c r="AC1520" s="19"/>
      <c r="AD1520" s="19"/>
      <c r="AE1520" s="19"/>
      <c r="AF1520" s="19"/>
      <c r="AG1520" s="19"/>
      <c r="AH1520" s="19"/>
      <c r="AI1520" s="19"/>
      <c r="AJ1520" s="19"/>
      <c r="FM1520" s="54"/>
    </row>
    <row r="1521" spans="1:169" s="18" customFormat="1">
      <c r="A1521" s="51"/>
      <c r="B1521" s="52"/>
      <c r="C1521" s="52"/>
      <c r="D1521" s="52"/>
      <c r="E1521" s="52"/>
      <c r="F1521" s="52"/>
      <c r="G1521" s="52"/>
      <c r="H1521" s="53"/>
      <c r="I1521" s="52"/>
      <c r="J1521" s="52"/>
      <c r="K1521" s="19"/>
      <c r="L1521" s="19"/>
      <c r="M1521" s="19"/>
      <c r="N1521" s="19"/>
      <c r="O1521" s="19"/>
      <c r="P1521" s="19"/>
      <c r="Q1521" s="19"/>
      <c r="R1521" s="19"/>
      <c r="S1521" s="19"/>
      <c r="T1521" s="19"/>
      <c r="U1521" s="19"/>
      <c r="V1521" s="19"/>
      <c r="W1521" s="19"/>
      <c r="X1521" s="19"/>
      <c r="Y1521" s="19"/>
      <c r="Z1521" s="19"/>
      <c r="AA1521" s="19"/>
      <c r="AB1521" s="19"/>
      <c r="AC1521" s="19"/>
      <c r="AD1521" s="19"/>
      <c r="AE1521" s="19"/>
      <c r="AF1521" s="19"/>
      <c r="AG1521" s="19"/>
      <c r="AH1521" s="19"/>
      <c r="AI1521" s="19"/>
      <c r="AJ1521" s="19"/>
      <c r="FM1521" s="54"/>
    </row>
    <row r="1522" spans="1:169" s="18" customFormat="1">
      <c r="A1522" s="51"/>
      <c r="B1522" s="52"/>
      <c r="C1522" s="52"/>
      <c r="D1522" s="52"/>
      <c r="E1522" s="52"/>
      <c r="F1522" s="52"/>
      <c r="G1522" s="52"/>
      <c r="H1522" s="53"/>
      <c r="I1522" s="52"/>
      <c r="J1522" s="52"/>
      <c r="K1522" s="19"/>
      <c r="L1522" s="19"/>
      <c r="M1522" s="19"/>
      <c r="N1522" s="19"/>
      <c r="O1522" s="19"/>
      <c r="P1522" s="19"/>
      <c r="Q1522" s="19"/>
      <c r="R1522" s="19"/>
      <c r="S1522" s="19"/>
      <c r="T1522" s="19"/>
      <c r="U1522" s="19"/>
      <c r="V1522" s="19"/>
      <c r="W1522" s="19"/>
      <c r="X1522" s="19"/>
      <c r="Y1522" s="19"/>
      <c r="Z1522" s="19"/>
      <c r="AA1522" s="19"/>
      <c r="AB1522" s="19"/>
      <c r="AC1522" s="19"/>
      <c r="AD1522" s="19"/>
      <c r="AE1522" s="19"/>
      <c r="AF1522" s="19"/>
      <c r="AG1522" s="19"/>
      <c r="AH1522" s="19"/>
      <c r="AI1522" s="19"/>
      <c r="AJ1522" s="19"/>
      <c r="FM1522" s="54"/>
    </row>
    <row r="1523" spans="1:169" s="18" customFormat="1">
      <c r="A1523" s="51"/>
      <c r="B1523" s="52"/>
      <c r="C1523" s="52"/>
      <c r="D1523" s="52"/>
      <c r="E1523" s="52"/>
      <c r="F1523" s="52"/>
      <c r="G1523" s="52"/>
      <c r="H1523" s="53"/>
      <c r="I1523" s="52"/>
      <c r="J1523" s="52"/>
      <c r="K1523" s="19"/>
      <c r="L1523" s="19"/>
      <c r="M1523" s="19"/>
      <c r="N1523" s="19"/>
      <c r="O1523" s="19"/>
      <c r="P1523" s="19"/>
      <c r="Q1523" s="19"/>
      <c r="R1523" s="19"/>
      <c r="S1523" s="19"/>
      <c r="T1523" s="19"/>
      <c r="U1523" s="19"/>
      <c r="V1523" s="19"/>
      <c r="W1523" s="19"/>
      <c r="X1523" s="19"/>
      <c r="Y1523" s="19"/>
      <c r="Z1523" s="19"/>
      <c r="AA1523" s="19"/>
      <c r="AB1523" s="19"/>
      <c r="AC1523" s="19"/>
      <c r="AD1523" s="19"/>
      <c r="AE1523" s="19"/>
      <c r="AF1523" s="19"/>
      <c r="AG1523" s="19"/>
      <c r="AH1523" s="19"/>
      <c r="AI1523" s="19"/>
      <c r="AJ1523" s="19"/>
      <c r="FM1523" s="54"/>
    </row>
    <row r="1524" spans="1:169" s="18" customFormat="1">
      <c r="A1524" s="51"/>
      <c r="B1524" s="52"/>
      <c r="C1524" s="52"/>
      <c r="D1524" s="52"/>
      <c r="E1524" s="52"/>
      <c r="F1524" s="52"/>
      <c r="G1524" s="52"/>
      <c r="H1524" s="53"/>
      <c r="I1524" s="52"/>
      <c r="J1524" s="52"/>
      <c r="K1524" s="19"/>
      <c r="L1524" s="19"/>
      <c r="M1524" s="19"/>
      <c r="N1524" s="19"/>
      <c r="O1524" s="19"/>
      <c r="P1524" s="19"/>
      <c r="Q1524" s="19"/>
      <c r="R1524" s="19"/>
      <c r="S1524" s="19"/>
      <c r="T1524" s="19"/>
      <c r="U1524" s="19"/>
      <c r="V1524" s="19"/>
      <c r="W1524" s="19"/>
      <c r="X1524" s="19"/>
      <c r="Y1524" s="19"/>
      <c r="Z1524" s="19"/>
      <c r="AA1524" s="19"/>
      <c r="AB1524" s="19"/>
      <c r="AC1524" s="19"/>
      <c r="AD1524" s="19"/>
      <c r="AE1524" s="19"/>
      <c r="AF1524" s="19"/>
      <c r="AG1524" s="19"/>
      <c r="AH1524" s="19"/>
      <c r="AI1524" s="19"/>
      <c r="AJ1524" s="19"/>
      <c r="FM1524" s="54"/>
    </row>
    <row r="1525" spans="1:169" s="18" customFormat="1">
      <c r="A1525" s="51"/>
      <c r="B1525" s="52"/>
      <c r="C1525" s="52"/>
      <c r="D1525" s="52"/>
      <c r="E1525" s="52"/>
      <c r="F1525" s="52"/>
      <c r="G1525" s="52"/>
      <c r="H1525" s="53"/>
      <c r="I1525" s="52"/>
      <c r="J1525" s="52"/>
      <c r="K1525" s="19"/>
      <c r="L1525" s="19"/>
      <c r="M1525" s="19"/>
      <c r="N1525" s="19"/>
      <c r="O1525" s="19"/>
      <c r="P1525" s="19"/>
      <c r="Q1525" s="19"/>
      <c r="R1525" s="19"/>
      <c r="S1525" s="19"/>
      <c r="T1525" s="19"/>
      <c r="U1525" s="19"/>
      <c r="V1525" s="19"/>
      <c r="W1525" s="19"/>
      <c r="X1525" s="19"/>
      <c r="Y1525" s="19"/>
      <c r="Z1525" s="19"/>
      <c r="AA1525" s="19"/>
      <c r="AB1525" s="19"/>
      <c r="AC1525" s="19"/>
      <c r="AD1525" s="19"/>
      <c r="AE1525" s="19"/>
      <c r="AF1525" s="19"/>
      <c r="AG1525" s="19"/>
      <c r="AH1525" s="19"/>
      <c r="AI1525" s="19"/>
      <c r="AJ1525" s="19"/>
      <c r="FM1525" s="54"/>
    </row>
    <row r="1526" spans="1:169" s="18" customFormat="1">
      <c r="A1526" s="51"/>
      <c r="B1526" s="52"/>
      <c r="C1526" s="52"/>
      <c r="D1526" s="52"/>
      <c r="E1526" s="52"/>
      <c r="F1526" s="52"/>
      <c r="G1526" s="52"/>
      <c r="H1526" s="53"/>
      <c r="I1526" s="52"/>
      <c r="J1526" s="52"/>
      <c r="K1526" s="19"/>
      <c r="L1526" s="19"/>
      <c r="M1526" s="19"/>
      <c r="N1526" s="19"/>
      <c r="O1526" s="19"/>
      <c r="P1526" s="19"/>
      <c r="Q1526" s="19"/>
      <c r="R1526" s="19"/>
      <c r="S1526" s="19"/>
      <c r="T1526" s="19"/>
      <c r="U1526" s="19"/>
      <c r="V1526" s="19"/>
      <c r="W1526" s="19"/>
      <c r="X1526" s="19"/>
      <c r="Y1526" s="19"/>
      <c r="Z1526" s="19"/>
      <c r="AA1526" s="19"/>
      <c r="AB1526" s="19"/>
      <c r="AC1526" s="19"/>
      <c r="AD1526" s="19"/>
      <c r="AE1526" s="19"/>
      <c r="AF1526" s="19"/>
      <c r="AG1526" s="19"/>
      <c r="AH1526" s="19"/>
      <c r="AI1526" s="19"/>
      <c r="AJ1526" s="19"/>
      <c r="FM1526" s="54"/>
    </row>
    <row r="1527" spans="1:169" s="18" customFormat="1">
      <c r="A1527" s="51"/>
      <c r="B1527" s="52"/>
      <c r="C1527" s="52"/>
      <c r="D1527" s="52"/>
      <c r="E1527" s="52"/>
      <c r="F1527" s="52"/>
      <c r="G1527" s="52"/>
      <c r="H1527" s="53"/>
      <c r="I1527" s="52"/>
      <c r="J1527" s="52"/>
      <c r="K1527" s="19"/>
      <c r="L1527" s="19"/>
      <c r="M1527" s="19"/>
      <c r="N1527" s="19"/>
      <c r="O1527" s="19"/>
      <c r="P1527" s="19"/>
      <c r="Q1527" s="19"/>
      <c r="R1527" s="19"/>
      <c r="S1527" s="19"/>
      <c r="T1527" s="19"/>
      <c r="U1527" s="19"/>
      <c r="V1527" s="19"/>
      <c r="W1527" s="19"/>
      <c r="X1527" s="19"/>
      <c r="Y1527" s="19"/>
      <c r="Z1527" s="19"/>
      <c r="AA1527" s="19"/>
      <c r="AB1527" s="19"/>
      <c r="AC1527" s="19"/>
      <c r="AD1527" s="19"/>
      <c r="AE1527" s="19"/>
      <c r="AF1527" s="19"/>
      <c r="AG1527" s="19"/>
      <c r="AH1527" s="19"/>
      <c r="AI1527" s="19"/>
      <c r="AJ1527" s="19"/>
      <c r="FM1527" s="54"/>
    </row>
    <row r="1528" spans="1:169" s="18" customFormat="1">
      <c r="A1528" s="51"/>
      <c r="B1528" s="52"/>
      <c r="C1528" s="52"/>
      <c r="D1528" s="52"/>
      <c r="E1528" s="52"/>
      <c r="F1528" s="52"/>
      <c r="G1528" s="52"/>
      <c r="H1528" s="53"/>
      <c r="I1528" s="52"/>
      <c r="J1528" s="52"/>
      <c r="K1528" s="19"/>
      <c r="L1528" s="19"/>
      <c r="M1528" s="19"/>
      <c r="N1528" s="19"/>
      <c r="O1528" s="19"/>
      <c r="P1528" s="19"/>
      <c r="Q1528" s="19"/>
      <c r="R1528" s="19"/>
      <c r="S1528" s="19"/>
      <c r="T1528" s="19"/>
      <c r="U1528" s="19"/>
      <c r="V1528" s="19"/>
      <c r="W1528" s="19"/>
      <c r="X1528" s="19"/>
      <c r="Y1528" s="19"/>
      <c r="Z1528" s="19"/>
      <c r="AA1528" s="19"/>
      <c r="AB1528" s="19"/>
      <c r="AC1528" s="19"/>
      <c r="AD1528" s="19"/>
      <c r="AE1528" s="19"/>
      <c r="AF1528" s="19"/>
      <c r="AG1528" s="19"/>
      <c r="AH1528" s="19"/>
      <c r="AI1528" s="19"/>
      <c r="AJ1528" s="19"/>
      <c r="FM1528" s="54"/>
    </row>
    <row r="1529" spans="1:169" s="18" customFormat="1">
      <c r="A1529" s="51"/>
      <c r="B1529" s="52"/>
      <c r="C1529" s="52"/>
      <c r="D1529" s="52"/>
      <c r="E1529" s="52"/>
      <c r="F1529" s="52"/>
      <c r="G1529" s="52"/>
      <c r="H1529" s="53"/>
      <c r="I1529" s="52"/>
      <c r="J1529" s="52"/>
      <c r="K1529" s="19"/>
      <c r="L1529" s="19"/>
      <c r="M1529" s="19"/>
      <c r="N1529" s="19"/>
      <c r="O1529" s="19"/>
      <c r="P1529" s="19"/>
      <c r="Q1529" s="19"/>
      <c r="R1529" s="19"/>
      <c r="S1529" s="19"/>
      <c r="T1529" s="19"/>
      <c r="U1529" s="19"/>
      <c r="V1529" s="19"/>
      <c r="W1529" s="19"/>
      <c r="X1529" s="19"/>
      <c r="Y1529" s="19"/>
      <c r="Z1529" s="19"/>
      <c r="AA1529" s="19"/>
      <c r="AB1529" s="19"/>
      <c r="AC1529" s="19"/>
      <c r="AD1529" s="19"/>
      <c r="AE1529" s="19"/>
      <c r="AF1529" s="19"/>
      <c r="AG1529" s="19"/>
      <c r="AH1529" s="19"/>
      <c r="AI1529" s="19"/>
      <c r="AJ1529" s="19"/>
      <c r="FM1529" s="54"/>
    </row>
    <row r="1530" spans="1:169" s="18" customFormat="1">
      <c r="A1530" s="51"/>
      <c r="B1530" s="52"/>
      <c r="C1530" s="52"/>
      <c r="D1530" s="52"/>
      <c r="E1530" s="52"/>
      <c r="F1530" s="52"/>
      <c r="G1530" s="52"/>
      <c r="H1530" s="53"/>
      <c r="I1530" s="52"/>
      <c r="J1530" s="52"/>
      <c r="K1530" s="19"/>
      <c r="L1530" s="19"/>
      <c r="M1530" s="19"/>
      <c r="N1530" s="19"/>
      <c r="O1530" s="19"/>
      <c r="P1530" s="19"/>
      <c r="Q1530" s="19"/>
      <c r="R1530" s="19"/>
      <c r="S1530" s="19"/>
      <c r="T1530" s="19"/>
      <c r="U1530" s="19"/>
      <c r="V1530" s="19"/>
      <c r="W1530" s="19"/>
      <c r="X1530" s="19"/>
      <c r="Y1530" s="19"/>
      <c r="Z1530" s="19"/>
      <c r="AA1530" s="19"/>
      <c r="AB1530" s="19"/>
      <c r="AC1530" s="19"/>
      <c r="AD1530" s="19"/>
      <c r="AE1530" s="19"/>
      <c r="AF1530" s="19"/>
      <c r="AG1530" s="19"/>
      <c r="AH1530" s="19"/>
      <c r="AI1530" s="19"/>
      <c r="AJ1530" s="19"/>
      <c r="FM1530" s="54"/>
    </row>
    <row r="1531" spans="1:169" s="18" customFormat="1">
      <c r="A1531" s="51"/>
      <c r="B1531" s="52"/>
      <c r="C1531" s="52"/>
      <c r="D1531" s="52"/>
      <c r="E1531" s="52"/>
      <c r="F1531" s="52"/>
      <c r="G1531" s="52"/>
      <c r="H1531" s="53"/>
      <c r="I1531" s="52"/>
      <c r="J1531" s="52"/>
      <c r="K1531" s="19"/>
      <c r="L1531" s="19"/>
      <c r="M1531" s="19"/>
      <c r="N1531" s="19"/>
      <c r="O1531" s="19"/>
      <c r="P1531" s="19"/>
      <c r="Q1531" s="19"/>
      <c r="R1531" s="19"/>
      <c r="S1531" s="19"/>
      <c r="T1531" s="19"/>
      <c r="U1531" s="19"/>
      <c r="V1531" s="19"/>
      <c r="W1531" s="19"/>
      <c r="X1531" s="19"/>
      <c r="Y1531" s="19"/>
      <c r="Z1531" s="19"/>
      <c r="AA1531" s="19"/>
      <c r="AB1531" s="19"/>
      <c r="AC1531" s="19"/>
      <c r="AD1531" s="19"/>
      <c r="AE1531" s="19"/>
      <c r="AF1531" s="19"/>
      <c r="AG1531" s="19"/>
      <c r="AH1531" s="19"/>
      <c r="AI1531" s="19"/>
      <c r="AJ1531" s="19"/>
      <c r="FM1531" s="54"/>
    </row>
    <row r="1532" spans="1:169" s="18" customFormat="1">
      <c r="A1532" s="51"/>
      <c r="B1532" s="52"/>
      <c r="C1532" s="52"/>
      <c r="D1532" s="52"/>
      <c r="E1532" s="52"/>
      <c r="F1532" s="52"/>
      <c r="G1532" s="52"/>
      <c r="H1532" s="53"/>
      <c r="I1532" s="52"/>
      <c r="J1532" s="52"/>
      <c r="K1532" s="19"/>
      <c r="L1532" s="19"/>
      <c r="M1532" s="19"/>
      <c r="N1532" s="19"/>
      <c r="O1532" s="19"/>
      <c r="P1532" s="19"/>
      <c r="Q1532" s="19"/>
      <c r="R1532" s="19"/>
      <c r="S1532" s="19"/>
      <c r="T1532" s="19"/>
      <c r="U1532" s="19"/>
      <c r="V1532" s="19"/>
      <c r="W1532" s="19"/>
      <c r="X1532" s="19"/>
      <c r="Y1532" s="19"/>
      <c r="Z1532" s="19"/>
      <c r="AA1532" s="19"/>
      <c r="AB1532" s="19"/>
      <c r="AC1532" s="19"/>
      <c r="AD1532" s="19"/>
      <c r="AE1532" s="19"/>
      <c r="AF1532" s="19"/>
      <c r="AG1532" s="19"/>
      <c r="AH1532" s="19"/>
      <c r="AI1532" s="19"/>
      <c r="AJ1532" s="19"/>
      <c r="FM1532" s="54"/>
    </row>
    <row r="1533" spans="1:169" s="18" customFormat="1">
      <c r="A1533" s="51"/>
      <c r="B1533" s="52"/>
      <c r="C1533" s="52"/>
      <c r="D1533" s="52"/>
      <c r="E1533" s="52"/>
      <c r="F1533" s="52"/>
      <c r="G1533" s="52"/>
      <c r="H1533" s="53"/>
      <c r="I1533" s="52"/>
      <c r="J1533" s="52"/>
      <c r="K1533" s="19"/>
      <c r="L1533" s="19"/>
      <c r="M1533" s="19"/>
      <c r="N1533" s="19"/>
      <c r="O1533" s="19"/>
      <c r="P1533" s="19"/>
      <c r="Q1533" s="19"/>
      <c r="R1533" s="19"/>
      <c r="S1533" s="19"/>
      <c r="T1533" s="19"/>
      <c r="U1533" s="19"/>
      <c r="V1533" s="19"/>
      <c r="W1533" s="19"/>
      <c r="X1533" s="19"/>
      <c r="Y1533" s="19"/>
      <c r="Z1533" s="19"/>
      <c r="AA1533" s="19"/>
      <c r="AB1533" s="19"/>
      <c r="AC1533" s="19"/>
      <c r="AD1533" s="19"/>
      <c r="AE1533" s="19"/>
      <c r="AF1533" s="19"/>
      <c r="AG1533" s="19"/>
      <c r="AH1533" s="19"/>
      <c r="AI1533" s="19"/>
      <c r="AJ1533" s="19"/>
      <c r="FM1533" s="54"/>
    </row>
    <row r="1534" spans="1:169" s="18" customFormat="1">
      <c r="A1534" s="51"/>
      <c r="B1534" s="52"/>
      <c r="C1534" s="52"/>
      <c r="D1534" s="52"/>
      <c r="E1534" s="52"/>
      <c r="F1534" s="52"/>
      <c r="G1534" s="52"/>
      <c r="H1534" s="53"/>
      <c r="I1534" s="52"/>
      <c r="J1534" s="52"/>
      <c r="K1534" s="19"/>
      <c r="L1534" s="19"/>
      <c r="M1534" s="19"/>
      <c r="N1534" s="19"/>
      <c r="O1534" s="19"/>
      <c r="P1534" s="19"/>
      <c r="Q1534" s="19"/>
      <c r="R1534" s="19"/>
      <c r="S1534" s="19"/>
      <c r="T1534" s="19"/>
      <c r="U1534" s="19"/>
      <c r="V1534" s="19"/>
      <c r="W1534" s="19"/>
      <c r="X1534" s="19"/>
      <c r="Y1534" s="19"/>
      <c r="Z1534" s="19"/>
      <c r="AA1534" s="19"/>
      <c r="AB1534" s="19"/>
      <c r="AC1534" s="19"/>
      <c r="AD1534" s="19"/>
      <c r="AE1534" s="19"/>
      <c r="AF1534" s="19"/>
      <c r="AG1534" s="19"/>
      <c r="AH1534" s="19"/>
      <c r="AI1534" s="19"/>
      <c r="AJ1534" s="19"/>
      <c r="FM1534" s="54"/>
    </row>
    <row r="1535" spans="1:169" s="18" customFormat="1">
      <c r="A1535" s="51"/>
      <c r="B1535" s="52"/>
      <c r="C1535" s="52"/>
      <c r="D1535" s="52"/>
      <c r="E1535" s="52"/>
      <c r="F1535" s="52"/>
      <c r="G1535" s="52"/>
      <c r="H1535" s="53"/>
      <c r="I1535" s="52"/>
      <c r="J1535" s="52"/>
      <c r="K1535" s="19"/>
      <c r="L1535" s="19"/>
      <c r="M1535" s="19"/>
      <c r="N1535" s="19"/>
      <c r="O1535" s="19"/>
      <c r="P1535" s="19"/>
      <c r="Q1535" s="19"/>
      <c r="R1535" s="19"/>
      <c r="S1535" s="19"/>
      <c r="T1535" s="19"/>
      <c r="U1535" s="19"/>
      <c r="V1535" s="19"/>
      <c r="W1535" s="19"/>
      <c r="X1535" s="19"/>
      <c r="Y1535" s="19"/>
      <c r="Z1535" s="19"/>
      <c r="AA1535" s="19"/>
      <c r="AB1535" s="19"/>
      <c r="AC1535" s="19"/>
      <c r="AD1535" s="19"/>
      <c r="AE1535" s="19"/>
      <c r="AF1535" s="19"/>
      <c r="AG1535" s="19"/>
      <c r="AH1535" s="19"/>
      <c r="AI1535" s="19"/>
      <c r="AJ1535" s="19"/>
      <c r="FM1535" s="54"/>
    </row>
    <row r="1536" spans="1:169" s="18" customFormat="1">
      <c r="A1536" s="51"/>
      <c r="B1536" s="52"/>
      <c r="C1536" s="52"/>
      <c r="D1536" s="52"/>
      <c r="E1536" s="52"/>
      <c r="F1536" s="52"/>
      <c r="G1536" s="52"/>
      <c r="H1536" s="53"/>
      <c r="I1536" s="52"/>
      <c r="J1536" s="52"/>
      <c r="K1536" s="19"/>
      <c r="L1536" s="19"/>
      <c r="M1536" s="19"/>
      <c r="N1536" s="19"/>
      <c r="O1536" s="19"/>
      <c r="P1536" s="19"/>
      <c r="Q1536" s="19"/>
      <c r="R1536" s="19"/>
      <c r="S1536" s="19"/>
      <c r="T1536" s="19"/>
      <c r="U1536" s="19"/>
      <c r="V1536" s="19"/>
      <c r="W1536" s="19"/>
      <c r="X1536" s="19"/>
      <c r="Y1536" s="19"/>
      <c r="Z1536" s="19"/>
      <c r="AA1536" s="19"/>
      <c r="AB1536" s="19"/>
      <c r="AC1536" s="19"/>
      <c r="AD1536" s="19"/>
      <c r="AE1536" s="19"/>
      <c r="AF1536" s="19"/>
      <c r="AG1536" s="19"/>
      <c r="AH1536" s="19"/>
      <c r="AI1536" s="19"/>
      <c r="AJ1536" s="19"/>
      <c r="FM1536" s="54"/>
    </row>
    <row r="1537" spans="1:169" s="18" customFormat="1">
      <c r="A1537" s="51"/>
      <c r="B1537" s="52"/>
      <c r="C1537" s="52"/>
      <c r="D1537" s="52"/>
      <c r="E1537" s="52"/>
      <c r="F1537" s="52"/>
      <c r="G1537" s="52"/>
      <c r="H1537" s="53"/>
      <c r="I1537" s="52"/>
      <c r="J1537" s="52"/>
      <c r="K1537" s="19"/>
      <c r="L1537" s="19"/>
      <c r="M1537" s="19"/>
      <c r="N1537" s="19"/>
      <c r="O1537" s="19"/>
      <c r="P1537" s="19"/>
      <c r="Q1537" s="19"/>
      <c r="R1537" s="19"/>
      <c r="S1537" s="19"/>
      <c r="T1537" s="19"/>
      <c r="U1537" s="19"/>
      <c r="V1537" s="19"/>
      <c r="W1537" s="19"/>
      <c r="X1537" s="19"/>
      <c r="Y1537" s="19"/>
      <c r="Z1537" s="19"/>
      <c r="AA1537" s="19"/>
      <c r="AB1537" s="19"/>
      <c r="AC1537" s="19"/>
      <c r="AD1537" s="19"/>
      <c r="AE1537" s="19"/>
      <c r="AF1537" s="19"/>
      <c r="AG1537" s="19"/>
      <c r="AH1537" s="19"/>
      <c r="AI1537" s="19"/>
      <c r="AJ1537" s="19"/>
      <c r="FM1537" s="54"/>
    </row>
    <row r="1538" spans="1:169" s="18" customFormat="1">
      <c r="A1538" s="51"/>
      <c r="B1538" s="52"/>
      <c r="C1538" s="52"/>
      <c r="D1538" s="52"/>
      <c r="E1538" s="52"/>
      <c r="F1538" s="52"/>
      <c r="G1538" s="52"/>
      <c r="H1538" s="53"/>
      <c r="I1538" s="52"/>
      <c r="J1538" s="52"/>
      <c r="K1538" s="19"/>
      <c r="L1538" s="19"/>
      <c r="M1538" s="19"/>
      <c r="N1538" s="19"/>
      <c r="O1538" s="19"/>
      <c r="P1538" s="19"/>
      <c r="Q1538" s="19"/>
      <c r="R1538" s="19"/>
      <c r="S1538" s="19"/>
      <c r="T1538" s="19"/>
      <c r="U1538" s="19"/>
      <c r="V1538" s="19"/>
      <c r="W1538" s="19"/>
      <c r="X1538" s="19"/>
      <c r="Y1538" s="19"/>
      <c r="Z1538" s="19"/>
      <c r="AA1538" s="19"/>
      <c r="AB1538" s="19"/>
      <c r="AC1538" s="19"/>
      <c r="AD1538" s="19"/>
      <c r="AE1538" s="19"/>
      <c r="AF1538" s="19"/>
      <c r="AG1538" s="19"/>
      <c r="AH1538" s="19"/>
      <c r="AI1538" s="19"/>
      <c r="AJ1538" s="19"/>
      <c r="FM1538" s="54"/>
    </row>
    <row r="1539" spans="1:169" s="18" customFormat="1">
      <c r="A1539" s="51"/>
      <c r="B1539" s="52"/>
      <c r="C1539" s="52"/>
      <c r="D1539" s="52"/>
      <c r="E1539" s="52"/>
      <c r="F1539" s="52"/>
      <c r="G1539" s="52"/>
      <c r="H1539" s="53"/>
      <c r="I1539" s="52"/>
      <c r="J1539" s="52"/>
      <c r="K1539" s="19"/>
      <c r="L1539" s="19"/>
      <c r="M1539" s="19"/>
      <c r="N1539" s="19"/>
      <c r="O1539" s="19"/>
      <c r="P1539" s="19"/>
      <c r="Q1539" s="19"/>
      <c r="R1539" s="19"/>
      <c r="S1539" s="19"/>
      <c r="T1539" s="19"/>
      <c r="U1539" s="19"/>
      <c r="V1539" s="19"/>
      <c r="W1539" s="19"/>
      <c r="X1539" s="19"/>
      <c r="Y1539" s="19"/>
      <c r="Z1539" s="19"/>
      <c r="AA1539" s="19"/>
      <c r="AB1539" s="19"/>
      <c r="AC1539" s="19"/>
      <c r="AD1539" s="19"/>
      <c r="AE1539" s="19"/>
      <c r="AF1539" s="19"/>
      <c r="AG1539" s="19"/>
      <c r="AH1539" s="19"/>
      <c r="AI1539" s="19"/>
      <c r="AJ1539" s="19"/>
      <c r="FM1539" s="54"/>
    </row>
    <row r="1540" spans="1:169" s="18" customFormat="1">
      <c r="A1540" s="51"/>
      <c r="B1540" s="52"/>
      <c r="C1540" s="52"/>
      <c r="D1540" s="52"/>
      <c r="E1540" s="52"/>
      <c r="F1540" s="52"/>
      <c r="G1540" s="52"/>
      <c r="H1540" s="53"/>
      <c r="I1540" s="52"/>
      <c r="J1540" s="52"/>
      <c r="K1540" s="19"/>
      <c r="L1540" s="19"/>
      <c r="M1540" s="19"/>
      <c r="N1540" s="19"/>
      <c r="O1540" s="19"/>
      <c r="P1540" s="19"/>
      <c r="Q1540" s="19"/>
      <c r="R1540" s="19"/>
      <c r="S1540" s="19"/>
      <c r="T1540" s="19"/>
      <c r="U1540" s="19"/>
      <c r="V1540" s="19"/>
      <c r="W1540" s="19"/>
      <c r="X1540" s="19"/>
      <c r="Y1540" s="19"/>
      <c r="Z1540" s="19"/>
      <c r="AA1540" s="19"/>
      <c r="AB1540" s="19"/>
      <c r="AC1540" s="19"/>
      <c r="AD1540" s="19"/>
      <c r="AE1540" s="19"/>
      <c r="AF1540" s="19"/>
      <c r="AG1540" s="19"/>
      <c r="AH1540" s="19"/>
      <c r="AI1540" s="19"/>
      <c r="AJ1540" s="19"/>
      <c r="FM1540" s="54"/>
    </row>
    <row r="1541" spans="1:169" s="18" customFormat="1">
      <c r="A1541" s="51"/>
      <c r="B1541" s="52"/>
      <c r="C1541" s="52"/>
      <c r="D1541" s="52"/>
      <c r="E1541" s="52"/>
      <c r="F1541" s="52"/>
      <c r="G1541" s="52"/>
      <c r="H1541" s="53"/>
      <c r="I1541" s="52"/>
      <c r="J1541" s="52"/>
      <c r="K1541" s="19"/>
      <c r="L1541" s="19"/>
      <c r="M1541" s="19"/>
      <c r="N1541" s="19"/>
      <c r="O1541" s="19"/>
      <c r="P1541" s="19"/>
      <c r="Q1541" s="19"/>
      <c r="R1541" s="19"/>
      <c r="S1541" s="19"/>
      <c r="T1541" s="19"/>
      <c r="U1541" s="19"/>
      <c r="V1541" s="19"/>
      <c r="W1541" s="19"/>
      <c r="X1541" s="19"/>
      <c r="Y1541" s="19"/>
      <c r="Z1541" s="19"/>
      <c r="AA1541" s="19"/>
      <c r="AB1541" s="19"/>
      <c r="AC1541" s="19"/>
      <c r="AD1541" s="19"/>
      <c r="AE1541" s="19"/>
      <c r="AF1541" s="19"/>
      <c r="AG1541" s="19"/>
      <c r="AH1541" s="19"/>
      <c r="AI1541" s="19"/>
      <c r="AJ1541" s="19"/>
      <c r="FM1541" s="54"/>
    </row>
    <row r="1542" spans="1:169" s="18" customFormat="1">
      <c r="A1542" s="51"/>
      <c r="B1542" s="52"/>
      <c r="C1542" s="52"/>
      <c r="D1542" s="52"/>
      <c r="E1542" s="52"/>
      <c r="F1542" s="52"/>
      <c r="G1542" s="52"/>
      <c r="H1542" s="53"/>
      <c r="I1542" s="52"/>
      <c r="J1542" s="52"/>
      <c r="K1542" s="19"/>
      <c r="L1542" s="19"/>
      <c r="M1542" s="19"/>
      <c r="N1542" s="19"/>
      <c r="O1542" s="19"/>
      <c r="P1542" s="19"/>
      <c r="Q1542" s="19"/>
      <c r="R1542" s="19"/>
      <c r="S1542" s="19"/>
      <c r="T1542" s="19"/>
      <c r="U1542" s="19"/>
      <c r="V1542" s="19"/>
      <c r="W1542" s="19"/>
      <c r="X1542" s="19"/>
      <c r="Y1542" s="19"/>
      <c r="Z1542" s="19"/>
      <c r="AA1542" s="19"/>
      <c r="AB1542" s="19"/>
      <c r="AC1542" s="19"/>
      <c r="AD1542" s="19"/>
      <c r="AE1542" s="19"/>
      <c r="AF1542" s="19"/>
      <c r="AG1542" s="19"/>
      <c r="AH1542" s="19"/>
      <c r="AI1542" s="19"/>
      <c r="AJ1542" s="19"/>
      <c r="FM1542" s="54"/>
    </row>
    <row r="1543" spans="1:169" s="18" customFormat="1">
      <c r="A1543" s="51"/>
      <c r="B1543" s="52"/>
      <c r="C1543" s="52"/>
      <c r="D1543" s="52"/>
      <c r="E1543" s="52"/>
      <c r="F1543" s="52"/>
      <c r="G1543" s="52"/>
      <c r="H1543" s="53"/>
      <c r="I1543" s="52"/>
      <c r="J1543" s="52"/>
      <c r="K1543" s="19"/>
      <c r="L1543" s="19"/>
      <c r="M1543" s="19"/>
      <c r="N1543" s="19"/>
      <c r="O1543" s="19"/>
      <c r="P1543" s="19"/>
      <c r="Q1543" s="19"/>
      <c r="R1543" s="19"/>
      <c r="S1543" s="19"/>
      <c r="T1543" s="19"/>
      <c r="U1543" s="19"/>
      <c r="V1543" s="19"/>
      <c r="W1543" s="19"/>
      <c r="X1543" s="19"/>
      <c r="Y1543" s="19"/>
      <c r="Z1543" s="19"/>
      <c r="AA1543" s="19"/>
      <c r="AB1543" s="19"/>
      <c r="AC1543" s="19"/>
      <c r="AD1543" s="19"/>
      <c r="AE1543" s="19"/>
      <c r="AF1543" s="19"/>
      <c r="AG1543" s="19"/>
      <c r="AH1543" s="19"/>
      <c r="AI1543" s="19"/>
      <c r="AJ1543" s="19"/>
      <c r="FM1543" s="54"/>
    </row>
    <row r="1544" spans="1:169" s="18" customFormat="1">
      <c r="A1544" s="51"/>
      <c r="B1544" s="52"/>
      <c r="C1544" s="52"/>
      <c r="D1544" s="52"/>
      <c r="E1544" s="52"/>
      <c r="F1544" s="52"/>
      <c r="G1544" s="52"/>
      <c r="H1544" s="53"/>
      <c r="I1544" s="52"/>
      <c r="J1544" s="52"/>
      <c r="K1544" s="19"/>
      <c r="L1544" s="19"/>
      <c r="M1544" s="19"/>
      <c r="N1544" s="19"/>
      <c r="O1544" s="19"/>
      <c r="P1544" s="19"/>
      <c r="Q1544" s="19"/>
      <c r="R1544" s="19"/>
      <c r="S1544" s="19"/>
      <c r="T1544" s="19"/>
      <c r="U1544" s="19"/>
      <c r="V1544" s="19"/>
      <c r="W1544" s="19"/>
      <c r="X1544" s="19"/>
      <c r="Y1544" s="19"/>
      <c r="Z1544" s="19"/>
      <c r="AA1544" s="19"/>
      <c r="AB1544" s="19"/>
      <c r="AC1544" s="19"/>
      <c r="AD1544" s="19"/>
      <c r="AE1544" s="19"/>
      <c r="AF1544" s="19"/>
      <c r="AG1544" s="19"/>
      <c r="AH1544" s="19"/>
      <c r="AI1544" s="19"/>
      <c r="AJ1544" s="19"/>
      <c r="FM1544" s="54"/>
    </row>
    <row r="1545" spans="1:169" s="18" customFormat="1">
      <c r="A1545" s="51"/>
      <c r="B1545" s="52"/>
      <c r="C1545" s="52"/>
      <c r="D1545" s="52"/>
      <c r="E1545" s="52"/>
      <c r="F1545" s="52"/>
      <c r="G1545" s="52"/>
      <c r="H1545" s="53"/>
      <c r="I1545" s="52"/>
      <c r="J1545" s="52"/>
      <c r="K1545" s="19"/>
      <c r="L1545" s="19"/>
      <c r="M1545" s="19"/>
      <c r="N1545" s="19"/>
      <c r="O1545" s="19"/>
      <c r="P1545" s="19"/>
      <c r="Q1545" s="19"/>
      <c r="R1545" s="19"/>
      <c r="S1545" s="19"/>
      <c r="T1545" s="19"/>
      <c r="U1545" s="19"/>
      <c r="V1545" s="19"/>
      <c r="W1545" s="19"/>
      <c r="X1545" s="19"/>
      <c r="Y1545" s="19"/>
      <c r="Z1545" s="19"/>
      <c r="AA1545" s="19"/>
      <c r="AB1545" s="19"/>
      <c r="AC1545" s="19"/>
      <c r="AD1545" s="19"/>
      <c r="AE1545" s="19"/>
      <c r="AF1545" s="19"/>
      <c r="AG1545" s="19"/>
      <c r="AH1545" s="19"/>
      <c r="AI1545" s="19"/>
      <c r="AJ1545" s="19"/>
      <c r="FM1545" s="54"/>
    </row>
    <row r="1546" spans="1:169" s="18" customFormat="1">
      <c r="A1546" s="51"/>
      <c r="B1546" s="52"/>
      <c r="C1546" s="52"/>
      <c r="D1546" s="52"/>
      <c r="E1546" s="52"/>
      <c r="F1546" s="52"/>
      <c r="G1546" s="52"/>
      <c r="H1546" s="53"/>
      <c r="I1546" s="52"/>
      <c r="J1546" s="52"/>
      <c r="K1546" s="19"/>
      <c r="L1546" s="19"/>
      <c r="M1546" s="19"/>
      <c r="N1546" s="19"/>
      <c r="O1546" s="19"/>
      <c r="P1546" s="19"/>
      <c r="Q1546" s="19"/>
      <c r="R1546" s="19"/>
      <c r="S1546" s="19"/>
      <c r="T1546" s="19"/>
      <c r="U1546" s="19"/>
      <c r="V1546" s="19"/>
      <c r="W1546" s="19"/>
      <c r="X1546" s="19"/>
      <c r="Y1546" s="19"/>
      <c r="Z1546" s="19"/>
      <c r="AA1546" s="19"/>
      <c r="AB1546" s="19"/>
      <c r="AC1546" s="19"/>
      <c r="AD1546" s="19"/>
      <c r="AE1546" s="19"/>
      <c r="AF1546" s="19"/>
      <c r="AG1546" s="19"/>
      <c r="AH1546" s="19"/>
      <c r="AI1546" s="19"/>
      <c r="AJ1546" s="19"/>
      <c r="FM1546" s="54"/>
    </row>
    <row r="1547" spans="1:169" s="18" customFormat="1">
      <c r="A1547" s="51"/>
      <c r="B1547" s="52"/>
      <c r="C1547" s="52"/>
      <c r="D1547" s="52"/>
      <c r="E1547" s="52"/>
      <c r="F1547" s="52"/>
      <c r="G1547" s="52"/>
      <c r="H1547" s="53"/>
      <c r="I1547" s="52"/>
      <c r="J1547" s="52"/>
      <c r="K1547" s="19"/>
      <c r="L1547" s="19"/>
      <c r="M1547" s="19"/>
      <c r="N1547" s="19"/>
      <c r="O1547" s="19"/>
      <c r="P1547" s="19"/>
      <c r="Q1547" s="19"/>
      <c r="R1547" s="19"/>
      <c r="S1547" s="19"/>
      <c r="T1547" s="19"/>
      <c r="U1547" s="19"/>
      <c r="V1547" s="19"/>
      <c r="W1547" s="19"/>
      <c r="X1547" s="19"/>
      <c r="Y1547" s="19"/>
      <c r="Z1547" s="19"/>
      <c r="AA1547" s="19"/>
      <c r="AB1547" s="19"/>
      <c r="AC1547" s="19"/>
      <c r="AD1547" s="19"/>
      <c r="AE1547" s="19"/>
      <c r="AF1547" s="19"/>
      <c r="AG1547" s="19"/>
      <c r="AH1547" s="19"/>
      <c r="AI1547" s="19"/>
      <c r="AJ1547" s="19"/>
      <c r="FM1547" s="54"/>
    </row>
    <row r="1548" spans="1:169" s="18" customFormat="1">
      <c r="A1548" s="51"/>
      <c r="B1548" s="52"/>
      <c r="C1548" s="52"/>
      <c r="D1548" s="52"/>
      <c r="E1548" s="52"/>
      <c r="F1548" s="52"/>
      <c r="G1548" s="52"/>
      <c r="H1548" s="53"/>
      <c r="I1548" s="52"/>
      <c r="J1548" s="52"/>
      <c r="K1548" s="19"/>
      <c r="L1548" s="19"/>
      <c r="M1548" s="19"/>
      <c r="N1548" s="19"/>
      <c r="O1548" s="19"/>
      <c r="P1548" s="19"/>
      <c r="Q1548" s="19"/>
      <c r="R1548" s="19"/>
      <c r="S1548" s="19"/>
      <c r="T1548" s="19"/>
      <c r="U1548" s="19"/>
      <c r="V1548" s="19"/>
      <c r="W1548" s="19"/>
      <c r="X1548" s="19"/>
      <c r="Y1548" s="19"/>
      <c r="Z1548" s="19"/>
      <c r="AA1548" s="19"/>
      <c r="AB1548" s="19"/>
      <c r="AC1548" s="19"/>
      <c r="AD1548" s="19"/>
      <c r="AE1548" s="19"/>
      <c r="AF1548" s="19"/>
      <c r="AG1548" s="19"/>
      <c r="AH1548" s="19"/>
      <c r="AI1548" s="19"/>
      <c r="AJ1548" s="19"/>
      <c r="FM1548" s="54"/>
    </row>
    <row r="1549" spans="1:169" s="18" customFormat="1">
      <c r="A1549" s="51"/>
      <c r="B1549" s="52"/>
      <c r="C1549" s="52"/>
      <c r="D1549" s="52"/>
      <c r="E1549" s="52"/>
      <c r="F1549" s="52"/>
      <c r="G1549" s="52"/>
      <c r="H1549" s="53"/>
      <c r="I1549" s="52"/>
      <c r="J1549" s="52"/>
      <c r="K1549" s="19"/>
      <c r="L1549" s="19"/>
      <c r="M1549" s="19"/>
      <c r="N1549" s="19"/>
      <c r="O1549" s="19"/>
      <c r="P1549" s="19"/>
      <c r="Q1549" s="19"/>
      <c r="R1549" s="19"/>
      <c r="S1549" s="19"/>
      <c r="T1549" s="19"/>
      <c r="U1549" s="19"/>
      <c r="V1549" s="19"/>
      <c r="W1549" s="19"/>
      <c r="X1549" s="19"/>
      <c r="Y1549" s="19"/>
      <c r="Z1549" s="19"/>
      <c r="AA1549" s="19"/>
      <c r="AB1549" s="19"/>
      <c r="AC1549" s="19"/>
      <c r="AD1549" s="19"/>
      <c r="AE1549" s="19"/>
      <c r="AF1549" s="19"/>
      <c r="AG1549" s="19"/>
      <c r="AH1549" s="19"/>
      <c r="AI1549" s="19"/>
      <c r="AJ1549" s="19"/>
      <c r="FM1549" s="54"/>
    </row>
    <row r="1550" spans="1:169" s="18" customFormat="1">
      <c r="A1550" s="51"/>
      <c r="B1550" s="52"/>
      <c r="C1550" s="52"/>
      <c r="D1550" s="52"/>
      <c r="E1550" s="52"/>
      <c r="F1550" s="52"/>
      <c r="G1550" s="52"/>
      <c r="H1550" s="53"/>
      <c r="I1550" s="52"/>
      <c r="J1550" s="52"/>
      <c r="K1550" s="19"/>
      <c r="L1550" s="19"/>
      <c r="M1550" s="19"/>
      <c r="N1550" s="19"/>
      <c r="O1550" s="19"/>
      <c r="P1550" s="19"/>
      <c r="Q1550" s="19"/>
      <c r="R1550" s="19"/>
      <c r="S1550" s="19"/>
      <c r="T1550" s="19"/>
      <c r="U1550" s="19"/>
      <c r="V1550" s="19"/>
      <c r="W1550" s="19"/>
      <c r="X1550" s="19"/>
      <c r="Y1550" s="19"/>
      <c r="Z1550" s="19"/>
      <c r="AA1550" s="19"/>
      <c r="AB1550" s="19"/>
      <c r="AC1550" s="19"/>
      <c r="AD1550" s="19"/>
      <c r="AE1550" s="19"/>
      <c r="AF1550" s="19"/>
      <c r="AG1550" s="19"/>
      <c r="AH1550" s="19"/>
      <c r="AI1550" s="19"/>
      <c r="AJ1550" s="19"/>
      <c r="FM1550" s="54"/>
    </row>
    <row r="1551" spans="1:169" s="18" customFormat="1">
      <c r="A1551" s="51"/>
      <c r="B1551" s="52"/>
      <c r="C1551" s="52"/>
      <c r="D1551" s="52"/>
      <c r="E1551" s="52"/>
      <c r="F1551" s="52"/>
      <c r="G1551" s="52"/>
      <c r="H1551" s="53"/>
      <c r="I1551" s="52"/>
      <c r="J1551" s="52"/>
      <c r="K1551" s="19"/>
      <c r="L1551" s="19"/>
      <c r="M1551" s="19"/>
      <c r="N1551" s="19"/>
      <c r="O1551" s="19"/>
      <c r="P1551" s="19"/>
      <c r="Q1551" s="19"/>
      <c r="R1551" s="19"/>
      <c r="S1551" s="19"/>
      <c r="T1551" s="19"/>
      <c r="U1551" s="19"/>
      <c r="V1551" s="19"/>
      <c r="W1551" s="19"/>
      <c r="X1551" s="19"/>
      <c r="Y1551" s="19"/>
      <c r="Z1551" s="19"/>
      <c r="AA1551" s="19"/>
      <c r="AB1551" s="19"/>
      <c r="AC1551" s="19"/>
      <c r="AD1551" s="19"/>
      <c r="AE1551" s="19"/>
      <c r="AF1551" s="19"/>
      <c r="AG1551" s="19"/>
      <c r="AH1551" s="19"/>
      <c r="AI1551" s="19"/>
      <c r="AJ1551" s="19"/>
      <c r="FM1551" s="54"/>
    </row>
    <row r="1552" spans="1:169" s="18" customFormat="1">
      <c r="A1552" s="51"/>
      <c r="B1552" s="52"/>
      <c r="C1552" s="52"/>
      <c r="D1552" s="52"/>
      <c r="E1552" s="52"/>
      <c r="F1552" s="52"/>
      <c r="G1552" s="52"/>
      <c r="H1552" s="53"/>
      <c r="I1552" s="52"/>
      <c r="J1552" s="52"/>
      <c r="K1552" s="19"/>
      <c r="L1552" s="19"/>
      <c r="M1552" s="19"/>
      <c r="N1552" s="19"/>
      <c r="O1552" s="19"/>
      <c r="P1552" s="19"/>
      <c r="Q1552" s="19"/>
      <c r="R1552" s="19"/>
      <c r="S1552" s="19"/>
      <c r="T1552" s="19"/>
      <c r="U1552" s="19"/>
      <c r="V1552" s="19"/>
      <c r="W1552" s="19"/>
      <c r="X1552" s="19"/>
      <c r="Y1552" s="19"/>
      <c r="Z1552" s="19"/>
      <c r="AA1552" s="19"/>
      <c r="AB1552" s="19"/>
      <c r="AC1552" s="19"/>
      <c r="AD1552" s="19"/>
      <c r="AE1552" s="19"/>
      <c r="AF1552" s="19"/>
      <c r="AG1552" s="19"/>
      <c r="AH1552" s="19"/>
      <c r="AI1552" s="19"/>
      <c r="AJ1552" s="19"/>
      <c r="FM1552" s="54"/>
    </row>
    <row r="1553" spans="1:169" s="18" customFormat="1">
      <c r="A1553" s="51"/>
      <c r="B1553" s="52"/>
      <c r="C1553" s="52"/>
      <c r="D1553" s="52"/>
      <c r="E1553" s="52"/>
      <c r="F1553" s="52"/>
      <c r="G1553" s="52"/>
      <c r="H1553" s="53"/>
      <c r="I1553" s="52"/>
      <c r="J1553" s="52"/>
      <c r="K1553" s="19"/>
      <c r="L1553" s="19"/>
      <c r="M1553" s="19"/>
      <c r="N1553" s="19"/>
      <c r="O1553" s="19"/>
      <c r="P1553" s="19"/>
      <c r="Q1553" s="19"/>
      <c r="R1553" s="19"/>
      <c r="S1553" s="19"/>
      <c r="T1553" s="19"/>
      <c r="U1553" s="19"/>
      <c r="V1553" s="19"/>
      <c r="W1553" s="19"/>
      <c r="X1553" s="19"/>
      <c r="Y1553" s="19"/>
      <c r="Z1553" s="19"/>
      <c r="AA1553" s="19"/>
      <c r="AB1553" s="19"/>
      <c r="AC1553" s="19"/>
      <c r="AD1553" s="19"/>
      <c r="AE1553" s="19"/>
      <c r="AF1553" s="19"/>
      <c r="AG1553" s="19"/>
      <c r="AH1553" s="19"/>
      <c r="AI1553" s="19"/>
      <c r="AJ1553" s="19"/>
      <c r="FM1553" s="54"/>
    </row>
    <row r="1554" spans="1:169" s="18" customFormat="1">
      <c r="A1554" s="51"/>
      <c r="B1554" s="52"/>
      <c r="C1554" s="52"/>
      <c r="D1554" s="52"/>
      <c r="E1554" s="52"/>
      <c r="F1554" s="52"/>
      <c r="G1554" s="52"/>
      <c r="H1554" s="53"/>
      <c r="I1554" s="52"/>
      <c r="J1554" s="52"/>
      <c r="K1554" s="19"/>
      <c r="L1554" s="19"/>
      <c r="M1554" s="19"/>
      <c r="N1554" s="19"/>
      <c r="O1554" s="19"/>
      <c r="P1554" s="19"/>
      <c r="Q1554" s="19"/>
      <c r="R1554" s="19"/>
      <c r="S1554" s="19"/>
      <c r="T1554" s="19"/>
      <c r="U1554" s="19"/>
      <c r="V1554" s="19"/>
      <c r="W1554" s="19"/>
      <c r="X1554" s="19"/>
      <c r="Y1554" s="19"/>
      <c r="Z1554" s="19"/>
      <c r="AA1554" s="19"/>
      <c r="AB1554" s="19"/>
      <c r="AC1554" s="19"/>
      <c r="AD1554" s="19"/>
      <c r="AE1554" s="19"/>
      <c r="AF1554" s="19"/>
      <c r="AG1554" s="19"/>
      <c r="AH1554" s="19"/>
      <c r="AI1554" s="19"/>
      <c r="AJ1554" s="19"/>
      <c r="FM1554" s="54"/>
    </row>
    <row r="1555" spans="1:169" s="18" customFormat="1">
      <c r="A1555" s="51"/>
      <c r="B1555" s="52"/>
      <c r="C1555" s="52"/>
      <c r="D1555" s="52"/>
      <c r="E1555" s="52"/>
      <c r="F1555" s="52"/>
      <c r="G1555" s="52"/>
      <c r="H1555" s="53"/>
      <c r="I1555" s="52"/>
      <c r="J1555" s="52"/>
      <c r="K1555" s="19"/>
      <c r="L1555" s="19"/>
      <c r="M1555" s="19"/>
      <c r="N1555" s="19"/>
      <c r="O1555" s="19"/>
      <c r="P1555" s="19"/>
      <c r="Q1555" s="19"/>
      <c r="R1555" s="19"/>
      <c r="S1555" s="19"/>
      <c r="T1555" s="19"/>
      <c r="U1555" s="19"/>
      <c r="V1555" s="19"/>
      <c r="W1555" s="19"/>
      <c r="X1555" s="19"/>
      <c r="Y1555" s="19"/>
      <c r="Z1555" s="19"/>
      <c r="AA1555" s="19"/>
      <c r="AB1555" s="19"/>
      <c r="AC1555" s="19"/>
      <c r="AD1555" s="19"/>
      <c r="AE1555" s="19"/>
      <c r="AF1555" s="19"/>
      <c r="AG1555" s="19"/>
      <c r="AH1555" s="19"/>
      <c r="AI1555" s="19"/>
      <c r="AJ1555" s="19"/>
      <c r="FM1555" s="54"/>
    </row>
    <row r="1556" spans="1:169" s="18" customFormat="1">
      <c r="A1556" s="51"/>
      <c r="B1556" s="52"/>
      <c r="C1556" s="52"/>
      <c r="D1556" s="52"/>
      <c r="E1556" s="52"/>
      <c r="F1556" s="52"/>
      <c r="G1556" s="52"/>
      <c r="H1556" s="53"/>
      <c r="I1556" s="52"/>
      <c r="J1556" s="52"/>
      <c r="K1556" s="19"/>
      <c r="L1556" s="19"/>
      <c r="M1556" s="19"/>
      <c r="N1556" s="19"/>
      <c r="O1556" s="19"/>
      <c r="P1556" s="19"/>
      <c r="Q1556" s="19"/>
      <c r="R1556" s="19"/>
      <c r="S1556" s="19"/>
      <c r="T1556" s="19"/>
      <c r="U1556" s="19"/>
      <c r="V1556" s="19"/>
      <c r="W1556" s="19"/>
      <c r="X1556" s="19"/>
      <c r="Y1556" s="19"/>
      <c r="Z1556" s="19"/>
      <c r="AA1556" s="19"/>
      <c r="AB1556" s="19"/>
      <c r="AC1556" s="19"/>
      <c r="AD1556" s="19"/>
      <c r="AE1556" s="19"/>
      <c r="AF1556" s="19"/>
      <c r="AG1556" s="19"/>
      <c r="AH1556" s="19"/>
      <c r="AI1556" s="19"/>
      <c r="AJ1556" s="19"/>
      <c r="FM1556" s="54"/>
    </row>
    <row r="1557" spans="1:169" s="18" customFormat="1">
      <c r="A1557" s="51"/>
      <c r="B1557" s="52"/>
      <c r="C1557" s="52"/>
      <c r="D1557" s="52"/>
      <c r="E1557" s="52"/>
      <c r="F1557" s="52"/>
      <c r="G1557" s="52"/>
      <c r="H1557" s="53"/>
      <c r="I1557" s="52"/>
      <c r="J1557" s="52"/>
      <c r="K1557" s="19"/>
      <c r="L1557" s="19"/>
      <c r="M1557" s="19"/>
      <c r="N1557" s="19"/>
      <c r="O1557" s="19"/>
      <c r="P1557" s="19"/>
      <c r="Q1557" s="19"/>
      <c r="R1557" s="19"/>
      <c r="S1557" s="19"/>
      <c r="T1557" s="19"/>
      <c r="U1557" s="19"/>
      <c r="V1557" s="19"/>
      <c r="W1557" s="19"/>
      <c r="X1557" s="19"/>
      <c r="Y1557" s="19"/>
      <c r="Z1557" s="19"/>
      <c r="AA1557" s="19"/>
      <c r="AB1557" s="19"/>
      <c r="AC1557" s="19"/>
      <c r="AD1557" s="19"/>
      <c r="AE1557" s="19"/>
      <c r="AF1557" s="19"/>
      <c r="AG1557" s="19"/>
      <c r="AH1557" s="19"/>
      <c r="AI1557" s="19"/>
      <c r="AJ1557" s="19"/>
      <c r="FM1557" s="54"/>
    </row>
    <row r="1558" spans="1:169" s="18" customFormat="1">
      <c r="A1558" s="51"/>
      <c r="B1558" s="52"/>
      <c r="C1558" s="52"/>
      <c r="D1558" s="52"/>
      <c r="E1558" s="52"/>
      <c r="F1558" s="52"/>
      <c r="G1558" s="52"/>
      <c r="H1558" s="53"/>
      <c r="I1558" s="52"/>
      <c r="J1558" s="52"/>
      <c r="K1558" s="19"/>
      <c r="L1558" s="19"/>
      <c r="M1558" s="19"/>
      <c r="N1558" s="19"/>
      <c r="O1558" s="19"/>
      <c r="P1558" s="19"/>
      <c r="Q1558" s="19"/>
      <c r="R1558" s="19"/>
      <c r="S1558" s="19"/>
      <c r="T1558" s="19"/>
      <c r="U1558" s="19"/>
      <c r="V1558" s="19"/>
      <c r="W1558" s="19"/>
      <c r="X1558" s="19"/>
      <c r="Y1558" s="19"/>
      <c r="Z1558" s="19"/>
      <c r="AA1558" s="19"/>
      <c r="AB1558" s="19"/>
      <c r="AC1558" s="19"/>
      <c r="AD1558" s="19"/>
      <c r="AE1558" s="19"/>
      <c r="AF1558" s="19"/>
      <c r="AG1558" s="19"/>
      <c r="AH1558" s="19"/>
      <c r="AI1558" s="19"/>
      <c r="AJ1558" s="19"/>
      <c r="FM1558" s="54"/>
    </row>
    <row r="1559" spans="1:169" s="18" customFormat="1">
      <c r="A1559" s="51"/>
      <c r="B1559" s="52"/>
      <c r="C1559" s="52"/>
      <c r="D1559" s="52"/>
      <c r="E1559" s="52"/>
      <c r="F1559" s="52"/>
      <c r="G1559" s="52"/>
      <c r="H1559" s="53"/>
      <c r="I1559" s="52"/>
      <c r="J1559" s="52"/>
      <c r="K1559" s="19"/>
      <c r="L1559" s="19"/>
      <c r="M1559" s="19"/>
      <c r="N1559" s="19"/>
      <c r="O1559" s="19"/>
      <c r="P1559" s="19"/>
      <c r="Q1559" s="19"/>
      <c r="R1559" s="19"/>
      <c r="S1559" s="19"/>
      <c r="T1559" s="19"/>
      <c r="U1559" s="19"/>
      <c r="V1559" s="19"/>
      <c r="W1559" s="19"/>
      <c r="X1559" s="19"/>
      <c r="Y1559" s="19"/>
      <c r="Z1559" s="19"/>
      <c r="AA1559" s="19"/>
      <c r="AB1559" s="19"/>
      <c r="AC1559" s="19"/>
      <c r="AD1559" s="19"/>
      <c r="AE1559" s="19"/>
      <c r="AF1559" s="19"/>
      <c r="AG1559" s="19"/>
      <c r="AH1559" s="19"/>
      <c r="AI1559" s="19"/>
      <c r="AJ1559" s="19"/>
      <c r="FM1559" s="54"/>
    </row>
    <row r="1560" spans="1:169" s="18" customFormat="1">
      <c r="A1560" s="51"/>
      <c r="B1560" s="52"/>
      <c r="C1560" s="52"/>
      <c r="D1560" s="52"/>
      <c r="E1560" s="52"/>
      <c r="F1560" s="52"/>
      <c r="G1560" s="52"/>
      <c r="H1560" s="53"/>
      <c r="I1560" s="52"/>
      <c r="J1560" s="52"/>
      <c r="K1560" s="19"/>
      <c r="L1560" s="19"/>
      <c r="M1560" s="19"/>
      <c r="N1560" s="19"/>
      <c r="O1560" s="19"/>
      <c r="P1560" s="19"/>
      <c r="Q1560" s="19"/>
      <c r="R1560" s="19"/>
      <c r="S1560" s="19"/>
      <c r="T1560" s="19"/>
      <c r="U1560" s="19"/>
      <c r="V1560" s="19"/>
      <c r="W1560" s="19"/>
      <c r="X1560" s="19"/>
      <c r="Y1560" s="19"/>
      <c r="Z1560" s="19"/>
      <c r="AA1560" s="19"/>
      <c r="AB1560" s="19"/>
      <c r="AC1560" s="19"/>
      <c r="AD1560" s="19"/>
      <c r="AE1560" s="19"/>
      <c r="AF1560" s="19"/>
      <c r="AG1560" s="19"/>
      <c r="AH1560" s="19"/>
      <c r="AI1560" s="19"/>
      <c r="AJ1560" s="19"/>
      <c r="FM1560" s="54"/>
    </row>
    <row r="1561" spans="1:169" s="18" customFormat="1">
      <c r="A1561" s="51"/>
      <c r="B1561" s="52"/>
      <c r="C1561" s="52"/>
      <c r="D1561" s="52"/>
      <c r="E1561" s="52"/>
      <c r="F1561" s="52"/>
      <c r="G1561" s="52"/>
      <c r="H1561" s="53"/>
      <c r="I1561" s="52"/>
      <c r="J1561" s="52"/>
      <c r="K1561" s="19"/>
      <c r="L1561" s="19"/>
      <c r="M1561" s="19"/>
      <c r="N1561" s="19"/>
      <c r="O1561" s="19"/>
      <c r="P1561" s="19"/>
      <c r="Q1561" s="19"/>
      <c r="R1561" s="19"/>
      <c r="S1561" s="19"/>
      <c r="T1561" s="19"/>
      <c r="U1561" s="19"/>
      <c r="V1561" s="19"/>
      <c r="W1561" s="19"/>
      <c r="X1561" s="19"/>
      <c r="Y1561" s="19"/>
      <c r="Z1561" s="19"/>
      <c r="AA1561" s="19"/>
      <c r="AB1561" s="19"/>
      <c r="AC1561" s="19"/>
      <c r="AD1561" s="19"/>
      <c r="AE1561" s="19"/>
      <c r="AF1561" s="19"/>
      <c r="AG1561" s="19"/>
      <c r="AH1561" s="19"/>
      <c r="AI1561" s="19"/>
      <c r="AJ1561" s="19"/>
      <c r="FM1561" s="54"/>
    </row>
    <row r="1562" spans="1:169" s="18" customFormat="1">
      <c r="A1562" s="51"/>
      <c r="B1562" s="52"/>
      <c r="C1562" s="52"/>
      <c r="D1562" s="52"/>
      <c r="E1562" s="52"/>
      <c r="F1562" s="52"/>
      <c r="G1562" s="52"/>
      <c r="H1562" s="53"/>
      <c r="I1562" s="52"/>
      <c r="J1562" s="52"/>
      <c r="K1562" s="19"/>
      <c r="L1562" s="19"/>
      <c r="M1562" s="19"/>
      <c r="N1562" s="19"/>
      <c r="O1562" s="19"/>
      <c r="P1562" s="19"/>
      <c r="Q1562" s="19"/>
      <c r="R1562" s="19"/>
      <c r="S1562" s="19"/>
      <c r="T1562" s="19"/>
      <c r="U1562" s="19"/>
      <c r="V1562" s="19"/>
      <c r="W1562" s="19"/>
      <c r="X1562" s="19"/>
      <c r="Y1562" s="19"/>
      <c r="Z1562" s="19"/>
      <c r="AA1562" s="19"/>
      <c r="AB1562" s="19"/>
      <c r="AC1562" s="19"/>
      <c r="AD1562" s="19"/>
      <c r="AE1562" s="19"/>
      <c r="AF1562" s="19"/>
      <c r="AG1562" s="19"/>
      <c r="AH1562" s="19"/>
      <c r="AI1562" s="19"/>
      <c r="AJ1562" s="19"/>
      <c r="FM1562" s="54"/>
    </row>
    <row r="1563" spans="1:169" s="18" customFormat="1">
      <c r="A1563" s="51"/>
      <c r="B1563" s="52"/>
      <c r="C1563" s="52"/>
      <c r="D1563" s="52"/>
      <c r="E1563" s="52"/>
      <c r="F1563" s="52"/>
      <c r="G1563" s="52"/>
      <c r="H1563" s="53"/>
      <c r="I1563" s="52"/>
      <c r="J1563" s="52"/>
      <c r="K1563" s="19"/>
      <c r="L1563" s="19"/>
      <c r="M1563" s="19"/>
      <c r="N1563" s="19"/>
      <c r="O1563" s="19"/>
      <c r="P1563" s="19"/>
      <c r="Q1563" s="19"/>
      <c r="R1563" s="19"/>
      <c r="S1563" s="19"/>
      <c r="T1563" s="19"/>
      <c r="U1563" s="19"/>
      <c r="V1563" s="19"/>
      <c r="W1563" s="19"/>
      <c r="X1563" s="19"/>
      <c r="Y1563" s="19"/>
      <c r="Z1563" s="19"/>
      <c r="AA1563" s="19"/>
      <c r="AB1563" s="19"/>
      <c r="AC1563" s="19"/>
      <c r="AD1563" s="19"/>
      <c r="AE1563" s="19"/>
      <c r="AF1563" s="19"/>
      <c r="AG1563" s="19"/>
      <c r="AH1563" s="19"/>
      <c r="AI1563" s="19"/>
      <c r="AJ1563" s="19"/>
      <c r="FM1563" s="54"/>
    </row>
    <row r="1564" spans="1:169" s="18" customFormat="1">
      <c r="A1564" s="51"/>
      <c r="B1564" s="52"/>
      <c r="C1564" s="52"/>
      <c r="D1564" s="52"/>
      <c r="E1564" s="52"/>
      <c r="F1564" s="52"/>
      <c r="G1564" s="52"/>
      <c r="H1564" s="53"/>
      <c r="I1564" s="52"/>
      <c r="J1564" s="52"/>
      <c r="K1564" s="19"/>
      <c r="L1564" s="19"/>
      <c r="M1564" s="19"/>
      <c r="N1564" s="19"/>
      <c r="O1564" s="19"/>
      <c r="P1564" s="19"/>
      <c r="Q1564" s="19"/>
      <c r="R1564" s="19"/>
      <c r="S1564" s="19"/>
      <c r="T1564" s="19"/>
      <c r="U1564" s="19"/>
      <c r="V1564" s="19"/>
      <c r="W1564" s="19"/>
      <c r="X1564" s="19"/>
      <c r="Y1564" s="19"/>
      <c r="Z1564" s="19"/>
      <c r="AA1564" s="19"/>
      <c r="AB1564" s="19"/>
      <c r="AC1564" s="19"/>
      <c r="AD1564" s="19"/>
      <c r="AE1564" s="19"/>
      <c r="AF1564" s="19"/>
      <c r="AG1564" s="19"/>
      <c r="AH1564" s="19"/>
      <c r="AI1564" s="19"/>
      <c r="AJ1564" s="19"/>
      <c r="FM1564" s="54"/>
    </row>
    <row r="1565" spans="1:169" s="18" customFormat="1">
      <c r="A1565" s="51"/>
      <c r="B1565" s="52"/>
      <c r="C1565" s="52"/>
      <c r="D1565" s="52"/>
      <c r="E1565" s="52"/>
      <c r="F1565" s="52"/>
      <c r="G1565" s="52"/>
      <c r="H1565" s="53"/>
      <c r="I1565" s="52"/>
      <c r="J1565" s="52"/>
      <c r="K1565" s="19"/>
      <c r="L1565" s="19"/>
      <c r="M1565" s="19"/>
      <c r="N1565" s="19"/>
      <c r="O1565" s="19"/>
      <c r="P1565" s="19"/>
      <c r="Q1565" s="19"/>
      <c r="R1565" s="19"/>
      <c r="S1565" s="19"/>
      <c r="T1565" s="19"/>
      <c r="U1565" s="19"/>
      <c r="V1565" s="19"/>
      <c r="W1565" s="19"/>
      <c r="X1565" s="19"/>
      <c r="Y1565" s="19"/>
      <c r="Z1565" s="19"/>
      <c r="AA1565" s="19"/>
      <c r="AB1565" s="19"/>
      <c r="AC1565" s="19"/>
      <c r="AD1565" s="19"/>
      <c r="AE1565" s="19"/>
      <c r="AF1565" s="19"/>
      <c r="AG1565" s="19"/>
      <c r="AH1565" s="19"/>
      <c r="AI1565" s="19"/>
      <c r="AJ1565" s="19"/>
      <c r="FM1565" s="54"/>
    </row>
    <row r="1566" spans="1:169" s="18" customFormat="1">
      <c r="A1566" s="51"/>
      <c r="B1566" s="52"/>
      <c r="C1566" s="52"/>
      <c r="D1566" s="52"/>
      <c r="E1566" s="52"/>
      <c r="F1566" s="52"/>
      <c r="G1566" s="52"/>
      <c r="H1566" s="53"/>
      <c r="I1566" s="52"/>
      <c r="J1566" s="52"/>
      <c r="K1566" s="19"/>
      <c r="L1566" s="19"/>
      <c r="M1566" s="19"/>
      <c r="N1566" s="19"/>
      <c r="O1566" s="19"/>
      <c r="P1566" s="19"/>
      <c r="Q1566" s="19"/>
      <c r="R1566" s="19"/>
      <c r="S1566" s="19"/>
      <c r="T1566" s="19"/>
      <c r="U1566" s="19"/>
      <c r="V1566" s="19"/>
      <c r="W1566" s="19"/>
      <c r="X1566" s="19"/>
      <c r="Y1566" s="19"/>
      <c r="Z1566" s="19"/>
      <c r="AA1566" s="19"/>
      <c r="AB1566" s="19"/>
      <c r="AC1566" s="19"/>
      <c r="AD1566" s="19"/>
      <c r="AE1566" s="19"/>
      <c r="AF1566" s="19"/>
      <c r="AG1566" s="19"/>
      <c r="AH1566" s="19"/>
      <c r="AI1566" s="19"/>
      <c r="AJ1566" s="19"/>
      <c r="FM1566" s="54"/>
    </row>
    <row r="1567" spans="1:169" s="18" customFormat="1">
      <c r="A1567" s="51"/>
      <c r="B1567" s="52"/>
      <c r="C1567" s="52"/>
      <c r="D1567" s="52"/>
      <c r="E1567" s="52"/>
      <c r="F1567" s="52"/>
      <c r="G1567" s="52"/>
      <c r="H1567" s="53"/>
      <c r="I1567" s="52"/>
      <c r="J1567" s="52"/>
      <c r="K1567" s="19"/>
      <c r="L1567" s="19"/>
      <c r="M1567" s="19"/>
      <c r="N1567" s="19"/>
      <c r="O1567" s="19"/>
      <c r="P1567" s="19"/>
      <c r="Q1567" s="19"/>
      <c r="R1567" s="19"/>
      <c r="S1567" s="19"/>
      <c r="T1567" s="19"/>
      <c r="U1567" s="19"/>
      <c r="V1567" s="19"/>
      <c r="W1567" s="19"/>
      <c r="X1567" s="19"/>
      <c r="Y1567" s="19"/>
      <c r="Z1567" s="19"/>
      <c r="AA1567" s="19"/>
      <c r="AB1567" s="19"/>
      <c r="AC1567" s="19"/>
      <c r="AD1567" s="19"/>
      <c r="AE1567" s="19"/>
      <c r="AF1567" s="19"/>
      <c r="AG1567" s="19"/>
      <c r="AH1567" s="19"/>
      <c r="AI1567" s="19"/>
      <c r="AJ1567" s="19"/>
      <c r="FM1567" s="54"/>
    </row>
    <row r="1568" spans="1:169" s="18" customFormat="1">
      <c r="A1568" s="51"/>
      <c r="B1568" s="52"/>
      <c r="C1568" s="52"/>
      <c r="D1568" s="52"/>
      <c r="E1568" s="52"/>
      <c r="F1568" s="52"/>
      <c r="G1568" s="52"/>
      <c r="H1568" s="53"/>
      <c r="I1568" s="52"/>
      <c r="J1568" s="52"/>
      <c r="K1568" s="19"/>
      <c r="L1568" s="19"/>
      <c r="M1568" s="19"/>
      <c r="N1568" s="19"/>
      <c r="O1568" s="19"/>
      <c r="P1568" s="19"/>
      <c r="Q1568" s="19"/>
      <c r="R1568" s="19"/>
      <c r="S1568" s="19"/>
      <c r="T1568" s="19"/>
      <c r="U1568" s="19"/>
      <c r="V1568" s="19"/>
      <c r="W1568" s="19"/>
      <c r="X1568" s="19"/>
      <c r="Y1568" s="19"/>
      <c r="Z1568" s="19"/>
      <c r="AA1568" s="19"/>
      <c r="AB1568" s="19"/>
      <c r="AC1568" s="19"/>
      <c r="AD1568" s="19"/>
      <c r="AE1568" s="19"/>
      <c r="AF1568" s="19"/>
      <c r="AG1568" s="19"/>
      <c r="AH1568" s="19"/>
      <c r="AI1568" s="19"/>
      <c r="AJ1568" s="19"/>
      <c r="FM1568" s="54"/>
    </row>
    <row r="1569" spans="1:169" s="18" customFormat="1">
      <c r="A1569" s="51"/>
      <c r="B1569" s="52"/>
      <c r="C1569" s="52"/>
      <c r="D1569" s="52"/>
      <c r="E1569" s="52"/>
      <c r="F1569" s="52"/>
      <c r="G1569" s="52"/>
      <c r="H1569" s="53"/>
      <c r="I1569" s="52"/>
      <c r="J1569" s="52"/>
      <c r="K1569" s="19"/>
      <c r="L1569" s="19"/>
      <c r="M1569" s="19"/>
      <c r="N1569" s="19"/>
      <c r="O1569" s="19"/>
      <c r="P1569" s="19"/>
      <c r="Q1569" s="19"/>
      <c r="R1569" s="19"/>
      <c r="S1569" s="19"/>
      <c r="T1569" s="19"/>
      <c r="U1569" s="19"/>
      <c r="V1569" s="19"/>
      <c r="W1569" s="19"/>
      <c r="X1569" s="19"/>
      <c r="Y1569" s="19"/>
      <c r="Z1569" s="19"/>
      <c r="AA1569" s="19"/>
      <c r="AB1569" s="19"/>
      <c r="AC1569" s="19"/>
      <c r="AD1569" s="19"/>
      <c r="AE1569" s="19"/>
      <c r="AF1569" s="19"/>
      <c r="AG1569" s="19"/>
      <c r="AH1569" s="19"/>
      <c r="AI1569" s="19"/>
      <c r="AJ1569" s="19"/>
      <c r="FM1569" s="54"/>
    </row>
    <row r="1570" spans="1:169" s="18" customFormat="1">
      <c r="A1570" s="51"/>
      <c r="B1570" s="52"/>
      <c r="C1570" s="52"/>
      <c r="D1570" s="52"/>
      <c r="E1570" s="52"/>
      <c r="F1570" s="52"/>
      <c r="G1570" s="52"/>
      <c r="H1570" s="53"/>
      <c r="I1570" s="52"/>
      <c r="J1570" s="52"/>
      <c r="K1570" s="19"/>
      <c r="L1570" s="19"/>
      <c r="M1570" s="19"/>
      <c r="N1570" s="19"/>
      <c r="O1570" s="19"/>
      <c r="P1570" s="19"/>
      <c r="Q1570" s="19"/>
      <c r="R1570" s="19"/>
      <c r="S1570" s="19"/>
      <c r="T1570" s="19"/>
      <c r="U1570" s="19"/>
      <c r="V1570" s="19"/>
      <c r="W1570" s="19"/>
      <c r="X1570" s="19"/>
      <c r="Y1570" s="19"/>
      <c r="Z1570" s="19"/>
      <c r="AA1570" s="19"/>
      <c r="AB1570" s="19"/>
      <c r="AC1570" s="19"/>
      <c r="AD1570" s="19"/>
      <c r="AE1570" s="19"/>
      <c r="AF1570" s="19"/>
      <c r="AG1570" s="19"/>
      <c r="AH1570" s="19"/>
      <c r="AI1570" s="19"/>
      <c r="AJ1570" s="19"/>
      <c r="FM1570" s="54"/>
    </row>
    <row r="1571" spans="1:169" s="18" customFormat="1">
      <c r="A1571" s="51"/>
      <c r="B1571" s="52"/>
      <c r="C1571" s="52"/>
      <c r="D1571" s="52"/>
      <c r="E1571" s="52"/>
      <c r="F1571" s="52"/>
      <c r="G1571" s="52"/>
      <c r="H1571" s="53"/>
      <c r="I1571" s="52"/>
      <c r="J1571" s="52"/>
      <c r="K1571" s="19"/>
      <c r="L1571" s="19"/>
      <c r="M1571" s="19"/>
      <c r="N1571" s="19"/>
      <c r="O1571" s="19"/>
      <c r="P1571" s="19"/>
      <c r="Q1571" s="19"/>
      <c r="R1571" s="19"/>
      <c r="S1571" s="19"/>
      <c r="T1571" s="19"/>
      <c r="U1571" s="19"/>
      <c r="V1571" s="19"/>
      <c r="W1571" s="19"/>
      <c r="X1571" s="19"/>
      <c r="Y1571" s="19"/>
      <c r="Z1571" s="19"/>
      <c r="AA1571" s="19"/>
      <c r="AB1571" s="19"/>
      <c r="AC1571" s="19"/>
      <c r="AD1571" s="19"/>
      <c r="AE1571" s="19"/>
      <c r="AF1571" s="19"/>
      <c r="AG1571" s="19"/>
      <c r="AH1571" s="19"/>
      <c r="AI1571" s="19"/>
      <c r="AJ1571" s="19"/>
      <c r="FM1571" s="54"/>
    </row>
    <row r="1572" spans="1:169" s="18" customFormat="1">
      <c r="A1572" s="51"/>
      <c r="B1572" s="52"/>
      <c r="C1572" s="52"/>
      <c r="D1572" s="52"/>
      <c r="E1572" s="52"/>
      <c r="F1572" s="52"/>
      <c r="G1572" s="52"/>
      <c r="H1572" s="53"/>
      <c r="I1572" s="52"/>
      <c r="J1572" s="52"/>
      <c r="K1572" s="19"/>
      <c r="L1572" s="19"/>
      <c r="M1572" s="19"/>
      <c r="N1572" s="19"/>
      <c r="O1572" s="19"/>
      <c r="P1572" s="19"/>
      <c r="Q1572" s="19"/>
      <c r="R1572" s="19"/>
      <c r="S1572" s="19"/>
      <c r="T1572" s="19"/>
      <c r="U1572" s="19"/>
      <c r="V1572" s="19"/>
      <c r="W1572" s="19"/>
      <c r="X1572" s="19"/>
      <c r="Y1572" s="19"/>
      <c r="Z1572" s="19"/>
      <c r="AA1572" s="19"/>
      <c r="AB1572" s="19"/>
      <c r="AC1572" s="19"/>
      <c r="AD1572" s="19"/>
      <c r="AE1572" s="19"/>
      <c r="AF1572" s="19"/>
      <c r="AG1572" s="19"/>
      <c r="AH1572" s="19"/>
      <c r="AI1572" s="19"/>
      <c r="AJ1572" s="19"/>
      <c r="FM1572" s="54"/>
    </row>
    <row r="1573" spans="1:169" s="18" customFormat="1">
      <c r="A1573" s="51"/>
      <c r="B1573" s="52"/>
      <c r="C1573" s="52"/>
      <c r="D1573" s="52"/>
      <c r="E1573" s="52"/>
      <c r="F1573" s="52"/>
      <c r="G1573" s="52"/>
      <c r="H1573" s="53"/>
      <c r="I1573" s="52"/>
      <c r="J1573" s="52"/>
      <c r="K1573" s="19"/>
      <c r="L1573" s="19"/>
      <c r="M1573" s="19"/>
      <c r="N1573" s="19"/>
      <c r="O1573" s="19"/>
      <c r="P1573" s="19"/>
      <c r="Q1573" s="19"/>
      <c r="R1573" s="19"/>
      <c r="S1573" s="19"/>
      <c r="T1573" s="19"/>
      <c r="U1573" s="19"/>
      <c r="V1573" s="19"/>
      <c r="W1573" s="19"/>
      <c r="X1573" s="19"/>
      <c r="Y1573" s="19"/>
      <c r="Z1573" s="19"/>
      <c r="AA1573" s="19"/>
      <c r="AB1573" s="19"/>
      <c r="AC1573" s="19"/>
      <c r="AD1573" s="19"/>
      <c r="AE1573" s="19"/>
      <c r="AF1573" s="19"/>
      <c r="AG1573" s="19"/>
      <c r="AH1573" s="19"/>
      <c r="AI1573" s="19"/>
      <c r="AJ1573" s="19"/>
      <c r="FM1573" s="54"/>
    </row>
    <row r="1574" spans="1:169" s="18" customFormat="1">
      <c r="A1574" s="51"/>
      <c r="B1574" s="52"/>
      <c r="C1574" s="52"/>
      <c r="D1574" s="52"/>
      <c r="E1574" s="52"/>
      <c r="F1574" s="52"/>
      <c r="G1574" s="52"/>
      <c r="H1574" s="53"/>
      <c r="I1574" s="52"/>
      <c r="J1574" s="52"/>
      <c r="K1574" s="19"/>
      <c r="L1574" s="19"/>
      <c r="M1574" s="19"/>
      <c r="N1574" s="19"/>
      <c r="O1574" s="19"/>
      <c r="P1574" s="19"/>
      <c r="Q1574" s="19"/>
      <c r="R1574" s="19"/>
      <c r="S1574" s="19"/>
      <c r="T1574" s="19"/>
      <c r="U1574" s="19"/>
      <c r="V1574" s="19"/>
      <c r="W1574" s="19"/>
      <c r="X1574" s="19"/>
      <c r="Y1574" s="19"/>
      <c r="Z1574" s="19"/>
      <c r="AA1574" s="19"/>
      <c r="AB1574" s="19"/>
      <c r="AC1574" s="19"/>
      <c r="AD1574" s="19"/>
      <c r="AE1574" s="19"/>
      <c r="AF1574" s="19"/>
      <c r="AG1574" s="19"/>
      <c r="AH1574" s="19"/>
      <c r="AI1574" s="19"/>
      <c r="AJ1574" s="19"/>
      <c r="FM1574" s="54"/>
    </row>
    <row r="1575" spans="1:169" s="18" customFormat="1">
      <c r="A1575" s="51"/>
      <c r="B1575" s="52"/>
      <c r="C1575" s="52"/>
      <c r="D1575" s="52"/>
      <c r="E1575" s="52"/>
      <c r="F1575" s="52"/>
      <c r="G1575" s="52"/>
      <c r="H1575" s="53"/>
      <c r="I1575" s="52"/>
      <c r="J1575" s="52"/>
      <c r="K1575" s="19"/>
      <c r="L1575" s="19"/>
      <c r="M1575" s="19"/>
      <c r="N1575" s="19"/>
      <c r="O1575" s="19"/>
      <c r="P1575" s="19"/>
      <c r="Q1575" s="19"/>
      <c r="R1575" s="19"/>
      <c r="S1575" s="19"/>
      <c r="T1575" s="19"/>
      <c r="U1575" s="19"/>
      <c r="V1575" s="19"/>
      <c r="W1575" s="19"/>
      <c r="X1575" s="19"/>
      <c r="Y1575" s="19"/>
      <c r="Z1575" s="19"/>
      <c r="AA1575" s="19"/>
      <c r="AB1575" s="19"/>
      <c r="AC1575" s="19"/>
      <c r="AD1575" s="19"/>
      <c r="AE1575" s="19"/>
      <c r="AF1575" s="19"/>
      <c r="AG1575" s="19"/>
      <c r="AH1575" s="19"/>
      <c r="AI1575" s="19"/>
      <c r="AJ1575" s="19"/>
      <c r="FM1575" s="54"/>
    </row>
    <row r="1576" spans="1:169" s="18" customFormat="1">
      <c r="A1576" s="51"/>
      <c r="B1576" s="52"/>
      <c r="C1576" s="52"/>
      <c r="D1576" s="52"/>
      <c r="E1576" s="52"/>
      <c r="F1576" s="52"/>
      <c r="G1576" s="52"/>
      <c r="H1576" s="53"/>
      <c r="I1576" s="52"/>
      <c r="J1576" s="52"/>
      <c r="K1576" s="19"/>
      <c r="L1576" s="19"/>
      <c r="M1576" s="19"/>
      <c r="N1576" s="19"/>
      <c r="O1576" s="19"/>
      <c r="P1576" s="19"/>
      <c r="Q1576" s="19"/>
      <c r="R1576" s="19"/>
      <c r="S1576" s="19"/>
      <c r="T1576" s="19"/>
      <c r="U1576" s="19"/>
      <c r="V1576" s="19"/>
      <c r="W1576" s="19"/>
      <c r="X1576" s="19"/>
      <c r="Y1576" s="19"/>
      <c r="Z1576" s="19"/>
      <c r="AA1576" s="19"/>
      <c r="AB1576" s="19"/>
      <c r="AC1576" s="19"/>
      <c r="AD1576" s="19"/>
      <c r="AE1576" s="19"/>
      <c r="AF1576" s="19"/>
      <c r="AG1576" s="19"/>
      <c r="AH1576" s="19"/>
      <c r="AI1576" s="19"/>
      <c r="AJ1576" s="19"/>
      <c r="FM1576" s="54"/>
    </row>
    <row r="1577" spans="1:169" s="18" customFormat="1">
      <c r="A1577" s="51"/>
      <c r="B1577" s="52"/>
      <c r="C1577" s="52"/>
      <c r="D1577" s="52"/>
      <c r="E1577" s="52"/>
      <c r="F1577" s="52"/>
      <c r="G1577" s="52"/>
      <c r="H1577" s="53"/>
      <c r="I1577" s="52"/>
      <c r="J1577" s="52"/>
      <c r="K1577" s="19"/>
      <c r="L1577" s="19"/>
      <c r="M1577" s="19"/>
      <c r="N1577" s="19"/>
      <c r="O1577" s="19"/>
      <c r="P1577" s="19"/>
      <c r="Q1577" s="19"/>
      <c r="R1577" s="19"/>
      <c r="S1577" s="19"/>
      <c r="T1577" s="19"/>
      <c r="U1577" s="19"/>
      <c r="V1577" s="19"/>
      <c r="W1577" s="19"/>
      <c r="X1577" s="19"/>
      <c r="Y1577" s="19"/>
      <c r="Z1577" s="19"/>
      <c r="AA1577" s="19"/>
      <c r="AB1577" s="19"/>
      <c r="AC1577" s="19"/>
      <c r="AD1577" s="19"/>
      <c r="AE1577" s="19"/>
      <c r="AF1577" s="19"/>
      <c r="AG1577" s="19"/>
      <c r="AH1577" s="19"/>
      <c r="AI1577" s="19"/>
      <c r="AJ1577" s="19"/>
      <c r="FM1577" s="54"/>
    </row>
    <row r="1578" spans="1:169" s="18" customFormat="1">
      <c r="A1578" s="51"/>
      <c r="B1578" s="52"/>
      <c r="C1578" s="52"/>
      <c r="D1578" s="52"/>
      <c r="E1578" s="52"/>
      <c r="F1578" s="52"/>
      <c r="G1578" s="52"/>
      <c r="H1578" s="53"/>
      <c r="I1578" s="52"/>
      <c r="J1578" s="52"/>
      <c r="K1578" s="19"/>
      <c r="L1578" s="19"/>
      <c r="M1578" s="19"/>
      <c r="N1578" s="19"/>
      <c r="O1578" s="19"/>
      <c r="P1578" s="19"/>
      <c r="Q1578" s="19"/>
      <c r="R1578" s="19"/>
      <c r="S1578" s="19"/>
      <c r="T1578" s="19"/>
      <c r="U1578" s="19"/>
      <c r="V1578" s="19"/>
      <c r="W1578" s="19"/>
      <c r="X1578" s="19"/>
      <c r="Y1578" s="19"/>
      <c r="Z1578" s="19"/>
      <c r="AA1578" s="19"/>
      <c r="AB1578" s="19"/>
      <c r="AC1578" s="19"/>
      <c r="AD1578" s="19"/>
      <c r="AE1578" s="19"/>
      <c r="AF1578" s="19"/>
      <c r="AG1578" s="19"/>
      <c r="AH1578" s="19"/>
      <c r="AI1578" s="19"/>
      <c r="AJ1578" s="19"/>
      <c r="FM1578" s="54"/>
    </row>
    <row r="1579" spans="1:169" s="18" customFormat="1">
      <c r="A1579" s="51"/>
      <c r="B1579" s="52"/>
      <c r="C1579" s="52"/>
      <c r="D1579" s="52"/>
      <c r="E1579" s="52"/>
      <c r="F1579" s="52"/>
      <c r="G1579" s="52"/>
      <c r="H1579" s="53"/>
      <c r="I1579" s="52"/>
      <c r="J1579" s="52"/>
      <c r="K1579" s="19"/>
      <c r="L1579" s="19"/>
      <c r="M1579" s="19"/>
      <c r="N1579" s="19"/>
      <c r="O1579" s="19"/>
      <c r="P1579" s="19"/>
      <c r="Q1579" s="19"/>
      <c r="R1579" s="19"/>
      <c r="S1579" s="19"/>
      <c r="T1579" s="19"/>
      <c r="U1579" s="19"/>
      <c r="V1579" s="19"/>
      <c r="W1579" s="19"/>
      <c r="X1579" s="19"/>
      <c r="Y1579" s="19"/>
      <c r="Z1579" s="19"/>
      <c r="AA1579" s="19"/>
      <c r="AB1579" s="19"/>
      <c r="AC1579" s="19"/>
      <c r="AD1579" s="19"/>
      <c r="AE1579" s="19"/>
      <c r="AF1579" s="19"/>
      <c r="AG1579" s="19"/>
      <c r="AH1579" s="19"/>
      <c r="AI1579" s="19"/>
      <c r="AJ1579" s="19"/>
      <c r="FM1579" s="54"/>
    </row>
    <row r="1580" spans="1:169" s="18" customFormat="1">
      <c r="A1580" s="51"/>
      <c r="B1580" s="52"/>
      <c r="C1580" s="52"/>
      <c r="D1580" s="52"/>
      <c r="E1580" s="52"/>
      <c r="F1580" s="52"/>
      <c r="G1580" s="52"/>
      <c r="H1580" s="53"/>
      <c r="I1580" s="52"/>
      <c r="J1580" s="52"/>
      <c r="K1580" s="19"/>
      <c r="L1580" s="19"/>
      <c r="M1580" s="19"/>
      <c r="N1580" s="19"/>
      <c r="O1580" s="19"/>
      <c r="P1580" s="19"/>
      <c r="Q1580" s="19"/>
      <c r="R1580" s="19"/>
      <c r="S1580" s="19"/>
      <c r="T1580" s="19"/>
      <c r="U1580" s="19"/>
      <c r="V1580" s="19"/>
      <c r="W1580" s="19"/>
      <c r="X1580" s="19"/>
      <c r="Y1580" s="19"/>
      <c r="Z1580" s="19"/>
      <c r="AA1580" s="19"/>
      <c r="AB1580" s="19"/>
      <c r="AC1580" s="19"/>
      <c r="AD1580" s="19"/>
      <c r="AE1580" s="19"/>
      <c r="AF1580" s="19"/>
      <c r="AG1580" s="19"/>
      <c r="AH1580" s="19"/>
      <c r="AI1580" s="19"/>
      <c r="AJ1580" s="19"/>
      <c r="FM1580" s="54"/>
    </row>
    <row r="1581" spans="1:169" s="18" customFormat="1">
      <c r="A1581" s="51"/>
      <c r="B1581" s="52"/>
      <c r="C1581" s="52"/>
      <c r="D1581" s="52"/>
      <c r="E1581" s="52"/>
      <c r="F1581" s="52"/>
      <c r="G1581" s="52"/>
      <c r="H1581" s="53"/>
      <c r="I1581" s="52"/>
      <c r="J1581" s="52"/>
      <c r="K1581" s="19"/>
      <c r="L1581" s="19"/>
      <c r="M1581" s="19"/>
      <c r="N1581" s="19"/>
      <c r="O1581" s="19"/>
      <c r="P1581" s="19"/>
      <c r="Q1581" s="19"/>
      <c r="R1581" s="19"/>
      <c r="S1581" s="19"/>
      <c r="T1581" s="19"/>
      <c r="U1581" s="19"/>
      <c r="V1581" s="19"/>
      <c r="W1581" s="19"/>
      <c r="X1581" s="19"/>
      <c r="Y1581" s="19"/>
      <c r="Z1581" s="19"/>
      <c r="AA1581" s="19"/>
      <c r="AB1581" s="19"/>
      <c r="AC1581" s="19"/>
      <c r="AD1581" s="19"/>
      <c r="AE1581" s="19"/>
      <c r="AF1581" s="19"/>
      <c r="AG1581" s="19"/>
      <c r="AH1581" s="19"/>
      <c r="AI1581" s="19"/>
      <c r="AJ1581" s="19"/>
      <c r="FM1581" s="54"/>
    </row>
    <row r="1582" spans="1:169" s="18" customFormat="1">
      <c r="A1582" s="51"/>
      <c r="B1582" s="52"/>
      <c r="C1582" s="52"/>
      <c r="D1582" s="52"/>
      <c r="E1582" s="52"/>
      <c r="F1582" s="52"/>
      <c r="G1582" s="52"/>
      <c r="H1582" s="53"/>
      <c r="I1582" s="52"/>
      <c r="J1582" s="52"/>
      <c r="K1582" s="19"/>
      <c r="L1582" s="19"/>
      <c r="M1582" s="19"/>
      <c r="N1582" s="19"/>
      <c r="O1582" s="19"/>
      <c r="P1582" s="19"/>
      <c r="Q1582" s="19"/>
      <c r="R1582" s="19"/>
      <c r="S1582" s="19"/>
      <c r="T1582" s="19"/>
      <c r="U1582" s="19"/>
      <c r="V1582" s="19"/>
      <c r="W1582" s="19"/>
      <c r="X1582" s="19"/>
      <c r="Y1582" s="19"/>
      <c r="Z1582" s="19"/>
      <c r="AA1582" s="19"/>
      <c r="AB1582" s="19"/>
      <c r="AC1582" s="19"/>
      <c r="AD1582" s="19"/>
      <c r="AE1582" s="19"/>
      <c r="AF1582" s="19"/>
      <c r="AG1582" s="19"/>
      <c r="AH1582" s="19"/>
      <c r="AI1582" s="19"/>
      <c r="AJ1582" s="19"/>
      <c r="FM1582" s="54"/>
    </row>
    <row r="1583" spans="1:169" s="18" customFormat="1">
      <c r="A1583" s="51"/>
      <c r="B1583" s="52"/>
      <c r="C1583" s="52"/>
      <c r="D1583" s="52"/>
      <c r="E1583" s="52"/>
      <c r="F1583" s="52"/>
      <c r="G1583" s="52"/>
      <c r="H1583" s="53"/>
      <c r="I1583" s="52"/>
      <c r="J1583" s="52"/>
      <c r="K1583" s="19"/>
      <c r="L1583" s="19"/>
      <c r="M1583" s="19"/>
      <c r="N1583" s="19"/>
      <c r="O1583" s="19"/>
      <c r="P1583" s="19"/>
      <c r="Q1583" s="19"/>
      <c r="R1583" s="19"/>
      <c r="S1583" s="19"/>
      <c r="T1583" s="19"/>
      <c r="U1583" s="19"/>
      <c r="V1583" s="19"/>
      <c r="W1583" s="19"/>
      <c r="X1583" s="19"/>
      <c r="Y1583" s="19"/>
      <c r="Z1583" s="19"/>
      <c r="AA1583" s="19"/>
      <c r="AB1583" s="19"/>
      <c r="AC1583" s="19"/>
      <c r="AD1583" s="19"/>
      <c r="AE1583" s="19"/>
      <c r="AF1583" s="19"/>
      <c r="AG1583" s="19"/>
      <c r="AH1583" s="19"/>
      <c r="AI1583" s="19"/>
      <c r="AJ1583" s="19"/>
      <c r="FM1583" s="54"/>
    </row>
    <row r="1584" spans="1:169" s="18" customFormat="1">
      <c r="A1584" s="51"/>
      <c r="B1584" s="52"/>
      <c r="C1584" s="52"/>
      <c r="D1584" s="52"/>
      <c r="E1584" s="52"/>
      <c r="F1584" s="52"/>
      <c r="G1584" s="52"/>
      <c r="H1584" s="53"/>
      <c r="I1584" s="52"/>
      <c r="J1584" s="52"/>
      <c r="K1584" s="19"/>
      <c r="L1584" s="19"/>
      <c r="M1584" s="19"/>
      <c r="N1584" s="19"/>
      <c r="O1584" s="19"/>
      <c r="P1584" s="19"/>
      <c r="Q1584" s="19"/>
      <c r="R1584" s="19"/>
      <c r="S1584" s="19"/>
      <c r="T1584" s="19"/>
      <c r="U1584" s="19"/>
      <c r="V1584" s="19"/>
      <c r="W1584" s="19"/>
      <c r="X1584" s="19"/>
      <c r="Y1584" s="19"/>
      <c r="Z1584" s="19"/>
      <c r="AA1584" s="19"/>
      <c r="AB1584" s="19"/>
      <c r="AC1584" s="19"/>
      <c r="AD1584" s="19"/>
      <c r="AE1584" s="19"/>
      <c r="AF1584" s="19"/>
      <c r="AG1584" s="19"/>
      <c r="AH1584" s="19"/>
      <c r="AI1584" s="19"/>
      <c r="AJ1584" s="19"/>
      <c r="FM1584" s="54"/>
    </row>
    <row r="1585" spans="1:169" s="18" customFormat="1">
      <c r="A1585" s="51"/>
      <c r="B1585" s="52"/>
      <c r="C1585" s="52"/>
      <c r="D1585" s="52"/>
      <c r="E1585" s="52"/>
      <c r="F1585" s="52"/>
      <c r="G1585" s="52"/>
      <c r="H1585" s="53"/>
      <c r="I1585" s="52"/>
      <c r="J1585" s="52"/>
      <c r="K1585" s="19"/>
      <c r="L1585" s="19"/>
      <c r="M1585" s="19"/>
      <c r="N1585" s="19"/>
      <c r="O1585" s="19"/>
      <c r="P1585" s="19"/>
      <c r="Q1585" s="19"/>
      <c r="R1585" s="19"/>
      <c r="S1585" s="19"/>
      <c r="T1585" s="19"/>
      <c r="U1585" s="19"/>
      <c r="V1585" s="19"/>
      <c r="W1585" s="19"/>
      <c r="X1585" s="19"/>
      <c r="Y1585" s="19"/>
      <c r="Z1585" s="19"/>
      <c r="AA1585" s="19"/>
      <c r="AB1585" s="19"/>
      <c r="AC1585" s="19"/>
      <c r="AD1585" s="19"/>
      <c r="AE1585" s="19"/>
      <c r="AF1585" s="19"/>
      <c r="AG1585" s="19"/>
      <c r="AH1585" s="19"/>
      <c r="AI1585" s="19"/>
      <c r="AJ1585" s="19"/>
      <c r="FM1585" s="54"/>
    </row>
    <row r="1586" spans="1:169" s="18" customFormat="1">
      <c r="A1586" s="51"/>
      <c r="B1586" s="52"/>
      <c r="C1586" s="52"/>
      <c r="D1586" s="52"/>
      <c r="E1586" s="52"/>
      <c r="F1586" s="52"/>
      <c r="G1586" s="52"/>
      <c r="H1586" s="53"/>
      <c r="I1586" s="52"/>
      <c r="J1586" s="52"/>
      <c r="K1586" s="19"/>
      <c r="L1586" s="19"/>
      <c r="M1586" s="19"/>
      <c r="N1586" s="19"/>
      <c r="O1586" s="19"/>
      <c r="P1586" s="19"/>
      <c r="Q1586" s="19"/>
      <c r="R1586" s="19"/>
      <c r="S1586" s="19"/>
      <c r="T1586" s="19"/>
      <c r="U1586" s="19"/>
      <c r="V1586" s="19"/>
      <c r="W1586" s="19"/>
      <c r="X1586" s="19"/>
      <c r="Y1586" s="19"/>
      <c r="Z1586" s="19"/>
      <c r="AA1586" s="19"/>
      <c r="AB1586" s="19"/>
      <c r="AC1586" s="19"/>
      <c r="AD1586" s="19"/>
      <c r="AE1586" s="19"/>
      <c r="AF1586" s="19"/>
      <c r="AG1586" s="19"/>
      <c r="AH1586" s="19"/>
      <c r="AI1586" s="19"/>
      <c r="AJ1586" s="19"/>
      <c r="FM1586" s="54"/>
    </row>
    <row r="1587" spans="1:169" s="18" customFormat="1">
      <c r="A1587" s="51"/>
      <c r="B1587" s="52"/>
      <c r="C1587" s="52"/>
      <c r="D1587" s="52"/>
      <c r="E1587" s="52"/>
      <c r="F1587" s="52"/>
      <c r="G1587" s="52"/>
      <c r="H1587" s="53"/>
      <c r="I1587" s="52"/>
      <c r="J1587" s="52"/>
      <c r="K1587" s="19"/>
      <c r="L1587" s="19"/>
      <c r="M1587" s="19"/>
      <c r="N1587" s="19"/>
      <c r="O1587" s="19"/>
      <c r="P1587" s="19"/>
      <c r="Q1587" s="19"/>
      <c r="R1587" s="19"/>
      <c r="S1587" s="19"/>
      <c r="T1587" s="19"/>
      <c r="U1587" s="19"/>
      <c r="V1587" s="19"/>
      <c r="W1587" s="19"/>
      <c r="X1587" s="19"/>
      <c r="Y1587" s="19"/>
      <c r="Z1587" s="19"/>
      <c r="AA1587" s="19"/>
      <c r="AB1587" s="19"/>
      <c r="AC1587" s="19"/>
      <c r="AD1587" s="19"/>
      <c r="AE1587" s="19"/>
      <c r="AF1587" s="19"/>
      <c r="AG1587" s="19"/>
      <c r="AH1587" s="19"/>
      <c r="AI1587" s="19"/>
      <c r="AJ1587" s="19"/>
      <c r="FM1587" s="54"/>
    </row>
    <row r="1588" spans="1:169" s="18" customFormat="1">
      <c r="A1588" s="51"/>
      <c r="B1588" s="52"/>
      <c r="C1588" s="52"/>
      <c r="D1588" s="52"/>
      <c r="E1588" s="52"/>
      <c r="F1588" s="52"/>
      <c r="G1588" s="52"/>
      <c r="H1588" s="53"/>
      <c r="I1588" s="52"/>
      <c r="J1588" s="52"/>
      <c r="K1588" s="19"/>
      <c r="L1588" s="19"/>
      <c r="M1588" s="19"/>
      <c r="N1588" s="19"/>
      <c r="O1588" s="19"/>
      <c r="P1588" s="19"/>
      <c r="Q1588" s="19"/>
      <c r="R1588" s="19"/>
      <c r="S1588" s="19"/>
      <c r="T1588" s="19"/>
      <c r="U1588" s="19"/>
      <c r="V1588" s="19"/>
      <c r="W1588" s="19"/>
      <c r="X1588" s="19"/>
      <c r="Y1588" s="19"/>
      <c r="Z1588" s="19"/>
      <c r="AA1588" s="19"/>
      <c r="AB1588" s="19"/>
      <c r="AC1588" s="19"/>
      <c r="AD1588" s="19"/>
      <c r="AE1588" s="19"/>
      <c r="AF1588" s="19"/>
      <c r="AG1588" s="19"/>
      <c r="AH1588" s="19"/>
      <c r="AI1588" s="19"/>
      <c r="AJ1588" s="19"/>
      <c r="FM1588" s="54"/>
    </row>
    <row r="1589" spans="1:169" s="18" customFormat="1">
      <c r="A1589" s="51"/>
      <c r="B1589" s="52"/>
      <c r="C1589" s="52"/>
      <c r="D1589" s="52"/>
      <c r="E1589" s="52"/>
      <c r="F1589" s="52"/>
      <c r="G1589" s="52"/>
      <c r="H1589" s="53"/>
      <c r="I1589" s="52"/>
      <c r="J1589" s="52"/>
      <c r="K1589" s="19"/>
      <c r="L1589" s="19"/>
      <c r="M1589" s="19"/>
      <c r="N1589" s="19"/>
      <c r="O1589" s="19"/>
      <c r="P1589" s="19"/>
      <c r="Q1589" s="19"/>
      <c r="R1589" s="19"/>
      <c r="S1589" s="19"/>
      <c r="T1589" s="19"/>
      <c r="U1589" s="19"/>
      <c r="V1589" s="19"/>
      <c r="W1589" s="19"/>
      <c r="X1589" s="19"/>
      <c r="Y1589" s="19"/>
      <c r="Z1589" s="19"/>
      <c r="AA1589" s="19"/>
      <c r="AB1589" s="19"/>
      <c r="AC1589" s="19"/>
      <c r="AD1589" s="19"/>
      <c r="AE1589" s="19"/>
      <c r="AF1589" s="19"/>
      <c r="AG1589" s="19"/>
      <c r="AH1589" s="19"/>
      <c r="AI1589" s="19"/>
      <c r="AJ1589" s="19"/>
      <c r="FM1589" s="54"/>
    </row>
    <row r="1590" spans="1:169" s="18" customFormat="1">
      <c r="A1590" s="51"/>
      <c r="B1590" s="52"/>
      <c r="C1590" s="52"/>
      <c r="D1590" s="52"/>
      <c r="E1590" s="52"/>
      <c r="F1590" s="52"/>
      <c r="G1590" s="52"/>
      <c r="H1590" s="53"/>
      <c r="I1590" s="52"/>
      <c r="J1590" s="52"/>
      <c r="K1590" s="19"/>
      <c r="L1590" s="19"/>
      <c r="M1590" s="19"/>
      <c r="N1590" s="19"/>
      <c r="O1590" s="19"/>
      <c r="P1590" s="19"/>
      <c r="Q1590" s="19"/>
      <c r="R1590" s="19"/>
      <c r="S1590" s="19"/>
      <c r="T1590" s="19"/>
      <c r="U1590" s="19"/>
      <c r="V1590" s="19"/>
      <c r="W1590" s="19"/>
      <c r="X1590" s="19"/>
      <c r="Y1590" s="19"/>
      <c r="Z1590" s="19"/>
      <c r="AA1590" s="19"/>
      <c r="AB1590" s="19"/>
      <c r="AC1590" s="19"/>
      <c r="AD1590" s="19"/>
      <c r="AE1590" s="19"/>
      <c r="AF1590" s="19"/>
      <c r="AG1590" s="19"/>
      <c r="AH1590" s="19"/>
      <c r="AI1590" s="19"/>
      <c r="AJ1590" s="19"/>
      <c r="FM1590" s="54"/>
    </row>
    <row r="1591" spans="1:169" s="18" customFormat="1">
      <c r="A1591" s="51"/>
      <c r="B1591" s="52"/>
      <c r="C1591" s="52"/>
      <c r="D1591" s="52"/>
      <c r="E1591" s="52"/>
      <c r="F1591" s="52"/>
      <c r="G1591" s="52"/>
      <c r="H1591" s="53"/>
      <c r="I1591" s="52"/>
      <c r="J1591" s="52"/>
      <c r="K1591" s="19"/>
      <c r="L1591" s="19"/>
      <c r="M1591" s="19"/>
      <c r="N1591" s="19"/>
      <c r="O1591" s="19"/>
      <c r="P1591" s="19"/>
      <c r="Q1591" s="19"/>
      <c r="R1591" s="19"/>
      <c r="S1591" s="19"/>
      <c r="T1591" s="19"/>
      <c r="U1591" s="19"/>
      <c r="V1591" s="19"/>
      <c r="W1591" s="19"/>
      <c r="X1591" s="19"/>
      <c r="Y1591" s="19"/>
      <c r="Z1591" s="19"/>
      <c r="AA1591" s="19"/>
      <c r="AB1591" s="19"/>
      <c r="AC1591" s="19"/>
      <c r="AD1591" s="19"/>
      <c r="AE1591" s="19"/>
      <c r="AF1591" s="19"/>
      <c r="AG1591" s="19"/>
      <c r="AH1591" s="19"/>
      <c r="AI1591" s="19"/>
      <c r="AJ1591" s="19"/>
      <c r="FM1591" s="54"/>
    </row>
    <row r="1592" spans="1:169" s="18" customFormat="1">
      <c r="A1592" s="51"/>
      <c r="B1592" s="52"/>
      <c r="C1592" s="52"/>
      <c r="D1592" s="52"/>
      <c r="E1592" s="52"/>
      <c r="F1592" s="52"/>
      <c r="G1592" s="52"/>
      <c r="H1592" s="53"/>
      <c r="I1592" s="52"/>
      <c r="J1592" s="52"/>
      <c r="K1592" s="19"/>
      <c r="L1592" s="19"/>
      <c r="M1592" s="19"/>
      <c r="N1592" s="19"/>
      <c r="O1592" s="19"/>
      <c r="P1592" s="19"/>
      <c r="Q1592" s="19"/>
      <c r="R1592" s="19"/>
      <c r="S1592" s="19"/>
      <c r="T1592" s="19"/>
      <c r="U1592" s="19"/>
      <c r="V1592" s="19"/>
      <c r="W1592" s="19"/>
      <c r="X1592" s="19"/>
      <c r="Y1592" s="19"/>
      <c r="Z1592" s="19"/>
      <c r="AA1592" s="19"/>
      <c r="AB1592" s="19"/>
      <c r="AC1592" s="19"/>
      <c r="AD1592" s="19"/>
      <c r="AE1592" s="19"/>
      <c r="AF1592" s="19"/>
      <c r="AG1592" s="19"/>
      <c r="AH1592" s="19"/>
      <c r="AI1592" s="19"/>
      <c r="AJ1592" s="19"/>
      <c r="FM1592" s="54"/>
    </row>
    <row r="1593" spans="1:169" s="18" customFormat="1">
      <c r="A1593" s="51"/>
      <c r="B1593" s="52"/>
      <c r="C1593" s="52"/>
      <c r="D1593" s="52"/>
      <c r="E1593" s="52"/>
      <c r="F1593" s="52"/>
      <c r="G1593" s="52"/>
      <c r="H1593" s="53"/>
      <c r="I1593" s="52"/>
      <c r="J1593" s="52"/>
      <c r="K1593" s="19"/>
      <c r="L1593" s="19"/>
      <c r="M1593" s="19"/>
      <c r="N1593" s="19"/>
      <c r="O1593" s="19"/>
      <c r="P1593" s="19"/>
      <c r="Q1593" s="19"/>
      <c r="R1593" s="19"/>
      <c r="S1593" s="19"/>
      <c r="T1593" s="19"/>
      <c r="U1593" s="19"/>
      <c r="V1593" s="19"/>
      <c r="W1593" s="19"/>
      <c r="X1593" s="19"/>
      <c r="Y1593" s="19"/>
      <c r="Z1593" s="19"/>
      <c r="AA1593" s="19"/>
      <c r="AB1593" s="19"/>
      <c r="AC1593" s="19"/>
      <c r="AD1593" s="19"/>
      <c r="AE1593" s="19"/>
      <c r="AF1593" s="19"/>
      <c r="AG1593" s="19"/>
      <c r="AH1593" s="19"/>
      <c r="AI1593" s="19"/>
      <c r="AJ1593" s="19"/>
      <c r="FM1593" s="54"/>
    </row>
    <row r="1594" spans="1:169" s="18" customFormat="1">
      <c r="A1594" s="51"/>
      <c r="B1594" s="52"/>
      <c r="C1594" s="52"/>
      <c r="D1594" s="52"/>
      <c r="E1594" s="52"/>
      <c r="F1594" s="52"/>
      <c r="G1594" s="52"/>
      <c r="H1594" s="53"/>
      <c r="I1594" s="52"/>
      <c r="J1594" s="52"/>
      <c r="K1594" s="19"/>
      <c r="L1594" s="19"/>
      <c r="M1594" s="19"/>
      <c r="N1594" s="19"/>
      <c r="O1594" s="19"/>
      <c r="P1594" s="19"/>
      <c r="Q1594" s="19"/>
      <c r="R1594" s="19"/>
      <c r="S1594" s="19"/>
      <c r="T1594" s="19"/>
      <c r="U1594" s="19"/>
      <c r="V1594" s="19"/>
      <c r="W1594" s="19"/>
      <c r="X1594" s="19"/>
      <c r="Y1594" s="19"/>
      <c r="Z1594" s="19"/>
      <c r="AA1594" s="19"/>
      <c r="AB1594" s="19"/>
      <c r="AC1594" s="19"/>
      <c r="AD1594" s="19"/>
      <c r="AE1594" s="19"/>
      <c r="AF1594" s="19"/>
      <c r="AG1594" s="19"/>
      <c r="AH1594" s="19"/>
      <c r="AI1594" s="19"/>
      <c r="AJ1594" s="19"/>
      <c r="FM1594" s="54"/>
    </row>
    <row r="1595" spans="1:169" s="18" customFormat="1">
      <c r="A1595" s="51"/>
      <c r="B1595" s="52"/>
      <c r="C1595" s="52"/>
      <c r="D1595" s="52"/>
      <c r="E1595" s="52"/>
      <c r="F1595" s="52"/>
      <c r="G1595" s="52"/>
      <c r="H1595" s="53"/>
      <c r="I1595" s="52"/>
      <c r="J1595" s="52"/>
      <c r="K1595" s="19"/>
      <c r="L1595" s="19"/>
      <c r="M1595" s="19"/>
      <c r="N1595" s="19"/>
      <c r="O1595" s="19"/>
      <c r="P1595" s="19"/>
      <c r="Q1595" s="19"/>
      <c r="R1595" s="19"/>
      <c r="S1595" s="19"/>
      <c r="T1595" s="19"/>
      <c r="U1595" s="19"/>
      <c r="V1595" s="19"/>
      <c r="W1595" s="19"/>
      <c r="X1595" s="19"/>
      <c r="Y1595" s="19"/>
      <c r="Z1595" s="19"/>
      <c r="AA1595" s="19"/>
      <c r="AB1595" s="19"/>
      <c r="AC1595" s="19"/>
      <c r="AD1595" s="19"/>
      <c r="AE1595" s="19"/>
      <c r="AF1595" s="19"/>
      <c r="AG1595" s="19"/>
      <c r="AH1595" s="19"/>
      <c r="AI1595" s="19"/>
      <c r="AJ1595" s="19"/>
      <c r="FM1595" s="54"/>
    </row>
    <row r="1596" spans="1:169" s="18" customFormat="1">
      <c r="A1596" s="51"/>
      <c r="B1596" s="52"/>
      <c r="C1596" s="52"/>
      <c r="D1596" s="52"/>
      <c r="E1596" s="52"/>
      <c r="F1596" s="52"/>
      <c r="G1596" s="52"/>
      <c r="H1596" s="53"/>
      <c r="I1596" s="52"/>
      <c r="J1596" s="52"/>
      <c r="K1596" s="19"/>
      <c r="L1596" s="19"/>
      <c r="M1596" s="19"/>
      <c r="N1596" s="19"/>
      <c r="O1596" s="19"/>
      <c r="P1596" s="19"/>
      <c r="Q1596" s="19"/>
      <c r="R1596" s="19"/>
      <c r="S1596" s="19"/>
      <c r="T1596" s="19"/>
      <c r="U1596" s="19"/>
      <c r="V1596" s="19"/>
      <c r="W1596" s="19"/>
      <c r="X1596" s="19"/>
      <c r="Y1596" s="19"/>
      <c r="Z1596" s="19"/>
      <c r="AA1596" s="19"/>
      <c r="AB1596" s="19"/>
      <c r="AC1596" s="19"/>
      <c r="AD1596" s="19"/>
      <c r="AE1596" s="19"/>
      <c r="AF1596" s="19"/>
      <c r="AG1596" s="19"/>
      <c r="AH1596" s="19"/>
      <c r="AI1596" s="19"/>
      <c r="AJ1596" s="19"/>
      <c r="FM1596" s="54"/>
    </row>
    <row r="1597" spans="1:169" s="18" customFormat="1">
      <c r="A1597" s="51"/>
      <c r="B1597" s="52"/>
      <c r="C1597" s="52"/>
      <c r="D1597" s="52"/>
      <c r="E1597" s="52"/>
      <c r="F1597" s="52"/>
      <c r="G1597" s="52"/>
      <c r="H1597" s="53"/>
      <c r="I1597" s="52"/>
      <c r="J1597" s="52"/>
      <c r="K1597" s="19"/>
      <c r="L1597" s="19"/>
      <c r="M1597" s="19"/>
      <c r="N1597" s="19"/>
      <c r="O1597" s="19"/>
      <c r="P1597" s="19"/>
      <c r="Q1597" s="19"/>
      <c r="R1597" s="19"/>
      <c r="S1597" s="19"/>
      <c r="T1597" s="19"/>
      <c r="U1597" s="19"/>
      <c r="V1597" s="19"/>
      <c r="W1597" s="19"/>
      <c r="X1597" s="19"/>
      <c r="Y1597" s="19"/>
      <c r="Z1597" s="19"/>
      <c r="AA1597" s="19"/>
      <c r="AB1597" s="19"/>
      <c r="AC1597" s="19"/>
      <c r="AD1597" s="19"/>
      <c r="AE1597" s="19"/>
      <c r="AF1597" s="19"/>
      <c r="AG1597" s="19"/>
      <c r="AH1597" s="19"/>
      <c r="AI1597" s="19"/>
      <c r="AJ1597" s="19"/>
      <c r="FM1597" s="54"/>
    </row>
    <row r="1598" spans="1:169" s="18" customFormat="1">
      <c r="A1598" s="51"/>
      <c r="B1598" s="52"/>
      <c r="C1598" s="52"/>
      <c r="D1598" s="52"/>
      <c r="E1598" s="52"/>
      <c r="F1598" s="52"/>
      <c r="G1598" s="52"/>
      <c r="H1598" s="53"/>
      <c r="I1598" s="52"/>
      <c r="J1598" s="52"/>
      <c r="K1598" s="19"/>
      <c r="L1598" s="19"/>
      <c r="M1598" s="19"/>
      <c r="N1598" s="19"/>
      <c r="O1598" s="19"/>
      <c r="P1598" s="19"/>
      <c r="Q1598" s="19"/>
      <c r="R1598" s="19"/>
      <c r="S1598" s="19"/>
      <c r="T1598" s="19"/>
      <c r="U1598" s="19"/>
      <c r="V1598" s="19"/>
      <c r="W1598" s="19"/>
      <c r="X1598" s="19"/>
      <c r="Y1598" s="19"/>
      <c r="Z1598" s="19"/>
      <c r="AA1598" s="19"/>
      <c r="AB1598" s="19"/>
      <c r="AC1598" s="19"/>
      <c r="AD1598" s="19"/>
      <c r="AE1598" s="19"/>
      <c r="AF1598" s="19"/>
      <c r="AG1598" s="19"/>
      <c r="AH1598" s="19"/>
      <c r="AI1598" s="19"/>
      <c r="AJ1598" s="19"/>
      <c r="FM1598" s="54"/>
    </row>
    <row r="1599" spans="1:169" s="18" customFormat="1">
      <c r="A1599" s="51"/>
      <c r="B1599" s="52"/>
      <c r="C1599" s="52"/>
      <c r="D1599" s="52"/>
      <c r="E1599" s="52"/>
      <c r="F1599" s="52"/>
      <c r="G1599" s="52"/>
      <c r="H1599" s="53"/>
      <c r="I1599" s="52"/>
      <c r="J1599" s="52"/>
      <c r="K1599" s="19"/>
      <c r="L1599" s="19"/>
      <c r="M1599" s="19"/>
      <c r="N1599" s="19"/>
      <c r="O1599" s="19"/>
      <c r="P1599" s="19"/>
      <c r="Q1599" s="19"/>
      <c r="R1599" s="19"/>
      <c r="S1599" s="19"/>
      <c r="T1599" s="19"/>
      <c r="U1599" s="19"/>
      <c r="V1599" s="19"/>
      <c r="W1599" s="19"/>
      <c r="X1599" s="19"/>
      <c r="Y1599" s="19"/>
      <c r="Z1599" s="19"/>
      <c r="AA1599" s="19"/>
      <c r="AB1599" s="19"/>
      <c r="AC1599" s="19"/>
      <c r="AD1599" s="19"/>
      <c r="AE1599" s="19"/>
      <c r="AF1599" s="19"/>
      <c r="AG1599" s="19"/>
      <c r="AH1599" s="19"/>
      <c r="AI1599" s="19"/>
      <c r="AJ1599" s="19"/>
      <c r="FM1599" s="54"/>
    </row>
    <row r="1600" spans="1:169" s="18" customFormat="1">
      <c r="A1600" s="51"/>
      <c r="B1600" s="52"/>
      <c r="C1600" s="52"/>
      <c r="D1600" s="52"/>
      <c r="E1600" s="52"/>
      <c r="F1600" s="52"/>
      <c r="G1600" s="52"/>
      <c r="H1600" s="53"/>
      <c r="I1600" s="52"/>
      <c r="J1600" s="52"/>
      <c r="K1600" s="19"/>
      <c r="L1600" s="19"/>
      <c r="M1600" s="19"/>
      <c r="N1600" s="19"/>
      <c r="O1600" s="19"/>
      <c r="P1600" s="19"/>
      <c r="Q1600" s="19"/>
      <c r="R1600" s="19"/>
      <c r="S1600" s="19"/>
      <c r="T1600" s="19"/>
      <c r="U1600" s="19"/>
      <c r="V1600" s="19"/>
      <c r="W1600" s="19"/>
      <c r="X1600" s="19"/>
      <c r="Y1600" s="19"/>
      <c r="Z1600" s="19"/>
      <c r="AA1600" s="19"/>
      <c r="AB1600" s="19"/>
      <c r="AC1600" s="19"/>
      <c r="AD1600" s="19"/>
      <c r="AE1600" s="19"/>
      <c r="AF1600" s="19"/>
      <c r="AG1600" s="19"/>
      <c r="AH1600" s="19"/>
      <c r="AI1600" s="19"/>
      <c r="AJ1600" s="19"/>
      <c r="FM1600" s="54"/>
    </row>
    <row r="1601" spans="1:169" s="18" customFormat="1">
      <c r="A1601" s="51"/>
      <c r="B1601" s="52"/>
      <c r="C1601" s="52"/>
      <c r="D1601" s="52"/>
      <c r="E1601" s="52"/>
      <c r="F1601" s="52"/>
      <c r="G1601" s="52"/>
      <c r="H1601" s="53"/>
      <c r="I1601" s="52"/>
      <c r="J1601" s="52"/>
      <c r="K1601" s="19"/>
      <c r="L1601" s="19"/>
      <c r="M1601" s="19"/>
      <c r="N1601" s="19"/>
      <c r="O1601" s="19"/>
      <c r="P1601" s="19"/>
      <c r="Q1601" s="19"/>
      <c r="R1601" s="19"/>
      <c r="S1601" s="19"/>
      <c r="T1601" s="19"/>
      <c r="U1601" s="19"/>
      <c r="V1601" s="19"/>
      <c r="W1601" s="19"/>
      <c r="X1601" s="19"/>
      <c r="Y1601" s="19"/>
      <c r="Z1601" s="19"/>
      <c r="AA1601" s="19"/>
      <c r="AB1601" s="19"/>
      <c r="AC1601" s="19"/>
      <c r="AD1601" s="19"/>
      <c r="AE1601" s="19"/>
      <c r="AF1601" s="19"/>
      <c r="AG1601" s="19"/>
      <c r="AH1601" s="19"/>
      <c r="AI1601" s="19"/>
      <c r="AJ1601" s="19"/>
      <c r="FM1601" s="54"/>
    </row>
    <row r="1602" spans="1:169" s="18" customFormat="1">
      <c r="A1602" s="51"/>
      <c r="B1602" s="52"/>
      <c r="C1602" s="52"/>
      <c r="D1602" s="52"/>
      <c r="E1602" s="52"/>
      <c r="F1602" s="52"/>
      <c r="G1602" s="52"/>
      <c r="H1602" s="53"/>
      <c r="I1602" s="52"/>
      <c r="J1602" s="52"/>
      <c r="K1602" s="19"/>
      <c r="L1602" s="19"/>
      <c r="M1602" s="19"/>
      <c r="N1602" s="19"/>
      <c r="O1602" s="19"/>
      <c r="P1602" s="19"/>
      <c r="Q1602" s="19"/>
      <c r="R1602" s="19"/>
      <c r="S1602" s="19"/>
      <c r="T1602" s="19"/>
      <c r="U1602" s="19"/>
      <c r="V1602" s="19"/>
      <c r="W1602" s="19"/>
      <c r="X1602" s="19"/>
      <c r="Y1602" s="19"/>
      <c r="Z1602" s="19"/>
      <c r="AA1602" s="19"/>
      <c r="AB1602" s="19"/>
      <c r="AC1602" s="19"/>
      <c r="AD1602" s="19"/>
      <c r="AE1602" s="19"/>
      <c r="AF1602" s="19"/>
      <c r="AG1602" s="19"/>
      <c r="AH1602" s="19"/>
      <c r="AI1602" s="19"/>
      <c r="AJ1602" s="19"/>
      <c r="FM1602" s="54"/>
    </row>
    <row r="1603" spans="1:169" s="18" customFormat="1">
      <c r="A1603" s="51"/>
      <c r="B1603" s="52"/>
      <c r="C1603" s="52"/>
      <c r="D1603" s="52"/>
      <c r="E1603" s="52"/>
      <c r="F1603" s="52"/>
      <c r="G1603" s="52"/>
      <c r="H1603" s="53"/>
      <c r="I1603" s="52"/>
      <c r="J1603" s="52"/>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c r="AG1603" s="19"/>
      <c r="AH1603" s="19"/>
      <c r="AI1603" s="19"/>
      <c r="AJ1603" s="19"/>
      <c r="FM1603" s="54"/>
    </row>
    <row r="1604" spans="1:169" s="18" customFormat="1">
      <c r="A1604" s="51"/>
      <c r="B1604" s="52"/>
      <c r="C1604" s="52"/>
      <c r="D1604" s="52"/>
      <c r="E1604" s="52"/>
      <c r="F1604" s="52"/>
      <c r="G1604" s="52"/>
      <c r="H1604" s="53"/>
      <c r="I1604" s="52"/>
      <c r="J1604" s="52"/>
      <c r="K1604" s="19"/>
      <c r="L1604" s="19"/>
      <c r="M1604" s="19"/>
      <c r="N1604" s="19"/>
      <c r="O1604" s="19"/>
      <c r="P1604" s="19"/>
      <c r="Q1604" s="19"/>
      <c r="R1604" s="19"/>
      <c r="S1604" s="19"/>
      <c r="T1604" s="19"/>
      <c r="U1604" s="19"/>
      <c r="V1604" s="19"/>
      <c r="W1604" s="19"/>
      <c r="X1604" s="19"/>
      <c r="Y1604" s="19"/>
      <c r="Z1604" s="19"/>
      <c r="AA1604" s="19"/>
      <c r="AB1604" s="19"/>
      <c r="AC1604" s="19"/>
      <c r="AD1604" s="19"/>
      <c r="AE1604" s="19"/>
      <c r="AF1604" s="19"/>
      <c r="AG1604" s="19"/>
      <c r="AH1604" s="19"/>
      <c r="AI1604" s="19"/>
      <c r="AJ1604" s="19"/>
      <c r="FM1604" s="54"/>
    </row>
    <row r="1605" spans="1:169" s="18" customFormat="1">
      <c r="A1605" s="51"/>
      <c r="B1605" s="52"/>
      <c r="C1605" s="52"/>
      <c r="D1605" s="52"/>
      <c r="E1605" s="52"/>
      <c r="F1605" s="52"/>
      <c r="G1605" s="52"/>
      <c r="H1605" s="53"/>
      <c r="I1605" s="52"/>
      <c r="J1605" s="52"/>
      <c r="K1605" s="19"/>
      <c r="L1605" s="19"/>
      <c r="M1605" s="19"/>
      <c r="N1605" s="19"/>
      <c r="O1605" s="19"/>
      <c r="P1605" s="19"/>
      <c r="Q1605" s="19"/>
      <c r="R1605" s="19"/>
      <c r="S1605" s="19"/>
      <c r="T1605" s="19"/>
      <c r="U1605" s="19"/>
      <c r="V1605" s="19"/>
      <c r="W1605" s="19"/>
      <c r="X1605" s="19"/>
      <c r="Y1605" s="19"/>
      <c r="Z1605" s="19"/>
      <c r="AA1605" s="19"/>
      <c r="AB1605" s="19"/>
      <c r="AC1605" s="19"/>
      <c r="AD1605" s="19"/>
      <c r="AE1605" s="19"/>
      <c r="AF1605" s="19"/>
      <c r="AG1605" s="19"/>
      <c r="AH1605" s="19"/>
      <c r="AI1605" s="19"/>
      <c r="AJ1605" s="19"/>
      <c r="FM1605" s="54"/>
    </row>
    <row r="1606" spans="1:169" s="18" customFormat="1">
      <c r="A1606" s="51"/>
      <c r="B1606" s="52"/>
      <c r="C1606" s="52"/>
      <c r="D1606" s="52"/>
      <c r="E1606" s="52"/>
      <c r="F1606" s="52"/>
      <c r="G1606" s="52"/>
      <c r="H1606" s="53"/>
      <c r="I1606" s="52"/>
      <c r="J1606" s="52"/>
      <c r="K1606" s="19"/>
      <c r="L1606" s="19"/>
      <c r="M1606" s="19"/>
      <c r="N1606" s="19"/>
      <c r="O1606" s="19"/>
      <c r="P1606" s="19"/>
      <c r="Q1606" s="19"/>
      <c r="R1606" s="19"/>
      <c r="S1606" s="19"/>
      <c r="T1606" s="19"/>
      <c r="U1606" s="19"/>
      <c r="V1606" s="19"/>
      <c r="W1606" s="19"/>
      <c r="X1606" s="19"/>
      <c r="Y1606" s="19"/>
      <c r="Z1606" s="19"/>
      <c r="AA1606" s="19"/>
      <c r="AB1606" s="19"/>
      <c r="AC1606" s="19"/>
      <c r="AD1606" s="19"/>
      <c r="AE1606" s="19"/>
      <c r="AF1606" s="19"/>
      <c r="AG1606" s="19"/>
      <c r="AH1606" s="19"/>
      <c r="AI1606" s="19"/>
      <c r="AJ1606" s="19"/>
      <c r="FM1606" s="54"/>
    </row>
    <row r="1607" spans="1:169" s="18" customFormat="1">
      <c r="A1607" s="51"/>
      <c r="B1607" s="52"/>
      <c r="C1607" s="52"/>
      <c r="D1607" s="52"/>
      <c r="E1607" s="52"/>
      <c r="F1607" s="52"/>
      <c r="G1607" s="52"/>
      <c r="H1607" s="53"/>
      <c r="I1607" s="52"/>
      <c r="J1607" s="52"/>
      <c r="K1607" s="19"/>
      <c r="L1607" s="19"/>
      <c r="M1607" s="19"/>
      <c r="N1607" s="19"/>
      <c r="O1607" s="19"/>
      <c r="P1607" s="19"/>
      <c r="Q1607" s="19"/>
      <c r="R1607" s="19"/>
      <c r="S1607" s="19"/>
      <c r="T1607" s="19"/>
      <c r="U1607" s="19"/>
      <c r="V1607" s="19"/>
      <c r="W1607" s="19"/>
      <c r="X1607" s="19"/>
      <c r="Y1607" s="19"/>
      <c r="Z1607" s="19"/>
      <c r="AA1607" s="19"/>
      <c r="AB1607" s="19"/>
      <c r="AC1607" s="19"/>
      <c r="AD1607" s="19"/>
      <c r="AE1607" s="19"/>
      <c r="AF1607" s="19"/>
      <c r="AG1607" s="19"/>
      <c r="AH1607" s="19"/>
      <c r="AI1607" s="19"/>
      <c r="AJ1607" s="19"/>
      <c r="FM1607" s="54"/>
    </row>
    <row r="1608" spans="1:169" s="18" customFormat="1">
      <c r="A1608" s="51"/>
      <c r="B1608" s="52"/>
      <c r="C1608" s="52"/>
      <c r="D1608" s="52"/>
      <c r="E1608" s="52"/>
      <c r="F1608" s="52"/>
      <c r="G1608" s="52"/>
      <c r="H1608" s="53"/>
      <c r="I1608" s="52"/>
      <c r="J1608" s="52"/>
      <c r="K1608" s="19"/>
      <c r="L1608" s="19"/>
      <c r="M1608" s="19"/>
      <c r="N1608" s="19"/>
      <c r="O1608" s="19"/>
      <c r="P1608" s="19"/>
      <c r="Q1608" s="19"/>
      <c r="R1608" s="19"/>
      <c r="S1608" s="19"/>
      <c r="T1608" s="19"/>
      <c r="U1608" s="19"/>
      <c r="V1608" s="19"/>
      <c r="W1608" s="19"/>
      <c r="X1608" s="19"/>
      <c r="Y1608" s="19"/>
      <c r="Z1608" s="19"/>
      <c r="AA1608" s="19"/>
      <c r="AB1608" s="19"/>
      <c r="AC1608" s="19"/>
      <c r="AD1608" s="19"/>
      <c r="AE1608" s="19"/>
      <c r="AF1608" s="19"/>
      <c r="AG1608" s="19"/>
      <c r="AH1608" s="19"/>
      <c r="AI1608" s="19"/>
      <c r="AJ1608" s="19"/>
      <c r="FM1608" s="54"/>
    </row>
    <row r="1609" spans="1:169" s="18" customFormat="1">
      <c r="A1609" s="51"/>
      <c r="B1609" s="52"/>
      <c r="C1609" s="52"/>
      <c r="D1609" s="52"/>
      <c r="E1609" s="52"/>
      <c r="F1609" s="52"/>
      <c r="G1609" s="52"/>
      <c r="H1609" s="53"/>
      <c r="I1609" s="52"/>
      <c r="J1609" s="52"/>
      <c r="K1609" s="19"/>
      <c r="L1609" s="19"/>
      <c r="M1609" s="19"/>
      <c r="N1609" s="19"/>
      <c r="O1609" s="19"/>
      <c r="P1609" s="19"/>
      <c r="Q1609" s="19"/>
      <c r="R1609" s="19"/>
      <c r="S1609" s="19"/>
      <c r="T1609" s="19"/>
      <c r="U1609" s="19"/>
      <c r="V1609" s="19"/>
      <c r="W1609" s="19"/>
      <c r="X1609" s="19"/>
      <c r="Y1609" s="19"/>
      <c r="Z1609" s="19"/>
      <c r="AA1609" s="19"/>
      <c r="AB1609" s="19"/>
      <c r="AC1609" s="19"/>
      <c r="AD1609" s="19"/>
      <c r="AE1609" s="19"/>
      <c r="AF1609" s="19"/>
      <c r="AG1609" s="19"/>
      <c r="AH1609" s="19"/>
      <c r="AI1609" s="19"/>
      <c r="AJ1609" s="19"/>
      <c r="FM1609" s="54"/>
    </row>
    <row r="1610" spans="1:169" s="18" customFormat="1">
      <c r="A1610" s="51"/>
      <c r="B1610" s="52"/>
      <c r="C1610" s="52"/>
      <c r="D1610" s="52"/>
      <c r="E1610" s="52"/>
      <c r="F1610" s="52"/>
      <c r="G1610" s="52"/>
      <c r="H1610" s="53"/>
      <c r="I1610" s="52"/>
      <c r="J1610" s="52"/>
      <c r="K1610" s="19"/>
      <c r="L1610" s="19"/>
      <c r="M1610" s="19"/>
      <c r="N1610" s="19"/>
      <c r="O1610" s="19"/>
      <c r="P1610" s="19"/>
      <c r="Q1610" s="19"/>
      <c r="R1610" s="19"/>
      <c r="S1610" s="19"/>
      <c r="T1610" s="19"/>
      <c r="U1610" s="19"/>
      <c r="V1610" s="19"/>
      <c r="W1610" s="19"/>
      <c r="X1610" s="19"/>
      <c r="Y1610" s="19"/>
      <c r="Z1610" s="19"/>
      <c r="AA1610" s="19"/>
      <c r="AB1610" s="19"/>
      <c r="AC1610" s="19"/>
      <c r="AD1610" s="19"/>
      <c r="AE1610" s="19"/>
      <c r="AF1610" s="19"/>
      <c r="AG1610" s="19"/>
      <c r="AH1610" s="19"/>
      <c r="AI1610" s="19"/>
      <c r="AJ1610" s="19"/>
      <c r="FM1610" s="54"/>
    </row>
    <row r="1611" spans="1:169" s="18" customFormat="1">
      <c r="A1611" s="51"/>
      <c r="B1611" s="52"/>
      <c r="C1611" s="52"/>
      <c r="D1611" s="52"/>
      <c r="E1611" s="52"/>
      <c r="F1611" s="52"/>
      <c r="G1611" s="52"/>
      <c r="H1611" s="53"/>
      <c r="I1611" s="52"/>
      <c r="J1611" s="52"/>
      <c r="K1611" s="19"/>
      <c r="L1611" s="19"/>
      <c r="M1611" s="19"/>
      <c r="N1611" s="19"/>
      <c r="O1611" s="19"/>
      <c r="P1611" s="19"/>
      <c r="Q1611" s="19"/>
      <c r="R1611" s="19"/>
      <c r="S1611" s="19"/>
      <c r="T1611" s="19"/>
      <c r="U1611" s="19"/>
      <c r="V1611" s="19"/>
      <c r="W1611" s="19"/>
      <c r="X1611" s="19"/>
      <c r="Y1611" s="19"/>
      <c r="Z1611" s="19"/>
      <c r="AA1611" s="19"/>
      <c r="AB1611" s="19"/>
      <c r="AC1611" s="19"/>
      <c r="AD1611" s="19"/>
      <c r="AE1611" s="19"/>
      <c r="AF1611" s="19"/>
      <c r="AG1611" s="19"/>
      <c r="AH1611" s="19"/>
      <c r="AI1611" s="19"/>
      <c r="AJ1611" s="19"/>
      <c r="FM1611" s="54"/>
    </row>
    <row r="1612" spans="1:169" s="18" customFormat="1">
      <c r="A1612" s="51"/>
      <c r="B1612" s="52"/>
      <c r="C1612" s="52"/>
      <c r="D1612" s="52"/>
      <c r="E1612" s="52"/>
      <c r="F1612" s="52"/>
      <c r="G1612" s="52"/>
      <c r="H1612" s="53"/>
      <c r="I1612" s="52"/>
      <c r="J1612" s="52"/>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c r="AG1612" s="19"/>
      <c r="AH1612" s="19"/>
      <c r="AI1612" s="19"/>
      <c r="AJ1612" s="19"/>
      <c r="FM1612" s="54"/>
    </row>
    <row r="1613" spans="1:169" s="18" customFormat="1">
      <c r="A1613" s="51"/>
      <c r="B1613" s="52"/>
      <c r="C1613" s="52"/>
      <c r="D1613" s="52"/>
      <c r="E1613" s="52"/>
      <c r="F1613" s="52"/>
      <c r="G1613" s="52"/>
      <c r="H1613" s="53"/>
      <c r="I1613" s="52"/>
      <c r="J1613" s="52"/>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c r="AG1613" s="19"/>
      <c r="AH1613" s="19"/>
      <c r="AI1613" s="19"/>
      <c r="AJ1613" s="19"/>
      <c r="FM1613" s="54"/>
    </row>
    <row r="1614" spans="1:169" s="18" customFormat="1">
      <c r="A1614" s="51"/>
      <c r="B1614" s="52"/>
      <c r="C1614" s="52"/>
      <c r="D1614" s="52"/>
      <c r="E1614" s="52"/>
      <c r="F1614" s="52"/>
      <c r="G1614" s="52"/>
      <c r="H1614" s="53"/>
      <c r="I1614" s="52"/>
      <c r="J1614" s="52"/>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c r="AG1614" s="19"/>
      <c r="AH1614" s="19"/>
      <c r="AI1614" s="19"/>
      <c r="AJ1614" s="19"/>
      <c r="FM1614" s="54"/>
    </row>
    <row r="1615" spans="1:169" s="18" customFormat="1">
      <c r="A1615" s="51"/>
      <c r="B1615" s="52"/>
      <c r="C1615" s="52"/>
      <c r="D1615" s="52"/>
      <c r="E1615" s="52"/>
      <c r="F1615" s="52"/>
      <c r="G1615" s="52"/>
      <c r="H1615" s="53"/>
      <c r="I1615" s="52"/>
      <c r="J1615" s="52"/>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c r="AG1615" s="19"/>
      <c r="AH1615" s="19"/>
      <c r="AI1615" s="19"/>
      <c r="AJ1615" s="19"/>
      <c r="FM1615" s="54"/>
    </row>
    <row r="1616" spans="1:169" s="18" customFormat="1">
      <c r="A1616" s="51"/>
      <c r="B1616" s="52"/>
      <c r="C1616" s="52"/>
      <c r="D1616" s="52"/>
      <c r="E1616" s="52"/>
      <c r="F1616" s="52"/>
      <c r="G1616" s="52"/>
      <c r="H1616" s="53"/>
      <c r="I1616" s="52"/>
      <c r="J1616" s="52"/>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c r="AG1616" s="19"/>
      <c r="AH1616" s="19"/>
      <c r="AI1616" s="19"/>
      <c r="AJ1616" s="19"/>
      <c r="FM1616" s="54"/>
    </row>
    <row r="1617" spans="1:169" s="18" customFormat="1">
      <c r="A1617" s="51"/>
      <c r="B1617" s="52"/>
      <c r="C1617" s="52"/>
      <c r="D1617" s="52"/>
      <c r="E1617" s="52"/>
      <c r="F1617" s="52"/>
      <c r="G1617" s="52"/>
      <c r="H1617" s="53"/>
      <c r="I1617" s="52"/>
      <c r="J1617" s="52"/>
      <c r="K1617" s="19"/>
      <c r="L1617" s="19"/>
      <c r="M1617" s="19"/>
      <c r="N1617" s="19"/>
      <c r="O1617" s="19"/>
      <c r="P1617" s="19"/>
      <c r="Q1617" s="19"/>
      <c r="R1617" s="19"/>
      <c r="S1617" s="19"/>
      <c r="T1617" s="19"/>
      <c r="U1617" s="19"/>
      <c r="V1617" s="19"/>
      <c r="W1617" s="19"/>
      <c r="X1617" s="19"/>
      <c r="Y1617" s="19"/>
      <c r="Z1617" s="19"/>
      <c r="AA1617" s="19"/>
      <c r="AB1617" s="19"/>
      <c r="AC1617" s="19"/>
      <c r="AD1617" s="19"/>
      <c r="AE1617" s="19"/>
      <c r="AF1617" s="19"/>
      <c r="AG1617" s="19"/>
      <c r="AH1617" s="19"/>
      <c r="AI1617" s="19"/>
      <c r="AJ1617" s="19"/>
      <c r="FM1617" s="54"/>
    </row>
    <row r="1618" spans="1:169" s="18" customFormat="1">
      <c r="A1618" s="51"/>
      <c r="B1618" s="52"/>
      <c r="C1618" s="52"/>
      <c r="D1618" s="52"/>
      <c r="E1618" s="52"/>
      <c r="F1618" s="52"/>
      <c r="G1618" s="52"/>
      <c r="H1618" s="53"/>
      <c r="I1618" s="52"/>
      <c r="J1618" s="52"/>
      <c r="K1618" s="19"/>
      <c r="L1618" s="19"/>
      <c r="M1618" s="19"/>
      <c r="N1618" s="19"/>
      <c r="O1618" s="19"/>
      <c r="P1618" s="19"/>
      <c r="Q1618" s="19"/>
      <c r="R1618" s="19"/>
      <c r="S1618" s="19"/>
      <c r="T1618" s="19"/>
      <c r="U1618" s="19"/>
      <c r="V1618" s="19"/>
      <c r="W1618" s="19"/>
      <c r="X1618" s="19"/>
      <c r="Y1618" s="19"/>
      <c r="Z1618" s="19"/>
      <c r="AA1618" s="19"/>
      <c r="AB1618" s="19"/>
      <c r="AC1618" s="19"/>
      <c r="AD1618" s="19"/>
      <c r="AE1618" s="19"/>
      <c r="AF1618" s="19"/>
      <c r="AG1618" s="19"/>
      <c r="AH1618" s="19"/>
      <c r="AI1618" s="19"/>
      <c r="AJ1618" s="19"/>
      <c r="FM1618" s="54"/>
    </row>
    <row r="1619" spans="1:169" s="18" customFormat="1">
      <c r="A1619" s="51"/>
      <c r="B1619" s="52"/>
      <c r="C1619" s="52"/>
      <c r="D1619" s="52"/>
      <c r="E1619" s="52"/>
      <c r="F1619" s="52"/>
      <c r="G1619" s="52"/>
      <c r="H1619" s="53"/>
      <c r="I1619" s="52"/>
      <c r="J1619" s="52"/>
      <c r="K1619" s="19"/>
      <c r="L1619" s="19"/>
      <c r="M1619" s="19"/>
      <c r="N1619" s="19"/>
      <c r="O1619" s="19"/>
      <c r="P1619" s="19"/>
      <c r="Q1619" s="19"/>
      <c r="R1619" s="19"/>
      <c r="S1619" s="19"/>
      <c r="T1619" s="19"/>
      <c r="U1619" s="19"/>
      <c r="V1619" s="19"/>
      <c r="W1619" s="19"/>
      <c r="X1619" s="19"/>
      <c r="Y1619" s="19"/>
      <c r="Z1619" s="19"/>
      <c r="AA1619" s="19"/>
      <c r="AB1619" s="19"/>
      <c r="AC1619" s="19"/>
      <c r="AD1619" s="19"/>
      <c r="AE1619" s="19"/>
      <c r="AF1619" s="19"/>
      <c r="AG1619" s="19"/>
      <c r="AH1619" s="19"/>
      <c r="AI1619" s="19"/>
      <c r="AJ1619" s="19"/>
      <c r="FM1619" s="54"/>
    </row>
    <row r="1620" spans="1:169" s="18" customFormat="1">
      <c r="A1620" s="51"/>
      <c r="B1620" s="52"/>
      <c r="C1620" s="52"/>
      <c r="D1620" s="52"/>
      <c r="E1620" s="52"/>
      <c r="F1620" s="52"/>
      <c r="G1620" s="52"/>
      <c r="H1620" s="53"/>
      <c r="I1620" s="52"/>
      <c r="J1620" s="52"/>
      <c r="K1620" s="19"/>
      <c r="L1620" s="19"/>
      <c r="M1620" s="19"/>
      <c r="N1620" s="19"/>
      <c r="O1620" s="19"/>
      <c r="P1620" s="19"/>
      <c r="Q1620" s="19"/>
      <c r="R1620" s="19"/>
      <c r="S1620" s="19"/>
      <c r="T1620" s="19"/>
      <c r="U1620" s="19"/>
      <c r="V1620" s="19"/>
      <c r="W1620" s="19"/>
      <c r="X1620" s="19"/>
      <c r="Y1620" s="19"/>
      <c r="Z1620" s="19"/>
      <c r="AA1620" s="19"/>
      <c r="AB1620" s="19"/>
      <c r="AC1620" s="19"/>
      <c r="AD1620" s="19"/>
      <c r="AE1620" s="19"/>
      <c r="AF1620" s="19"/>
      <c r="AG1620" s="19"/>
      <c r="AH1620" s="19"/>
      <c r="AI1620" s="19"/>
      <c r="AJ1620" s="19"/>
      <c r="FM1620" s="54"/>
    </row>
    <row r="1621" spans="1:169" s="18" customFormat="1">
      <c r="A1621" s="51"/>
      <c r="B1621" s="52"/>
      <c r="C1621" s="52"/>
      <c r="D1621" s="52"/>
      <c r="E1621" s="52"/>
      <c r="F1621" s="52"/>
      <c r="G1621" s="52"/>
      <c r="H1621" s="53"/>
      <c r="I1621" s="52"/>
      <c r="J1621" s="52"/>
      <c r="K1621" s="19"/>
      <c r="L1621" s="19"/>
      <c r="M1621" s="19"/>
      <c r="N1621" s="19"/>
      <c r="O1621" s="19"/>
      <c r="P1621" s="19"/>
      <c r="Q1621" s="19"/>
      <c r="R1621" s="19"/>
      <c r="S1621" s="19"/>
      <c r="T1621" s="19"/>
      <c r="U1621" s="19"/>
      <c r="V1621" s="19"/>
      <c r="W1621" s="19"/>
      <c r="X1621" s="19"/>
      <c r="Y1621" s="19"/>
      <c r="Z1621" s="19"/>
      <c r="AA1621" s="19"/>
      <c r="AB1621" s="19"/>
      <c r="AC1621" s="19"/>
      <c r="AD1621" s="19"/>
      <c r="AE1621" s="19"/>
      <c r="AF1621" s="19"/>
      <c r="AG1621" s="19"/>
      <c r="AH1621" s="19"/>
      <c r="AI1621" s="19"/>
      <c r="AJ1621" s="19"/>
      <c r="FM1621" s="54"/>
    </row>
    <row r="1622" spans="1:169" s="18" customFormat="1">
      <c r="A1622" s="51"/>
      <c r="B1622" s="52"/>
      <c r="C1622" s="52"/>
      <c r="D1622" s="52"/>
      <c r="E1622" s="52"/>
      <c r="F1622" s="52"/>
      <c r="G1622" s="52"/>
      <c r="H1622" s="53"/>
      <c r="I1622" s="52"/>
      <c r="J1622" s="52"/>
      <c r="K1622" s="19"/>
      <c r="L1622" s="19"/>
      <c r="M1622" s="19"/>
      <c r="N1622" s="19"/>
      <c r="O1622" s="19"/>
      <c r="P1622" s="19"/>
      <c r="Q1622" s="19"/>
      <c r="R1622" s="19"/>
      <c r="S1622" s="19"/>
      <c r="T1622" s="19"/>
      <c r="U1622" s="19"/>
      <c r="V1622" s="19"/>
      <c r="W1622" s="19"/>
      <c r="X1622" s="19"/>
      <c r="Y1622" s="19"/>
      <c r="Z1622" s="19"/>
      <c r="AA1622" s="19"/>
      <c r="AB1622" s="19"/>
      <c r="AC1622" s="19"/>
      <c r="AD1622" s="19"/>
      <c r="AE1622" s="19"/>
      <c r="AF1622" s="19"/>
      <c r="AG1622" s="19"/>
      <c r="AH1622" s="19"/>
      <c r="AI1622" s="19"/>
      <c r="AJ1622" s="19"/>
      <c r="FM1622" s="54"/>
    </row>
    <row r="1623" spans="1:169" s="18" customFormat="1">
      <c r="A1623" s="51"/>
      <c r="B1623" s="52"/>
      <c r="C1623" s="52"/>
      <c r="D1623" s="52"/>
      <c r="E1623" s="52"/>
      <c r="F1623" s="52"/>
      <c r="G1623" s="52"/>
      <c r="H1623" s="53"/>
      <c r="I1623" s="52"/>
      <c r="J1623" s="52"/>
      <c r="K1623" s="19"/>
      <c r="L1623" s="19"/>
      <c r="M1623" s="19"/>
      <c r="N1623" s="19"/>
      <c r="O1623" s="19"/>
      <c r="P1623" s="19"/>
      <c r="Q1623" s="19"/>
      <c r="R1623" s="19"/>
      <c r="S1623" s="19"/>
      <c r="T1623" s="19"/>
      <c r="U1623" s="19"/>
      <c r="V1623" s="19"/>
      <c r="W1623" s="19"/>
      <c r="X1623" s="19"/>
      <c r="Y1623" s="19"/>
      <c r="Z1623" s="19"/>
      <c r="AA1623" s="19"/>
      <c r="AB1623" s="19"/>
      <c r="AC1623" s="19"/>
      <c r="AD1623" s="19"/>
      <c r="AE1623" s="19"/>
      <c r="AF1623" s="19"/>
      <c r="AG1623" s="19"/>
      <c r="AH1623" s="19"/>
      <c r="AI1623" s="19"/>
      <c r="AJ1623" s="19"/>
      <c r="FM1623" s="54"/>
    </row>
    <row r="1624" spans="1:169" s="18" customFormat="1">
      <c r="A1624" s="51"/>
      <c r="B1624" s="52"/>
      <c r="C1624" s="52"/>
      <c r="D1624" s="52"/>
      <c r="E1624" s="52"/>
      <c r="F1624" s="52"/>
      <c r="G1624" s="52"/>
      <c r="H1624" s="53"/>
      <c r="I1624" s="52"/>
      <c r="J1624" s="52"/>
      <c r="K1624" s="19"/>
      <c r="L1624" s="19"/>
      <c r="M1624" s="19"/>
      <c r="N1624" s="19"/>
      <c r="O1624" s="19"/>
      <c r="P1624" s="19"/>
      <c r="Q1624" s="19"/>
      <c r="R1624" s="19"/>
      <c r="S1624" s="19"/>
      <c r="T1624" s="19"/>
      <c r="U1624" s="19"/>
      <c r="V1624" s="19"/>
      <c r="W1624" s="19"/>
      <c r="X1624" s="19"/>
      <c r="Y1624" s="19"/>
      <c r="Z1624" s="19"/>
      <c r="AA1624" s="19"/>
      <c r="AB1624" s="19"/>
      <c r="AC1624" s="19"/>
      <c r="AD1624" s="19"/>
      <c r="AE1624" s="19"/>
      <c r="AF1624" s="19"/>
      <c r="AG1624" s="19"/>
      <c r="AH1624" s="19"/>
      <c r="AI1624" s="19"/>
      <c r="AJ1624" s="19"/>
      <c r="FM1624" s="54"/>
    </row>
    <row r="1625" spans="1:169" s="18" customFormat="1">
      <c r="A1625" s="51"/>
      <c r="B1625" s="52"/>
      <c r="C1625" s="52"/>
      <c r="D1625" s="52"/>
      <c r="E1625" s="52"/>
      <c r="F1625" s="52"/>
      <c r="G1625" s="52"/>
      <c r="H1625" s="53"/>
      <c r="I1625" s="52"/>
      <c r="J1625" s="52"/>
      <c r="K1625" s="19"/>
      <c r="L1625" s="19"/>
      <c r="M1625" s="19"/>
      <c r="N1625" s="19"/>
      <c r="O1625" s="19"/>
      <c r="P1625" s="19"/>
      <c r="Q1625" s="19"/>
      <c r="R1625" s="19"/>
      <c r="S1625" s="19"/>
      <c r="T1625" s="19"/>
      <c r="U1625" s="19"/>
      <c r="V1625" s="19"/>
      <c r="W1625" s="19"/>
      <c r="X1625" s="19"/>
      <c r="Y1625" s="19"/>
      <c r="Z1625" s="19"/>
      <c r="AA1625" s="19"/>
      <c r="AB1625" s="19"/>
      <c r="AC1625" s="19"/>
      <c r="AD1625" s="19"/>
      <c r="AE1625" s="19"/>
      <c r="AF1625" s="19"/>
      <c r="AG1625" s="19"/>
      <c r="AH1625" s="19"/>
      <c r="AI1625" s="19"/>
      <c r="AJ1625" s="19"/>
      <c r="FM1625" s="54"/>
    </row>
    <row r="1626" spans="1:169" s="18" customFormat="1">
      <c r="A1626" s="51"/>
      <c r="B1626" s="52"/>
      <c r="C1626" s="52"/>
      <c r="D1626" s="52"/>
      <c r="E1626" s="52"/>
      <c r="F1626" s="52"/>
      <c r="G1626" s="52"/>
      <c r="H1626" s="53"/>
      <c r="I1626" s="52"/>
      <c r="J1626" s="52"/>
      <c r="K1626" s="19"/>
      <c r="L1626" s="19"/>
      <c r="M1626" s="19"/>
      <c r="N1626" s="19"/>
      <c r="O1626" s="19"/>
      <c r="P1626" s="19"/>
      <c r="Q1626" s="19"/>
      <c r="R1626" s="19"/>
      <c r="S1626" s="19"/>
      <c r="T1626" s="19"/>
      <c r="U1626" s="19"/>
      <c r="V1626" s="19"/>
      <c r="W1626" s="19"/>
      <c r="X1626" s="19"/>
      <c r="Y1626" s="19"/>
      <c r="Z1626" s="19"/>
      <c r="AA1626" s="19"/>
      <c r="AB1626" s="19"/>
      <c r="AC1626" s="19"/>
      <c r="AD1626" s="19"/>
      <c r="AE1626" s="19"/>
      <c r="AF1626" s="19"/>
      <c r="AG1626" s="19"/>
      <c r="AH1626" s="19"/>
      <c r="AI1626" s="19"/>
      <c r="AJ1626" s="19"/>
      <c r="FM1626" s="54"/>
    </row>
    <row r="1627" spans="1:169" s="18" customFormat="1">
      <c r="A1627" s="51"/>
      <c r="B1627" s="52"/>
      <c r="C1627" s="52"/>
      <c r="D1627" s="52"/>
      <c r="E1627" s="52"/>
      <c r="F1627" s="52"/>
      <c r="G1627" s="52"/>
      <c r="H1627" s="53"/>
      <c r="I1627" s="52"/>
      <c r="J1627" s="52"/>
      <c r="K1627" s="19"/>
      <c r="L1627" s="19"/>
      <c r="M1627" s="19"/>
      <c r="N1627" s="19"/>
      <c r="O1627" s="19"/>
      <c r="P1627" s="19"/>
      <c r="Q1627" s="19"/>
      <c r="R1627" s="19"/>
      <c r="S1627" s="19"/>
      <c r="T1627" s="19"/>
      <c r="U1627" s="19"/>
      <c r="V1627" s="19"/>
      <c r="W1627" s="19"/>
      <c r="X1627" s="19"/>
      <c r="Y1627" s="19"/>
      <c r="Z1627" s="19"/>
      <c r="AA1627" s="19"/>
      <c r="AB1627" s="19"/>
      <c r="AC1627" s="19"/>
      <c r="AD1627" s="19"/>
      <c r="AE1627" s="19"/>
      <c r="AF1627" s="19"/>
      <c r="AG1627" s="19"/>
      <c r="AH1627" s="19"/>
      <c r="AI1627" s="19"/>
      <c r="AJ1627" s="19"/>
      <c r="FM1627" s="54"/>
    </row>
    <row r="1628" spans="1:169" s="18" customFormat="1">
      <c r="A1628" s="51"/>
      <c r="B1628" s="52"/>
      <c r="C1628" s="52"/>
      <c r="D1628" s="52"/>
      <c r="E1628" s="52"/>
      <c r="F1628" s="52"/>
      <c r="G1628" s="52"/>
      <c r="H1628" s="53"/>
      <c r="I1628" s="52"/>
      <c r="J1628" s="52"/>
      <c r="K1628" s="19"/>
      <c r="L1628" s="19"/>
      <c r="M1628" s="19"/>
      <c r="N1628" s="19"/>
      <c r="O1628" s="19"/>
      <c r="P1628" s="19"/>
      <c r="Q1628" s="19"/>
      <c r="R1628" s="19"/>
      <c r="S1628" s="19"/>
      <c r="T1628" s="19"/>
      <c r="U1628" s="19"/>
      <c r="V1628" s="19"/>
      <c r="W1628" s="19"/>
      <c r="X1628" s="19"/>
      <c r="Y1628" s="19"/>
      <c r="Z1628" s="19"/>
      <c r="AA1628" s="19"/>
      <c r="AB1628" s="19"/>
      <c r="AC1628" s="19"/>
      <c r="AD1628" s="19"/>
      <c r="AE1628" s="19"/>
      <c r="AF1628" s="19"/>
      <c r="AG1628" s="19"/>
      <c r="AH1628" s="19"/>
      <c r="AI1628" s="19"/>
      <c r="AJ1628" s="19"/>
      <c r="FM1628" s="54"/>
    </row>
    <row r="1629" spans="1:169" s="18" customFormat="1">
      <c r="A1629" s="51"/>
      <c r="B1629" s="52"/>
      <c r="C1629" s="52"/>
      <c r="D1629" s="52"/>
      <c r="E1629" s="52"/>
      <c r="F1629" s="52"/>
      <c r="G1629" s="52"/>
      <c r="H1629" s="53"/>
      <c r="I1629" s="52"/>
      <c r="J1629" s="52"/>
      <c r="K1629" s="19"/>
      <c r="L1629" s="19"/>
      <c r="M1629" s="19"/>
      <c r="N1629" s="19"/>
      <c r="O1629" s="19"/>
      <c r="P1629" s="19"/>
      <c r="Q1629" s="19"/>
      <c r="R1629" s="19"/>
      <c r="S1629" s="19"/>
      <c r="T1629" s="19"/>
      <c r="U1629" s="19"/>
      <c r="V1629" s="19"/>
      <c r="W1629" s="19"/>
      <c r="X1629" s="19"/>
      <c r="Y1629" s="19"/>
      <c r="Z1629" s="19"/>
      <c r="AA1629" s="19"/>
      <c r="AB1629" s="19"/>
      <c r="AC1629" s="19"/>
      <c r="AD1629" s="19"/>
      <c r="AE1629" s="19"/>
      <c r="AF1629" s="19"/>
      <c r="AG1629" s="19"/>
      <c r="AH1629" s="19"/>
      <c r="AI1629" s="19"/>
      <c r="AJ1629" s="19"/>
      <c r="FM1629" s="54"/>
    </row>
    <row r="1630" spans="1:169" s="18" customFormat="1">
      <c r="A1630" s="51"/>
      <c r="B1630" s="52"/>
      <c r="C1630" s="52"/>
      <c r="D1630" s="52"/>
      <c r="E1630" s="52"/>
      <c r="F1630" s="52"/>
      <c r="G1630" s="52"/>
      <c r="H1630" s="53"/>
      <c r="I1630" s="52"/>
      <c r="J1630" s="52"/>
      <c r="K1630" s="19"/>
      <c r="L1630" s="19"/>
      <c r="M1630" s="19"/>
      <c r="N1630" s="19"/>
      <c r="O1630" s="19"/>
      <c r="P1630" s="19"/>
      <c r="Q1630" s="19"/>
      <c r="R1630" s="19"/>
      <c r="S1630" s="19"/>
      <c r="T1630" s="19"/>
      <c r="U1630" s="19"/>
      <c r="V1630" s="19"/>
      <c r="W1630" s="19"/>
      <c r="X1630" s="19"/>
      <c r="Y1630" s="19"/>
      <c r="Z1630" s="19"/>
      <c r="AA1630" s="19"/>
      <c r="AB1630" s="19"/>
      <c r="AC1630" s="19"/>
      <c r="AD1630" s="19"/>
      <c r="AE1630" s="19"/>
      <c r="AF1630" s="19"/>
      <c r="AG1630" s="19"/>
      <c r="AH1630" s="19"/>
      <c r="AI1630" s="19"/>
      <c r="AJ1630" s="19"/>
      <c r="FM1630" s="54"/>
    </row>
    <row r="1631" spans="1:169" s="18" customFormat="1">
      <c r="A1631" s="51"/>
      <c r="B1631" s="52"/>
      <c r="C1631" s="52"/>
      <c r="D1631" s="52"/>
      <c r="E1631" s="52"/>
      <c r="F1631" s="52"/>
      <c r="G1631" s="52"/>
      <c r="H1631" s="53"/>
      <c r="I1631" s="52"/>
      <c r="J1631" s="52"/>
      <c r="K1631" s="19"/>
      <c r="L1631" s="19"/>
      <c r="M1631" s="19"/>
      <c r="N1631" s="19"/>
      <c r="O1631" s="19"/>
      <c r="P1631" s="19"/>
      <c r="Q1631" s="19"/>
      <c r="R1631" s="19"/>
      <c r="S1631" s="19"/>
      <c r="T1631" s="19"/>
      <c r="U1631" s="19"/>
      <c r="V1631" s="19"/>
      <c r="W1631" s="19"/>
      <c r="X1631" s="19"/>
      <c r="Y1631" s="19"/>
      <c r="Z1631" s="19"/>
      <c r="AA1631" s="19"/>
      <c r="AB1631" s="19"/>
      <c r="AC1631" s="19"/>
      <c r="AD1631" s="19"/>
      <c r="AE1631" s="19"/>
      <c r="AF1631" s="19"/>
      <c r="AG1631" s="19"/>
      <c r="AH1631" s="19"/>
      <c r="AI1631" s="19"/>
      <c r="AJ1631" s="19"/>
      <c r="FM1631" s="54"/>
    </row>
    <row r="1632" spans="1:169" s="18" customFormat="1">
      <c r="A1632" s="51"/>
      <c r="B1632" s="52"/>
      <c r="C1632" s="52"/>
      <c r="D1632" s="52"/>
      <c r="E1632" s="52"/>
      <c r="F1632" s="52"/>
      <c r="G1632" s="52"/>
      <c r="H1632" s="53"/>
      <c r="I1632" s="52"/>
      <c r="J1632" s="52"/>
      <c r="K1632" s="19"/>
      <c r="L1632" s="19"/>
      <c r="M1632" s="19"/>
      <c r="N1632" s="19"/>
      <c r="O1632" s="19"/>
      <c r="P1632" s="19"/>
      <c r="Q1632" s="19"/>
      <c r="R1632" s="19"/>
      <c r="S1632" s="19"/>
      <c r="T1632" s="19"/>
      <c r="U1632" s="19"/>
      <c r="V1632" s="19"/>
      <c r="W1632" s="19"/>
      <c r="X1632" s="19"/>
      <c r="Y1632" s="19"/>
      <c r="Z1632" s="19"/>
      <c r="AA1632" s="19"/>
      <c r="AB1632" s="19"/>
      <c r="AC1632" s="19"/>
      <c r="AD1632" s="19"/>
      <c r="AE1632" s="19"/>
      <c r="AF1632" s="19"/>
      <c r="AG1632" s="19"/>
      <c r="AH1632" s="19"/>
      <c r="AI1632" s="19"/>
      <c r="AJ1632" s="19"/>
      <c r="FM1632" s="54"/>
    </row>
    <row r="1633" spans="1:169" s="18" customFormat="1">
      <c r="A1633" s="51"/>
      <c r="B1633" s="52"/>
      <c r="C1633" s="52"/>
      <c r="D1633" s="52"/>
      <c r="E1633" s="52"/>
      <c r="F1633" s="52"/>
      <c r="G1633" s="52"/>
      <c r="H1633" s="53"/>
      <c r="I1633" s="52"/>
      <c r="J1633" s="52"/>
      <c r="K1633" s="19"/>
      <c r="L1633" s="19"/>
      <c r="M1633" s="19"/>
      <c r="N1633" s="19"/>
      <c r="O1633" s="19"/>
      <c r="P1633" s="19"/>
      <c r="Q1633" s="19"/>
      <c r="R1633" s="19"/>
      <c r="S1633" s="19"/>
      <c r="T1633" s="19"/>
      <c r="U1633" s="19"/>
      <c r="V1633" s="19"/>
      <c r="W1633" s="19"/>
      <c r="X1633" s="19"/>
      <c r="Y1633" s="19"/>
      <c r="Z1633" s="19"/>
      <c r="AA1633" s="19"/>
      <c r="AB1633" s="19"/>
      <c r="AC1633" s="19"/>
      <c r="AD1633" s="19"/>
      <c r="AE1633" s="19"/>
      <c r="AF1633" s="19"/>
      <c r="AG1633" s="19"/>
      <c r="AH1633" s="19"/>
      <c r="AI1633" s="19"/>
      <c r="AJ1633" s="19"/>
      <c r="FM1633" s="54"/>
    </row>
    <row r="1634" spans="1:169" s="18" customFormat="1">
      <c r="A1634" s="51"/>
      <c r="B1634" s="52"/>
      <c r="C1634" s="52"/>
      <c r="D1634" s="52"/>
      <c r="E1634" s="52"/>
      <c r="F1634" s="52"/>
      <c r="G1634" s="52"/>
      <c r="H1634" s="53"/>
      <c r="I1634" s="52"/>
      <c r="J1634" s="52"/>
      <c r="K1634" s="19"/>
      <c r="L1634" s="19"/>
      <c r="M1634" s="19"/>
      <c r="N1634" s="19"/>
      <c r="O1634" s="19"/>
      <c r="P1634" s="19"/>
      <c r="Q1634" s="19"/>
      <c r="R1634" s="19"/>
      <c r="S1634" s="19"/>
      <c r="T1634" s="19"/>
      <c r="U1634" s="19"/>
      <c r="V1634" s="19"/>
      <c r="W1634" s="19"/>
      <c r="X1634" s="19"/>
      <c r="Y1634" s="19"/>
      <c r="Z1634" s="19"/>
      <c r="AA1634" s="19"/>
      <c r="AB1634" s="19"/>
      <c r="AC1634" s="19"/>
      <c r="AD1634" s="19"/>
      <c r="AE1634" s="19"/>
      <c r="AF1634" s="19"/>
      <c r="AG1634" s="19"/>
      <c r="AH1634" s="19"/>
      <c r="AI1634" s="19"/>
      <c r="AJ1634" s="19"/>
      <c r="FM1634" s="54"/>
    </row>
    <row r="1635" spans="1:169" s="18" customFormat="1">
      <c r="A1635" s="51"/>
      <c r="B1635" s="52"/>
      <c r="C1635" s="52"/>
      <c r="D1635" s="52"/>
      <c r="E1635" s="52"/>
      <c r="F1635" s="52"/>
      <c r="G1635" s="52"/>
      <c r="H1635" s="53"/>
      <c r="I1635" s="52"/>
      <c r="J1635" s="52"/>
      <c r="K1635" s="19"/>
      <c r="L1635" s="19"/>
      <c r="M1635" s="19"/>
      <c r="N1635" s="19"/>
      <c r="O1635" s="19"/>
      <c r="P1635" s="19"/>
      <c r="Q1635" s="19"/>
      <c r="R1635" s="19"/>
      <c r="S1635" s="19"/>
      <c r="T1635" s="19"/>
      <c r="U1635" s="19"/>
      <c r="V1635" s="19"/>
      <c r="W1635" s="19"/>
      <c r="X1635" s="19"/>
      <c r="Y1635" s="19"/>
      <c r="Z1635" s="19"/>
      <c r="AA1635" s="19"/>
      <c r="AB1635" s="19"/>
      <c r="AC1635" s="19"/>
      <c r="AD1635" s="19"/>
      <c r="AE1635" s="19"/>
      <c r="AF1635" s="19"/>
      <c r="AG1635" s="19"/>
      <c r="AH1635" s="19"/>
      <c r="AI1635" s="19"/>
      <c r="AJ1635" s="19"/>
      <c r="FM1635" s="54"/>
    </row>
    <row r="1636" spans="1:169" s="18" customFormat="1">
      <c r="A1636" s="51"/>
      <c r="B1636" s="52"/>
      <c r="C1636" s="52"/>
      <c r="D1636" s="52"/>
      <c r="E1636" s="52"/>
      <c r="F1636" s="52"/>
      <c r="G1636" s="52"/>
      <c r="H1636" s="53"/>
      <c r="I1636" s="52"/>
      <c r="J1636" s="52"/>
      <c r="K1636" s="19"/>
      <c r="L1636" s="19"/>
      <c r="M1636" s="19"/>
      <c r="N1636" s="19"/>
      <c r="O1636" s="19"/>
      <c r="P1636" s="19"/>
      <c r="Q1636" s="19"/>
      <c r="R1636" s="19"/>
      <c r="S1636" s="19"/>
      <c r="T1636" s="19"/>
      <c r="U1636" s="19"/>
      <c r="V1636" s="19"/>
      <c r="W1636" s="19"/>
      <c r="X1636" s="19"/>
      <c r="Y1636" s="19"/>
      <c r="Z1636" s="19"/>
      <c r="AA1636" s="19"/>
      <c r="AB1636" s="19"/>
      <c r="AC1636" s="19"/>
      <c r="AD1636" s="19"/>
      <c r="AE1636" s="19"/>
      <c r="AF1636" s="19"/>
      <c r="AG1636" s="19"/>
      <c r="AH1636" s="19"/>
      <c r="AI1636" s="19"/>
      <c r="AJ1636" s="19"/>
      <c r="FM1636" s="54"/>
    </row>
    <row r="1637" spans="1:169" s="18" customFormat="1">
      <c r="A1637" s="51"/>
      <c r="B1637" s="52"/>
      <c r="C1637" s="52"/>
      <c r="D1637" s="52"/>
      <c r="E1637" s="52"/>
      <c r="F1637" s="52"/>
      <c r="G1637" s="52"/>
      <c r="H1637" s="53"/>
      <c r="I1637" s="52"/>
      <c r="J1637" s="52"/>
      <c r="K1637" s="19"/>
      <c r="L1637" s="19"/>
      <c r="M1637" s="19"/>
      <c r="N1637" s="19"/>
      <c r="O1637" s="19"/>
      <c r="P1637" s="19"/>
      <c r="Q1637" s="19"/>
      <c r="R1637" s="19"/>
      <c r="S1637" s="19"/>
      <c r="T1637" s="19"/>
      <c r="U1637" s="19"/>
      <c r="V1637" s="19"/>
      <c r="W1637" s="19"/>
      <c r="X1637" s="19"/>
      <c r="Y1637" s="19"/>
      <c r="Z1637" s="19"/>
      <c r="AA1637" s="19"/>
      <c r="AB1637" s="19"/>
      <c r="AC1637" s="19"/>
      <c r="AD1637" s="19"/>
      <c r="AE1637" s="19"/>
      <c r="AF1637" s="19"/>
      <c r="AG1637" s="19"/>
      <c r="AH1637" s="19"/>
      <c r="AI1637" s="19"/>
      <c r="AJ1637" s="19"/>
      <c r="FM1637" s="54"/>
    </row>
    <row r="1638" spans="1:169" s="18" customFormat="1">
      <c r="A1638" s="51"/>
      <c r="B1638" s="52"/>
      <c r="C1638" s="52"/>
      <c r="D1638" s="52"/>
      <c r="E1638" s="52"/>
      <c r="F1638" s="52"/>
      <c r="G1638" s="52"/>
      <c r="H1638" s="53"/>
      <c r="I1638" s="52"/>
      <c r="J1638" s="52"/>
      <c r="K1638" s="19"/>
      <c r="L1638" s="19"/>
      <c r="M1638" s="19"/>
      <c r="N1638" s="19"/>
      <c r="O1638" s="19"/>
      <c r="P1638" s="19"/>
      <c r="Q1638" s="19"/>
      <c r="R1638" s="19"/>
      <c r="S1638" s="19"/>
      <c r="T1638" s="19"/>
      <c r="U1638" s="19"/>
      <c r="V1638" s="19"/>
      <c r="W1638" s="19"/>
      <c r="X1638" s="19"/>
      <c r="Y1638" s="19"/>
      <c r="Z1638" s="19"/>
      <c r="AA1638" s="19"/>
      <c r="AB1638" s="19"/>
      <c r="AC1638" s="19"/>
      <c r="AD1638" s="19"/>
      <c r="AE1638" s="19"/>
      <c r="AF1638" s="19"/>
      <c r="AG1638" s="19"/>
      <c r="AH1638" s="19"/>
      <c r="AI1638" s="19"/>
      <c r="AJ1638" s="19"/>
      <c r="FM1638" s="54"/>
    </row>
    <row r="1639" spans="1:169" s="18" customFormat="1">
      <c r="A1639" s="51"/>
      <c r="B1639" s="52"/>
      <c r="C1639" s="52"/>
      <c r="D1639" s="52"/>
      <c r="E1639" s="52"/>
      <c r="F1639" s="52"/>
      <c r="G1639" s="52"/>
      <c r="H1639" s="53"/>
      <c r="I1639" s="52"/>
      <c r="J1639" s="52"/>
      <c r="K1639" s="19"/>
      <c r="L1639" s="19"/>
      <c r="M1639" s="19"/>
      <c r="N1639" s="19"/>
      <c r="O1639" s="19"/>
      <c r="P1639" s="19"/>
      <c r="Q1639" s="19"/>
      <c r="R1639" s="19"/>
      <c r="S1639" s="19"/>
      <c r="T1639" s="19"/>
      <c r="U1639" s="19"/>
      <c r="V1639" s="19"/>
      <c r="W1639" s="19"/>
      <c r="X1639" s="19"/>
      <c r="Y1639" s="19"/>
      <c r="Z1639" s="19"/>
      <c r="AA1639" s="19"/>
      <c r="AB1639" s="19"/>
      <c r="AC1639" s="19"/>
      <c r="AD1639" s="19"/>
      <c r="AE1639" s="19"/>
      <c r="AF1639" s="19"/>
      <c r="AG1639" s="19"/>
      <c r="AH1639" s="19"/>
      <c r="AI1639" s="19"/>
      <c r="AJ1639" s="19"/>
      <c r="FM1639" s="54"/>
    </row>
    <row r="1640" spans="1:169" s="18" customFormat="1">
      <c r="A1640" s="51"/>
      <c r="B1640" s="52"/>
      <c r="C1640" s="52"/>
      <c r="D1640" s="52"/>
      <c r="E1640" s="52"/>
      <c r="F1640" s="52"/>
      <c r="G1640" s="52"/>
      <c r="H1640" s="53"/>
      <c r="I1640" s="52"/>
      <c r="J1640" s="52"/>
      <c r="K1640" s="19"/>
      <c r="L1640" s="19"/>
      <c r="M1640" s="19"/>
      <c r="N1640" s="19"/>
      <c r="O1640" s="19"/>
      <c r="P1640" s="19"/>
      <c r="Q1640" s="19"/>
      <c r="R1640" s="19"/>
      <c r="S1640" s="19"/>
      <c r="T1640" s="19"/>
      <c r="U1640" s="19"/>
      <c r="V1640" s="19"/>
      <c r="W1640" s="19"/>
      <c r="X1640" s="19"/>
      <c r="Y1640" s="19"/>
      <c r="Z1640" s="19"/>
      <c r="AA1640" s="19"/>
      <c r="AB1640" s="19"/>
      <c r="AC1640" s="19"/>
      <c r="AD1640" s="19"/>
      <c r="AE1640" s="19"/>
      <c r="AF1640" s="19"/>
      <c r="AG1640" s="19"/>
      <c r="AH1640" s="19"/>
      <c r="AI1640" s="19"/>
      <c r="AJ1640" s="19"/>
      <c r="FM1640" s="54"/>
    </row>
    <row r="1641" spans="1:169" s="18" customFormat="1">
      <c r="A1641" s="51"/>
      <c r="B1641" s="52"/>
      <c r="C1641" s="52"/>
      <c r="D1641" s="52"/>
      <c r="E1641" s="52"/>
      <c r="F1641" s="52"/>
      <c r="G1641" s="52"/>
      <c r="H1641" s="53"/>
      <c r="I1641" s="52"/>
      <c r="J1641" s="52"/>
      <c r="K1641" s="19"/>
      <c r="L1641" s="19"/>
      <c r="M1641" s="19"/>
      <c r="N1641" s="19"/>
      <c r="O1641" s="19"/>
      <c r="P1641" s="19"/>
      <c r="Q1641" s="19"/>
      <c r="R1641" s="19"/>
      <c r="S1641" s="19"/>
      <c r="T1641" s="19"/>
      <c r="U1641" s="19"/>
      <c r="V1641" s="19"/>
      <c r="W1641" s="19"/>
      <c r="X1641" s="19"/>
      <c r="Y1641" s="19"/>
      <c r="Z1641" s="19"/>
      <c r="AA1641" s="19"/>
      <c r="AB1641" s="19"/>
      <c r="AC1641" s="19"/>
      <c r="AD1641" s="19"/>
      <c r="AE1641" s="19"/>
      <c r="AF1641" s="19"/>
      <c r="AG1641" s="19"/>
      <c r="AH1641" s="19"/>
      <c r="AI1641" s="19"/>
      <c r="AJ1641" s="19"/>
      <c r="FM1641" s="54"/>
    </row>
    <row r="1642" spans="1:169" s="18" customFormat="1">
      <c r="A1642" s="51"/>
      <c r="B1642" s="52"/>
      <c r="C1642" s="52"/>
      <c r="D1642" s="52"/>
      <c r="E1642" s="52"/>
      <c r="F1642" s="52"/>
      <c r="G1642" s="52"/>
      <c r="H1642" s="53"/>
      <c r="I1642" s="52"/>
      <c r="J1642" s="52"/>
      <c r="K1642" s="19"/>
      <c r="L1642" s="19"/>
      <c r="M1642" s="19"/>
      <c r="N1642" s="19"/>
      <c r="O1642" s="19"/>
      <c r="P1642" s="19"/>
      <c r="Q1642" s="19"/>
      <c r="R1642" s="19"/>
      <c r="S1642" s="19"/>
      <c r="T1642" s="19"/>
      <c r="U1642" s="19"/>
      <c r="V1642" s="19"/>
      <c r="W1642" s="19"/>
      <c r="X1642" s="19"/>
      <c r="Y1642" s="19"/>
      <c r="Z1642" s="19"/>
      <c r="AA1642" s="19"/>
      <c r="AB1642" s="19"/>
      <c r="AC1642" s="19"/>
      <c r="AD1642" s="19"/>
      <c r="AE1642" s="19"/>
      <c r="AF1642" s="19"/>
      <c r="AG1642" s="19"/>
      <c r="AH1642" s="19"/>
      <c r="AI1642" s="19"/>
      <c r="AJ1642" s="19"/>
      <c r="FM1642" s="54"/>
    </row>
    <row r="1643" spans="1:169" s="18" customFormat="1">
      <c r="A1643" s="51"/>
      <c r="B1643" s="52"/>
      <c r="C1643" s="52"/>
      <c r="D1643" s="52"/>
      <c r="E1643" s="52"/>
      <c r="F1643" s="52"/>
      <c r="G1643" s="52"/>
      <c r="H1643" s="53"/>
      <c r="I1643" s="52"/>
      <c r="J1643" s="52"/>
      <c r="K1643" s="19"/>
      <c r="L1643" s="19"/>
      <c r="M1643" s="19"/>
      <c r="N1643" s="19"/>
      <c r="O1643" s="19"/>
      <c r="P1643" s="19"/>
      <c r="Q1643" s="19"/>
      <c r="R1643" s="19"/>
      <c r="S1643" s="19"/>
      <c r="T1643" s="19"/>
      <c r="U1643" s="19"/>
      <c r="V1643" s="19"/>
      <c r="W1643" s="19"/>
      <c r="X1643" s="19"/>
      <c r="Y1643" s="19"/>
      <c r="Z1643" s="19"/>
      <c r="AA1643" s="19"/>
      <c r="AB1643" s="19"/>
      <c r="AC1643" s="19"/>
      <c r="AD1643" s="19"/>
      <c r="AE1643" s="19"/>
      <c r="AF1643" s="19"/>
      <c r="AG1643" s="19"/>
      <c r="AH1643" s="19"/>
      <c r="AI1643" s="19"/>
      <c r="AJ1643" s="19"/>
      <c r="FM1643" s="54"/>
    </row>
    <row r="1644" spans="1:169" s="18" customFormat="1">
      <c r="A1644" s="51"/>
      <c r="B1644" s="52"/>
      <c r="C1644" s="52"/>
      <c r="D1644" s="52"/>
      <c r="E1644" s="52"/>
      <c r="F1644" s="52"/>
      <c r="G1644" s="52"/>
      <c r="H1644" s="53"/>
      <c r="I1644" s="52"/>
      <c r="J1644" s="52"/>
      <c r="K1644" s="19"/>
      <c r="L1644" s="19"/>
      <c r="M1644" s="19"/>
      <c r="N1644" s="19"/>
      <c r="O1644" s="19"/>
      <c r="P1644" s="19"/>
      <c r="Q1644" s="19"/>
      <c r="R1644" s="19"/>
      <c r="S1644" s="19"/>
      <c r="T1644" s="19"/>
      <c r="U1644" s="19"/>
      <c r="V1644" s="19"/>
      <c r="W1644" s="19"/>
      <c r="X1644" s="19"/>
      <c r="Y1644" s="19"/>
      <c r="Z1644" s="19"/>
      <c r="AA1644" s="19"/>
      <c r="AB1644" s="19"/>
      <c r="AC1644" s="19"/>
      <c r="AD1644" s="19"/>
      <c r="AE1644" s="19"/>
      <c r="AF1644" s="19"/>
      <c r="AG1644" s="19"/>
      <c r="AH1644" s="19"/>
      <c r="AI1644" s="19"/>
      <c r="AJ1644" s="19"/>
      <c r="FM1644" s="54"/>
    </row>
    <row r="1645" spans="1:169" s="18" customFormat="1">
      <c r="A1645" s="51"/>
      <c r="B1645" s="52"/>
      <c r="C1645" s="52"/>
      <c r="D1645" s="52"/>
      <c r="E1645" s="52"/>
      <c r="F1645" s="52"/>
      <c r="G1645" s="52"/>
      <c r="H1645" s="53"/>
      <c r="I1645" s="52"/>
      <c r="J1645" s="52"/>
      <c r="K1645" s="19"/>
      <c r="L1645" s="19"/>
      <c r="M1645" s="19"/>
      <c r="N1645" s="19"/>
      <c r="O1645" s="19"/>
      <c r="P1645" s="19"/>
      <c r="Q1645" s="19"/>
      <c r="R1645" s="19"/>
      <c r="S1645" s="19"/>
      <c r="T1645" s="19"/>
      <c r="U1645" s="19"/>
      <c r="V1645" s="19"/>
      <c r="W1645" s="19"/>
      <c r="X1645" s="19"/>
      <c r="Y1645" s="19"/>
      <c r="Z1645" s="19"/>
      <c r="AA1645" s="19"/>
      <c r="AB1645" s="19"/>
      <c r="AC1645" s="19"/>
      <c r="AD1645" s="19"/>
      <c r="AE1645" s="19"/>
      <c r="AF1645" s="19"/>
      <c r="AG1645" s="19"/>
      <c r="AH1645" s="19"/>
      <c r="AI1645" s="19"/>
      <c r="AJ1645" s="19"/>
      <c r="FM1645" s="54"/>
    </row>
    <row r="1646" spans="1:169" s="18" customFormat="1">
      <c r="A1646" s="51"/>
      <c r="B1646" s="52"/>
      <c r="C1646" s="52"/>
      <c r="D1646" s="52"/>
      <c r="E1646" s="52"/>
      <c r="F1646" s="52"/>
      <c r="G1646" s="52"/>
      <c r="H1646" s="53"/>
      <c r="I1646" s="52"/>
      <c r="J1646" s="52"/>
      <c r="K1646" s="19"/>
      <c r="L1646" s="19"/>
      <c r="M1646" s="19"/>
      <c r="N1646" s="19"/>
      <c r="O1646" s="19"/>
      <c r="P1646" s="19"/>
      <c r="Q1646" s="19"/>
      <c r="R1646" s="19"/>
      <c r="S1646" s="19"/>
      <c r="T1646" s="19"/>
      <c r="U1646" s="19"/>
      <c r="V1646" s="19"/>
      <c r="W1646" s="19"/>
      <c r="X1646" s="19"/>
      <c r="Y1646" s="19"/>
      <c r="Z1646" s="19"/>
      <c r="AA1646" s="19"/>
      <c r="AB1646" s="19"/>
      <c r="AC1646" s="19"/>
      <c r="AD1646" s="19"/>
      <c r="AE1646" s="19"/>
      <c r="AF1646" s="19"/>
      <c r="AG1646" s="19"/>
      <c r="AH1646" s="19"/>
      <c r="AI1646" s="19"/>
      <c r="AJ1646" s="19"/>
      <c r="FM1646" s="54"/>
    </row>
    <row r="1647" spans="1:169" s="18" customFormat="1">
      <c r="A1647" s="51"/>
      <c r="B1647" s="52"/>
      <c r="C1647" s="52"/>
      <c r="D1647" s="52"/>
      <c r="E1647" s="52"/>
      <c r="F1647" s="52"/>
      <c r="G1647" s="52"/>
      <c r="H1647" s="53"/>
      <c r="I1647" s="52"/>
      <c r="J1647" s="52"/>
      <c r="K1647" s="19"/>
      <c r="L1647" s="19"/>
      <c r="M1647" s="19"/>
      <c r="N1647" s="19"/>
      <c r="O1647" s="19"/>
      <c r="P1647" s="19"/>
      <c r="Q1647" s="19"/>
      <c r="R1647" s="19"/>
      <c r="S1647" s="19"/>
      <c r="T1647" s="19"/>
      <c r="U1647" s="19"/>
      <c r="V1647" s="19"/>
      <c r="W1647" s="19"/>
      <c r="X1647" s="19"/>
      <c r="Y1647" s="19"/>
      <c r="Z1647" s="19"/>
      <c r="AA1647" s="19"/>
      <c r="AB1647" s="19"/>
      <c r="AC1647" s="19"/>
      <c r="AD1647" s="19"/>
      <c r="AE1647" s="19"/>
      <c r="AF1647" s="19"/>
      <c r="AG1647" s="19"/>
      <c r="AH1647" s="19"/>
      <c r="AI1647" s="19"/>
      <c r="AJ1647" s="19"/>
      <c r="FM1647" s="54"/>
    </row>
    <row r="1648" spans="1:169" s="18" customFormat="1">
      <c r="A1648" s="51"/>
      <c r="B1648" s="52"/>
      <c r="C1648" s="52"/>
      <c r="D1648" s="52"/>
      <c r="E1648" s="52"/>
      <c r="F1648" s="52"/>
      <c r="G1648" s="52"/>
      <c r="H1648" s="53"/>
      <c r="I1648" s="52"/>
      <c r="J1648" s="52"/>
      <c r="K1648" s="19"/>
      <c r="L1648" s="19"/>
      <c r="M1648" s="19"/>
      <c r="N1648" s="19"/>
      <c r="O1648" s="19"/>
      <c r="P1648" s="19"/>
      <c r="Q1648" s="19"/>
      <c r="R1648" s="19"/>
      <c r="S1648" s="19"/>
      <c r="T1648" s="19"/>
      <c r="U1648" s="19"/>
      <c r="V1648" s="19"/>
      <c r="W1648" s="19"/>
      <c r="X1648" s="19"/>
      <c r="Y1648" s="19"/>
      <c r="Z1648" s="19"/>
      <c r="AA1648" s="19"/>
      <c r="AB1648" s="19"/>
      <c r="AC1648" s="19"/>
      <c r="AD1648" s="19"/>
      <c r="AE1648" s="19"/>
      <c r="AF1648" s="19"/>
      <c r="AG1648" s="19"/>
      <c r="AH1648" s="19"/>
      <c r="AI1648" s="19"/>
      <c r="AJ1648" s="19"/>
      <c r="FM1648" s="54"/>
    </row>
    <row r="1649" spans="1:169" s="18" customFormat="1">
      <c r="A1649" s="51"/>
      <c r="B1649" s="52"/>
      <c r="C1649" s="52"/>
      <c r="D1649" s="52"/>
      <c r="E1649" s="52"/>
      <c r="F1649" s="52"/>
      <c r="G1649" s="52"/>
      <c r="H1649" s="53"/>
      <c r="I1649" s="52"/>
      <c r="J1649" s="52"/>
      <c r="K1649" s="19"/>
      <c r="L1649" s="19"/>
      <c r="M1649" s="19"/>
      <c r="N1649" s="19"/>
      <c r="O1649" s="19"/>
      <c r="P1649" s="19"/>
      <c r="Q1649" s="19"/>
      <c r="R1649" s="19"/>
      <c r="S1649" s="19"/>
      <c r="T1649" s="19"/>
      <c r="U1649" s="19"/>
      <c r="V1649" s="19"/>
      <c r="W1649" s="19"/>
      <c r="X1649" s="19"/>
      <c r="Y1649" s="19"/>
      <c r="Z1649" s="19"/>
      <c r="AA1649" s="19"/>
      <c r="AB1649" s="19"/>
      <c r="AC1649" s="19"/>
      <c r="AD1649" s="19"/>
      <c r="AE1649" s="19"/>
      <c r="AF1649" s="19"/>
      <c r="AG1649" s="19"/>
      <c r="AH1649" s="19"/>
      <c r="AI1649" s="19"/>
      <c r="AJ1649" s="19"/>
      <c r="FM1649" s="54"/>
    </row>
    <row r="1650" spans="1:169" s="18" customFormat="1">
      <c r="A1650" s="51"/>
      <c r="B1650" s="52"/>
      <c r="C1650" s="52"/>
      <c r="D1650" s="52"/>
      <c r="E1650" s="52"/>
      <c r="F1650" s="52"/>
      <c r="G1650" s="52"/>
      <c r="H1650" s="53"/>
      <c r="I1650" s="52"/>
      <c r="J1650" s="52"/>
      <c r="K1650" s="19"/>
      <c r="L1650" s="19"/>
      <c r="M1650" s="19"/>
      <c r="N1650" s="19"/>
      <c r="O1650" s="19"/>
      <c r="P1650" s="19"/>
      <c r="Q1650" s="19"/>
      <c r="R1650" s="19"/>
      <c r="S1650" s="19"/>
      <c r="T1650" s="19"/>
      <c r="U1650" s="19"/>
      <c r="V1650" s="19"/>
      <c r="W1650" s="19"/>
      <c r="X1650" s="19"/>
      <c r="Y1650" s="19"/>
      <c r="Z1650" s="19"/>
      <c r="AA1650" s="19"/>
      <c r="AB1650" s="19"/>
      <c r="AC1650" s="19"/>
      <c r="AD1650" s="19"/>
      <c r="AE1650" s="19"/>
      <c r="AF1650" s="19"/>
      <c r="AG1650" s="19"/>
      <c r="AH1650" s="19"/>
      <c r="AI1650" s="19"/>
      <c r="AJ1650" s="19"/>
      <c r="FM1650" s="54"/>
    </row>
    <row r="1651" spans="1:169" s="18" customFormat="1">
      <c r="A1651" s="51"/>
      <c r="B1651" s="52"/>
      <c r="C1651" s="52"/>
      <c r="D1651" s="52"/>
      <c r="E1651" s="52"/>
      <c r="F1651" s="52"/>
      <c r="G1651" s="52"/>
      <c r="H1651" s="53"/>
      <c r="I1651" s="52"/>
      <c r="J1651" s="52"/>
      <c r="K1651" s="19"/>
      <c r="L1651" s="19"/>
      <c r="M1651" s="19"/>
      <c r="N1651" s="19"/>
      <c r="O1651" s="19"/>
      <c r="P1651" s="19"/>
      <c r="Q1651" s="19"/>
      <c r="R1651" s="19"/>
      <c r="S1651" s="19"/>
      <c r="T1651" s="19"/>
      <c r="U1651" s="19"/>
      <c r="V1651" s="19"/>
      <c r="W1651" s="19"/>
      <c r="X1651" s="19"/>
      <c r="Y1651" s="19"/>
      <c r="Z1651" s="19"/>
      <c r="AA1651" s="19"/>
      <c r="AB1651" s="19"/>
      <c r="AC1651" s="19"/>
      <c r="AD1651" s="19"/>
      <c r="AE1651" s="19"/>
      <c r="AF1651" s="19"/>
      <c r="AG1651" s="19"/>
      <c r="AH1651" s="19"/>
      <c r="AI1651" s="19"/>
      <c r="AJ1651" s="19"/>
      <c r="FM1651" s="54"/>
    </row>
    <row r="1652" spans="1:169" s="18" customFormat="1">
      <c r="A1652" s="51"/>
      <c r="B1652" s="52"/>
      <c r="C1652" s="52"/>
      <c r="D1652" s="52"/>
      <c r="E1652" s="52"/>
      <c r="F1652" s="52"/>
      <c r="G1652" s="52"/>
      <c r="H1652" s="53"/>
      <c r="I1652" s="52"/>
      <c r="J1652" s="52"/>
      <c r="K1652" s="19"/>
      <c r="L1652" s="19"/>
      <c r="M1652" s="19"/>
      <c r="N1652" s="19"/>
      <c r="O1652" s="19"/>
      <c r="P1652" s="19"/>
      <c r="Q1652" s="19"/>
      <c r="R1652" s="19"/>
      <c r="S1652" s="19"/>
      <c r="T1652" s="19"/>
      <c r="U1652" s="19"/>
      <c r="V1652" s="19"/>
      <c r="W1652" s="19"/>
      <c r="X1652" s="19"/>
      <c r="Y1652" s="19"/>
      <c r="Z1652" s="19"/>
      <c r="AA1652" s="19"/>
      <c r="AB1652" s="19"/>
      <c r="AC1652" s="19"/>
      <c r="AD1652" s="19"/>
      <c r="AE1652" s="19"/>
      <c r="AF1652" s="19"/>
      <c r="AG1652" s="19"/>
      <c r="AH1652" s="19"/>
      <c r="AI1652" s="19"/>
      <c r="AJ1652" s="19"/>
      <c r="FM1652" s="54"/>
    </row>
    <row r="1653" spans="1:169" s="18" customFormat="1">
      <c r="A1653" s="51"/>
      <c r="B1653" s="52"/>
      <c r="C1653" s="52"/>
      <c r="D1653" s="52"/>
      <c r="E1653" s="52"/>
      <c r="F1653" s="52"/>
      <c r="G1653" s="52"/>
      <c r="H1653" s="53"/>
      <c r="I1653" s="52"/>
      <c r="J1653" s="52"/>
      <c r="K1653" s="19"/>
      <c r="L1653" s="19"/>
      <c r="M1653" s="19"/>
      <c r="N1653" s="19"/>
      <c r="O1653" s="19"/>
      <c r="P1653" s="19"/>
      <c r="Q1653" s="19"/>
      <c r="R1653" s="19"/>
      <c r="S1653" s="19"/>
      <c r="T1653" s="19"/>
      <c r="U1653" s="19"/>
      <c r="V1653" s="19"/>
      <c r="W1653" s="19"/>
      <c r="X1653" s="19"/>
      <c r="Y1653" s="19"/>
      <c r="Z1653" s="19"/>
      <c r="AA1653" s="19"/>
      <c r="AB1653" s="19"/>
      <c r="AC1653" s="19"/>
      <c r="AD1653" s="19"/>
      <c r="AE1653" s="19"/>
      <c r="AF1653" s="19"/>
      <c r="AG1653" s="19"/>
      <c r="AH1653" s="19"/>
      <c r="AI1653" s="19"/>
      <c r="AJ1653" s="19"/>
      <c r="FM1653" s="54"/>
    </row>
    <row r="1654" spans="1:169" s="18" customFormat="1">
      <c r="A1654" s="51"/>
      <c r="B1654" s="52"/>
      <c r="C1654" s="52"/>
      <c r="D1654" s="52"/>
      <c r="E1654" s="52"/>
      <c r="F1654" s="52"/>
      <c r="G1654" s="52"/>
      <c r="H1654" s="53"/>
      <c r="I1654" s="52"/>
      <c r="J1654" s="52"/>
      <c r="K1654" s="19"/>
      <c r="L1654" s="19"/>
      <c r="M1654" s="19"/>
      <c r="N1654" s="19"/>
      <c r="O1654" s="19"/>
      <c r="P1654" s="19"/>
      <c r="Q1654" s="19"/>
      <c r="R1654" s="19"/>
      <c r="S1654" s="19"/>
      <c r="T1654" s="19"/>
      <c r="U1654" s="19"/>
      <c r="V1654" s="19"/>
      <c r="W1654" s="19"/>
      <c r="X1654" s="19"/>
      <c r="Y1654" s="19"/>
      <c r="Z1654" s="19"/>
      <c r="AA1654" s="19"/>
      <c r="AB1654" s="19"/>
      <c r="AC1654" s="19"/>
      <c r="AD1654" s="19"/>
      <c r="AE1654" s="19"/>
      <c r="AF1654" s="19"/>
      <c r="AG1654" s="19"/>
      <c r="AH1654" s="19"/>
      <c r="AI1654" s="19"/>
      <c r="AJ1654" s="19"/>
      <c r="FM1654" s="54"/>
    </row>
    <row r="1655" spans="1:169" s="18" customFormat="1">
      <c r="A1655" s="51"/>
      <c r="B1655" s="52"/>
      <c r="C1655" s="52"/>
      <c r="D1655" s="52"/>
      <c r="E1655" s="52"/>
      <c r="F1655" s="52"/>
      <c r="G1655" s="52"/>
      <c r="H1655" s="53"/>
      <c r="I1655" s="52"/>
      <c r="J1655" s="52"/>
      <c r="K1655" s="19"/>
      <c r="L1655" s="19"/>
      <c r="M1655" s="19"/>
      <c r="N1655" s="19"/>
      <c r="O1655" s="19"/>
      <c r="P1655" s="19"/>
      <c r="Q1655" s="19"/>
      <c r="R1655" s="19"/>
      <c r="S1655" s="19"/>
      <c r="T1655" s="19"/>
      <c r="U1655" s="19"/>
      <c r="V1655" s="19"/>
      <c r="W1655" s="19"/>
      <c r="X1655" s="19"/>
      <c r="Y1655" s="19"/>
      <c r="Z1655" s="19"/>
      <c r="AA1655" s="19"/>
      <c r="AB1655" s="19"/>
      <c r="AC1655" s="19"/>
      <c r="AD1655" s="19"/>
      <c r="AE1655" s="19"/>
      <c r="AF1655" s="19"/>
      <c r="AG1655" s="19"/>
      <c r="AH1655" s="19"/>
      <c r="AI1655" s="19"/>
      <c r="AJ1655" s="19"/>
      <c r="FM1655" s="54"/>
    </row>
    <row r="1656" spans="1:169" s="18" customFormat="1">
      <c r="A1656" s="51"/>
      <c r="B1656" s="52"/>
      <c r="C1656" s="52"/>
      <c r="D1656" s="52"/>
      <c r="E1656" s="52"/>
      <c r="F1656" s="52"/>
      <c r="G1656" s="52"/>
      <c r="H1656" s="53"/>
      <c r="I1656" s="52"/>
      <c r="J1656" s="52"/>
      <c r="K1656" s="19"/>
      <c r="L1656" s="19"/>
      <c r="M1656" s="19"/>
      <c r="N1656" s="19"/>
      <c r="O1656" s="19"/>
      <c r="P1656" s="19"/>
      <c r="Q1656" s="19"/>
      <c r="R1656" s="19"/>
      <c r="S1656" s="19"/>
      <c r="T1656" s="19"/>
      <c r="U1656" s="19"/>
      <c r="V1656" s="19"/>
      <c r="W1656" s="19"/>
      <c r="X1656" s="19"/>
      <c r="Y1656" s="19"/>
      <c r="Z1656" s="19"/>
      <c r="AA1656" s="19"/>
      <c r="AB1656" s="19"/>
      <c r="AC1656" s="19"/>
      <c r="AD1656" s="19"/>
      <c r="AE1656" s="19"/>
      <c r="AF1656" s="19"/>
      <c r="AG1656" s="19"/>
      <c r="AH1656" s="19"/>
      <c r="AI1656" s="19"/>
      <c r="AJ1656" s="19"/>
      <c r="FM1656" s="54"/>
    </row>
    <row r="1657" spans="1:169" s="18" customFormat="1">
      <c r="A1657" s="51"/>
      <c r="B1657" s="52"/>
      <c r="C1657" s="52"/>
      <c r="D1657" s="52"/>
      <c r="E1657" s="52"/>
      <c r="F1657" s="52"/>
      <c r="G1657" s="52"/>
      <c r="H1657" s="53"/>
      <c r="I1657" s="52"/>
      <c r="J1657" s="52"/>
      <c r="K1657" s="19"/>
      <c r="L1657" s="19"/>
      <c r="M1657" s="19"/>
      <c r="N1657" s="19"/>
      <c r="O1657" s="19"/>
      <c r="P1657" s="19"/>
      <c r="Q1657" s="19"/>
      <c r="R1657" s="19"/>
      <c r="S1657" s="19"/>
      <c r="T1657" s="19"/>
      <c r="U1657" s="19"/>
      <c r="V1657" s="19"/>
      <c r="W1657" s="19"/>
      <c r="X1657" s="19"/>
      <c r="Y1657" s="19"/>
      <c r="Z1657" s="19"/>
      <c r="AA1657" s="19"/>
      <c r="AB1657" s="19"/>
      <c r="AC1657" s="19"/>
      <c r="AD1657" s="19"/>
      <c r="AE1657" s="19"/>
      <c r="AF1657" s="19"/>
      <c r="AG1657" s="19"/>
      <c r="AH1657" s="19"/>
      <c r="AI1657" s="19"/>
      <c r="AJ1657" s="19"/>
      <c r="FM1657" s="54"/>
    </row>
    <row r="1658" spans="1:169" s="18" customFormat="1">
      <c r="A1658" s="51"/>
      <c r="B1658" s="52"/>
      <c r="C1658" s="52"/>
      <c r="D1658" s="52"/>
      <c r="E1658" s="52"/>
      <c r="F1658" s="52"/>
      <c r="G1658" s="52"/>
      <c r="H1658" s="53"/>
      <c r="I1658" s="52"/>
      <c r="J1658" s="52"/>
      <c r="K1658" s="19"/>
      <c r="L1658" s="19"/>
      <c r="M1658" s="19"/>
      <c r="N1658" s="19"/>
      <c r="O1658" s="19"/>
      <c r="P1658" s="19"/>
      <c r="Q1658" s="19"/>
      <c r="R1658" s="19"/>
      <c r="S1658" s="19"/>
      <c r="T1658" s="19"/>
      <c r="U1658" s="19"/>
      <c r="V1658" s="19"/>
      <c r="W1658" s="19"/>
      <c r="X1658" s="19"/>
      <c r="Y1658" s="19"/>
      <c r="Z1658" s="19"/>
      <c r="AA1658" s="19"/>
      <c r="AB1658" s="19"/>
      <c r="AC1658" s="19"/>
      <c r="AD1658" s="19"/>
      <c r="AE1658" s="19"/>
      <c r="AF1658" s="19"/>
      <c r="AG1658" s="19"/>
      <c r="AH1658" s="19"/>
      <c r="AI1658" s="19"/>
      <c r="AJ1658" s="19"/>
      <c r="FM1658" s="54"/>
    </row>
    <row r="1659" spans="1:169" s="18" customFormat="1">
      <c r="A1659" s="51"/>
      <c r="B1659" s="52"/>
      <c r="C1659" s="52"/>
      <c r="D1659" s="52"/>
      <c r="E1659" s="52"/>
      <c r="F1659" s="52"/>
      <c r="G1659" s="52"/>
      <c r="H1659" s="53"/>
      <c r="I1659" s="52"/>
      <c r="J1659" s="52"/>
      <c r="K1659" s="19"/>
      <c r="L1659" s="19"/>
      <c r="M1659" s="19"/>
      <c r="N1659" s="19"/>
      <c r="O1659" s="19"/>
      <c r="P1659" s="19"/>
      <c r="Q1659" s="19"/>
      <c r="R1659" s="19"/>
      <c r="S1659" s="19"/>
      <c r="T1659" s="19"/>
      <c r="U1659" s="19"/>
      <c r="V1659" s="19"/>
      <c r="W1659" s="19"/>
      <c r="X1659" s="19"/>
      <c r="Y1659" s="19"/>
      <c r="Z1659" s="19"/>
      <c r="AA1659" s="19"/>
      <c r="AB1659" s="19"/>
      <c r="AC1659" s="19"/>
      <c r="AD1659" s="19"/>
      <c r="AE1659" s="19"/>
      <c r="AF1659" s="19"/>
      <c r="AG1659" s="19"/>
      <c r="AH1659" s="19"/>
      <c r="AI1659" s="19"/>
      <c r="AJ1659" s="19"/>
      <c r="FM1659" s="54"/>
    </row>
    <row r="1660" spans="1:169" s="18" customFormat="1">
      <c r="A1660" s="51"/>
      <c r="B1660" s="52"/>
      <c r="C1660" s="52"/>
      <c r="D1660" s="52"/>
      <c r="E1660" s="52"/>
      <c r="F1660" s="52"/>
      <c r="G1660" s="52"/>
      <c r="H1660" s="53"/>
      <c r="I1660" s="52"/>
      <c r="J1660" s="52"/>
      <c r="K1660" s="19"/>
      <c r="L1660" s="19"/>
      <c r="M1660" s="19"/>
      <c r="N1660" s="19"/>
      <c r="O1660" s="19"/>
      <c r="P1660" s="19"/>
      <c r="Q1660" s="19"/>
      <c r="R1660" s="19"/>
      <c r="S1660" s="19"/>
      <c r="T1660" s="19"/>
      <c r="U1660" s="19"/>
      <c r="V1660" s="19"/>
      <c r="W1660" s="19"/>
      <c r="X1660" s="19"/>
      <c r="Y1660" s="19"/>
      <c r="Z1660" s="19"/>
      <c r="AA1660" s="19"/>
      <c r="AB1660" s="19"/>
      <c r="AC1660" s="19"/>
      <c r="AD1660" s="19"/>
      <c r="AE1660" s="19"/>
      <c r="AF1660" s="19"/>
      <c r="AG1660" s="19"/>
      <c r="AH1660" s="19"/>
      <c r="AI1660" s="19"/>
      <c r="AJ1660" s="19"/>
      <c r="FM1660" s="54"/>
    </row>
    <row r="1661" spans="1:169" s="18" customFormat="1">
      <c r="A1661" s="51"/>
      <c r="B1661" s="52"/>
      <c r="C1661" s="52"/>
      <c r="D1661" s="52"/>
      <c r="E1661" s="52"/>
      <c r="F1661" s="52"/>
      <c r="G1661" s="52"/>
      <c r="H1661" s="53"/>
      <c r="I1661" s="52"/>
      <c r="J1661" s="52"/>
      <c r="K1661" s="19"/>
      <c r="L1661" s="19"/>
      <c r="M1661" s="19"/>
      <c r="N1661" s="19"/>
      <c r="O1661" s="19"/>
      <c r="P1661" s="19"/>
      <c r="Q1661" s="19"/>
      <c r="R1661" s="19"/>
      <c r="S1661" s="19"/>
      <c r="T1661" s="19"/>
      <c r="U1661" s="19"/>
      <c r="V1661" s="19"/>
      <c r="W1661" s="19"/>
      <c r="X1661" s="19"/>
      <c r="Y1661" s="19"/>
      <c r="Z1661" s="19"/>
      <c r="AA1661" s="19"/>
      <c r="AB1661" s="19"/>
      <c r="AC1661" s="19"/>
      <c r="AD1661" s="19"/>
      <c r="AE1661" s="19"/>
      <c r="AF1661" s="19"/>
      <c r="AG1661" s="19"/>
      <c r="AH1661" s="19"/>
      <c r="AI1661" s="19"/>
      <c r="AJ1661" s="19"/>
      <c r="FM1661" s="54"/>
    </row>
    <row r="1662" spans="1:169" s="18" customFormat="1">
      <c r="A1662" s="51"/>
      <c r="B1662" s="52"/>
      <c r="C1662" s="52"/>
      <c r="D1662" s="52"/>
      <c r="E1662" s="52"/>
      <c r="F1662" s="52"/>
      <c r="G1662" s="52"/>
      <c r="H1662" s="53"/>
      <c r="I1662" s="52"/>
      <c r="J1662" s="52"/>
      <c r="K1662" s="19"/>
      <c r="L1662" s="19"/>
      <c r="M1662" s="19"/>
      <c r="N1662" s="19"/>
      <c r="O1662" s="19"/>
      <c r="P1662" s="19"/>
      <c r="Q1662" s="19"/>
      <c r="R1662" s="19"/>
      <c r="S1662" s="19"/>
      <c r="T1662" s="19"/>
      <c r="U1662" s="19"/>
      <c r="V1662" s="19"/>
      <c r="W1662" s="19"/>
      <c r="X1662" s="19"/>
      <c r="Y1662" s="19"/>
      <c r="Z1662" s="19"/>
      <c r="AA1662" s="19"/>
      <c r="AB1662" s="19"/>
      <c r="AC1662" s="19"/>
      <c r="AD1662" s="19"/>
      <c r="AE1662" s="19"/>
      <c r="AF1662" s="19"/>
      <c r="AG1662" s="19"/>
      <c r="AH1662" s="19"/>
      <c r="AI1662" s="19"/>
      <c r="AJ1662" s="19"/>
      <c r="FM1662" s="54"/>
    </row>
    <row r="1663" spans="1:169" s="18" customFormat="1">
      <c r="A1663" s="51"/>
      <c r="B1663" s="52"/>
      <c r="C1663" s="52"/>
      <c r="D1663" s="52"/>
      <c r="E1663" s="52"/>
      <c r="F1663" s="52"/>
      <c r="G1663" s="52"/>
      <c r="H1663" s="53"/>
      <c r="I1663" s="52"/>
      <c r="J1663" s="52"/>
      <c r="K1663" s="19"/>
      <c r="L1663" s="19"/>
      <c r="M1663" s="19"/>
      <c r="N1663" s="19"/>
      <c r="O1663" s="19"/>
      <c r="P1663" s="19"/>
      <c r="Q1663" s="19"/>
      <c r="R1663" s="19"/>
      <c r="S1663" s="19"/>
      <c r="T1663" s="19"/>
      <c r="U1663" s="19"/>
      <c r="V1663" s="19"/>
      <c r="W1663" s="19"/>
      <c r="X1663" s="19"/>
      <c r="Y1663" s="19"/>
      <c r="Z1663" s="19"/>
      <c r="AA1663" s="19"/>
      <c r="AB1663" s="19"/>
      <c r="AC1663" s="19"/>
      <c r="AD1663" s="19"/>
      <c r="AE1663" s="19"/>
      <c r="AF1663" s="19"/>
      <c r="AG1663" s="19"/>
      <c r="AH1663" s="19"/>
      <c r="AI1663" s="19"/>
      <c r="AJ1663" s="19"/>
      <c r="FM1663" s="54"/>
    </row>
    <row r="1664" spans="1:169" s="18" customFormat="1">
      <c r="A1664" s="51"/>
      <c r="B1664" s="52"/>
      <c r="C1664" s="52"/>
      <c r="D1664" s="52"/>
      <c r="E1664" s="52"/>
      <c r="F1664" s="52"/>
      <c r="G1664" s="52"/>
      <c r="H1664" s="53"/>
      <c r="I1664" s="52"/>
      <c r="J1664" s="52"/>
      <c r="K1664" s="19"/>
      <c r="L1664" s="19"/>
      <c r="M1664" s="19"/>
      <c r="N1664" s="19"/>
      <c r="O1664" s="19"/>
      <c r="P1664" s="19"/>
      <c r="Q1664" s="19"/>
      <c r="R1664" s="19"/>
      <c r="S1664" s="19"/>
      <c r="T1664" s="19"/>
      <c r="U1664" s="19"/>
      <c r="V1664" s="19"/>
      <c r="W1664" s="19"/>
      <c r="X1664" s="19"/>
      <c r="Y1664" s="19"/>
      <c r="Z1664" s="19"/>
      <c r="AA1664" s="19"/>
      <c r="AB1664" s="19"/>
      <c r="AC1664" s="19"/>
      <c r="AD1664" s="19"/>
      <c r="AE1664" s="19"/>
      <c r="AF1664" s="19"/>
      <c r="AG1664" s="19"/>
      <c r="AH1664" s="19"/>
      <c r="AI1664" s="19"/>
      <c r="AJ1664" s="19"/>
      <c r="FM1664" s="54"/>
    </row>
    <row r="1665" spans="1:169" s="18" customFormat="1">
      <c r="A1665" s="51"/>
      <c r="B1665" s="52"/>
      <c r="C1665" s="52"/>
      <c r="D1665" s="52"/>
      <c r="E1665" s="52"/>
      <c r="F1665" s="52"/>
      <c r="G1665" s="52"/>
      <c r="H1665" s="53"/>
      <c r="I1665" s="52"/>
      <c r="J1665" s="52"/>
      <c r="K1665" s="19"/>
      <c r="L1665" s="19"/>
      <c r="M1665" s="19"/>
      <c r="N1665" s="19"/>
      <c r="O1665" s="19"/>
      <c r="P1665" s="19"/>
      <c r="Q1665" s="19"/>
      <c r="R1665" s="19"/>
      <c r="S1665" s="19"/>
      <c r="T1665" s="19"/>
      <c r="U1665" s="19"/>
      <c r="V1665" s="19"/>
      <c r="W1665" s="19"/>
      <c r="X1665" s="19"/>
      <c r="Y1665" s="19"/>
      <c r="Z1665" s="19"/>
      <c r="AA1665" s="19"/>
      <c r="AB1665" s="19"/>
      <c r="AC1665" s="19"/>
      <c r="AD1665" s="19"/>
      <c r="AE1665" s="19"/>
      <c r="AF1665" s="19"/>
      <c r="AG1665" s="19"/>
      <c r="AH1665" s="19"/>
      <c r="AI1665" s="19"/>
      <c r="AJ1665" s="19"/>
      <c r="FM1665" s="54"/>
    </row>
    <row r="1666" spans="1:169" s="18" customFormat="1">
      <c r="A1666" s="51"/>
      <c r="B1666" s="52"/>
      <c r="C1666" s="52"/>
      <c r="D1666" s="52"/>
      <c r="E1666" s="52"/>
      <c r="F1666" s="52"/>
      <c r="G1666" s="52"/>
      <c r="H1666" s="53"/>
      <c r="I1666" s="52"/>
      <c r="J1666" s="52"/>
      <c r="K1666" s="19"/>
      <c r="L1666" s="19"/>
      <c r="M1666" s="19"/>
      <c r="N1666" s="19"/>
      <c r="O1666" s="19"/>
      <c r="P1666" s="19"/>
      <c r="Q1666" s="19"/>
      <c r="R1666" s="19"/>
      <c r="S1666" s="19"/>
      <c r="T1666" s="19"/>
      <c r="U1666" s="19"/>
      <c r="V1666" s="19"/>
      <c r="W1666" s="19"/>
      <c r="X1666" s="19"/>
      <c r="Y1666" s="19"/>
      <c r="Z1666" s="19"/>
      <c r="AA1666" s="19"/>
      <c r="AB1666" s="19"/>
      <c r="AC1666" s="19"/>
      <c r="AD1666" s="19"/>
      <c r="AE1666" s="19"/>
      <c r="AF1666" s="19"/>
      <c r="AG1666" s="19"/>
      <c r="AH1666" s="19"/>
      <c r="AI1666" s="19"/>
      <c r="AJ1666" s="19"/>
      <c r="FM1666" s="54"/>
    </row>
    <row r="1667" spans="1:169" s="18" customFormat="1">
      <c r="A1667" s="51"/>
      <c r="B1667" s="52"/>
      <c r="C1667" s="52"/>
      <c r="D1667" s="52"/>
      <c r="E1667" s="52"/>
      <c r="F1667" s="52"/>
      <c r="G1667" s="52"/>
      <c r="H1667" s="53"/>
      <c r="I1667" s="52"/>
      <c r="J1667" s="52"/>
      <c r="K1667" s="19"/>
      <c r="L1667" s="19"/>
      <c r="M1667" s="19"/>
      <c r="N1667" s="19"/>
      <c r="O1667" s="19"/>
      <c r="P1667" s="19"/>
      <c r="Q1667" s="19"/>
      <c r="R1667" s="19"/>
      <c r="S1667" s="19"/>
      <c r="T1667" s="19"/>
      <c r="U1667" s="19"/>
      <c r="V1667" s="19"/>
      <c r="W1667" s="19"/>
      <c r="X1667" s="19"/>
      <c r="Y1667" s="19"/>
      <c r="Z1667" s="19"/>
      <c r="AA1667" s="19"/>
      <c r="AB1667" s="19"/>
      <c r="AC1667" s="19"/>
      <c r="AD1667" s="19"/>
      <c r="AE1667" s="19"/>
      <c r="AF1667" s="19"/>
      <c r="AG1667" s="19"/>
      <c r="AH1667" s="19"/>
      <c r="AI1667" s="19"/>
      <c r="AJ1667" s="19"/>
      <c r="FM1667" s="54"/>
    </row>
    <row r="1668" spans="1:169" s="18" customFormat="1">
      <c r="A1668" s="51"/>
      <c r="B1668" s="52"/>
      <c r="C1668" s="52"/>
      <c r="D1668" s="52"/>
      <c r="E1668" s="52"/>
      <c r="F1668" s="52"/>
      <c r="G1668" s="52"/>
      <c r="H1668" s="53"/>
      <c r="I1668" s="52"/>
      <c r="J1668" s="52"/>
      <c r="K1668" s="19"/>
      <c r="L1668" s="19"/>
      <c r="M1668" s="19"/>
      <c r="N1668" s="19"/>
      <c r="O1668" s="19"/>
      <c r="P1668" s="19"/>
      <c r="Q1668" s="19"/>
      <c r="R1668" s="19"/>
      <c r="S1668" s="19"/>
      <c r="T1668" s="19"/>
      <c r="U1668" s="19"/>
      <c r="V1668" s="19"/>
      <c r="W1668" s="19"/>
      <c r="X1668" s="19"/>
      <c r="Y1668" s="19"/>
      <c r="Z1668" s="19"/>
      <c r="AA1668" s="19"/>
      <c r="AB1668" s="19"/>
      <c r="AC1668" s="19"/>
      <c r="AD1668" s="19"/>
      <c r="AE1668" s="19"/>
      <c r="AF1668" s="19"/>
      <c r="AG1668" s="19"/>
      <c r="AH1668" s="19"/>
      <c r="AI1668" s="19"/>
      <c r="AJ1668" s="19"/>
      <c r="FM1668" s="54"/>
    </row>
    <row r="1669" spans="1:169" s="18" customFormat="1">
      <c r="A1669" s="51"/>
      <c r="B1669" s="52"/>
      <c r="C1669" s="52"/>
      <c r="D1669" s="52"/>
      <c r="E1669" s="52"/>
      <c r="F1669" s="52"/>
      <c r="G1669" s="52"/>
      <c r="H1669" s="53"/>
      <c r="I1669" s="52"/>
      <c r="J1669" s="52"/>
      <c r="K1669" s="19"/>
      <c r="L1669" s="19"/>
      <c r="M1669" s="19"/>
      <c r="N1669" s="19"/>
      <c r="O1669" s="19"/>
      <c r="P1669" s="19"/>
      <c r="Q1669" s="19"/>
      <c r="R1669" s="19"/>
      <c r="S1669" s="19"/>
      <c r="T1669" s="19"/>
      <c r="U1669" s="19"/>
      <c r="V1669" s="19"/>
      <c r="W1669" s="19"/>
      <c r="X1669" s="19"/>
      <c r="Y1669" s="19"/>
      <c r="Z1669" s="19"/>
      <c r="AA1669" s="19"/>
      <c r="AB1669" s="19"/>
      <c r="AC1669" s="19"/>
      <c r="AD1669" s="19"/>
      <c r="AE1669" s="19"/>
      <c r="AF1669" s="19"/>
      <c r="AG1669" s="19"/>
      <c r="AH1669" s="19"/>
      <c r="AI1669" s="19"/>
      <c r="AJ1669" s="19"/>
      <c r="FM1669" s="54"/>
    </row>
    <row r="1670" spans="1:169" s="18" customFormat="1">
      <c r="A1670" s="51"/>
      <c r="B1670" s="52"/>
      <c r="C1670" s="52"/>
      <c r="D1670" s="52"/>
      <c r="E1670" s="52"/>
      <c r="F1670" s="52"/>
      <c r="G1670" s="52"/>
      <c r="H1670" s="53"/>
      <c r="I1670" s="52"/>
      <c r="J1670" s="52"/>
      <c r="K1670" s="19"/>
      <c r="L1670" s="19"/>
      <c r="M1670" s="19"/>
      <c r="N1670" s="19"/>
      <c r="O1670" s="19"/>
      <c r="P1670" s="19"/>
      <c r="Q1670" s="19"/>
      <c r="R1670" s="19"/>
      <c r="S1670" s="19"/>
      <c r="T1670" s="19"/>
      <c r="U1670" s="19"/>
      <c r="V1670" s="19"/>
      <c r="W1670" s="19"/>
      <c r="X1670" s="19"/>
      <c r="Y1670" s="19"/>
      <c r="Z1670" s="19"/>
      <c r="AA1670" s="19"/>
      <c r="AB1670" s="19"/>
      <c r="AC1670" s="19"/>
      <c r="AD1670" s="19"/>
      <c r="AE1670" s="19"/>
      <c r="AF1670" s="19"/>
      <c r="AG1670" s="19"/>
      <c r="AH1670" s="19"/>
      <c r="AI1670" s="19"/>
      <c r="AJ1670" s="19"/>
      <c r="FM1670" s="54"/>
    </row>
    <row r="1671" spans="1:169" s="18" customFormat="1">
      <c r="A1671" s="51"/>
      <c r="B1671" s="52"/>
      <c r="C1671" s="52"/>
      <c r="D1671" s="52"/>
      <c r="E1671" s="52"/>
      <c r="F1671" s="52"/>
      <c r="G1671" s="52"/>
      <c r="H1671" s="53"/>
      <c r="I1671" s="52"/>
      <c r="J1671" s="52"/>
      <c r="K1671" s="19"/>
      <c r="L1671" s="19"/>
      <c r="M1671" s="19"/>
      <c r="N1671" s="19"/>
      <c r="O1671" s="19"/>
      <c r="P1671" s="19"/>
      <c r="Q1671" s="19"/>
      <c r="R1671" s="19"/>
      <c r="S1671" s="19"/>
      <c r="T1671" s="19"/>
      <c r="U1671" s="19"/>
      <c r="V1671" s="19"/>
      <c r="W1671" s="19"/>
      <c r="X1671" s="19"/>
      <c r="Y1671" s="19"/>
      <c r="Z1671" s="19"/>
      <c r="AA1671" s="19"/>
      <c r="AB1671" s="19"/>
      <c r="AC1671" s="19"/>
      <c r="AD1671" s="19"/>
      <c r="AE1671" s="19"/>
      <c r="AF1671" s="19"/>
      <c r="AG1671" s="19"/>
      <c r="AH1671" s="19"/>
      <c r="AI1671" s="19"/>
      <c r="AJ1671" s="19"/>
      <c r="FM1671" s="54"/>
    </row>
    <row r="1672" spans="1:169" s="18" customFormat="1">
      <c r="A1672" s="51"/>
      <c r="B1672" s="52"/>
      <c r="C1672" s="52"/>
      <c r="D1672" s="52"/>
      <c r="E1672" s="52"/>
      <c r="F1672" s="52"/>
      <c r="G1672" s="52"/>
      <c r="H1672" s="53"/>
      <c r="I1672" s="52"/>
      <c r="J1672" s="52"/>
      <c r="K1672" s="19"/>
      <c r="L1672" s="19"/>
      <c r="M1672" s="19"/>
      <c r="N1672" s="19"/>
      <c r="O1672" s="19"/>
      <c r="P1672" s="19"/>
      <c r="Q1672" s="19"/>
      <c r="R1672" s="19"/>
      <c r="S1672" s="19"/>
      <c r="T1672" s="19"/>
      <c r="U1672" s="19"/>
      <c r="V1672" s="19"/>
      <c r="W1672" s="19"/>
      <c r="X1672" s="19"/>
      <c r="Y1672" s="19"/>
      <c r="Z1672" s="19"/>
      <c r="AA1672" s="19"/>
      <c r="AB1672" s="19"/>
      <c r="AC1672" s="19"/>
      <c r="AD1672" s="19"/>
      <c r="AE1672" s="19"/>
      <c r="AF1672" s="19"/>
      <c r="AG1672" s="19"/>
      <c r="AH1672" s="19"/>
      <c r="AI1672" s="19"/>
      <c r="AJ1672" s="19"/>
      <c r="FM1672" s="54"/>
    </row>
    <row r="1673" spans="1:169" s="18" customFormat="1">
      <c r="A1673" s="51"/>
      <c r="B1673" s="52"/>
      <c r="C1673" s="52"/>
      <c r="D1673" s="52"/>
      <c r="E1673" s="52"/>
      <c r="F1673" s="52"/>
      <c r="G1673" s="52"/>
      <c r="H1673" s="53"/>
      <c r="I1673" s="52"/>
      <c r="J1673" s="52"/>
      <c r="K1673" s="19"/>
      <c r="L1673" s="19"/>
      <c r="M1673" s="19"/>
      <c r="N1673" s="19"/>
      <c r="O1673" s="19"/>
      <c r="P1673" s="19"/>
      <c r="Q1673" s="19"/>
      <c r="R1673" s="19"/>
      <c r="S1673" s="19"/>
      <c r="T1673" s="19"/>
      <c r="U1673" s="19"/>
      <c r="V1673" s="19"/>
      <c r="W1673" s="19"/>
      <c r="X1673" s="19"/>
      <c r="Y1673" s="19"/>
      <c r="Z1673" s="19"/>
      <c r="AA1673" s="19"/>
      <c r="AB1673" s="19"/>
      <c r="AC1673" s="19"/>
      <c r="AD1673" s="19"/>
      <c r="AE1673" s="19"/>
      <c r="AF1673" s="19"/>
      <c r="AG1673" s="19"/>
      <c r="AH1673" s="19"/>
      <c r="AI1673" s="19"/>
      <c r="AJ1673" s="19"/>
      <c r="FM1673" s="54"/>
    </row>
    <row r="1674" spans="1:169" s="18" customFormat="1">
      <c r="A1674" s="51"/>
      <c r="B1674" s="52"/>
      <c r="C1674" s="52"/>
      <c r="D1674" s="52"/>
      <c r="E1674" s="52"/>
      <c r="F1674" s="52"/>
      <c r="G1674" s="52"/>
      <c r="H1674" s="53"/>
      <c r="I1674" s="52"/>
      <c r="J1674" s="52"/>
      <c r="K1674" s="19"/>
      <c r="L1674" s="19"/>
      <c r="M1674" s="19"/>
      <c r="N1674" s="19"/>
      <c r="O1674" s="19"/>
      <c r="P1674" s="19"/>
      <c r="Q1674" s="19"/>
      <c r="R1674" s="19"/>
      <c r="S1674" s="19"/>
      <c r="T1674" s="19"/>
      <c r="U1674" s="19"/>
      <c r="V1674" s="19"/>
      <c r="W1674" s="19"/>
      <c r="X1674" s="19"/>
      <c r="Y1674" s="19"/>
      <c r="Z1674" s="19"/>
      <c r="AA1674" s="19"/>
      <c r="AB1674" s="19"/>
      <c r="AC1674" s="19"/>
      <c r="AD1674" s="19"/>
      <c r="AE1674" s="19"/>
      <c r="AF1674" s="19"/>
      <c r="AG1674" s="19"/>
      <c r="AH1674" s="19"/>
      <c r="AI1674" s="19"/>
      <c r="AJ1674" s="19"/>
      <c r="FM1674" s="54"/>
    </row>
    <row r="1675" spans="1:169" s="18" customFormat="1">
      <c r="A1675" s="51"/>
      <c r="B1675" s="52"/>
      <c r="C1675" s="52"/>
      <c r="D1675" s="52"/>
      <c r="E1675" s="52"/>
      <c r="F1675" s="52"/>
      <c r="G1675" s="52"/>
      <c r="H1675" s="53"/>
      <c r="I1675" s="52"/>
      <c r="J1675" s="52"/>
      <c r="K1675" s="19"/>
      <c r="L1675" s="19"/>
      <c r="M1675" s="19"/>
      <c r="N1675" s="19"/>
      <c r="O1675" s="19"/>
      <c r="P1675" s="19"/>
      <c r="Q1675" s="19"/>
      <c r="R1675" s="19"/>
      <c r="S1675" s="19"/>
      <c r="T1675" s="19"/>
      <c r="U1675" s="19"/>
      <c r="V1675" s="19"/>
      <c r="W1675" s="19"/>
      <c r="X1675" s="19"/>
      <c r="Y1675" s="19"/>
      <c r="Z1675" s="19"/>
      <c r="AA1675" s="19"/>
      <c r="AB1675" s="19"/>
      <c r="AC1675" s="19"/>
      <c r="AD1675" s="19"/>
      <c r="AE1675" s="19"/>
      <c r="AF1675" s="19"/>
      <c r="AG1675" s="19"/>
      <c r="AH1675" s="19"/>
      <c r="AI1675" s="19"/>
      <c r="AJ1675" s="19"/>
      <c r="FM1675" s="54"/>
    </row>
    <row r="1676" spans="1:169" s="18" customFormat="1">
      <c r="A1676" s="51"/>
      <c r="B1676" s="52"/>
      <c r="C1676" s="52"/>
      <c r="D1676" s="52"/>
      <c r="E1676" s="52"/>
      <c r="F1676" s="52"/>
      <c r="G1676" s="52"/>
      <c r="H1676" s="53"/>
      <c r="I1676" s="52"/>
      <c r="J1676" s="52"/>
      <c r="K1676" s="19"/>
      <c r="L1676" s="19"/>
      <c r="M1676" s="19"/>
      <c r="N1676" s="19"/>
      <c r="O1676" s="19"/>
      <c r="P1676" s="19"/>
      <c r="Q1676" s="19"/>
      <c r="R1676" s="19"/>
      <c r="S1676" s="19"/>
      <c r="T1676" s="19"/>
      <c r="U1676" s="19"/>
      <c r="V1676" s="19"/>
      <c r="W1676" s="19"/>
      <c r="X1676" s="19"/>
      <c r="Y1676" s="19"/>
      <c r="Z1676" s="19"/>
      <c r="AA1676" s="19"/>
      <c r="AB1676" s="19"/>
      <c r="AC1676" s="19"/>
      <c r="AD1676" s="19"/>
      <c r="AE1676" s="19"/>
      <c r="AF1676" s="19"/>
      <c r="AG1676" s="19"/>
      <c r="AH1676" s="19"/>
      <c r="AI1676" s="19"/>
      <c r="AJ1676" s="19"/>
      <c r="FM1676" s="54"/>
    </row>
    <row r="1677" spans="1:169" s="18" customFormat="1">
      <c r="A1677" s="51"/>
      <c r="B1677" s="52"/>
      <c r="C1677" s="52"/>
      <c r="D1677" s="52"/>
      <c r="E1677" s="52"/>
      <c r="F1677" s="52"/>
      <c r="G1677" s="52"/>
      <c r="H1677" s="53"/>
      <c r="I1677" s="52"/>
      <c r="J1677" s="52"/>
      <c r="K1677" s="19"/>
      <c r="L1677" s="19"/>
      <c r="M1677" s="19"/>
      <c r="N1677" s="19"/>
      <c r="O1677" s="19"/>
      <c r="P1677" s="19"/>
      <c r="Q1677" s="19"/>
      <c r="R1677" s="19"/>
      <c r="S1677" s="19"/>
      <c r="T1677" s="19"/>
      <c r="U1677" s="19"/>
      <c r="V1677" s="19"/>
      <c r="W1677" s="19"/>
      <c r="X1677" s="19"/>
      <c r="Y1677" s="19"/>
      <c r="Z1677" s="19"/>
      <c r="AA1677" s="19"/>
      <c r="AB1677" s="19"/>
      <c r="AC1677" s="19"/>
      <c r="AD1677" s="19"/>
      <c r="AE1677" s="19"/>
      <c r="AF1677" s="19"/>
      <c r="AG1677" s="19"/>
      <c r="AH1677" s="19"/>
      <c r="AI1677" s="19"/>
      <c r="AJ1677" s="19"/>
      <c r="FM1677" s="54"/>
    </row>
    <row r="1678" spans="1:169" s="18" customFormat="1">
      <c r="A1678" s="51"/>
      <c r="B1678" s="52"/>
      <c r="C1678" s="52"/>
      <c r="D1678" s="52"/>
      <c r="E1678" s="52"/>
      <c r="F1678" s="52"/>
      <c r="G1678" s="52"/>
      <c r="H1678" s="53"/>
      <c r="I1678" s="52"/>
      <c r="J1678" s="52"/>
      <c r="K1678" s="19"/>
      <c r="L1678" s="19"/>
      <c r="M1678" s="19"/>
      <c r="N1678" s="19"/>
      <c r="O1678" s="19"/>
      <c r="P1678" s="19"/>
      <c r="Q1678" s="19"/>
      <c r="R1678" s="19"/>
      <c r="S1678" s="19"/>
      <c r="T1678" s="19"/>
      <c r="U1678" s="19"/>
      <c r="V1678" s="19"/>
      <c r="W1678" s="19"/>
      <c r="X1678" s="19"/>
      <c r="Y1678" s="19"/>
      <c r="Z1678" s="19"/>
      <c r="AA1678" s="19"/>
      <c r="AB1678" s="19"/>
      <c r="AC1678" s="19"/>
      <c r="AD1678" s="19"/>
      <c r="AE1678" s="19"/>
      <c r="AF1678" s="19"/>
      <c r="AG1678" s="19"/>
      <c r="AH1678" s="19"/>
      <c r="AI1678" s="19"/>
      <c r="AJ1678" s="19"/>
      <c r="FM1678" s="54"/>
    </row>
    <row r="1679" spans="1:169" s="18" customFormat="1">
      <c r="A1679" s="51"/>
      <c r="B1679" s="52"/>
      <c r="C1679" s="52"/>
      <c r="D1679" s="52"/>
      <c r="E1679" s="52"/>
      <c r="F1679" s="52"/>
      <c r="G1679" s="52"/>
      <c r="H1679" s="53"/>
      <c r="I1679" s="52"/>
      <c r="J1679" s="52"/>
      <c r="K1679" s="19"/>
      <c r="L1679" s="19"/>
      <c r="M1679" s="19"/>
      <c r="N1679" s="19"/>
      <c r="O1679" s="19"/>
      <c r="P1679" s="19"/>
      <c r="Q1679" s="19"/>
      <c r="R1679" s="19"/>
      <c r="S1679" s="19"/>
      <c r="T1679" s="19"/>
      <c r="U1679" s="19"/>
      <c r="V1679" s="19"/>
      <c r="W1679" s="19"/>
      <c r="X1679" s="19"/>
      <c r="Y1679" s="19"/>
      <c r="Z1679" s="19"/>
      <c r="AA1679" s="19"/>
      <c r="AB1679" s="19"/>
      <c r="AC1679" s="19"/>
      <c r="AD1679" s="19"/>
      <c r="AE1679" s="19"/>
      <c r="AF1679" s="19"/>
      <c r="AG1679" s="19"/>
      <c r="AH1679" s="19"/>
      <c r="AI1679" s="19"/>
      <c r="AJ1679" s="19"/>
      <c r="FM1679" s="54"/>
    </row>
    <row r="1680" spans="1:169" s="18" customFormat="1">
      <c r="A1680" s="51"/>
      <c r="B1680" s="52"/>
      <c r="C1680" s="52"/>
      <c r="D1680" s="52"/>
      <c r="E1680" s="52"/>
      <c r="F1680" s="52"/>
      <c r="G1680" s="52"/>
      <c r="H1680" s="53"/>
      <c r="I1680" s="52"/>
      <c r="J1680" s="52"/>
      <c r="K1680" s="19"/>
      <c r="L1680" s="19"/>
      <c r="M1680" s="19"/>
      <c r="N1680" s="19"/>
      <c r="O1680" s="19"/>
      <c r="P1680" s="19"/>
      <c r="Q1680" s="19"/>
      <c r="R1680" s="19"/>
      <c r="S1680" s="19"/>
      <c r="T1680" s="19"/>
      <c r="U1680" s="19"/>
      <c r="V1680" s="19"/>
      <c r="W1680" s="19"/>
      <c r="X1680" s="19"/>
      <c r="Y1680" s="19"/>
      <c r="Z1680" s="19"/>
      <c r="AA1680" s="19"/>
      <c r="AB1680" s="19"/>
      <c r="AC1680" s="19"/>
      <c r="AD1680" s="19"/>
      <c r="AE1680" s="19"/>
      <c r="AF1680" s="19"/>
      <c r="AG1680" s="19"/>
      <c r="AH1680" s="19"/>
      <c r="AI1680" s="19"/>
      <c r="AJ1680" s="19"/>
      <c r="FM1680" s="54"/>
    </row>
    <row r="1681" spans="1:169" s="18" customFormat="1">
      <c r="A1681" s="51"/>
      <c r="B1681" s="52"/>
      <c r="C1681" s="52"/>
      <c r="D1681" s="52"/>
      <c r="E1681" s="52"/>
      <c r="F1681" s="52"/>
      <c r="G1681" s="52"/>
      <c r="H1681" s="53"/>
      <c r="I1681" s="52"/>
      <c r="J1681" s="52"/>
      <c r="K1681" s="19"/>
      <c r="L1681" s="19"/>
      <c r="M1681" s="19"/>
      <c r="N1681" s="19"/>
      <c r="O1681" s="19"/>
      <c r="P1681" s="19"/>
      <c r="Q1681" s="19"/>
      <c r="R1681" s="19"/>
      <c r="S1681" s="19"/>
      <c r="T1681" s="19"/>
      <c r="U1681" s="19"/>
      <c r="V1681" s="19"/>
      <c r="W1681" s="19"/>
      <c r="X1681" s="19"/>
      <c r="Y1681" s="19"/>
      <c r="Z1681" s="19"/>
      <c r="AA1681" s="19"/>
      <c r="AB1681" s="19"/>
      <c r="AC1681" s="19"/>
      <c r="AD1681" s="19"/>
      <c r="AE1681" s="19"/>
      <c r="AF1681" s="19"/>
      <c r="AG1681" s="19"/>
      <c r="AH1681" s="19"/>
      <c r="AI1681" s="19"/>
      <c r="AJ1681" s="19"/>
      <c r="FM1681" s="54"/>
    </row>
    <row r="1682" spans="1:169" s="18" customFormat="1">
      <c r="A1682" s="51"/>
      <c r="B1682" s="52"/>
      <c r="C1682" s="52"/>
      <c r="D1682" s="52"/>
      <c r="E1682" s="52"/>
      <c r="F1682" s="52"/>
      <c r="G1682" s="52"/>
      <c r="H1682" s="53"/>
      <c r="I1682" s="52"/>
      <c r="J1682" s="52"/>
      <c r="K1682" s="19"/>
      <c r="L1682" s="19"/>
      <c r="M1682" s="19"/>
      <c r="N1682" s="19"/>
      <c r="O1682" s="19"/>
      <c r="P1682" s="19"/>
      <c r="Q1682" s="19"/>
      <c r="R1682" s="19"/>
      <c r="S1682" s="19"/>
      <c r="T1682" s="19"/>
      <c r="U1682" s="19"/>
      <c r="V1682" s="19"/>
      <c r="W1682" s="19"/>
      <c r="X1682" s="19"/>
      <c r="Y1682" s="19"/>
      <c r="Z1682" s="19"/>
      <c r="AA1682" s="19"/>
      <c r="AB1682" s="19"/>
      <c r="AC1682" s="19"/>
      <c r="AD1682" s="19"/>
      <c r="AE1682" s="19"/>
      <c r="AF1682" s="19"/>
      <c r="AG1682" s="19"/>
      <c r="AH1682" s="19"/>
      <c r="AI1682" s="19"/>
      <c r="AJ1682" s="19"/>
      <c r="FM1682" s="54"/>
    </row>
    <row r="1683" spans="1:169" s="18" customFormat="1">
      <c r="A1683" s="51"/>
      <c r="B1683" s="52"/>
      <c r="C1683" s="52"/>
      <c r="D1683" s="52"/>
      <c r="E1683" s="52"/>
      <c r="F1683" s="52"/>
      <c r="G1683" s="52"/>
      <c r="H1683" s="53"/>
      <c r="I1683" s="52"/>
      <c r="J1683" s="52"/>
      <c r="K1683" s="19"/>
      <c r="L1683" s="19"/>
      <c r="M1683" s="19"/>
      <c r="N1683" s="19"/>
      <c r="O1683" s="19"/>
      <c r="P1683" s="19"/>
      <c r="Q1683" s="19"/>
      <c r="R1683" s="19"/>
      <c r="S1683" s="19"/>
      <c r="T1683" s="19"/>
      <c r="U1683" s="19"/>
      <c r="V1683" s="19"/>
      <c r="W1683" s="19"/>
      <c r="X1683" s="19"/>
      <c r="Y1683" s="19"/>
      <c r="Z1683" s="19"/>
      <c r="AA1683" s="19"/>
      <c r="AB1683" s="19"/>
      <c r="AC1683" s="19"/>
      <c r="AD1683" s="19"/>
      <c r="AE1683" s="19"/>
      <c r="AF1683" s="19"/>
      <c r="AG1683" s="19"/>
      <c r="AH1683" s="19"/>
      <c r="AI1683" s="19"/>
      <c r="AJ1683" s="19"/>
      <c r="FM1683" s="54"/>
    </row>
    <row r="1684" spans="1:169" s="18" customFormat="1">
      <c r="A1684" s="51"/>
      <c r="B1684" s="52"/>
      <c r="C1684" s="52"/>
      <c r="D1684" s="52"/>
      <c r="E1684" s="52"/>
      <c r="F1684" s="52"/>
      <c r="G1684" s="52"/>
      <c r="H1684" s="53"/>
      <c r="I1684" s="52"/>
      <c r="J1684" s="52"/>
      <c r="K1684" s="19"/>
      <c r="L1684" s="19"/>
      <c r="M1684" s="19"/>
      <c r="N1684" s="19"/>
      <c r="O1684" s="19"/>
      <c r="P1684" s="19"/>
      <c r="Q1684" s="19"/>
      <c r="R1684" s="19"/>
      <c r="S1684" s="19"/>
      <c r="T1684" s="19"/>
      <c r="U1684" s="19"/>
      <c r="V1684" s="19"/>
      <c r="W1684" s="19"/>
      <c r="X1684" s="19"/>
      <c r="Y1684" s="19"/>
      <c r="Z1684" s="19"/>
      <c r="AA1684" s="19"/>
      <c r="AB1684" s="19"/>
      <c r="AC1684" s="19"/>
      <c r="AD1684" s="19"/>
      <c r="AE1684" s="19"/>
      <c r="AF1684" s="19"/>
      <c r="AG1684" s="19"/>
      <c r="AH1684" s="19"/>
      <c r="AI1684" s="19"/>
      <c r="AJ1684" s="19"/>
      <c r="FM1684" s="54"/>
    </row>
    <row r="1685" spans="1:169" s="18" customFormat="1">
      <c r="A1685" s="51"/>
      <c r="B1685" s="52"/>
      <c r="C1685" s="52"/>
      <c r="D1685" s="52"/>
      <c r="E1685" s="52"/>
      <c r="F1685" s="52"/>
      <c r="G1685" s="52"/>
      <c r="H1685" s="53"/>
      <c r="I1685" s="52"/>
      <c r="J1685" s="52"/>
      <c r="K1685" s="19"/>
      <c r="L1685" s="19"/>
      <c r="M1685" s="19"/>
      <c r="N1685" s="19"/>
      <c r="O1685" s="19"/>
      <c r="P1685" s="19"/>
      <c r="Q1685" s="19"/>
      <c r="R1685" s="19"/>
      <c r="S1685" s="19"/>
      <c r="T1685" s="19"/>
      <c r="U1685" s="19"/>
      <c r="V1685" s="19"/>
      <c r="W1685" s="19"/>
      <c r="X1685" s="19"/>
      <c r="Y1685" s="19"/>
      <c r="Z1685" s="19"/>
      <c r="AA1685" s="19"/>
      <c r="AB1685" s="19"/>
      <c r="AC1685" s="19"/>
      <c r="AD1685" s="19"/>
      <c r="AE1685" s="19"/>
      <c r="AF1685" s="19"/>
      <c r="AG1685" s="19"/>
      <c r="AH1685" s="19"/>
      <c r="AI1685" s="19"/>
      <c r="AJ1685" s="19"/>
      <c r="FM1685" s="54"/>
    </row>
    <row r="1686" spans="1:169" s="18" customFormat="1">
      <c r="A1686" s="51"/>
      <c r="B1686" s="52"/>
      <c r="C1686" s="52"/>
      <c r="D1686" s="52"/>
      <c r="E1686" s="52"/>
      <c r="F1686" s="52"/>
      <c r="G1686" s="52"/>
      <c r="H1686" s="53"/>
      <c r="I1686" s="52"/>
      <c r="J1686" s="52"/>
      <c r="K1686" s="19"/>
      <c r="L1686" s="19"/>
      <c r="M1686" s="19"/>
      <c r="N1686" s="19"/>
      <c r="O1686" s="19"/>
      <c r="P1686" s="19"/>
      <c r="Q1686" s="19"/>
      <c r="R1686" s="19"/>
      <c r="S1686" s="19"/>
      <c r="T1686" s="19"/>
      <c r="U1686" s="19"/>
      <c r="V1686" s="19"/>
      <c r="W1686" s="19"/>
      <c r="X1686" s="19"/>
      <c r="Y1686" s="19"/>
      <c r="Z1686" s="19"/>
      <c r="AA1686" s="19"/>
      <c r="AB1686" s="19"/>
      <c r="AC1686" s="19"/>
      <c r="AD1686" s="19"/>
      <c r="AE1686" s="19"/>
      <c r="AF1686" s="19"/>
      <c r="AG1686" s="19"/>
      <c r="AH1686" s="19"/>
      <c r="AI1686" s="19"/>
      <c r="AJ1686" s="19"/>
      <c r="FM1686" s="54"/>
    </row>
    <row r="1687" spans="1:169" s="18" customFormat="1">
      <c r="A1687" s="51"/>
      <c r="B1687" s="52"/>
      <c r="C1687" s="52"/>
      <c r="D1687" s="52"/>
      <c r="E1687" s="52"/>
      <c r="F1687" s="52"/>
      <c r="G1687" s="52"/>
      <c r="H1687" s="53"/>
      <c r="I1687" s="52"/>
      <c r="J1687" s="52"/>
      <c r="K1687" s="19"/>
      <c r="L1687" s="19"/>
      <c r="M1687" s="19"/>
      <c r="N1687" s="19"/>
      <c r="O1687" s="19"/>
      <c r="P1687" s="19"/>
      <c r="Q1687" s="19"/>
      <c r="R1687" s="19"/>
      <c r="S1687" s="19"/>
      <c r="T1687" s="19"/>
      <c r="U1687" s="19"/>
      <c r="V1687" s="19"/>
      <c r="W1687" s="19"/>
      <c r="X1687" s="19"/>
      <c r="Y1687" s="19"/>
      <c r="Z1687" s="19"/>
      <c r="AA1687" s="19"/>
      <c r="AB1687" s="19"/>
      <c r="AC1687" s="19"/>
      <c r="AD1687" s="19"/>
      <c r="AE1687" s="19"/>
      <c r="AF1687" s="19"/>
      <c r="AG1687" s="19"/>
      <c r="AH1687" s="19"/>
      <c r="AI1687" s="19"/>
      <c r="AJ1687" s="19"/>
      <c r="FM1687" s="54"/>
    </row>
    <row r="1688" spans="1:169" s="18" customFormat="1">
      <c r="A1688" s="51"/>
      <c r="B1688" s="52"/>
      <c r="C1688" s="52"/>
      <c r="D1688" s="52"/>
      <c r="E1688" s="52"/>
      <c r="F1688" s="52"/>
      <c r="G1688" s="52"/>
      <c r="H1688" s="53"/>
      <c r="I1688" s="52"/>
      <c r="J1688" s="52"/>
      <c r="K1688" s="19"/>
      <c r="L1688" s="19"/>
      <c r="M1688" s="19"/>
      <c r="N1688" s="19"/>
      <c r="O1688" s="19"/>
      <c r="P1688" s="19"/>
      <c r="Q1688" s="19"/>
      <c r="R1688" s="19"/>
      <c r="S1688" s="19"/>
      <c r="T1688" s="19"/>
      <c r="U1688" s="19"/>
      <c r="V1688" s="19"/>
      <c r="W1688" s="19"/>
      <c r="X1688" s="19"/>
      <c r="Y1688" s="19"/>
      <c r="Z1688" s="19"/>
      <c r="AA1688" s="19"/>
      <c r="AB1688" s="19"/>
      <c r="AC1688" s="19"/>
      <c r="AD1688" s="19"/>
      <c r="AE1688" s="19"/>
      <c r="AF1688" s="19"/>
      <c r="AG1688" s="19"/>
      <c r="AH1688" s="19"/>
      <c r="AI1688" s="19"/>
      <c r="AJ1688" s="19"/>
      <c r="FM1688" s="54"/>
    </row>
    <row r="1689" spans="1:169" s="18" customFormat="1">
      <c r="A1689" s="51"/>
      <c r="B1689" s="52"/>
      <c r="C1689" s="52"/>
      <c r="D1689" s="52"/>
      <c r="E1689" s="52"/>
      <c r="F1689" s="52"/>
      <c r="G1689" s="52"/>
      <c r="H1689" s="53"/>
      <c r="I1689" s="52"/>
      <c r="J1689" s="52"/>
      <c r="K1689" s="19"/>
      <c r="L1689" s="19"/>
      <c r="M1689" s="19"/>
      <c r="N1689" s="19"/>
      <c r="O1689" s="19"/>
      <c r="P1689" s="19"/>
      <c r="Q1689" s="19"/>
      <c r="R1689" s="19"/>
      <c r="S1689" s="19"/>
      <c r="T1689" s="19"/>
      <c r="U1689" s="19"/>
      <c r="V1689" s="19"/>
      <c r="W1689" s="19"/>
      <c r="X1689" s="19"/>
      <c r="Y1689" s="19"/>
      <c r="Z1689" s="19"/>
      <c r="AA1689" s="19"/>
      <c r="AB1689" s="19"/>
      <c r="AC1689" s="19"/>
      <c r="AD1689" s="19"/>
      <c r="AE1689" s="19"/>
      <c r="AF1689" s="19"/>
      <c r="AG1689" s="19"/>
      <c r="AH1689" s="19"/>
      <c r="AI1689" s="19"/>
      <c r="AJ1689" s="19"/>
      <c r="FM1689" s="54"/>
    </row>
    <row r="1690" spans="1:169" s="18" customFormat="1">
      <c r="A1690" s="51"/>
      <c r="B1690" s="52"/>
      <c r="C1690" s="52"/>
      <c r="D1690" s="52"/>
      <c r="E1690" s="52"/>
      <c r="F1690" s="52"/>
      <c r="G1690" s="52"/>
      <c r="H1690" s="53"/>
      <c r="I1690" s="52"/>
      <c r="J1690" s="52"/>
      <c r="K1690" s="19"/>
      <c r="L1690" s="19"/>
      <c r="M1690" s="19"/>
      <c r="N1690" s="19"/>
      <c r="O1690" s="19"/>
      <c r="P1690" s="19"/>
      <c r="Q1690" s="19"/>
      <c r="R1690" s="19"/>
      <c r="S1690" s="19"/>
      <c r="T1690" s="19"/>
      <c r="U1690" s="19"/>
      <c r="V1690" s="19"/>
      <c r="W1690" s="19"/>
      <c r="X1690" s="19"/>
      <c r="Y1690" s="19"/>
      <c r="Z1690" s="19"/>
      <c r="AA1690" s="19"/>
      <c r="AB1690" s="19"/>
      <c r="AC1690" s="19"/>
      <c r="AD1690" s="19"/>
      <c r="AE1690" s="19"/>
      <c r="AF1690" s="19"/>
      <c r="AG1690" s="19"/>
      <c r="AH1690" s="19"/>
      <c r="AI1690" s="19"/>
      <c r="AJ1690" s="19"/>
      <c r="FM1690" s="54"/>
    </row>
    <row r="1691" spans="1:169" s="18" customFormat="1">
      <c r="A1691" s="51"/>
      <c r="B1691" s="52"/>
      <c r="C1691" s="52"/>
      <c r="D1691" s="52"/>
      <c r="E1691" s="52"/>
      <c r="F1691" s="52"/>
      <c r="G1691" s="52"/>
      <c r="H1691" s="53"/>
      <c r="I1691" s="52"/>
      <c r="J1691" s="52"/>
      <c r="K1691" s="19"/>
      <c r="L1691" s="19"/>
      <c r="M1691" s="19"/>
      <c r="N1691" s="19"/>
      <c r="O1691" s="19"/>
      <c r="P1691" s="19"/>
      <c r="Q1691" s="19"/>
      <c r="R1691" s="19"/>
      <c r="S1691" s="19"/>
      <c r="T1691" s="19"/>
      <c r="U1691" s="19"/>
      <c r="V1691" s="19"/>
      <c r="W1691" s="19"/>
      <c r="X1691" s="19"/>
      <c r="Y1691" s="19"/>
      <c r="Z1691" s="19"/>
      <c r="AA1691" s="19"/>
      <c r="AB1691" s="19"/>
      <c r="AC1691" s="19"/>
      <c r="AD1691" s="19"/>
      <c r="AE1691" s="19"/>
      <c r="AF1691" s="19"/>
      <c r="AG1691" s="19"/>
      <c r="AH1691" s="19"/>
      <c r="AI1691" s="19"/>
      <c r="AJ1691" s="19"/>
      <c r="FM1691" s="54"/>
    </row>
    <row r="1692" spans="1:169" s="18" customFormat="1">
      <c r="A1692" s="51"/>
      <c r="B1692" s="52"/>
      <c r="C1692" s="52"/>
      <c r="D1692" s="52"/>
      <c r="E1692" s="52"/>
      <c r="F1692" s="52"/>
      <c r="G1692" s="52"/>
      <c r="H1692" s="53"/>
      <c r="I1692" s="52"/>
      <c r="J1692" s="52"/>
      <c r="K1692" s="19"/>
      <c r="L1692" s="19"/>
      <c r="M1692" s="19"/>
      <c r="N1692" s="19"/>
      <c r="O1692" s="19"/>
      <c r="P1692" s="19"/>
      <c r="Q1692" s="19"/>
      <c r="R1692" s="19"/>
      <c r="S1692" s="19"/>
      <c r="T1692" s="19"/>
      <c r="U1692" s="19"/>
      <c r="V1692" s="19"/>
      <c r="W1692" s="19"/>
      <c r="X1692" s="19"/>
      <c r="Y1692" s="19"/>
      <c r="Z1692" s="19"/>
      <c r="AA1692" s="19"/>
      <c r="AB1692" s="19"/>
      <c r="AC1692" s="19"/>
      <c r="AD1692" s="19"/>
      <c r="AE1692" s="19"/>
      <c r="AF1692" s="19"/>
      <c r="AG1692" s="19"/>
      <c r="AH1692" s="19"/>
      <c r="AI1692" s="19"/>
      <c r="AJ1692" s="19"/>
      <c r="FM1692" s="54"/>
    </row>
    <row r="1693" spans="1:169" s="18" customFormat="1">
      <c r="A1693" s="51"/>
      <c r="B1693" s="52"/>
      <c r="C1693" s="52"/>
      <c r="D1693" s="52"/>
      <c r="E1693" s="52"/>
      <c r="F1693" s="52"/>
      <c r="G1693" s="52"/>
      <c r="H1693" s="53"/>
      <c r="I1693" s="52"/>
      <c r="J1693" s="52"/>
      <c r="K1693" s="19"/>
      <c r="L1693" s="19"/>
      <c r="M1693" s="19"/>
      <c r="N1693" s="19"/>
      <c r="O1693" s="19"/>
      <c r="P1693" s="19"/>
      <c r="Q1693" s="19"/>
      <c r="R1693" s="19"/>
      <c r="S1693" s="19"/>
      <c r="T1693" s="19"/>
      <c r="U1693" s="19"/>
      <c r="V1693" s="19"/>
      <c r="W1693" s="19"/>
      <c r="X1693" s="19"/>
      <c r="Y1693" s="19"/>
      <c r="Z1693" s="19"/>
      <c r="AA1693" s="19"/>
      <c r="AB1693" s="19"/>
      <c r="AC1693" s="19"/>
      <c r="AD1693" s="19"/>
      <c r="AE1693" s="19"/>
      <c r="AF1693" s="19"/>
      <c r="AG1693" s="19"/>
      <c r="AH1693" s="19"/>
      <c r="AI1693" s="19"/>
      <c r="AJ1693" s="19"/>
      <c r="FM1693" s="54"/>
    </row>
    <row r="1694" spans="1:169" s="18" customFormat="1">
      <c r="A1694" s="51"/>
      <c r="B1694" s="52"/>
      <c r="C1694" s="52"/>
      <c r="D1694" s="52"/>
      <c r="E1694" s="52"/>
      <c r="F1694" s="52"/>
      <c r="G1694" s="52"/>
      <c r="H1694" s="53"/>
      <c r="I1694" s="52"/>
      <c r="J1694" s="52"/>
      <c r="K1694" s="19"/>
      <c r="L1694" s="19"/>
      <c r="M1694" s="19"/>
      <c r="N1694" s="19"/>
      <c r="O1694" s="19"/>
      <c r="P1694" s="19"/>
      <c r="Q1694" s="19"/>
      <c r="R1694" s="19"/>
      <c r="S1694" s="19"/>
      <c r="T1694" s="19"/>
      <c r="U1694" s="19"/>
      <c r="V1694" s="19"/>
      <c r="W1694" s="19"/>
      <c r="X1694" s="19"/>
      <c r="Y1694" s="19"/>
      <c r="Z1694" s="19"/>
      <c r="AA1694" s="19"/>
      <c r="AB1694" s="19"/>
      <c r="AC1694" s="19"/>
      <c r="AD1694" s="19"/>
      <c r="AE1694" s="19"/>
      <c r="AF1694" s="19"/>
      <c r="AG1694" s="19"/>
      <c r="AH1694" s="19"/>
      <c r="AI1694" s="19"/>
      <c r="AJ1694" s="19"/>
      <c r="FM1694" s="54"/>
    </row>
    <row r="1695" spans="1:169" s="18" customFormat="1">
      <c r="A1695" s="51"/>
      <c r="B1695" s="52"/>
      <c r="C1695" s="52"/>
      <c r="D1695" s="52"/>
      <c r="E1695" s="52"/>
      <c r="F1695" s="52"/>
      <c r="G1695" s="52"/>
      <c r="H1695" s="53"/>
      <c r="I1695" s="52"/>
      <c r="J1695" s="52"/>
      <c r="K1695" s="19"/>
      <c r="L1695" s="19"/>
      <c r="M1695" s="19"/>
      <c r="N1695" s="19"/>
      <c r="O1695" s="19"/>
      <c r="P1695" s="19"/>
      <c r="Q1695" s="19"/>
      <c r="R1695" s="19"/>
      <c r="S1695" s="19"/>
      <c r="T1695" s="19"/>
      <c r="U1695" s="19"/>
      <c r="V1695" s="19"/>
      <c r="W1695" s="19"/>
      <c r="X1695" s="19"/>
      <c r="Y1695" s="19"/>
      <c r="Z1695" s="19"/>
      <c r="AA1695" s="19"/>
      <c r="AB1695" s="19"/>
      <c r="AC1695" s="19"/>
      <c r="AD1695" s="19"/>
      <c r="AE1695" s="19"/>
      <c r="AF1695" s="19"/>
      <c r="AG1695" s="19"/>
      <c r="AH1695" s="19"/>
      <c r="AI1695" s="19"/>
      <c r="AJ1695" s="19"/>
      <c r="FM1695" s="54"/>
    </row>
    <row r="1696" spans="1:169" s="18" customFormat="1">
      <c r="A1696" s="51"/>
      <c r="B1696" s="52"/>
      <c r="C1696" s="52"/>
      <c r="D1696" s="52"/>
      <c r="E1696" s="52"/>
      <c r="F1696" s="52"/>
      <c r="G1696" s="52"/>
      <c r="H1696" s="53"/>
      <c r="I1696" s="52"/>
      <c r="J1696" s="52"/>
      <c r="K1696" s="19"/>
      <c r="L1696" s="19"/>
      <c r="M1696" s="19"/>
      <c r="N1696" s="19"/>
      <c r="O1696" s="19"/>
      <c r="P1696" s="19"/>
      <c r="Q1696" s="19"/>
      <c r="R1696" s="19"/>
      <c r="S1696" s="19"/>
      <c r="T1696" s="19"/>
      <c r="U1696" s="19"/>
      <c r="V1696" s="19"/>
      <c r="W1696" s="19"/>
      <c r="X1696" s="19"/>
      <c r="Y1696" s="19"/>
      <c r="Z1696" s="19"/>
      <c r="AA1696" s="19"/>
      <c r="AB1696" s="19"/>
      <c r="AC1696" s="19"/>
      <c r="AD1696" s="19"/>
      <c r="AE1696" s="19"/>
      <c r="AF1696" s="19"/>
      <c r="AG1696" s="19"/>
      <c r="AH1696" s="19"/>
      <c r="AI1696" s="19"/>
      <c r="AJ1696" s="19"/>
      <c r="FM1696" s="54"/>
    </row>
    <row r="1697" spans="1:169" s="18" customFormat="1">
      <c r="A1697" s="51"/>
      <c r="B1697" s="52"/>
      <c r="C1697" s="52"/>
      <c r="D1697" s="52"/>
      <c r="E1697" s="52"/>
      <c r="F1697" s="52"/>
      <c r="G1697" s="52"/>
      <c r="H1697" s="53"/>
      <c r="I1697" s="52"/>
      <c r="J1697" s="52"/>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c r="AG1697" s="19"/>
      <c r="AH1697" s="19"/>
      <c r="AI1697" s="19"/>
      <c r="AJ1697" s="19"/>
      <c r="FM1697" s="54"/>
    </row>
    <row r="1698" spans="1:169" s="18" customFormat="1">
      <c r="A1698" s="51"/>
      <c r="B1698" s="52"/>
      <c r="C1698" s="52"/>
      <c r="D1698" s="52"/>
      <c r="E1698" s="52"/>
      <c r="F1698" s="52"/>
      <c r="G1698" s="52"/>
      <c r="H1698" s="53"/>
      <c r="I1698" s="52"/>
      <c r="J1698" s="52"/>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c r="AG1698" s="19"/>
      <c r="AH1698" s="19"/>
      <c r="AI1698" s="19"/>
      <c r="AJ1698" s="19"/>
      <c r="FM1698" s="54"/>
    </row>
    <row r="1699" spans="1:169" s="18" customFormat="1">
      <c r="A1699" s="51"/>
      <c r="B1699" s="52"/>
      <c r="C1699" s="52"/>
      <c r="D1699" s="52"/>
      <c r="E1699" s="52"/>
      <c r="F1699" s="52"/>
      <c r="G1699" s="52"/>
      <c r="H1699" s="53"/>
      <c r="I1699" s="52"/>
      <c r="J1699" s="52"/>
      <c r="K1699" s="19"/>
      <c r="L1699" s="19"/>
      <c r="M1699" s="19"/>
      <c r="N1699" s="19"/>
      <c r="O1699" s="19"/>
      <c r="P1699" s="19"/>
      <c r="Q1699" s="19"/>
      <c r="R1699" s="19"/>
      <c r="S1699" s="19"/>
      <c r="T1699" s="19"/>
      <c r="U1699" s="19"/>
      <c r="V1699" s="19"/>
      <c r="W1699" s="19"/>
      <c r="X1699" s="19"/>
      <c r="Y1699" s="19"/>
      <c r="Z1699" s="19"/>
      <c r="AA1699" s="19"/>
      <c r="AB1699" s="19"/>
      <c r="AC1699" s="19"/>
      <c r="AD1699" s="19"/>
      <c r="AE1699" s="19"/>
      <c r="AF1699" s="19"/>
      <c r="AG1699" s="19"/>
      <c r="AH1699" s="19"/>
      <c r="AI1699" s="19"/>
      <c r="AJ1699" s="19"/>
      <c r="FM1699" s="54"/>
    </row>
    <row r="1700" spans="1:169" s="18" customFormat="1">
      <c r="A1700" s="51"/>
      <c r="B1700" s="52"/>
      <c r="C1700" s="52"/>
      <c r="D1700" s="52"/>
      <c r="E1700" s="52"/>
      <c r="F1700" s="52"/>
      <c r="G1700" s="52"/>
      <c r="H1700" s="53"/>
      <c r="I1700" s="52"/>
      <c r="J1700" s="52"/>
      <c r="K1700" s="19"/>
      <c r="L1700" s="19"/>
      <c r="M1700" s="19"/>
      <c r="N1700" s="19"/>
      <c r="O1700" s="19"/>
      <c r="P1700" s="19"/>
      <c r="Q1700" s="19"/>
      <c r="R1700" s="19"/>
      <c r="S1700" s="19"/>
      <c r="T1700" s="19"/>
      <c r="U1700" s="19"/>
      <c r="V1700" s="19"/>
      <c r="W1700" s="19"/>
      <c r="X1700" s="19"/>
      <c r="Y1700" s="19"/>
      <c r="Z1700" s="19"/>
      <c r="AA1700" s="19"/>
      <c r="AB1700" s="19"/>
      <c r="AC1700" s="19"/>
      <c r="AD1700" s="19"/>
      <c r="AE1700" s="19"/>
      <c r="AF1700" s="19"/>
      <c r="AG1700" s="19"/>
      <c r="AH1700" s="19"/>
      <c r="AI1700" s="19"/>
      <c r="AJ1700" s="19"/>
      <c r="FM1700" s="54"/>
    </row>
    <row r="1701" spans="1:169" s="18" customFormat="1">
      <c r="A1701" s="51"/>
      <c r="B1701" s="52"/>
      <c r="C1701" s="52"/>
      <c r="D1701" s="52"/>
      <c r="E1701" s="52"/>
      <c r="F1701" s="52"/>
      <c r="G1701" s="52"/>
      <c r="H1701" s="53"/>
      <c r="I1701" s="52"/>
      <c r="J1701" s="52"/>
      <c r="K1701" s="19"/>
      <c r="L1701" s="19"/>
      <c r="M1701" s="19"/>
      <c r="N1701" s="19"/>
      <c r="O1701" s="19"/>
      <c r="P1701" s="19"/>
      <c r="Q1701" s="19"/>
      <c r="R1701" s="19"/>
      <c r="S1701" s="19"/>
      <c r="T1701" s="19"/>
      <c r="U1701" s="19"/>
      <c r="V1701" s="19"/>
      <c r="W1701" s="19"/>
      <c r="X1701" s="19"/>
      <c r="Y1701" s="19"/>
      <c r="Z1701" s="19"/>
      <c r="AA1701" s="19"/>
      <c r="AB1701" s="19"/>
      <c r="AC1701" s="19"/>
      <c r="AD1701" s="19"/>
      <c r="AE1701" s="19"/>
      <c r="AF1701" s="19"/>
      <c r="AG1701" s="19"/>
      <c r="AH1701" s="19"/>
      <c r="AI1701" s="19"/>
      <c r="AJ1701" s="19"/>
      <c r="FM1701" s="54"/>
    </row>
    <row r="1702" spans="1:169" s="18" customFormat="1">
      <c r="A1702" s="51"/>
      <c r="B1702" s="52"/>
      <c r="C1702" s="52"/>
      <c r="D1702" s="52"/>
      <c r="E1702" s="52"/>
      <c r="F1702" s="52"/>
      <c r="G1702" s="52"/>
      <c r="H1702" s="53"/>
      <c r="I1702" s="52"/>
      <c r="J1702" s="52"/>
      <c r="K1702" s="19"/>
      <c r="L1702" s="19"/>
      <c r="M1702" s="19"/>
      <c r="N1702" s="19"/>
      <c r="O1702" s="19"/>
      <c r="P1702" s="19"/>
      <c r="Q1702" s="19"/>
      <c r="R1702" s="19"/>
      <c r="S1702" s="19"/>
      <c r="T1702" s="19"/>
      <c r="U1702" s="19"/>
      <c r="V1702" s="19"/>
      <c r="W1702" s="19"/>
      <c r="X1702" s="19"/>
      <c r="Y1702" s="19"/>
      <c r="Z1702" s="19"/>
      <c r="AA1702" s="19"/>
      <c r="AB1702" s="19"/>
      <c r="AC1702" s="19"/>
      <c r="AD1702" s="19"/>
      <c r="AE1702" s="19"/>
      <c r="AF1702" s="19"/>
      <c r="AG1702" s="19"/>
      <c r="AH1702" s="19"/>
      <c r="AI1702" s="19"/>
      <c r="AJ1702" s="19"/>
      <c r="FM1702" s="54"/>
    </row>
    <row r="1703" spans="1:169" s="18" customFormat="1">
      <c r="A1703" s="51"/>
      <c r="B1703" s="52"/>
      <c r="C1703" s="52"/>
      <c r="D1703" s="52"/>
      <c r="E1703" s="52"/>
      <c r="F1703" s="52"/>
      <c r="G1703" s="52"/>
      <c r="H1703" s="53"/>
      <c r="I1703" s="52"/>
      <c r="J1703" s="52"/>
      <c r="K1703" s="19"/>
      <c r="L1703" s="19"/>
      <c r="M1703" s="19"/>
      <c r="N1703" s="19"/>
      <c r="O1703" s="19"/>
      <c r="P1703" s="19"/>
      <c r="Q1703" s="19"/>
      <c r="R1703" s="19"/>
      <c r="S1703" s="19"/>
      <c r="T1703" s="19"/>
      <c r="U1703" s="19"/>
      <c r="V1703" s="19"/>
      <c r="W1703" s="19"/>
      <c r="X1703" s="19"/>
      <c r="Y1703" s="19"/>
      <c r="Z1703" s="19"/>
      <c r="AA1703" s="19"/>
      <c r="AB1703" s="19"/>
      <c r="AC1703" s="19"/>
      <c r="AD1703" s="19"/>
      <c r="AE1703" s="19"/>
      <c r="AF1703" s="19"/>
      <c r="AG1703" s="19"/>
      <c r="AH1703" s="19"/>
      <c r="AI1703" s="19"/>
      <c r="AJ1703" s="19"/>
      <c r="FM1703" s="54"/>
    </row>
    <row r="1704" spans="1:169" s="18" customFormat="1">
      <c r="A1704" s="51"/>
      <c r="B1704" s="52"/>
      <c r="C1704" s="52"/>
      <c r="D1704" s="52"/>
      <c r="E1704" s="52"/>
      <c r="F1704" s="52"/>
      <c r="G1704" s="52"/>
      <c r="H1704" s="53"/>
      <c r="I1704" s="52"/>
      <c r="J1704" s="52"/>
      <c r="K1704" s="19"/>
      <c r="L1704" s="19"/>
      <c r="M1704" s="19"/>
      <c r="N1704" s="19"/>
      <c r="O1704" s="19"/>
      <c r="P1704" s="19"/>
      <c r="Q1704" s="19"/>
      <c r="R1704" s="19"/>
      <c r="S1704" s="19"/>
      <c r="T1704" s="19"/>
      <c r="U1704" s="19"/>
      <c r="V1704" s="19"/>
      <c r="W1704" s="19"/>
      <c r="X1704" s="19"/>
      <c r="Y1704" s="19"/>
      <c r="Z1704" s="19"/>
      <c r="AA1704" s="19"/>
      <c r="AB1704" s="19"/>
      <c r="AC1704" s="19"/>
      <c r="AD1704" s="19"/>
      <c r="AE1704" s="19"/>
      <c r="AF1704" s="19"/>
      <c r="AG1704" s="19"/>
      <c r="AH1704" s="19"/>
      <c r="AI1704" s="19"/>
      <c r="AJ1704" s="19"/>
      <c r="FM1704" s="54"/>
    </row>
    <row r="1705" spans="1:169" s="18" customFormat="1">
      <c r="A1705" s="51"/>
      <c r="B1705" s="52"/>
      <c r="C1705" s="52"/>
      <c r="D1705" s="52"/>
      <c r="E1705" s="52"/>
      <c r="F1705" s="52"/>
      <c r="G1705" s="52"/>
      <c r="H1705" s="53"/>
      <c r="I1705" s="52"/>
      <c r="J1705" s="52"/>
      <c r="K1705" s="19"/>
      <c r="L1705" s="19"/>
      <c r="M1705" s="19"/>
      <c r="N1705" s="19"/>
      <c r="O1705" s="19"/>
      <c r="P1705" s="19"/>
      <c r="Q1705" s="19"/>
      <c r="R1705" s="19"/>
      <c r="S1705" s="19"/>
      <c r="T1705" s="19"/>
      <c r="U1705" s="19"/>
      <c r="V1705" s="19"/>
      <c r="W1705" s="19"/>
      <c r="X1705" s="19"/>
      <c r="Y1705" s="19"/>
      <c r="Z1705" s="19"/>
      <c r="AA1705" s="19"/>
      <c r="AB1705" s="19"/>
      <c r="AC1705" s="19"/>
      <c r="AD1705" s="19"/>
      <c r="AE1705" s="19"/>
      <c r="AF1705" s="19"/>
      <c r="AG1705" s="19"/>
      <c r="AH1705" s="19"/>
      <c r="AI1705" s="19"/>
      <c r="AJ1705" s="19"/>
      <c r="FM1705" s="54"/>
    </row>
    <row r="1706" spans="1:169" s="18" customFormat="1">
      <c r="A1706" s="51"/>
      <c r="B1706" s="52"/>
      <c r="C1706" s="52"/>
      <c r="D1706" s="52"/>
      <c r="E1706" s="52"/>
      <c r="F1706" s="52"/>
      <c r="G1706" s="52"/>
      <c r="H1706" s="53"/>
      <c r="I1706" s="52"/>
      <c r="J1706" s="52"/>
      <c r="K1706" s="19"/>
      <c r="L1706" s="19"/>
      <c r="M1706" s="19"/>
      <c r="N1706" s="19"/>
      <c r="O1706" s="19"/>
      <c r="P1706" s="19"/>
      <c r="Q1706" s="19"/>
      <c r="R1706" s="19"/>
      <c r="S1706" s="19"/>
      <c r="T1706" s="19"/>
      <c r="U1706" s="19"/>
      <c r="V1706" s="19"/>
      <c r="W1706" s="19"/>
      <c r="X1706" s="19"/>
      <c r="Y1706" s="19"/>
      <c r="Z1706" s="19"/>
      <c r="AA1706" s="19"/>
      <c r="AB1706" s="19"/>
      <c r="AC1706" s="19"/>
      <c r="AD1706" s="19"/>
      <c r="AE1706" s="19"/>
      <c r="AF1706" s="19"/>
      <c r="AG1706" s="19"/>
      <c r="AH1706" s="19"/>
      <c r="AI1706" s="19"/>
      <c r="AJ1706" s="19"/>
      <c r="FM1706" s="54"/>
    </row>
    <row r="1707" spans="1:169" s="18" customFormat="1">
      <c r="A1707" s="51"/>
      <c r="B1707" s="52"/>
      <c r="C1707" s="52"/>
      <c r="D1707" s="52"/>
      <c r="E1707" s="52"/>
      <c r="F1707" s="52"/>
      <c r="G1707" s="52"/>
      <c r="H1707" s="53"/>
      <c r="I1707" s="52"/>
      <c r="J1707" s="52"/>
      <c r="K1707" s="19"/>
      <c r="L1707" s="19"/>
      <c r="M1707" s="19"/>
      <c r="N1707" s="19"/>
      <c r="O1707" s="19"/>
      <c r="P1707" s="19"/>
      <c r="Q1707" s="19"/>
      <c r="R1707" s="19"/>
      <c r="S1707" s="19"/>
      <c r="T1707" s="19"/>
      <c r="U1707" s="19"/>
      <c r="V1707" s="19"/>
      <c r="W1707" s="19"/>
      <c r="X1707" s="19"/>
      <c r="Y1707" s="19"/>
      <c r="Z1707" s="19"/>
      <c r="AA1707" s="19"/>
      <c r="AB1707" s="19"/>
      <c r="AC1707" s="19"/>
      <c r="AD1707" s="19"/>
      <c r="AE1707" s="19"/>
      <c r="AF1707" s="19"/>
      <c r="AG1707" s="19"/>
      <c r="AH1707" s="19"/>
      <c r="AI1707" s="19"/>
      <c r="AJ1707" s="19"/>
      <c r="FM1707" s="54"/>
    </row>
    <row r="1708" spans="1:169" s="18" customFormat="1">
      <c r="A1708" s="51"/>
      <c r="B1708" s="52"/>
      <c r="C1708" s="52"/>
      <c r="D1708" s="52"/>
      <c r="E1708" s="52"/>
      <c r="F1708" s="52"/>
      <c r="G1708" s="52"/>
      <c r="H1708" s="53"/>
      <c r="I1708" s="52"/>
      <c r="J1708" s="52"/>
      <c r="K1708" s="19"/>
      <c r="L1708" s="19"/>
      <c r="M1708" s="19"/>
      <c r="N1708" s="19"/>
      <c r="O1708" s="19"/>
      <c r="P1708" s="19"/>
      <c r="Q1708" s="19"/>
      <c r="R1708" s="19"/>
      <c r="S1708" s="19"/>
      <c r="T1708" s="19"/>
      <c r="U1708" s="19"/>
      <c r="V1708" s="19"/>
      <c r="W1708" s="19"/>
      <c r="X1708" s="19"/>
      <c r="Y1708" s="19"/>
      <c r="Z1708" s="19"/>
      <c r="AA1708" s="19"/>
      <c r="AB1708" s="19"/>
      <c r="AC1708" s="19"/>
      <c r="AD1708" s="19"/>
      <c r="AE1708" s="19"/>
      <c r="AF1708" s="19"/>
      <c r="AG1708" s="19"/>
      <c r="AH1708" s="19"/>
      <c r="AI1708" s="19"/>
      <c r="AJ1708" s="19"/>
      <c r="FM1708" s="54"/>
    </row>
    <row r="1709" spans="1:169" s="18" customFormat="1">
      <c r="A1709" s="51"/>
      <c r="B1709" s="52"/>
      <c r="C1709" s="52"/>
      <c r="D1709" s="52"/>
      <c r="E1709" s="52"/>
      <c r="F1709" s="52"/>
      <c r="G1709" s="52"/>
      <c r="H1709" s="53"/>
      <c r="I1709" s="52"/>
      <c r="J1709" s="52"/>
      <c r="K1709" s="19"/>
      <c r="L1709" s="19"/>
      <c r="M1709" s="19"/>
      <c r="N1709" s="19"/>
      <c r="O1709" s="19"/>
      <c r="P1709" s="19"/>
      <c r="Q1709" s="19"/>
      <c r="R1709" s="19"/>
      <c r="S1709" s="19"/>
      <c r="T1709" s="19"/>
      <c r="U1709" s="19"/>
      <c r="V1709" s="19"/>
      <c r="W1709" s="19"/>
      <c r="X1709" s="19"/>
      <c r="Y1709" s="19"/>
      <c r="Z1709" s="19"/>
      <c r="AA1709" s="19"/>
      <c r="AB1709" s="19"/>
      <c r="AC1709" s="19"/>
      <c r="AD1709" s="19"/>
      <c r="AE1709" s="19"/>
      <c r="AF1709" s="19"/>
      <c r="AG1709" s="19"/>
      <c r="AH1709" s="19"/>
      <c r="AI1709" s="19"/>
      <c r="AJ1709" s="19"/>
      <c r="FM1709" s="54"/>
    </row>
    <row r="1710" spans="1:169" s="18" customFormat="1">
      <c r="A1710" s="51"/>
      <c r="B1710" s="52"/>
      <c r="C1710" s="52"/>
      <c r="D1710" s="52"/>
      <c r="E1710" s="52"/>
      <c r="F1710" s="52"/>
      <c r="G1710" s="52"/>
      <c r="H1710" s="53"/>
      <c r="I1710" s="52"/>
      <c r="J1710" s="52"/>
      <c r="K1710" s="19"/>
      <c r="L1710" s="19"/>
      <c r="M1710" s="19"/>
      <c r="N1710" s="19"/>
      <c r="O1710" s="19"/>
      <c r="P1710" s="19"/>
      <c r="Q1710" s="19"/>
      <c r="R1710" s="19"/>
      <c r="S1710" s="19"/>
      <c r="T1710" s="19"/>
      <c r="U1710" s="19"/>
      <c r="V1710" s="19"/>
      <c r="W1710" s="19"/>
      <c r="X1710" s="19"/>
      <c r="Y1710" s="19"/>
      <c r="Z1710" s="19"/>
      <c r="AA1710" s="19"/>
      <c r="AB1710" s="19"/>
      <c r="AC1710" s="19"/>
      <c r="AD1710" s="19"/>
      <c r="AE1710" s="19"/>
      <c r="AF1710" s="19"/>
      <c r="AG1710" s="19"/>
      <c r="AH1710" s="19"/>
      <c r="AI1710" s="19"/>
      <c r="AJ1710" s="19"/>
      <c r="FM1710" s="54"/>
    </row>
    <row r="1711" spans="1:169" s="18" customFormat="1">
      <c r="A1711" s="51"/>
      <c r="B1711" s="52"/>
      <c r="C1711" s="52"/>
      <c r="D1711" s="52"/>
      <c r="E1711" s="52"/>
      <c r="F1711" s="52"/>
      <c r="G1711" s="52"/>
      <c r="H1711" s="53"/>
      <c r="I1711" s="52"/>
      <c r="J1711" s="52"/>
      <c r="K1711" s="19"/>
      <c r="L1711" s="19"/>
      <c r="M1711" s="19"/>
      <c r="N1711" s="19"/>
      <c r="O1711" s="19"/>
      <c r="P1711" s="19"/>
      <c r="Q1711" s="19"/>
      <c r="R1711" s="19"/>
      <c r="S1711" s="19"/>
      <c r="T1711" s="19"/>
      <c r="U1711" s="19"/>
      <c r="V1711" s="19"/>
      <c r="W1711" s="19"/>
      <c r="X1711" s="19"/>
      <c r="Y1711" s="19"/>
      <c r="Z1711" s="19"/>
      <c r="AA1711" s="19"/>
      <c r="AB1711" s="19"/>
      <c r="AC1711" s="19"/>
      <c r="AD1711" s="19"/>
      <c r="AE1711" s="19"/>
      <c r="AF1711" s="19"/>
      <c r="AG1711" s="19"/>
      <c r="AH1711" s="19"/>
      <c r="AI1711" s="19"/>
      <c r="AJ1711" s="19"/>
      <c r="FM1711" s="54"/>
    </row>
    <row r="1712" spans="1:169" s="18" customFormat="1">
      <c r="A1712" s="51"/>
      <c r="B1712" s="52"/>
      <c r="C1712" s="52"/>
      <c r="D1712" s="52"/>
      <c r="E1712" s="52"/>
      <c r="F1712" s="52"/>
      <c r="G1712" s="52"/>
      <c r="H1712" s="53"/>
      <c r="I1712" s="52"/>
      <c r="J1712" s="52"/>
      <c r="K1712" s="19"/>
      <c r="L1712" s="19"/>
      <c r="M1712" s="19"/>
      <c r="N1712" s="19"/>
      <c r="O1712" s="19"/>
      <c r="P1712" s="19"/>
      <c r="Q1712" s="19"/>
      <c r="R1712" s="19"/>
      <c r="S1712" s="19"/>
      <c r="T1712" s="19"/>
      <c r="U1712" s="19"/>
      <c r="V1712" s="19"/>
      <c r="W1712" s="19"/>
      <c r="X1712" s="19"/>
      <c r="Y1712" s="19"/>
      <c r="Z1712" s="19"/>
      <c r="AA1712" s="19"/>
      <c r="AB1712" s="19"/>
      <c r="AC1712" s="19"/>
      <c r="AD1712" s="19"/>
      <c r="AE1712" s="19"/>
      <c r="AF1712" s="19"/>
      <c r="AG1712" s="19"/>
      <c r="AH1712" s="19"/>
      <c r="AI1712" s="19"/>
      <c r="AJ1712" s="19"/>
      <c r="FM1712" s="54"/>
    </row>
    <row r="1713" spans="1:169" s="18" customFormat="1">
      <c r="A1713" s="51"/>
      <c r="B1713" s="52"/>
      <c r="C1713" s="52"/>
      <c r="D1713" s="52"/>
      <c r="E1713" s="52"/>
      <c r="F1713" s="52"/>
      <c r="G1713" s="52"/>
      <c r="H1713" s="53"/>
      <c r="I1713" s="52"/>
      <c r="J1713" s="52"/>
      <c r="K1713" s="19"/>
      <c r="L1713" s="19"/>
      <c r="M1713" s="19"/>
      <c r="N1713" s="19"/>
      <c r="O1713" s="19"/>
      <c r="P1713" s="19"/>
      <c r="Q1713" s="19"/>
      <c r="R1713" s="19"/>
      <c r="S1713" s="19"/>
      <c r="T1713" s="19"/>
      <c r="U1713" s="19"/>
      <c r="V1713" s="19"/>
      <c r="W1713" s="19"/>
      <c r="X1713" s="19"/>
      <c r="Y1713" s="19"/>
      <c r="Z1713" s="19"/>
      <c r="AA1713" s="19"/>
      <c r="AB1713" s="19"/>
      <c r="AC1713" s="19"/>
      <c r="AD1713" s="19"/>
      <c r="AE1713" s="19"/>
      <c r="AF1713" s="19"/>
      <c r="AG1713" s="19"/>
      <c r="AH1713" s="19"/>
      <c r="AI1713" s="19"/>
      <c r="AJ1713" s="19"/>
      <c r="FM1713" s="54"/>
    </row>
    <row r="1714" spans="1:169" s="18" customFormat="1">
      <c r="A1714" s="51"/>
      <c r="B1714" s="52"/>
      <c r="C1714" s="52"/>
      <c r="D1714" s="52"/>
      <c r="E1714" s="52"/>
      <c r="F1714" s="52"/>
      <c r="G1714" s="52"/>
      <c r="H1714" s="53"/>
      <c r="I1714" s="52"/>
      <c r="J1714" s="52"/>
      <c r="K1714" s="19"/>
      <c r="L1714" s="19"/>
      <c r="M1714" s="19"/>
      <c r="N1714" s="19"/>
      <c r="O1714" s="19"/>
      <c r="P1714" s="19"/>
      <c r="Q1714" s="19"/>
      <c r="R1714" s="19"/>
      <c r="S1714" s="19"/>
      <c r="T1714" s="19"/>
      <c r="U1714" s="19"/>
      <c r="V1714" s="19"/>
      <c r="W1714" s="19"/>
      <c r="X1714" s="19"/>
      <c r="Y1714" s="19"/>
      <c r="Z1714" s="19"/>
      <c r="AA1714" s="19"/>
      <c r="AB1714" s="19"/>
      <c r="AC1714" s="19"/>
      <c r="AD1714" s="19"/>
      <c r="AE1714" s="19"/>
      <c r="AF1714" s="19"/>
      <c r="AG1714" s="19"/>
      <c r="AH1714" s="19"/>
      <c r="AI1714" s="19"/>
      <c r="AJ1714" s="19"/>
      <c r="FM1714" s="54"/>
    </row>
    <row r="1715" spans="1:169" s="18" customFormat="1">
      <c r="A1715" s="51"/>
      <c r="B1715" s="52"/>
      <c r="C1715" s="52"/>
      <c r="D1715" s="52"/>
      <c r="E1715" s="52"/>
      <c r="F1715" s="52"/>
      <c r="G1715" s="52"/>
      <c r="H1715" s="53"/>
      <c r="I1715" s="52"/>
      <c r="J1715" s="52"/>
      <c r="K1715" s="19"/>
      <c r="L1715" s="19"/>
      <c r="M1715" s="19"/>
      <c r="N1715" s="19"/>
      <c r="O1715" s="19"/>
      <c r="P1715" s="19"/>
      <c r="Q1715" s="19"/>
      <c r="R1715" s="19"/>
      <c r="S1715" s="19"/>
      <c r="T1715" s="19"/>
      <c r="U1715" s="19"/>
      <c r="V1715" s="19"/>
      <c r="W1715" s="19"/>
      <c r="X1715" s="19"/>
      <c r="Y1715" s="19"/>
      <c r="Z1715" s="19"/>
      <c r="AA1715" s="19"/>
      <c r="AB1715" s="19"/>
      <c r="AC1715" s="19"/>
      <c r="AD1715" s="19"/>
      <c r="AE1715" s="19"/>
      <c r="AF1715" s="19"/>
      <c r="AG1715" s="19"/>
      <c r="AH1715" s="19"/>
      <c r="AI1715" s="19"/>
      <c r="AJ1715" s="19"/>
      <c r="FM1715" s="54"/>
    </row>
    <row r="1716" spans="1:169" s="18" customFormat="1">
      <c r="A1716" s="51"/>
      <c r="B1716" s="52"/>
      <c r="C1716" s="52"/>
      <c r="D1716" s="52"/>
      <c r="E1716" s="52"/>
      <c r="F1716" s="52"/>
      <c r="G1716" s="52"/>
      <c r="H1716" s="53"/>
      <c r="I1716" s="52"/>
      <c r="J1716" s="52"/>
      <c r="K1716" s="19"/>
      <c r="L1716" s="19"/>
      <c r="M1716" s="19"/>
      <c r="N1716" s="19"/>
      <c r="O1716" s="19"/>
      <c r="P1716" s="19"/>
      <c r="Q1716" s="19"/>
      <c r="R1716" s="19"/>
      <c r="S1716" s="19"/>
      <c r="T1716" s="19"/>
      <c r="U1716" s="19"/>
      <c r="V1716" s="19"/>
      <c r="W1716" s="19"/>
      <c r="X1716" s="19"/>
      <c r="Y1716" s="19"/>
      <c r="Z1716" s="19"/>
      <c r="AA1716" s="19"/>
      <c r="AB1716" s="19"/>
      <c r="AC1716" s="19"/>
      <c r="AD1716" s="19"/>
      <c r="AE1716" s="19"/>
      <c r="AF1716" s="19"/>
      <c r="AG1716" s="19"/>
      <c r="AH1716" s="19"/>
      <c r="AI1716" s="19"/>
      <c r="AJ1716" s="19"/>
      <c r="FM1716" s="54"/>
    </row>
    <row r="1717" spans="1:169" s="18" customFormat="1">
      <c r="A1717" s="51"/>
      <c r="B1717" s="52"/>
      <c r="C1717" s="52"/>
      <c r="D1717" s="52"/>
      <c r="E1717" s="52"/>
      <c r="F1717" s="52"/>
      <c r="G1717" s="52"/>
      <c r="H1717" s="53"/>
      <c r="I1717" s="52"/>
      <c r="J1717" s="52"/>
      <c r="K1717" s="19"/>
      <c r="L1717" s="19"/>
      <c r="M1717" s="19"/>
      <c r="N1717" s="19"/>
      <c r="O1717" s="19"/>
      <c r="P1717" s="19"/>
      <c r="Q1717" s="19"/>
      <c r="R1717" s="19"/>
      <c r="S1717" s="19"/>
      <c r="T1717" s="19"/>
      <c r="U1717" s="19"/>
      <c r="V1717" s="19"/>
      <c r="W1717" s="19"/>
      <c r="X1717" s="19"/>
      <c r="Y1717" s="19"/>
      <c r="Z1717" s="19"/>
      <c r="AA1717" s="19"/>
      <c r="AB1717" s="19"/>
      <c r="AC1717" s="19"/>
      <c r="AD1717" s="19"/>
      <c r="AE1717" s="19"/>
      <c r="AF1717" s="19"/>
      <c r="AG1717" s="19"/>
      <c r="AH1717" s="19"/>
      <c r="AI1717" s="19"/>
      <c r="AJ1717" s="19"/>
      <c r="FM1717" s="54"/>
    </row>
    <row r="1718" spans="1:169" s="18" customFormat="1">
      <c r="A1718" s="51"/>
      <c r="B1718" s="52"/>
      <c r="C1718" s="52"/>
      <c r="D1718" s="52"/>
      <c r="E1718" s="52"/>
      <c r="F1718" s="52"/>
      <c r="G1718" s="52"/>
      <c r="H1718" s="53"/>
      <c r="I1718" s="52"/>
      <c r="J1718" s="52"/>
      <c r="K1718" s="19"/>
      <c r="L1718" s="19"/>
      <c r="M1718" s="19"/>
      <c r="N1718" s="19"/>
      <c r="O1718" s="19"/>
      <c r="P1718" s="19"/>
      <c r="Q1718" s="19"/>
      <c r="R1718" s="19"/>
      <c r="S1718" s="19"/>
      <c r="T1718" s="19"/>
      <c r="U1718" s="19"/>
      <c r="V1718" s="19"/>
      <c r="W1718" s="19"/>
      <c r="X1718" s="19"/>
      <c r="Y1718" s="19"/>
      <c r="Z1718" s="19"/>
      <c r="AA1718" s="19"/>
      <c r="AB1718" s="19"/>
      <c r="AC1718" s="19"/>
      <c r="AD1718" s="19"/>
      <c r="AE1718" s="19"/>
      <c r="AF1718" s="19"/>
      <c r="AG1718" s="19"/>
      <c r="AH1718" s="19"/>
      <c r="AI1718" s="19"/>
      <c r="AJ1718" s="19"/>
      <c r="FM1718" s="54"/>
    </row>
    <row r="1719" spans="1:169" s="18" customFormat="1">
      <c r="A1719" s="51"/>
      <c r="B1719" s="52"/>
      <c r="C1719" s="52"/>
      <c r="D1719" s="52"/>
      <c r="E1719" s="52"/>
      <c r="F1719" s="52"/>
      <c r="G1719" s="52"/>
      <c r="H1719" s="53"/>
      <c r="I1719" s="52"/>
      <c r="J1719" s="52"/>
      <c r="K1719" s="19"/>
      <c r="L1719" s="19"/>
      <c r="M1719" s="19"/>
      <c r="N1719" s="19"/>
      <c r="O1719" s="19"/>
      <c r="P1719" s="19"/>
      <c r="Q1719" s="19"/>
      <c r="R1719" s="19"/>
      <c r="S1719" s="19"/>
      <c r="T1719" s="19"/>
      <c r="U1719" s="19"/>
      <c r="V1719" s="19"/>
      <c r="W1719" s="19"/>
      <c r="X1719" s="19"/>
      <c r="Y1719" s="19"/>
      <c r="Z1719" s="19"/>
      <c r="AA1719" s="19"/>
      <c r="AB1719" s="19"/>
      <c r="AC1719" s="19"/>
      <c r="AD1719" s="19"/>
      <c r="AE1719" s="19"/>
      <c r="AF1719" s="19"/>
      <c r="AG1719" s="19"/>
      <c r="AH1719" s="19"/>
      <c r="AI1719" s="19"/>
      <c r="AJ1719" s="19"/>
      <c r="FM1719" s="54"/>
    </row>
    <row r="1720" spans="1:169" s="18" customFormat="1">
      <c r="A1720" s="51"/>
      <c r="B1720" s="52"/>
      <c r="C1720" s="52"/>
      <c r="D1720" s="52"/>
      <c r="E1720" s="52"/>
      <c r="F1720" s="52"/>
      <c r="G1720" s="52"/>
      <c r="H1720" s="53"/>
      <c r="I1720" s="52"/>
      <c r="J1720" s="52"/>
      <c r="K1720" s="19"/>
      <c r="L1720" s="19"/>
      <c r="M1720" s="19"/>
      <c r="N1720" s="19"/>
      <c r="O1720" s="19"/>
      <c r="P1720" s="19"/>
      <c r="Q1720" s="19"/>
      <c r="R1720" s="19"/>
      <c r="S1720" s="19"/>
      <c r="T1720" s="19"/>
      <c r="U1720" s="19"/>
      <c r="V1720" s="19"/>
      <c r="W1720" s="19"/>
      <c r="X1720" s="19"/>
      <c r="Y1720" s="19"/>
      <c r="Z1720" s="19"/>
      <c r="AA1720" s="19"/>
      <c r="AB1720" s="19"/>
      <c r="AC1720" s="19"/>
      <c r="AD1720" s="19"/>
      <c r="AE1720" s="19"/>
      <c r="AF1720" s="19"/>
      <c r="AG1720" s="19"/>
      <c r="AH1720" s="19"/>
      <c r="AI1720" s="19"/>
      <c r="AJ1720" s="19"/>
      <c r="FM1720" s="54"/>
    </row>
    <row r="1721" spans="1:169" s="18" customFormat="1">
      <c r="A1721" s="51"/>
      <c r="B1721" s="52"/>
      <c r="C1721" s="52"/>
      <c r="D1721" s="52"/>
      <c r="E1721" s="52"/>
      <c r="F1721" s="52"/>
      <c r="G1721" s="52"/>
      <c r="H1721" s="53"/>
      <c r="I1721" s="52"/>
      <c r="J1721" s="52"/>
      <c r="K1721" s="19"/>
      <c r="L1721" s="19"/>
      <c r="M1721" s="19"/>
      <c r="N1721" s="19"/>
      <c r="O1721" s="19"/>
      <c r="P1721" s="19"/>
      <c r="Q1721" s="19"/>
      <c r="R1721" s="19"/>
      <c r="S1721" s="19"/>
      <c r="T1721" s="19"/>
      <c r="U1721" s="19"/>
      <c r="V1721" s="19"/>
      <c r="W1721" s="19"/>
      <c r="X1721" s="19"/>
      <c r="Y1721" s="19"/>
      <c r="Z1721" s="19"/>
      <c r="AA1721" s="19"/>
      <c r="AB1721" s="19"/>
      <c r="AC1721" s="19"/>
      <c r="AD1721" s="19"/>
      <c r="AE1721" s="19"/>
      <c r="AF1721" s="19"/>
      <c r="AG1721" s="19"/>
      <c r="AH1721" s="19"/>
      <c r="AI1721" s="19"/>
      <c r="AJ1721" s="19"/>
      <c r="FM1721" s="54"/>
    </row>
    <row r="1722" spans="1:169" s="18" customFormat="1">
      <c r="A1722" s="51"/>
      <c r="B1722" s="52"/>
      <c r="C1722" s="52"/>
      <c r="D1722" s="52"/>
      <c r="E1722" s="52"/>
      <c r="F1722" s="52"/>
      <c r="G1722" s="52"/>
      <c r="H1722" s="53"/>
      <c r="I1722" s="52"/>
      <c r="J1722" s="52"/>
      <c r="K1722" s="19"/>
      <c r="L1722" s="19"/>
      <c r="M1722" s="19"/>
      <c r="N1722" s="19"/>
      <c r="O1722" s="19"/>
      <c r="P1722" s="19"/>
      <c r="Q1722" s="19"/>
      <c r="R1722" s="19"/>
      <c r="S1722" s="19"/>
      <c r="T1722" s="19"/>
      <c r="U1722" s="19"/>
      <c r="V1722" s="19"/>
      <c r="W1722" s="19"/>
      <c r="X1722" s="19"/>
      <c r="Y1722" s="19"/>
      <c r="Z1722" s="19"/>
      <c r="AA1722" s="19"/>
      <c r="AB1722" s="19"/>
      <c r="AC1722" s="19"/>
      <c r="AD1722" s="19"/>
      <c r="AE1722" s="19"/>
      <c r="AF1722" s="19"/>
      <c r="AG1722" s="19"/>
      <c r="AH1722" s="19"/>
      <c r="AI1722" s="19"/>
      <c r="AJ1722" s="19"/>
      <c r="FM1722" s="54"/>
    </row>
    <row r="1723" spans="1:169" s="18" customFormat="1">
      <c r="A1723" s="51"/>
      <c r="B1723" s="52"/>
      <c r="C1723" s="52"/>
      <c r="D1723" s="52"/>
      <c r="E1723" s="52"/>
      <c r="F1723" s="52"/>
      <c r="G1723" s="52"/>
      <c r="H1723" s="53"/>
      <c r="I1723" s="52"/>
      <c r="J1723" s="52"/>
      <c r="K1723" s="19"/>
      <c r="L1723" s="19"/>
      <c r="M1723" s="19"/>
      <c r="N1723" s="19"/>
      <c r="O1723" s="19"/>
      <c r="P1723" s="19"/>
      <c r="Q1723" s="19"/>
      <c r="R1723" s="19"/>
      <c r="S1723" s="19"/>
      <c r="T1723" s="19"/>
      <c r="U1723" s="19"/>
      <c r="V1723" s="19"/>
      <c r="W1723" s="19"/>
      <c r="X1723" s="19"/>
      <c r="Y1723" s="19"/>
      <c r="Z1723" s="19"/>
      <c r="AA1723" s="19"/>
      <c r="AB1723" s="19"/>
      <c r="AC1723" s="19"/>
      <c r="AD1723" s="19"/>
      <c r="AE1723" s="19"/>
      <c r="AF1723" s="19"/>
      <c r="AG1723" s="19"/>
      <c r="AH1723" s="19"/>
      <c r="AI1723" s="19"/>
      <c r="AJ1723" s="19"/>
      <c r="FM1723" s="54"/>
    </row>
    <row r="1724" spans="1:169" s="18" customFormat="1">
      <c r="A1724" s="51"/>
      <c r="B1724" s="52"/>
      <c r="C1724" s="52"/>
      <c r="D1724" s="52"/>
      <c r="E1724" s="52"/>
      <c r="F1724" s="52"/>
      <c r="G1724" s="52"/>
      <c r="H1724" s="53"/>
      <c r="I1724" s="52"/>
      <c r="J1724" s="52"/>
      <c r="K1724" s="19"/>
      <c r="L1724" s="19"/>
      <c r="M1724" s="19"/>
      <c r="N1724" s="19"/>
      <c r="O1724" s="19"/>
      <c r="P1724" s="19"/>
      <c r="Q1724" s="19"/>
      <c r="R1724" s="19"/>
      <c r="S1724" s="19"/>
      <c r="T1724" s="19"/>
      <c r="U1724" s="19"/>
      <c r="V1724" s="19"/>
      <c r="W1724" s="19"/>
      <c r="X1724" s="19"/>
      <c r="Y1724" s="19"/>
      <c r="Z1724" s="19"/>
      <c r="AA1724" s="19"/>
      <c r="AB1724" s="19"/>
      <c r="AC1724" s="19"/>
      <c r="AD1724" s="19"/>
      <c r="AE1724" s="19"/>
      <c r="AF1724" s="19"/>
      <c r="AG1724" s="19"/>
      <c r="AH1724" s="19"/>
      <c r="AI1724" s="19"/>
      <c r="AJ1724" s="19"/>
      <c r="FM1724" s="54"/>
    </row>
    <row r="1725" spans="1:169" s="18" customFormat="1">
      <c r="A1725" s="51"/>
      <c r="B1725" s="52"/>
      <c r="C1725" s="52"/>
      <c r="D1725" s="52"/>
      <c r="E1725" s="52"/>
      <c r="F1725" s="52"/>
      <c r="G1725" s="52"/>
      <c r="H1725" s="53"/>
      <c r="I1725" s="52"/>
      <c r="J1725" s="52"/>
      <c r="K1725" s="19"/>
      <c r="L1725" s="19"/>
      <c r="M1725" s="19"/>
      <c r="N1725" s="19"/>
      <c r="O1725" s="19"/>
      <c r="P1725" s="19"/>
      <c r="Q1725" s="19"/>
      <c r="R1725" s="19"/>
      <c r="S1725" s="19"/>
      <c r="T1725" s="19"/>
      <c r="U1725" s="19"/>
      <c r="V1725" s="19"/>
      <c r="W1725" s="19"/>
      <c r="X1725" s="19"/>
      <c r="Y1725" s="19"/>
      <c r="Z1725" s="19"/>
      <c r="AA1725" s="19"/>
      <c r="AB1725" s="19"/>
      <c r="AC1725" s="19"/>
      <c r="AD1725" s="19"/>
      <c r="AE1725" s="19"/>
      <c r="AF1725" s="19"/>
      <c r="AG1725" s="19"/>
      <c r="AH1725" s="19"/>
      <c r="AI1725" s="19"/>
      <c r="AJ1725" s="19"/>
      <c r="FM1725" s="54"/>
    </row>
    <row r="1726" spans="1:169" s="18" customFormat="1">
      <c r="A1726" s="51"/>
      <c r="B1726" s="52"/>
      <c r="C1726" s="52"/>
      <c r="D1726" s="52"/>
      <c r="E1726" s="52"/>
      <c r="F1726" s="52"/>
      <c r="G1726" s="52"/>
      <c r="H1726" s="53"/>
      <c r="I1726" s="52"/>
      <c r="J1726" s="52"/>
      <c r="K1726" s="19"/>
      <c r="L1726" s="19"/>
      <c r="M1726" s="19"/>
      <c r="N1726" s="19"/>
      <c r="O1726" s="19"/>
      <c r="P1726" s="19"/>
      <c r="Q1726" s="19"/>
      <c r="R1726" s="19"/>
      <c r="S1726" s="19"/>
      <c r="T1726" s="19"/>
      <c r="U1726" s="19"/>
      <c r="V1726" s="19"/>
      <c r="W1726" s="19"/>
      <c r="X1726" s="19"/>
      <c r="Y1726" s="19"/>
      <c r="Z1726" s="19"/>
      <c r="AA1726" s="19"/>
      <c r="AB1726" s="19"/>
      <c r="AC1726" s="19"/>
      <c r="AD1726" s="19"/>
      <c r="AE1726" s="19"/>
      <c r="AF1726" s="19"/>
      <c r="AG1726" s="19"/>
      <c r="AH1726" s="19"/>
      <c r="AI1726" s="19"/>
      <c r="AJ1726" s="19"/>
      <c r="FM1726" s="54"/>
    </row>
    <row r="1727" spans="1:169" s="18" customFormat="1">
      <c r="A1727" s="51"/>
      <c r="B1727" s="52"/>
      <c r="C1727" s="52"/>
      <c r="D1727" s="52"/>
      <c r="E1727" s="52"/>
      <c r="F1727" s="52"/>
      <c r="G1727" s="52"/>
      <c r="H1727" s="53"/>
      <c r="I1727" s="52"/>
      <c r="J1727" s="52"/>
      <c r="K1727" s="19"/>
      <c r="L1727" s="19"/>
      <c r="M1727" s="19"/>
      <c r="N1727" s="19"/>
      <c r="O1727" s="19"/>
      <c r="P1727" s="19"/>
      <c r="Q1727" s="19"/>
      <c r="R1727" s="19"/>
      <c r="S1727" s="19"/>
      <c r="T1727" s="19"/>
      <c r="U1727" s="19"/>
      <c r="V1727" s="19"/>
      <c r="W1727" s="19"/>
      <c r="X1727" s="19"/>
      <c r="Y1727" s="19"/>
      <c r="Z1727" s="19"/>
      <c r="AA1727" s="19"/>
      <c r="AB1727" s="19"/>
      <c r="AC1727" s="19"/>
      <c r="AD1727" s="19"/>
      <c r="AE1727" s="19"/>
      <c r="AF1727" s="19"/>
      <c r="AG1727" s="19"/>
      <c r="AH1727" s="19"/>
      <c r="AI1727" s="19"/>
      <c r="AJ1727" s="19"/>
      <c r="FM1727" s="54"/>
    </row>
    <row r="1728" spans="1:169" s="18" customFormat="1">
      <c r="A1728" s="51"/>
      <c r="B1728" s="52"/>
      <c r="C1728" s="52"/>
      <c r="D1728" s="52"/>
      <c r="E1728" s="52"/>
      <c r="F1728" s="52"/>
      <c r="G1728" s="52"/>
      <c r="H1728" s="53"/>
      <c r="I1728" s="52"/>
      <c r="J1728" s="52"/>
      <c r="K1728" s="19"/>
      <c r="L1728" s="19"/>
      <c r="M1728" s="19"/>
      <c r="N1728" s="19"/>
      <c r="O1728" s="19"/>
      <c r="P1728" s="19"/>
      <c r="Q1728" s="19"/>
      <c r="R1728" s="19"/>
      <c r="S1728" s="19"/>
      <c r="T1728" s="19"/>
      <c r="U1728" s="19"/>
      <c r="V1728" s="19"/>
      <c r="W1728" s="19"/>
      <c r="X1728" s="19"/>
      <c r="Y1728" s="19"/>
      <c r="Z1728" s="19"/>
      <c r="AA1728" s="19"/>
      <c r="AB1728" s="19"/>
      <c r="AC1728" s="19"/>
      <c r="AD1728" s="19"/>
      <c r="AE1728" s="19"/>
      <c r="AF1728" s="19"/>
      <c r="AG1728" s="19"/>
      <c r="AH1728" s="19"/>
      <c r="AI1728" s="19"/>
      <c r="AJ1728" s="19"/>
      <c r="FM1728" s="54"/>
    </row>
    <row r="1729" spans="1:169" s="18" customFormat="1">
      <c r="A1729" s="51"/>
      <c r="B1729" s="52"/>
      <c r="C1729" s="52"/>
      <c r="D1729" s="52"/>
      <c r="E1729" s="52"/>
      <c r="F1729" s="52"/>
      <c r="G1729" s="52"/>
      <c r="H1729" s="53"/>
      <c r="I1729" s="52"/>
      <c r="J1729" s="52"/>
      <c r="K1729" s="19"/>
      <c r="L1729" s="19"/>
      <c r="M1729" s="19"/>
      <c r="N1729" s="19"/>
      <c r="O1729" s="19"/>
      <c r="P1729" s="19"/>
      <c r="Q1729" s="19"/>
      <c r="R1729" s="19"/>
      <c r="S1729" s="19"/>
      <c r="T1729" s="19"/>
      <c r="U1729" s="19"/>
      <c r="V1729" s="19"/>
      <c r="W1729" s="19"/>
      <c r="X1729" s="19"/>
      <c r="Y1729" s="19"/>
      <c r="Z1729" s="19"/>
      <c r="AA1729" s="19"/>
      <c r="AB1729" s="19"/>
      <c r="AC1729" s="19"/>
      <c r="AD1729" s="19"/>
      <c r="AE1729" s="19"/>
      <c r="AF1729" s="19"/>
      <c r="AG1729" s="19"/>
      <c r="AH1729" s="19"/>
      <c r="AI1729" s="19"/>
      <c r="AJ1729" s="19"/>
      <c r="FM1729" s="54"/>
    </row>
    <row r="1730" spans="1:169" s="18" customFormat="1">
      <c r="A1730" s="51"/>
      <c r="B1730" s="52"/>
      <c r="C1730" s="52"/>
      <c r="D1730" s="52"/>
      <c r="E1730" s="52"/>
      <c r="F1730" s="52"/>
      <c r="G1730" s="52"/>
      <c r="H1730" s="53"/>
      <c r="I1730" s="52"/>
      <c r="J1730" s="52"/>
      <c r="K1730" s="19"/>
      <c r="L1730" s="19"/>
      <c r="M1730" s="19"/>
      <c r="N1730" s="19"/>
      <c r="O1730" s="19"/>
      <c r="P1730" s="19"/>
      <c r="Q1730" s="19"/>
      <c r="R1730" s="19"/>
      <c r="S1730" s="19"/>
      <c r="T1730" s="19"/>
      <c r="U1730" s="19"/>
      <c r="V1730" s="19"/>
      <c r="W1730" s="19"/>
      <c r="X1730" s="19"/>
      <c r="Y1730" s="19"/>
      <c r="Z1730" s="19"/>
      <c r="AA1730" s="19"/>
      <c r="AB1730" s="19"/>
      <c r="AC1730" s="19"/>
      <c r="AD1730" s="19"/>
      <c r="AE1730" s="19"/>
      <c r="AF1730" s="19"/>
      <c r="AG1730" s="19"/>
      <c r="AH1730" s="19"/>
      <c r="AI1730" s="19"/>
      <c r="AJ1730" s="19"/>
      <c r="FM1730" s="54"/>
    </row>
    <row r="1731" spans="1:169" s="18" customFormat="1">
      <c r="A1731" s="51"/>
      <c r="B1731" s="52"/>
      <c r="C1731" s="52"/>
      <c r="D1731" s="52"/>
      <c r="E1731" s="52"/>
      <c r="F1731" s="52"/>
      <c r="G1731" s="52"/>
      <c r="H1731" s="53"/>
      <c r="I1731" s="52"/>
      <c r="J1731" s="52"/>
      <c r="K1731" s="19"/>
      <c r="L1731" s="19"/>
      <c r="M1731" s="19"/>
      <c r="N1731" s="19"/>
      <c r="O1731" s="19"/>
      <c r="P1731" s="19"/>
      <c r="Q1731" s="19"/>
      <c r="R1731" s="19"/>
      <c r="S1731" s="19"/>
      <c r="T1731" s="19"/>
      <c r="U1731" s="19"/>
      <c r="V1731" s="19"/>
      <c r="W1731" s="19"/>
      <c r="X1731" s="19"/>
      <c r="Y1731" s="19"/>
      <c r="Z1731" s="19"/>
      <c r="AA1731" s="19"/>
      <c r="AB1731" s="19"/>
      <c r="AC1731" s="19"/>
      <c r="AD1731" s="19"/>
      <c r="AE1731" s="19"/>
      <c r="AF1731" s="19"/>
      <c r="AG1731" s="19"/>
      <c r="AH1731" s="19"/>
      <c r="AI1731" s="19"/>
      <c r="AJ1731" s="19"/>
      <c r="FM1731" s="54"/>
    </row>
    <row r="1732" spans="1:169" s="18" customFormat="1">
      <c r="A1732" s="51"/>
      <c r="B1732" s="52"/>
      <c r="C1732" s="52"/>
      <c r="D1732" s="52"/>
      <c r="E1732" s="52"/>
      <c r="F1732" s="52"/>
      <c r="G1732" s="52"/>
      <c r="H1732" s="53"/>
      <c r="I1732" s="52"/>
      <c r="J1732" s="52"/>
      <c r="K1732" s="19"/>
      <c r="L1732" s="19"/>
      <c r="M1732" s="19"/>
      <c r="N1732" s="19"/>
      <c r="O1732" s="19"/>
      <c r="P1732" s="19"/>
      <c r="Q1732" s="19"/>
      <c r="R1732" s="19"/>
      <c r="S1732" s="19"/>
      <c r="T1732" s="19"/>
      <c r="U1732" s="19"/>
      <c r="V1732" s="19"/>
      <c r="W1732" s="19"/>
      <c r="X1732" s="19"/>
      <c r="Y1732" s="19"/>
      <c r="Z1732" s="19"/>
      <c r="AA1732" s="19"/>
      <c r="AB1732" s="19"/>
      <c r="AC1732" s="19"/>
      <c r="AD1732" s="19"/>
      <c r="AE1732" s="19"/>
      <c r="AF1732" s="19"/>
      <c r="AG1732" s="19"/>
      <c r="AH1732" s="19"/>
      <c r="AI1732" s="19"/>
      <c r="AJ1732" s="19"/>
      <c r="FM1732" s="54"/>
    </row>
    <row r="1733" spans="1:169" s="18" customFormat="1">
      <c r="A1733" s="51"/>
      <c r="B1733" s="52"/>
      <c r="C1733" s="52"/>
      <c r="D1733" s="52"/>
      <c r="E1733" s="52"/>
      <c r="F1733" s="52"/>
      <c r="G1733" s="52"/>
      <c r="H1733" s="53"/>
      <c r="I1733" s="52"/>
      <c r="J1733" s="52"/>
      <c r="K1733" s="19"/>
      <c r="L1733" s="19"/>
      <c r="M1733" s="19"/>
      <c r="N1733" s="19"/>
      <c r="O1733" s="19"/>
      <c r="P1733" s="19"/>
      <c r="Q1733" s="19"/>
      <c r="R1733" s="19"/>
      <c r="S1733" s="19"/>
      <c r="T1733" s="19"/>
      <c r="U1733" s="19"/>
      <c r="V1733" s="19"/>
      <c r="W1733" s="19"/>
      <c r="X1733" s="19"/>
      <c r="Y1733" s="19"/>
      <c r="Z1733" s="19"/>
      <c r="AA1733" s="19"/>
      <c r="AB1733" s="19"/>
      <c r="AC1733" s="19"/>
      <c r="AD1733" s="19"/>
      <c r="AE1733" s="19"/>
      <c r="AF1733" s="19"/>
      <c r="AG1733" s="19"/>
      <c r="AH1733" s="19"/>
      <c r="AI1733" s="19"/>
      <c r="AJ1733" s="19"/>
      <c r="FM1733" s="54"/>
    </row>
    <row r="1734" spans="1:169" s="18" customFormat="1">
      <c r="A1734" s="51"/>
      <c r="B1734" s="52"/>
      <c r="C1734" s="52"/>
      <c r="D1734" s="52"/>
      <c r="E1734" s="52"/>
      <c r="F1734" s="52"/>
      <c r="G1734" s="52"/>
      <c r="H1734" s="53"/>
      <c r="I1734" s="52"/>
      <c r="J1734" s="52"/>
      <c r="K1734" s="19"/>
      <c r="L1734" s="19"/>
      <c r="M1734" s="19"/>
      <c r="N1734" s="19"/>
      <c r="O1734" s="19"/>
      <c r="P1734" s="19"/>
      <c r="Q1734" s="19"/>
      <c r="R1734" s="19"/>
      <c r="S1734" s="19"/>
      <c r="T1734" s="19"/>
      <c r="U1734" s="19"/>
      <c r="V1734" s="19"/>
      <c r="W1734" s="19"/>
      <c r="X1734" s="19"/>
      <c r="Y1734" s="19"/>
      <c r="Z1734" s="19"/>
      <c r="AA1734" s="19"/>
      <c r="AB1734" s="19"/>
      <c r="AC1734" s="19"/>
      <c r="AD1734" s="19"/>
      <c r="AE1734" s="19"/>
      <c r="AF1734" s="19"/>
      <c r="AG1734" s="19"/>
      <c r="AH1734" s="19"/>
      <c r="AI1734" s="19"/>
      <c r="AJ1734" s="19"/>
      <c r="FM1734" s="54"/>
    </row>
    <row r="1735" spans="1:169" s="18" customFormat="1">
      <c r="A1735" s="51"/>
      <c r="B1735" s="52"/>
      <c r="C1735" s="52"/>
      <c r="D1735" s="52"/>
      <c r="E1735" s="52"/>
      <c r="F1735" s="52"/>
      <c r="G1735" s="52"/>
      <c r="H1735" s="53"/>
      <c r="I1735" s="52"/>
      <c r="J1735" s="52"/>
      <c r="K1735" s="19"/>
      <c r="L1735" s="19"/>
      <c r="M1735" s="19"/>
      <c r="N1735" s="19"/>
      <c r="O1735" s="19"/>
      <c r="P1735" s="19"/>
      <c r="Q1735" s="19"/>
      <c r="R1735" s="19"/>
      <c r="S1735" s="19"/>
      <c r="T1735" s="19"/>
      <c r="U1735" s="19"/>
      <c r="V1735" s="19"/>
      <c r="W1735" s="19"/>
      <c r="X1735" s="19"/>
      <c r="Y1735" s="19"/>
      <c r="Z1735" s="19"/>
      <c r="AA1735" s="19"/>
      <c r="AB1735" s="19"/>
      <c r="AC1735" s="19"/>
      <c r="AD1735" s="19"/>
      <c r="AE1735" s="19"/>
      <c r="AF1735" s="19"/>
      <c r="AG1735" s="19"/>
      <c r="AH1735" s="19"/>
      <c r="AI1735" s="19"/>
      <c r="AJ1735" s="19"/>
      <c r="FM1735" s="54"/>
    </row>
    <row r="1736" spans="1:169" s="18" customFormat="1">
      <c r="A1736" s="51"/>
      <c r="B1736" s="52"/>
      <c r="C1736" s="52"/>
      <c r="D1736" s="52"/>
      <c r="E1736" s="52"/>
      <c r="F1736" s="52"/>
      <c r="G1736" s="52"/>
      <c r="H1736" s="53"/>
      <c r="I1736" s="52"/>
      <c r="J1736" s="52"/>
      <c r="K1736" s="19"/>
      <c r="L1736" s="19"/>
      <c r="M1736" s="19"/>
      <c r="N1736" s="19"/>
      <c r="O1736" s="19"/>
      <c r="P1736" s="19"/>
      <c r="Q1736" s="19"/>
      <c r="R1736" s="19"/>
      <c r="S1736" s="19"/>
      <c r="T1736" s="19"/>
      <c r="U1736" s="19"/>
      <c r="V1736" s="19"/>
      <c r="W1736" s="19"/>
      <c r="X1736" s="19"/>
      <c r="Y1736" s="19"/>
      <c r="Z1736" s="19"/>
      <c r="AA1736" s="19"/>
      <c r="AB1736" s="19"/>
      <c r="AC1736" s="19"/>
      <c r="AD1736" s="19"/>
      <c r="AE1736" s="19"/>
      <c r="AF1736" s="19"/>
      <c r="AG1736" s="19"/>
      <c r="AH1736" s="19"/>
      <c r="AI1736" s="19"/>
      <c r="AJ1736" s="19"/>
      <c r="FM1736" s="54"/>
    </row>
    <row r="1737" spans="1:169" s="18" customFormat="1">
      <c r="A1737" s="51"/>
      <c r="B1737" s="52"/>
      <c r="C1737" s="52"/>
      <c r="D1737" s="52"/>
      <c r="E1737" s="52"/>
      <c r="F1737" s="52"/>
      <c r="G1737" s="52"/>
      <c r="H1737" s="53"/>
      <c r="I1737" s="52"/>
      <c r="J1737" s="52"/>
      <c r="K1737" s="19"/>
      <c r="L1737" s="19"/>
      <c r="M1737" s="19"/>
      <c r="N1737" s="19"/>
      <c r="O1737" s="19"/>
      <c r="P1737" s="19"/>
      <c r="Q1737" s="19"/>
      <c r="R1737" s="19"/>
      <c r="S1737" s="19"/>
      <c r="T1737" s="19"/>
      <c r="U1737" s="19"/>
      <c r="V1737" s="19"/>
      <c r="W1737" s="19"/>
      <c r="X1737" s="19"/>
      <c r="Y1737" s="19"/>
      <c r="Z1737" s="19"/>
      <c r="AA1737" s="19"/>
      <c r="AB1737" s="19"/>
      <c r="AC1737" s="19"/>
      <c r="AD1737" s="19"/>
      <c r="AE1737" s="19"/>
      <c r="AF1737" s="19"/>
      <c r="AG1737" s="19"/>
      <c r="AH1737" s="19"/>
      <c r="AI1737" s="19"/>
      <c r="AJ1737" s="19"/>
      <c r="FM1737" s="54"/>
    </row>
    <row r="1738" spans="1:169" ht="12.75" customHeight="1">
      <c r="D1738" s="52"/>
    </row>
    <row r="1739" spans="1:169" ht="12.75" customHeight="1">
      <c r="D1739" s="52"/>
    </row>
    <row r="1740" spans="1:169" ht="12.75" customHeight="1">
      <c r="D1740" s="52"/>
    </row>
    <row r="1741" spans="1:169" ht="12.75" customHeight="1">
      <c r="D1741" s="52"/>
    </row>
    <row r="1742" spans="1:169" ht="12.75" customHeight="1">
      <c r="D1742" s="52"/>
    </row>
    <row r="1743" spans="1:169" ht="12.75" customHeight="1">
      <c r="D1743" s="52"/>
    </row>
    <row r="1744" spans="1:169" ht="12.75" customHeight="1">
      <c r="D1744" s="52"/>
    </row>
    <row r="1745" spans="4:4" ht="12.75" customHeight="1">
      <c r="D1745" s="52"/>
    </row>
    <row r="1746" spans="4:4" ht="12.75" customHeight="1">
      <c r="D1746" s="52"/>
    </row>
    <row r="1747" spans="4:4" ht="12.75" customHeight="1">
      <c r="D1747" s="52"/>
    </row>
    <row r="1748" spans="4:4" ht="12.75" customHeight="1">
      <c r="D1748" s="52"/>
    </row>
    <row r="1749" spans="4:4" ht="12.75" customHeight="1">
      <c r="D1749" s="52"/>
    </row>
    <row r="1750" spans="4:4" ht="12.75" customHeight="1">
      <c r="D1750" s="52"/>
    </row>
    <row r="1751" spans="4:4" ht="12.75" customHeight="1">
      <c r="D1751" s="52"/>
    </row>
    <row r="1752" spans="4:4" ht="12.75" customHeight="1">
      <c r="D1752" s="52"/>
    </row>
    <row r="1753" spans="4:4" ht="12.75" customHeight="1">
      <c r="D1753" s="52"/>
    </row>
    <row r="1754" spans="4:4" ht="12.75" customHeight="1">
      <c r="D1754" s="52"/>
    </row>
    <row r="1755" spans="4:4" ht="12.75" customHeight="1">
      <c r="D1755" s="52"/>
    </row>
    <row r="1756" spans="4:4" ht="12.75" customHeight="1">
      <c r="D1756" s="52"/>
    </row>
    <row r="1757" spans="4:4" ht="12.75" customHeight="1">
      <c r="D1757" s="52"/>
    </row>
    <row r="1758" spans="4:4" ht="12.75" customHeight="1">
      <c r="D1758" s="52"/>
    </row>
    <row r="1759" spans="4:4" ht="12.75" customHeight="1">
      <c r="D1759" s="52"/>
    </row>
    <row r="1760" spans="4:4" ht="12.75" customHeight="1">
      <c r="D1760" s="52"/>
    </row>
    <row r="1761" spans="4:4" ht="12.75" customHeight="1">
      <c r="D1761" s="52"/>
    </row>
    <row r="1762" spans="4:4" ht="12.75" customHeight="1">
      <c r="D1762" s="52"/>
    </row>
    <row r="1763" spans="4:4" ht="12.75" customHeight="1">
      <c r="D1763" s="52"/>
    </row>
    <row r="1764" spans="4:4" ht="12.75" customHeight="1">
      <c r="D1764" s="52"/>
    </row>
    <row r="1765" spans="4:4" ht="12.75" customHeight="1">
      <c r="D1765" s="52"/>
    </row>
    <row r="1766" spans="4:4" ht="12.75" customHeight="1">
      <c r="D1766" s="52"/>
    </row>
    <row r="1767" spans="4:4" ht="12.75" customHeight="1">
      <c r="D1767" s="52"/>
    </row>
    <row r="1768" spans="4:4" ht="12.75" customHeight="1">
      <c r="D1768" s="52"/>
    </row>
    <row r="1769" spans="4:4" ht="12.75" customHeight="1">
      <c r="D1769" s="52"/>
    </row>
    <row r="1770" spans="4:4" ht="12.75" customHeight="1">
      <c r="D1770" s="52"/>
    </row>
    <row r="1771" spans="4:4" ht="12.75" customHeight="1">
      <c r="D1771" s="52"/>
    </row>
    <row r="1772" spans="4:4" ht="12.75" customHeight="1">
      <c r="D1772" s="52"/>
    </row>
    <row r="1773" spans="4:4" ht="12.75" customHeight="1">
      <c r="D1773" s="52"/>
    </row>
    <row r="1774" spans="4:4" ht="12.75" customHeight="1">
      <c r="D1774" s="52"/>
    </row>
    <row r="1775" spans="4:4" ht="12.75" customHeight="1">
      <c r="D1775" s="52"/>
    </row>
    <row r="1776" spans="4:4" ht="12.75" customHeight="1">
      <c r="D1776" s="52"/>
    </row>
    <row r="1777" spans="4:4" ht="12.75" customHeight="1">
      <c r="D1777" s="52"/>
    </row>
    <row r="1778" spans="4:4" ht="12.75" customHeight="1">
      <c r="D1778" s="52"/>
    </row>
    <row r="1779" spans="4:4" ht="12.75" customHeight="1">
      <c r="D1779" s="52"/>
    </row>
    <row r="1780" spans="4:4" ht="12.75" customHeight="1">
      <c r="D1780" s="52"/>
    </row>
    <row r="1781" spans="4:4" ht="12.75" customHeight="1">
      <c r="D1781" s="52"/>
    </row>
    <row r="1782" spans="4:4" ht="12.75" customHeight="1">
      <c r="D1782" s="52"/>
    </row>
    <row r="1783" spans="4:4" ht="12.75" customHeight="1">
      <c r="D1783" s="52"/>
    </row>
    <row r="1784" spans="4:4" ht="12.75" customHeight="1">
      <c r="D1784" s="52"/>
    </row>
    <row r="1785" spans="4:4" ht="12.75" customHeight="1">
      <c r="D1785" s="52"/>
    </row>
    <row r="1786" spans="4:4" ht="12.75" customHeight="1">
      <c r="D1786" s="52"/>
    </row>
    <row r="1787" spans="4:4" ht="12.75" customHeight="1">
      <c r="D1787" s="52"/>
    </row>
    <row r="1788" spans="4:4" ht="12.75" customHeight="1">
      <c r="D1788" s="52"/>
    </row>
    <row r="1789" spans="4:4" ht="12.75" customHeight="1">
      <c r="D1789" s="52"/>
    </row>
    <row r="1790" spans="4:4" ht="12.75" customHeight="1">
      <c r="D1790" s="52"/>
    </row>
    <row r="1791" spans="4:4" ht="12.75" customHeight="1">
      <c r="D1791" s="52"/>
    </row>
    <row r="1792" spans="4:4" ht="12.75" customHeight="1">
      <c r="D1792" s="52"/>
    </row>
    <row r="1793" spans="4:4" ht="12.75" customHeight="1">
      <c r="D1793" s="52"/>
    </row>
    <row r="1794" spans="4:4" ht="12.75" customHeight="1">
      <c r="D1794" s="52"/>
    </row>
    <row r="1795" spans="4:4" ht="12.75" customHeight="1">
      <c r="D1795" s="52"/>
    </row>
    <row r="1796" spans="4:4" ht="12.75" customHeight="1">
      <c r="D1796" s="52"/>
    </row>
    <row r="1797" spans="4:4" ht="12.75" customHeight="1">
      <c r="D1797" s="52"/>
    </row>
    <row r="1798" spans="4:4" ht="12.75" customHeight="1">
      <c r="D1798" s="52"/>
    </row>
    <row r="1799" spans="4:4" ht="12.75" customHeight="1">
      <c r="D1799" s="52"/>
    </row>
    <row r="1800" spans="4:4" ht="12.75" customHeight="1">
      <c r="D1800" s="52"/>
    </row>
    <row r="1801" spans="4:4" ht="12.75" customHeight="1">
      <c r="D1801" s="52"/>
    </row>
    <row r="1802" spans="4:4" ht="12.75" customHeight="1">
      <c r="D1802" s="52"/>
    </row>
    <row r="1803" spans="4:4" ht="12.75" customHeight="1">
      <c r="D1803" s="52"/>
    </row>
    <row r="1804" spans="4:4" ht="12.75" customHeight="1">
      <c r="D1804" s="52"/>
    </row>
    <row r="1805" spans="4:4" ht="12.75" customHeight="1">
      <c r="D1805" s="52"/>
    </row>
    <row r="1806" spans="4:4" ht="12.75" customHeight="1">
      <c r="D1806" s="52"/>
    </row>
    <row r="1807" spans="4:4" ht="12.75" customHeight="1">
      <c r="D1807" s="52"/>
    </row>
    <row r="1808" spans="4:4" ht="12.75" customHeight="1">
      <c r="D1808" s="52"/>
    </row>
    <row r="1809" spans="4:4" ht="12.75" customHeight="1">
      <c r="D1809" s="52"/>
    </row>
    <row r="1810" spans="4:4" ht="12.75" customHeight="1">
      <c r="D1810" s="52"/>
    </row>
    <row r="1811" spans="4:4" ht="12.75" customHeight="1">
      <c r="D1811" s="52"/>
    </row>
    <row r="1812" spans="4:4" ht="12.75" customHeight="1">
      <c r="D1812" s="52"/>
    </row>
    <row r="1813" spans="4:4" ht="12.75" customHeight="1">
      <c r="D1813" s="52"/>
    </row>
    <row r="1814" spans="4:4" ht="12.75" customHeight="1">
      <c r="D1814" s="52"/>
    </row>
    <row r="1815" spans="4:4" ht="12.75" customHeight="1">
      <c r="D1815" s="52"/>
    </row>
    <row r="1816" spans="4:4" ht="12.75" customHeight="1">
      <c r="D1816" s="52"/>
    </row>
    <row r="1817" spans="4:4" ht="12.75" customHeight="1">
      <c r="D1817" s="52"/>
    </row>
    <row r="1818" spans="4:4" ht="12.75" customHeight="1">
      <c r="D1818" s="52"/>
    </row>
    <row r="1819" spans="4:4" ht="12.75" customHeight="1">
      <c r="D1819" s="52"/>
    </row>
    <row r="1820" spans="4:4" ht="12.75" customHeight="1">
      <c r="D1820" s="52"/>
    </row>
    <row r="1821" spans="4:4" ht="12.75" customHeight="1">
      <c r="D1821" s="52"/>
    </row>
    <row r="1822" spans="4:4" ht="12.75" customHeight="1">
      <c r="D1822" s="52"/>
    </row>
    <row r="1823" spans="4:4" ht="12.75" customHeight="1">
      <c r="D1823" s="52"/>
    </row>
    <row r="1824" spans="4:4" ht="12.75" customHeight="1">
      <c r="D1824" s="52"/>
    </row>
    <row r="1825" spans="4:4" ht="12.75" customHeight="1">
      <c r="D1825" s="52"/>
    </row>
    <row r="1826" spans="4:4" ht="12.75" customHeight="1">
      <c r="D1826" s="52"/>
    </row>
    <row r="1827" spans="4:4" ht="12.75" customHeight="1">
      <c r="D1827" s="52"/>
    </row>
    <row r="1828" spans="4:4" ht="12.75" customHeight="1">
      <c r="D1828" s="52"/>
    </row>
    <row r="1829" spans="4:4" ht="12.75" customHeight="1">
      <c r="D1829" s="52"/>
    </row>
    <row r="1830" spans="4:4" ht="12.75" customHeight="1">
      <c r="D1830" s="52"/>
    </row>
    <row r="1831" spans="4:4" ht="12.75" customHeight="1">
      <c r="D1831" s="52"/>
    </row>
    <row r="1832" spans="4:4" ht="12.75" customHeight="1">
      <c r="D1832" s="52"/>
    </row>
    <row r="1833" spans="4:4" ht="12.75" customHeight="1">
      <c r="D1833" s="52"/>
    </row>
    <row r="1834" spans="4:4" ht="12.75" customHeight="1">
      <c r="D1834" s="52"/>
    </row>
    <row r="1835" spans="4:4" ht="12.75" customHeight="1">
      <c r="D1835" s="52"/>
    </row>
    <row r="1836" spans="4:4" ht="12.75" customHeight="1">
      <c r="D1836" s="52"/>
    </row>
    <row r="1837" spans="4:4" ht="12.75" customHeight="1">
      <c r="D1837" s="52"/>
    </row>
    <row r="1838" spans="4:4" ht="12.75" customHeight="1">
      <c r="D1838" s="52"/>
    </row>
    <row r="1839" spans="4:4" ht="12.75" customHeight="1">
      <c r="D1839" s="52"/>
    </row>
    <row r="1840" spans="4:4" ht="12.75" customHeight="1">
      <c r="D1840" s="52"/>
    </row>
    <row r="1841" spans="4:4" ht="12.75" customHeight="1">
      <c r="D1841" s="52"/>
    </row>
    <row r="1842" spans="4:4" ht="12.75" customHeight="1">
      <c r="D1842" s="52"/>
    </row>
    <row r="1843" spans="4:4" ht="12.75" customHeight="1">
      <c r="D1843" s="52"/>
    </row>
    <row r="1844" spans="4:4" ht="12.75" customHeight="1">
      <c r="D1844" s="52"/>
    </row>
    <row r="1845" spans="4:4" ht="12.75" customHeight="1">
      <c r="D1845" s="52"/>
    </row>
    <row r="1846" spans="4:4" ht="12.75" customHeight="1">
      <c r="D1846" s="52"/>
    </row>
    <row r="1847" spans="4:4" ht="12.75" customHeight="1">
      <c r="D1847" s="52"/>
    </row>
    <row r="1848" spans="4:4" ht="12.75" customHeight="1">
      <c r="D1848" s="52"/>
    </row>
    <row r="1849" spans="4:4" ht="12.75" customHeight="1">
      <c r="D1849" s="52"/>
    </row>
    <row r="1850" spans="4:4" ht="12.75" customHeight="1">
      <c r="D1850" s="52"/>
    </row>
    <row r="1851" spans="4:4" ht="12.75" customHeight="1">
      <c r="D1851" s="52"/>
    </row>
    <row r="1852" spans="4:4" ht="12.75" customHeight="1">
      <c r="D1852" s="52"/>
    </row>
    <row r="1853" spans="4:4" ht="12.75" customHeight="1">
      <c r="D1853" s="52"/>
    </row>
    <row r="1854" spans="4:4" ht="12.75" customHeight="1">
      <c r="D1854" s="52"/>
    </row>
    <row r="1855" spans="4:4" ht="12.75" customHeight="1">
      <c r="D1855" s="52"/>
    </row>
    <row r="1856" spans="4:4" ht="12.75" customHeight="1">
      <c r="D1856" s="52"/>
    </row>
    <row r="1857" spans="4:4" ht="12.75" customHeight="1">
      <c r="D1857" s="52"/>
    </row>
    <row r="1858" spans="4:4" ht="12.75" customHeight="1">
      <c r="D1858" s="52"/>
    </row>
    <row r="1859" spans="4:4" ht="12.75" customHeight="1">
      <c r="D1859" s="52"/>
    </row>
    <row r="1860" spans="4:4" ht="12.75" customHeight="1">
      <c r="D1860" s="52"/>
    </row>
    <row r="1861" spans="4:4" ht="12.75" customHeight="1">
      <c r="D1861" s="52"/>
    </row>
    <row r="1862" spans="4:4" ht="12.75" customHeight="1">
      <c r="D1862" s="52"/>
    </row>
    <row r="1863" spans="4:4" ht="12.75" customHeight="1">
      <c r="D1863" s="52"/>
    </row>
    <row r="1864" spans="4:4" ht="12.75" customHeight="1">
      <c r="D1864" s="52"/>
    </row>
    <row r="1865" spans="4:4" ht="12.75" customHeight="1">
      <c r="D1865" s="52"/>
    </row>
    <row r="1866" spans="4:4" ht="12.75" customHeight="1">
      <c r="D1866" s="52"/>
    </row>
    <row r="1867" spans="4:4" ht="12.75" customHeight="1">
      <c r="D1867" s="52"/>
    </row>
    <row r="1868" spans="4:4" ht="12.75" customHeight="1">
      <c r="D1868" s="52"/>
    </row>
    <row r="1869" spans="4:4" ht="12.75" customHeight="1">
      <c r="D1869" s="52"/>
    </row>
    <row r="1870" spans="4:4" ht="12.75" customHeight="1">
      <c r="D1870" s="52"/>
    </row>
    <row r="1871" spans="4:4" ht="12.75" customHeight="1">
      <c r="D1871" s="52"/>
    </row>
    <row r="1872" spans="4:4" ht="12.75" customHeight="1">
      <c r="D1872" s="52"/>
    </row>
    <row r="1873" spans="4:4" ht="12.75" customHeight="1">
      <c r="D1873" s="52"/>
    </row>
    <row r="1874" spans="4:4" ht="12.75" customHeight="1">
      <c r="D1874" s="52"/>
    </row>
    <row r="1875" spans="4:4" ht="12.75" customHeight="1">
      <c r="D1875" s="52"/>
    </row>
    <row r="1876" spans="4:4" ht="12.75" customHeight="1">
      <c r="D1876" s="52"/>
    </row>
    <row r="1877" spans="4:4" ht="12.75" customHeight="1">
      <c r="D1877" s="52"/>
    </row>
    <row r="1878" spans="4:4" ht="12.75" customHeight="1">
      <c r="D1878" s="52"/>
    </row>
    <row r="1879" spans="4:4" ht="12.75" customHeight="1">
      <c r="D1879" s="52"/>
    </row>
    <row r="1880" spans="4:4" ht="12.75" customHeight="1">
      <c r="D1880" s="52"/>
    </row>
    <row r="1881" spans="4:4" ht="12.75" customHeight="1">
      <c r="D1881" s="52"/>
    </row>
    <row r="1882" spans="4:4" ht="12.75" customHeight="1">
      <c r="D1882" s="52"/>
    </row>
    <row r="1883" spans="4:4" ht="12.75" customHeight="1">
      <c r="D1883" s="52"/>
    </row>
    <row r="1884" spans="4:4" ht="12.75" customHeight="1">
      <c r="D1884" s="52"/>
    </row>
    <row r="1885" spans="4:4" ht="12.75" customHeight="1">
      <c r="D1885" s="52"/>
    </row>
    <row r="1886" spans="4:4" ht="12.75" customHeight="1">
      <c r="D1886" s="52"/>
    </row>
    <row r="1887" spans="4:4" ht="12.75" customHeight="1">
      <c r="D1887" s="52"/>
    </row>
    <row r="1888" spans="4:4" ht="12.75" customHeight="1">
      <c r="D1888" s="52"/>
    </row>
    <row r="1889" spans="4:4" ht="12.75" customHeight="1">
      <c r="D1889" s="52"/>
    </row>
    <row r="1890" spans="4:4" ht="12.75" customHeight="1">
      <c r="D1890" s="52"/>
    </row>
    <row r="1891" spans="4:4" ht="12.75" customHeight="1">
      <c r="D1891" s="52"/>
    </row>
    <row r="1892" spans="4:4" ht="12.75" customHeight="1">
      <c r="D1892" s="52"/>
    </row>
    <row r="1893" spans="4:4" ht="12.75" customHeight="1">
      <c r="D1893" s="52"/>
    </row>
    <row r="1894" spans="4:4" ht="12.75" customHeight="1">
      <c r="D1894" s="52"/>
    </row>
    <row r="1895" spans="4:4" ht="12.75" customHeight="1">
      <c r="D1895" s="52"/>
    </row>
    <row r="1896" spans="4:4" ht="12.75" customHeight="1">
      <c r="D1896" s="52"/>
    </row>
    <row r="1897" spans="4:4" ht="12.75" customHeight="1">
      <c r="D1897" s="52"/>
    </row>
    <row r="1898" spans="4:4" ht="12.75" customHeight="1">
      <c r="D1898" s="52"/>
    </row>
    <row r="1899" spans="4:4" ht="12.75" customHeight="1">
      <c r="D1899" s="52"/>
    </row>
    <row r="1900" spans="4:4" ht="12.75" customHeight="1">
      <c r="D1900" s="52"/>
    </row>
    <row r="1901" spans="4:4" ht="12.75" customHeight="1">
      <c r="D1901" s="52"/>
    </row>
    <row r="1902" spans="4:4" ht="12.75" customHeight="1">
      <c r="D1902" s="52"/>
    </row>
    <row r="1903" spans="4:4" ht="12.75" customHeight="1">
      <c r="D1903" s="52"/>
    </row>
    <row r="1904" spans="4:4" ht="12.75" customHeight="1">
      <c r="D1904" s="52"/>
    </row>
    <row r="1905" spans="4:4" ht="12.75" customHeight="1">
      <c r="D1905" s="52"/>
    </row>
    <row r="1906" spans="4:4" ht="12.75" customHeight="1">
      <c r="D1906" s="52"/>
    </row>
    <row r="1907" spans="4:4" ht="12.75" customHeight="1">
      <c r="D1907" s="52"/>
    </row>
    <row r="1908" spans="4:4" ht="12.75" customHeight="1">
      <c r="D1908" s="52"/>
    </row>
    <row r="1909" spans="4:4" ht="12.75" customHeight="1">
      <c r="D1909" s="52"/>
    </row>
    <row r="1910" spans="4:4" ht="12.75" customHeight="1">
      <c r="D1910" s="52"/>
    </row>
    <row r="1911" spans="4:4" ht="12.75" customHeight="1">
      <c r="D1911" s="52"/>
    </row>
    <row r="1912" spans="4:4" ht="12.75" customHeight="1">
      <c r="D1912" s="52"/>
    </row>
    <row r="1913" spans="4:4" ht="12.75" customHeight="1">
      <c r="D1913" s="52"/>
    </row>
    <row r="1914" spans="4:4" ht="12.75" customHeight="1">
      <c r="D1914" s="52"/>
    </row>
    <row r="1915" spans="4:4" ht="12.75" customHeight="1">
      <c r="D1915" s="52"/>
    </row>
    <row r="1916" spans="4:4" ht="12.75" customHeight="1">
      <c r="D1916" s="52"/>
    </row>
    <row r="1917" spans="4:4" ht="12.75" customHeight="1">
      <c r="D1917" s="52"/>
    </row>
    <row r="1918" spans="4:4" ht="12.75" customHeight="1">
      <c r="D1918" s="52"/>
    </row>
    <row r="1919" spans="4:4" ht="12.75" customHeight="1">
      <c r="D1919" s="52"/>
    </row>
    <row r="1920" spans="4:4" ht="12.75" customHeight="1">
      <c r="D1920" s="52"/>
    </row>
    <row r="1921" spans="4:4" ht="12.75" customHeight="1">
      <c r="D1921" s="52"/>
    </row>
    <row r="1922" spans="4:4" ht="12.75" customHeight="1">
      <c r="D1922" s="52"/>
    </row>
    <row r="1923" spans="4:4" ht="12.75" customHeight="1">
      <c r="D1923" s="52"/>
    </row>
    <row r="1924" spans="4:4" ht="12.75" customHeight="1">
      <c r="D1924" s="52"/>
    </row>
    <row r="1925" spans="4:4" ht="12.75" customHeight="1">
      <c r="D1925" s="52"/>
    </row>
    <row r="1926" spans="4:4" ht="12.75" customHeight="1">
      <c r="D1926" s="52"/>
    </row>
    <row r="1927" spans="4:4" ht="12.75" customHeight="1">
      <c r="D1927" s="52"/>
    </row>
    <row r="1928" spans="4:4" ht="12.75" customHeight="1">
      <c r="D1928" s="52"/>
    </row>
    <row r="1929" spans="4:4" ht="12.75" customHeight="1">
      <c r="D1929" s="52"/>
    </row>
    <row r="1930" spans="4:4" ht="12.75" customHeight="1">
      <c r="D1930" s="52"/>
    </row>
    <row r="1931" spans="4:4" ht="12.75" customHeight="1">
      <c r="D1931" s="52"/>
    </row>
    <row r="1932" spans="4:4" ht="12.75" customHeight="1">
      <c r="D1932" s="52"/>
    </row>
    <row r="1933" spans="4:4" ht="12.75" customHeight="1">
      <c r="D1933" s="52"/>
    </row>
    <row r="1934" spans="4:4" ht="12.75" customHeight="1">
      <c r="D1934" s="52"/>
    </row>
    <row r="1935" spans="4:4" ht="12.75" customHeight="1">
      <c r="D1935" s="52"/>
    </row>
    <row r="1936" spans="4:4" ht="12.75" customHeight="1">
      <c r="D1936" s="52"/>
    </row>
    <row r="1937" spans="4:4" ht="12.75" customHeight="1">
      <c r="D1937" s="52"/>
    </row>
    <row r="1938" spans="4:4" ht="12.75" customHeight="1">
      <c r="D1938" s="52"/>
    </row>
    <row r="1939" spans="4:4" ht="12.75" customHeight="1">
      <c r="D1939" s="52"/>
    </row>
    <row r="1940" spans="4:4" ht="12.75" customHeight="1">
      <c r="D1940" s="52"/>
    </row>
    <row r="1941" spans="4:4" ht="12.75" customHeight="1">
      <c r="D1941" s="52"/>
    </row>
    <row r="1942" spans="4:4" ht="12.75" customHeight="1">
      <c r="D1942" s="52"/>
    </row>
    <row r="1943" spans="4:4" ht="12.75" customHeight="1">
      <c r="D1943" s="52"/>
    </row>
    <row r="1944" spans="4:4" ht="12.75" customHeight="1">
      <c r="D1944" s="52"/>
    </row>
    <row r="1945" spans="4:4" ht="12.75" customHeight="1">
      <c r="D1945" s="52"/>
    </row>
    <row r="1946" spans="4:4" ht="12.75" customHeight="1">
      <c r="D1946" s="52"/>
    </row>
    <row r="1947" spans="4:4" ht="12.75" customHeight="1">
      <c r="D1947" s="52"/>
    </row>
    <row r="1948" spans="4:4" ht="12.75" customHeight="1">
      <c r="D1948" s="52"/>
    </row>
    <row r="1949" spans="4:4" ht="12.75" customHeight="1">
      <c r="D1949" s="52"/>
    </row>
    <row r="1950" spans="4:4" ht="12.75" customHeight="1">
      <c r="D1950" s="52"/>
    </row>
    <row r="1951" spans="4:4" ht="12.75" customHeight="1">
      <c r="D1951" s="52"/>
    </row>
    <row r="1952" spans="4:4" ht="12.75" customHeight="1">
      <c r="D1952" s="52"/>
    </row>
    <row r="1953" spans="4:4" ht="12.75" customHeight="1">
      <c r="D1953" s="52"/>
    </row>
    <row r="1954" spans="4:4" ht="12.75" customHeight="1">
      <c r="D1954" s="52"/>
    </row>
    <row r="1955" spans="4:4" ht="12.75" customHeight="1">
      <c r="D1955" s="52"/>
    </row>
    <row r="1956" spans="4:4" ht="12.75" customHeight="1">
      <c r="D1956" s="52"/>
    </row>
    <row r="1957" spans="4:4" ht="12.75" customHeight="1">
      <c r="D1957" s="52"/>
    </row>
    <row r="1958" spans="4:4" ht="12.75" customHeight="1">
      <c r="D1958" s="52"/>
    </row>
    <row r="1959" spans="4:4" ht="12.75" customHeight="1">
      <c r="D1959" s="52"/>
    </row>
    <row r="1960" spans="4:4" ht="12.75" customHeight="1">
      <c r="D1960" s="52"/>
    </row>
    <row r="1961" spans="4:4" ht="12.75" customHeight="1">
      <c r="D1961" s="52"/>
    </row>
    <row r="1962" spans="4:4" ht="12.75" customHeight="1">
      <c r="D1962" s="52"/>
    </row>
    <row r="1963" spans="4:4" ht="12.75" customHeight="1">
      <c r="D1963" s="52"/>
    </row>
    <row r="1964" spans="4:4" ht="12.75" customHeight="1">
      <c r="D1964" s="52"/>
    </row>
    <row r="1965" spans="4:4" ht="12.75" customHeight="1">
      <c r="D1965" s="52"/>
    </row>
    <row r="1966" spans="4:4" ht="12.75" customHeight="1">
      <c r="D1966" s="52"/>
    </row>
    <row r="1967" spans="4:4" ht="12.75" customHeight="1">
      <c r="D1967" s="52"/>
    </row>
    <row r="1968" spans="4:4" ht="12.75" customHeight="1">
      <c r="D1968" s="52"/>
    </row>
    <row r="1969" spans="4:4" ht="12.75" customHeight="1">
      <c r="D1969" s="52"/>
    </row>
    <row r="1970" spans="4:4" ht="12.75" customHeight="1">
      <c r="D1970" s="52"/>
    </row>
    <row r="1971" spans="4:4" ht="12.75" customHeight="1">
      <c r="D1971" s="52"/>
    </row>
    <row r="1972" spans="4:4" ht="12.75" customHeight="1">
      <c r="D1972" s="52"/>
    </row>
    <row r="1973" spans="4:4" ht="12.75" customHeight="1">
      <c r="D1973" s="52"/>
    </row>
    <row r="1974" spans="4:4" ht="12.75" customHeight="1">
      <c r="D1974" s="52"/>
    </row>
    <row r="1975" spans="4:4" ht="12.75" customHeight="1">
      <c r="D1975" s="52"/>
    </row>
    <row r="1976" spans="4:4" ht="12.75" customHeight="1">
      <c r="D1976" s="52"/>
    </row>
    <row r="1977" spans="4:4" ht="12.75" customHeight="1">
      <c r="D1977" s="52"/>
    </row>
    <row r="1978" spans="4:4" ht="12.75" customHeight="1">
      <c r="D1978" s="52"/>
    </row>
    <row r="1979" spans="4:4" ht="12.75" customHeight="1">
      <c r="D1979" s="52"/>
    </row>
    <row r="1980" spans="4:4" ht="12.75" customHeight="1">
      <c r="D1980" s="52"/>
    </row>
    <row r="1981" spans="4:4" ht="12.75" customHeight="1">
      <c r="D1981" s="52"/>
    </row>
    <row r="1982" spans="4:4" ht="12.75" customHeight="1">
      <c r="D1982" s="52"/>
    </row>
    <row r="1983" spans="4:4" ht="12.75" customHeight="1">
      <c r="D1983" s="52"/>
    </row>
    <row r="1984" spans="4:4" ht="12.75" customHeight="1">
      <c r="D1984" s="52"/>
    </row>
    <row r="1985" spans="4:4" ht="12.75" customHeight="1">
      <c r="D1985" s="52"/>
    </row>
    <row r="1986" spans="4:4" ht="12.75" customHeight="1">
      <c r="D1986" s="52"/>
    </row>
    <row r="1987" spans="4:4" ht="12.75" customHeight="1">
      <c r="D1987" s="52"/>
    </row>
    <row r="1988" spans="4:4" ht="12.75" customHeight="1">
      <c r="D1988" s="52"/>
    </row>
    <row r="1989" spans="4:4" ht="12.75" customHeight="1">
      <c r="D1989" s="52"/>
    </row>
    <row r="1990" spans="4:4" ht="12.75" customHeight="1">
      <c r="D1990" s="52"/>
    </row>
    <row r="1991" spans="4:4" ht="12.75" customHeight="1">
      <c r="D1991" s="52"/>
    </row>
    <row r="1992" spans="4:4" ht="12.75" customHeight="1">
      <c r="D1992" s="52"/>
    </row>
    <row r="1993" spans="4:4" ht="12.75" customHeight="1">
      <c r="D1993" s="52"/>
    </row>
    <row r="1994" spans="4:4" ht="12.75" customHeight="1">
      <c r="D1994" s="52"/>
    </row>
    <row r="1995" spans="4:4" ht="12.75" customHeight="1">
      <c r="D1995" s="52"/>
    </row>
    <row r="1996" spans="4:4" ht="12.75" customHeight="1">
      <c r="D1996" s="52"/>
    </row>
    <row r="1997" spans="4:4" ht="12.75" customHeight="1">
      <c r="D1997" s="52"/>
    </row>
    <row r="1998" spans="4:4" ht="12.75" customHeight="1">
      <c r="D1998" s="52"/>
    </row>
    <row r="1999" spans="4:4" ht="12.75" customHeight="1">
      <c r="D1999" s="52"/>
    </row>
    <row r="2000" spans="4:4" ht="12.75" customHeight="1">
      <c r="D2000" s="52"/>
    </row>
    <row r="2001" spans="4:4" ht="12.75" customHeight="1">
      <c r="D2001" s="52"/>
    </row>
    <row r="2002" spans="4:4" ht="12.75" customHeight="1">
      <c r="D2002" s="52"/>
    </row>
    <row r="2003" spans="4:4" ht="12.75" customHeight="1">
      <c r="D2003" s="52"/>
    </row>
    <row r="2004" spans="4:4" ht="12.75" customHeight="1">
      <c r="D2004" s="52"/>
    </row>
    <row r="2005" spans="4:4" ht="12.75" customHeight="1">
      <c r="D2005" s="52"/>
    </row>
    <row r="2006" spans="4:4" ht="12.75" customHeight="1">
      <c r="D2006" s="52"/>
    </row>
    <row r="2007" spans="4:4" ht="12.75" customHeight="1">
      <c r="D2007" s="52"/>
    </row>
    <row r="2008" spans="4:4" ht="12.75" customHeight="1">
      <c r="D2008" s="52"/>
    </row>
    <row r="2009" spans="4:4" ht="12.75" customHeight="1">
      <c r="D2009" s="52"/>
    </row>
    <row r="2010" spans="4:4" ht="12.75" customHeight="1">
      <c r="D2010" s="52"/>
    </row>
    <row r="2011" spans="4:4" ht="12.75" customHeight="1">
      <c r="D2011" s="52"/>
    </row>
    <row r="2012" spans="4:4" ht="12.75" customHeight="1">
      <c r="D2012" s="52"/>
    </row>
    <row r="2013" spans="4:4" ht="12.75" customHeight="1">
      <c r="D2013" s="52"/>
    </row>
    <row r="2014" spans="4:4" ht="12.75" customHeight="1">
      <c r="D2014" s="52"/>
    </row>
    <row r="2015" spans="4:4" ht="12.75" customHeight="1">
      <c r="D2015" s="52"/>
    </row>
    <row r="2016" spans="4:4" ht="12.75" customHeight="1">
      <c r="D2016" s="52"/>
    </row>
    <row r="2017" spans="4:4" ht="12.75" customHeight="1">
      <c r="D2017" s="52"/>
    </row>
    <row r="2018" spans="4:4" ht="12.75" customHeight="1">
      <c r="D2018" s="52"/>
    </row>
    <row r="2019" spans="4:4" ht="12.75" customHeight="1">
      <c r="D2019" s="52"/>
    </row>
    <row r="2020" spans="4:4" ht="12.75" customHeight="1">
      <c r="D2020" s="52"/>
    </row>
    <row r="2021" spans="4:4" ht="12.75" customHeight="1">
      <c r="D2021" s="52"/>
    </row>
    <row r="2022" spans="4:4" ht="12.75" customHeight="1">
      <c r="D2022" s="52"/>
    </row>
    <row r="2023" spans="4:4" ht="12.75" customHeight="1">
      <c r="D2023" s="52"/>
    </row>
    <row r="2024" spans="4:4" ht="12.75" customHeight="1">
      <c r="D2024" s="52"/>
    </row>
    <row r="2025" spans="4:4" ht="12.75" customHeight="1">
      <c r="D2025" s="52"/>
    </row>
    <row r="2026" spans="4:4" ht="12.75" customHeight="1">
      <c r="D2026" s="52"/>
    </row>
    <row r="2027" spans="4:4" ht="12.75" customHeight="1">
      <c r="D2027" s="52"/>
    </row>
    <row r="2028" spans="4:4" ht="12.75" customHeight="1">
      <c r="D2028" s="52"/>
    </row>
    <row r="2029" spans="4:4" ht="12.75" customHeight="1">
      <c r="D2029" s="52"/>
    </row>
    <row r="2030" spans="4:4" ht="12.75" customHeight="1">
      <c r="D2030" s="52"/>
    </row>
    <row r="2031" spans="4:4" ht="12.75" customHeight="1">
      <c r="D2031" s="52"/>
    </row>
    <row r="2032" spans="4:4" ht="12.75" customHeight="1">
      <c r="D2032" s="52"/>
    </row>
    <row r="2033" spans="4:4" ht="12.75" customHeight="1">
      <c r="D2033" s="52"/>
    </row>
    <row r="2034" spans="4:4" ht="12.75" customHeight="1">
      <c r="D2034" s="52"/>
    </row>
    <row r="2035" spans="4:4" ht="12.75" customHeight="1">
      <c r="D2035" s="52"/>
    </row>
    <row r="2036" spans="4:4" ht="12.75" customHeight="1">
      <c r="D2036" s="52"/>
    </row>
    <row r="2037" spans="4:4" ht="12.75" customHeight="1">
      <c r="D2037" s="52"/>
    </row>
    <row r="2038" spans="4:4" ht="12.75" customHeight="1">
      <c r="D2038" s="52"/>
    </row>
    <row r="2039" spans="4:4" ht="12.75" customHeight="1">
      <c r="D2039" s="52"/>
    </row>
    <row r="2040" spans="4:4" ht="12.75" customHeight="1">
      <c r="D2040" s="52"/>
    </row>
    <row r="2041" spans="4:4" ht="12.75" customHeight="1">
      <c r="D2041" s="52"/>
    </row>
    <row r="2042" spans="4:4" ht="12.75" customHeight="1">
      <c r="D2042" s="52"/>
    </row>
    <row r="2043" spans="4:4" ht="12.75" customHeight="1">
      <c r="D2043" s="52"/>
    </row>
    <row r="2044" spans="4:4" ht="12.75" customHeight="1">
      <c r="D2044" s="52"/>
    </row>
    <row r="2045" spans="4:4" ht="12.75" customHeight="1">
      <c r="D2045" s="52"/>
    </row>
    <row r="2046" spans="4:4" ht="12.75" customHeight="1">
      <c r="D2046" s="52"/>
    </row>
    <row r="2047" spans="4:4" ht="12.75" customHeight="1">
      <c r="D2047" s="52"/>
    </row>
    <row r="2048" spans="4:4" ht="12.75" customHeight="1">
      <c r="D2048" s="52"/>
    </row>
    <row r="2049" spans="4:4" ht="12.75" customHeight="1">
      <c r="D2049" s="52"/>
    </row>
    <row r="2050" spans="4:4" ht="12.75" customHeight="1">
      <c r="D2050" s="52"/>
    </row>
    <row r="2051" spans="4:4" ht="12.75" customHeight="1">
      <c r="D2051" s="52"/>
    </row>
    <row r="2052" spans="4:4" ht="12.75" customHeight="1">
      <c r="D2052" s="52"/>
    </row>
    <row r="2053" spans="4:4" ht="12.75" customHeight="1">
      <c r="D2053" s="52"/>
    </row>
    <row r="2054" spans="4:4" ht="12.75" customHeight="1">
      <c r="D2054" s="52"/>
    </row>
    <row r="2055" spans="4:4" ht="12.75" customHeight="1">
      <c r="D2055" s="52"/>
    </row>
    <row r="2056" spans="4:4" ht="12.75" customHeight="1">
      <c r="D2056" s="52"/>
    </row>
    <row r="2057" spans="4:4" ht="12.75" customHeight="1">
      <c r="D2057" s="52"/>
    </row>
    <row r="2058" spans="4:4" ht="12.75" customHeight="1">
      <c r="D2058" s="52"/>
    </row>
    <row r="2059" spans="4:4" ht="12.75" customHeight="1">
      <c r="D2059" s="52"/>
    </row>
    <row r="2060" spans="4:4" ht="12.75" customHeight="1">
      <c r="D2060" s="52"/>
    </row>
    <row r="2061" spans="4:4" ht="12.75" customHeight="1">
      <c r="D2061" s="52"/>
    </row>
    <row r="2062" spans="4:4" ht="12.75" customHeight="1">
      <c r="D2062" s="52"/>
    </row>
    <row r="2063" spans="4:4" ht="12.75" customHeight="1">
      <c r="D2063" s="52"/>
    </row>
    <row r="2064" spans="4:4" ht="12.75" customHeight="1">
      <c r="D2064" s="52"/>
    </row>
    <row r="2065" spans="4:4" ht="12.75" customHeight="1">
      <c r="D2065" s="52"/>
    </row>
    <row r="2066" spans="4:4" ht="12.75" customHeight="1">
      <c r="D2066" s="52"/>
    </row>
    <row r="2067" spans="4:4" ht="12.75" customHeight="1">
      <c r="D2067" s="52"/>
    </row>
    <row r="2068" spans="4:4" ht="12.75" customHeight="1">
      <c r="D2068" s="52"/>
    </row>
    <row r="2069" spans="4:4" ht="12.75" customHeight="1">
      <c r="D2069" s="52"/>
    </row>
    <row r="2070" spans="4:4" ht="12.75" customHeight="1">
      <c r="D2070" s="52"/>
    </row>
    <row r="2071" spans="4:4" ht="12.75" customHeight="1">
      <c r="D2071" s="52"/>
    </row>
    <row r="2072" spans="4:4" ht="12.75" customHeight="1">
      <c r="D2072" s="52"/>
    </row>
    <row r="2073" spans="4:4" ht="12.75" customHeight="1">
      <c r="D2073" s="52"/>
    </row>
    <row r="2074" spans="4:4" ht="12.75" customHeight="1">
      <c r="D2074" s="52"/>
    </row>
    <row r="2075" spans="4:4" ht="12.75" customHeight="1">
      <c r="D2075" s="52"/>
    </row>
    <row r="2076" spans="4:4" ht="12.75" customHeight="1">
      <c r="D2076" s="52"/>
    </row>
    <row r="2077" spans="4:4" ht="12.75" customHeight="1">
      <c r="D2077" s="52"/>
    </row>
    <row r="2078" spans="4:4" ht="12.75" customHeight="1">
      <c r="D2078" s="52"/>
    </row>
    <row r="2079" spans="4:4" ht="12.75" customHeight="1">
      <c r="D2079" s="52"/>
    </row>
    <row r="2080" spans="4:4" ht="12.75" customHeight="1">
      <c r="D2080" s="52"/>
    </row>
    <row r="2081" spans="4:4" ht="12.75" customHeight="1">
      <c r="D2081" s="52"/>
    </row>
    <row r="2082" spans="4:4" ht="12.75" customHeight="1">
      <c r="D2082" s="52"/>
    </row>
    <row r="2083" spans="4:4" ht="12.75" customHeight="1">
      <c r="D2083" s="52"/>
    </row>
    <row r="2084" spans="4:4" ht="12.75" customHeight="1">
      <c r="D2084" s="52"/>
    </row>
    <row r="2085" spans="4:4" ht="12.75" customHeight="1">
      <c r="D2085" s="52"/>
    </row>
    <row r="2086" spans="4:4" ht="12.75" customHeight="1">
      <c r="D2086" s="52"/>
    </row>
    <row r="2087" spans="4:4" ht="12.75" customHeight="1">
      <c r="D2087" s="52"/>
    </row>
    <row r="2088" spans="4:4" ht="12.75" customHeight="1">
      <c r="D2088" s="52"/>
    </row>
    <row r="2089" spans="4:4" ht="12.75" customHeight="1">
      <c r="D2089" s="52"/>
    </row>
    <row r="2090" spans="4:4" ht="12.75" customHeight="1">
      <c r="D2090" s="52"/>
    </row>
    <row r="2091" spans="4:4" ht="12.75" customHeight="1">
      <c r="D2091" s="52"/>
    </row>
    <row r="2092" spans="4:4" ht="12.75" customHeight="1">
      <c r="D2092" s="52"/>
    </row>
    <row r="2093" spans="4:4" ht="12.75" customHeight="1">
      <c r="D2093" s="52"/>
    </row>
    <row r="2094" spans="4:4" ht="12.75" customHeight="1">
      <c r="D2094" s="52"/>
    </row>
    <row r="2095" spans="4:4" ht="12.75" customHeight="1">
      <c r="D2095" s="52"/>
    </row>
    <row r="2096" spans="4:4" ht="12.75" customHeight="1">
      <c r="D2096" s="52"/>
    </row>
    <row r="2097" spans="4:4" ht="12.75" customHeight="1">
      <c r="D2097" s="52"/>
    </row>
    <row r="2098" spans="4:4" ht="12.75" customHeight="1">
      <c r="D2098" s="52"/>
    </row>
    <row r="2099" spans="4:4" ht="12.75" customHeight="1">
      <c r="D2099" s="52"/>
    </row>
    <row r="2100" spans="4:4" ht="12.75" customHeight="1">
      <c r="D2100" s="52"/>
    </row>
    <row r="2101" spans="4:4" ht="12.75" customHeight="1">
      <c r="D2101" s="52"/>
    </row>
    <row r="2102" spans="4:4" ht="12.75" customHeight="1">
      <c r="D2102" s="52"/>
    </row>
    <row r="2103" spans="4:4" ht="12.75" customHeight="1">
      <c r="D2103" s="52"/>
    </row>
    <row r="2104" spans="4:4" ht="12.75" customHeight="1">
      <c r="D2104" s="52"/>
    </row>
    <row r="2105" spans="4:4" ht="12.75" customHeight="1">
      <c r="D2105" s="52"/>
    </row>
    <row r="2106" spans="4:4" ht="12.75" customHeight="1">
      <c r="D2106" s="52"/>
    </row>
    <row r="2107" spans="4:4" ht="12.75" customHeight="1">
      <c r="D2107" s="52"/>
    </row>
    <row r="2108" spans="4:4" ht="12.75" customHeight="1">
      <c r="D2108" s="52"/>
    </row>
    <row r="2109" spans="4:4" ht="12.75" customHeight="1">
      <c r="D2109" s="52"/>
    </row>
    <row r="2110" spans="4:4" ht="12.75" customHeight="1">
      <c r="D2110" s="52"/>
    </row>
    <row r="2111" spans="4:4" ht="12.75" customHeight="1">
      <c r="D2111" s="52"/>
    </row>
    <row r="2112" spans="4:4" ht="12.75" customHeight="1">
      <c r="D2112" s="52"/>
    </row>
    <row r="2113" spans="4:4" ht="12.75" customHeight="1">
      <c r="D2113" s="52"/>
    </row>
    <row r="2114" spans="4:4" ht="12.75" customHeight="1">
      <c r="D2114" s="52"/>
    </row>
    <row r="2115" spans="4:4" ht="12.75" customHeight="1">
      <c r="D2115" s="52"/>
    </row>
    <row r="2116" spans="4:4" ht="12.75" customHeight="1">
      <c r="D2116" s="52"/>
    </row>
    <row r="2117" spans="4:4" ht="12.75" customHeight="1">
      <c r="D2117" s="52"/>
    </row>
    <row r="2118" spans="4:4" ht="12.75" customHeight="1">
      <c r="D2118" s="52"/>
    </row>
    <row r="2119" spans="4:4" ht="12.75" customHeight="1">
      <c r="D2119" s="52"/>
    </row>
    <row r="2120" spans="4:4" ht="12.75" customHeight="1">
      <c r="D2120" s="52"/>
    </row>
    <row r="2121" spans="4:4" ht="12.75" customHeight="1">
      <c r="D2121" s="52"/>
    </row>
    <row r="2122" spans="4:4" ht="12.75" customHeight="1">
      <c r="D2122" s="52"/>
    </row>
    <row r="2123" spans="4:4" ht="12.75" customHeight="1">
      <c r="D2123" s="52"/>
    </row>
    <row r="2124" spans="4:4" ht="12.75" customHeight="1">
      <c r="D2124" s="52"/>
    </row>
    <row r="2125" spans="4:4" ht="12.75" customHeight="1">
      <c r="D2125" s="52"/>
    </row>
    <row r="2126" spans="4:4" ht="12.75" customHeight="1">
      <c r="D2126" s="52"/>
    </row>
    <row r="2127" spans="4:4" ht="12.75" customHeight="1">
      <c r="D2127" s="52"/>
    </row>
    <row r="2128" spans="4:4" ht="12.75" customHeight="1">
      <c r="D2128" s="52"/>
    </row>
    <row r="2129" spans="4:4" ht="12.75" customHeight="1">
      <c r="D2129" s="52"/>
    </row>
    <row r="2130" spans="4:4" ht="12.75" customHeight="1">
      <c r="D2130" s="52"/>
    </row>
    <row r="2131" spans="4:4" ht="12.75" customHeight="1">
      <c r="D2131" s="52"/>
    </row>
    <row r="2132" spans="4:4" ht="12.75" customHeight="1">
      <c r="D2132" s="52"/>
    </row>
    <row r="2133" spans="4:4" ht="12.75" customHeight="1">
      <c r="D2133" s="52"/>
    </row>
    <row r="2134" spans="4:4" ht="12.75" customHeight="1">
      <c r="D2134" s="52"/>
    </row>
    <row r="2135" spans="4:4" ht="12.75" customHeight="1">
      <c r="D2135" s="52"/>
    </row>
    <row r="2136" spans="4:4" ht="12.75" customHeight="1">
      <c r="D2136" s="52"/>
    </row>
    <row r="2137" spans="4:4" ht="12.75" customHeight="1">
      <c r="D2137" s="52"/>
    </row>
    <row r="2138" spans="4:4" ht="12.75" customHeight="1">
      <c r="D2138" s="52"/>
    </row>
    <row r="2139" spans="4:4" ht="12.75" customHeight="1">
      <c r="D2139" s="52"/>
    </row>
    <row r="2140" spans="4:4" ht="12.75" customHeight="1">
      <c r="D2140" s="52"/>
    </row>
    <row r="2141" spans="4:4" ht="12.75" customHeight="1">
      <c r="D2141" s="52"/>
    </row>
    <row r="2142" spans="4:4" ht="12.75" customHeight="1">
      <c r="D2142" s="52"/>
    </row>
    <row r="2143" spans="4:4" ht="12.75" customHeight="1">
      <c r="D2143" s="52"/>
    </row>
    <row r="2144" spans="4:4" ht="12.75" customHeight="1">
      <c r="D2144" s="52"/>
    </row>
    <row r="2145" spans="4:4" ht="12.75" customHeight="1">
      <c r="D2145" s="52"/>
    </row>
    <row r="2146" spans="4:4" ht="12.75" customHeight="1">
      <c r="D2146" s="52"/>
    </row>
    <row r="2147" spans="4:4" ht="12.75" customHeight="1">
      <c r="D2147" s="52"/>
    </row>
    <row r="2148" spans="4:4" ht="12.75" customHeight="1">
      <c r="D2148" s="52"/>
    </row>
    <row r="2149" spans="4:4" ht="12.75" customHeight="1">
      <c r="D2149" s="52"/>
    </row>
    <row r="2150" spans="4:4" ht="12.75" customHeight="1">
      <c r="D2150" s="52"/>
    </row>
    <row r="2151" spans="4:4" ht="12.75" customHeight="1">
      <c r="D2151" s="52"/>
    </row>
    <row r="2152" spans="4:4" ht="12.75" customHeight="1">
      <c r="D2152" s="52"/>
    </row>
    <row r="2153" spans="4:4" ht="12.75" customHeight="1">
      <c r="D2153" s="52"/>
    </row>
    <row r="2154" spans="4:4" ht="12.75" customHeight="1">
      <c r="D2154" s="52"/>
    </row>
    <row r="2155" spans="4:4" ht="12.75" customHeight="1">
      <c r="D2155" s="52"/>
    </row>
    <row r="2156" spans="4:4" ht="12.75" customHeight="1">
      <c r="D2156" s="52"/>
    </row>
    <row r="2157" spans="4:4" ht="12.75" customHeight="1">
      <c r="D2157" s="52"/>
    </row>
    <row r="2158" spans="4:4" ht="12.75" customHeight="1">
      <c r="D2158" s="52"/>
    </row>
    <row r="2159" spans="4:4" ht="12.75" customHeight="1">
      <c r="D2159" s="52"/>
    </row>
    <row r="2160" spans="4:4" ht="12.75" customHeight="1">
      <c r="D2160" s="52"/>
    </row>
    <row r="2161" spans="4:4" ht="12.75" customHeight="1">
      <c r="D2161" s="52"/>
    </row>
    <row r="2162" spans="4:4" ht="12.75" customHeight="1">
      <c r="D2162" s="52"/>
    </row>
    <row r="2163" spans="4:4" ht="12.75" customHeight="1">
      <c r="D2163" s="52"/>
    </row>
    <row r="2164" spans="4:4" ht="12.75" customHeight="1">
      <c r="D2164" s="52"/>
    </row>
    <row r="2165" spans="4:4" ht="12.75" customHeight="1">
      <c r="D2165" s="52"/>
    </row>
    <row r="2166" spans="4:4" ht="12.75" customHeight="1">
      <c r="D2166" s="52"/>
    </row>
    <row r="2167" spans="4:4" ht="12.75" customHeight="1">
      <c r="D2167" s="52"/>
    </row>
    <row r="2168" spans="4:4" ht="12.75" customHeight="1">
      <c r="D2168" s="52"/>
    </row>
    <row r="2169" spans="4:4" ht="12.75" customHeight="1">
      <c r="D2169" s="52"/>
    </row>
    <row r="2170" spans="4:4" ht="12.75" customHeight="1">
      <c r="D2170" s="52"/>
    </row>
    <row r="2171" spans="4:4" ht="12.75" customHeight="1">
      <c r="D2171" s="52"/>
    </row>
    <row r="2172" spans="4:4" ht="12.75" customHeight="1">
      <c r="D2172" s="52"/>
    </row>
    <row r="2173" spans="4:4" ht="12.75" customHeight="1">
      <c r="D2173" s="52"/>
    </row>
    <row r="2174" spans="4:4" ht="12.75" customHeight="1">
      <c r="D2174" s="52"/>
    </row>
    <row r="2175" spans="4:4" ht="12.75" customHeight="1">
      <c r="D2175" s="52"/>
    </row>
    <row r="2176" spans="4:4" ht="12.75" customHeight="1">
      <c r="D2176" s="52"/>
    </row>
    <row r="2177" spans="4:4" ht="12.75" customHeight="1">
      <c r="D2177" s="52"/>
    </row>
    <row r="2178" spans="4:4" ht="12.75" customHeight="1">
      <c r="D2178" s="52"/>
    </row>
    <row r="2179" spans="4:4" ht="12.75" customHeight="1">
      <c r="D2179" s="52"/>
    </row>
    <row r="2180" spans="4:4" ht="12.75" customHeight="1">
      <c r="D2180" s="52"/>
    </row>
    <row r="2181" spans="4:4" ht="12.75" customHeight="1">
      <c r="D2181" s="52"/>
    </row>
    <row r="2182" spans="4:4" ht="12.75" customHeight="1">
      <c r="D2182" s="52"/>
    </row>
    <row r="2183" spans="4:4" ht="12.75" customHeight="1">
      <c r="D2183" s="52"/>
    </row>
    <row r="2184" spans="4:4" ht="12.75" customHeight="1">
      <c r="D2184" s="52"/>
    </row>
    <row r="2185" spans="4:4" ht="12.75" customHeight="1">
      <c r="D2185" s="52"/>
    </row>
    <row r="2186" spans="4:4" ht="12.75" customHeight="1">
      <c r="D2186" s="52"/>
    </row>
    <row r="2187" spans="4:4" ht="12.75" customHeight="1">
      <c r="D2187" s="52"/>
    </row>
    <row r="2188" spans="4:4" ht="12.75" customHeight="1">
      <c r="D2188" s="52"/>
    </row>
    <row r="2189" spans="4:4" ht="12.75" customHeight="1">
      <c r="D2189" s="52"/>
    </row>
    <row r="2190" spans="4:4" ht="12.75" customHeight="1">
      <c r="D2190" s="52"/>
    </row>
    <row r="2191" spans="4:4" ht="12.75" customHeight="1">
      <c r="D2191" s="52"/>
    </row>
    <row r="2192" spans="4:4" ht="12.75" customHeight="1">
      <c r="D2192" s="52"/>
    </row>
    <row r="2193" spans="4:4" ht="12.75" customHeight="1">
      <c r="D2193" s="52"/>
    </row>
    <row r="2194" spans="4:4" ht="12.75" customHeight="1">
      <c r="D2194" s="52"/>
    </row>
    <row r="2195" spans="4:4" ht="12.75" customHeight="1">
      <c r="D2195" s="52"/>
    </row>
    <row r="2196" spans="4:4" ht="12.75" customHeight="1">
      <c r="D2196" s="52"/>
    </row>
    <row r="2197" spans="4:4" ht="12.75" customHeight="1">
      <c r="D2197" s="52"/>
    </row>
    <row r="2198" spans="4:4" ht="12.75" customHeight="1">
      <c r="D2198" s="52"/>
    </row>
    <row r="2199" spans="4:4" ht="12.75" customHeight="1">
      <c r="D2199" s="52"/>
    </row>
    <row r="2200" spans="4:4" ht="12.75" customHeight="1">
      <c r="D2200" s="52"/>
    </row>
    <row r="2201" spans="4:4" ht="12.75" customHeight="1">
      <c r="D2201" s="52"/>
    </row>
    <row r="2202" spans="4:4" ht="12.75" customHeight="1">
      <c r="D2202" s="52"/>
    </row>
    <row r="2203" spans="4:4" ht="12.75" customHeight="1">
      <c r="D2203" s="52"/>
    </row>
    <row r="2204" spans="4:4" ht="12.75" customHeight="1">
      <c r="D2204" s="52"/>
    </row>
    <row r="2205" spans="4:4" ht="12.75" customHeight="1">
      <c r="D2205" s="52"/>
    </row>
    <row r="2206" spans="4:4" ht="12.75" customHeight="1">
      <c r="D2206" s="52"/>
    </row>
    <row r="2207" spans="4:4" ht="12.75" customHeight="1">
      <c r="D2207" s="52"/>
    </row>
    <row r="2208" spans="4:4" ht="12.75" customHeight="1">
      <c r="D2208" s="52"/>
    </row>
    <row r="2209" spans="4:4" ht="12.75" customHeight="1">
      <c r="D2209" s="52"/>
    </row>
    <row r="2210" spans="4:4" ht="12.75" customHeight="1">
      <c r="D2210" s="52"/>
    </row>
    <row r="2211" spans="4:4" ht="12.75" customHeight="1">
      <c r="D2211" s="52"/>
    </row>
    <row r="2212" spans="4:4" ht="12.75" customHeight="1">
      <c r="D2212" s="52"/>
    </row>
    <row r="2213" spans="4:4" ht="12.75" customHeight="1">
      <c r="D2213" s="52"/>
    </row>
    <row r="2214" spans="4:4" ht="12.75" customHeight="1">
      <c r="D2214" s="52"/>
    </row>
    <row r="2215" spans="4:4" ht="12.75" customHeight="1">
      <c r="D2215" s="52"/>
    </row>
    <row r="2216" spans="4:4" ht="12.75" customHeight="1">
      <c r="D2216" s="52"/>
    </row>
    <row r="2217" spans="4:4" ht="12.75" customHeight="1">
      <c r="D2217" s="52"/>
    </row>
    <row r="2218" spans="4:4" ht="12.75" customHeight="1">
      <c r="D2218" s="52"/>
    </row>
    <row r="2219" spans="4:4" ht="12.75" customHeight="1">
      <c r="D2219" s="52"/>
    </row>
    <row r="2220" spans="4:4" ht="12.75" customHeight="1">
      <c r="D2220" s="52"/>
    </row>
    <row r="2221" spans="4:4" ht="12.75" customHeight="1">
      <c r="D2221" s="52"/>
    </row>
    <row r="2222" spans="4:4" ht="12.75" customHeight="1">
      <c r="D2222" s="52"/>
    </row>
    <row r="2223" spans="4:4" ht="12.75" customHeight="1">
      <c r="D2223" s="52"/>
    </row>
    <row r="2224" spans="4:4" ht="12.75" customHeight="1">
      <c r="D2224" s="52"/>
    </row>
    <row r="2225" spans="4:4" ht="12.75" customHeight="1">
      <c r="D2225" s="52"/>
    </row>
    <row r="2226" spans="4:4" ht="12.75" customHeight="1">
      <c r="D2226" s="52"/>
    </row>
    <row r="2227" spans="4:4" ht="12.75" customHeight="1">
      <c r="D2227" s="52"/>
    </row>
    <row r="2228" spans="4:4" ht="12.75" customHeight="1">
      <c r="D2228" s="52"/>
    </row>
    <row r="2229" spans="4:4" ht="12.75" customHeight="1">
      <c r="D2229" s="52"/>
    </row>
    <row r="2230" spans="4:4" ht="12.75" customHeight="1">
      <c r="D2230" s="52"/>
    </row>
    <row r="2231" spans="4:4" ht="12.75" customHeight="1">
      <c r="D2231" s="52"/>
    </row>
    <row r="2232" spans="4:4" ht="12.75" customHeight="1">
      <c r="D2232" s="52"/>
    </row>
    <row r="2233" spans="4:4" ht="12.75" customHeight="1">
      <c r="D2233" s="52"/>
    </row>
    <row r="2234" spans="4:4" ht="12.75" customHeight="1">
      <c r="D2234" s="52"/>
    </row>
    <row r="2235" spans="4:4" ht="12.75" customHeight="1">
      <c r="D2235" s="52"/>
    </row>
    <row r="2236" spans="4:4" ht="12.75" customHeight="1">
      <c r="D2236" s="52"/>
    </row>
    <row r="2237" spans="4:4" ht="12.75" customHeight="1">
      <c r="D2237" s="52"/>
    </row>
    <row r="2238" spans="4:4" ht="12.75" customHeight="1">
      <c r="D2238" s="52"/>
    </row>
    <row r="2239" spans="4:4" ht="12.75" customHeight="1">
      <c r="D2239" s="52"/>
    </row>
    <row r="2240" spans="4:4" ht="12.75" customHeight="1">
      <c r="D2240" s="52"/>
    </row>
    <row r="2241" spans="4:4" ht="12.75" customHeight="1">
      <c r="D2241" s="52"/>
    </row>
    <row r="2242" spans="4:4" ht="12.75" customHeight="1">
      <c r="D2242" s="52"/>
    </row>
    <row r="2243" spans="4:4" ht="12.75" customHeight="1">
      <c r="D2243" s="52"/>
    </row>
    <row r="2244" spans="4:4" ht="12.75" customHeight="1">
      <c r="D2244" s="52"/>
    </row>
    <row r="2245" spans="4:4" ht="12.75" customHeight="1">
      <c r="D2245" s="52"/>
    </row>
    <row r="2246" spans="4:4" ht="12.75" customHeight="1">
      <c r="D2246" s="52"/>
    </row>
    <row r="2247" spans="4:4" ht="12.75" customHeight="1">
      <c r="D2247" s="52"/>
    </row>
    <row r="2248" spans="4:4" ht="12.75" customHeight="1">
      <c r="D2248" s="52"/>
    </row>
    <row r="2249" spans="4:4" ht="12.75" customHeight="1">
      <c r="D2249" s="52"/>
    </row>
    <row r="2250" spans="4:4" ht="12.75" customHeight="1">
      <c r="D2250" s="52"/>
    </row>
    <row r="2251" spans="4:4" ht="12.75" customHeight="1">
      <c r="D2251" s="52"/>
    </row>
    <row r="2252" spans="4:4" ht="12.75" customHeight="1">
      <c r="D2252" s="52"/>
    </row>
    <row r="2253" spans="4:4" ht="12.75" customHeight="1">
      <c r="D2253" s="52"/>
    </row>
    <row r="2254" spans="4:4" ht="12.75" customHeight="1">
      <c r="D2254" s="52"/>
    </row>
    <row r="2255" spans="4:4" ht="12.75" customHeight="1">
      <c r="D2255" s="52"/>
    </row>
    <row r="2256" spans="4:4" ht="12.75" customHeight="1">
      <c r="D2256" s="52"/>
    </row>
    <row r="2257" spans="4:4" ht="12.75" customHeight="1">
      <c r="D2257" s="52"/>
    </row>
    <row r="2258" spans="4:4" ht="12.75" customHeight="1">
      <c r="D2258" s="52"/>
    </row>
    <row r="2259" spans="4:4" ht="12.75" customHeight="1">
      <c r="D2259" s="52"/>
    </row>
    <row r="2260" spans="4:4" ht="12.75" customHeight="1">
      <c r="D2260" s="52"/>
    </row>
    <row r="2261" spans="4:4" ht="12.75" customHeight="1">
      <c r="D2261" s="52"/>
    </row>
    <row r="2262" spans="4:4" ht="12.75" customHeight="1">
      <c r="D2262" s="52"/>
    </row>
    <row r="2263" spans="4:4" ht="12.75" customHeight="1">
      <c r="D2263" s="52"/>
    </row>
    <row r="2264" spans="4:4" ht="12.75" customHeight="1">
      <c r="D2264" s="52"/>
    </row>
    <row r="2265" spans="4:4" ht="12.75" customHeight="1">
      <c r="D2265" s="52"/>
    </row>
    <row r="2266" spans="4:4" ht="12.75" customHeight="1">
      <c r="D2266" s="52"/>
    </row>
    <row r="2267" spans="4:4" ht="12.75" customHeight="1">
      <c r="D2267" s="52"/>
    </row>
    <row r="2268" spans="4:4" ht="12.75" customHeight="1">
      <c r="D2268" s="52"/>
    </row>
    <row r="2269" spans="4:4" ht="12.75" customHeight="1">
      <c r="D2269" s="52"/>
    </row>
    <row r="2270" spans="4:4" ht="12.75" customHeight="1">
      <c r="D2270" s="52"/>
    </row>
    <row r="2271" spans="4:4" ht="12.75" customHeight="1">
      <c r="D2271" s="52"/>
    </row>
    <row r="2272" spans="4:4" ht="12.75" customHeight="1">
      <c r="D2272" s="52"/>
    </row>
    <row r="2273" spans="4:4" ht="12.75" customHeight="1">
      <c r="D2273" s="52"/>
    </row>
    <row r="2274" spans="4:4" ht="12.75" customHeight="1">
      <c r="D2274" s="52"/>
    </row>
    <row r="2275" spans="4:4" ht="12.75" customHeight="1">
      <c r="D2275" s="52"/>
    </row>
    <row r="2276" spans="4:4" ht="12.75" customHeight="1">
      <c r="D2276" s="52"/>
    </row>
    <row r="2277" spans="4:4" ht="12.75" customHeight="1">
      <c r="D2277" s="52"/>
    </row>
    <row r="2278" spans="4:4" ht="12.75" customHeight="1">
      <c r="D2278" s="52"/>
    </row>
    <row r="2279" spans="4:4" ht="12.75" customHeight="1">
      <c r="D2279" s="52"/>
    </row>
    <row r="2280" spans="4:4" ht="12.75" customHeight="1">
      <c r="D2280" s="52"/>
    </row>
    <row r="2281" spans="4:4" ht="12.75" customHeight="1">
      <c r="D2281" s="52"/>
    </row>
    <row r="2282" spans="4:4" ht="12.75" customHeight="1">
      <c r="D2282" s="52"/>
    </row>
    <row r="2283" spans="4:4" ht="12.75" customHeight="1">
      <c r="D2283" s="52"/>
    </row>
    <row r="2284" spans="4:4" ht="12.75" customHeight="1">
      <c r="D2284" s="52"/>
    </row>
    <row r="2285" spans="4:4" ht="12.75" customHeight="1">
      <c r="D2285" s="52"/>
    </row>
    <row r="2286" spans="4:4" ht="12.75" customHeight="1">
      <c r="D2286" s="52"/>
    </row>
    <row r="2287" spans="4:4" ht="12.75" customHeight="1">
      <c r="D2287" s="52"/>
    </row>
    <row r="2288" spans="4:4" ht="12.75" customHeight="1">
      <c r="D2288" s="52"/>
    </row>
    <row r="2289" spans="4:4" ht="12.75" customHeight="1">
      <c r="D2289" s="52"/>
    </row>
    <row r="2290" spans="4:4" ht="12.75" customHeight="1">
      <c r="D2290" s="52"/>
    </row>
    <row r="2291" spans="4:4" ht="12.75" customHeight="1">
      <c r="D2291" s="52"/>
    </row>
    <row r="2292" spans="4:4" ht="12.75" customHeight="1">
      <c r="D2292" s="52"/>
    </row>
    <row r="2293" spans="4:4" ht="12.75" customHeight="1">
      <c r="D2293" s="52"/>
    </row>
    <row r="2294" spans="4:4" ht="12.75" customHeight="1">
      <c r="D2294" s="52"/>
    </row>
    <row r="2295" spans="4:4" ht="12.75" customHeight="1">
      <c r="D2295" s="52"/>
    </row>
    <row r="2296" spans="4:4" ht="12.75" customHeight="1">
      <c r="D2296" s="52"/>
    </row>
    <row r="2297" spans="4:4" ht="12.75" customHeight="1">
      <c r="D2297" s="52"/>
    </row>
    <row r="2298" spans="4:4" ht="12.75" customHeight="1">
      <c r="D2298" s="52"/>
    </row>
    <row r="2299" spans="4:4" ht="12.75" customHeight="1">
      <c r="D2299" s="52"/>
    </row>
    <row r="2300" spans="4:4" ht="12.75" customHeight="1">
      <c r="D2300" s="52"/>
    </row>
    <row r="2301" spans="4:4" ht="12.75" customHeight="1">
      <c r="D2301" s="52"/>
    </row>
    <row r="2302" spans="4:4" ht="12.75" customHeight="1">
      <c r="D2302" s="52"/>
    </row>
    <row r="2303" spans="4:4" ht="12.75" customHeight="1">
      <c r="D2303" s="52"/>
    </row>
    <row r="2304" spans="4:4" ht="12.75" customHeight="1">
      <c r="D2304" s="52"/>
    </row>
    <row r="2305" spans="4:4" ht="12.75" customHeight="1">
      <c r="D2305" s="52"/>
    </row>
    <row r="2306" spans="4:4" ht="12.75" customHeight="1">
      <c r="D2306" s="52"/>
    </row>
    <row r="2307" spans="4:4" ht="12.75" customHeight="1">
      <c r="D2307" s="52"/>
    </row>
    <row r="2308" spans="4:4" ht="12.75" customHeight="1">
      <c r="D2308" s="52"/>
    </row>
    <row r="2309" spans="4:4" ht="12.75" customHeight="1">
      <c r="D2309" s="52"/>
    </row>
    <row r="2310" spans="4:4" ht="12.75" customHeight="1">
      <c r="D2310" s="52"/>
    </row>
    <row r="2311" spans="4:4" ht="12.75" customHeight="1">
      <c r="D2311" s="52"/>
    </row>
    <row r="2312" spans="4:4" ht="12.75" customHeight="1">
      <c r="D2312" s="52"/>
    </row>
    <row r="2313" spans="4:4" ht="12.75" customHeight="1">
      <c r="D2313" s="52"/>
    </row>
    <row r="2314" spans="4:4" ht="12.75" customHeight="1">
      <c r="D2314" s="52"/>
    </row>
    <row r="2315" spans="4:4" ht="12.75" customHeight="1">
      <c r="D2315" s="52"/>
    </row>
    <row r="2316" spans="4:4" ht="12.75" customHeight="1">
      <c r="D2316" s="52"/>
    </row>
    <row r="2317" spans="4:4" ht="12.75" customHeight="1">
      <c r="D2317" s="52"/>
    </row>
    <row r="2318" spans="4:4" ht="12.75" customHeight="1">
      <c r="D2318" s="52"/>
    </row>
    <row r="2319" spans="4:4" ht="12.75" customHeight="1">
      <c r="D2319" s="52"/>
    </row>
    <row r="2320" spans="4:4" ht="12.75" customHeight="1">
      <c r="D2320" s="52"/>
    </row>
    <row r="2321" spans="4:4" ht="12.75" customHeight="1">
      <c r="D2321" s="52"/>
    </row>
    <row r="2322" spans="4:4" ht="12.75" customHeight="1">
      <c r="D2322" s="52"/>
    </row>
    <row r="2323" spans="4:4" ht="12.75" customHeight="1">
      <c r="D2323" s="52"/>
    </row>
    <row r="2324" spans="4:4" ht="12.75" customHeight="1">
      <c r="D2324" s="52"/>
    </row>
    <row r="2325" spans="4:4" ht="12.75" customHeight="1">
      <c r="D2325" s="52"/>
    </row>
    <row r="2326" spans="4:4" ht="12.75" customHeight="1">
      <c r="D2326" s="52"/>
    </row>
    <row r="2327" spans="4:4" ht="12.75" customHeight="1">
      <c r="D2327" s="52"/>
    </row>
    <row r="2328" spans="4:4" ht="12.75" customHeight="1">
      <c r="D2328" s="52"/>
    </row>
    <row r="2329" spans="4:4" ht="12.75" customHeight="1">
      <c r="D2329" s="52"/>
    </row>
    <row r="2330" spans="4:4" ht="12.75" customHeight="1">
      <c r="D2330" s="52"/>
    </row>
    <row r="2331" spans="4:4" ht="12.75" customHeight="1">
      <c r="D2331" s="52"/>
    </row>
    <row r="2332" spans="4:4" ht="12.75" customHeight="1">
      <c r="D2332" s="52"/>
    </row>
    <row r="2333" spans="4:4" ht="12.75" customHeight="1">
      <c r="D2333" s="52"/>
    </row>
    <row r="2334" spans="4:4" ht="12.75" customHeight="1">
      <c r="D2334" s="52"/>
    </row>
    <row r="2335" spans="4:4" ht="12.75" customHeight="1">
      <c r="D2335" s="52"/>
    </row>
    <row r="2336" spans="4:4" ht="12.75" customHeight="1">
      <c r="D2336" s="52"/>
    </row>
    <row r="2337" spans="4:4" ht="12.75" customHeight="1">
      <c r="D2337" s="52"/>
    </row>
    <row r="2338" spans="4:4" ht="12.75" customHeight="1">
      <c r="D2338" s="52"/>
    </row>
    <row r="2339" spans="4:4" ht="12.75" customHeight="1">
      <c r="D2339" s="52"/>
    </row>
    <row r="2340" spans="4:4" ht="12.75" customHeight="1">
      <c r="D2340" s="52"/>
    </row>
    <row r="2341" spans="4:4" ht="12.75" customHeight="1">
      <c r="D2341" s="52"/>
    </row>
    <row r="2342" spans="4:4" ht="12.75" customHeight="1">
      <c r="D2342" s="52"/>
    </row>
    <row r="2343" spans="4:4" ht="12.75" customHeight="1">
      <c r="D2343" s="52"/>
    </row>
    <row r="2344" spans="4:4" ht="12.75" customHeight="1">
      <c r="D2344" s="52"/>
    </row>
    <row r="2345" spans="4:4" ht="12.75" customHeight="1">
      <c r="D2345" s="52"/>
    </row>
    <row r="2346" spans="4:4" ht="12.75" customHeight="1">
      <c r="D2346" s="52"/>
    </row>
    <row r="2347" spans="4:4" ht="12.75" customHeight="1">
      <c r="D2347" s="52"/>
    </row>
    <row r="2348" spans="4:4" ht="12.75" customHeight="1">
      <c r="D2348" s="52"/>
    </row>
    <row r="2349" spans="4:4" ht="12.75" customHeight="1">
      <c r="D2349" s="52"/>
    </row>
    <row r="2350" spans="4:4" ht="12.75" customHeight="1">
      <c r="D2350" s="52"/>
    </row>
    <row r="2351" spans="4:4" ht="12.75" customHeight="1">
      <c r="D2351" s="52"/>
    </row>
    <row r="2352" spans="4:4" ht="12.75" customHeight="1">
      <c r="D2352" s="52"/>
    </row>
    <row r="2353" spans="4:4" ht="12.75" customHeight="1">
      <c r="D2353" s="52"/>
    </row>
    <row r="2354" spans="4:4" ht="12.75" customHeight="1">
      <c r="D2354" s="52"/>
    </row>
    <row r="2355" spans="4:4" ht="12.75" customHeight="1">
      <c r="D2355" s="52"/>
    </row>
    <row r="2356" spans="4:4" ht="12.75" customHeight="1">
      <c r="D2356" s="52"/>
    </row>
    <row r="2357" spans="4:4" ht="12.75" customHeight="1">
      <c r="D2357" s="52"/>
    </row>
    <row r="2358" spans="4:4" ht="12.75" customHeight="1">
      <c r="D2358" s="52"/>
    </row>
    <row r="2359" spans="4:4" ht="12.75" customHeight="1">
      <c r="D2359" s="52"/>
    </row>
    <row r="2360" spans="4:4" ht="12.75" customHeight="1">
      <c r="D2360" s="52"/>
    </row>
    <row r="2361" spans="4:4" ht="12.75" customHeight="1">
      <c r="D2361" s="52"/>
    </row>
    <row r="2362" spans="4:4" ht="12.75" customHeight="1">
      <c r="D2362" s="52"/>
    </row>
    <row r="2363" spans="4:4" ht="12.75" customHeight="1">
      <c r="D2363" s="52"/>
    </row>
    <row r="2364" spans="4:4" ht="12.75" customHeight="1">
      <c r="D2364" s="52"/>
    </row>
    <row r="2365" spans="4:4" ht="12.75" customHeight="1">
      <c r="D2365" s="52"/>
    </row>
    <row r="2366" spans="4:4" ht="12.75" customHeight="1">
      <c r="D2366" s="52"/>
    </row>
    <row r="2367" spans="4:4" ht="12.75" customHeight="1">
      <c r="D2367" s="52"/>
    </row>
    <row r="2368" spans="4:4" ht="12.75" customHeight="1">
      <c r="D2368" s="52"/>
    </row>
    <row r="2369" spans="4:4" ht="12.75" customHeight="1">
      <c r="D2369" s="52"/>
    </row>
    <row r="2370" spans="4:4" ht="12.75" customHeight="1">
      <c r="D2370" s="52"/>
    </row>
    <row r="2371" spans="4:4" ht="12.75" customHeight="1">
      <c r="D2371" s="52"/>
    </row>
    <row r="2372" spans="4:4" ht="12.75" customHeight="1">
      <c r="D2372" s="52"/>
    </row>
    <row r="2373" spans="4:4" ht="12.75" customHeight="1">
      <c r="D2373" s="52"/>
    </row>
    <row r="2374" spans="4:4" ht="12.75" customHeight="1">
      <c r="D2374" s="52"/>
    </row>
    <row r="2375" spans="4:4" ht="12.75" customHeight="1">
      <c r="D2375" s="52"/>
    </row>
    <row r="2376" spans="4:4" ht="12.75" customHeight="1">
      <c r="D2376" s="52"/>
    </row>
    <row r="2377" spans="4:4" ht="12.75" customHeight="1">
      <c r="D2377" s="52"/>
    </row>
    <row r="2378" spans="4:4" ht="12.75" customHeight="1">
      <c r="D2378" s="52"/>
    </row>
    <row r="2379" spans="4:4" ht="12.75" customHeight="1">
      <c r="D2379" s="52"/>
    </row>
    <row r="2380" spans="4:4" ht="12.75" customHeight="1">
      <c r="D2380" s="52"/>
    </row>
    <row r="2381" spans="4:4" ht="12.75" customHeight="1">
      <c r="D2381" s="52"/>
    </row>
    <row r="2382" spans="4:4" ht="12.75" customHeight="1">
      <c r="D2382" s="52"/>
    </row>
    <row r="2383" spans="4:4" ht="12.75" customHeight="1">
      <c r="D2383" s="52"/>
    </row>
    <row r="2384" spans="4:4" ht="12.75" customHeight="1">
      <c r="D2384" s="52"/>
    </row>
    <row r="2385" spans="4:4" ht="12.75" customHeight="1">
      <c r="D2385" s="52"/>
    </row>
    <row r="2386" spans="4:4" ht="12.75" customHeight="1">
      <c r="D2386" s="52"/>
    </row>
    <row r="2387" spans="4:4" ht="12.75" customHeight="1">
      <c r="D2387" s="52"/>
    </row>
    <row r="2388" spans="4:4" ht="12.75" customHeight="1">
      <c r="D2388" s="52"/>
    </row>
    <row r="2389" spans="4:4" ht="12.75" customHeight="1">
      <c r="D2389" s="52"/>
    </row>
    <row r="2390" spans="4:4" ht="12.75" customHeight="1">
      <c r="D2390" s="52"/>
    </row>
    <row r="2391" spans="4:4" ht="12.75" customHeight="1">
      <c r="D2391" s="52"/>
    </row>
    <row r="2392" spans="4:4" ht="12.75" customHeight="1">
      <c r="D2392" s="52"/>
    </row>
    <row r="2393" spans="4:4" ht="12.75" customHeight="1">
      <c r="D2393" s="52"/>
    </row>
    <row r="2394" spans="4:4" ht="12.75" customHeight="1">
      <c r="D2394" s="52"/>
    </row>
    <row r="2395" spans="4:4" ht="12.75" customHeight="1">
      <c r="D2395" s="52"/>
    </row>
    <row r="2396" spans="4:4" ht="12.75" customHeight="1">
      <c r="D2396" s="52"/>
    </row>
    <row r="2397" spans="4:4" ht="12.75" customHeight="1">
      <c r="D2397" s="52"/>
    </row>
    <row r="2398" spans="4:4" ht="12.75" customHeight="1">
      <c r="D2398" s="52"/>
    </row>
    <row r="2399" spans="4:4" ht="12.75" customHeight="1">
      <c r="D2399" s="52"/>
    </row>
    <row r="2400" spans="4:4" ht="12.75" customHeight="1">
      <c r="D2400" s="52"/>
    </row>
    <row r="2401" spans="4:4" ht="12.75" customHeight="1">
      <c r="D2401" s="52"/>
    </row>
    <row r="2402" spans="4:4" ht="12.75" customHeight="1">
      <c r="D2402" s="52"/>
    </row>
    <row r="2403" spans="4:4" ht="12.75" customHeight="1">
      <c r="D2403" s="52"/>
    </row>
    <row r="2404" spans="4:4" ht="12.75" customHeight="1">
      <c r="D2404" s="52"/>
    </row>
    <row r="2405" spans="4:4" ht="12.75" customHeight="1">
      <c r="D2405" s="52"/>
    </row>
    <row r="2406" spans="4:4" ht="12.75" customHeight="1">
      <c r="D2406" s="52"/>
    </row>
    <row r="2407" spans="4:4" ht="12.75" customHeight="1">
      <c r="D2407" s="52"/>
    </row>
    <row r="2408" spans="4:4" ht="12.75" customHeight="1">
      <c r="D2408" s="52"/>
    </row>
    <row r="2409" spans="4:4" ht="12.75" customHeight="1">
      <c r="D2409" s="52"/>
    </row>
    <row r="2410" spans="4:4" ht="12.75" customHeight="1">
      <c r="D2410" s="52"/>
    </row>
    <row r="2411" spans="4:4" ht="12.75" customHeight="1">
      <c r="D2411" s="52"/>
    </row>
    <row r="2412" spans="4:4" ht="12.75" customHeight="1">
      <c r="D2412" s="52"/>
    </row>
    <row r="2413" spans="4:4" ht="12.75" customHeight="1">
      <c r="D2413" s="52"/>
    </row>
    <row r="2414" spans="4:4" ht="12.75" customHeight="1">
      <c r="D2414" s="52"/>
    </row>
    <row r="2415" spans="4:4" ht="12.75" customHeight="1">
      <c r="D2415" s="52"/>
    </row>
    <row r="2416" spans="4:4" ht="12.75" customHeight="1">
      <c r="D2416" s="52"/>
    </row>
    <row r="2417" spans="4:4" ht="12.75" customHeight="1">
      <c r="D2417" s="52"/>
    </row>
    <row r="2418" spans="4:4" ht="12.75" customHeight="1">
      <c r="D2418" s="52"/>
    </row>
    <row r="2419" spans="4:4" ht="12.75" customHeight="1">
      <c r="D2419" s="52"/>
    </row>
    <row r="2420" spans="4:4" ht="12.75" customHeight="1">
      <c r="D2420" s="52"/>
    </row>
    <row r="2421" spans="4:4" ht="12.75" customHeight="1">
      <c r="D2421" s="52"/>
    </row>
    <row r="2422" spans="4:4" ht="12.75" customHeight="1">
      <c r="D2422" s="52"/>
    </row>
    <row r="2423" spans="4:4" ht="12.75" customHeight="1">
      <c r="D2423" s="52"/>
    </row>
    <row r="2424" spans="4:4" ht="12.75" customHeight="1">
      <c r="D2424" s="52"/>
    </row>
    <row r="2425" spans="4:4" ht="12.75" customHeight="1">
      <c r="D2425" s="52"/>
    </row>
    <row r="2426" spans="4:4" ht="12.75" customHeight="1">
      <c r="D2426" s="52"/>
    </row>
    <row r="2427" spans="4:4" ht="12.75" customHeight="1">
      <c r="D2427" s="52"/>
    </row>
    <row r="2428" spans="4:4" ht="12.75" customHeight="1">
      <c r="D2428" s="52"/>
    </row>
    <row r="2429" spans="4:4" ht="12.75" customHeight="1">
      <c r="D2429" s="52"/>
    </row>
    <row r="2430" spans="4:4" ht="12.75" customHeight="1">
      <c r="D2430" s="52"/>
    </row>
    <row r="2431" spans="4:4" ht="12.75" customHeight="1">
      <c r="D2431" s="52"/>
    </row>
    <row r="2432" spans="4:4" ht="12.75" customHeight="1">
      <c r="D2432" s="52"/>
    </row>
    <row r="2433" spans="4:4" ht="12.75" customHeight="1">
      <c r="D2433" s="52"/>
    </row>
    <row r="2434" spans="4:4" ht="12.75" customHeight="1">
      <c r="D2434" s="52"/>
    </row>
    <row r="2435" spans="4:4" ht="12.75" customHeight="1">
      <c r="D2435" s="52"/>
    </row>
    <row r="2436" spans="4:4" ht="12.75" customHeight="1">
      <c r="D2436" s="52"/>
    </row>
    <row r="2437" spans="4:4" ht="12.75" customHeight="1">
      <c r="D2437" s="52"/>
    </row>
    <row r="2438" spans="4:4" ht="12.75" customHeight="1">
      <c r="D2438" s="52"/>
    </row>
    <row r="2439" spans="4:4" ht="12.75" customHeight="1">
      <c r="D2439" s="52"/>
    </row>
    <row r="2440" spans="4:4" ht="12.75" customHeight="1">
      <c r="D2440" s="52"/>
    </row>
    <row r="2441" spans="4:4" ht="12.75" customHeight="1">
      <c r="D2441" s="52"/>
    </row>
    <row r="2442" spans="4:4" ht="12.75" customHeight="1">
      <c r="D2442" s="52"/>
    </row>
    <row r="2443" spans="4:4" ht="12.75" customHeight="1">
      <c r="D2443" s="52"/>
    </row>
    <row r="2444" spans="4:4" ht="12.75" customHeight="1">
      <c r="D2444" s="52"/>
    </row>
    <row r="2445" spans="4:4" ht="12.75" customHeight="1">
      <c r="D2445" s="52"/>
    </row>
    <row r="2446" spans="4:4" ht="12.75" customHeight="1">
      <c r="D2446" s="52"/>
    </row>
    <row r="2447" spans="4:4" ht="12.75" customHeight="1">
      <c r="D2447" s="52"/>
    </row>
    <row r="2448" spans="4:4" ht="12.75" customHeight="1">
      <c r="D2448" s="52"/>
    </row>
    <row r="2449" spans="4:4" ht="12.75" customHeight="1">
      <c r="D2449" s="52"/>
    </row>
    <row r="2450" spans="4:4" ht="12.75" customHeight="1">
      <c r="D2450" s="52"/>
    </row>
    <row r="2451" spans="4:4" ht="12.75" customHeight="1">
      <c r="D2451" s="52"/>
    </row>
    <row r="2452" spans="4:4" ht="12.75" customHeight="1">
      <c r="D2452" s="52"/>
    </row>
    <row r="2453" spans="4:4" ht="12.75" customHeight="1">
      <c r="D2453" s="52"/>
    </row>
    <row r="2454" spans="4:4" ht="12.75" customHeight="1">
      <c r="D2454" s="52"/>
    </row>
    <row r="2455" spans="4:4" ht="12.75" customHeight="1">
      <c r="D2455" s="52"/>
    </row>
    <row r="2456" spans="4:4" ht="12.75" customHeight="1">
      <c r="D2456" s="52"/>
    </row>
    <row r="2457" spans="4:4" ht="12.75" customHeight="1">
      <c r="D2457" s="52"/>
    </row>
    <row r="2458" spans="4:4" ht="12.75" customHeight="1">
      <c r="D2458" s="52"/>
    </row>
    <row r="2459" spans="4:4" ht="12.75" customHeight="1">
      <c r="D2459" s="52"/>
    </row>
    <row r="2460" spans="4:4" ht="12.75" customHeight="1">
      <c r="D2460" s="52"/>
    </row>
    <row r="2461" spans="4:4" ht="12.75" customHeight="1">
      <c r="D2461" s="52"/>
    </row>
    <row r="2462" spans="4:4" ht="12.75" customHeight="1">
      <c r="D2462" s="52"/>
    </row>
    <row r="2463" spans="4:4" ht="12.75" customHeight="1">
      <c r="D2463" s="52"/>
    </row>
    <row r="2464" spans="4:4" ht="12.75" customHeight="1">
      <c r="D2464" s="52"/>
    </row>
    <row r="2465" spans="4:4" ht="12.75" customHeight="1">
      <c r="D2465" s="52"/>
    </row>
    <row r="2466" spans="4:4" ht="12.75" customHeight="1">
      <c r="D2466" s="52"/>
    </row>
    <row r="2467" spans="4:4" ht="12.75" customHeight="1">
      <c r="D2467" s="52"/>
    </row>
    <row r="2468" spans="4:4" ht="12.75" customHeight="1">
      <c r="D2468" s="52"/>
    </row>
    <row r="2469" spans="4:4" ht="12.75" customHeight="1">
      <c r="D2469" s="52"/>
    </row>
    <row r="2470" spans="4:4" ht="12.75" customHeight="1">
      <c r="D2470" s="52"/>
    </row>
    <row r="2471" spans="4:4" ht="12.75" customHeight="1">
      <c r="D2471" s="52"/>
    </row>
    <row r="2472" spans="4:4" ht="12.75" customHeight="1">
      <c r="D2472" s="52"/>
    </row>
    <row r="2473" spans="4:4" ht="12.75" customHeight="1">
      <c r="D2473" s="52"/>
    </row>
    <row r="2474" spans="4:4" ht="12.75" customHeight="1">
      <c r="D2474" s="52"/>
    </row>
    <row r="2475" spans="4:4" ht="12.75" customHeight="1">
      <c r="D2475" s="52"/>
    </row>
    <row r="2476" spans="4:4" ht="12.75" customHeight="1">
      <c r="D2476" s="52"/>
    </row>
    <row r="2477" spans="4:4" ht="12.75" customHeight="1">
      <c r="D2477" s="52"/>
    </row>
    <row r="2478" spans="4:4" ht="12.75" customHeight="1">
      <c r="D2478" s="52"/>
    </row>
    <row r="2479" spans="4:4" ht="12.75" customHeight="1">
      <c r="D2479" s="52"/>
    </row>
    <row r="2480" spans="4:4" ht="12.75" customHeight="1">
      <c r="D2480" s="52"/>
    </row>
    <row r="2481" spans="4:4" ht="12.75" customHeight="1">
      <c r="D2481" s="52"/>
    </row>
    <row r="2482" spans="4:4" ht="12.75" customHeight="1">
      <c r="D2482" s="52"/>
    </row>
    <row r="2483" spans="4:4" ht="12.75" customHeight="1">
      <c r="D2483" s="52"/>
    </row>
    <row r="2484" spans="4:4" ht="12.75" customHeight="1">
      <c r="D2484" s="52"/>
    </row>
    <row r="2485" spans="4:4" ht="12.75" customHeight="1">
      <c r="D2485" s="52"/>
    </row>
    <row r="2486" spans="4:4" ht="12.75" customHeight="1">
      <c r="D2486" s="52"/>
    </row>
    <row r="2487" spans="4:4" ht="12.75" customHeight="1">
      <c r="D2487" s="52"/>
    </row>
    <row r="2488" spans="4:4" ht="12.75" customHeight="1">
      <c r="D2488" s="52"/>
    </row>
    <row r="2489" spans="4:4" ht="12.75" customHeight="1">
      <c r="D2489" s="52"/>
    </row>
    <row r="2490" spans="4:4" ht="12.75" customHeight="1">
      <c r="D2490" s="52"/>
    </row>
    <row r="2491" spans="4:4" ht="12.75" customHeight="1">
      <c r="D2491" s="52"/>
    </row>
    <row r="2492" spans="4:4" ht="12.75" customHeight="1">
      <c r="D2492" s="52"/>
    </row>
    <row r="2493" spans="4:4" ht="12.75" customHeight="1">
      <c r="D2493" s="52"/>
    </row>
    <row r="2494" spans="4:4" ht="12.75" customHeight="1">
      <c r="D2494" s="52"/>
    </row>
    <row r="2495" spans="4:4" ht="12.75" customHeight="1">
      <c r="D2495" s="52"/>
    </row>
    <row r="2496" spans="4:4" ht="12.75" customHeight="1">
      <c r="D2496" s="52"/>
    </row>
    <row r="2497" spans="4:4" ht="12.75" customHeight="1">
      <c r="D2497" s="52"/>
    </row>
    <row r="2498" spans="4:4" ht="12.75" customHeight="1">
      <c r="D2498" s="52"/>
    </row>
    <row r="2499" spans="4:4" ht="12.75" customHeight="1">
      <c r="D2499" s="52"/>
    </row>
    <row r="2500" spans="4:4" ht="12.75" customHeight="1">
      <c r="D2500" s="52"/>
    </row>
    <row r="2501" spans="4:4" ht="12.75" customHeight="1">
      <c r="D2501" s="52"/>
    </row>
    <row r="2502" spans="4:4" ht="12.75" customHeight="1">
      <c r="D2502" s="52"/>
    </row>
    <row r="2503" spans="4:4" ht="12.75" customHeight="1">
      <c r="D2503" s="52"/>
    </row>
    <row r="2504" spans="4:4" ht="12.75" customHeight="1">
      <c r="D2504" s="52"/>
    </row>
    <row r="2505" spans="4:4" ht="12.75" customHeight="1">
      <c r="D2505" s="52"/>
    </row>
    <row r="2506" spans="4:4" ht="12.75" customHeight="1">
      <c r="D2506" s="52"/>
    </row>
    <row r="2507" spans="4:4" ht="12.75" customHeight="1">
      <c r="D2507" s="52"/>
    </row>
    <row r="2508" spans="4:4" ht="12.75" customHeight="1">
      <c r="D2508" s="52"/>
    </row>
    <row r="2509" spans="4:4" ht="12.75" customHeight="1">
      <c r="D2509" s="52"/>
    </row>
    <row r="2510" spans="4:4" ht="12.75" customHeight="1">
      <c r="D2510" s="52"/>
    </row>
    <row r="2511" spans="4:4" ht="12.75" customHeight="1">
      <c r="D2511" s="52"/>
    </row>
    <row r="2512" spans="4:4" ht="12.75" customHeight="1">
      <c r="D2512" s="52"/>
    </row>
    <row r="2513" spans="4:4" ht="12.75" customHeight="1">
      <c r="D2513" s="52"/>
    </row>
    <row r="2514" spans="4:4" ht="12.75" customHeight="1">
      <c r="D2514" s="52"/>
    </row>
    <row r="2515" spans="4:4" ht="12.75" customHeight="1">
      <c r="D2515" s="52"/>
    </row>
    <row r="2516" spans="4:4" ht="12.75" customHeight="1">
      <c r="D2516" s="52"/>
    </row>
    <row r="2517" spans="4:4" ht="12.75" customHeight="1">
      <c r="D2517" s="52"/>
    </row>
    <row r="2518" spans="4:4" ht="12.75" customHeight="1">
      <c r="D2518" s="52"/>
    </row>
    <row r="2519" spans="4:4" ht="12.75" customHeight="1">
      <c r="D2519" s="52"/>
    </row>
    <row r="2520" spans="4:4" ht="12.75" customHeight="1">
      <c r="D2520" s="52"/>
    </row>
    <row r="2521" spans="4:4" ht="12.75" customHeight="1">
      <c r="D2521" s="52"/>
    </row>
    <row r="2522" spans="4:4" ht="12.75" customHeight="1">
      <c r="D2522" s="52"/>
    </row>
    <row r="2523" spans="4:4" ht="12.75" customHeight="1">
      <c r="D2523" s="52"/>
    </row>
    <row r="2524" spans="4:4" ht="12.75" customHeight="1">
      <c r="D2524" s="52"/>
    </row>
    <row r="2525" spans="4:4" ht="12.75" customHeight="1">
      <c r="D2525" s="52"/>
    </row>
    <row r="2526" spans="4:4" ht="12.75" customHeight="1">
      <c r="D2526" s="52"/>
    </row>
    <row r="2527" spans="4:4" ht="12.75" customHeight="1">
      <c r="D2527" s="52"/>
    </row>
    <row r="2528" spans="4:4" ht="12.75" customHeight="1">
      <c r="D2528" s="52"/>
    </row>
    <row r="2529" spans="4:4" ht="12.75" customHeight="1">
      <c r="D2529" s="52"/>
    </row>
    <row r="2530" spans="4:4" ht="12.75" customHeight="1">
      <c r="D2530" s="52"/>
    </row>
    <row r="2531" spans="4:4" ht="12.75" customHeight="1">
      <c r="D2531" s="52"/>
    </row>
    <row r="2532" spans="4:4" ht="12.75" customHeight="1">
      <c r="D2532" s="52"/>
    </row>
    <row r="2533" spans="4:4" ht="12.75" customHeight="1">
      <c r="D2533" s="52"/>
    </row>
    <row r="2534" spans="4:4" ht="12.75" customHeight="1">
      <c r="D2534" s="52"/>
    </row>
    <row r="2535" spans="4:4" ht="12.75" customHeight="1">
      <c r="D2535" s="52"/>
    </row>
    <row r="2536" spans="4:4" ht="12.75" customHeight="1">
      <c r="D2536" s="52"/>
    </row>
    <row r="2537" spans="4:4" ht="12.75" customHeight="1">
      <c r="D2537" s="52"/>
    </row>
    <row r="2538" spans="4:4" ht="12.75" customHeight="1">
      <c r="D2538" s="52"/>
    </row>
    <row r="2539" spans="4:4" ht="12.75" customHeight="1">
      <c r="D2539" s="52"/>
    </row>
    <row r="2540" spans="4:4" ht="12.75" customHeight="1">
      <c r="D2540" s="52"/>
    </row>
    <row r="2541" spans="4:4" ht="12.75" customHeight="1">
      <c r="D2541" s="52"/>
    </row>
    <row r="2542" spans="4:4" ht="12.75" customHeight="1">
      <c r="D2542" s="52"/>
    </row>
    <row r="2543" spans="4:4" ht="12.75" customHeight="1">
      <c r="D2543" s="52"/>
    </row>
    <row r="2544" spans="4:4" ht="12.75" customHeight="1">
      <c r="D2544" s="52"/>
    </row>
    <row r="2545" spans="4:4" ht="12.75" customHeight="1">
      <c r="D2545" s="52"/>
    </row>
    <row r="2546" spans="4:4" ht="12.75" customHeight="1">
      <c r="D2546" s="52"/>
    </row>
    <row r="2547" spans="4:4" ht="12.75" customHeight="1">
      <c r="D2547" s="52"/>
    </row>
    <row r="2548" spans="4:4" ht="12.75" customHeight="1">
      <c r="D2548" s="52"/>
    </row>
    <row r="2549" spans="4:4" ht="12.75" customHeight="1">
      <c r="D2549" s="52"/>
    </row>
    <row r="2550" spans="4:4" ht="12.75" customHeight="1">
      <c r="D2550" s="52"/>
    </row>
    <row r="2551" spans="4:4" ht="12.75" customHeight="1">
      <c r="D2551" s="52"/>
    </row>
    <row r="2552" spans="4:4" ht="12.75" customHeight="1">
      <c r="D2552" s="52"/>
    </row>
    <row r="2553" spans="4:4" ht="12.75" customHeight="1">
      <c r="D2553" s="52"/>
    </row>
    <row r="2554" spans="4:4" ht="12.75" customHeight="1">
      <c r="D2554" s="52"/>
    </row>
    <row r="2555" spans="4:4" ht="12.75" customHeight="1">
      <c r="D2555" s="52"/>
    </row>
    <row r="2556" spans="4:4" ht="12.75" customHeight="1">
      <c r="D2556" s="52"/>
    </row>
    <row r="2557" spans="4:4" ht="12.75" customHeight="1">
      <c r="D2557" s="52"/>
    </row>
    <row r="2558" spans="4:4" ht="12.75" customHeight="1">
      <c r="D2558" s="52"/>
    </row>
    <row r="2559" spans="4:4" ht="12.75" customHeight="1">
      <c r="D2559" s="52"/>
    </row>
    <row r="2560" spans="4:4" ht="12.75" customHeight="1">
      <c r="D2560" s="52"/>
    </row>
    <row r="2561" spans="4:4" ht="12.75" customHeight="1">
      <c r="D2561" s="52"/>
    </row>
    <row r="2562" spans="4:4" ht="12.75" customHeight="1">
      <c r="D2562" s="52"/>
    </row>
    <row r="2563" spans="4:4" ht="12.75" customHeight="1">
      <c r="D2563" s="52"/>
    </row>
    <row r="2564" spans="4:4" ht="12.75" customHeight="1">
      <c r="D2564" s="52"/>
    </row>
    <row r="2565" spans="4:4" ht="12.75" customHeight="1">
      <c r="D2565" s="52"/>
    </row>
    <row r="2566" spans="4:4" ht="12.75" customHeight="1">
      <c r="D2566" s="52"/>
    </row>
    <row r="2567" spans="4:4" ht="12.75" customHeight="1">
      <c r="D2567" s="52"/>
    </row>
    <row r="2568" spans="4:4" ht="12.75" customHeight="1">
      <c r="D2568" s="52"/>
    </row>
    <row r="2569" spans="4:4" ht="12.75" customHeight="1">
      <c r="D2569" s="52"/>
    </row>
    <row r="2570" spans="4:4" ht="12.75" customHeight="1">
      <c r="D2570" s="52"/>
    </row>
    <row r="2571" spans="4:4" ht="12.75" customHeight="1">
      <c r="D2571" s="52"/>
    </row>
    <row r="2572" spans="4:4" ht="12.75" customHeight="1">
      <c r="D2572" s="52"/>
    </row>
    <row r="2573" spans="4:4" ht="12.75" customHeight="1">
      <c r="D2573" s="52"/>
    </row>
    <row r="2574" spans="4:4" ht="12.75" customHeight="1">
      <c r="D2574" s="52"/>
    </row>
    <row r="2575" spans="4:4" ht="12.75" customHeight="1">
      <c r="D2575" s="52"/>
    </row>
    <row r="2576" spans="4:4" ht="12.75" customHeight="1">
      <c r="D2576" s="52"/>
    </row>
    <row r="2577" spans="4:4" ht="12.75" customHeight="1">
      <c r="D2577" s="52"/>
    </row>
    <row r="2578" spans="4:4" ht="12.75" customHeight="1">
      <c r="D2578" s="52"/>
    </row>
    <row r="2579" spans="4:4" ht="12.75" customHeight="1">
      <c r="D2579" s="52"/>
    </row>
    <row r="2580" spans="4:4" ht="12.75" customHeight="1">
      <c r="D2580" s="52"/>
    </row>
    <row r="2581" spans="4:4" ht="12.75" customHeight="1">
      <c r="D2581" s="52"/>
    </row>
    <row r="2582" spans="4:4" ht="12.75" customHeight="1">
      <c r="D2582" s="52"/>
    </row>
    <row r="2583" spans="4:4" ht="12.75" customHeight="1">
      <c r="D2583" s="52"/>
    </row>
    <row r="2584" spans="4:4" ht="12.75" customHeight="1">
      <c r="D2584" s="52"/>
    </row>
    <row r="2585" spans="4:4" ht="12.75" customHeight="1">
      <c r="D2585" s="52"/>
    </row>
    <row r="2586" spans="4:4" ht="12.75" customHeight="1">
      <c r="D2586" s="52"/>
    </row>
    <row r="2587" spans="4:4" ht="12.75" customHeight="1">
      <c r="D2587" s="52"/>
    </row>
    <row r="2588" spans="4:4" ht="12.75" customHeight="1">
      <c r="D2588" s="52"/>
    </row>
    <row r="2589" spans="4:4" ht="12.75" customHeight="1">
      <c r="D2589" s="52"/>
    </row>
    <row r="2590" spans="4:4" ht="12.75" customHeight="1">
      <c r="D2590" s="52"/>
    </row>
    <row r="2591" spans="4:4" ht="12.75" customHeight="1">
      <c r="D2591" s="52"/>
    </row>
    <row r="2592" spans="4:4" ht="12.75" customHeight="1">
      <c r="D2592" s="52"/>
    </row>
    <row r="2593" spans="4:4" ht="12.75" customHeight="1">
      <c r="D2593" s="52"/>
    </row>
    <row r="2594" spans="4:4" ht="12.75" customHeight="1">
      <c r="D2594" s="52"/>
    </row>
    <row r="2595" spans="4:4" ht="12.75" customHeight="1">
      <c r="D2595" s="52"/>
    </row>
    <row r="2596" spans="4:4" ht="12.75" customHeight="1">
      <c r="D2596" s="52"/>
    </row>
    <row r="2597" spans="4:4" ht="12.75" customHeight="1">
      <c r="D2597" s="52"/>
    </row>
    <row r="2598" spans="4:4" ht="12.75" customHeight="1">
      <c r="D2598" s="52"/>
    </row>
    <row r="2599" spans="4:4" ht="12.75" customHeight="1">
      <c r="D2599" s="52"/>
    </row>
    <row r="2600" spans="4:4" ht="12.75" customHeight="1">
      <c r="D2600" s="52"/>
    </row>
    <row r="2601" spans="4:4" ht="12.75" customHeight="1">
      <c r="D2601" s="52"/>
    </row>
    <row r="2602" spans="4:4" ht="12.75" customHeight="1">
      <c r="D2602" s="52"/>
    </row>
    <row r="2603" spans="4:4" ht="12.75" customHeight="1">
      <c r="D2603" s="52"/>
    </row>
    <row r="2604" spans="4:4" ht="12.75" customHeight="1">
      <c r="D2604" s="52"/>
    </row>
    <row r="2605" spans="4:4" ht="12.75" customHeight="1">
      <c r="D2605" s="52"/>
    </row>
    <row r="2606" spans="4:4" ht="12.75" customHeight="1">
      <c r="D2606" s="52"/>
    </row>
    <row r="2607" spans="4:4" ht="12.75" customHeight="1">
      <c r="D2607" s="52"/>
    </row>
    <row r="2608" spans="4:4" ht="12.75" customHeight="1">
      <c r="D2608" s="52"/>
    </row>
    <row r="2609" spans="4:4" ht="12.75" customHeight="1">
      <c r="D2609" s="52"/>
    </row>
    <row r="2610" spans="4:4" ht="12.75" customHeight="1">
      <c r="D2610" s="52"/>
    </row>
    <row r="2611" spans="4:4" ht="12.75" customHeight="1">
      <c r="D2611" s="52"/>
    </row>
    <row r="2612" spans="4:4" ht="12.75" customHeight="1">
      <c r="D2612" s="52"/>
    </row>
    <row r="2613" spans="4:4" ht="12.75" customHeight="1">
      <c r="D2613" s="52"/>
    </row>
    <row r="2614" spans="4:4" ht="12.75" customHeight="1">
      <c r="D2614" s="52"/>
    </row>
    <row r="2615" spans="4:4" ht="12.75" customHeight="1">
      <c r="D2615" s="52"/>
    </row>
    <row r="2616" spans="4:4" ht="12.75" customHeight="1">
      <c r="D2616" s="52"/>
    </row>
    <row r="2617" spans="4:4" ht="12.75" customHeight="1">
      <c r="D2617" s="52"/>
    </row>
    <row r="2618" spans="4:4" ht="12.75" customHeight="1">
      <c r="D2618" s="52"/>
    </row>
    <row r="2619" spans="4:4" ht="12.75" customHeight="1">
      <c r="D2619" s="52"/>
    </row>
    <row r="2620" spans="4:4" ht="12.75" customHeight="1">
      <c r="D2620" s="52"/>
    </row>
    <row r="2621" spans="4:4" ht="12.75" customHeight="1">
      <c r="D2621" s="52"/>
    </row>
    <row r="2622" spans="4:4" ht="12.75" customHeight="1">
      <c r="D2622" s="52"/>
    </row>
    <row r="2623" spans="4:4" ht="12.75" customHeight="1">
      <c r="D2623" s="52"/>
    </row>
    <row r="2624" spans="4:4" ht="12.75" customHeight="1">
      <c r="D2624" s="52"/>
    </row>
    <row r="2625" spans="4:4" ht="12.75" customHeight="1">
      <c r="D2625" s="52"/>
    </row>
    <row r="2626" spans="4:4" ht="12.75" customHeight="1">
      <c r="D2626" s="52"/>
    </row>
    <row r="2627" spans="4:4" ht="12.75" customHeight="1">
      <c r="D2627" s="52"/>
    </row>
    <row r="2628" spans="4:4" ht="12.75" customHeight="1">
      <c r="D2628" s="52"/>
    </row>
    <row r="2629" spans="4:4" ht="12.75" customHeight="1">
      <c r="D2629" s="52"/>
    </row>
    <row r="2630" spans="4:4" ht="12.75" customHeight="1">
      <c r="D2630" s="52"/>
    </row>
    <row r="2631" spans="4:4" ht="12.75" customHeight="1">
      <c r="D2631" s="52"/>
    </row>
    <row r="2632" spans="4:4" ht="12.75" customHeight="1">
      <c r="D2632" s="52"/>
    </row>
    <row r="2633" spans="4:4" ht="12.75" customHeight="1">
      <c r="D2633" s="52"/>
    </row>
    <row r="2634" spans="4:4" ht="12.75" customHeight="1">
      <c r="D2634" s="52"/>
    </row>
    <row r="2635" spans="4:4" ht="12.75" customHeight="1">
      <c r="D2635" s="52"/>
    </row>
    <row r="2636" spans="4:4" ht="12.75" customHeight="1">
      <c r="D2636" s="52"/>
    </row>
    <row r="2637" spans="4:4" ht="12.75" customHeight="1">
      <c r="D2637" s="52"/>
    </row>
    <row r="2638" spans="4:4" ht="12.75" customHeight="1">
      <c r="D2638" s="52"/>
    </row>
    <row r="2639" spans="4:4" ht="12.75" customHeight="1">
      <c r="D2639" s="52"/>
    </row>
    <row r="2640" spans="4:4" ht="12.75" customHeight="1">
      <c r="D2640" s="52"/>
    </row>
    <row r="2641" spans="4:4" ht="12.75" customHeight="1">
      <c r="D2641" s="52"/>
    </row>
    <row r="2642" spans="4:4" ht="12.75" customHeight="1">
      <c r="D2642" s="52"/>
    </row>
    <row r="2643" spans="4:4" ht="12.75" customHeight="1">
      <c r="D2643" s="52"/>
    </row>
    <row r="2644" spans="4:4" ht="12.75" customHeight="1">
      <c r="D2644" s="52"/>
    </row>
    <row r="2645" spans="4:4" ht="12.75" customHeight="1">
      <c r="D2645" s="52"/>
    </row>
    <row r="2646" spans="4:4" ht="12.75" customHeight="1">
      <c r="D2646" s="52"/>
    </row>
    <row r="2647" spans="4:4" ht="12.75" customHeight="1">
      <c r="D2647" s="52"/>
    </row>
    <row r="2648" spans="4:4" ht="12.75" customHeight="1">
      <c r="D2648" s="52"/>
    </row>
    <row r="2649" spans="4:4" ht="12.75" customHeight="1">
      <c r="D2649" s="52"/>
    </row>
    <row r="2650" spans="4:4" ht="12.75" customHeight="1">
      <c r="D2650" s="52"/>
    </row>
    <row r="2651" spans="4:4" ht="12.75" customHeight="1">
      <c r="D2651" s="52"/>
    </row>
    <row r="2652" spans="4:4" ht="12.75" customHeight="1">
      <c r="D2652" s="52"/>
    </row>
    <row r="2653" spans="4:4" ht="12.75" customHeight="1">
      <c r="D2653" s="52"/>
    </row>
    <row r="2654" spans="4:4" ht="12.75" customHeight="1">
      <c r="D2654" s="52"/>
    </row>
    <row r="2655" spans="4:4" ht="12.75" customHeight="1">
      <c r="D2655" s="52"/>
    </row>
    <row r="2656" spans="4:4" ht="12.75" customHeight="1">
      <c r="D2656" s="52"/>
    </row>
    <row r="2657" spans="4:4" ht="12.75" customHeight="1">
      <c r="D2657" s="52"/>
    </row>
    <row r="2658" spans="4:4" ht="12.75" customHeight="1">
      <c r="D2658" s="52"/>
    </row>
    <row r="2659" spans="4:4" ht="12.75" customHeight="1">
      <c r="D2659" s="52"/>
    </row>
    <row r="2660" spans="4:4" ht="12.75" customHeight="1">
      <c r="D2660" s="52"/>
    </row>
    <row r="2661" spans="4:4" ht="12.75" customHeight="1">
      <c r="D2661" s="52"/>
    </row>
    <row r="2662" spans="4:4" ht="12.75" customHeight="1">
      <c r="D2662" s="52"/>
    </row>
    <row r="2663" spans="4:4" ht="12.75" customHeight="1">
      <c r="D2663" s="52"/>
    </row>
    <row r="2664" spans="4:4" ht="12.75" customHeight="1">
      <c r="D2664" s="52"/>
    </row>
    <row r="2665" spans="4:4" ht="12.75" customHeight="1">
      <c r="D2665" s="52"/>
    </row>
    <row r="2666" spans="4:4" ht="12.75" customHeight="1">
      <c r="D2666" s="52"/>
    </row>
    <row r="2667" spans="4:4" ht="12.75" customHeight="1">
      <c r="D2667" s="52"/>
    </row>
    <row r="2668" spans="4:4" ht="12.75" customHeight="1">
      <c r="D2668" s="52"/>
    </row>
    <row r="2669" spans="4:4" ht="12.75" customHeight="1">
      <c r="D2669" s="52"/>
    </row>
    <row r="2670" spans="4:4" ht="12.75" customHeight="1">
      <c r="D2670" s="52"/>
    </row>
    <row r="2671" spans="4:4" ht="12.75" customHeight="1">
      <c r="D2671" s="52"/>
    </row>
    <row r="2672" spans="4:4" ht="12.75" customHeight="1">
      <c r="D2672" s="52"/>
    </row>
    <row r="2673" spans="4:4" ht="12.75" customHeight="1">
      <c r="D2673" s="52"/>
    </row>
    <row r="2674" spans="4:4" ht="12.75" customHeight="1">
      <c r="D2674" s="52"/>
    </row>
    <row r="2675" spans="4:4" ht="12.75" customHeight="1">
      <c r="D2675" s="52"/>
    </row>
    <row r="2676" spans="4:4" ht="12.75" customHeight="1">
      <c r="D2676" s="52"/>
    </row>
    <row r="2677" spans="4:4" ht="12.75" customHeight="1">
      <c r="D2677" s="52"/>
    </row>
    <row r="2678" spans="4:4" ht="12.75" customHeight="1">
      <c r="D2678" s="52"/>
    </row>
    <row r="2679" spans="4:4" ht="12.75" customHeight="1">
      <c r="D2679" s="52"/>
    </row>
    <row r="2680" spans="4:4" ht="12.75" customHeight="1">
      <c r="D2680" s="52"/>
    </row>
    <row r="2681" spans="4:4" ht="12.75" customHeight="1">
      <c r="D2681" s="52"/>
    </row>
    <row r="2682" spans="4:4" ht="12.75" customHeight="1">
      <c r="D2682" s="52"/>
    </row>
    <row r="2683" spans="4:4" ht="12.75" customHeight="1">
      <c r="D2683" s="52"/>
    </row>
    <row r="2684" spans="4:4" ht="12.75" customHeight="1">
      <c r="D2684" s="52"/>
    </row>
    <row r="2685" spans="4:4" ht="12.75" customHeight="1">
      <c r="D2685" s="52"/>
    </row>
    <row r="2686" spans="4:4" ht="12.75" customHeight="1">
      <c r="D2686" s="52"/>
    </row>
    <row r="2687" spans="4:4" ht="12.75" customHeight="1">
      <c r="D2687" s="52"/>
    </row>
    <row r="2688" spans="4:4" ht="12.75" customHeight="1">
      <c r="D2688" s="52"/>
    </row>
    <row r="2689" spans="4:4" ht="12.75" customHeight="1">
      <c r="D2689" s="52"/>
    </row>
    <row r="2690" spans="4:4" ht="12.75" customHeight="1">
      <c r="D2690" s="52"/>
    </row>
    <row r="2691" spans="4:4" ht="12.75" customHeight="1">
      <c r="D2691" s="52"/>
    </row>
    <row r="2692" spans="4:4" ht="12.75" customHeight="1">
      <c r="D2692" s="52"/>
    </row>
    <row r="2693" spans="4:4" ht="12.75" customHeight="1">
      <c r="D2693" s="52"/>
    </row>
    <row r="2694" spans="4:4" ht="12.75" customHeight="1">
      <c r="D2694" s="52"/>
    </row>
    <row r="2695" spans="4:4" ht="12.75" customHeight="1">
      <c r="D2695" s="52"/>
    </row>
    <row r="2696" spans="4:4" ht="12.75" customHeight="1">
      <c r="D2696" s="52"/>
    </row>
    <row r="2697" spans="4:4" ht="12.75" customHeight="1">
      <c r="D2697" s="52"/>
    </row>
    <row r="2698" spans="4:4" ht="12.75" customHeight="1">
      <c r="D2698" s="52"/>
    </row>
    <row r="2699" spans="4:4" ht="12.75" customHeight="1">
      <c r="D2699" s="52"/>
    </row>
    <row r="2700" spans="4:4" ht="12.75" customHeight="1">
      <c r="D2700" s="52"/>
    </row>
    <row r="2701" spans="4:4" ht="12.75" customHeight="1">
      <c r="D2701" s="52"/>
    </row>
    <row r="2702" spans="4:4" ht="12.75" customHeight="1">
      <c r="D2702" s="52"/>
    </row>
    <row r="2703" spans="4:4" ht="12.75" customHeight="1">
      <c r="D2703" s="52"/>
    </row>
    <row r="2704" spans="4:4" ht="12.75" customHeight="1">
      <c r="D2704" s="52"/>
    </row>
    <row r="2705" spans="4:4" ht="12.75" customHeight="1">
      <c r="D2705" s="52"/>
    </row>
    <row r="2706" spans="4:4" ht="12.75" customHeight="1">
      <c r="D2706" s="52"/>
    </row>
    <row r="2707" spans="4:4" ht="12.75" customHeight="1">
      <c r="D2707" s="52"/>
    </row>
    <row r="2708" spans="4:4" ht="12.75" customHeight="1">
      <c r="D2708" s="52"/>
    </row>
    <row r="2709" spans="4:4" ht="12.75" customHeight="1">
      <c r="D2709" s="52"/>
    </row>
    <row r="2710" spans="4:4" ht="12.75" customHeight="1">
      <c r="D2710" s="52"/>
    </row>
    <row r="2711" spans="4:4" ht="12.75" customHeight="1">
      <c r="D2711" s="52"/>
    </row>
    <row r="2712" spans="4:4" ht="12.75" customHeight="1">
      <c r="D2712" s="52"/>
    </row>
    <row r="2713" spans="4:4" ht="12.75" customHeight="1">
      <c r="D2713" s="52"/>
    </row>
    <row r="2714" spans="4:4" ht="12.75" customHeight="1">
      <c r="D2714" s="52"/>
    </row>
    <row r="2715" spans="4:4" ht="12.75" customHeight="1">
      <c r="D2715" s="52"/>
    </row>
    <row r="2716" spans="4:4" ht="12.75" customHeight="1">
      <c r="D2716" s="52"/>
    </row>
    <row r="2717" spans="4:4" ht="12.75" customHeight="1">
      <c r="D2717" s="52"/>
    </row>
    <row r="2718" spans="4:4" ht="12.75" customHeight="1">
      <c r="D2718" s="52"/>
    </row>
    <row r="2719" spans="4:4" ht="12.75" customHeight="1">
      <c r="D2719" s="52"/>
    </row>
    <row r="2720" spans="4:4" ht="12.75" customHeight="1">
      <c r="D2720" s="52"/>
    </row>
    <row r="2721" spans="4:4" ht="12.75" customHeight="1">
      <c r="D2721" s="52"/>
    </row>
    <row r="2722" spans="4:4" ht="12.75" customHeight="1">
      <c r="D2722" s="52"/>
    </row>
    <row r="2723" spans="4:4" ht="12.75" customHeight="1">
      <c r="D2723" s="52"/>
    </row>
    <row r="2724" spans="4:4" ht="12.75" customHeight="1">
      <c r="D2724" s="52"/>
    </row>
    <row r="2725" spans="4:4" ht="12.75" customHeight="1">
      <c r="D2725" s="52"/>
    </row>
    <row r="2726" spans="4:4" ht="12.75" customHeight="1">
      <c r="D2726" s="52"/>
    </row>
    <row r="2727" spans="4:4" ht="12.75" customHeight="1">
      <c r="D2727" s="52"/>
    </row>
    <row r="2728" spans="4:4" ht="12.75" customHeight="1">
      <c r="D2728" s="52"/>
    </row>
    <row r="2729" spans="4:4" ht="12.75" customHeight="1">
      <c r="D2729" s="52"/>
    </row>
    <row r="2730" spans="4:4" ht="12.75" customHeight="1">
      <c r="D2730" s="52"/>
    </row>
    <row r="2731" spans="4:4" ht="12.75" customHeight="1">
      <c r="D2731" s="52"/>
    </row>
    <row r="2732" spans="4:4" ht="12.75" customHeight="1">
      <c r="D2732" s="52"/>
    </row>
    <row r="2733" spans="4:4" ht="12.75" customHeight="1">
      <c r="D2733" s="52"/>
    </row>
    <row r="2734" spans="4:4" ht="12.75" customHeight="1">
      <c r="D2734" s="52"/>
    </row>
    <row r="2735" spans="4:4" ht="12.75" customHeight="1">
      <c r="D2735" s="52"/>
    </row>
    <row r="2736" spans="4:4" ht="12.75" customHeight="1">
      <c r="D2736" s="52"/>
    </row>
    <row r="2737" spans="4:4" ht="12.75" customHeight="1">
      <c r="D2737" s="52"/>
    </row>
    <row r="2738" spans="4:4" ht="12.75" customHeight="1">
      <c r="D2738" s="52"/>
    </row>
    <row r="2739" spans="4:4" ht="12.75" customHeight="1">
      <c r="D2739" s="52"/>
    </row>
    <row r="2740" spans="4:4" ht="12.75" customHeight="1">
      <c r="D2740" s="52"/>
    </row>
    <row r="2741" spans="4:4" ht="12.75" customHeight="1">
      <c r="D2741" s="52"/>
    </row>
    <row r="2742" spans="4:4" ht="12.75" customHeight="1">
      <c r="D2742" s="52"/>
    </row>
    <row r="2743" spans="4:4" ht="12.75" customHeight="1">
      <c r="D2743" s="52"/>
    </row>
    <row r="2744" spans="4:4" ht="12.75" customHeight="1">
      <c r="D2744" s="52"/>
    </row>
    <row r="2745" spans="4:4" ht="12.75" customHeight="1">
      <c r="D2745" s="52"/>
    </row>
    <row r="2746" spans="4:4" ht="12.75" customHeight="1">
      <c r="D2746" s="52"/>
    </row>
    <row r="2747" spans="4:4" ht="12.75" customHeight="1">
      <c r="D2747" s="52"/>
    </row>
    <row r="2748" spans="4:4" ht="12.75" customHeight="1">
      <c r="D2748" s="52"/>
    </row>
    <row r="2749" spans="4:4" ht="12.75" customHeight="1">
      <c r="D2749" s="52"/>
    </row>
    <row r="2750" spans="4:4" ht="12.75" customHeight="1">
      <c r="D2750" s="52"/>
    </row>
    <row r="2751" spans="4:4" ht="12.75" customHeight="1">
      <c r="D2751" s="52"/>
    </row>
    <row r="2752" spans="4:4" ht="12.75" customHeight="1">
      <c r="D2752" s="52"/>
    </row>
    <row r="2753" spans="4:4" ht="12.75" customHeight="1">
      <c r="D2753" s="52"/>
    </row>
    <row r="2754" spans="4:4" ht="12.75" customHeight="1">
      <c r="D2754" s="52"/>
    </row>
    <row r="2755" spans="4:4" ht="12.75" customHeight="1">
      <c r="D2755" s="52"/>
    </row>
    <row r="2756" spans="4:4" ht="12.75" customHeight="1">
      <c r="D2756" s="52"/>
    </row>
    <row r="2757" spans="4:4" ht="12.75" customHeight="1">
      <c r="D2757" s="52"/>
    </row>
    <row r="2758" spans="4:4" ht="12.75" customHeight="1">
      <c r="D2758" s="52"/>
    </row>
    <row r="2759" spans="4:4" ht="12.75" customHeight="1">
      <c r="D2759" s="52"/>
    </row>
    <row r="2760" spans="4:4" ht="12.75" customHeight="1">
      <c r="D2760" s="52"/>
    </row>
    <row r="2761" spans="4:4" ht="12.75" customHeight="1">
      <c r="D2761" s="52"/>
    </row>
    <row r="2762" spans="4:4" ht="12.75" customHeight="1">
      <c r="D2762" s="52"/>
    </row>
    <row r="2763" spans="4:4" ht="12.75" customHeight="1">
      <c r="D2763" s="52"/>
    </row>
    <row r="2764" spans="4:4" ht="12.75" customHeight="1">
      <c r="D2764" s="52"/>
    </row>
    <row r="2765" spans="4:4" ht="12.75" customHeight="1">
      <c r="D2765" s="52"/>
    </row>
    <row r="2766" spans="4:4" ht="12.75" customHeight="1">
      <c r="D2766" s="52"/>
    </row>
    <row r="2767" spans="4:4" ht="12.75" customHeight="1">
      <c r="D2767" s="52"/>
    </row>
    <row r="2768" spans="4:4" ht="12.75" customHeight="1">
      <c r="D2768" s="52"/>
    </row>
    <row r="2769" spans="4:4" ht="12.75" customHeight="1">
      <c r="D2769" s="52"/>
    </row>
    <row r="2770" spans="4:4" ht="12.75" customHeight="1">
      <c r="D2770" s="52"/>
    </row>
    <row r="2771" spans="4:4" ht="12.75" customHeight="1">
      <c r="D2771" s="52"/>
    </row>
    <row r="2772" spans="4:4" ht="12.75" customHeight="1">
      <c r="D2772" s="52"/>
    </row>
    <row r="2773" spans="4:4" ht="12.75" customHeight="1">
      <c r="D2773" s="52"/>
    </row>
    <row r="2774" spans="4:4" ht="12.75" customHeight="1">
      <c r="D2774" s="52"/>
    </row>
    <row r="2775" spans="4:4" ht="12.75" customHeight="1">
      <c r="D2775" s="52"/>
    </row>
    <row r="2776" spans="4:4" ht="12.75" customHeight="1">
      <c r="D2776" s="52"/>
    </row>
    <row r="2777" spans="4:4" ht="12.75" customHeight="1">
      <c r="D2777" s="52"/>
    </row>
    <row r="2778" spans="4:4" ht="12.75" customHeight="1">
      <c r="D2778" s="52"/>
    </row>
    <row r="2779" spans="4:4" ht="12.75" customHeight="1">
      <c r="D2779" s="52"/>
    </row>
    <row r="2780" spans="4:4" ht="12.75" customHeight="1">
      <c r="D2780" s="52"/>
    </row>
    <row r="2781" spans="4:4" ht="12.75" customHeight="1">
      <c r="D2781" s="52"/>
    </row>
    <row r="2782" spans="4:4" ht="12.75" customHeight="1">
      <c r="D2782" s="52"/>
    </row>
    <row r="2783" spans="4:4" ht="12.75" customHeight="1">
      <c r="D2783" s="52"/>
    </row>
    <row r="2784" spans="4:4" ht="12.75" customHeight="1">
      <c r="D2784" s="52"/>
    </row>
    <row r="2785" spans="4:4" ht="12.75" customHeight="1">
      <c r="D2785" s="52"/>
    </row>
    <row r="2786" spans="4:4" ht="12.75" customHeight="1">
      <c r="D2786" s="52"/>
    </row>
    <row r="2787" spans="4:4" ht="12.75" customHeight="1">
      <c r="D2787" s="52"/>
    </row>
    <row r="2788" spans="4:4" ht="12.75" customHeight="1">
      <c r="D2788" s="52"/>
    </row>
    <row r="2789" spans="4:4" ht="12.75" customHeight="1">
      <c r="D2789" s="52"/>
    </row>
    <row r="2790" spans="4:4" ht="12.75" customHeight="1">
      <c r="D2790" s="52"/>
    </row>
    <row r="2791" spans="4:4" ht="12.75" customHeight="1">
      <c r="D2791" s="52"/>
    </row>
    <row r="2792" spans="4:4" ht="12.75" customHeight="1">
      <c r="D2792" s="52"/>
    </row>
    <row r="2793" spans="4:4" ht="12.75" customHeight="1">
      <c r="D2793" s="52"/>
    </row>
    <row r="2794" spans="4:4" ht="12.75" customHeight="1">
      <c r="D2794" s="52"/>
    </row>
    <row r="2795" spans="4:4" ht="12.75" customHeight="1">
      <c r="D2795" s="52"/>
    </row>
    <row r="2796" spans="4:4" ht="12.75" customHeight="1">
      <c r="D2796" s="52"/>
    </row>
    <row r="2797" spans="4:4" ht="12.75" customHeight="1">
      <c r="D2797" s="52"/>
    </row>
    <row r="2798" spans="4:4" ht="12.75" customHeight="1">
      <c r="D2798" s="52"/>
    </row>
    <row r="2799" spans="4:4" ht="12.75" customHeight="1">
      <c r="D2799" s="52"/>
    </row>
    <row r="2800" spans="4:4" ht="12.75" customHeight="1">
      <c r="D2800" s="52"/>
    </row>
    <row r="2801" spans="4:4" ht="12.75" customHeight="1">
      <c r="D2801" s="52"/>
    </row>
    <row r="2802" spans="4:4" ht="12.75" customHeight="1">
      <c r="D2802" s="52"/>
    </row>
    <row r="2803" spans="4:4" ht="12.75" customHeight="1">
      <c r="D2803" s="52"/>
    </row>
    <row r="2804" spans="4:4" ht="12.75" customHeight="1">
      <c r="D2804" s="52"/>
    </row>
    <row r="2805" spans="4:4" ht="12.75" customHeight="1">
      <c r="D2805" s="52"/>
    </row>
    <row r="2806" spans="4:4" ht="12.75" customHeight="1">
      <c r="D2806" s="52"/>
    </row>
    <row r="2807" spans="4:4" ht="12.75" customHeight="1">
      <c r="D2807" s="52"/>
    </row>
    <row r="2808" spans="4:4" ht="12.75" customHeight="1">
      <c r="D2808" s="52"/>
    </row>
    <row r="2809" spans="4:4" ht="12.75" customHeight="1">
      <c r="D2809" s="52"/>
    </row>
    <row r="2810" spans="4:4" ht="12.75" customHeight="1">
      <c r="D2810" s="52"/>
    </row>
    <row r="2811" spans="4:4" ht="12.75" customHeight="1">
      <c r="D2811" s="52"/>
    </row>
    <row r="2812" spans="4:4" ht="12.75" customHeight="1">
      <c r="D2812" s="52"/>
    </row>
    <row r="2813" spans="4:4" ht="12.75" customHeight="1">
      <c r="D2813" s="52"/>
    </row>
    <row r="2814" spans="4:4" ht="12.75" customHeight="1">
      <c r="D2814" s="52"/>
    </row>
    <row r="2815" spans="4:4" ht="12.75" customHeight="1">
      <c r="D2815" s="52"/>
    </row>
    <row r="2816" spans="4:4" ht="12.75" customHeight="1">
      <c r="D2816" s="52"/>
    </row>
    <row r="2817" spans="4:4" ht="12.75" customHeight="1">
      <c r="D2817" s="52"/>
    </row>
    <row r="2818" spans="4:4" ht="12.75" customHeight="1">
      <c r="D2818" s="52"/>
    </row>
    <row r="2819" spans="4:4" ht="12.75" customHeight="1">
      <c r="D2819" s="52"/>
    </row>
    <row r="2820" spans="4:4" ht="12.75" customHeight="1">
      <c r="D2820" s="52"/>
    </row>
    <row r="2821" spans="4:4" ht="12.75" customHeight="1">
      <c r="D2821" s="52"/>
    </row>
    <row r="2822" spans="4:4" ht="12.75" customHeight="1">
      <c r="D2822" s="52"/>
    </row>
    <row r="2823" spans="4:4" ht="12.75" customHeight="1">
      <c r="D2823" s="52"/>
    </row>
    <row r="2824" spans="4:4" ht="12.75" customHeight="1">
      <c r="D2824" s="52"/>
    </row>
    <row r="2825" spans="4:4" ht="12.75" customHeight="1">
      <c r="D2825" s="52"/>
    </row>
    <row r="2826" spans="4:4" ht="12.75" customHeight="1">
      <c r="D2826" s="52"/>
    </row>
    <row r="2827" spans="4:4" ht="12.75" customHeight="1">
      <c r="D2827" s="52"/>
    </row>
    <row r="2828" spans="4:4" ht="12.75" customHeight="1">
      <c r="D2828" s="52"/>
    </row>
    <row r="2829" spans="4:4" ht="12.75" customHeight="1">
      <c r="D2829" s="52"/>
    </row>
    <row r="2830" spans="4:4" ht="12.75" customHeight="1">
      <c r="D2830" s="52"/>
    </row>
    <row r="2831" spans="4:4" ht="12.75" customHeight="1">
      <c r="D2831" s="52"/>
    </row>
    <row r="2832" spans="4:4" ht="12.75" customHeight="1">
      <c r="D2832" s="52"/>
    </row>
    <row r="2833" spans="4:4" ht="12.75" customHeight="1">
      <c r="D2833" s="52"/>
    </row>
    <row r="2834" spans="4:4" ht="12.75" customHeight="1">
      <c r="D2834" s="52"/>
    </row>
    <row r="2835" spans="4:4" ht="12.75" customHeight="1">
      <c r="D2835" s="52"/>
    </row>
    <row r="2836" spans="4:4" ht="12.75" customHeight="1">
      <c r="D2836" s="52"/>
    </row>
    <row r="2837" spans="4:4" ht="12.75" customHeight="1">
      <c r="D2837" s="52"/>
    </row>
    <row r="2838" spans="4:4" ht="12.75" customHeight="1">
      <c r="D2838" s="52"/>
    </row>
    <row r="2839" spans="4:4" ht="12.75" customHeight="1">
      <c r="D2839" s="52"/>
    </row>
    <row r="2840" spans="4:4" ht="12.75" customHeight="1">
      <c r="D2840" s="52"/>
    </row>
    <row r="2841" spans="4:4" ht="12.75" customHeight="1">
      <c r="D2841" s="52"/>
    </row>
    <row r="2842" spans="4:4" ht="12.75" customHeight="1">
      <c r="D2842" s="52"/>
    </row>
    <row r="2843" spans="4:4" ht="12.75" customHeight="1">
      <c r="D2843" s="52"/>
    </row>
    <row r="2844" spans="4:4" ht="12.75" customHeight="1">
      <c r="D2844" s="52"/>
    </row>
    <row r="2845" spans="4:4" ht="12.75" customHeight="1">
      <c r="D2845" s="52"/>
    </row>
    <row r="2846" spans="4:4" ht="12.75" customHeight="1">
      <c r="D2846" s="52"/>
    </row>
    <row r="2847" spans="4:4" ht="12.75" customHeight="1">
      <c r="D2847" s="52"/>
    </row>
    <row r="2848" spans="4:4" ht="12.75" customHeight="1">
      <c r="D2848" s="52"/>
    </row>
    <row r="2849" spans="4:4" ht="12.75" customHeight="1">
      <c r="D2849" s="52"/>
    </row>
    <row r="2850" spans="4:4" ht="12.75" customHeight="1">
      <c r="D2850" s="52"/>
    </row>
    <row r="2851" spans="4:4" ht="12.75" customHeight="1">
      <c r="D2851" s="52"/>
    </row>
    <row r="2852" spans="4:4" ht="12.75" customHeight="1">
      <c r="D2852" s="52"/>
    </row>
    <row r="2853" spans="4:4" ht="12.75" customHeight="1">
      <c r="D2853" s="52"/>
    </row>
    <row r="2854" spans="4:4" ht="12.75" customHeight="1">
      <c r="D2854" s="52"/>
    </row>
    <row r="2855" spans="4:4" ht="12.75" customHeight="1">
      <c r="D2855" s="52"/>
    </row>
    <row r="2856" spans="4:4" ht="12.75" customHeight="1">
      <c r="D2856" s="52"/>
    </row>
    <row r="2857" spans="4:4" ht="12.75" customHeight="1">
      <c r="D2857" s="52"/>
    </row>
    <row r="2858" spans="4:4" ht="12.75" customHeight="1">
      <c r="D2858" s="52"/>
    </row>
    <row r="2859" spans="4:4" ht="12.75" customHeight="1">
      <c r="D2859" s="52"/>
    </row>
    <row r="2860" spans="4:4" ht="12.75" customHeight="1">
      <c r="D2860" s="52"/>
    </row>
    <row r="2861" spans="4:4" ht="12.75" customHeight="1">
      <c r="D2861" s="52"/>
    </row>
    <row r="2862" spans="4:4" ht="12.75" customHeight="1">
      <c r="D2862" s="52"/>
    </row>
    <row r="2863" spans="4:4" ht="12.75" customHeight="1">
      <c r="D2863" s="52"/>
    </row>
    <row r="2864" spans="4:4" ht="12.75" customHeight="1">
      <c r="D2864" s="52"/>
    </row>
    <row r="2865" spans="4:4" ht="12.75" customHeight="1">
      <c r="D2865" s="52"/>
    </row>
    <row r="2866" spans="4:4" ht="12.75" customHeight="1">
      <c r="D2866" s="52"/>
    </row>
    <row r="2867" spans="4:4" ht="12.75" customHeight="1">
      <c r="D2867" s="52"/>
    </row>
    <row r="2868" spans="4:4" ht="12.75" customHeight="1">
      <c r="D2868" s="52"/>
    </row>
    <row r="2869" spans="4:4" ht="12.75" customHeight="1">
      <c r="D2869" s="52"/>
    </row>
    <row r="2870" spans="4:4" ht="12.75" customHeight="1">
      <c r="D2870" s="52"/>
    </row>
    <row r="2871" spans="4:4" ht="12.75" customHeight="1">
      <c r="D2871" s="52"/>
    </row>
    <row r="2872" spans="4:4" ht="12.75" customHeight="1">
      <c r="D2872" s="52"/>
    </row>
    <row r="2873" spans="4:4" ht="12.75" customHeight="1">
      <c r="D2873" s="52"/>
    </row>
    <row r="2874" spans="4:4" ht="12.75" customHeight="1">
      <c r="D2874" s="52"/>
    </row>
    <row r="2875" spans="4:4" ht="12.75" customHeight="1">
      <c r="D2875" s="52"/>
    </row>
    <row r="2876" spans="4:4" ht="12.75" customHeight="1">
      <c r="D2876" s="52"/>
    </row>
    <row r="2877" spans="4:4" ht="12.75" customHeight="1">
      <c r="D2877" s="52"/>
    </row>
    <row r="2878" spans="4:4" ht="12.75" customHeight="1">
      <c r="D2878" s="52"/>
    </row>
    <row r="2879" spans="4:4" ht="12.75" customHeight="1">
      <c r="D2879" s="52"/>
    </row>
    <row r="2880" spans="4:4" ht="12.75" customHeight="1">
      <c r="D2880" s="52"/>
    </row>
    <row r="2881" spans="4:4" ht="12.75" customHeight="1">
      <c r="D2881" s="52"/>
    </row>
    <row r="2882" spans="4:4" ht="12.75" customHeight="1">
      <c r="D2882" s="52"/>
    </row>
    <row r="2883" spans="4:4" ht="12.75" customHeight="1">
      <c r="D2883" s="52"/>
    </row>
    <row r="2884" spans="4:4" ht="12.75" customHeight="1">
      <c r="D2884" s="52"/>
    </row>
    <row r="2885" spans="4:4" ht="12.75" customHeight="1">
      <c r="D2885" s="52"/>
    </row>
    <row r="2886" spans="4:4" ht="12.75" customHeight="1">
      <c r="D2886" s="52"/>
    </row>
    <row r="2887" spans="4:4" ht="12.75" customHeight="1">
      <c r="D2887" s="52"/>
    </row>
    <row r="2888" spans="4:4" ht="12.75" customHeight="1">
      <c r="D2888" s="52"/>
    </row>
    <row r="2889" spans="4:4" ht="12.75" customHeight="1">
      <c r="D2889" s="52"/>
    </row>
    <row r="2890" spans="4:4" ht="12.75" customHeight="1">
      <c r="D2890" s="52"/>
    </row>
    <row r="2891" spans="4:4" ht="12.75" customHeight="1">
      <c r="D2891" s="52"/>
    </row>
    <row r="2892" spans="4:4" ht="12.75" customHeight="1">
      <c r="D2892" s="52"/>
    </row>
    <row r="2893" spans="4:4" ht="12.75" customHeight="1">
      <c r="D2893" s="52"/>
    </row>
    <row r="2894" spans="4:4" ht="12.75" customHeight="1">
      <c r="D2894" s="52"/>
    </row>
    <row r="2895" spans="4:4" ht="12.75" customHeight="1">
      <c r="D2895" s="52"/>
    </row>
    <row r="2896" spans="4:4" ht="12.75" customHeight="1">
      <c r="D2896" s="52"/>
    </row>
    <row r="2897" spans="4:4" ht="12.75" customHeight="1">
      <c r="D2897" s="52"/>
    </row>
    <row r="2898" spans="4:4" ht="12.75" customHeight="1">
      <c r="D2898" s="52"/>
    </row>
    <row r="2899" spans="4:4" ht="12.75" customHeight="1">
      <c r="D2899" s="52"/>
    </row>
    <row r="2900" spans="4:4" ht="12.75" customHeight="1">
      <c r="D2900" s="52"/>
    </row>
    <row r="2901" spans="4:4" ht="12.75" customHeight="1">
      <c r="D2901" s="52"/>
    </row>
    <row r="2902" spans="4:4" ht="12.75" customHeight="1">
      <c r="D2902" s="52"/>
    </row>
    <row r="2903" spans="4:4" ht="12.75" customHeight="1">
      <c r="D2903" s="52"/>
    </row>
    <row r="2904" spans="4:4" ht="12.75" customHeight="1">
      <c r="D2904" s="52"/>
    </row>
    <row r="2905" spans="4:4" ht="12.75" customHeight="1">
      <c r="D2905" s="52"/>
    </row>
    <row r="2906" spans="4:4" ht="12.75" customHeight="1">
      <c r="D2906" s="52"/>
    </row>
    <row r="2907" spans="4:4" ht="12.75" customHeight="1">
      <c r="D2907" s="52"/>
    </row>
    <row r="2908" spans="4:4" ht="12.75" customHeight="1">
      <c r="D2908" s="52"/>
    </row>
    <row r="2909" spans="4:4" ht="12.75" customHeight="1">
      <c r="D2909" s="52"/>
    </row>
    <row r="2910" spans="4:4" ht="12.75" customHeight="1">
      <c r="D2910" s="52"/>
    </row>
    <row r="2911" spans="4:4" ht="12.75" customHeight="1">
      <c r="D2911" s="52"/>
    </row>
    <row r="2912" spans="4:4" ht="12.75" customHeight="1">
      <c r="D2912" s="52"/>
    </row>
    <row r="2913" spans="4:4" ht="12.75" customHeight="1">
      <c r="D2913" s="52"/>
    </row>
    <row r="2914" spans="4:4" ht="12.75" customHeight="1">
      <c r="D2914" s="52"/>
    </row>
    <row r="2915" spans="4:4" ht="12.75" customHeight="1">
      <c r="D2915" s="52"/>
    </row>
    <row r="2916" spans="4:4" ht="12.75" customHeight="1">
      <c r="D2916" s="52"/>
    </row>
    <row r="2917" spans="4:4" ht="12.75" customHeight="1">
      <c r="D2917" s="52"/>
    </row>
    <row r="2918" spans="4:4" ht="12.75" customHeight="1">
      <c r="D2918" s="52"/>
    </row>
    <row r="2919" spans="4:4" ht="12.75" customHeight="1">
      <c r="D2919" s="52"/>
    </row>
    <row r="2920" spans="4:4" ht="12.75" customHeight="1">
      <c r="D2920" s="52"/>
    </row>
    <row r="2921" spans="4:4" ht="12.75" customHeight="1">
      <c r="D2921" s="52"/>
    </row>
    <row r="2922" spans="4:4" ht="12.75" customHeight="1">
      <c r="D2922" s="52"/>
    </row>
    <row r="2923" spans="4:4" ht="12.75" customHeight="1">
      <c r="D2923" s="52"/>
    </row>
    <row r="2924" spans="4:4" ht="12.75" customHeight="1">
      <c r="D2924" s="52"/>
    </row>
    <row r="2925" spans="4:4" ht="12.75" customHeight="1">
      <c r="D2925" s="52"/>
    </row>
    <row r="2926" spans="4:4" ht="12.75" customHeight="1">
      <c r="D2926" s="52"/>
    </row>
    <row r="2927" spans="4:4" ht="12.75" customHeight="1">
      <c r="D2927" s="52"/>
    </row>
    <row r="2928" spans="4:4" ht="12.75" customHeight="1">
      <c r="D2928" s="52"/>
    </row>
    <row r="2929" spans="4:4" ht="12.75" customHeight="1">
      <c r="D2929" s="52"/>
    </row>
    <row r="2930" spans="4:4" ht="12.75" customHeight="1">
      <c r="D2930" s="52"/>
    </row>
    <row r="2931" spans="4:4" ht="12.75" customHeight="1">
      <c r="D2931" s="52"/>
    </row>
    <row r="2932" spans="4:4" ht="12.75" customHeight="1">
      <c r="D2932" s="52"/>
    </row>
    <row r="2933" spans="4:4" ht="12.75" customHeight="1">
      <c r="D2933" s="52"/>
    </row>
    <row r="2934" spans="4:4" ht="12.75" customHeight="1">
      <c r="D2934" s="52"/>
    </row>
    <row r="2935" spans="4:4" ht="12.75" customHeight="1">
      <c r="D2935" s="52"/>
    </row>
    <row r="2936" spans="4:4" ht="12.75" customHeight="1">
      <c r="D2936" s="52"/>
    </row>
    <row r="2937" spans="4:4" ht="12.75" customHeight="1">
      <c r="D2937" s="52"/>
    </row>
    <row r="2938" spans="4:4" ht="12.75" customHeight="1">
      <c r="D2938" s="52"/>
    </row>
    <row r="2939" spans="4:4" ht="12.75" customHeight="1">
      <c r="D2939" s="52"/>
    </row>
    <row r="2940" spans="4:4" ht="12.75" customHeight="1">
      <c r="D2940" s="52"/>
    </row>
    <row r="2941" spans="4:4" ht="12.75" customHeight="1">
      <c r="D2941" s="52"/>
    </row>
    <row r="2942" spans="4:4" ht="12.75" customHeight="1">
      <c r="D2942" s="52"/>
    </row>
    <row r="2943" spans="4:4" ht="12.75" customHeight="1">
      <c r="D2943" s="52"/>
    </row>
    <row r="2944" spans="4:4" ht="12.75" customHeight="1">
      <c r="D2944" s="52"/>
    </row>
    <row r="2945" spans="4:4" ht="12.75" customHeight="1">
      <c r="D2945" s="52"/>
    </row>
    <row r="2946" spans="4:4" ht="12.75" customHeight="1">
      <c r="D2946" s="52"/>
    </row>
    <row r="2947" spans="4:4" ht="12.75" customHeight="1">
      <c r="D2947" s="52"/>
    </row>
    <row r="2948" spans="4:4" ht="12.75" customHeight="1">
      <c r="D2948" s="52"/>
    </row>
    <row r="2949" spans="4:4" ht="12.75" customHeight="1">
      <c r="D2949" s="52"/>
    </row>
    <row r="2950" spans="4:4" ht="12.75" customHeight="1">
      <c r="D2950" s="52"/>
    </row>
    <row r="2951" spans="4:4" ht="12.75" customHeight="1">
      <c r="D2951" s="52"/>
    </row>
    <row r="2952" spans="4:4" ht="12.75" customHeight="1">
      <c r="D2952" s="52"/>
    </row>
    <row r="2953" spans="4:4" ht="12.75" customHeight="1">
      <c r="D2953" s="52"/>
    </row>
    <row r="2954" spans="4:4" ht="12.75" customHeight="1">
      <c r="D2954" s="52"/>
    </row>
    <row r="2955" spans="4:4" ht="12.75" customHeight="1">
      <c r="D2955" s="52"/>
    </row>
    <row r="2956" spans="4:4" ht="12.75" customHeight="1">
      <c r="D2956" s="52"/>
    </row>
    <row r="2957" spans="4:4" ht="12.75" customHeight="1">
      <c r="D2957" s="52"/>
    </row>
    <row r="2958" spans="4:4" ht="12.75" customHeight="1">
      <c r="D2958" s="52"/>
    </row>
    <row r="2959" spans="4:4" ht="12.75" customHeight="1">
      <c r="D2959" s="52"/>
    </row>
    <row r="2960" spans="4:4" ht="12.75" customHeight="1">
      <c r="D2960" s="52"/>
    </row>
    <row r="2961" spans="4:4" ht="12.75" customHeight="1">
      <c r="D2961" s="52"/>
    </row>
    <row r="2962" spans="4:4" ht="12.75" customHeight="1">
      <c r="D2962" s="52"/>
    </row>
    <row r="2963" spans="4:4" ht="12.75" customHeight="1">
      <c r="D2963" s="52"/>
    </row>
    <row r="2964" spans="4:4" ht="12.75" customHeight="1">
      <c r="D2964" s="52"/>
    </row>
    <row r="2965" spans="4:4" ht="12.75" customHeight="1">
      <c r="D2965" s="52"/>
    </row>
    <row r="2966" spans="4:4" ht="12.75" customHeight="1">
      <c r="D2966" s="52"/>
    </row>
    <row r="2967" spans="4:4" ht="12.75" customHeight="1">
      <c r="D2967" s="52"/>
    </row>
    <row r="2968" spans="4:4" ht="12.75" customHeight="1">
      <c r="D2968" s="52"/>
    </row>
    <row r="2969" spans="4:4" ht="12.75" customHeight="1">
      <c r="D2969" s="52"/>
    </row>
    <row r="2970" spans="4:4" ht="12.75" customHeight="1">
      <c r="D2970" s="52"/>
    </row>
    <row r="2971" spans="4:4" ht="12.75" customHeight="1">
      <c r="D2971" s="52"/>
    </row>
    <row r="2972" spans="4:4" ht="12.75" customHeight="1">
      <c r="D2972" s="52"/>
    </row>
    <row r="2973" spans="4:4" ht="12.75" customHeight="1">
      <c r="D2973" s="52"/>
    </row>
    <row r="2974" spans="4:4" ht="12.75" customHeight="1">
      <c r="D2974" s="52"/>
    </row>
    <row r="2975" spans="4:4" ht="12.75" customHeight="1">
      <c r="D2975" s="52"/>
    </row>
    <row r="2976" spans="4:4" ht="12.75" customHeight="1">
      <c r="D2976" s="52"/>
    </row>
    <row r="2977" spans="4:4" ht="12.75" customHeight="1">
      <c r="D2977" s="52"/>
    </row>
    <row r="2978" spans="4:4" ht="12.75" customHeight="1">
      <c r="D2978" s="52"/>
    </row>
    <row r="2979" spans="4:4" ht="12.75" customHeight="1">
      <c r="D2979" s="52"/>
    </row>
    <row r="2980" spans="4:4" ht="12.75" customHeight="1">
      <c r="D2980" s="52"/>
    </row>
    <row r="2981" spans="4:4" ht="12.75" customHeight="1">
      <c r="D2981" s="52"/>
    </row>
    <row r="2982" spans="4:4" ht="12.75" customHeight="1">
      <c r="D2982" s="52"/>
    </row>
    <row r="2983" spans="4:4" ht="12.75" customHeight="1">
      <c r="D2983" s="52"/>
    </row>
    <row r="2984" spans="4:4" ht="12.75" customHeight="1">
      <c r="D2984" s="52"/>
    </row>
    <row r="2985" spans="4:4" ht="12.75" customHeight="1">
      <c r="D2985" s="52"/>
    </row>
    <row r="2986" spans="4:4" ht="12.75" customHeight="1">
      <c r="D2986" s="52"/>
    </row>
    <row r="2987" spans="4:4" ht="12.75" customHeight="1">
      <c r="D2987" s="52"/>
    </row>
    <row r="2988" spans="4:4" ht="12.75" customHeight="1">
      <c r="D2988" s="52"/>
    </row>
    <row r="2989" spans="4:4" ht="12.75" customHeight="1">
      <c r="D2989" s="52"/>
    </row>
    <row r="2990" spans="4:4" ht="12.75" customHeight="1">
      <c r="D2990" s="52"/>
    </row>
    <row r="2991" spans="4:4" ht="12.75" customHeight="1">
      <c r="D2991" s="52"/>
    </row>
    <row r="2992" spans="4:4" ht="12.75" customHeight="1">
      <c r="D2992" s="52"/>
    </row>
    <row r="2993" spans="4:4" ht="12.75" customHeight="1">
      <c r="D2993" s="52"/>
    </row>
    <row r="2994" spans="4:4" ht="12.75" customHeight="1">
      <c r="D2994" s="52"/>
    </row>
    <row r="2995" spans="4:4" ht="12.75" customHeight="1">
      <c r="D2995" s="52"/>
    </row>
    <row r="2996" spans="4:4" ht="12.75" customHeight="1">
      <c r="D2996" s="52"/>
    </row>
    <row r="2997" spans="4:4" ht="12.75" customHeight="1">
      <c r="D2997" s="52"/>
    </row>
    <row r="2998" spans="4:4" ht="12.75" customHeight="1">
      <c r="D2998" s="52"/>
    </row>
    <row r="2999" spans="4:4" ht="12.75" customHeight="1">
      <c r="D2999" s="52"/>
    </row>
    <row r="3000" spans="4:4" ht="12.75" customHeight="1">
      <c r="D3000" s="52"/>
    </row>
    <row r="3001" spans="4:4" ht="12.75" customHeight="1">
      <c r="D3001" s="52"/>
    </row>
    <row r="3002" spans="4:4" ht="12.75" customHeight="1">
      <c r="D3002" s="52"/>
    </row>
    <row r="3003" spans="4:4" ht="12.75" customHeight="1">
      <c r="D3003" s="52"/>
    </row>
    <row r="3004" spans="4:4" ht="12.75" customHeight="1">
      <c r="D3004" s="52"/>
    </row>
    <row r="3005" spans="4:4" ht="12.75" customHeight="1">
      <c r="D3005" s="52"/>
    </row>
    <row r="3006" spans="4:4" ht="12.75" customHeight="1">
      <c r="D3006" s="52"/>
    </row>
    <row r="3007" spans="4:4" ht="12.75" customHeight="1">
      <c r="D3007" s="52"/>
    </row>
    <row r="3008" spans="4:4" ht="12.75" customHeight="1">
      <c r="D3008" s="52"/>
    </row>
    <row r="3009" spans="4:4" ht="12.75" customHeight="1">
      <c r="D3009" s="52"/>
    </row>
    <row r="3010" spans="4:4" ht="12.75" customHeight="1">
      <c r="D3010" s="52"/>
    </row>
    <row r="3011" spans="4:4" ht="12.75" customHeight="1">
      <c r="D3011" s="52"/>
    </row>
    <row r="3012" spans="4:4" ht="12.75" customHeight="1">
      <c r="D3012" s="52"/>
    </row>
    <row r="3013" spans="4:4" ht="12.75" customHeight="1">
      <c r="D3013" s="52"/>
    </row>
    <row r="3014" spans="4:4" ht="12.75" customHeight="1">
      <c r="D3014" s="52"/>
    </row>
    <row r="3015" spans="4:4" ht="12.75" customHeight="1">
      <c r="D3015" s="52"/>
    </row>
    <row r="3016" spans="4:4" ht="12.75" customHeight="1">
      <c r="D3016" s="52"/>
    </row>
    <row r="3017" spans="4:4" ht="12.75" customHeight="1">
      <c r="D3017" s="52"/>
    </row>
    <row r="3018" spans="4:4" ht="12.75" customHeight="1">
      <c r="D3018" s="52"/>
    </row>
    <row r="3019" spans="4:4" ht="12.75" customHeight="1">
      <c r="D3019" s="52"/>
    </row>
    <row r="3020" spans="4:4" ht="12.75" customHeight="1">
      <c r="D3020" s="52"/>
    </row>
    <row r="3021" spans="4:4" ht="12.75" customHeight="1">
      <c r="D3021" s="52"/>
    </row>
    <row r="3022" spans="4:4" ht="12.75" customHeight="1">
      <c r="D3022" s="52"/>
    </row>
    <row r="3023" spans="4:4" ht="12.75" customHeight="1">
      <c r="D3023" s="52"/>
    </row>
    <row r="3024" spans="4:4" ht="12.75" customHeight="1">
      <c r="D3024" s="52"/>
    </row>
    <row r="3025" spans="4:4" ht="12.75" customHeight="1">
      <c r="D3025" s="52"/>
    </row>
    <row r="3026" spans="4:4" ht="12.75" customHeight="1">
      <c r="D3026" s="52"/>
    </row>
    <row r="3027" spans="4:4" ht="12.75" customHeight="1">
      <c r="D3027" s="52"/>
    </row>
    <row r="3028" spans="4:4" ht="12.75" customHeight="1">
      <c r="D3028" s="52"/>
    </row>
    <row r="3029" spans="4:4" ht="12.75" customHeight="1">
      <c r="D3029" s="52"/>
    </row>
    <row r="3030" spans="4:4" ht="12.75" customHeight="1">
      <c r="D3030" s="52"/>
    </row>
    <row r="3031" spans="4:4" ht="12.75" customHeight="1">
      <c r="D3031" s="52"/>
    </row>
    <row r="3032" spans="4:4" ht="12.75" customHeight="1">
      <c r="D3032" s="52"/>
    </row>
    <row r="3033" spans="4:4" ht="12.75" customHeight="1">
      <c r="D3033" s="52"/>
    </row>
    <row r="3034" spans="4:4" ht="12.75" customHeight="1">
      <c r="D3034" s="52"/>
    </row>
    <row r="3035" spans="4:4" ht="12.75" customHeight="1">
      <c r="D3035" s="52"/>
    </row>
    <row r="3036" spans="4:4" ht="12.75" customHeight="1">
      <c r="D3036" s="52"/>
    </row>
    <row r="3037" spans="4:4" ht="12.75" customHeight="1">
      <c r="D3037" s="52"/>
    </row>
    <row r="3038" spans="4:4" ht="12.75" customHeight="1">
      <c r="D3038" s="52"/>
    </row>
    <row r="3039" spans="4:4" ht="12.75" customHeight="1">
      <c r="D3039" s="52"/>
    </row>
    <row r="3040" spans="4:4" ht="12.75" customHeight="1">
      <c r="D3040" s="52"/>
    </row>
    <row r="3041" spans="4:4" ht="12.75" customHeight="1">
      <c r="D3041" s="52"/>
    </row>
    <row r="3042" spans="4:4" ht="12.75" customHeight="1">
      <c r="D3042" s="52"/>
    </row>
    <row r="3043" spans="4:4" ht="12.75" customHeight="1">
      <c r="D3043" s="52"/>
    </row>
    <row r="3044" spans="4:4" ht="12.75" customHeight="1">
      <c r="D3044" s="52"/>
    </row>
    <row r="3045" spans="4:4" ht="12.75" customHeight="1">
      <c r="D3045" s="52"/>
    </row>
    <row r="3046" spans="4:4" ht="12.75" customHeight="1">
      <c r="D3046" s="52"/>
    </row>
    <row r="3047" spans="4:4" ht="12.75" customHeight="1">
      <c r="D3047" s="52"/>
    </row>
    <row r="3048" spans="4:4" ht="12.75" customHeight="1">
      <c r="D3048" s="52"/>
    </row>
    <row r="3049" spans="4:4" ht="12.75" customHeight="1">
      <c r="D3049" s="52"/>
    </row>
    <row r="3050" spans="4:4" ht="12.75" customHeight="1">
      <c r="D3050" s="52"/>
    </row>
    <row r="3051" spans="4:4" ht="12.75" customHeight="1">
      <c r="D3051" s="52"/>
    </row>
    <row r="3052" spans="4:4" ht="12.75" customHeight="1">
      <c r="D3052" s="52"/>
    </row>
    <row r="3053" spans="4:4" ht="12.75" customHeight="1">
      <c r="D3053" s="52"/>
    </row>
    <row r="3054" spans="4:4" ht="12.75" customHeight="1">
      <c r="D3054" s="52"/>
    </row>
    <row r="3055" spans="4:4" ht="12.75" customHeight="1">
      <c r="D3055" s="52"/>
    </row>
    <row r="3056" spans="4:4" ht="12.75" customHeight="1">
      <c r="D3056" s="52"/>
    </row>
    <row r="3057" spans="4:4" ht="12.75" customHeight="1">
      <c r="D3057" s="52"/>
    </row>
    <row r="3058" spans="4:4" ht="12.75" customHeight="1">
      <c r="D3058" s="52"/>
    </row>
    <row r="3059" spans="4:4" ht="12.75" customHeight="1">
      <c r="D3059" s="52"/>
    </row>
    <row r="3060" spans="4:4" ht="12.75" customHeight="1">
      <c r="D3060" s="52"/>
    </row>
    <row r="3061" spans="4:4" ht="12.75" customHeight="1">
      <c r="D3061" s="52"/>
    </row>
    <row r="3062" spans="4:4" ht="12.75" customHeight="1">
      <c r="D3062" s="52"/>
    </row>
    <row r="3063" spans="4:4" ht="12.75" customHeight="1">
      <c r="D3063" s="52"/>
    </row>
    <row r="3064" spans="4:4" ht="12.75" customHeight="1">
      <c r="D3064" s="52"/>
    </row>
    <row r="3065" spans="4:4" ht="12.75" customHeight="1">
      <c r="D3065" s="52"/>
    </row>
    <row r="3066" spans="4:4" ht="12.75" customHeight="1">
      <c r="D3066" s="52"/>
    </row>
    <row r="3067" spans="4:4" ht="12.75" customHeight="1">
      <c r="D3067" s="52"/>
    </row>
    <row r="3068" spans="4:4" ht="12.75" customHeight="1">
      <c r="D3068" s="52"/>
    </row>
    <row r="3069" spans="4:4" ht="12.75" customHeight="1">
      <c r="D3069" s="52"/>
    </row>
    <row r="3070" spans="4:4" ht="12.75" customHeight="1">
      <c r="D3070" s="52"/>
    </row>
    <row r="3071" spans="4:4" ht="12.75" customHeight="1">
      <c r="D3071" s="52"/>
    </row>
    <row r="3072" spans="4:4" ht="12.75" customHeight="1">
      <c r="D3072" s="52"/>
    </row>
    <row r="3073" spans="4:4" ht="12.75" customHeight="1">
      <c r="D3073" s="52"/>
    </row>
    <row r="3074" spans="4:4" ht="12.75" customHeight="1">
      <c r="D3074" s="52"/>
    </row>
    <row r="3075" spans="4:4" ht="12.75" customHeight="1">
      <c r="D3075" s="52"/>
    </row>
    <row r="3076" spans="4:4" ht="12.75" customHeight="1">
      <c r="D3076" s="52"/>
    </row>
    <row r="3077" spans="4:4" ht="12.75" customHeight="1">
      <c r="D3077" s="52"/>
    </row>
    <row r="3078" spans="4:4" ht="12.75" customHeight="1">
      <c r="D3078" s="52"/>
    </row>
    <row r="3079" spans="4:4" ht="12.75" customHeight="1">
      <c r="D3079" s="52"/>
    </row>
    <row r="3080" spans="4:4" ht="12.75" customHeight="1">
      <c r="D3080" s="52"/>
    </row>
    <row r="3081" spans="4:4" ht="12.75" customHeight="1">
      <c r="D3081" s="52"/>
    </row>
    <row r="3082" spans="4:4" ht="12.75" customHeight="1">
      <c r="D3082" s="52"/>
    </row>
    <row r="3083" spans="4:4" ht="12.75" customHeight="1">
      <c r="D3083" s="52"/>
    </row>
    <row r="3084" spans="4:4" ht="12.75" customHeight="1">
      <c r="D3084" s="52"/>
    </row>
    <row r="3085" spans="4:4" ht="12.75" customHeight="1">
      <c r="D3085" s="52"/>
    </row>
    <row r="3086" spans="4:4" ht="12.75" customHeight="1">
      <c r="D3086" s="52"/>
    </row>
    <row r="3087" spans="4:4" ht="12.75" customHeight="1">
      <c r="D3087" s="52"/>
    </row>
    <row r="3088" spans="4:4" ht="12.75" customHeight="1">
      <c r="D3088" s="52"/>
    </row>
    <row r="3089" spans="4:4" ht="12.75" customHeight="1">
      <c r="D3089" s="52"/>
    </row>
    <row r="3090" spans="4:4" ht="12.75" customHeight="1">
      <c r="D3090" s="52"/>
    </row>
    <row r="3091" spans="4:4" ht="12.75" customHeight="1">
      <c r="D3091" s="52"/>
    </row>
    <row r="3092" spans="4:4" ht="12.75" customHeight="1">
      <c r="D3092" s="52"/>
    </row>
    <row r="3093" spans="4:4" ht="12.75" customHeight="1">
      <c r="D3093" s="52"/>
    </row>
    <row r="3094" spans="4:4" ht="12.75" customHeight="1">
      <c r="D3094" s="52"/>
    </row>
    <row r="3095" spans="4:4" ht="12.75" customHeight="1">
      <c r="D3095" s="52"/>
    </row>
    <row r="3096" spans="4:4" ht="12.75" customHeight="1">
      <c r="D3096" s="52"/>
    </row>
    <row r="3097" spans="4:4" ht="12.75" customHeight="1">
      <c r="D3097" s="52"/>
    </row>
    <row r="3098" spans="4:4" ht="12.75" customHeight="1">
      <c r="D3098" s="52"/>
    </row>
    <row r="3099" spans="4:4" ht="12.75" customHeight="1">
      <c r="D3099" s="52"/>
    </row>
    <row r="3100" spans="4:4" ht="12.75" customHeight="1">
      <c r="D3100" s="52"/>
    </row>
    <row r="3101" spans="4:4" ht="12.75" customHeight="1">
      <c r="D3101" s="52"/>
    </row>
    <row r="3102" spans="4:4" ht="12.75" customHeight="1">
      <c r="D3102" s="52"/>
    </row>
    <row r="3103" spans="4:4" ht="12.75" customHeight="1">
      <c r="D3103" s="52"/>
    </row>
    <row r="3104" spans="4:4" ht="12.75" customHeight="1">
      <c r="D3104" s="52"/>
    </row>
    <row r="3105" spans="4:4" ht="12.75" customHeight="1">
      <c r="D3105" s="52"/>
    </row>
    <row r="3106" spans="4:4" ht="12.75" customHeight="1">
      <c r="D3106" s="52"/>
    </row>
    <row r="3107" spans="4:4" ht="12.75" customHeight="1">
      <c r="D3107" s="52"/>
    </row>
    <row r="3108" spans="4:4" ht="12.75" customHeight="1">
      <c r="D3108" s="52"/>
    </row>
    <row r="3109" spans="4:4" ht="12.75" customHeight="1">
      <c r="D3109" s="52"/>
    </row>
    <row r="3110" spans="4:4" ht="12.75" customHeight="1">
      <c r="D3110" s="52"/>
    </row>
    <row r="3111" spans="4:4" ht="12.75" customHeight="1">
      <c r="D3111" s="52"/>
    </row>
    <row r="3112" spans="4:4" ht="12.75" customHeight="1">
      <c r="D3112" s="52"/>
    </row>
    <row r="3113" spans="4:4" ht="12.75" customHeight="1">
      <c r="D3113" s="52"/>
    </row>
    <row r="3114" spans="4:4" ht="12.75" customHeight="1">
      <c r="D3114" s="52"/>
    </row>
    <row r="3115" spans="4:4" ht="12.75" customHeight="1">
      <c r="D3115" s="52"/>
    </row>
    <row r="3116" spans="4:4" ht="12.75" customHeight="1">
      <c r="D3116" s="52"/>
    </row>
    <row r="3117" spans="4:4" ht="12.75" customHeight="1">
      <c r="D3117" s="52"/>
    </row>
    <row r="3118" spans="4:4" ht="12.75" customHeight="1">
      <c r="D3118" s="52"/>
    </row>
    <row r="3119" spans="4:4" ht="12.75" customHeight="1">
      <c r="D3119" s="52"/>
    </row>
    <row r="3120" spans="4:4" ht="12.75" customHeight="1">
      <c r="D3120" s="52"/>
    </row>
    <row r="3121" spans="4:4" ht="12.75" customHeight="1">
      <c r="D3121" s="52"/>
    </row>
    <row r="3122" spans="4:4" ht="12.75" customHeight="1">
      <c r="D3122" s="52"/>
    </row>
    <row r="3123" spans="4:4" ht="12.75" customHeight="1">
      <c r="D3123" s="52"/>
    </row>
    <row r="3124" spans="4:4" ht="12.75" customHeight="1">
      <c r="D3124" s="52"/>
    </row>
    <row r="3125" spans="4:4" ht="12.75" customHeight="1">
      <c r="D3125" s="52"/>
    </row>
    <row r="3126" spans="4:4" ht="12.75" customHeight="1">
      <c r="D3126" s="52"/>
    </row>
    <row r="3127" spans="4:4" ht="12.75" customHeight="1">
      <c r="D3127" s="52"/>
    </row>
    <row r="3128" spans="4:4" ht="12.75" customHeight="1">
      <c r="D3128" s="52"/>
    </row>
    <row r="3129" spans="4:4" ht="12.75" customHeight="1">
      <c r="D3129" s="52"/>
    </row>
    <row r="3130" spans="4:4" ht="12.75" customHeight="1">
      <c r="D3130" s="52"/>
    </row>
    <row r="3131" spans="4:4" ht="12.75" customHeight="1">
      <c r="D3131" s="52"/>
    </row>
    <row r="3132" spans="4:4" ht="12.75" customHeight="1">
      <c r="D3132" s="52"/>
    </row>
    <row r="3133" spans="4:4" ht="12.75" customHeight="1">
      <c r="D3133" s="52"/>
    </row>
    <row r="3134" spans="4:4" ht="12.75" customHeight="1">
      <c r="D3134" s="52"/>
    </row>
    <row r="3135" spans="4:4" ht="12.75" customHeight="1">
      <c r="D3135" s="52"/>
    </row>
    <row r="3136" spans="4:4" ht="12.75" customHeight="1">
      <c r="D3136" s="52"/>
    </row>
    <row r="3137" spans="4:4" ht="12.75" customHeight="1">
      <c r="D3137" s="52"/>
    </row>
    <row r="3138" spans="4:4" ht="12.75" customHeight="1">
      <c r="D3138" s="52"/>
    </row>
    <row r="3139" spans="4:4" ht="12.75" customHeight="1">
      <c r="D3139" s="52"/>
    </row>
    <row r="3140" spans="4:4" ht="12.75" customHeight="1">
      <c r="D3140" s="52"/>
    </row>
    <row r="3141" spans="4:4" ht="12.75" customHeight="1">
      <c r="D3141" s="52"/>
    </row>
    <row r="3142" spans="4:4" ht="12.75" customHeight="1">
      <c r="D3142" s="52"/>
    </row>
    <row r="3143" spans="4:4" ht="12.75" customHeight="1">
      <c r="D3143" s="52"/>
    </row>
    <row r="3144" spans="4:4" ht="12.75" customHeight="1">
      <c r="D3144" s="52"/>
    </row>
    <row r="3145" spans="4:4" ht="12.75" customHeight="1">
      <c r="D3145" s="52"/>
    </row>
    <row r="3146" spans="4:4" ht="12.75" customHeight="1">
      <c r="D3146" s="52"/>
    </row>
    <row r="3147" spans="4:4" ht="12.75" customHeight="1">
      <c r="D3147" s="52"/>
    </row>
    <row r="3148" spans="4:4" ht="12.75" customHeight="1">
      <c r="D3148" s="52"/>
    </row>
    <row r="3149" spans="4:4" ht="12.75" customHeight="1">
      <c r="D3149" s="52"/>
    </row>
    <row r="3150" spans="4:4" ht="12.75" customHeight="1">
      <c r="D3150" s="52"/>
    </row>
    <row r="3151" spans="4:4" ht="12.75" customHeight="1">
      <c r="D3151" s="52"/>
    </row>
    <row r="3152" spans="4:4" ht="12.75" customHeight="1">
      <c r="D3152" s="52"/>
    </row>
    <row r="3153" spans="4:4" ht="12.75" customHeight="1">
      <c r="D3153" s="52"/>
    </row>
    <row r="3154" spans="4:4" ht="12.75" customHeight="1">
      <c r="D3154" s="52"/>
    </row>
    <row r="3155" spans="4:4" ht="12.75" customHeight="1">
      <c r="D3155" s="52"/>
    </row>
    <row r="3156" spans="4:4" ht="12.75" customHeight="1">
      <c r="D3156" s="52"/>
    </row>
    <row r="3157" spans="4:4" ht="12.75" customHeight="1">
      <c r="D3157" s="52"/>
    </row>
    <row r="3158" spans="4:4" ht="12.75" customHeight="1">
      <c r="D3158" s="52"/>
    </row>
    <row r="3159" spans="4:4" ht="12.75" customHeight="1">
      <c r="D3159" s="52"/>
    </row>
    <row r="3160" spans="4:4" ht="12.75" customHeight="1">
      <c r="D3160" s="52"/>
    </row>
    <row r="3161" spans="4:4" ht="12.75" customHeight="1">
      <c r="D3161" s="52"/>
    </row>
    <row r="3162" spans="4:4" ht="12.75" customHeight="1">
      <c r="D3162" s="52"/>
    </row>
    <row r="3163" spans="4:4" ht="12.75" customHeight="1">
      <c r="D3163" s="52"/>
    </row>
    <row r="3164" spans="4:4" ht="12.75" customHeight="1">
      <c r="D3164" s="52"/>
    </row>
    <row r="3165" spans="4:4" ht="12.75" customHeight="1">
      <c r="D3165" s="52"/>
    </row>
    <row r="3166" spans="4:4" ht="12.75" customHeight="1">
      <c r="D3166" s="52"/>
    </row>
    <row r="3167" spans="4:4" ht="12.75" customHeight="1">
      <c r="D3167" s="52"/>
    </row>
    <row r="3168" spans="4:4" ht="12.75" customHeight="1">
      <c r="D3168" s="52"/>
    </row>
    <row r="3169" spans="4:4" ht="12.75" customHeight="1">
      <c r="D3169" s="52"/>
    </row>
    <row r="3170" spans="4:4" ht="12.75" customHeight="1">
      <c r="D3170" s="52"/>
    </row>
    <row r="3171" spans="4:4" ht="12.75" customHeight="1">
      <c r="D3171" s="52"/>
    </row>
    <row r="3172" spans="4:4" ht="12.75" customHeight="1">
      <c r="D3172" s="52"/>
    </row>
    <row r="3173" spans="4:4" ht="12.75" customHeight="1">
      <c r="D3173" s="52"/>
    </row>
    <row r="3174" spans="4:4" ht="12.75" customHeight="1">
      <c r="D3174" s="52"/>
    </row>
    <row r="3175" spans="4:4" ht="12.75" customHeight="1">
      <c r="D3175" s="52"/>
    </row>
    <row r="3176" spans="4:4" ht="12.75" customHeight="1">
      <c r="D3176" s="52"/>
    </row>
    <row r="3177" spans="4:4" ht="12.75" customHeight="1">
      <c r="D3177" s="52"/>
    </row>
    <row r="3178" spans="4:4" ht="12.75" customHeight="1">
      <c r="D3178" s="52"/>
    </row>
    <row r="3179" spans="4:4" ht="12.75" customHeight="1">
      <c r="D3179" s="52"/>
    </row>
    <row r="3180" spans="4:4" ht="12.75" customHeight="1">
      <c r="D3180" s="52"/>
    </row>
    <row r="3181" spans="4:4" ht="12.75" customHeight="1">
      <c r="D3181" s="52"/>
    </row>
    <row r="3182" spans="4:4" ht="12.75" customHeight="1">
      <c r="D3182" s="52"/>
    </row>
    <row r="3183" spans="4:4" ht="12.75" customHeight="1">
      <c r="D3183" s="52"/>
    </row>
    <row r="3184" spans="4:4" ht="12.75" customHeight="1">
      <c r="D3184" s="52"/>
    </row>
    <row r="3185" spans="4:4" ht="12.75" customHeight="1">
      <c r="D3185" s="52"/>
    </row>
    <row r="3186" spans="4:4" ht="12.75" customHeight="1">
      <c r="D3186" s="52"/>
    </row>
    <row r="3187" spans="4:4" ht="12.75" customHeight="1">
      <c r="D3187" s="52"/>
    </row>
    <row r="3188" spans="4:4" ht="12.75" customHeight="1">
      <c r="D3188" s="52"/>
    </row>
    <row r="3189" spans="4:4" ht="12.75" customHeight="1">
      <c r="D3189" s="52"/>
    </row>
    <row r="3190" spans="4:4" ht="12.75" customHeight="1">
      <c r="D3190" s="52"/>
    </row>
    <row r="3191" spans="4:4" ht="12.75" customHeight="1">
      <c r="D3191" s="52"/>
    </row>
    <row r="3192" spans="4:4" ht="12.75" customHeight="1">
      <c r="D3192" s="52"/>
    </row>
    <row r="3193" spans="4:4" ht="12.75" customHeight="1">
      <c r="D3193" s="52"/>
    </row>
    <row r="3194" spans="4:4" ht="12.75" customHeight="1">
      <c r="D3194" s="52"/>
    </row>
    <row r="3195" spans="4:4" ht="12.75" customHeight="1">
      <c r="D3195" s="52"/>
    </row>
    <row r="3196" spans="4:4" ht="12.75" customHeight="1">
      <c r="D3196" s="52"/>
    </row>
    <row r="3197" spans="4:4" ht="12.75" customHeight="1">
      <c r="D3197" s="52"/>
    </row>
    <row r="3198" spans="4:4" ht="12.75" customHeight="1">
      <c r="D3198" s="52"/>
    </row>
    <row r="3199" spans="4:4" ht="12.75" customHeight="1">
      <c r="D3199" s="52"/>
    </row>
    <row r="3200" spans="4:4" ht="12.75" customHeight="1">
      <c r="D3200" s="52"/>
    </row>
    <row r="3201" spans="4:4" ht="12.75" customHeight="1">
      <c r="D3201" s="52"/>
    </row>
    <row r="3202" spans="4:4" ht="12.75" customHeight="1">
      <c r="D3202" s="52"/>
    </row>
    <row r="3203" spans="4:4" ht="12.75" customHeight="1">
      <c r="D3203" s="52"/>
    </row>
    <row r="3204" spans="4:4" ht="12.75" customHeight="1">
      <c r="D3204" s="52"/>
    </row>
    <row r="3205" spans="4:4" ht="12.75" customHeight="1">
      <c r="D3205" s="52"/>
    </row>
    <row r="3206" spans="4:4" ht="12.75" customHeight="1">
      <c r="D3206" s="52"/>
    </row>
    <row r="3207" spans="4:4" ht="12.75" customHeight="1">
      <c r="D3207" s="52"/>
    </row>
    <row r="3208" spans="4:4" ht="12.75" customHeight="1">
      <c r="D3208" s="52"/>
    </row>
    <row r="3209" spans="4:4" ht="12.75" customHeight="1">
      <c r="D3209" s="52"/>
    </row>
    <row r="3210" spans="4:4" ht="12.75" customHeight="1">
      <c r="D3210" s="52"/>
    </row>
    <row r="3211" spans="4:4" ht="12.75" customHeight="1">
      <c r="D3211" s="52"/>
    </row>
    <row r="3212" spans="4:4" ht="12.75" customHeight="1">
      <c r="D3212" s="52"/>
    </row>
    <row r="3213" spans="4:4" ht="12.75" customHeight="1">
      <c r="D3213" s="52"/>
    </row>
    <row r="3214" spans="4:4" ht="12.75" customHeight="1">
      <c r="D3214" s="52"/>
    </row>
    <row r="3215" spans="4:4" ht="12.75" customHeight="1">
      <c r="D3215" s="52"/>
    </row>
    <row r="3216" spans="4:4" ht="12.75" customHeight="1">
      <c r="D3216" s="52"/>
    </row>
    <row r="3217" spans="4:4" ht="12.75" customHeight="1">
      <c r="D3217" s="52"/>
    </row>
    <row r="3218" spans="4:4" ht="12.75" customHeight="1">
      <c r="D3218" s="52"/>
    </row>
    <row r="3219" spans="4:4" ht="12.75" customHeight="1">
      <c r="D3219" s="52"/>
    </row>
    <row r="3220" spans="4:4" ht="12.75" customHeight="1">
      <c r="D3220" s="52"/>
    </row>
    <row r="3221" spans="4:4" ht="12.75" customHeight="1">
      <c r="D3221" s="52"/>
    </row>
    <row r="3222" spans="4:4" ht="12.75" customHeight="1">
      <c r="D3222" s="52"/>
    </row>
    <row r="3223" spans="4:4" ht="12.75" customHeight="1">
      <c r="D3223" s="52"/>
    </row>
    <row r="3224" spans="4:4" ht="12.75" customHeight="1">
      <c r="D3224" s="52"/>
    </row>
    <row r="3225" spans="4:4" ht="12.75" customHeight="1">
      <c r="D3225" s="52"/>
    </row>
    <row r="3226" spans="4:4" ht="12.75" customHeight="1">
      <c r="D3226" s="52"/>
    </row>
    <row r="3227" spans="4:4" ht="12.75" customHeight="1">
      <c r="D3227" s="52"/>
    </row>
    <row r="3228" spans="4:4" ht="12.75" customHeight="1">
      <c r="D3228" s="52"/>
    </row>
    <row r="3229" spans="4:4" ht="12.75" customHeight="1">
      <c r="D3229" s="52"/>
    </row>
    <row r="3230" spans="4:4" ht="12.75" customHeight="1">
      <c r="D3230" s="52"/>
    </row>
    <row r="3231" spans="4:4" ht="12.75" customHeight="1">
      <c r="D3231" s="52"/>
    </row>
    <row r="3232" spans="4:4" ht="12.75" customHeight="1">
      <c r="D3232" s="52"/>
    </row>
    <row r="3233" spans="4:4" ht="12.75" customHeight="1">
      <c r="D3233" s="52"/>
    </row>
    <row r="3234" spans="4:4" ht="12.75" customHeight="1">
      <c r="D3234" s="52"/>
    </row>
    <row r="3235" spans="4:4" ht="12.75" customHeight="1">
      <c r="D3235" s="52"/>
    </row>
    <row r="3236" spans="4:4" ht="12.75" customHeight="1">
      <c r="D3236" s="52"/>
    </row>
    <row r="3237" spans="4:4" ht="12.75" customHeight="1">
      <c r="D3237" s="52"/>
    </row>
    <row r="3238" spans="4:4" ht="12.75" customHeight="1">
      <c r="D3238" s="52"/>
    </row>
    <row r="3239" spans="4:4" ht="12.75" customHeight="1">
      <c r="D3239" s="52"/>
    </row>
    <row r="3240" spans="4:4" ht="12.75" customHeight="1">
      <c r="D3240" s="52"/>
    </row>
    <row r="3241" spans="4:4" ht="12.75" customHeight="1">
      <c r="D3241" s="52"/>
    </row>
    <row r="3242" spans="4:4" ht="12.75" customHeight="1">
      <c r="D3242" s="52"/>
    </row>
    <row r="3243" spans="4:4" ht="12.75" customHeight="1">
      <c r="D3243" s="52"/>
    </row>
    <row r="3244" spans="4:4" ht="12.75" customHeight="1">
      <c r="D3244" s="52"/>
    </row>
    <row r="3245" spans="4:4" ht="12.75" customHeight="1">
      <c r="D3245" s="52"/>
    </row>
    <row r="3246" spans="4:4" ht="12.75" customHeight="1">
      <c r="D3246" s="52"/>
    </row>
    <row r="3247" spans="4:4" ht="12.75" customHeight="1">
      <c r="D3247" s="52"/>
    </row>
    <row r="3248" spans="4:4" ht="12.75" customHeight="1">
      <c r="D3248" s="52"/>
    </row>
    <row r="3249" spans="4:4" ht="12.75" customHeight="1">
      <c r="D3249" s="52"/>
    </row>
    <row r="3250" spans="4:4" ht="12.75" customHeight="1">
      <c r="D3250" s="52"/>
    </row>
    <row r="3251" spans="4:4" ht="12.75" customHeight="1">
      <c r="D3251" s="52"/>
    </row>
    <row r="3252" spans="4:4" ht="12.75" customHeight="1">
      <c r="D3252" s="52"/>
    </row>
    <row r="3253" spans="4:4" ht="12.75" customHeight="1">
      <c r="D3253" s="52"/>
    </row>
    <row r="3254" spans="4:4" ht="12.75" customHeight="1">
      <c r="D3254" s="52"/>
    </row>
    <row r="3255" spans="4:4" ht="12.75" customHeight="1">
      <c r="D3255" s="52"/>
    </row>
    <row r="3256" spans="4:4" ht="12.75" customHeight="1">
      <c r="D3256" s="52"/>
    </row>
    <row r="3257" spans="4:4" ht="12.75" customHeight="1">
      <c r="D3257" s="52"/>
    </row>
    <row r="3258" spans="4:4" ht="12.75" customHeight="1">
      <c r="D3258" s="52"/>
    </row>
    <row r="3259" spans="4:4" ht="12.75" customHeight="1">
      <c r="D3259" s="52"/>
    </row>
    <row r="3260" spans="4:4" ht="12.75" customHeight="1">
      <c r="D3260" s="52"/>
    </row>
    <row r="3261" spans="4:4" ht="12.75" customHeight="1">
      <c r="D3261" s="52"/>
    </row>
    <row r="3262" spans="4:4" ht="12.75" customHeight="1">
      <c r="D3262" s="52"/>
    </row>
    <row r="3263" spans="4:4" ht="12.75" customHeight="1">
      <c r="D3263" s="52"/>
    </row>
    <row r="3264" spans="4:4" ht="12.75" customHeight="1">
      <c r="D3264" s="52"/>
    </row>
    <row r="3265" spans="4:4" ht="12.75" customHeight="1">
      <c r="D3265" s="52"/>
    </row>
    <row r="3266" spans="4:4" ht="12.75" customHeight="1">
      <c r="D3266" s="52"/>
    </row>
    <row r="3267" spans="4:4" ht="12.75" customHeight="1">
      <c r="D3267" s="52"/>
    </row>
    <row r="3268" spans="4:4" ht="12.75" customHeight="1">
      <c r="D3268" s="52"/>
    </row>
    <row r="3269" spans="4:4" ht="12.75" customHeight="1">
      <c r="D3269" s="52"/>
    </row>
    <row r="3270" spans="4:4" ht="12.75" customHeight="1">
      <c r="D3270" s="52"/>
    </row>
    <row r="3271" spans="4:4" ht="12.75" customHeight="1">
      <c r="D3271" s="52"/>
    </row>
    <row r="3272" spans="4:4" ht="12.75" customHeight="1">
      <c r="D3272" s="52"/>
    </row>
    <row r="3273" spans="4:4" ht="12.75" customHeight="1">
      <c r="D3273" s="52"/>
    </row>
    <row r="3274" spans="4:4" ht="12.75" customHeight="1">
      <c r="D3274" s="52"/>
    </row>
    <row r="3275" spans="4:4" ht="12.75" customHeight="1">
      <c r="D3275" s="52"/>
    </row>
    <row r="3276" spans="4:4" ht="12.75" customHeight="1">
      <c r="D3276" s="52"/>
    </row>
    <row r="3277" spans="4:4" ht="12.75" customHeight="1">
      <c r="D3277" s="52"/>
    </row>
    <row r="3278" spans="4:4" ht="12.75" customHeight="1">
      <c r="D3278" s="52"/>
    </row>
    <row r="3279" spans="4:4" ht="12.75" customHeight="1">
      <c r="D3279" s="52"/>
    </row>
    <row r="3280" spans="4:4" ht="12.75" customHeight="1">
      <c r="D3280" s="52"/>
    </row>
    <row r="3281" spans="4:4" ht="12.75" customHeight="1">
      <c r="D3281" s="52"/>
    </row>
    <row r="3282" spans="4:4" ht="12.75" customHeight="1">
      <c r="D3282" s="52"/>
    </row>
    <row r="3283" spans="4:4" ht="12.75" customHeight="1">
      <c r="D3283" s="52"/>
    </row>
    <row r="3284" spans="4:4" ht="12.75" customHeight="1">
      <c r="D3284" s="52"/>
    </row>
    <row r="3285" spans="4:4" ht="12.75" customHeight="1">
      <c r="D3285" s="52"/>
    </row>
    <row r="3286" spans="4:4" ht="12.75" customHeight="1">
      <c r="D3286" s="52"/>
    </row>
    <row r="3287" spans="4:4" ht="12.75" customHeight="1">
      <c r="D3287" s="52"/>
    </row>
    <row r="3288" spans="4:4" ht="12.75" customHeight="1">
      <c r="D3288" s="52"/>
    </row>
    <row r="3289" spans="4:4" ht="12.75" customHeight="1">
      <c r="D3289" s="52"/>
    </row>
    <row r="3290" spans="4:4" ht="12.75" customHeight="1">
      <c r="D3290" s="52"/>
    </row>
    <row r="3291" spans="4:4" ht="12.75" customHeight="1">
      <c r="D3291" s="52"/>
    </row>
    <row r="3292" spans="4:4" ht="12.75" customHeight="1">
      <c r="D3292" s="52"/>
    </row>
    <row r="3293" spans="4:4" ht="12.75" customHeight="1">
      <c r="D3293" s="52"/>
    </row>
    <row r="3294" spans="4:4" ht="12.75" customHeight="1">
      <c r="D3294" s="52"/>
    </row>
    <row r="3295" spans="4:4" ht="12.75" customHeight="1">
      <c r="D3295" s="52"/>
    </row>
    <row r="3296" spans="4:4" ht="12.75" customHeight="1">
      <c r="D3296" s="52"/>
    </row>
    <row r="3297" spans="4:4" ht="12.75" customHeight="1">
      <c r="D3297" s="52"/>
    </row>
    <row r="3298" spans="4:4" ht="12.75" customHeight="1">
      <c r="D3298" s="52"/>
    </row>
    <row r="3299" spans="4:4" ht="12.75" customHeight="1">
      <c r="D3299" s="52"/>
    </row>
    <row r="3300" spans="4:4" ht="12.75" customHeight="1">
      <c r="D3300" s="52"/>
    </row>
    <row r="3301" spans="4:4" ht="12.75" customHeight="1">
      <c r="D3301" s="52"/>
    </row>
    <row r="3302" spans="4:4" ht="12.75" customHeight="1">
      <c r="D3302" s="52"/>
    </row>
    <row r="3303" spans="4:4" ht="12.75" customHeight="1">
      <c r="D3303" s="52"/>
    </row>
    <row r="3304" spans="4:4" ht="12.75" customHeight="1">
      <c r="D3304" s="52"/>
    </row>
    <row r="3305" spans="4:4" ht="12.75" customHeight="1">
      <c r="D3305" s="52"/>
    </row>
    <row r="3306" spans="4:4" ht="12.75" customHeight="1">
      <c r="D3306" s="52"/>
    </row>
    <row r="3307" spans="4:4" ht="12.75" customHeight="1">
      <c r="D3307" s="52"/>
    </row>
    <row r="3308" spans="4:4" ht="12.75" customHeight="1">
      <c r="D3308" s="52"/>
    </row>
    <row r="3309" spans="4:4" ht="12.75" customHeight="1">
      <c r="D3309" s="52"/>
    </row>
    <row r="3310" spans="4:4" ht="12.75" customHeight="1">
      <c r="D3310" s="52"/>
    </row>
    <row r="3311" spans="4:4" ht="12.75" customHeight="1">
      <c r="D3311" s="52"/>
    </row>
    <row r="3312" spans="4:4" ht="12.75" customHeight="1">
      <c r="D3312" s="52"/>
    </row>
    <row r="3313" spans="4:4" ht="12.75" customHeight="1">
      <c r="D3313" s="52"/>
    </row>
    <row r="3314" spans="4:4" ht="12.75" customHeight="1">
      <c r="D3314" s="52"/>
    </row>
    <row r="3315" spans="4:4" ht="12.75" customHeight="1">
      <c r="D3315" s="52"/>
    </row>
    <row r="3316" spans="4:4" ht="12.75" customHeight="1">
      <c r="D3316" s="52"/>
    </row>
    <row r="3317" spans="4:4" ht="12.75" customHeight="1">
      <c r="D3317" s="52"/>
    </row>
    <row r="3318" spans="4:4" ht="12.75" customHeight="1">
      <c r="D3318" s="52"/>
    </row>
    <row r="3319" spans="4:4" ht="12.75" customHeight="1">
      <c r="D3319" s="52"/>
    </row>
    <row r="3320" spans="4:4" ht="12.75" customHeight="1">
      <c r="D3320" s="52"/>
    </row>
    <row r="3321" spans="4:4" ht="12.75" customHeight="1">
      <c r="D3321" s="52"/>
    </row>
    <row r="3322" spans="4:4" ht="12.75" customHeight="1">
      <c r="D3322" s="52"/>
    </row>
    <row r="3323" spans="4:4" ht="12.75" customHeight="1">
      <c r="D3323" s="52"/>
    </row>
    <row r="3324" spans="4:4" ht="12.75" customHeight="1">
      <c r="D3324" s="52"/>
    </row>
    <row r="3325" spans="4:4" ht="12.75" customHeight="1">
      <c r="D3325" s="52"/>
    </row>
    <row r="3326" spans="4:4" ht="12.75" customHeight="1">
      <c r="D3326" s="52"/>
    </row>
    <row r="3327" spans="4:4" ht="12.75" customHeight="1">
      <c r="D3327" s="52"/>
    </row>
    <row r="3328" spans="4:4" ht="12.75" customHeight="1">
      <c r="D3328" s="52"/>
    </row>
    <row r="3329" spans="4:4" ht="12.75" customHeight="1">
      <c r="D3329" s="52"/>
    </row>
    <row r="3330" spans="4:4" ht="12.75" customHeight="1">
      <c r="D3330" s="52"/>
    </row>
    <row r="3331" spans="4:4" ht="12.75" customHeight="1">
      <c r="D3331" s="52"/>
    </row>
    <row r="3332" spans="4:4" ht="12.75" customHeight="1">
      <c r="D3332" s="52"/>
    </row>
    <row r="3333" spans="4:4" ht="12.75" customHeight="1">
      <c r="D3333" s="52"/>
    </row>
    <row r="3334" spans="4:4" ht="12.75" customHeight="1">
      <c r="D3334" s="52"/>
    </row>
    <row r="3335" spans="4:4" ht="12.75" customHeight="1">
      <c r="D3335" s="52"/>
    </row>
    <row r="3336" spans="4:4" ht="12.75" customHeight="1">
      <c r="D3336" s="52"/>
    </row>
    <row r="3337" spans="4:4" ht="12.75" customHeight="1">
      <c r="D3337" s="52"/>
    </row>
    <row r="3338" spans="4:4" ht="12.75" customHeight="1">
      <c r="D3338" s="52"/>
    </row>
    <row r="3339" spans="4:4" ht="12.75" customHeight="1">
      <c r="D3339" s="52"/>
    </row>
    <row r="3340" spans="4:4" ht="12.75" customHeight="1">
      <c r="D3340" s="52"/>
    </row>
    <row r="3341" spans="4:4" ht="12.75" customHeight="1">
      <c r="D3341" s="52"/>
    </row>
    <row r="3342" spans="4:4" ht="12.75" customHeight="1">
      <c r="D3342" s="52"/>
    </row>
    <row r="3343" spans="4:4" ht="12.75" customHeight="1">
      <c r="D3343" s="52"/>
    </row>
    <row r="3344" spans="4:4" ht="12.75" customHeight="1">
      <c r="D3344" s="52"/>
    </row>
    <row r="3345" spans="4:4" ht="12.75" customHeight="1">
      <c r="D3345" s="52"/>
    </row>
    <row r="3346" spans="4:4" ht="12.75" customHeight="1">
      <c r="D3346" s="52"/>
    </row>
    <row r="3347" spans="4:4" ht="12.75" customHeight="1">
      <c r="D3347" s="52"/>
    </row>
    <row r="3348" spans="4:4" ht="12.75" customHeight="1">
      <c r="D3348" s="52"/>
    </row>
    <row r="3349" spans="4:4" ht="12.75" customHeight="1">
      <c r="D3349" s="52"/>
    </row>
    <row r="3350" spans="4:4" ht="12.75" customHeight="1">
      <c r="D3350" s="52"/>
    </row>
    <row r="3351" spans="4:4" ht="12.75" customHeight="1">
      <c r="D3351" s="52"/>
    </row>
    <row r="3352" spans="4:4" ht="12.75" customHeight="1">
      <c r="D3352" s="52"/>
    </row>
    <row r="3353" spans="4:4" ht="12.75" customHeight="1">
      <c r="D3353" s="52"/>
    </row>
    <row r="3354" spans="4:4" ht="12.75" customHeight="1">
      <c r="D3354" s="52"/>
    </row>
    <row r="3355" spans="4:4" ht="12.75" customHeight="1">
      <c r="D3355" s="52"/>
    </row>
    <row r="3356" spans="4:4" ht="12.75" customHeight="1">
      <c r="D3356" s="52"/>
    </row>
    <row r="3357" spans="4:4" ht="12.75" customHeight="1">
      <c r="D3357" s="52"/>
    </row>
    <row r="3358" spans="4:4" ht="12.75" customHeight="1">
      <c r="D3358" s="52"/>
    </row>
    <row r="3359" spans="4:4" ht="12.75" customHeight="1">
      <c r="D3359" s="52"/>
    </row>
    <row r="3360" spans="4:4" ht="12.75" customHeight="1">
      <c r="D3360" s="52"/>
    </row>
    <row r="3361" spans="4:4" ht="12.75" customHeight="1">
      <c r="D3361" s="52"/>
    </row>
    <row r="3362" spans="4:4" ht="12.75" customHeight="1">
      <c r="D3362" s="52"/>
    </row>
    <row r="3363" spans="4:4" ht="12.75" customHeight="1">
      <c r="D3363" s="52"/>
    </row>
    <row r="3364" spans="4:4" ht="12.75" customHeight="1">
      <c r="D3364" s="52"/>
    </row>
    <row r="3365" spans="4:4" ht="12.75" customHeight="1">
      <c r="D3365" s="52"/>
    </row>
    <row r="3366" spans="4:4" ht="12.75" customHeight="1">
      <c r="D3366" s="52"/>
    </row>
    <row r="3367" spans="4:4" ht="12.75" customHeight="1">
      <c r="D3367" s="52"/>
    </row>
    <row r="3368" spans="4:4" ht="12.75" customHeight="1">
      <c r="D3368" s="52"/>
    </row>
    <row r="3369" spans="4:4" ht="12.75" customHeight="1">
      <c r="D3369" s="52"/>
    </row>
    <row r="3370" spans="4:4" ht="12.75" customHeight="1">
      <c r="D3370" s="52"/>
    </row>
    <row r="3371" spans="4:4" ht="12.75" customHeight="1">
      <c r="D3371" s="52"/>
    </row>
    <row r="3372" spans="4:4" ht="12.75" customHeight="1">
      <c r="D3372" s="52"/>
    </row>
    <row r="3373" spans="4:4" ht="12.75" customHeight="1">
      <c r="D3373" s="52"/>
    </row>
    <row r="3374" spans="4:4" ht="12.75" customHeight="1">
      <c r="D3374" s="52"/>
    </row>
    <row r="3375" spans="4:4" ht="12.75" customHeight="1">
      <c r="D3375" s="52"/>
    </row>
    <row r="3376" spans="4:4" ht="12.75" customHeight="1">
      <c r="D3376" s="52"/>
    </row>
    <row r="3377" spans="4:4" ht="12.75" customHeight="1">
      <c r="D3377" s="52"/>
    </row>
    <row r="3378" spans="4:4" ht="12.75" customHeight="1">
      <c r="D3378" s="52"/>
    </row>
    <row r="3379" spans="4:4" ht="12.75" customHeight="1">
      <c r="D3379" s="52"/>
    </row>
    <row r="3380" spans="4:4" ht="12.75" customHeight="1">
      <c r="D3380" s="52"/>
    </row>
    <row r="3381" spans="4:4" ht="12.75" customHeight="1">
      <c r="D3381" s="52"/>
    </row>
    <row r="3382" spans="4:4" ht="12.75" customHeight="1">
      <c r="D3382" s="52"/>
    </row>
    <row r="3383" spans="4:4" ht="12.75" customHeight="1">
      <c r="D3383" s="52"/>
    </row>
    <row r="3384" spans="4:4" ht="12.75" customHeight="1">
      <c r="D3384" s="52"/>
    </row>
    <row r="3385" spans="4:4" ht="12.75" customHeight="1">
      <c r="D3385" s="52"/>
    </row>
    <row r="3386" spans="4:4" ht="12.75" customHeight="1">
      <c r="D3386" s="52"/>
    </row>
    <row r="3387" spans="4:4" ht="12.75" customHeight="1">
      <c r="D3387" s="52"/>
    </row>
    <row r="3388" spans="4:4" ht="12.75" customHeight="1">
      <c r="D3388" s="52"/>
    </row>
    <row r="3389" spans="4:4" ht="12.75" customHeight="1">
      <c r="D3389" s="52"/>
    </row>
    <row r="3390" spans="4:4" ht="12.75" customHeight="1">
      <c r="D3390" s="52"/>
    </row>
    <row r="3391" spans="4:4" ht="12.75" customHeight="1">
      <c r="D3391" s="52"/>
    </row>
    <row r="3392" spans="4:4" ht="12.75" customHeight="1">
      <c r="D3392" s="52"/>
    </row>
    <row r="3393" spans="4:4" ht="12.75" customHeight="1">
      <c r="D3393" s="52"/>
    </row>
    <row r="3394" spans="4:4" ht="12.75" customHeight="1">
      <c r="D3394" s="52"/>
    </row>
    <row r="3395" spans="4:4" ht="12.75" customHeight="1">
      <c r="D3395" s="52"/>
    </row>
    <row r="3396" spans="4:4" ht="12.75" customHeight="1">
      <c r="D3396" s="52"/>
    </row>
    <row r="3397" spans="4:4" ht="12.75" customHeight="1">
      <c r="D3397" s="52"/>
    </row>
    <row r="3398" spans="4:4" ht="12.75" customHeight="1">
      <c r="D3398" s="52"/>
    </row>
    <row r="3399" spans="4:4" ht="12.75" customHeight="1">
      <c r="D3399" s="52"/>
    </row>
    <row r="3400" spans="4:4" ht="12.75" customHeight="1">
      <c r="D3400" s="52"/>
    </row>
    <row r="3401" spans="4:4" ht="12.75" customHeight="1">
      <c r="D3401" s="52"/>
    </row>
    <row r="3402" spans="4:4" ht="12.75" customHeight="1">
      <c r="D3402" s="52"/>
    </row>
    <row r="3403" spans="4:4" ht="12.75" customHeight="1">
      <c r="D3403" s="52"/>
    </row>
    <row r="3404" spans="4:4" ht="12.75" customHeight="1">
      <c r="D3404" s="52"/>
    </row>
    <row r="3405" spans="4:4" ht="12.75" customHeight="1">
      <c r="D3405" s="52"/>
    </row>
    <row r="3406" spans="4:4" ht="12.75" customHeight="1">
      <c r="D3406" s="52"/>
    </row>
    <row r="3407" spans="4:4" ht="12.75" customHeight="1">
      <c r="D3407" s="52"/>
    </row>
    <row r="3408" spans="4:4" ht="12.75" customHeight="1">
      <c r="D3408" s="52"/>
    </row>
    <row r="3409" spans="4:4" ht="12.75" customHeight="1">
      <c r="D3409" s="52"/>
    </row>
    <row r="3410" spans="4:4" ht="12.75" customHeight="1">
      <c r="D3410" s="52"/>
    </row>
    <row r="3411" spans="4:4" ht="12.75" customHeight="1">
      <c r="D3411" s="52"/>
    </row>
    <row r="3412" spans="4:4" ht="12.75" customHeight="1">
      <c r="D3412" s="52"/>
    </row>
    <row r="3413" spans="4:4" ht="12.75" customHeight="1">
      <c r="D3413" s="52"/>
    </row>
    <row r="3414" spans="4:4" ht="12.75" customHeight="1">
      <c r="D3414" s="52"/>
    </row>
    <row r="3415" spans="4:4" ht="12.75" customHeight="1">
      <c r="D3415" s="52"/>
    </row>
    <row r="3416" spans="4:4" ht="12.75" customHeight="1">
      <c r="D3416" s="52"/>
    </row>
    <row r="3417" spans="4:4" ht="12.75" customHeight="1">
      <c r="D3417" s="52"/>
    </row>
    <row r="3418" spans="4:4" ht="12.75" customHeight="1">
      <c r="D3418" s="52"/>
    </row>
    <row r="3419" spans="4:4" ht="12.75" customHeight="1">
      <c r="D3419" s="52"/>
    </row>
    <row r="3420" spans="4:4" ht="12.75" customHeight="1">
      <c r="D3420" s="52"/>
    </row>
    <row r="3421" spans="4:4" ht="12.75" customHeight="1">
      <c r="D3421" s="52"/>
    </row>
    <row r="3422" spans="4:4" ht="12.75" customHeight="1">
      <c r="D3422" s="52"/>
    </row>
    <row r="3423" spans="4:4" ht="12.75" customHeight="1">
      <c r="D3423" s="52"/>
    </row>
    <row r="3424" spans="4:4" ht="12.75" customHeight="1">
      <c r="D3424" s="52"/>
    </row>
    <row r="3425" spans="4:4" ht="12.75" customHeight="1">
      <c r="D3425" s="52"/>
    </row>
    <row r="3426" spans="4:4" ht="12.75" customHeight="1">
      <c r="D3426" s="52"/>
    </row>
    <row r="3427" spans="4:4" ht="12.75" customHeight="1">
      <c r="D3427" s="52"/>
    </row>
    <row r="3428" spans="4:4" ht="12.75" customHeight="1">
      <c r="D3428" s="52"/>
    </row>
    <row r="3429" spans="4:4" ht="12.75" customHeight="1">
      <c r="D3429" s="52"/>
    </row>
    <row r="3430" spans="4:4" ht="12.75" customHeight="1">
      <c r="D3430" s="52"/>
    </row>
    <row r="3431" spans="4:4" ht="12.75" customHeight="1">
      <c r="D3431" s="52"/>
    </row>
    <row r="3432" spans="4:4" ht="12.75" customHeight="1">
      <c r="D3432" s="52"/>
    </row>
    <row r="3433" spans="4:4" ht="12.75" customHeight="1">
      <c r="D3433" s="52"/>
    </row>
    <row r="3434" spans="4:4" ht="12.75" customHeight="1">
      <c r="D3434" s="52"/>
    </row>
    <row r="3435" spans="4:4" ht="12.75" customHeight="1">
      <c r="D3435" s="52"/>
    </row>
    <row r="3436" spans="4:4" ht="12.75" customHeight="1">
      <c r="D3436" s="52"/>
    </row>
    <row r="3437" spans="4:4" ht="12.75" customHeight="1">
      <c r="D3437" s="52"/>
    </row>
    <row r="3438" spans="4:4" ht="12.75" customHeight="1">
      <c r="D3438" s="52"/>
    </row>
    <row r="3439" spans="4:4" ht="12.75" customHeight="1">
      <c r="D3439" s="52"/>
    </row>
    <row r="3440" spans="4:4" ht="12.75" customHeight="1">
      <c r="D3440" s="52"/>
    </row>
    <row r="3441" spans="4:4" ht="12.75" customHeight="1">
      <c r="D3441" s="52"/>
    </row>
    <row r="3442" spans="4:4" ht="12.75" customHeight="1">
      <c r="D3442" s="52"/>
    </row>
    <row r="3443" spans="4:4" ht="12.75" customHeight="1">
      <c r="D3443" s="52"/>
    </row>
    <row r="3444" spans="4:4" ht="12.75" customHeight="1">
      <c r="D3444" s="52"/>
    </row>
    <row r="3445" spans="4:4" ht="12.75" customHeight="1">
      <c r="D3445" s="52"/>
    </row>
    <row r="3446" spans="4:4" ht="12.75" customHeight="1">
      <c r="D3446" s="52"/>
    </row>
    <row r="3447" spans="4:4" ht="12.75" customHeight="1">
      <c r="D3447" s="52"/>
    </row>
    <row r="3448" spans="4:4" ht="12.75" customHeight="1">
      <c r="D3448" s="52"/>
    </row>
    <row r="3449" spans="4:4" ht="12.75" customHeight="1">
      <c r="D3449" s="52"/>
    </row>
    <row r="3450" spans="4:4" ht="12.75" customHeight="1">
      <c r="D3450" s="52"/>
    </row>
    <row r="3451" spans="4:4" ht="12.75" customHeight="1">
      <c r="D3451" s="52"/>
    </row>
    <row r="3452" spans="4:4" ht="12.75" customHeight="1">
      <c r="D3452" s="52"/>
    </row>
    <row r="3453" spans="4:4" ht="12.75" customHeight="1">
      <c r="D3453" s="52"/>
    </row>
    <row r="3454" spans="4:4" ht="12.75" customHeight="1">
      <c r="D3454" s="52"/>
    </row>
    <row r="3455" spans="4:4" ht="12.75" customHeight="1">
      <c r="D3455" s="52"/>
    </row>
    <row r="3456" spans="4:4" ht="12.75" customHeight="1">
      <c r="D3456" s="52"/>
    </row>
    <row r="3457" spans="4:4" ht="12.75" customHeight="1">
      <c r="D3457" s="52"/>
    </row>
    <row r="3458" spans="4:4" ht="12.75" customHeight="1">
      <c r="D3458" s="52"/>
    </row>
    <row r="3459" spans="4:4" ht="12.75" customHeight="1">
      <c r="D3459" s="52"/>
    </row>
    <row r="3460" spans="4:4" ht="12.75" customHeight="1">
      <c r="D3460" s="52"/>
    </row>
    <row r="3461" spans="4:4" ht="12.75" customHeight="1">
      <c r="D3461" s="52"/>
    </row>
    <row r="3462" spans="4:4" ht="12.75" customHeight="1">
      <c r="D3462" s="52"/>
    </row>
    <row r="3463" spans="4:4" ht="12.75" customHeight="1">
      <c r="D3463" s="52"/>
    </row>
    <row r="3464" spans="4:4" ht="12.75" customHeight="1">
      <c r="D3464" s="52"/>
    </row>
    <row r="3465" spans="4:4" ht="12.75" customHeight="1">
      <c r="D3465" s="52"/>
    </row>
    <row r="3466" spans="4:4" ht="12.75" customHeight="1">
      <c r="D3466" s="52"/>
    </row>
    <row r="3467" spans="4:4" ht="12.75" customHeight="1">
      <c r="D3467" s="52"/>
    </row>
    <row r="3468" spans="4:4" ht="12.75" customHeight="1">
      <c r="D3468" s="52"/>
    </row>
    <row r="3469" spans="4:4" ht="12.75" customHeight="1">
      <c r="D3469" s="52"/>
    </row>
    <row r="3470" spans="4:4" ht="12.75" customHeight="1">
      <c r="D3470" s="52"/>
    </row>
    <row r="3471" spans="4:4" ht="12.75" customHeight="1">
      <c r="D3471" s="52"/>
    </row>
    <row r="3472" spans="4:4" ht="12.75" customHeight="1">
      <c r="D3472" s="52"/>
    </row>
    <row r="3473" spans="4:4" ht="12.75" customHeight="1">
      <c r="D3473" s="52"/>
    </row>
    <row r="3474" spans="4:4" ht="12.75" customHeight="1">
      <c r="D3474" s="52"/>
    </row>
    <row r="3475" spans="4:4" ht="12.75" customHeight="1">
      <c r="D3475" s="52"/>
    </row>
    <row r="3476" spans="4:4" ht="12.75" customHeight="1">
      <c r="D3476" s="52"/>
    </row>
    <row r="3477" spans="4:4" ht="12.75" customHeight="1">
      <c r="D3477" s="52"/>
    </row>
    <row r="3478" spans="4:4" ht="12.75" customHeight="1">
      <c r="D3478" s="52"/>
    </row>
    <row r="3479" spans="4:4" ht="12.75" customHeight="1">
      <c r="D3479" s="52"/>
    </row>
    <row r="3480" spans="4:4" ht="12.75" customHeight="1">
      <c r="D3480" s="52"/>
    </row>
    <row r="3481" spans="4:4" ht="12.75" customHeight="1">
      <c r="D3481" s="52"/>
    </row>
    <row r="3482" spans="4:4" ht="12.75" customHeight="1">
      <c r="D3482" s="52"/>
    </row>
    <row r="3483" spans="4:4" ht="12.75" customHeight="1">
      <c r="D3483" s="52"/>
    </row>
    <row r="3484" spans="4:4" ht="12.75" customHeight="1">
      <c r="D3484" s="52"/>
    </row>
    <row r="3485" spans="4:4" ht="12.75" customHeight="1">
      <c r="D3485" s="52"/>
    </row>
    <row r="3486" spans="4:4" ht="12.75" customHeight="1">
      <c r="D3486" s="52"/>
    </row>
    <row r="3487" spans="4:4" ht="12.75" customHeight="1">
      <c r="D3487" s="52"/>
    </row>
    <row r="3488" spans="4:4" ht="12.75" customHeight="1">
      <c r="D3488" s="52"/>
    </row>
    <row r="3489" spans="4:4" ht="12.75" customHeight="1">
      <c r="D3489" s="52"/>
    </row>
    <row r="3490" spans="4:4" ht="12.75" customHeight="1">
      <c r="D3490" s="52"/>
    </row>
    <row r="3491" spans="4:4" ht="12.75" customHeight="1">
      <c r="D3491" s="52"/>
    </row>
    <row r="3492" spans="4:4" ht="12.75" customHeight="1">
      <c r="D3492" s="52"/>
    </row>
    <row r="3493" spans="4:4" ht="12.75" customHeight="1">
      <c r="D3493" s="52"/>
    </row>
    <row r="3494" spans="4:4" ht="12.75" customHeight="1">
      <c r="D3494" s="52"/>
    </row>
    <row r="3495" spans="4:4" ht="12.75" customHeight="1">
      <c r="D3495" s="52"/>
    </row>
    <row r="3496" spans="4:4" ht="12.75" customHeight="1">
      <c r="D3496" s="52"/>
    </row>
    <row r="3497" spans="4:4" ht="12.75" customHeight="1">
      <c r="D3497" s="52"/>
    </row>
    <row r="3498" spans="4:4" ht="12.75" customHeight="1">
      <c r="D3498" s="52"/>
    </row>
    <row r="3499" spans="4:4" ht="12.75" customHeight="1">
      <c r="D3499" s="52"/>
    </row>
    <row r="3500" spans="4:4" ht="12.75" customHeight="1">
      <c r="D3500" s="52"/>
    </row>
    <row r="3501" spans="4:4" ht="12.75" customHeight="1">
      <c r="D3501" s="52"/>
    </row>
    <row r="3502" spans="4:4" ht="12.75" customHeight="1">
      <c r="D3502" s="52"/>
    </row>
    <row r="3503" spans="4:4" ht="12.75" customHeight="1">
      <c r="D3503" s="52"/>
    </row>
    <row r="3504" spans="4:4" ht="12.75" customHeight="1">
      <c r="D3504" s="52"/>
    </row>
    <row r="3505" spans="4:4" ht="12.75" customHeight="1">
      <c r="D3505" s="52"/>
    </row>
    <row r="3506" spans="4:4" ht="12.75" customHeight="1">
      <c r="D3506" s="52"/>
    </row>
    <row r="3507" spans="4:4" ht="12.75" customHeight="1">
      <c r="D3507" s="52"/>
    </row>
    <row r="3508" spans="4:4" ht="12.75" customHeight="1">
      <c r="D3508" s="52"/>
    </row>
    <row r="3509" spans="4:4" ht="12.75" customHeight="1">
      <c r="D3509" s="52"/>
    </row>
    <row r="3510" spans="4:4" ht="12.75" customHeight="1">
      <c r="D3510" s="52"/>
    </row>
    <row r="3511" spans="4:4" ht="12.75" customHeight="1">
      <c r="D3511" s="52"/>
    </row>
    <row r="3512" spans="4:4" ht="12.75" customHeight="1">
      <c r="D3512" s="52"/>
    </row>
    <row r="3513" spans="4:4" ht="12.75" customHeight="1">
      <c r="D3513" s="52"/>
    </row>
    <row r="3514" spans="4:4" ht="12.75" customHeight="1">
      <c r="D3514" s="52"/>
    </row>
    <row r="3515" spans="4:4" ht="12.75" customHeight="1">
      <c r="D3515" s="52"/>
    </row>
    <row r="3516" spans="4:4" ht="12.75" customHeight="1">
      <c r="D3516" s="52"/>
    </row>
    <row r="3517" spans="4:4" ht="12.75" customHeight="1">
      <c r="D3517" s="52"/>
    </row>
    <row r="3518" spans="4:4" ht="12.75" customHeight="1">
      <c r="D3518" s="52"/>
    </row>
    <row r="3519" spans="4:4" ht="12.75" customHeight="1">
      <c r="D3519" s="52"/>
    </row>
    <row r="3520" spans="4:4" ht="12.75" customHeight="1">
      <c r="D3520" s="52"/>
    </row>
    <row r="3521" spans="4:4" ht="12.75" customHeight="1">
      <c r="D3521" s="52"/>
    </row>
    <row r="3522" spans="4:4" ht="12.75" customHeight="1">
      <c r="D3522" s="52"/>
    </row>
    <row r="3523" spans="4:4" ht="12.75" customHeight="1">
      <c r="D3523" s="52"/>
    </row>
    <row r="3524" spans="4:4" ht="12.75" customHeight="1">
      <c r="D3524" s="52"/>
    </row>
    <row r="3525" spans="4:4" ht="12.75" customHeight="1">
      <c r="D3525" s="52"/>
    </row>
    <row r="3526" spans="4:4" ht="12.75" customHeight="1">
      <c r="D3526" s="52"/>
    </row>
    <row r="3527" spans="4:4" ht="12.75" customHeight="1">
      <c r="D3527" s="52"/>
    </row>
    <row r="3528" spans="4:4" ht="12.75" customHeight="1">
      <c r="D3528" s="52"/>
    </row>
    <row r="3529" spans="4:4" ht="12.75" customHeight="1">
      <c r="D3529" s="52"/>
    </row>
    <row r="3530" spans="4:4" ht="12.75" customHeight="1">
      <c r="D3530" s="52"/>
    </row>
    <row r="3531" spans="4:4" ht="12.75" customHeight="1">
      <c r="D3531" s="52"/>
    </row>
    <row r="3532" spans="4:4" ht="12.75" customHeight="1">
      <c r="D3532" s="52"/>
    </row>
    <row r="3533" spans="4:4" ht="12.75" customHeight="1">
      <c r="D3533" s="52"/>
    </row>
    <row r="3534" spans="4:4" ht="12.75" customHeight="1">
      <c r="D3534" s="52"/>
    </row>
    <row r="3535" spans="4:4" ht="12.75" customHeight="1">
      <c r="D3535" s="52"/>
    </row>
    <row r="3536" spans="4:4" ht="12.75" customHeight="1">
      <c r="D3536" s="52"/>
    </row>
    <row r="3537" spans="4:4" ht="12.75" customHeight="1">
      <c r="D3537" s="52"/>
    </row>
    <row r="3538" spans="4:4" ht="12.75" customHeight="1">
      <c r="D3538" s="52"/>
    </row>
    <row r="3539" spans="4:4" ht="12.75" customHeight="1">
      <c r="D3539" s="52"/>
    </row>
    <row r="3540" spans="4:4" ht="12.75" customHeight="1">
      <c r="D3540" s="52"/>
    </row>
    <row r="3542" spans="4:4" ht="12.75" customHeight="1">
      <c r="D3542" s="52"/>
    </row>
    <row r="3543" spans="4:4" ht="12.75" customHeight="1">
      <c r="D3543" s="52"/>
    </row>
    <row r="3544" spans="4:4" ht="12.75" customHeight="1">
      <c r="D3544" s="52"/>
    </row>
    <row r="3545" spans="4:4" ht="12.75" customHeight="1">
      <c r="D3545" s="52"/>
    </row>
    <row r="3546" spans="4:4" ht="12.75" customHeight="1">
      <c r="D3546" s="52"/>
    </row>
    <row r="3547" spans="4:4" ht="12.75" customHeight="1">
      <c r="D3547" s="52"/>
    </row>
    <row r="3548" spans="4:4" ht="12.75" customHeight="1">
      <c r="D3548" s="52"/>
    </row>
    <row r="3549" spans="4:4" ht="12.75" customHeight="1">
      <c r="D3549" s="52"/>
    </row>
    <row r="3550" spans="4:4" ht="12.75" customHeight="1">
      <c r="D3550" s="52"/>
    </row>
    <row r="3551" spans="4:4" ht="12.75" customHeight="1">
      <c r="D3551" s="52"/>
    </row>
    <row r="3552" spans="4:4" ht="12.75" customHeight="1">
      <c r="D3552" s="52"/>
    </row>
    <row r="3553" spans="4:4" ht="12.75" customHeight="1">
      <c r="D3553" s="52"/>
    </row>
    <row r="3554" spans="4:4" ht="12.75" customHeight="1">
      <c r="D3554" s="52"/>
    </row>
    <row r="3555" spans="4:4" ht="12.75" customHeight="1">
      <c r="D3555" s="52"/>
    </row>
    <row r="3556" spans="4:4" ht="12.75" customHeight="1">
      <c r="D3556" s="52"/>
    </row>
    <row r="3557" spans="4:4" ht="12.75" customHeight="1">
      <c r="D3557" s="52"/>
    </row>
    <row r="3558" spans="4:4" ht="12.75" customHeight="1">
      <c r="D3558" s="52"/>
    </row>
    <row r="3559" spans="4:4" ht="12.75" customHeight="1">
      <c r="D3559" s="52"/>
    </row>
    <row r="3560" spans="4:4" ht="12.75" customHeight="1">
      <c r="D3560" s="52"/>
    </row>
    <row r="3561" spans="4:4" ht="12.75" customHeight="1">
      <c r="D3561" s="52"/>
    </row>
    <row r="3562" spans="4:4" ht="12.75" customHeight="1">
      <c r="D3562" s="52"/>
    </row>
    <row r="3563" spans="4:4" ht="12.75" customHeight="1">
      <c r="D3563" s="52"/>
    </row>
    <row r="3564" spans="4:4" ht="12.75" customHeight="1">
      <c r="D3564" s="52"/>
    </row>
    <row r="3565" spans="4:4" ht="12.75" customHeight="1">
      <c r="D3565" s="52"/>
    </row>
    <row r="3566" spans="4:4" ht="12.75" customHeight="1">
      <c r="D3566" s="52"/>
    </row>
    <row r="3567" spans="4:4" ht="12.75" customHeight="1">
      <c r="D3567" s="52"/>
    </row>
    <row r="3568" spans="4:4" ht="12.75" customHeight="1">
      <c r="D3568" s="52"/>
    </row>
    <row r="3569" spans="4:4" ht="12.75" customHeight="1">
      <c r="D3569" s="52"/>
    </row>
    <row r="3570" spans="4:4" ht="12.75" customHeight="1">
      <c r="D3570" s="52"/>
    </row>
    <row r="3571" spans="4:4" ht="12.75" customHeight="1">
      <c r="D3571" s="52"/>
    </row>
    <row r="3572" spans="4:4" ht="12.75" customHeight="1">
      <c r="D3572" s="52"/>
    </row>
    <row r="3573" spans="4:4" ht="12.75" customHeight="1">
      <c r="D3573" s="52"/>
    </row>
    <row r="3574" spans="4:4" ht="12.75" customHeight="1">
      <c r="D3574" s="52"/>
    </row>
    <row r="3575" spans="4:4" ht="12.75" customHeight="1">
      <c r="D3575" s="52"/>
    </row>
    <row r="3576" spans="4:4" ht="12.75" customHeight="1">
      <c r="D3576" s="52"/>
    </row>
    <row r="3577" spans="4:4" ht="12.75" customHeight="1">
      <c r="D3577" s="52"/>
    </row>
    <row r="3578" spans="4:4" ht="12.75" customHeight="1">
      <c r="D3578" s="52"/>
    </row>
    <row r="3579" spans="4:4" ht="12.75" customHeight="1">
      <c r="D3579" s="52"/>
    </row>
    <row r="3580" spans="4:4" ht="12.75" customHeight="1">
      <c r="D3580" s="52"/>
    </row>
    <row r="3581" spans="4:4" ht="12.75" customHeight="1">
      <c r="D3581" s="52"/>
    </row>
    <row r="3582" spans="4:4" ht="12.75" customHeight="1">
      <c r="D3582" s="52"/>
    </row>
    <row r="3583" spans="4:4" ht="12.75" customHeight="1">
      <c r="D3583" s="52"/>
    </row>
    <row r="3584" spans="4:4" ht="12.75" customHeight="1">
      <c r="D3584" s="52"/>
    </row>
    <row r="3585" spans="4:4" ht="12.75" customHeight="1">
      <c r="D3585" s="52"/>
    </row>
    <row r="3586" spans="4:4" ht="12.75" customHeight="1">
      <c r="D3586" s="52"/>
    </row>
    <row r="3587" spans="4:4" ht="12.75" customHeight="1">
      <c r="D3587" s="52"/>
    </row>
    <row r="3588" spans="4:4" ht="12.75" customHeight="1">
      <c r="D3588" s="52"/>
    </row>
    <row r="3589" spans="4:4" ht="12.75" customHeight="1">
      <c r="D3589" s="52"/>
    </row>
    <row r="3590" spans="4:4" ht="12.75" customHeight="1">
      <c r="D3590" s="52"/>
    </row>
    <row r="3591" spans="4:4" ht="12.75" customHeight="1">
      <c r="D3591" s="52"/>
    </row>
    <row r="3592" spans="4:4" ht="12.75" customHeight="1">
      <c r="D3592" s="52"/>
    </row>
    <row r="3593" spans="4:4" ht="12.75" customHeight="1">
      <c r="D3593" s="52"/>
    </row>
    <row r="3594" spans="4:4" ht="12.75" customHeight="1">
      <c r="D3594" s="52"/>
    </row>
    <row r="3595" spans="4:4" ht="12.75" customHeight="1">
      <c r="D3595" s="52"/>
    </row>
    <row r="3596" spans="4:4" ht="12.75" customHeight="1">
      <c r="D3596" s="52"/>
    </row>
    <row r="3597" spans="4:4" ht="12.75" customHeight="1">
      <c r="D3597" s="52"/>
    </row>
    <row r="3598" spans="4:4" ht="12.75" customHeight="1">
      <c r="D3598" s="52"/>
    </row>
    <row r="3599" spans="4:4" ht="12.75" customHeight="1">
      <c r="D3599" s="52"/>
    </row>
    <row r="3600" spans="4:4" ht="12.75" customHeight="1">
      <c r="D3600" s="52"/>
    </row>
    <row r="3601" spans="4:4" ht="12.75" customHeight="1">
      <c r="D3601" s="52"/>
    </row>
    <row r="3602" spans="4:4" ht="12.75" customHeight="1">
      <c r="D3602" s="52"/>
    </row>
    <row r="3603" spans="4:4" ht="12.75" customHeight="1">
      <c r="D3603" s="52"/>
    </row>
    <row r="3604" spans="4:4" ht="12.75" customHeight="1">
      <c r="D3604" s="52"/>
    </row>
    <row r="3605" spans="4:4" ht="12.75" customHeight="1">
      <c r="D3605" s="52"/>
    </row>
    <row r="3606" spans="4:4" ht="12.75" customHeight="1">
      <c r="D3606" s="52"/>
    </row>
    <row r="3607" spans="4:4" ht="12.75" customHeight="1">
      <c r="D3607" s="52"/>
    </row>
    <row r="3608" spans="4:4" ht="12.75" customHeight="1">
      <c r="D3608" s="52"/>
    </row>
    <row r="3609" spans="4:4" ht="12.75" customHeight="1">
      <c r="D3609" s="52"/>
    </row>
    <row r="3610" spans="4:4" ht="12.75" customHeight="1">
      <c r="D3610" s="52"/>
    </row>
    <row r="3611" spans="4:4" ht="12.75" customHeight="1">
      <c r="D3611" s="52"/>
    </row>
    <row r="3612" spans="4:4" ht="12.75" customHeight="1">
      <c r="D3612" s="52"/>
    </row>
    <row r="3613" spans="4:4" ht="12.75" customHeight="1">
      <c r="D3613" s="52"/>
    </row>
    <row r="3614" spans="4:4" ht="12.75" customHeight="1">
      <c r="D3614" s="52"/>
    </row>
    <row r="3615" spans="4:4" ht="12.75" customHeight="1">
      <c r="D3615" s="52"/>
    </row>
    <row r="3616" spans="4:4" ht="12.75" customHeight="1">
      <c r="D3616" s="52"/>
    </row>
    <row r="3617" spans="4:4" ht="12.75" customHeight="1">
      <c r="D3617" s="52"/>
    </row>
    <row r="3618" spans="4:4" ht="12.75" customHeight="1">
      <c r="D3618" s="52"/>
    </row>
    <row r="3619" spans="4:4" ht="12.75" customHeight="1">
      <c r="D3619" s="52"/>
    </row>
    <row r="3620" spans="4:4" ht="12.75" customHeight="1">
      <c r="D3620" s="52"/>
    </row>
    <row r="3621" spans="4:4" ht="12.75" customHeight="1">
      <c r="D3621" s="52"/>
    </row>
    <row r="3622" spans="4:4" ht="12.75" customHeight="1">
      <c r="D3622" s="52"/>
    </row>
    <row r="3623" spans="4:4" ht="12.75" customHeight="1">
      <c r="D3623" s="52"/>
    </row>
    <row r="3624" spans="4:4" ht="12.75" customHeight="1">
      <c r="D3624" s="52"/>
    </row>
    <row r="3625" spans="4:4" ht="12.75" customHeight="1">
      <c r="D3625" s="52"/>
    </row>
    <row r="3626" spans="4:4" ht="12.75" customHeight="1">
      <c r="D3626" s="52"/>
    </row>
    <row r="3627" spans="4:4" ht="12.75" customHeight="1">
      <c r="D3627" s="52"/>
    </row>
    <row r="3628" spans="4:4" ht="12.75" customHeight="1">
      <c r="D3628" s="52"/>
    </row>
    <row r="3629" spans="4:4" ht="12.75" customHeight="1">
      <c r="D3629" s="52"/>
    </row>
    <row r="3630" spans="4:4" ht="12.75" customHeight="1">
      <c r="D3630" s="52"/>
    </row>
    <row r="3631" spans="4:4" ht="12.75" customHeight="1">
      <c r="D3631" s="52"/>
    </row>
    <row r="3632" spans="4:4" ht="12.75" customHeight="1">
      <c r="D3632" s="52"/>
    </row>
    <row r="3633" spans="4:4" ht="12.75" customHeight="1">
      <c r="D3633" s="52"/>
    </row>
    <row r="3634" spans="4:4" ht="12.75" customHeight="1">
      <c r="D3634" s="52"/>
    </row>
    <row r="3635" spans="4:4" ht="12.75" customHeight="1">
      <c r="D3635" s="52"/>
    </row>
    <row r="3636" spans="4:4" ht="12.75" customHeight="1">
      <c r="D3636" s="52"/>
    </row>
    <row r="3637" spans="4:4" ht="12.75" customHeight="1">
      <c r="D3637" s="52"/>
    </row>
    <row r="3638" spans="4:4" ht="12.75" customHeight="1">
      <c r="D3638" s="52"/>
    </row>
    <row r="3639" spans="4:4" ht="12.75" customHeight="1">
      <c r="D3639" s="52"/>
    </row>
    <row r="3640" spans="4:4" ht="12.75" customHeight="1">
      <c r="D3640" s="52"/>
    </row>
    <row r="3641" spans="4:4" ht="12.75" customHeight="1">
      <c r="D3641" s="52"/>
    </row>
    <row r="3642" spans="4:4" ht="12.75" customHeight="1">
      <c r="D3642" s="52"/>
    </row>
    <row r="3643" spans="4:4" ht="12.75" customHeight="1">
      <c r="D3643" s="52"/>
    </row>
    <row r="3644" spans="4:4" ht="12.75" customHeight="1">
      <c r="D3644" s="52"/>
    </row>
    <row r="3645" spans="4:4" ht="12.75" customHeight="1">
      <c r="D3645" s="52"/>
    </row>
    <row r="3646" spans="4:4" ht="12.75" customHeight="1">
      <c r="D3646" s="52"/>
    </row>
    <row r="3647" spans="4:4" ht="12.75" customHeight="1">
      <c r="D3647" s="52"/>
    </row>
    <row r="3648" spans="4:4" ht="12.75" customHeight="1">
      <c r="D3648" s="52"/>
    </row>
    <row r="3649" spans="4:4" ht="12.75" customHeight="1">
      <c r="D3649" s="52"/>
    </row>
    <row r="3650" spans="4:4" ht="12.75" customHeight="1">
      <c r="D3650" s="52"/>
    </row>
    <row r="3651" spans="4:4" ht="12.75" customHeight="1">
      <c r="D3651" s="52"/>
    </row>
    <row r="3652" spans="4:4" ht="12.75" customHeight="1">
      <c r="D3652" s="52"/>
    </row>
    <row r="3653" spans="4:4" ht="12.75" customHeight="1">
      <c r="D3653" s="52"/>
    </row>
    <row r="3654" spans="4:4" ht="12.75" customHeight="1">
      <c r="D3654" s="52"/>
    </row>
    <row r="3655" spans="4:4" ht="12.75" customHeight="1">
      <c r="D3655" s="52"/>
    </row>
    <row r="3656" spans="4:4" ht="12.75" customHeight="1">
      <c r="D3656" s="52"/>
    </row>
    <row r="3657" spans="4:4" ht="12.75" customHeight="1">
      <c r="D3657" s="52"/>
    </row>
    <row r="3658" spans="4:4" ht="12.75" customHeight="1">
      <c r="D3658" s="52"/>
    </row>
    <row r="3659" spans="4:4" ht="12.75" customHeight="1">
      <c r="D3659" s="52"/>
    </row>
    <row r="3660" spans="4:4" ht="12.75" customHeight="1">
      <c r="D3660" s="52"/>
    </row>
    <row r="3661" spans="4:4" ht="12.75" customHeight="1">
      <c r="D3661" s="52"/>
    </row>
    <row r="3662" spans="4:4" ht="12.75" customHeight="1">
      <c r="D3662" s="52"/>
    </row>
    <row r="3663" spans="4:4" ht="12.75" customHeight="1">
      <c r="D3663" s="52"/>
    </row>
    <row r="3664" spans="4:4" ht="12.75" customHeight="1">
      <c r="D3664" s="52"/>
    </row>
    <row r="3665" spans="4:4" ht="12.75" customHeight="1">
      <c r="D3665" s="52"/>
    </row>
    <row r="3666" spans="4:4" ht="12.75" customHeight="1">
      <c r="D3666" s="52"/>
    </row>
    <row r="3667" spans="4:4" ht="12.75" customHeight="1">
      <c r="D3667" s="52"/>
    </row>
    <row r="3668" spans="4:4" ht="12.75" customHeight="1">
      <c r="D3668" s="52"/>
    </row>
    <row r="3669" spans="4:4" ht="12.75" customHeight="1">
      <c r="D3669" s="52"/>
    </row>
    <row r="3670" spans="4:4" ht="12.75" customHeight="1">
      <c r="D3670" s="52"/>
    </row>
    <row r="3671" spans="4:4" ht="12.75" customHeight="1">
      <c r="D3671" s="52"/>
    </row>
    <row r="3672" spans="4:4" ht="12.75" customHeight="1">
      <c r="D3672" s="52"/>
    </row>
    <row r="3673" spans="4:4" ht="12.75" customHeight="1">
      <c r="D3673" s="52"/>
    </row>
    <row r="3674" spans="4:4" ht="12.75" customHeight="1">
      <c r="D3674" s="52"/>
    </row>
    <row r="3675" spans="4:4" ht="12.75" customHeight="1">
      <c r="D3675" s="52"/>
    </row>
    <row r="3676" spans="4:4" ht="12.75" customHeight="1">
      <c r="D3676" s="52"/>
    </row>
    <row r="3677" spans="4:4" ht="12.75" customHeight="1">
      <c r="D3677" s="52"/>
    </row>
    <row r="3678" spans="4:4" ht="12.75" customHeight="1">
      <c r="D3678" s="52"/>
    </row>
    <row r="3679" spans="4:4" ht="12.75" customHeight="1">
      <c r="D3679" s="52"/>
    </row>
    <row r="3680" spans="4:4" ht="12.75" customHeight="1">
      <c r="D3680" s="52"/>
    </row>
    <row r="3681" spans="4:4" ht="12.75" customHeight="1">
      <c r="D3681" s="52"/>
    </row>
    <row r="3682" spans="4:4" ht="12.75" customHeight="1">
      <c r="D3682" s="52"/>
    </row>
    <row r="3683" spans="4:4" ht="12.75" customHeight="1">
      <c r="D3683" s="52"/>
    </row>
    <row r="3684" spans="4:4" ht="12.75" customHeight="1">
      <c r="D3684" s="52"/>
    </row>
    <row r="3685" spans="4:4" ht="12.75" customHeight="1">
      <c r="D3685" s="52"/>
    </row>
    <row r="3686" spans="4:4" ht="12.75" customHeight="1">
      <c r="D3686" s="52"/>
    </row>
    <row r="3687" spans="4:4" ht="12.75" customHeight="1">
      <c r="D3687" s="52"/>
    </row>
    <row r="3688" spans="4:4" ht="12.75" customHeight="1">
      <c r="D3688" s="52"/>
    </row>
    <row r="3689" spans="4:4" ht="12.75" customHeight="1">
      <c r="D3689" s="52"/>
    </row>
    <row r="3690" spans="4:4" ht="12.75" customHeight="1">
      <c r="D3690" s="52"/>
    </row>
    <row r="3691" spans="4:4" ht="12.75" customHeight="1">
      <c r="D3691" s="52"/>
    </row>
    <row r="3692" spans="4:4" ht="12.75" customHeight="1">
      <c r="D3692" s="52"/>
    </row>
    <row r="3693" spans="4:4" ht="12.75" customHeight="1">
      <c r="D3693" s="52"/>
    </row>
    <row r="3694" spans="4:4" ht="12.75" customHeight="1">
      <c r="D3694" s="52"/>
    </row>
    <row r="3695" spans="4:4" ht="12.75" customHeight="1">
      <c r="D3695" s="52"/>
    </row>
    <row r="3696" spans="4:4" ht="12.75" customHeight="1">
      <c r="D3696" s="52"/>
    </row>
    <row r="3697" spans="4:4" ht="12.75" customHeight="1">
      <c r="D3697" s="52"/>
    </row>
    <row r="3698" spans="4:4" ht="12.75" customHeight="1">
      <c r="D3698" s="52"/>
    </row>
    <row r="3699" spans="4:4" ht="12.75" customHeight="1">
      <c r="D3699" s="52"/>
    </row>
    <row r="3700" spans="4:4" ht="12.75" customHeight="1">
      <c r="D3700" s="52"/>
    </row>
    <row r="3701" spans="4:4" ht="12.75" customHeight="1">
      <c r="D3701" s="52"/>
    </row>
    <row r="3702" spans="4:4" ht="12.75" customHeight="1">
      <c r="D3702" s="52"/>
    </row>
    <row r="3703" spans="4:4" ht="12.75" customHeight="1">
      <c r="D3703" s="52"/>
    </row>
    <row r="3704" spans="4:4" ht="12.75" customHeight="1">
      <c r="D3704" s="52"/>
    </row>
    <row r="3705" spans="4:4" ht="12.75" customHeight="1">
      <c r="D3705" s="52"/>
    </row>
    <row r="3706" spans="4:4" ht="12.75" customHeight="1">
      <c r="D3706" s="52"/>
    </row>
    <row r="3707" spans="4:4" ht="12.75" customHeight="1">
      <c r="D3707" s="52"/>
    </row>
    <row r="3708" spans="4:4" ht="12.75" customHeight="1">
      <c r="D3708" s="52"/>
    </row>
    <row r="3709" spans="4:4" ht="12.75" customHeight="1">
      <c r="D3709" s="52"/>
    </row>
    <row r="3710" spans="4:4" ht="12.75" customHeight="1">
      <c r="D3710" s="52"/>
    </row>
    <row r="3711" spans="4:4" ht="12.75" customHeight="1">
      <c r="D3711" s="52"/>
    </row>
    <row r="3712" spans="4:4" ht="12.75" customHeight="1">
      <c r="D3712" s="52"/>
    </row>
    <row r="3713" spans="4:4" ht="12.75" customHeight="1">
      <c r="D3713" s="52"/>
    </row>
    <row r="3714" spans="4:4" ht="12.75" customHeight="1">
      <c r="D3714" s="52"/>
    </row>
    <row r="3715" spans="4:4" ht="12.75" customHeight="1">
      <c r="D3715" s="52"/>
    </row>
    <row r="3716" spans="4:4" ht="12.75" customHeight="1">
      <c r="D3716" s="52"/>
    </row>
    <row r="3717" spans="4:4" ht="12.75" customHeight="1">
      <c r="D3717" s="52"/>
    </row>
    <row r="3718" spans="4:4" ht="12.75" customHeight="1">
      <c r="D3718" s="52"/>
    </row>
    <row r="3719" spans="4:4" ht="12.75" customHeight="1">
      <c r="D3719" s="52"/>
    </row>
    <row r="3720" spans="4:4" ht="12.75" customHeight="1">
      <c r="D3720" s="52"/>
    </row>
    <row r="3721" spans="4:4" ht="12.75" customHeight="1">
      <c r="D3721" s="52"/>
    </row>
    <row r="3722" spans="4:4" ht="12.75" customHeight="1">
      <c r="D3722" s="52"/>
    </row>
    <row r="3723" spans="4:4" ht="12.75" customHeight="1">
      <c r="D3723" s="52"/>
    </row>
    <row r="3724" spans="4:4" ht="12.75" customHeight="1">
      <c r="D3724" s="52"/>
    </row>
    <row r="3725" spans="4:4" ht="12.75" customHeight="1">
      <c r="D3725" s="52"/>
    </row>
    <row r="3726" spans="4:4" ht="12.75" customHeight="1">
      <c r="D3726" s="52"/>
    </row>
    <row r="3727" spans="4:4" ht="12.75" customHeight="1">
      <c r="D3727" s="52"/>
    </row>
    <row r="3728" spans="4:4" ht="12.75" customHeight="1">
      <c r="D3728" s="52"/>
    </row>
    <row r="3729" spans="4:4" ht="12.75" customHeight="1">
      <c r="D3729" s="52"/>
    </row>
    <row r="3730" spans="4:4" ht="12.75" customHeight="1">
      <c r="D3730" s="52"/>
    </row>
    <row r="3731" spans="4:4" ht="12.75" customHeight="1">
      <c r="D3731" s="52"/>
    </row>
    <row r="3732" spans="4:4" ht="12.75" customHeight="1">
      <c r="D3732" s="52"/>
    </row>
    <row r="3733" spans="4:4" ht="12.75" customHeight="1">
      <c r="D3733" s="52"/>
    </row>
    <row r="3734" spans="4:4" ht="12.75" customHeight="1">
      <c r="D3734" s="52"/>
    </row>
    <row r="3735" spans="4:4" ht="12.75" customHeight="1">
      <c r="D3735" s="52"/>
    </row>
    <row r="3736" spans="4:4" ht="12.75" customHeight="1">
      <c r="D3736" s="52"/>
    </row>
    <row r="3737" spans="4:4" ht="12.75" customHeight="1">
      <c r="D3737" s="52"/>
    </row>
    <row r="3738" spans="4:4" ht="12.75" customHeight="1">
      <c r="D3738" s="52"/>
    </row>
    <row r="3739" spans="4:4" ht="12.75" customHeight="1">
      <c r="D3739" s="52"/>
    </row>
    <row r="3740" spans="4:4" ht="12.75" customHeight="1">
      <c r="D3740" s="52"/>
    </row>
    <row r="3741" spans="4:4" ht="12.75" customHeight="1">
      <c r="D3741" s="52"/>
    </row>
    <row r="3742" spans="4:4" ht="12.75" customHeight="1">
      <c r="D3742" s="52"/>
    </row>
    <row r="3743" spans="4:4" ht="12.75" customHeight="1">
      <c r="D3743" s="52"/>
    </row>
    <row r="3744" spans="4:4" ht="12.75" customHeight="1">
      <c r="D3744" s="52"/>
    </row>
    <row r="3745" spans="4:4" ht="12.75" customHeight="1">
      <c r="D3745" s="52"/>
    </row>
    <row r="3746" spans="4:4" ht="12.75" customHeight="1">
      <c r="D3746" s="52"/>
    </row>
    <row r="3747" spans="4:4" ht="12.75" customHeight="1">
      <c r="D3747" s="52"/>
    </row>
    <row r="3748" spans="4:4" ht="12.75" customHeight="1">
      <c r="D3748" s="52"/>
    </row>
    <row r="3749" spans="4:4" ht="12.75" customHeight="1">
      <c r="D3749" s="52"/>
    </row>
    <row r="3750" spans="4:4" ht="12.75" customHeight="1">
      <c r="D3750" s="52"/>
    </row>
    <row r="3751" spans="4:4" ht="12.75" customHeight="1">
      <c r="D3751" s="52"/>
    </row>
    <row r="3752" spans="4:4" ht="12.75" customHeight="1">
      <c r="D3752" s="52"/>
    </row>
    <row r="3753" spans="4:4" ht="12.75" customHeight="1">
      <c r="D3753" s="52"/>
    </row>
    <row r="3754" spans="4:4" ht="12.75" customHeight="1">
      <c r="D3754" s="52"/>
    </row>
    <row r="3755" spans="4:4" ht="12.75" customHeight="1">
      <c r="D3755" s="52"/>
    </row>
    <row r="3756" spans="4:4" ht="12.75" customHeight="1">
      <c r="D3756" s="52"/>
    </row>
    <row r="3757" spans="4:4" ht="12.75" customHeight="1">
      <c r="D3757" s="52"/>
    </row>
    <row r="3758" spans="4:4" ht="12.75" customHeight="1">
      <c r="D3758" s="52"/>
    </row>
    <row r="3759" spans="4:4" ht="12.75" customHeight="1">
      <c r="D3759" s="52"/>
    </row>
    <row r="3760" spans="4:4" ht="12.75" customHeight="1">
      <c r="D3760" s="52"/>
    </row>
    <row r="3761" spans="4:4" ht="12.75" customHeight="1">
      <c r="D3761" s="52"/>
    </row>
    <row r="3762" spans="4:4" ht="12.75" customHeight="1">
      <c r="D3762" s="52"/>
    </row>
    <row r="3763" spans="4:4" ht="12.75" customHeight="1">
      <c r="D3763" s="52"/>
    </row>
    <row r="3764" spans="4:4" ht="12.75" customHeight="1">
      <c r="D3764" s="52"/>
    </row>
    <row r="3765" spans="4:4" ht="12.75" customHeight="1">
      <c r="D3765" s="52"/>
    </row>
    <row r="3766" spans="4:4" ht="12.75" customHeight="1">
      <c r="D3766" s="52"/>
    </row>
    <row r="3767" spans="4:4" ht="12.75" customHeight="1">
      <c r="D3767" s="52"/>
    </row>
    <row r="3768" spans="4:4" ht="12.75" customHeight="1">
      <c r="D3768" s="52"/>
    </row>
    <row r="3769" spans="4:4" ht="12.75" customHeight="1">
      <c r="D3769" s="52"/>
    </row>
    <row r="3770" spans="4:4" ht="12.75" customHeight="1">
      <c r="D3770" s="52"/>
    </row>
    <row r="3771" spans="4:4" ht="12.75" customHeight="1">
      <c r="D3771" s="52"/>
    </row>
    <row r="3772" spans="4:4" ht="12.75" customHeight="1">
      <c r="D3772" s="52"/>
    </row>
    <row r="3773" spans="4:4" ht="12.75" customHeight="1">
      <c r="D3773" s="52"/>
    </row>
    <row r="3774" spans="4:4" ht="12.75" customHeight="1">
      <c r="D3774" s="52"/>
    </row>
    <row r="3775" spans="4:4" ht="12.75" customHeight="1">
      <c r="D3775" s="52"/>
    </row>
    <row r="3776" spans="4:4" ht="12.75" customHeight="1">
      <c r="D3776" s="52"/>
    </row>
    <row r="3777" spans="4:4" ht="12.75" customHeight="1">
      <c r="D3777" s="52"/>
    </row>
    <row r="3778" spans="4:4" ht="12.75" customHeight="1">
      <c r="D3778" s="52"/>
    </row>
    <row r="3779" spans="4:4" ht="12.75" customHeight="1">
      <c r="D3779" s="52"/>
    </row>
    <row r="3780" spans="4:4" ht="12.75" customHeight="1">
      <c r="D3780" s="52"/>
    </row>
    <row r="3781" spans="4:4" ht="12.75" customHeight="1">
      <c r="D3781" s="52"/>
    </row>
    <row r="3782" spans="4:4" ht="12.75" customHeight="1">
      <c r="D3782" s="52"/>
    </row>
    <row r="3783" spans="4:4" ht="12.75" customHeight="1">
      <c r="D3783" s="52"/>
    </row>
    <row r="3784" spans="4:4" ht="12.75" customHeight="1">
      <c r="D3784" s="52"/>
    </row>
    <row r="3785" spans="4:4" ht="12.75" customHeight="1">
      <c r="D3785" s="52"/>
    </row>
    <row r="3786" spans="4:4" ht="12.75" customHeight="1">
      <c r="D3786" s="52"/>
    </row>
    <row r="3787" spans="4:4" ht="12.75" customHeight="1">
      <c r="D3787" s="52"/>
    </row>
    <row r="3788" spans="4:4" ht="12.75" customHeight="1">
      <c r="D3788" s="52"/>
    </row>
    <row r="3789" spans="4:4" ht="12.75" customHeight="1">
      <c r="D3789" s="52"/>
    </row>
    <row r="3790" spans="4:4" ht="12.75" customHeight="1">
      <c r="D3790" s="52"/>
    </row>
    <row r="3791" spans="4:4" ht="12.75" customHeight="1">
      <c r="D3791" s="52"/>
    </row>
    <row r="3792" spans="4:4" ht="12.75" customHeight="1">
      <c r="D3792" s="52"/>
    </row>
    <row r="3793" spans="4:4" ht="12.75" customHeight="1">
      <c r="D3793" s="52"/>
    </row>
    <row r="3794" spans="4:4" ht="12.75" customHeight="1">
      <c r="D3794" s="52"/>
    </row>
    <row r="3795" spans="4:4" ht="12.75" customHeight="1">
      <c r="D3795" s="52"/>
    </row>
    <row r="3796" spans="4:4" ht="12.75" customHeight="1">
      <c r="D3796" s="52"/>
    </row>
    <row r="3797" spans="4:4" ht="12.75" customHeight="1">
      <c r="D3797" s="52"/>
    </row>
    <row r="3798" spans="4:4" ht="12.75" customHeight="1">
      <c r="D3798" s="52"/>
    </row>
    <row r="3799" spans="4:4" ht="12.75" customHeight="1">
      <c r="D3799" s="52"/>
    </row>
    <row r="3800" spans="4:4" ht="12.75" customHeight="1">
      <c r="D3800" s="52"/>
    </row>
    <row r="3801" spans="4:4" ht="12.75" customHeight="1">
      <c r="D3801" s="52"/>
    </row>
    <row r="3802" spans="4:4" ht="12.75" customHeight="1">
      <c r="D3802" s="52"/>
    </row>
    <row r="3803" spans="4:4" ht="12.75" customHeight="1">
      <c r="D3803" s="52"/>
    </row>
    <row r="3804" spans="4:4" ht="12.75" customHeight="1">
      <c r="D3804" s="52"/>
    </row>
    <row r="3805" spans="4:4" ht="12.75" customHeight="1">
      <c r="D3805" s="52"/>
    </row>
    <row r="3806" spans="4:4" ht="12.75" customHeight="1">
      <c r="D3806" s="52"/>
    </row>
    <row r="3807" spans="4:4" ht="12.75" customHeight="1">
      <c r="D3807" s="52"/>
    </row>
    <row r="3808" spans="4:4" ht="12.75" customHeight="1">
      <c r="D3808" s="52"/>
    </row>
    <row r="3809" spans="4:4" ht="12.75" customHeight="1">
      <c r="D3809" s="52"/>
    </row>
    <row r="3810" spans="4:4" ht="12.75" customHeight="1">
      <c r="D3810" s="52"/>
    </row>
    <row r="3811" spans="4:4" ht="12.75" customHeight="1">
      <c r="D3811" s="52"/>
    </row>
    <row r="3812" spans="4:4" ht="12.75" customHeight="1">
      <c r="D3812" s="52"/>
    </row>
    <row r="3813" spans="4:4" ht="12.75" customHeight="1">
      <c r="D3813" s="52"/>
    </row>
    <row r="3814" spans="4:4" ht="12.75" customHeight="1">
      <c r="D3814" s="52"/>
    </row>
    <row r="3815" spans="4:4" ht="12.75" customHeight="1">
      <c r="D3815" s="52"/>
    </row>
    <row r="3816" spans="4:4" ht="12.75" customHeight="1">
      <c r="D3816" s="52"/>
    </row>
    <row r="3817" spans="4:4" ht="12.75" customHeight="1">
      <c r="D3817" s="52"/>
    </row>
    <row r="3818" spans="4:4" ht="12.75" customHeight="1">
      <c r="D3818" s="52"/>
    </row>
    <row r="3819" spans="4:4" ht="12.75" customHeight="1">
      <c r="D3819" s="52"/>
    </row>
    <row r="3820" spans="4:4" ht="12.75" customHeight="1">
      <c r="D3820" s="52"/>
    </row>
    <row r="3821" spans="4:4" ht="12.75" customHeight="1">
      <c r="D3821" s="52"/>
    </row>
    <row r="3822" spans="4:4" ht="12.75" customHeight="1">
      <c r="D3822" s="52"/>
    </row>
    <row r="3823" spans="4:4" ht="12.75" customHeight="1">
      <c r="D3823" s="52"/>
    </row>
    <row r="3824" spans="4:4" ht="12.75" customHeight="1">
      <c r="D3824" s="52"/>
    </row>
    <row r="3825" spans="4:4" ht="12.75" customHeight="1">
      <c r="D3825" s="52"/>
    </row>
    <row r="3826" spans="4:4" ht="12.75" customHeight="1">
      <c r="D3826" s="52"/>
    </row>
    <row r="3827" spans="4:4" ht="12.75" customHeight="1">
      <c r="D3827" s="52"/>
    </row>
    <row r="3828" spans="4:4" ht="12.75" customHeight="1">
      <c r="D3828" s="52"/>
    </row>
    <row r="3829" spans="4:4" ht="12.75" customHeight="1">
      <c r="D3829" s="52"/>
    </row>
    <row r="3830" spans="4:4" ht="12.75" customHeight="1">
      <c r="D3830" s="52"/>
    </row>
    <row r="3831" spans="4:4" ht="12.75" customHeight="1">
      <c r="D3831" s="52"/>
    </row>
    <row r="3832" spans="4:4" ht="12.75" customHeight="1">
      <c r="D3832" s="52"/>
    </row>
    <row r="3833" spans="4:4" ht="12.75" customHeight="1">
      <c r="D3833" s="52"/>
    </row>
    <row r="3834" spans="4:4" ht="12.75" customHeight="1">
      <c r="D3834" s="52"/>
    </row>
    <row r="3835" spans="4:4" ht="12.75" customHeight="1">
      <c r="D3835" s="52"/>
    </row>
    <row r="3836" spans="4:4" ht="12.75" customHeight="1">
      <c r="D3836" s="52"/>
    </row>
    <row r="3837" spans="4:4" ht="12.75" customHeight="1">
      <c r="D3837" s="52"/>
    </row>
    <row r="3838" spans="4:4" ht="12.75" customHeight="1">
      <c r="D3838" s="52"/>
    </row>
    <row r="3839" spans="4:4" ht="12.75" customHeight="1">
      <c r="D3839" s="52"/>
    </row>
    <row r="3840" spans="4:4" ht="12.75" customHeight="1">
      <c r="D3840" s="52"/>
    </row>
    <row r="3841" spans="4:4" ht="12.75" customHeight="1">
      <c r="D3841" s="52"/>
    </row>
    <row r="3842" spans="4:4" ht="12.75" customHeight="1">
      <c r="D3842" s="52"/>
    </row>
    <row r="3843" spans="4:4" ht="12.75" customHeight="1">
      <c r="D3843" s="52"/>
    </row>
    <row r="3844" spans="4:4" ht="12.75" customHeight="1">
      <c r="D3844" s="52"/>
    </row>
    <row r="3845" spans="4:4" ht="12.75" customHeight="1">
      <c r="D3845" s="52"/>
    </row>
    <row r="3846" spans="4:4" ht="12.75" customHeight="1">
      <c r="D3846" s="52"/>
    </row>
    <row r="3847" spans="4:4" ht="12.75" customHeight="1">
      <c r="D3847" s="52"/>
    </row>
    <row r="3848" spans="4:4" ht="12.75" customHeight="1">
      <c r="D3848" s="52"/>
    </row>
    <row r="3849" spans="4:4" ht="12.75" customHeight="1">
      <c r="D3849" s="52"/>
    </row>
    <row r="3850" spans="4:4" ht="12.75" customHeight="1">
      <c r="D3850" s="52"/>
    </row>
    <row r="3851" spans="4:4" ht="12.75" customHeight="1">
      <c r="D3851" s="52"/>
    </row>
    <row r="3852" spans="4:4" ht="12.75" customHeight="1">
      <c r="D3852" s="52"/>
    </row>
    <row r="3853" spans="4:4" ht="12.75" customHeight="1">
      <c r="D3853" s="52"/>
    </row>
    <row r="3854" spans="4:4" ht="12.75" customHeight="1">
      <c r="D3854" s="52"/>
    </row>
    <row r="3855" spans="4:4" ht="12.75" customHeight="1">
      <c r="D3855" s="52"/>
    </row>
    <row r="3856" spans="4:4" ht="12.75" customHeight="1">
      <c r="D3856" s="52"/>
    </row>
    <row r="3857" spans="4:4" ht="12.75" customHeight="1">
      <c r="D3857" s="52"/>
    </row>
    <row r="3858" spans="4:4" ht="12.75" customHeight="1">
      <c r="D3858" s="52"/>
    </row>
    <row r="3859" spans="4:4" ht="12.75" customHeight="1">
      <c r="D3859" s="52"/>
    </row>
    <row r="3860" spans="4:4" ht="12.75" customHeight="1">
      <c r="D3860" s="52"/>
    </row>
    <row r="3861" spans="4:4" ht="12.75" customHeight="1">
      <c r="D3861" s="52"/>
    </row>
    <row r="3862" spans="4:4" ht="12.75" customHeight="1">
      <c r="D3862" s="52"/>
    </row>
    <row r="3863" spans="4:4" ht="12.75" customHeight="1">
      <c r="D3863" s="52"/>
    </row>
    <row r="3864" spans="4:4" ht="12.75" customHeight="1">
      <c r="D3864" s="52"/>
    </row>
    <row r="3865" spans="4:4" ht="12.75" customHeight="1">
      <c r="D3865" s="52"/>
    </row>
    <row r="3866" spans="4:4" ht="12.75" customHeight="1">
      <c r="D3866" s="52"/>
    </row>
    <row r="3867" spans="4:4" ht="12.75" customHeight="1">
      <c r="D3867" s="52"/>
    </row>
    <row r="3868" spans="4:4" ht="12.75" customHeight="1">
      <c r="D3868" s="52"/>
    </row>
    <row r="3869" spans="4:4" ht="12.75" customHeight="1">
      <c r="D3869" s="52"/>
    </row>
    <row r="3870" spans="4:4" ht="12.75" customHeight="1">
      <c r="D3870" s="52"/>
    </row>
    <row r="3871" spans="4:4" ht="12.75" customHeight="1">
      <c r="D3871" s="52"/>
    </row>
    <row r="3872" spans="4:4" ht="12.75" customHeight="1">
      <c r="D3872" s="52"/>
    </row>
    <row r="3873" spans="4:4" ht="12.75" customHeight="1">
      <c r="D3873" s="52"/>
    </row>
    <row r="3874" spans="4:4" ht="12.75" customHeight="1">
      <c r="D3874" s="52"/>
    </row>
    <row r="3875" spans="4:4" ht="12.75" customHeight="1">
      <c r="D3875" s="52"/>
    </row>
    <row r="3876" spans="4:4" ht="12.75" customHeight="1">
      <c r="D3876" s="52"/>
    </row>
    <row r="3877" spans="4:4" ht="12.75" customHeight="1">
      <c r="D3877" s="52"/>
    </row>
    <row r="3878" spans="4:4" ht="12.75" customHeight="1">
      <c r="D3878" s="52"/>
    </row>
    <row r="3879" spans="4:4" ht="12.75" customHeight="1">
      <c r="D3879" s="52"/>
    </row>
    <row r="3880" spans="4:4" ht="12.75" customHeight="1">
      <c r="D3880" s="52"/>
    </row>
    <row r="3881" spans="4:4" ht="12.75" customHeight="1">
      <c r="D3881" s="52"/>
    </row>
    <row r="3882" spans="4:4" ht="12.75" customHeight="1">
      <c r="D3882" s="52"/>
    </row>
    <row r="3883" spans="4:4" ht="12.75" customHeight="1">
      <c r="D3883" s="52"/>
    </row>
    <row r="3884" spans="4:4" ht="12.75" customHeight="1">
      <c r="D3884" s="52"/>
    </row>
    <row r="3885" spans="4:4" ht="12.75" customHeight="1">
      <c r="D3885" s="52"/>
    </row>
    <row r="3886" spans="4:4" ht="12.75" customHeight="1">
      <c r="D3886" s="52"/>
    </row>
    <row r="3887" spans="4:4" ht="12.75" customHeight="1">
      <c r="D3887" s="52"/>
    </row>
    <row r="3888" spans="4:4" ht="12.75" customHeight="1">
      <c r="D3888" s="52"/>
    </row>
    <row r="3889" spans="4:4" ht="12.75" customHeight="1">
      <c r="D3889" s="52"/>
    </row>
    <row r="3890" spans="4:4" ht="12.75" customHeight="1">
      <c r="D3890" s="52"/>
    </row>
    <row r="3891" spans="4:4" ht="12.75" customHeight="1">
      <c r="D3891" s="52"/>
    </row>
    <row r="3892" spans="4:4" ht="12.75" customHeight="1">
      <c r="D3892" s="52"/>
    </row>
    <row r="3893" spans="4:4" ht="12.75" customHeight="1">
      <c r="D3893" s="52"/>
    </row>
    <row r="3894" spans="4:4" ht="12.75" customHeight="1">
      <c r="D3894" s="52"/>
    </row>
    <row r="3895" spans="4:4" ht="12.75" customHeight="1">
      <c r="D3895" s="52"/>
    </row>
    <row r="3896" spans="4:4" ht="12.75" customHeight="1">
      <c r="D3896" s="52"/>
    </row>
    <row r="3897" spans="4:4" ht="12.75" customHeight="1">
      <c r="D3897" s="52"/>
    </row>
    <row r="3898" spans="4:4" ht="12.75" customHeight="1">
      <c r="D3898" s="52"/>
    </row>
    <row r="3899" spans="4:4" ht="12.75" customHeight="1">
      <c r="D3899" s="52"/>
    </row>
    <row r="3900" spans="4:4" ht="12.75" customHeight="1">
      <c r="D3900" s="52"/>
    </row>
    <row r="3901" spans="4:4" ht="12.75" customHeight="1">
      <c r="D3901" s="52"/>
    </row>
    <row r="3902" spans="4:4" ht="12.75" customHeight="1">
      <c r="D3902" s="52"/>
    </row>
    <row r="3903" spans="4:4" ht="12.75" customHeight="1">
      <c r="D3903" s="52"/>
    </row>
    <row r="3904" spans="4:4" ht="12.75" customHeight="1">
      <c r="D3904" s="52"/>
    </row>
    <row r="3905" spans="4:4" ht="12.75" customHeight="1">
      <c r="D3905" s="52"/>
    </row>
    <row r="3906" spans="4:4" ht="12.75" customHeight="1">
      <c r="D3906" s="52"/>
    </row>
    <row r="3907" spans="4:4" ht="12.75" customHeight="1">
      <c r="D3907" s="52"/>
    </row>
    <row r="3908" spans="4:4" ht="12.75" customHeight="1">
      <c r="D3908" s="52"/>
    </row>
    <row r="3909" spans="4:4" ht="12.75" customHeight="1">
      <c r="D3909" s="52"/>
    </row>
    <row r="3910" spans="4:4" ht="12.75" customHeight="1">
      <c r="D3910" s="52"/>
    </row>
    <row r="3911" spans="4:4" ht="12.75" customHeight="1">
      <c r="D3911" s="52"/>
    </row>
    <row r="3912" spans="4:4" ht="12.75" customHeight="1">
      <c r="D3912" s="52"/>
    </row>
    <row r="3913" spans="4:4" ht="12.75" customHeight="1">
      <c r="D3913" s="52"/>
    </row>
    <row r="3914" spans="4:4" ht="12.75" customHeight="1">
      <c r="D3914" s="52"/>
    </row>
    <row r="3915" spans="4:4" ht="12.75" customHeight="1">
      <c r="D3915" s="52"/>
    </row>
    <row r="3916" spans="4:4" ht="12.75" customHeight="1">
      <c r="D3916" s="52"/>
    </row>
    <row r="3917" spans="4:4" ht="12.75" customHeight="1">
      <c r="D3917" s="52"/>
    </row>
    <row r="3918" spans="4:4" ht="12.75" customHeight="1">
      <c r="D3918" s="52"/>
    </row>
    <row r="3919" spans="4:4" ht="12.75" customHeight="1">
      <c r="D3919" s="52"/>
    </row>
    <row r="3920" spans="4:4" ht="12.75" customHeight="1">
      <c r="D3920" s="52"/>
    </row>
    <row r="3921" spans="4:4" ht="12.75" customHeight="1">
      <c r="D3921" s="52"/>
    </row>
    <row r="3922" spans="4:4" ht="12.75" customHeight="1">
      <c r="D3922" s="52"/>
    </row>
    <row r="3923" spans="4:4" ht="12.75" customHeight="1">
      <c r="D3923" s="52"/>
    </row>
    <row r="3924" spans="4:4" ht="12.75" customHeight="1">
      <c r="D3924" s="52"/>
    </row>
    <row r="3925" spans="4:4" ht="12.75" customHeight="1">
      <c r="D3925" s="52"/>
    </row>
    <row r="3926" spans="4:4" ht="12.75" customHeight="1">
      <c r="D3926" s="52"/>
    </row>
    <row r="3927" spans="4:4" ht="12.75" customHeight="1">
      <c r="D3927" s="52"/>
    </row>
    <row r="3928" spans="4:4" ht="12.75" customHeight="1">
      <c r="D3928" s="52"/>
    </row>
    <row r="3929" spans="4:4" ht="12.75" customHeight="1">
      <c r="D3929" s="52"/>
    </row>
    <row r="3930" spans="4:4" ht="12.75" customHeight="1">
      <c r="D3930" s="52"/>
    </row>
    <row r="3931" spans="4:4" ht="12.75" customHeight="1">
      <c r="D3931" s="52"/>
    </row>
    <row r="3932" spans="4:4" ht="12.75" customHeight="1">
      <c r="D3932" s="52"/>
    </row>
    <row r="3933" spans="4:4" ht="12.75" customHeight="1">
      <c r="D3933" s="52"/>
    </row>
    <row r="3934" spans="4:4" ht="12.75" customHeight="1">
      <c r="D3934" s="52"/>
    </row>
    <row r="3935" spans="4:4" ht="12.75" customHeight="1">
      <c r="D3935" s="52"/>
    </row>
    <row r="3936" spans="4:4" ht="12.75" customHeight="1">
      <c r="D3936" s="52"/>
    </row>
    <row r="3937" spans="4:4" ht="12.75" customHeight="1">
      <c r="D3937" s="52"/>
    </row>
    <row r="3938" spans="4:4" ht="12.75" customHeight="1">
      <c r="D3938" s="52"/>
    </row>
    <row r="3939" spans="4:4" ht="12.75" customHeight="1">
      <c r="D3939" s="52"/>
    </row>
    <row r="3940" spans="4:4" ht="12.75" customHeight="1">
      <c r="D3940" s="52"/>
    </row>
    <row r="3941" spans="4:4" ht="12.75" customHeight="1">
      <c r="D3941" s="52"/>
    </row>
    <row r="3942" spans="4:4" ht="12.75" customHeight="1">
      <c r="D3942" s="52"/>
    </row>
    <row r="3943" spans="4:4" ht="12.75" customHeight="1">
      <c r="D3943" s="52"/>
    </row>
    <row r="3944" spans="4:4" ht="12.75" customHeight="1">
      <c r="D3944" s="52"/>
    </row>
    <row r="3945" spans="4:4" ht="12.75" customHeight="1">
      <c r="D3945" s="52"/>
    </row>
    <row r="3946" spans="4:4" ht="12.75" customHeight="1">
      <c r="D3946" s="52"/>
    </row>
    <row r="3947" spans="4:4" ht="12.75" customHeight="1">
      <c r="D3947" s="52"/>
    </row>
    <row r="3948" spans="4:4" ht="12.75" customHeight="1">
      <c r="D3948" s="52"/>
    </row>
    <row r="3949" spans="4:4" ht="12.75" customHeight="1">
      <c r="D3949" s="52"/>
    </row>
    <row r="3950" spans="4:4" ht="12.75" customHeight="1">
      <c r="D3950" s="52"/>
    </row>
    <row r="3951" spans="4:4" ht="12.75" customHeight="1">
      <c r="D3951" s="52"/>
    </row>
    <row r="3952" spans="4:4" ht="12.75" customHeight="1">
      <c r="D3952" s="52"/>
    </row>
    <row r="3953" spans="4:4" ht="12.75" customHeight="1">
      <c r="D3953" s="52"/>
    </row>
    <row r="3954" spans="4:4" ht="12.75" customHeight="1">
      <c r="D3954" s="52"/>
    </row>
    <row r="3955" spans="4:4" ht="12.75" customHeight="1">
      <c r="D3955" s="52"/>
    </row>
    <row r="3956" spans="4:4" ht="12.75" customHeight="1">
      <c r="D3956" s="52"/>
    </row>
    <row r="3957" spans="4:4" ht="12.75" customHeight="1">
      <c r="D3957" s="52"/>
    </row>
    <row r="3958" spans="4:4" ht="12.75" customHeight="1">
      <c r="D3958" s="52"/>
    </row>
    <row r="3959" spans="4:4" ht="12.75" customHeight="1">
      <c r="D3959" s="52"/>
    </row>
    <row r="3960" spans="4:4" ht="12.75" customHeight="1">
      <c r="D3960" s="52"/>
    </row>
    <row r="3961" spans="4:4" ht="12.75" customHeight="1">
      <c r="D3961" s="52"/>
    </row>
    <row r="3962" spans="4:4" ht="12.75" customHeight="1">
      <c r="D3962" s="52"/>
    </row>
    <row r="3963" spans="4:4" ht="12.75" customHeight="1">
      <c r="D3963" s="52"/>
    </row>
    <row r="3964" spans="4:4" ht="12.75" customHeight="1">
      <c r="D3964" s="52"/>
    </row>
    <row r="3965" spans="4:4" ht="12.75" customHeight="1">
      <c r="D3965" s="52"/>
    </row>
    <row r="3966" spans="4:4" ht="12.75" customHeight="1">
      <c r="D3966" s="52"/>
    </row>
    <row r="3967" spans="4:4" ht="12.75" customHeight="1">
      <c r="D3967" s="52"/>
    </row>
    <row r="3968" spans="4:4" ht="12.75" customHeight="1">
      <c r="D3968" s="52"/>
    </row>
    <row r="3969" spans="4:4" ht="12.75" customHeight="1">
      <c r="D3969" s="52"/>
    </row>
    <row r="3970" spans="4:4" ht="12.75" customHeight="1">
      <c r="D3970" s="52"/>
    </row>
    <row r="3971" spans="4:4" ht="12.75" customHeight="1">
      <c r="D3971" s="52"/>
    </row>
    <row r="3972" spans="4:4" ht="12.75" customHeight="1">
      <c r="D3972" s="52"/>
    </row>
    <row r="3973" spans="4:4" ht="12.75" customHeight="1">
      <c r="D3973" s="52"/>
    </row>
    <row r="3974" spans="4:4" ht="12.75" customHeight="1">
      <c r="D3974" s="52"/>
    </row>
    <row r="3975" spans="4:4" ht="12.75" customHeight="1">
      <c r="D3975" s="52"/>
    </row>
    <row r="3976" spans="4:4" ht="12.75" customHeight="1">
      <c r="D3976" s="52"/>
    </row>
    <row r="3977" spans="4:4" ht="12.75" customHeight="1">
      <c r="D3977" s="52"/>
    </row>
    <row r="3978" spans="4:4" ht="12.75" customHeight="1">
      <c r="D3978" s="52"/>
    </row>
    <row r="3979" spans="4:4" ht="12.75" customHeight="1">
      <c r="D3979" s="52"/>
    </row>
    <row r="3980" spans="4:4" ht="12.75" customHeight="1">
      <c r="D3980" s="52"/>
    </row>
    <row r="3981" spans="4:4" ht="12.75" customHeight="1">
      <c r="D3981" s="52"/>
    </row>
    <row r="3982" spans="4:4" ht="12.75" customHeight="1">
      <c r="D3982" s="52"/>
    </row>
    <row r="3983" spans="4:4" ht="12.75" customHeight="1">
      <c r="D3983" s="52"/>
    </row>
    <row r="3984" spans="4:4" ht="12.75" customHeight="1">
      <c r="D3984" s="52"/>
    </row>
    <row r="3985" spans="4:4" ht="12.75" customHeight="1">
      <c r="D3985" s="52"/>
    </row>
    <row r="3986" spans="4:4" ht="12.75" customHeight="1">
      <c r="D3986" s="52"/>
    </row>
    <row r="3987" spans="4:4" ht="12.75" customHeight="1">
      <c r="D3987" s="52"/>
    </row>
    <row r="3988" spans="4:4" ht="12.75" customHeight="1">
      <c r="D3988" s="52"/>
    </row>
    <row r="3989" spans="4:4" ht="12.75" customHeight="1">
      <c r="D3989" s="52"/>
    </row>
    <row r="3990" spans="4:4" ht="12.75" customHeight="1">
      <c r="D3990" s="52"/>
    </row>
    <row r="3991" spans="4:4" ht="12.75" customHeight="1">
      <c r="D3991" s="52"/>
    </row>
    <row r="3992" spans="4:4" ht="12.75" customHeight="1">
      <c r="D3992" s="52"/>
    </row>
    <row r="3993" spans="4:4" ht="12.75" customHeight="1">
      <c r="D3993" s="52"/>
    </row>
    <row r="3994" spans="4:4" ht="12.75" customHeight="1">
      <c r="D3994" s="52"/>
    </row>
    <row r="3995" spans="4:4" ht="12.75" customHeight="1">
      <c r="D3995" s="52"/>
    </row>
    <row r="3996" spans="4:4" ht="12.75" customHeight="1">
      <c r="D3996" s="52"/>
    </row>
    <row r="3997" spans="4:4" ht="12.75" customHeight="1">
      <c r="D3997" s="52"/>
    </row>
    <row r="3998" spans="4:4" ht="12.75" customHeight="1">
      <c r="D3998" s="52"/>
    </row>
    <row r="3999" spans="4:4" ht="12.75" customHeight="1">
      <c r="D3999" s="52"/>
    </row>
    <row r="4000" spans="4:4" ht="12.75" customHeight="1">
      <c r="D4000" s="52"/>
    </row>
    <row r="4001" spans="4:4" ht="12.75" customHeight="1">
      <c r="D4001" s="52"/>
    </row>
    <row r="4002" spans="4:4" ht="12.75" customHeight="1">
      <c r="D4002" s="52"/>
    </row>
    <row r="4003" spans="4:4" ht="12.75" customHeight="1">
      <c r="D4003" s="52"/>
    </row>
    <row r="4004" spans="4:4" ht="12.75" customHeight="1">
      <c r="D4004" s="52"/>
    </row>
    <row r="4005" spans="4:4" ht="12.75" customHeight="1">
      <c r="D4005" s="52"/>
    </row>
    <row r="4006" spans="4:4" ht="12.75" customHeight="1">
      <c r="D4006" s="52"/>
    </row>
    <row r="4007" spans="4:4" ht="12.75" customHeight="1">
      <c r="D4007" s="52"/>
    </row>
    <row r="4008" spans="4:4" ht="12.75" customHeight="1">
      <c r="D4008" s="52"/>
    </row>
    <row r="4009" spans="4:4" ht="12.75" customHeight="1">
      <c r="D4009" s="52"/>
    </row>
    <row r="4010" spans="4:4" ht="12.75" customHeight="1">
      <c r="D4010" s="52"/>
    </row>
    <row r="4011" spans="4:4" ht="12.75" customHeight="1">
      <c r="D4011" s="52"/>
    </row>
    <row r="4012" spans="4:4" ht="12.75" customHeight="1">
      <c r="D4012" s="52"/>
    </row>
    <row r="4013" spans="4:4" ht="12.75" customHeight="1">
      <c r="D4013" s="52"/>
    </row>
    <row r="4014" spans="4:4" ht="12.75" customHeight="1">
      <c r="D4014" s="52"/>
    </row>
    <row r="4015" spans="4:4" ht="12.75" customHeight="1">
      <c r="D4015" s="52"/>
    </row>
    <row r="4016" spans="4:4" ht="12.75" customHeight="1">
      <c r="D4016" s="52"/>
    </row>
    <row r="4017" spans="4:4" ht="12.75" customHeight="1">
      <c r="D4017" s="52"/>
    </row>
    <row r="4018" spans="4:4" ht="12.75" customHeight="1">
      <c r="D4018" s="52"/>
    </row>
    <row r="4019" spans="4:4" ht="12.75" customHeight="1">
      <c r="D4019" s="52"/>
    </row>
    <row r="4020" spans="4:4" ht="12.75" customHeight="1">
      <c r="D4020" s="52"/>
    </row>
    <row r="4021" spans="4:4" ht="12.75" customHeight="1">
      <c r="D4021" s="52"/>
    </row>
    <row r="4022" spans="4:4" ht="12.75" customHeight="1">
      <c r="D4022" s="52"/>
    </row>
    <row r="4023" spans="4:4" ht="12.75" customHeight="1">
      <c r="D4023" s="52"/>
    </row>
    <row r="4024" spans="4:4" ht="12.75" customHeight="1">
      <c r="D4024" s="52"/>
    </row>
    <row r="4025" spans="4:4" ht="12.75" customHeight="1">
      <c r="D4025" s="52"/>
    </row>
    <row r="4026" spans="4:4" ht="12.75" customHeight="1">
      <c r="D4026" s="52"/>
    </row>
    <row r="4027" spans="4:4" ht="12.75" customHeight="1">
      <c r="D4027" s="52"/>
    </row>
    <row r="4028" spans="4:4" ht="12.75" customHeight="1">
      <c r="D4028" s="52"/>
    </row>
    <row r="4029" spans="4:4" ht="12.75" customHeight="1">
      <c r="D4029" s="52"/>
    </row>
    <row r="4030" spans="4:4" ht="12.75" customHeight="1">
      <c r="D4030" s="52"/>
    </row>
    <row r="4031" spans="4:4" ht="12.75" customHeight="1">
      <c r="D4031" s="52"/>
    </row>
    <row r="4032" spans="4:4" ht="12.75" customHeight="1">
      <c r="D4032" s="52"/>
    </row>
    <row r="4033" spans="4:4" ht="12.75" customHeight="1">
      <c r="D4033" s="52"/>
    </row>
    <row r="4034" spans="4:4" ht="12.75" customHeight="1">
      <c r="D4034" s="52"/>
    </row>
    <row r="4035" spans="4:4" ht="12.75" customHeight="1">
      <c r="D4035" s="52"/>
    </row>
    <row r="4036" spans="4:4" ht="12.75" customHeight="1">
      <c r="D4036" s="52"/>
    </row>
    <row r="4037" spans="4:4" ht="12.75" customHeight="1">
      <c r="D4037" s="52"/>
    </row>
    <row r="4038" spans="4:4" ht="12.75" customHeight="1">
      <c r="D4038" s="52"/>
    </row>
    <row r="4039" spans="4:4" ht="12.75" customHeight="1">
      <c r="D4039" s="52"/>
    </row>
    <row r="4040" spans="4:4" ht="12.75" customHeight="1">
      <c r="D4040" s="52"/>
    </row>
    <row r="4041" spans="4:4" ht="12.75" customHeight="1">
      <c r="D4041" s="52"/>
    </row>
    <row r="4042" spans="4:4" ht="12.75" customHeight="1">
      <c r="D4042" s="52"/>
    </row>
    <row r="4043" spans="4:4" ht="12.75" customHeight="1">
      <c r="D4043" s="52"/>
    </row>
    <row r="4044" spans="4:4" ht="12.75" customHeight="1">
      <c r="D4044" s="52"/>
    </row>
    <row r="4045" spans="4:4" ht="12.75" customHeight="1">
      <c r="D4045" s="52"/>
    </row>
    <row r="4046" spans="4:4" ht="12.75" customHeight="1">
      <c r="D4046" s="52"/>
    </row>
    <row r="4047" spans="4:4" ht="12.75" customHeight="1">
      <c r="D4047" s="52"/>
    </row>
    <row r="4048" spans="4:4" ht="12.75" customHeight="1">
      <c r="D4048" s="52"/>
    </row>
    <row r="4049" spans="4:4" ht="12.75" customHeight="1">
      <c r="D4049" s="722"/>
    </row>
    <row r="4050" spans="4:4" ht="12.75" customHeight="1">
      <c r="D4050" s="722"/>
    </row>
  </sheetData>
  <sheetProtection password="ECEC" sheet="1" insertRows="0"/>
  <customSheetViews>
    <customSheetView guid="{9FD33A57-86F0-4BF5-A6C0-5833A5B59516}" scale="85" showGridLines="0" fitToPage="1" hiddenRows="1">
      <pane xSplit="2" ySplit="2" topLeftCell="C4" activePane="bottomRight" state="frozen"/>
      <selection pane="bottomRight" activeCell="G17" sqref="G17"/>
      <pageMargins left="0.43307086614173229" right="0.43307086614173229" top="0.55118110236220474" bottom="0.55118110236220474" header="0.23622047244094491" footer="0.23622047244094491"/>
      <printOptions horizontalCentered="1"/>
      <pageSetup paperSize="9" scale="89" orientation="landscape" horizontalDpi="4294967295" r:id="rId1"/>
      <headerFooter alignWithMargins="0">
        <oddHeader>&amp;C&amp;"Verdana,Bold"&amp;12DAILY PRODUCTION REPORT - KARAMA FIELDS</oddHeader>
        <oddFooter>&amp;CPage &amp;P</oddFooter>
      </headerFooter>
    </customSheetView>
  </customSheetViews>
  <phoneticPr fontId="153" type="noConversion"/>
  <conditionalFormatting sqref="B3">
    <cfRule type="expression" dxfId="157" priority="2457" stopIfTrue="1">
      <formula>$C3="SI"</formula>
    </cfRule>
  </conditionalFormatting>
  <conditionalFormatting sqref="B29:B272">
    <cfRule type="expression" dxfId="156" priority="2419" stopIfTrue="1">
      <formula>#REF!="SI"</formula>
    </cfRule>
  </conditionalFormatting>
  <conditionalFormatting sqref="B29:B272">
    <cfRule type="expression" dxfId="155" priority="2418" stopIfTrue="1">
      <formula>#REF!="SI"</formula>
    </cfRule>
  </conditionalFormatting>
  <conditionalFormatting sqref="B4:B23">
    <cfRule type="expression" dxfId="154" priority="68" stopIfTrue="1">
      <formula>#REF!="SI"</formula>
    </cfRule>
  </conditionalFormatting>
  <conditionalFormatting sqref="B4:B23">
    <cfRule type="expression" dxfId="153" priority="67" stopIfTrue="1">
      <formula>#REF!="SI"</formula>
    </cfRule>
  </conditionalFormatting>
  <conditionalFormatting sqref="B24:B26">
    <cfRule type="expression" dxfId="152" priority="6" stopIfTrue="1">
      <formula>#REF!="SI"</formula>
    </cfRule>
  </conditionalFormatting>
  <conditionalFormatting sqref="B24:B26">
    <cfRule type="expression" dxfId="151" priority="5" stopIfTrue="1">
      <formula>#REF!="SI"</formula>
    </cfRule>
  </conditionalFormatting>
  <conditionalFormatting sqref="B27:B28">
    <cfRule type="expression" dxfId="150" priority="4" stopIfTrue="1">
      <formula>#REF!="SI"</formula>
    </cfRule>
  </conditionalFormatting>
  <conditionalFormatting sqref="B27:B28">
    <cfRule type="expression" dxfId="149" priority="3" stopIfTrue="1">
      <formula>#REF!="SI"</formula>
    </cfRule>
  </conditionalFormatting>
  <printOptions horizontalCentered="1"/>
  <pageMargins left="0.43307086614173229" right="0.43307086614173229" top="0.55118110236220474" bottom="0.55118110236220474" header="0.23622047244094491" footer="0.23622047244094491"/>
  <pageSetup paperSize="9" scale="89" orientation="landscape" horizontalDpi="4294967295" r:id="rId2"/>
  <headerFooter alignWithMargins="0">
    <oddHeader>&amp;C&amp;"Verdana,Bold"&amp;12DAILY PRODUCTION REPORT - KARAMA FIELDS</oddHeader>
    <oddFooter>&amp;CPage &amp;P</oddFooter>
  </headerFooter>
  <drawing r:id="rId3"/>
  <legacy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FE1732"/>
  <sheetViews>
    <sheetView workbookViewId="0"/>
  </sheetViews>
  <sheetFormatPr defaultRowHeight="12.75" customHeight="1"/>
  <cols>
    <col min="1" max="1" width="2.7109375" customWidth="1"/>
    <col min="2" max="2" width="21.5703125" style="98" customWidth="1"/>
    <col min="3" max="3" width="18.140625" style="98" customWidth="1"/>
    <col min="4" max="4" width="10.42578125" style="98" customWidth="1"/>
    <col min="5" max="5" width="80.85546875" style="98" bestFit="1" customWidth="1"/>
    <col min="6" max="6" width="13.42578125" style="737" customWidth="1"/>
    <col min="7" max="14" width="13.42578125" style="98" customWidth="1"/>
  </cols>
  <sheetData>
    <row r="1" spans="1:28" s="7" customFormat="1" ht="30" customHeight="1">
      <c r="A1" s="32"/>
      <c r="B1" s="725"/>
      <c r="C1" s="142"/>
      <c r="D1" s="142"/>
      <c r="E1" s="142"/>
      <c r="F1" s="726"/>
      <c r="G1" s="142"/>
      <c r="H1" s="97"/>
      <c r="I1" s="97"/>
      <c r="J1" s="97"/>
      <c r="K1" s="97"/>
      <c r="L1" s="97"/>
      <c r="M1" s="97"/>
      <c r="N1" s="727"/>
      <c r="O1" s="9"/>
      <c r="P1" s="9"/>
      <c r="Q1" s="9"/>
      <c r="R1" s="9"/>
      <c r="S1" s="9"/>
      <c r="T1" s="9"/>
      <c r="U1" s="9"/>
      <c r="V1" s="9"/>
      <c r="W1" s="9"/>
      <c r="X1" s="9"/>
      <c r="Y1" s="9"/>
      <c r="Z1" s="9"/>
      <c r="AA1" s="9"/>
      <c r="AB1" s="9"/>
    </row>
    <row r="2" spans="1:28" s="18" customFormat="1" ht="27.75" customHeight="1">
      <c r="A2" s="19"/>
      <c r="B2" s="1363" t="s">
        <v>5</v>
      </c>
      <c r="C2" s="1258" t="s">
        <v>4</v>
      </c>
      <c r="D2" s="1258" t="s">
        <v>1613</v>
      </c>
      <c r="E2" s="1258" t="s">
        <v>1614</v>
      </c>
      <c r="F2" s="1360" t="s">
        <v>1615</v>
      </c>
      <c r="G2" s="1361"/>
      <c r="H2" s="1361"/>
      <c r="I2" s="1361"/>
      <c r="J2" s="1361"/>
      <c r="K2" s="1361"/>
      <c r="L2" s="1361"/>
      <c r="M2" s="1361"/>
      <c r="N2" s="1362"/>
      <c r="O2" s="19"/>
      <c r="P2" s="19"/>
      <c r="Q2" s="19"/>
      <c r="R2" s="19"/>
      <c r="S2" s="19"/>
      <c r="T2" s="19"/>
      <c r="U2" s="19"/>
      <c r="V2" s="19"/>
      <c r="W2" s="19"/>
      <c r="X2" s="19"/>
      <c r="Y2" s="19"/>
      <c r="Z2" s="19"/>
      <c r="AA2" s="19"/>
      <c r="AB2" s="19"/>
    </row>
    <row r="3" spans="1:28" s="36" customFormat="1" ht="16.5" customHeight="1">
      <c r="A3" s="35"/>
      <c r="B3" s="1364"/>
      <c r="C3" s="1259"/>
      <c r="D3" s="1259"/>
      <c r="E3" s="1365"/>
      <c r="F3" s="723" t="s">
        <v>16</v>
      </c>
      <c r="G3" s="724" t="s">
        <v>0</v>
      </c>
      <c r="H3" s="724" t="s">
        <v>1352</v>
      </c>
      <c r="I3" s="724" t="s">
        <v>25</v>
      </c>
      <c r="J3" s="724" t="s">
        <v>1616</v>
      </c>
      <c r="K3" s="724" t="s">
        <v>1617</v>
      </c>
      <c r="L3" s="724" t="s">
        <v>17</v>
      </c>
      <c r="M3" s="724" t="s">
        <v>1</v>
      </c>
      <c r="N3" s="724" t="s">
        <v>1618</v>
      </c>
      <c r="O3" s="35"/>
      <c r="P3" s="35"/>
      <c r="Q3" s="35"/>
      <c r="R3" s="35"/>
      <c r="S3" s="35"/>
      <c r="T3" s="35"/>
      <c r="U3" s="35"/>
      <c r="V3" s="35"/>
      <c r="W3" s="35"/>
      <c r="X3" s="35"/>
      <c r="Y3" s="35"/>
      <c r="Z3" s="35"/>
      <c r="AA3" s="35"/>
      <c r="AB3" s="35"/>
    </row>
    <row r="4" spans="1:28" s="36" customFormat="1" ht="16.5" customHeight="1">
      <c r="A4" s="35"/>
      <c r="B4" s="728" t="e">
        <v>#VALUE!</v>
      </c>
      <c r="C4" s="729" t="s">
        <v>24</v>
      </c>
      <c r="D4" s="730"/>
      <c r="E4" s="731" t="s">
        <v>1620</v>
      </c>
      <c r="F4" s="732">
        <v>36494</v>
      </c>
      <c r="G4" s="733"/>
      <c r="H4" s="734">
        <v>82.981190444667916</v>
      </c>
      <c r="I4" s="734">
        <v>44.033333270435229</v>
      </c>
      <c r="J4" s="734">
        <v>4.5300000058857774</v>
      </c>
      <c r="K4" s="734">
        <v>102876.60891044333</v>
      </c>
      <c r="L4" s="734"/>
      <c r="M4" s="734"/>
      <c r="N4" s="734" t="s">
        <v>1621</v>
      </c>
      <c r="O4" s="35"/>
      <c r="P4" s="35"/>
      <c r="Q4" s="35"/>
      <c r="R4" s="35"/>
      <c r="S4" s="35"/>
      <c r="T4" s="35"/>
      <c r="U4" s="35"/>
      <c r="V4" s="35"/>
      <c r="W4" s="35"/>
      <c r="X4" s="35"/>
      <c r="Y4" s="35"/>
      <c r="Z4" s="35"/>
      <c r="AA4" s="35"/>
      <c r="AB4" s="35"/>
    </row>
    <row r="5" spans="1:28" s="36" customFormat="1" ht="16.5" customHeight="1">
      <c r="A5" s="35"/>
      <c r="B5" s="728" t="e">
        <v>#REF!</v>
      </c>
      <c r="C5" s="729" t="s">
        <v>1315</v>
      </c>
      <c r="D5" s="730"/>
      <c r="E5" s="731" t="s">
        <v>1620</v>
      </c>
      <c r="F5" s="732">
        <v>35976</v>
      </c>
      <c r="G5" s="733"/>
      <c r="H5" s="734">
        <v>8.4067796717716039</v>
      </c>
      <c r="I5" s="734">
        <v>51.961538388963724</v>
      </c>
      <c r="J5" s="734">
        <v>4.6153846153846149E-2</v>
      </c>
      <c r="K5" s="734">
        <v>888.23094128500452</v>
      </c>
      <c r="L5" s="734"/>
      <c r="M5" s="734"/>
      <c r="N5" s="734" t="s">
        <v>1621</v>
      </c>
      <c r="O5" s="35"/>
      <c r="P5" s="35"/>
      <c r="Q5" s="35"/>
      <c r="R5" s="35"/>
      <c r="S5" s="35"/>
      <c r="T5" s="35"/>
      <c r="U5" s="35"/>
      <c r="V5" s="35"/>
      <c r="W5" s="35"/>
      <c r="X5" s="35"/>
      <c r="Y5" s="35"/>
      <c r="Z5" s="35"/>
      <c r="AA5" s="35"/>
      <c r="AB5" s="35"/>
    </row>
    <row r="6" spans="1:28" s="36" customFormat="1" ht="16.5" customHeight="1">
      <c r="A6" s="35"/>
      <c r="B6" s="728" t="e">
        <v>#VALUE!</v>
      </c>
      <c r="C6" s="729" t="s">
        <v>1307</v>
      </c>
      <c r="D6" s="730"/>
      <c r="E6" s="731" t="s">
        <v>1620</v>
      </c>
      <c r="F6" s="732">
        <v>38564</v>
      </c>
      <c r="G6" s="733"/>
      <c r="H6" s="734">
        <v>16.736842083193647</v>
      </c>
      <c r="I6" s="734">
        <v>153.09677423412782</v>
      </c>
      <c r="J6" s="734">
        <v>0.43225806451612897</v>
      </c>
      <c r="K6" s="734">
        <v>2823.4302563102042</v>
      </c>
      <c r="L6" s="734"/>
      <c r="M6" s="734"/>
      <c r="N6" s="734" t="s">
        <v>1621</v>
      </c>
      <c r="O6" s="35"/>
      <c r="P6" s="35"/>
      <c r="Q6" s="35"/>
      <c r="R6" s="35"/>
      <c r="S6" s="35"/>
      <c r="T6" s="35"/>
      <c r="U6" s="35"/>
      <c r="V6" s="35"/>
      <c r="W6" s="35"/>
      <c r="X6" s="35"/>
      <c r="Y6" s="35"/>
      <c r="Z6" s="35"/>
      <c r="AA6" s="35"/>
      <c r="AB6" s="35"/>
    </row>
    <row r="7" spans="1:28" s="36" customFormat="1" ht="16.5" customHeight="1">
      <c r="A7" s="35"/>
      <c r="B7" s="728" t="e">
        <v>#VALUE!</v>
      </c>
      <c r="C7" s="729"/>
      <c r="D7" s="730"/>
      <c r="E7" s="731" t="s">
        <v>1625</v>
      </c>
      <c r="F7" s="732"/>
      <c r="G7" s="733"/>
      <c r="H7" s="734"/>
      <c r="I7" s="734"/>
      <c r="J7" s="734"/>
      <c r="K7" s="734"/>
      <c r="L7" s="734"/>
      <c r="M7" s="734"/>
      <c r="N7" s="734" t="s">
        <v>1621</v>
      </c>
      <c r="O7" s="35"/>
      <c r="P7" s="35"/>
      <c r="Q7" s="35"/>
      <c r="R7" s="35"/>
      <c r="S7" s="35"/>
      <c r="T7" s="35"/>
      <c r="U7" s="35"/>
      <c r="V7" s="35"/>
      <c r="W7" s="35"/>
      <c r="X7" s="35"/>
      <c r="Y7" s="35"/>
      <c r="Z7" s="35"/>
      <c r="AA7" s="35"/>
      <c r="AB7" s="35"/>
    </row>
    <row r="8" spans="1:28" s="36" customFormat="1" ht="16.5" customHeight="1">
      <c r="A8" s="35"/>
      <c r="B8" s="728" t="e">
        <v>#REF!</v>
      </c>
      <c r="C8" s="729" t="s">
        <v>1305</v>
      </c>
      <c r="D8" s="730"/>
      <c r="E8" s="731" t="s">
        <v>1620</v>
      </c>
      <c r="F8" s="732">
        <v>40421</v>
      </c>
      <c r="G8" s="733"/>
      <c r="H8" s="734">
        <v>50</v>
      </c>
      <c r="I8" s="734">
        <v>25.500000037738864</v>
      </c>
      <c r="J8" s="734">
        <v>0.22299999984108401</v>
      </c>
      <c r="K8" s="734">
        <v>8745.0980200413305</v>
      </c>
      <c r="L8" s="734"/>
      <c r="M8" s="734"/>
      <c r="N8" s="734" t="s">
        <v>1621</v>
      </c>
      <c r="O8" s="35"/>
      <c r="P8" s="35"/>
      <c r="Q8" s="35"/>
      <c r="R8" s="35"/>
      <c r="S8" s="35"/>
      <c r="T8" s="35"/>
      <c r="U8" s="35"/>
      <c r="V8" s="35"/>
      <c r="W8" s="35"/>
      <c r="X8" s="35"/>
      <c r="Y8" s="35"/>
      <c r="Z8" s="35"/>
      <c r="AA8" s="35"/>
      <c r="AB8" s="35"/>
    </row>
    <row r="9" spans="1:28" s="36" customFormat="1" ht="16.5" customHeight="1">
      <c r="A9" s="35"/>
      <c r="B9" s="728" t="e">
        <v>#VALUE!</v>
      </c>
      <c r="C9" s="729" t="s">
        <v>1307</v>
      </c>
      <c r="D9" s="730" t="s">
        <v>1537</v>
      </c>
      <c r="E9" s="731" t="s">
        <v>1620</v>
      </c>
      <c r="F9" s="732">
        <v>35947</v>
      </c>
      <c r="G9" s="733"/>
      <c r="H9" s="734">
        <v>3.3377188054797</v>
      </c>
      <c r="I9" s="734">
        <v>364.82</v>
      </c>
      <c r="J9" s="734">
        <v>0</v>
      </c>
      <c r="K9" s="734">
        <v>0</v>
      </c>
      <c r="L9" s="734"/>
      <c r="M9" s="734"/>
      <c r="N9" s="734" t="s">
        <v>1621</v>
      </c>
      <c r="O9" s="35"/>
      <c r="P9" s="35"/>
      <c r="Q9" s="35"/>
      <c r="R9" s="35"/>
      <c r="S9" s="35"/>
      <c r="T9" s="35"/>
      <c r="U9" s="35"/>
      <c r="V9" s="35"/>
      <c r="W9" s="35"/>
      <c r="X9" s="35"/>
      <c r="Y9" s="35"/>
      <c r="Z9" s="35"/>
      <c r="AA9" s="35"/>
      <c r="AB9" s="35"/>
    </row>
    <row r="10" spans="1:28" s="36" customFormat="1" ht="16.5" customHeight="1">
      <c r="A10" s="35"/>
      <c r="B10" s="728" t="e">
        <v>#VALUE!</v>
      </c>
      <c r="C10" s="729"/>
      <c r="D10" s="730"/>
      <c r="E10" s="731" t="s">
        <v>1620</v>
      </c>
      <c r="F10" s="732"/>
      <c r="G10" s="733"/>
      <c r="H10" s="734"/>
      <c r="I10" s="734"/>
      <c r="J10" s="734"/>
      <c r="K10" s="734"/>
      <c r="L10" s="734"/>
      <c r="M10" s="734"/>
      <c r="N10" s="734" t="s">
        <v>1621</v>
      </c>
      <c r="O10" s="35"/>
      <c r="P10" s="35"/>
      <c r="Q10" s="35"/>
      <c r="R10" s="35"/>
      <c r="S10" s="35"/>
      <c r="T10" s="35"/>
      <c r="U10" s="35"/>
      <c r="V10" s="35"/>
      <c r="W10" s="35"/>
      <c r="X10" s="35"/>
      <c r="Y10" s="35"/>
      <c r="Z10" s="35"/>
      <c r="AA10" s="35"/>
      <c r="AB10" s="35"/>
    </row>
    <row r="11" spans="1:28" s="36" customFormat="1" ht="16.5" customHeight="1">
      <c r="A11" s="35"/>
      <c r="B11" s="728" t="e">
        <v>#REF!</v>
      </c>
      <c r="C11" s="729" t="s">
        <v>1307</v>
      </c>
      <c r="D11" s="730"/>
      <c r="E11" s="731" t="s">
        <v>1620</v>
      </c>
      <c r="F11" s="732">
        <v>31047</v>
      </c>
      <c r="G11" s="733"/>
      <c r="H11" s="734">
        <v>0</v>
      </c>
      <c r="I11" s="734">
        <v>29.545454545454547</v>
      </c>
      <c r="J11" s="734">
        <v>2.9545454545454546</v>
      </c>
      <c r="K11" s="734">
        <v>100000</v>
      </c>
      <c r="L11" s="734"/>
      <c r="M11" s="734"/>
      <c r="N11" s="734" t="s">
        <v>1621</v>
      </c>
      <c r="O11" s="35"/>
      <c r="P11" s="35"/>
      <c r="Q11" s="35"/>
      <c r="R11" s="35"/>
      <c r="S11" s="35"/>
      <c r="T11" s="35"/>
      <c r="U11" s="35"/>
      <c r="V11" s="35"/>
      <c r="W11" s="35"/>
      <c r="X11" s="35"/>
      <c r="Y11" s="35"/>
      <c r="Z11" s="35"/>
      <c r="AA11" s="35"/>
      <c r="AB11" s="35"/>
    </row>
    <row r="12" spans="1:28" s="36" customFormat="1" ht="16.5" customHeight="1">
      <c r="A12" s="35"/>
      <c r="B12" s="728" t="s">
        <v>1629</v>
      </c>
      <c r="C12" s="729" t="s">
        <v>24</v>
      </c>
      <c r="D12" s="730" t="s">
        <v>1619</v>
      </c>
      <c r="E12" s="731" t="s">
        <v>1620</v>
      </c>
      <c r="F12" s="732">
        <v>38260</v>
      </c>
      <c r="G12" s="733">
        <v>164.53846163522786</v>
      </c>
      <c r="H12" s="734">
        <v>11</v>
      </c>
      <c r="I12" s="734">
        <v>146.61538471215093</v>
      </c>
      <c r="J12" s="734">
        <v>0.36923076923076925</v>
      </c>
      <c r="K12" s="734">
        <v>2518.3630623462723</v>
      </c>
      <c r="L12" s="734"/>
      <c r="M12" s="734"/>
      <c r="N12" s="734" t="s">
        <v>1621</v>
      </c>
      <c r="O12" s="35"/>
      <c r="P12" s="35"/>
      <c r="Q12" s="35"/>
      <c r="R12" s="35"/>
      <c r="S12" s="35"/>
      <c r="T12" s="35"/>
      <c r="U12" s="35"/>
      <c r="V12" s="35"/>
      <c r="W12" s="35"/>
      <c r="X12" s="35"/>
      <c r="Y12" s="35"/>
      <c r="Z12" s="35"/>
      <c r="AA12" s="35"/>
      <c r="AB12" s="35"/>
    </row>
    <row r="13" spans="1:28" s="36" customFormat="1" ht="16.5" customHeight="1">
      <c r="A13" s="35"/>
      <c r="B13" s="728" t="s">
        <v>1630</v>
      </c>
      <c r="C13" s="729"/>
      <c r="D13" s="730" t="s">
        <v>1619</v>
      </c>
      <c r="E13" s="731" t="s">
        <v>1625</v>
      </c>
      <c r="F13" s="732"/>
      <c r="G13" s="733"/>
      <c r="H13" s="734"/>
      <c r="I13" s="734"/>
      <c r="J13" s="734"/>
      <c r="K13" s="734"/>
      <c r="L13" s="734"/>
      <c r="M13" s="734"/>
      <c r="N13" s="734" t="s">
        <v>1621</v>
      </c>
      <c r="O13" s="35"/>
      <c r="P13" s="35"/>
      <c r="Q13" s="35"/>
      <c r="R13" s="35"/>
      <c r="S13" s="35"/>
      <c r="T13" s="35"/>
      <c r="U13" s="35"/>
      <c r="V13" s="35"/>
      <c r="W13" s="35"/>
      <c r="X13" s="35"/>
      <c r="Y13" s="35"/>
      <c r="Z13" s="35"/>
      <c r="AA13" s="35"/>
      <c r="AB13" s="35"/>
    </row>
    <row r="14" spans="1:28" s="36" customFormat="1" ht="16.5" customHeight="1">
      <c r="A14" s="35"/>
      <c r="B14" s="728"/>
      <c r="C14" s="729" t="s">
        <v>1307</v>
      </c>
      <c r="D14" s="730"/>
      <c r="E14" s="731" t="s">
        <v>1620</v>
      </c>
      <c r="F14" s="732">
        <v>38077</v>
      </c>
      <c r="G14" s="733"/>
      <c r="H14" s="734">
        <v>0</v>
      </c>
      <c r="I14" s="734">
        <v>14.9</v>
      </c>
      <c r="J14" s="734">
        <v>0.08</v>
      </c>
      <c r="K14" s="734">
        <v>5369.1275167785234</v>
      </c>
      <c r="L14" s="734"/>
      <c r="M14" s="734"/>
      <c r="N14" s="734" t="s">
        <v>1621</v>
      </c>
      <c r="O14" s="35"/>
      <c r="P14" s="35"/>
      <c r="Q14" s="35"/>
      <c r="R14" s="35"/>
      <c r="S14" s="35"/>
      <c r="T14" s="35"/>
      <c r="U14" s="35"/>
      <c r="V14" s="35"/>
      <c r="W14" s="35"/>
      <c r="X14" s="35"/>
      <c r="Y14" s="35"/>
      <c r="Z14" s="35"/>
      <c r="AA14" s="35"/>
      <c r="AB14" s="35"/>
    </row>
    <row r="15" spans="1:28" s="36" customFormat="1" ht="16.5" customHeight="1">
      <c r="A15" s="35"/>
      <c r="B15" s="728" t="s">
        <v>1445</v>
      </c>
      <c r="C15" s="729"/>
      <c r="D15" s="730" t="s">
        <v>1633</v>
      </c>
      <c r="E15" s="731" t="s">
        <v>1620</v>
      </c>
      <c r="F15" s="732"/>
      <c r="G15" s="733"/>
      <c r="H15" s="734"/>
      <c r="I15" s="734"/>
      <c r="J15" s="734"/>
      <c r="K15" s="734"/>
      <c r="L15" s="734"/>
      <c r="M15" s="734"/>
      <c r="N15" s="734" t="s">
        <v>1621</v>
      </c>
      <c r="O15" s="35"/>
      <c r="P15" s="35"/>
      <c r="Q15" s="35"/>
      <c r="R15" s="35"/>
      <c r="S15" s="35"/>
      <c r="T15" s="35"/>
      <c r="U15" s="35"/>
      <c r="V15" s="35"/>
      <c r="W15" s="35"/>
      <c r="X15" s="35"/>
      <c r="Y15" s="35"/>
      <c r="Z15" s="35"/>
      <c r="AA15" s="35"/>
      <c r="AB15" s="35"/>
    </row>
    <row r="16" spans="1:28" s="36" customFormat="1" ht="16.5" customHeight="1">
      <c r="A16" s="35"/>
      <c r="B16" s="728" t="s">
        <v>1632</v>
      </c>
      <c r="C16" s="729" t="s">
        <v>1305</v>
      </c>
      <c r="D16" s="730" t="s">
        <v>1633</v>
      </c>
      <c r="E16" s="731" t="s">
        <v>1620</v>
      </c>
      <c r="F16" s="732">
        <v>35399</v>
      </c>
      <c r="G16" s="733">
        <v>22.846153846153847</v>
      </c>
      <c r="H16" s="734">
        <v>1</v>
      </c>
      <c r="I16" s="734">
        <v>22.615384615384617</v>
      </c>
      <c r="J16" s="734">
        <v>6.1538461538461542E-2</v>
      </c>
      <c r="K16" s="734">
        <v>2721.0884353741494</v>
      </c>
      <c r="L16" s="734"/>
      <c r="M16" s="734"/>
      <c r="N16" s="734" t="s">
        <v>1621</v>
      </c>
      <c r="O16" s="35"/>
      <c r="P16" s="35"/>
      <c r="Q16" s="35"/>
      <c r="R16" s="35"/>
      <c r="S16" s="35"/>
      <c r="T16" s="35"/>
      <c r="U16" s="35"/>
      <c r="V16" s="35"/>
      <c r="W16" s="35"/>
      <c r="X16" s="35"/>
      <c r="Y16" s="35"/>
      <c r="Z16" s="35"/>
      <c r="AA16" s="35"/>
      <c r="AB16" s="35"/>
    </row>
    <row r="17" spans="1:161" s="36" customFormat="1" ht="16.5" customHeight="1">
      <c r="A17" s="35"/>
      <c r="B17" s="728" t="s">
        <v>1634</v>
      </c>
      <c r="C17" s="729"/>
      <c r="D17" s="730" t="s">
        <v>1619</v>
      </c>
      <c r="E17" s="731" t="s">
        <v>1625</v>
      </c>
      <c r="F17" s="732"/>
      <c r="G17" s="733"/>
      <c r="H17" s="734"/>
      <c r="I17" s="734"/>
      <c r="J17" s="734"/>
      <c r="K17" s="734"/>
      <c r="L17" s="734"/>
      <c r="M17" s="734"/>
      <c r="N17" s="734" t="s">
        <v>1621</v>
      </c>
      <c r="O17" s="35"/>
      <c r="P17" s="35"/>
      <c r="Q17" s="35"/>
      <c r="R17" s="35"/>
      <c r="S17" s="35"/>
      <c r="T17" s="35"/>
      <c r="U17" s="35"/>
      <c r="V17" s="35"/>
      <c r="W17" s="35"/>
      <c r="X17" s="35"/>
      <c r="Y17" s="35"/>
      <c r="Z17" s="35"/>
      <c r="AA17" s="35"/>
      <c r="AB17" s="35"/>
    </row>
    <row r="18" spans="1:161" s="36" customFormat="1" ht="16.5" customHeight="1">
      <c r="A18" s="35"/>
      <c r="B18" s="728" t="s">
        <v>1635</v>
      </c>
      <c r="C18" s="729" t="s">
        <v>1307</v>
      </c>
      <c r="D18" s="730" t="s">
        <v>1633</v>
      </c>
      <c r="E18" s="731" t="s">
        <v>1620</v>
      </c>
      <c r="F18" s="732">
        <v>37134</v>
      </c>
      <c r="G18" s="733">
        <v>123.14285700807548</v>
      </c>
      <c r="H18" s="734">
        <v>0.17401392130414986</v>
      </c>
      <c r="I18" s="734">
        <v>122.92857129378977</v>
      </c>
      <c r="J18" s="734">
        <v>0.22142857142857142</v>
      </c>
      <c r="K18" s="734">
        <v>1801.278328529291</v>
      </c>
      <c r="L18" s="734"/>
      <c r="M18" s="734"/>
      <c r="N18" s="734" t="s">
        <v>1621</v>
      </c>
      <c r="O18" s="35"/>
      <c r="P18" s="35"/>
      <c r="Q18" s="35"/>
      <c r="R18" s="35"/>
      <c r="S18" s="35"/>
      <c r="T18" s="35"/>
      <c r="U18" s="35"/>
      <c r="V18" s="35"/>
      <c r="W18" s="35"/>
      <c r="X18" s="35"/>
      <c r="Y18" s="35"/>
      <c r="Z18" s="35"/>
      <c r="AA18" s="35"/>
      <c r="AB18" s="35"/>
    </row>
    <row r="19" spans="1:161" s="36" customFormat="1" ht="16.5" customHeight="1">
      <c r="A19" s="35"/>
      <c r="B19" s="728" t="s">
        <v>1636</v>
      </c>
      <c r="C19" s="729" t="s">
        <v>1305</v>
      </c>
      <c r="D19" s="730" t="s">
        <v>1633</v>
      </c>
      <c r="E19" s="731" t="s">
        <v>1620</v>
      </c>
      <c r="F19" s="732">
        <v>33572</v>
      </c>
      <c r="G19" s="733">
        <v>247.58620689655174</v>
      </c>
      <c r="H19" s="734">
        <v>68.412256302450203</v>
      </c>
      <c r="I19" s="734">
        <v>78.206896464968125</v>
      </c>
      <c r="J19" s="734">
        <v>9.6551724137931033E-2</v>
      </c>
      <c r="K19" s="734">
        <v>1234.5679026040914</v>
      </c>
      <c r="L19" s="734"/>
      <c r="M19" s="734"/>
      <c r="N19" s="734" t="s">
        <v>1621</v>
      </c>
      <c r="O19" s="35"/>
      <c r="P19" s="35"/>
      <c r="Q19" s="35"/>
      <c r="R19" s="35"/>
      <c r="S19" s="35"/>
      <c r="T19" s="35"/>
      <c r="U19" s="35"/>
      <c r="V19" s="35"/>
      <c r="W19" s="35"/>
      <c r="X19" s="35"/>
      <c r="Y19" s="35"/>
      <c r="Z19" s="35"/>
      <c r="AA19" s="35"/>
      <c r="AB19" s="35"/>
    </row>
    <row r="20" spans="1:161" s="36" customFormat="1" ht="16.5" customHeight="1">
      <c r="A20" s="35"/>
      <c r="B20" s="728" t="s">
        <v>1637</v>
      </c>
      <c r="C20" s="729"/>
      <c r="D20" s="730" t="s">
        <v>1619</v>
      </c>
      <c r="E20" s="731" t="s">
        <v>1625</v>
      </c>
      <c r="F20" s="732"/>
      <c r="G20" s="733"/>
      <c r="H20" s="734"/>
      <c r="I20" s="734"/>
      <c r="J20" s="734"/>
      <c r="K20" s="734"/>
      <c r="L20" s="734"/>
      <c r="M20" s="734"/>
      <c r="N20" s="734"/>
      <c r="O20" s="35"/>
      <c r="P20" s="35"/>
      <c r="Q20" s="35"/>
      <c r="R20" s="35"/>
      <c r="S20" s="35"/>
      <c r="T20" s="35"/>
      <c r="U20" s="35"/>
      <c r="V20" s="35"/>
      <c r="W20" s="35"/>
      <c r="X20" s="35"/>
      <c r="Y20" s="35"/>
      <c r="Z20" s="35"/>
      <c r="AA20" s="35"/>
      <c r="AB20" s="35"/>
    </row>
    <row r="21" spans="1:161" s="18" customFormat="1" ht="20.25" customHeight="1">
      <c r="A21" s="51"/>
      <c r="B21" s="728" t="s">
        <v>1638</v>
      </c>
      <c r="C21" s="729"/>
      <c r="D21" s="730" t="s">
        <v>1619</v>
      </c>
      <c r="E21" s="731" t="s">
        <v>1625</v>
      </c>
      <c r="F21" s="732"/>
      <c r="G21" s="733"/>
      <c r="H21" s="734"/>
      <c r="I21" s="734"/>
      <c r="J21" s="734"/>
      <c r="K21" s="734"/>
      <c r="L21" s="734"/>
      <c r="M21" s="734"/>
      <c r="N21" s="734" t="s">
        <v>1621</v>
      </c>
      <c r="O21" s="19"/>
      <c r="P21" s="19"/>
      <c r="Q21" s="19"/>
      <c r="R21" s="19"/>
      <c r="S21" s="19"/>
      <c r="T21" s="19"/>
      <c r="U21" s="19"/>
      <c r="V21" s="19"/>
      <c r="W21" s="19"/>
      <c r="X21" s="19"/>
      <c r="Y21" s="19"/>
      <c r="Z21" s="19"/>
      <c r="AA21" s="19"/>
      <c r="AB21" s="19"/>
      <c r="FE21" s="54"/>
    </row>
    <row r="22" spans="1:161" s="18" customFormat="1" ht="18" customHeight="1">
      <c r="A22" s="51"/>
      <c r="B22" s="728" t="s">
        <v>1639</v>
      </c>
      <c r="C22" s="729"/>
      <c r="D22" s="730" t="s">
        <v>1619</v>
      </c>
      <c r="E22" s="731" t="s">
        <v>1625</v>
      </c>
      <c r="F22" s="732"/>
      <c r="G22" s="733"/>
      <c r="H22" s="734"/>
      <c r="I22" s="734"/>
      <c r="J22" s="734"/>
      <c r="K22" s="734"/>
      <c r="L22" s="734"/>
      <c r="M22" s="734"/>
      <c r="N22" s="734" t="s">
        <v>1621</v>
      </c>
      <c r="O22" s="19"/>
      <c r="P22" s="19"/>
      <c r="Q22" s="19"/>
      <c r="R22" s="19"/>
      <c r="S22" s="19"/>
      <c r="T22" s="19"/>
      <c r="U22" s="19"/>
      <c r="V22" s="19"/>
      <c r="W22" s="19"/>
      <c r="X22" s="19"/>
      <c r="Y22" s="19"/>
      <c r="Z22" s="19"/>
      <c r="AA22" s="19"/>
      <c r="AB22" s="19"/>
      <c r="FE22" s="54"/>
    </row>
    <row r="23" spans="1:161" s="18" customFormat="1" ht="18" customHeight="1">
      <c r="A23" s="51"/>
      <c r="B23" s="728" t="s">
        <v>1640</v>
      </c>
      <c r="C23" s="729"/>
      <c r="D23" s="730" t="s">
        <v>1633</v>
      </c>
      <c r="E23" s="731" t="s">
        <v>1625</v>
      </c>
      <c r="F23" s="732"/>
      <c r="G23" s="733"/>
      <c r="H23" s="734"/>
      <c r="I23" s="734"/>
      <c r="J23" s="734"/>
      <c r="K23" s="734"/>
      <c r="L23" s="734"/>
      <c r="M23" s="734"/>
      <c r="N23" s="734" t="s">
        <v>1621</v>
      </c>
      <c r="O23" s="19"/>
      <c r="P23" s="19"/>
      <c r="Q23" s="19"/>
      <c r="R23" s="19"/>
      <c r="S23" s="19"/>
      <c r="T23" s="19"/>
      <c r="U23" s="19"/>
      <c r="V23" s="19"/>
      <c r="W23" s="19"/>
      <c r="X23" s="19"/>
      <c r="Y23" s="19"/>
      <c r="Z23" s="19"/>
      <c r="AA23" s="19"/>
      <c r="AB23" s="19"/>
      <c r="FE23" s="54"/>
    </row>
    <row r="24" spans="1:161" s="18" customFormat="1" ht="18" customHeight="1">
      <c r="A24" s="51"/>
      <c r="B24" s="728" t="s">
        <v>1641</v>
      </c>
      <c r="C24" s="729"/>
      <c r="D24" s="730" t="s">
        <v>1633</v>
      </c>
      <c r="E24" s="731" t="s">
        <v>1625</v>
      </c>
      <c r="F24" s="732"/>
      <c r="G24" s="733"/>
      <c r="H24" s="734"/>
      <c r="I24" s="734"/>
      <c r="J24" s="734"/>
      <c r="K24" s="734"/>
      <c r="L24" s="734"/>
      <c r="M24" s="734"/>
      <c r="N24" s="734"/>
      <c r="O24" s="19"/>
      <c r="P24" s="19"/>
      <c r="Q24" s="19"/>
      <c r="R24" s="19"/>
      <c r="S24" s="19"/>
      <c r="T24" s="19"/>
      <c r="U24" s="19"/>
      <c r="V24" s="19"/>
      <c r="W24" s="19"/>
      <c r="X24" s="19"/>
      <c r="Y24" s="19"/>
      <c r="Z24" s="19"/>
      <c r="AA24" s="19"/>
      <c r="AB24" s="19"/>
      <c r="FE24" s="54"/>
    </row>
    <row r="25" spans="1:161" s="18" customFormat="1" ht="18" customHeight="1">
      <c r="A25" s="51"/>
      <c r="B25" s="728" t="s">
        <v>1643</v>
      </c>
      <c r="C25" s="729"/>
      <c r="D25" s="730" t="s">
        <v>1619</v>
      </c>
      <c r="E25" s="731" t="s">
        <v>1625</v>
      </c>
      <c r="F25" s="732"/>
      <c r="G25" s="733"/>
      <c r="H25" s="734"/>
      <c r="I25" s="734"/>
      <c r="J25" s="734"/>
      <c r="K25" s="734"/>
      <c r="L25" s="734"/>
      <c r="M25" s="734"/>
      <c r="N25" s="734" t="s">
        <v>1621</v>
      </c>
      <c r="O25" s="19"/>
      <c r="P25" s="19"/>
      <c r="Q25" s="19"/>
      <c r="R25" s="19"/>
      <c r="S25" s="19"/>
      <c r="T25" s="19"/>
      <c r="U25" s="19"/>
      <c r="V25" s="19"/>
      <c r="W25" s="19"/>
      <c r="X25" s="19"/>
      <c r="Y25" s="19"/>
      <c r="Z25" s="19"/>
      <c r="AA25" s="19"/>
      <c r="AB25" s="19"/>
      <c r="FE25" s="54"/>
    </row>
    <row r="26" spans="1:161" s="18" customFormat="1" ht="18" customHeight="1">
      <c r="A26" s="51"/>
      <c r="B26" s="728" t="s">
        <v>1644</v>
      </c>
      <c r="C26" s="729" t="s">
        <v>272</v>
      </c>
      <c r="D26" s="730" t="s">
        <v>1633</v>
      </c>
      <c r="E26" s="731" t="s">
        <v>1620</v>
      </c>
      <c r="F26" s="732">
        <v>40565</v>
      </c>
      <c r="G26" s="733">
        <v>3</v>
      </c>
      <c r="H26" s="734">
        <v>0.33333333333333298</v>
      </c>
      <c r="I26" s="734">
        <v>2.99</v>
      </c>
      <c r="J26" s="734">
        <v>0.41127509800000006</v>
      </c>
      <c r="K26" s="734">
        <v>137550.20000000001</v>
      </c>
      <c r="L26" s="734"/>
      <c r="M26" s="734"/>
      <c r="N26" s="734" t="s">
        <v>1621</v>
      </c>
      <c r="O26" s="19"/>
      <c r="P26" s="19"/>
      <c r="Q26" s="19"/>
      <c r="R26" s="19"/>
      <c r="S26" s="19"/>
      <c r="T26" s="19"/>
      <c r="U26" s="19"/>
      <c r="V26" s="19"/>
      <c r="W26" s="19"/>
      <c r="X26" s="19"/>
      <c r="Y26" s="19"/>
      <c r="Z26" s="19"/>
      <c r="AA26" s="19"/>
      <c r="AB26" s="19"/>
      <c r="FE26" s="54"/>
    </row>
    <row r="27" spans="1:161" s="18" customFormat="1" ht="18" customHeight="1">
      <c r="A27" s="51"/>
      <c r="B27" s="728" t="s">
        <v>1645</v>
      </c>
      <c r="C27" s="729" t="s">
        <v>24</v>
      </c>
      <c r="D27" s="730" t="s">
        <v>1633</v>
      </c>
      <c r="E27" s="731" t="s">
        <v>1620</v>
      </c>
      <c r="F27" s="732">
        <v>40426</v>
      </c>
      <c r="G27" s="733">
        <v>42</v>
      </c>
      <c r="H27" s="734">
        <v>0</v>
      </c>
      <c r="I27" s="734">
        <v>42</v>
      </c>
      <c r="J27" s="734">
        <v>0.95999987999999992</v>
      </c>
      <c r="K27" s="734">
        <v>22857.14</v>
      </c>
      <c r="L27" s="734"/>
      <c r="M27" s="734"/>
      <c r="N27" s="734" t="s">
        <v>1621</v>
      </c>
      <c r="O27" s="19"/>
      <c r="P27" s="19"/>
      <c r="Q27" s="19"/>
      <c r="R27" s="19"/>
      <c r="S27" s="19"/>
      <c r="T27" s="19"/>
      <c r="U27" s="19"/>
      <c r="V27" s="19"/>
      <c r="W27" s="19"/>
      <c r="X27" s="19"/>
      <c r="Y27" s="19"/>
      <c r="Z27" s="19"/>
      <c r="AA27" s="19"/>
      <c r="AB27" s="19"/>
      <c r="FE27" s="54"/>
    </row>
    <row r="28" spans="1:161" s="18" customFormat="1" ht="18" customHeight="1">
      <c r="A28" s="51"/>
      <c r="B28" s="728" t="s">
        <v>1646</v>
      </c>
      <c r="C28" s="729" t="s">
        <v>1305</v>
      </c>
      <c r="D28" s="730" t="s">
        <v>1633</v>
      </c>
      <c r="E28" s="731" t="s">
        <v>1620</v>
      </c>
      <c r="F28" s="732">
        <v>39082</v>
      </c>
      <c r="G28" s="733">
        <v>263.99999942343402</v>
      </c>
      <c r="H28" s="734">
        <v>8</v>
      </c>
      <c r="I28" s="734">
        <v>243.44444392029357</v>
      </c>
      <c r="J28" s="734">
        <v>1.0333333333333334</v>
      </c>
      <c r="K28" s="734">
        <v>4244.6371611243603</v>
      </c>
      <c r="L28" s="734"/>
      <c r="M28" s="734"/>
      <c r="N28" s="734" t="s">
        <v>1621</v>
      </c>
      <c r="O28" s="19"/>
      <c r="P28" s="19"/>
      <c r="Q28" s="19"/>
      <c r="R28" s="19"/>
      <c r="S28" s="19"/>
      <c r="T28" s="19"/>
      <c r="U28" s="19"/>
      <c r="V28" s="19"/>
      <c r="W28" s="19"/>
      <c r="X28" s="19"/>
      <c r="Y28" s="19"/>
      <c r="Z28" s="19"/>
      <c r="AA28" s="19"/>
      <c r="AB28" s="19"/>
      <c r="FE28" s="54"/>
    </row>
    <row r="29" spans="1:161" s="18" customFormat="1" ht="18" customHeight="1">
      <c r="A29" s="51"/>
      <c r="B29" s="728" t="s">
        <v>1556</v>
      </c>
      <c r="C29" s="729"/>
      <c r="D29" s="730" t="s">
        <v>18</v>
      </c>
      <c r="E29" s="731"/>
      <c r="F29" s="732"/>
      <c r="G29" s="733"/>
      <c r="H29" s="734"/>
      <c r="I29" s="734"/>
      <c r="J29" s="734"/>
      <c r="K29" s="734"/>
      <c r="L29" s="734"/>
      <c r="M29" s="734"/>
      <c r="N29" s="734"/>
      <c r="O29" s="19"/>
      <c r="P29" s="19"/>
      <c r="Q29" s="19"/>
      <c r="R29" s="19"/>
      <c r="S29" s="19"/>
      <c r="T29" s="19"/>
      <c r="U29" s="19"/>
      <c r="V29" s="19"/>
      <c r="W29" s="19"/>
      <c r="X29" s="19"/>
      <c r="Y29" s="19"/>
      <c r="Z29" s="19"/>
      <c r="AA29" s="19"/>
      <c r="AB29" s="19"/>
      <c r="FE29" s="54"/>
    </row>
    <row r="30" spans="1:161" s="18" customFormat="1" ht="18" customHeight="1">
      <c r="A30" s="51"/>
      <c r="B30" s="728" t="s">
        <v>1676</v>
      </c>
      <c r="C30" s="729"/>
      <c r="D30" s="730" t="s">
        <v>18</v>
      </c>
      <c r="E30" s="731"/>
      <c r="F30" s="732"/>
      <c r="G30" s="733"/>
      <c r="H30" s="734"/>
      <c r="I30" s="734"/>
      <c r="J30" s="734"/>
      <c r="K30" s="734"/>
      <c r="L30" s="734"/>
      <c r="M30" s="734"/>
      <c r="N30" s="734"/>
      <c r="O30" s="19"/>
      <c r="P30" s="19"/>
      <c r="Q30" s="19"/>
      <c r="R30" s="19"/>
      <c r="S30" s="19"/>
      <c r="T30" s="19"/>
      <c r="U30" s="19"/>
      <c r="V30" s="19"/>
      <c r="W30" s="19"/>
      <c r="X30" s="19"/>
      <c r="Y30" s="19"/>
      <c r="Z30" s="19"/>
      <c r="AA30" s="19"/>
      <c r="AB30" s="19"/>
      <c r="FE30" s="54"/>
    </row>
    <row r="31" spans="1:161" s="18" customFormat="1" ht="18" customHeight="1">
      <c r="A31" s="51"/>
      <c r="B31" s="728" t="s">
        <v>1647</v>
      </c>
      <c r="C31" s="729" t="s">
        <v>1307</v>
      </c>
      <c r="D31" s="730" t="s">
        <v>1633</v>
      </c>
      <c r="E31" s="731" t="s">
        <v>1620</v>
      </c>
      <c r="F31" s="732">
        <v>35674</v>
      </c>
      <c r="G31" s="733">
        <v>452.87</v>
      </c>
      <c r="H31" s="734">
        <v>22.200631527811499</v>
      </c>
      <c r="I31" s="734">
        <v>352.33</v>
      </c>
      <c r="J31" s="734">
        <v>1.9052949410000002</v>
      </c>
      <c r="K31" s="734">
        <v>5407.7</v>
      </c>
      <c r="L31" s="734"/>
      <c r="M31" s="734"/>
      <c r="N31" s="734" t="s">
        <v>1621</v>
      </c>
      <c r="O31" s="19"/>
      <c r="P31" s="19"/>
      <c r="Q31" s="19"/>
      <c r="R31" s="19"/>
      <c r="S31" s="19"/>
      <c r="T31" s="19"/>
      <c r="U31" s="19"/>
      <c r="V31" s="19"/>
      <c r="W31" s="19"/>
      <c r="X31" s="19"/>
      <c r="Y31" s="19"/>
      <c r="Z31" s="19"/>
      <c r="AA31" s="19"/>
      <c r="AB31" s="19"/>
      <c r="FE31" s="54"/>
    </row>
    <row r="32" spans="1:161" s="18" customFormat="1" ht="18" customHeight="1">
      <c r="A32" s="51"/>
      <c r="B32" s="728" t="s">
        <v>1648</v>
      </c>
      <c r="C32" s="729" t="s">
        <v>1537</v>
      </c>
      <c r="D32" s="730" t="s">
        <v>1633</v>
      </c>
      <c r="E32" s="731" t="s">
        <v>1620</v>
      </c>
      <c r="F32" s="732">
        <v>36373</v>
      </c>
      <c r="G32" s="733">
        <v>880.57</v>
      </c>
      <c r="H32" s="734">
        <v>80.000454251223601</v>
      </c>
      <c r="I32" s="734">
        <v>176.11</v>
      </c>
      <c r="J32" s="734">
        <v>6.9516129243000133</v>
      </c>
      <c r="K32" s="734">
        <v>39473.129999999997</v>
      </c>
      <c r="L32" s="734"/>
      <c r="M32" s="734"/>
      <c r="N32" s="734" t="s">
        <v>1621</v>
      </c>
      <c r="O32" s="19"/>
      <c r="P32" s="19"/>
      <c r="Q32" s="19"/>
      <c r="R32" s="19"/>
      <c r="S32" s="19"/>
      <c r="T32" s="19"/>
      <c r="U32" s="19"/>
      <c r="V32" s="19"/>
      <c r="W32" s="19"/>
      <c r="X32" s="19"/>
      <c r="Y32" s="19"/>
      <c r="Z32" s="19"/>
      <c r="AA32" s="19"/>
      <c r="AB32" s="19"/>
      <c r="FE32" s="54"/>
    </row>
    <row r="33" spans="1:161" s="18" customFormat="1" ht="18" customHeight="1">
      <c r="A33" s="51"/>
      <c r="B33" s="728" t="s">
        <v>1649</v>
      </c>
      <c r="C33" s="729"/>
      <c r="D33" s="730" t="s">
        <v>1619</v>
      </c>
      <c r="E33" s="731" t="s">
        <v>1625</v>
      </c>
      <c r="F33" s="732"/>
      <c r="G33" s="733"/>
      <c r="H33" s="734"/>
      <c r="I33" s="734"/>
      <c r="J33" s="734"/>
      <c r="K33" s="734"/>
      <c r="L33" s="734"/>
      <c r="M33" s="734"/>
      <c r="N33" s="734" t="s">
        <v>1621</v>
      </c>
      <c r="O33" s="19"/>
      <c r="P33" s="19"/>
      <c r="Q33" s="19"/>
      <c r="R33" s="19"/>
      <c r="S33" s="19"/>
      <c r="T33" s="19"/>
      <c r="U33" s="19"/>
      <c r="V33" s="19"/>
      <c r="W33" s="19"/>
      <c r="X33" s="19"/>
      <c r="Y33" s="19"/>
      <c r="Z33" s="19"/>
      <c r="AA33" s="19"/>
      <c r="AB33" s="19"/>
      <c r="FE33" s="54"/>
    </row>
    <row r="34" spans="1:161" s="18" customFormat="1" ht="18" customHeight="1">
      <c r="A34" s="51"/>
      <c r="B34" s="728" t="s">
        <v>1314</v>
      </c>
      <c r="C34" s="729" t="s">
        <v>1307</v>
      </c>
      <c r="D34" s="730" t="s">
        <v>1633</v>
      </c>
      <c r="E34" s="731" t="s">
        <v>1620</v>
      </c>
      <c r="F34" s="732">
        <v>40179</v>
      </c>
      <c r="G34" s="733">
        <v>490.6</v>
      </c>
      <c r="H34" s="734">
        <v>5.0998777007745604</v>
      </c>
      <c r="I34" s="734">
        <v>465.58</v>
      </c>
      <c r="J34" s="734">
        <v>10.461256693999999</v>
      </c>
      <c r="K34" s="734">
        <v>22469.3</v>
      </c>
      <c r="L34" s="734"/>
      <c r="M34" s="734"/>
      <c r="N34" s="734"/>
      <c r="O34" s="19"/>
      <c r="P34" s="19"/>
      <c r="Q34" s="19"/>
      <c r="R34" s="19"/>
      <c r="S34" s="19"/>
      <c r="T34" s="19"/>
      <c r="U34" s="19"/>
      <c r="V34" s="19"/>
      <c r="W34" s="19"/>
      <c r="X34" s="19"/>
      <c r="Y34" s="19"/>
      <c r="Z34" s="19"/>
      <c r="AA34" s="19"/>
      <c r="AB34" s="19"/>
      <c r="FE34" s="54"/>
    </row>
    <row r="35" spans="1:161" s="18" customFormat="1" ht="18" customHeight="1">
      <c r="A35" s="51"/>
      <c r="B35" s="728" t="s">
        <v>1650</v>
      </c>
      <c r="C35" s="729"/>
      <c r="D35" s="730" t="s">
        <v>1619</v>
      </c>
      <c r="E35" s="731" t="s">
        <v>1625</v>
      </c>
      <c r="F35" s="732"/>
      <c r="G35" s="733"/>
      <c r="H35" s="734"/>
      <c r="I35" s="734"/>
      <c r="J35" s="734"/>
      <c r="K35" s="734"/>
      <c r="L35" s="734"/>
      <c r="M35" s="734"/>
      <c r="N35" s="734" t="s">
        <v>1621</v>
      </c>
      <c r="O35" s="19"/>
      <c r="P35" s="19"/>
      <c r="Q35" s="19"/>
      <c r="R35" s="19"/>
      <c r="S35" s="19"/>
      <c r="T35" s="19"/>
      <c r="U35" s="19"/>
      <c r="V35" s="19"/>
      <c r="W35" s="19"/>
      <c r="X35" s="19"/>
      <c r="Y35" s="19"/>
      <c r="Z35" s="19"/>
      <c r="AA35" s="19"/>
      <c r="AB35" s="19"/>
      <c r="FE35" s="54"/>
    </row>
    <row r="36" spans="1:161" s="18" customFormat="1" ht="18" customHeight="1">
      <c r="A36" s="51"/>
      <c r="B36" s="728" t="s">
        <v>1651</v>
      </c>
      <c r="C36" s="729"/>
      <c r="D36" s="730" t="s">
        <v>1619</v>
      </c>
      <c r="E36" s="731" t="s">
        <v>1625</v>
      </c>
      <c r="F36" s="732"/>
      <c r="G36" s="733"/>
      <c r="H36" s="734"/>
      <c r="I36" s="734"/>
      <c r="J36" s="734"/>
      <c r="K36" s="734"/>
      <c r="L36" s="734"/>
      <c r="M36" s="734"/>
      <c r="N36" s="734" t="s">
        <v>1621</v>
      </c>
      <c r="O36" s="19"/>
      <c r="P36" s="19"/>
      <c r="Q36" s="19"/>
      <c r="R36" s="19"/>
      <c r="S36" s="19"/>
      <c r="T36" s="19"/>
      <c r="U36" s="19"/>
      <c r="V36" s="19"/>
      <c r="W36" s="19"/>
      <c r="X36" s="19"/>
      <c r="Y36" s="19"/>
      <c r="Z36" s="19"/>
      <c r="AA36" s="19"/>
      <c r="AB36" s="19"/>
      <c r="FE36" s="54"/>
    </row>
    <row r="37" spans="1:161" s="18" customFormat="1" ht="18" customHeight="1">
      <c r="A37" s="51"/>
      <c r="B37" s="728" t="s">
        <v>1652</v>
      </c>
      <c r="C37" s="729"/>
      <c r="D37" s="730" t="s">
        <v>1619</v>
      </c>
      <c r="E37" s="731" t="s">
        <v>1625</v>
      </c>
      <c r="F37" s="732"/>
      <c r="G37" s="733"/>
      <c r="H37" s="734"/>
      <c r="I37" s="734"/>
      <c r="J37" s="734"/>
      <c r="K37" s="734"/>
      <c r="L37" s="734"/>
      <c r="M37" s="734"/>
      <c r="N37" s="734" t="s">
        <v>1621</v>
      </c>
      <c r="O37" s="19"/>
      <c r="P37" s="19"/>
      <c r="Q37" s="19"/>
      <c r="R37" s="19"/>
      <c r="S37" s="19"/>
      <c r="T37" s="19"/>
      <c r="U37" s="19"/>
      <c r="V37" s="19"/>
      <c r="W37" s="19"/>
      <c r="X37" s="19"/>
      <c r="Y37" s="19"/>
      <c r="Z37" s="19"/>
      <c r="AA37" s="19"/>
      <c r="AB37" s="19"/>
      <c r="FE37" s="54"/>
    </row>
    <row r="38" spans="1:161" s="18" customFormat="1" ht="18" customHeight="1">
      <c r="A38" s="51"/>
      <c r="B38" s="728" t="s">
        <v>1319</v>
      </c>
      <c r="C38" s="729" t="s">
        <v>272</v>
      </c>
      <c r="D38" s="730" t="s">
        <v>1633</v>
      </c>
      <c r="E38" s="731" t="s">
        <v>1653</v>
      </c>
      <c r="F38" s="732">
        <v>40330</v>
      </c>
      <c r="G38" s="733">
        <v>1579</v>
      </c>
      <c r="H38" s="734">
        <v>96</v>
      </c>
      <c r="I38" s="734">
        <v>1520</v>
      </c>
      <c r="J38" s="734">
        <v>29.15</v>
      </c>
      <c r="K38" s="734">
        <v>499032</v>
      </c>
      <c r="L38" s="734"/>
      <c r="M38" s="734"/>
      <c r="N38" s="734" t="s">
        <v>1621</v>
      </c>
      <c r="O38" s="19"/>
      <c r="P38" s="19"/>
      <c r="Q38" s="19"/>
      <c r="R38" s="19"/>
      <c r="S38" s="19"/>
      <c r="T38" s="19"/>
      <c r="U38" s="19"/>
      <c r="V38" s="19"/>
      <c r="W38" s="19"/>
      <c r="X38" s="19"/>
      <c r="Y38" s="19"/>
      <c r="Z38" s="19"/>
      <c r="AA38" s="19"/>
      <c r="AB38" s="19"/>
      <c r="FE38" s="54"/>
    </row>
    <row r="39" spans="1:161" s="18" customFormat="1" ht="18" customHeight="1">
      <c r="A39" s="51"/>
      <c r="B39" s="728" t="s">
        <v>1654</v>
      </c>
      <c r="C39" s="729"/>
      <c r="D39" s="730" t="s">
        <v>1619</v>
      </c>
      <c r="E39" s="731" t="s">
        <v>1625</v>
      </c>
      <c r="F39" s="732"/>
      <c r="G39" s="733"/>
      <c r="H39" s="734"/>
      <c r="I39" s="734"/>
      <c r="J39" s="734"/>
      <c r="K39" s="734"/>
      <c r="L39" s="734"/>
      <c r="M39" s="734"/>
      <c r="N39" s="734" t="s">
        <v>1621</v>
      </c>
      <c r="O39" s="19"/>
      <c r="P39" s="19"/>
      <c r="Q39" s="19"/>
      <c r="R39" s="19"/>
      <c r="S39" s="19"/>
      <c r="T39" s="19"/>
      <c r="U39" s="19"/>
      <c r="V39" s="19"/>
      <c r="W39" s="19"/>
      <c r="X39" s="19"/>
      <c r="Y39" s="19"/>
      <c r="Z39" s="19"/>
      <c r="AA39" s="19"/>
      <c r="AB39" s="19"/>
      <c r="FE39" s="54"/>
    </row>
    <row r="40" spans="1:161" s="18" customFormat="1" ht="18" customHeight="1">
      <c r="A40" s="51"/>
      <c r="B40" s="728" t="s">
        <v>1655</v>
      </c>
      <c r="C40" s="729"/>
      <c r="D40" s="730" t="s">
        <v>1619</v>
      </c>
      <c r="E40" s="731" t="s">
        <v>1625</v>
      </c>
      <c r="F40" s="732"/>
      <c r="G40" s="733"/>
      <c r="H40" s="734"/>
      <c r="I40" s="734"/>
      <c r="J40" s="734"/>
      <c r="K40" s="734"/>
      <c r="L40" s="734"/>
      <c r="M40" s="734"/>
      <c r="N40" s="734" t="s">
        <v>1621</v>
      </c>
      <c r="O40" s="19"/>
      <c r="P40" s="19"/>
      <c r="Q40" s="19"/>
      <c r="R40" s="19"/>
      <c r="S40" s="19"/>
      <c r="T40" s="19"/>
      <c r="U40" s="19"/>
      <c r="V40" s="19"/>
      <c r="W40" s="19"/>
      <c r="X40" s="19"/>
      <c r="Y40" s="19"/>
      <c r="Z40" s="19"/>
      <c r="AA40" s="19"/>
      <c r="AB40" s="19"/>
      <c r="FE40" s="54"/>
    </row>
    <row r="41" spans="1:161" s="18" customFormat="1" ht="18" customHeight="1">
      <c r="A41" s="51"/>
      <c r="B41" s="728" t="s">
        <v>1656</v>
      </c>
      <c r="C41" s="729"/>
      <c r="D41" s="730" t="s">
        <v>1627</v>
      </c>
      <c r="E41" s="731" t="s">
        <v>1657</v>
      </c>
      <c r="F41" s="732"/>
      <c r="G41" s="733"/>
      <c r="H41" s="734"/>
      <c r="I41" s="734"/>
      <c r="J41" s="734"/>
      <c r="K41" s="734"/>
      <c r="L41" s="734"/>
      <c r="M41" s="734"/>
      <c r="N41" s="734" t="s">
        <v>1621</v>
      </c>
      <c r="O41" s="19"/>
      <c r="P41" s="19"/>
      <c r="Q41" s="19"/>
      <c r="R41" s="19"/>
      <c r="S41" s="19"/>
      <c r="T41" s="19"/>
      <c r="U41" s="19"/>
      <c r="V41" s="19"/>
      <c r="W41" s="19"/>
      <c r="X41" s="19"/>
      <c r="Y41" s="19"/>
      <c r="Z41" s="19"/>
      <c r="AA41" s="19"/>
      <c r="AB41" s="19"/>
      <c r="FE41" s="54"/>
    </row>
    <row r="42" spans="1:161" s="18" customFormat="1" ht="18" customHeight="1">
      <c r="A42" s="51"/>
      <c r="B42" s="728" t="s">
        <v>1658</v>
      </c>
      <c r="C42" s="729"/>
      <c r="D42" s="730" t="s">
        <v>1619</v>
      </c>
      <c r="E42" s="731" t="s">
        <v>1659</v>
      </c>
      <c r="F42" s="732"/>
      <c r="G42" s="733"/>
      <c r="H42" s="734"/>
      <c r="I42" s="734"/>
      <c r="J42" s="734"/>
      <c r="K42" s="734"/>
      <c r="L42" s="734"/>
      <c r="M42" s="734"/>
      <c r="N42" s="734" t="s">
        <v>1621</v>
      </c>
      <c r="O42" s="19"/>
      <c r="P42" s="19"/>
      <c r="Q42" s="19"/>
      <c r="R42" s="19"/>
      <c r="S42" s="19"/>
      <c r="T42" s="19"/>
      <c r="U42" s="19"/>
      <c r="V42" s="19"/>
      <c r="W42" s="19"/>
      <c r="X42" s="19"/>
      <c r="Y42" s="19"/>
      <c r="Z42" s="19"/>
      <c r="AA42" s="19"/>
      <c r="AB42" s="19"/>
      <c r="FE42" s="54"/>
    </row>
    <row r="43" spans="1:161" s="18" customFormat="1" ht="18" customHeight="1">
      <c r="A43" s="51"/>
      <c r="B43" s="728" t="s">
        <v>1660</v>
      </c>
      <c r="C43" s="729"/>
      <c r="D43" s="730" t="s">
        <v>1619</v>
      </c>
      <c r="E43" s="731" t="s">
        <v>1625</v>
      </c>
      <c r="F43" s="732"/>
      <c r="G43" s="733"/>
      <c r="H43" s="734"/>
      <c r="I43" s="734"/>
      <c r="J43" s="734"/>
      <c r="K43" s="734"/>
      <c r="L43" s="734"/>
      <c r="M43" s="734"/>
      <c r="N43" s="734" t="s">
        <v>1621</v>
      </c>
      <c r="O43" s="19"/>
      <c r="P43" s="19"/>
      <c r="Q43" s="19"/>
      <c r="R43" s="19"/>
      <c r="S43" s="19"/>
      <c r="T43" s="19"/>
      <c r="U43" s="19"/>
      <c r="V43" s="19"/>
      <c r="W43" s="19"/>
      <c r="X43" s="19"/>
      <c r="Y43" s="19"/>
      <c r="Z43" s="19"/>
      <c r="AA43" s="19"/>
      <c r="AB43" s="19"/>
      <c r="FE43" s="54"/>
    </row>
    <row r="44" spans="1:161" s="18" customFormat="1" ht="18" customHeight="1">
      <c r="A44" s="51"/>
      <c r="B44" s="728" t="s">
        <v>1661</v>
      </c>
      <c r="C44" s="729"/>
      <c r="D44" s="730" t="s">
        <v>1619</v>
      </c>
      <c r="E44" s="731" t="s">
        <v>1625</v>
      </c>
      <c r="F44" s="732"/>
      <c r="G44" s="733"/>
      <c r="H44" s="734"/>
      <c r="I44" s="734"/>
      <c r="J44" s="734"/>
      <c r="K44" s="734"/>
      <c r="L44" s="734"/>
      <c r="M44" s="734"/>
      <c r="N44" s="734" t="s">
        <v>1621</v>
      </c>
      <c r="O44" s="19"/>
      <c r="P44" s="19"/>
      <c r="Q44" s="19"/>
      <c r="R44" s="19"/>
      <c r="S44" s="19"/>
      <c r="T44" s="19"/>
      <c r="U44" s="19"/>
      <c r="V44" s="19"/>
      <c r="W44" s="19"/>
      <c r="X44" s="19"/>
      <c r="Y44" s="19"/>
      <c r="Z44" s="19"/>
      <c r="AA44" s="19"/>
      <c r="AB44" s="19"/>
      <c r="FE44" s="54"/>
    </row>
    <row r="45" spans="1:161" s="18" customFormat="1" ht="18" customHeight="1">
      <c r="A45" s="51"/>
      <c r="B45" s="728" t="s">
        <v>1662</v>
      </c>
      <c r="C45" s="729"/>
      <c r="D45" s="730" t="s">
        <v>1619</v>
      </c>
      <c r="E45" s="731" t="s">
        <v>1663</v>
      </c>
      <c r="F45" s="732"/>
      <c r="G45" s="733"/>
      <c r="H45" s="734"/>
      <c r="I45" s="734"/>
      <c r="J45" s="734"/>
      <c r="K45" s="734"/>
      <c r="L45" s="734"/>
      <c r="M45" s="734"/>
      <c r="N45" s="734" t="s">
        <v>1621</v>
      </c>
      <c r="O45" s="19"/>
      <c r="P45" s="19"/>
      <c r="Q45" s="19"/>
      <c r="R45" s="19"/>
      <c r="S45" s="19"/>
      <c r="T45" s="19"/>
      <c r="U45" s="19"/>
      <c r="V45" s="19"/>
      <c r="W45" s="19"/>
      <c r="X45" s="19"/>
      <c r="Y45" s="19"/>
      <c r="Z45" s="19"/>
      <c r="AA45" s="19"/>
      <c r="AB45" s="19"/>
      <c r="FE45" s="54"/>
    </row>
    <row r="46" spans="1:161" s="18" customFormat="1" ht="18" customHeight="1">
      <c r="A46" s="51"/>
      <c r="B46" s="728" t="s">
        <v>1664</v>
      </c>
      <c r="C46" s="729"/>
      <c r="D46" s="730" t="s">
        <v>1619</v>
      </c>
      <c r="E46" s="731" t="s">
        <v>1625</v>
      </c>
      <c r="F46" s="732"/>
      <c r="G46" s="733"/>
      <c r="H46" s="734"/>
      <c r="I46" s="734"/>
      <c r="J46" s="734"/>
      <c r="K46" s="734"/>
      <c r="L46" s="734"/>
      <c r="M46" s="734"/>
      <c r="N46" s="734" t="s">
        <v>1621</v>
      </c>
      <c r="O46" s="19"/>
      <c r="P46" s="19"/>
      <c r="Q46" s="19"/>
      <c r="R46" s="19"/>
      <c r="S46" s="19"/>
      <c r="T46" s="19"/>
      <c r="U46" s="19"/>
      <c r="V46" s="19"/>
      <c r="W46" s="19"/>
      <c r="X46" s="19"/>
      <c r="Y46" s="19"/>
      <c r="Z46" s="19"/>
      <c r="AA46" s="19"/>
      <c r="AB46" s="19"/>
      <c r="FE46" s="54"/>
    </row>
    <row r="47" spans="1:161" s="18" customFormat="1" ht="18" customHeight="1">
      <c r="A47" s="51"/>
      <c r="B47" s="728" t="s">
        <v>1665</v>
      </c>
      <c r="C47" s="729"/>
      <c r="D47" s="730" t="s">
        <v>1619</v>
      </c>
      <c r="E47" s="731" t="s">
        <v>1625</v>
      </c>
      <c r="F47" s="732"/>
      <c r="G47" s="733"/>
      <c r="H47" s="734"/>
      <c r="I47" s="734"/>
      <c r="J47" s="734"/>
      <c r="K47" s="734"/>
      <c r="L47" s="734"/>
      <c r="M47" s="734"/>
      <c r="N47" s="734" t="s">
        <v>1621</v>
      </c>
      <c r="O47" s="19"/>
      <c r="P47" s="19"/>
      <c r="Q47" s="19"/>
      <c r="R47" s="19"/>
      <c r="S47" s="19"/>
      <c r="T47" s="19"/>
      <c r="U47" s="19"/>
      <c r="V47" s="19"/>
      <c r="W47" s="19"/>
      <c r="X47" s="19"/>
      <c r="Y47" s="19"/>
      <c r="Z47" s="19"/>
      <c r="AA47" s="19"/>
      <c r="AB47" s="19"/>
      <c r="FE47" s="54"/>
    </row>
    <row r="48" spans="1:161" s="18" customFormat="1">
      <c r="A48" s="51"/>
      <c r="B48" s="735"/>
      <c r="C48" s="735"/>
      <c r="D48" s="735"/>
      <c r="E48" s="735"/>
      <c r="F48" s="736"/>
      <c r="G48" s="735"/>
      <c r="H48" s="735"/>
      <c r="I48" s="735"/>
      <c r="J48" s="735"/>
      <c r="K48" s="735"/>
      <c r="L48" s="735"/>
      <c r="M48" s="735"/>
      <c r="N48" s="735"/>
      <c r="O48" s="19"/>
      <c r="P48" s="19"/>
      <c r="Q48" s="19"/>
      <c r="R48" s="19"/>
      <c r="S48" s="19"/>
      <c r="T48" s="19"/>
      <c r="U48" s="19"/>
      <c r="V48" s="19"/>
      <c r="W48" s="19"/>
      <c r="X48" s="19"/>
      <c r="Y48" s="19"/>
      <c r="Z48" s="19"/>
      <c r="AA48" s="19"/>
      <c r="AB48" s="19"/>
      <c r="FE48" s="54"/>
    </row>
    <row r="49" spans="1:161" s="18" customFormat="1">
      <c r="A49" s="51"/>
      <c r="B49" s="735"/>
      <c r="C49" s="735"/>
      <c r="D49" s="735"/>
      <c r="E49" s="735"/>
      <c r="F49" s="736"/>
      <c r="G49" s="735"/>
      <c r="H49" s="735"/>
      <c r="I49" s="735"/>
      <c r="J49" s="735"/>
      <c r="K49" s="735"/>
      <c r="L49" s="735"/>
      <c r="M49" s="735"/>
      <c r="N49" s="735"/>
      <c r="O49" s="19"/>
      <c r="P49" s="19"/>
      <c r="Q49" s="19"/>
      <c r="R49" s="19"/>
      <c r="S49" s="19"/>
      <c r="T49" s="19"/>
      <c r="U49" s="19"/>
      <c r="V49" s="19"/>
      <c r="W49" s="19"/>
      <c r="X49" s="19"/>
      <c r="Y49" s="19"/>
      <c r="Z49" s="19"/>
      <c r="AA49" s="19"/>
      <c r="AB49" s="19"/>
      <c r="FE49" s="54"/>
    </row>
    <row r="50" spans="1:161" s="18" customFormat="1">
      <c r="A50" s="51"/>
      <c r="B50" s="735"/>
      <c r="C50" s="735"/>
      <c r="D50" s="735"/>
      <c r="E50" s="735"/>
      <c r="F50" s="736"/>
      <c r="G50" s="735"/>
      <c r="H50" s="735"/>
      <c r="I50" s="735"/>
      <c r="J50" s="735"/>
      <c r="K50" s="735"/>
      <c r="L50" s="735"/>
      <c r="M50" s="735"/>
      <c r="N50" s="735"/>
      <c r="O50" s="19"/>
      <c r="P50" s="19"/>
      <c r="Q50" s="19"/>
      <c r="R50" s="19"/>
      <c r="S50" s="19"/>
      <c r="T50" s="19"/>
      <c r="U50" s="19"/>
      <c r="V50" s="19"/>
      <c r="W50" s="19"/>
      <c r="X50" s="19"/>
      <c r="Y50" s="19"/>
      <c r="Z50" s="19"/>
      <c r="AA50" s="19"/>
      <c r="AB50" s="19"/>
      <c r="FE50" s="54"/>
    </row>
    <row r="51" spans="1:161" s="18" customFormat="1">
      <c r="A51" s="51"/>
      <c r="B51" s="735"/>
      <c r="C51" s="735"/>
      <c r="D51" s="735"/>
      <c r="E51" s="735"/>
      <c r="F51" s="736"/>
      <c r="G51" s="735"/>
      <c r="H51" s="735"/>
      <c r="I51" s="735"/>
      <c r="J51" s="735"/>
      <c r="K51" s="735"/>
      <c r="L51" s="735"/>
      <c r="M51" s="735"/>
      <c r="N51" s="735"/>
      <c r="O51" s="19"/>
      <c r="P51" s="19"/>
      <c r="Q51" s="19"/>
      <c r="R51" s="19"/>
      <c r="S51" s="19"/>
      <c r="T51" s="19"/>
      <c r="U51" s="19"/>
      <c r="V51" s="19"/>
      <c r="W51" s="19"/>
      <c r="X51" s="19"/>
      <c r="Y51" s="19"/>
      <c r="Z51" s="19"/>
      <c r="AA51" s="19"/>
      <c r="AB51" s="19"/>
      <c r="FE51" s="54"/>
    </row>
    <row r="52" spans="1:161" s="18" customFormat="1">
      <c r="A52" s="51"/>
      <c r="B52" s="735"/>
      <c r="C52" s="735"/>
      <c r="D52" s="735"/>
      <c r="E52" s="735"/>
      <c r="F52" s="736"/>
      <c r="G52" s="735"/>
      <c r="H52" s="735"/>
      <c r="I52" s="735"/>
      <c r="J52" s="735"/>
      <c r="K52" s="735"/>
      <c r="L52" s="735"/>
      <c r="M52" s="735"/>
      <c r="N52" s="735"/>
      <c r="O52" s="19"/>
      <c r="P52" s="19"/>
      <c r="Q52" s="19"/>
      <c r="R52" s="19"/>
      <c r="S52" s="19"/>
      <c r="T52" s="19"/>
      <c r="U52" s="19"/>
      <c r="V52" s="19"/>
      <c r="W52" s="19"/>
      <c r="X52" s="19"/>
      <c r="Y52" s="19"/>
      <c r="Z52" s="19"/>
      <c r="AA52" s="19"/>
      <c r="AB52" s="19"/>
      <c r="FE52" s="54"/>
    </row>
    <row r="53" spans="1:161" s="18" customFormat="1">
      <c r="A53" s="51"/>
      <c r="B53" s="735"/>
      <c r="C53" s="735"/>
      <c r="D53" s="735"/>
      <c r="E53" s="735"/>
      <c r="F53" s="736"/>
      <c r="G53" s="735"/>
      <c r="H53" s="735"/>
      <c r="I53" s="735"/>
      <c r="J53" s="735"/>
      <c r="K53" s="735"/>
      <c r="L53" s="735"/>
      <c r="M53" s="735"/>
      <c r="N53" s="735"/>
      <c r="O53" s="19"/>
      <c r="P53" s="19"/>
      <c r="Q53" s="19"/>
      <c r="R53" s="19"/>
      <c r="S53" s="19"/>
      <c r="T53" s="19"/>
      <c r="U53" s="19"/>
      <c r="V53" s="19"/>
      <c r="W53" s="19"/>
      <c r="X53" s="19"/>
      <c r="Y53" s="19"/>
      <c r="Z53" s="19"/>
      <c r="AA53" s="19"/>
      <c r="AB53" s="19"/>
      <c r="FE53" s="54"/>
    </row>
    <row r="54" spans="1:161" s="18" customFormat="1">
      <c r="A54" s="51"/>
      <c r="B54" s="735"/>
      <c r="C54" s="735"/>
      <c r="D54" s="735"/>
      <c r="E54" s="735"/>
      <c r="F54" s="736"/>
      <c r="G54" s="735"/>
      <c r="H54" s="735"/>
      <c r="I54" s="735"/>
      <c r="J54" s="735"/>
      <c r="K54" s="735"/>
      <c r="L54" s="735"/>
      <c r="M54" s="735"/>
      <c r="N54" s="735"/>
      <c r="O54" s="19"/>
      <c r="P54" s="19"/>
      <c r="Q54" s="19"/>
      <c r="R54" s="19"/>
      <c r="S54" s="19"/>
      <c r="T54" s="19"/>
      <c r="U54" s="19"/>
      <c r="V54" s="19"/>
      <c r="W54" s="19"/>
      <c r="X54" s="19"/>
      <c r="Y54" s="19"/>
      <c r="Z54" s="19"/>
      <c r="AA54" s="19"/>
      <c r="AB54" s="19"/>
      <c r="FE54" s="54"/>
    </row>
    <row r="55" spans="1:161" s="18" customFormat="1">
      <c r="A55" s="51"/>
      <c r="B55" s="735"/>
      <c r="C55" s="735"/>
      <c r="D55" s="735"/>
      <c r="E55" s="735"/>
      <c r="F55" s="736"/>
      <c r="G55" s="735"/>
      <c r="H55" s="735"/>
      <c r="I55" s="735"/>
      <c r="J55" s="735"/>
      <c r="K55" s="735"/>
      <c r="L55" s="735"/>
      <c r="M55" s="735"/>
      <c r="N55" s="735"/>
      <c r="O55" s="19"/>
      <c r="P55" s="19"/>
      <c r="Q55" s="19"/>
      <c r="R55" s="19"/>
      <c r="S55" s="19"/>
      <c r="T55" s="19"/>
      <c r="U55" s="19"/>
      <c r="V55" s="19"/>
      <c r="W55" s="19"/>
      <c r="X55" s="19"/>
      <c r="Y55" s="19"/>
      <c r="Z55" s="19"/>
      <c r="AA55" s="19"/>
      <c r="AB55" s="19"/>
      <c r="FE55" s="54"/>
    </row>
    <row r="56" spans="1:161" s="18" customFormat="1">
      <c r="A56" s="51"/>
      <c r="B56" s="735"/>
      <c r="C56" s="735"/>
      <c r="D56" s="735"/>
      <c r="E56" s="735"/>
      <c r="F56" s="736"/>
      <c r="G56" s="735"/>
      <c r="H56" s="735"/>
      <c r="I56" s="735"/>
      <c r="J56" s="735"/>
      <c r="K56" s="735"/>
      <c r="L56" s="735"/>
      <c r="M56" s="735"/>
      <c r="N56" s="735"/>
      <c r="O56" s="19"/>
      <c r="P56" s="19"/>
      <c r="Q56" s="19"/>
      <c r="R56" s="19"/>
      <c r="S56" s="19"/>
      <c r="T56" s="19"/>
      <c r="U56" s="19"/>
      <c r="V56" s="19"/>
      <c r="W56" s="19"/>
      <c r="X56" s="19"/>
      <c r="Y56" s="19"/>
      <c r="Z56" s="19"/>
      <c r="AA56" s="19"/>
      <c r="AB56" s="19"/>
      <c r="FE56" s="54"/>
    </row>
    <row r="57" spans="1:161" s="18" customFormat="1">
      <c r="A57" s="51"/>
      <c r="B57" s="735"/>
      <c r="C57" s="735"/>
      <c r="D57" s="735"/>
      <c r="E57" s="735"/>
      <c r="F57" s="736"/>
      <c r="G57" s="735"/>
      <c r="H57" s="735"/>
      <c r="I57" s="735"/>
      <c r="J57" s="735"/>
      <c r="K57" s="735"/>
      <c r="L57" s="735"/>
      <c r="M57" s="735"/>
      <c r="N57" s="735"/>
      <c r="O57" s="19"/>
      <c r="P57" s="19"/>
      <c r="Q57" s="19"/>
      <c r="R57" s="19"/>
      <c r="S57" s="19"/>
      <c r="T57" s="19"/>
      <c r="U57" s="19"/>
      <c r="V57" s="19"/>
      <c r="W57" s="19"/>
      <c r="X57" s="19"/>
      <c r="Y57" s="19"/>
      <c r="Z57" s="19"/>
      <c r="AA57" s="19"/>
      <c r="AB57" s="19"/>
      <c r="FE57" s="54"/>
    </row>
    <row r="58" spans="1:161" s="18" customFormat="1">
      <c r="A58" s="51"/>
      <c r="B58" s="735"/>
      <c r="C58" s="735"/>
      <c r="D58" s="735"/>
      <c r="E58" s="735"/>
      <c r="F58" s="736"/>
      <c r="G58" s="735"/>
      <c r="H58" s="735"/>
      <c r="I58" s="735"/>
      <c r="J58" s="735"/>
      <c r="K58" s="735"/>
      <c r="L58" s="735"/>
      <c r="M58" s="735"/>
      <c r="N58" s="735"/>
      <c r="O58" s="19"/>
      <c r="P58" s="19"/>
      <c r="Q58" s="19"/>
      <c r="R58" s="19"/>
      <c r="S58" s="19"/>
      <c r="T58" s="19"/>
      <c r="U58" s="19"/>
      <c r="V58" s="19"/>
      <c r="W58" s="19"/>
      <c r="X58" s="19"/>
      <c r="Y58" s="19"/>
      <c r="Z58" s="19"/>
      <c r="AA58" s="19"/>
      <c r="AB58" s="19"/>
      <c r="FE58" s="54"/>
    </row>
    <row r="59" spans="1:161" s="18" customFormat="1">
      <c r="A59" s="51"/>
      <c r="B59" s="735"/>
      <c r="C59" s="735"/>
      <c r="D59" s="735"/>
      <c r="E59" s="735"/>
      <c r="F59" s="736"/>
      <c r="G59" s="735"/>
      <c r="H59" s="735"/>
      <c r="I59" s="735"/>
      <c r="J59" s="735"/>
      <c r="K59" s="735"/>
      <c r="L59" s="735"/>
      <c r="M59" s="735"/>
      <c r="N59" s="735"/>
      <c r="O59" s="19"/>
      <c r="P59" s="19"/>
      <c r="Q59" s="19"/>
      <c r="R59" s="19"/>
      <c r="S59" s="19"/>
      <c r="T59" s="19"/>
      <c r="U59" s="19"/>
      <c r="V59" s="19"/>
      <c r="W59" s="19"/>
      <c r="X59" s="19"/>
      <c r="Y59" s="19"/>
      <c r="Z59" s="19"/>
      <c r="AA59" s="19"/>
      <c r="AB59" s="19"/>
      <c r="FE59" s="54"/>
    </row>
    <row r="60" spans="1:161" s="18" customFormat="1">
      <c r="A60" s="51"/>
      <c r="B60" s="735"/>
      <c r="C60" s="735"/>
      <c r="D60" s="735"/>
      <c r="E60" s="735"/>
      <c r="F60" s="736"/>
      <c r="G60" s="735"/>
      <c r="H60" s="735"/>
      <c r="I60" s="735"/>
      <c r="J60" s="735"/>
      <c r="K60" s="735"/>
      <c r="L60" s="735"/>
      <c r="M60" s="735"/>
      <c r="N60" s="735"/>
      <c r="O60" s="19"/>
      <c r="P60" s="19"/>
      <c r="Q60" s="19"/>
      <c r="R60" s="19"/>
      <c r="S60" s="19"/>
      <c r="T60" s="19"/>
      <c r="U60" s="19"/>
      <c r="V60" s="19"/>
      <c r="W60" s="19"/>
      <c r="X60" s="19"/>
      <c r="Y60" s="19"/>
      <c r="Z60" s="19"/>
      <c r="AA60" s="19"/>
      <c r="AB60" s="19"/>
      <c r="FE60" s="54"/>
    </row>
    <row r="61" spans="1:161" s="18" customFormat="1">
      <c r="A61" s="51"/>
      <c r="B61" s="735"/>
      <c r="C61" s="735"/>
      <c r="D61" s="735"/>
      <c r="E61" s="735"/>
      <c r="F61" s="736"/>
      <c r="G61" s="735"/>
      <c r="H61" s="735"/>
      <c r="I61" s="735"/>
      <c r="J61" s="735"/>
      <c r="K61" s="735"/>
      <c r="L61" s="735"/>
      <c r="M61" s="735"/>
      <c r="N61" s="735"/>
      <c r="O61" s="19"/>
      <c r="P61" s="19"/>
      <c r="Q61" s="19"/>
      <c r="R61" s="19"/>
      <c r="S61" s="19"/>
      <c r="T61" s="19"/>
      <c r="U61" s="19"/>
      <c r="V61" s="19"/>
      <c r="W61" s="19"/>
      <c r="X61" s="19"/>
      <c r="Y61" s="19"/>
      <c r="Z61" s="19"/>
      <c r="AA61" s="19"/>
      <c r="AB61" s="19"/>
      <c r="FE61" s="54"/>
    </row>
    <row r="62" spans="1:161" s="18" customFormat="1">
      <c r="A62" s="51"/>
      <c r="B62" s="735"/>
      <c r="C62" s="735"/>
      <c r="D62" s="735"/>
      <c r="E62" s="735"/>
      <c r="F62" s="736"/>
      <c r="G62" s="735"/>
      <c r="H62" s="735"/>
      <c r="I62" s="735"/>
      <c r="J62" s="735"/>
      <c r="K62" s="735"/>
      <c r="L62" s="735"/>
      <c r="M62" s="735"/>
      <c r="N62" s="735"/>
      <c r="O62" s="19"/>
      <c r="P62" s="19"/>
      <c r="Q62" s="19"/>
      <c r="R62" s="19"/>
      <c r="S62" s="19"/>
      <c r="T62" s="19"/>
      <c r="U62" s="19"/>
      <c r="V62" s="19"/>
      <c r="W62" s="19"/>
      <c r="X62" s="19"/>
      <c r="Y62" s="19"/>
      <c r="Z62" s="19"/>
      <c r="AA62" s="19"/>
      <c r="AB62" s="19"/>
      <c r="FE62" s="54"/>
    </row>
    <row r="63" spans="1:161" s="18" customFormat="1">
      <c r="A63" s="51"/>
      <c r="B63" s="735"/>
      <c r="C63" s="735"/>
      <c r="D63" s="735"/>
      <c r="E63" s="735"/>
      <c r="F63" s="736"/>
      <c r="G63" s="735"/>
      <c r="H63" s="735"/>
      <c r="I63" s="735"/>
      <c r="J63" s="735"/>
      <c r="K63" s="735"/>
      <c r="L63" s="735"/>
      <c r="M63" s="735"/>
      <c r="N63" s="735"/>
      <c r="O63" s="19"/>
      <c r="P63" s="19"/>
      <c r="Q63" s="19"/>
      <c r="R63" s="19"/>
      <c r="S63" s="19"/>
      <c r="T63" s="19"/>
      <c r="U63" s="19"/>
      <c r="V63" s="19"/>
      <c r="W63" s="19"/>
      <c r="X63" s="19"/>
      <c r="Y63" s="19"/>
      <c r="Z63" s="19"/>
      <c r="AA63" s="19"/>
      <c r="AB63" s="19"/>
      <c r="FE63" s="54"/>
    </row>
    <row r="64" spans="1:161" s="18" customFormat="1">
      <c r="A64" s="51"/>
      <c r="B64" s="735"/>
      <c r="C64" s="735"/>
      <c r="D64" s="735"/>
      <c r="E64" s="735"/>
      <c r="F64" s="736"/>
      <c r="G64" s="735"/>
      <c r="H64" s="735"/>
      <c r="I64" s="735"/>
      <c r="J64" s="735"/>
      <c r="K64" s="735"/>
      <c r="L64" s="735"/>
      <c r="M64" s="735"/>
      <c r="N64" s="735"/>
      <c r="O64" s="19"/>
      <c r="P64" s="19"/>
      <c r="Q64" s="19"/>
      <c r="R64" s="19"/>
      <c r="S64" s="19"/>
      <c r="T64" s="19"/>
      <c r="U64" s="19"/>
      <c r="V64" s="19"/>
      <c r="W64" s="19"/>
      <c r="X64" s="19"/>
      <c r="Y64" s="19"/>
      <c r="Z64" s="19"/>
      <c r="AA64" s="19"/>
      <c r="AB64" s="19"/>
      <c r="FE64" s="54"/>
    </row>
    <row r="65" spans="1:161" s="18" customFormat="1">
      <c r="A65" s="51"/>
      <c r="B65" s="735"/>
      <c r="C65" s="735"/>
      <c r="D65" s="735"/>
      <c r="E65" s="735"/>
      <c r="F65" s="736"/>
      <c r="G65" s="735"/>
      <c r="H65" s="735"/>
      <c r="I65" s="735"/>
      <c r="J65" s="735"/>
      <c r="K65" s="735"/>
      <c r="L65" s="735"/>
      <c r="M65" s="735"/>
      <c r="N65" s="735"/>
      <c r="O65" s="19"/>
      <c r="P65" s="19"/>
      <c r="Q65" s="19"/>
      <c r="R65" s="19"/>
      <c r="S65" s="19"/>
      <c r="T65" s="19"/>
      <c r="U65" s="19"/>
      <c r="V65" s="19"/>
      <c r="W65" s="19"/>
      <c r="X65" s="19"/>
      <c r="Y65" s="19"/>
      <c r="Z65" s="19"/>
      <c r="AA65" s="19"/>
      <c r="AB65" s="19"/>
      <c r="FE65" s="54"/>
    </row>
    <row r="66" spans="1:161" s="18" customFormat="1">
      <c r="A66" s="51"/>
      <c r="B66" s="735"/>
      <c r="C66" s="735"/>
      <c r="D66" s="735"/>
      <c r="E66" s="735"/>
      <c r="F66" s="736"/>
      <c r="G66" s="735"/>
      <c r="H66" s="735"/>
      <c r="I66" s="735"/>
      <c r="J66" s="735"/>
      <c r="K66" s="735"/>
      <c r="L66" s="735"/>
      <c r="M66" s="735"/>
      <c r="N66" s="735"/>
      <c r="O66" s="19"/>
      <c r="P66" s="19"/>
      <c r="Q66" s="19"/>
      <c r="R66" s="19"/>
      <c r="S66" s="19"/>
      <c r="T66" s="19"/>
      <c r="U66" s="19"/>
      <c r="V66" s="19"/>
      <c r="W66" s="19"/>
      <c r="X66" s="19"/>
      <c r="Y66" s="19"/>
      <c r="Z66" s="19"/>
      <c r="AA66" s="19"/>
      <c r="AB66" s="19"/>
      <c r="FE66" s="54"/>
    </row>
    <row r="67" spans="1:161" s="18" customFormat="1">
      <c r="A67" s="51"/>
      <c r="B67" s="735"/>
      <c r="C67" s="735"/>
      <c r="D67" s="735"/>
      <c r="E67" s="735"/>
      <c r="F67" s="736"/>
      <c r="G67" s="735"/>
      <c r="H67" s="735"/>
      <c r="I67" s="735"/>
      <c r="J67" s="735"/>
      <c r="K67" s="735"/>
      <c r="L67" s="735"/>
      <c r="M67" s="735"/>
      <c r="N67" s="735"/>
      <c r="O67" s="19"/>
      <c r="P67" s="19"/>
      <c r="Q67" s="19"/>
      <c r="R67" s="19"/>
      <c r="S67" s="19"/>
      <c r="T67" s="19"/>
      <c r="U67" s="19"/>
      <c r="V67" s="19"/>
      <c r="W67" s="19"/>
      <c r="X67" s="19"/>
      <c r="Y67" s="19"/>
      <c r="Z67" s="19"/>
      <c r="AA67" s="19"/>
      <c r="AB67" s="19"/>
      <c r="FE67" s="54"/>
    </row>
    <row r="68" spans="1:161" s="18" customFormat="1">
      <c r="A68" s="51"/>
      <c r="B68" s="735"/>
      <c r="C68" s="735"/>
      <c r="D68" s="735"/>
      <c r="E68" s="735"/>
      <c r="F68" s="736"/>
      <c r="G68" s="735"/>
      <c r="H68" s="735"/>
      <c r="I68" s="735"/>
      <c r="J68" s="735"/>
      <c r="K68" s="735"/>
      <c r="L68" s="735"/>
      <c r="M68" s="735"/>
      <c r="N68" s="735"/>
      <c r="O68" s="19"/>
      <c r="P68" s="19"/>
      <c r="Q68" s="19"/>
      <c r="R68" s="19"/>
      <c r="S68" s="19"/>
      <c r="T68" s="19"/>
      <c r="U68" s="19"/>
      <c r="V68" s="19"/>
      <c r="W68" s="19"/>
      <c r="X68" s="19"/>
      <c r="Y68" s="19"/>
      <c r="Z68" s="19"/>
      <c r="AA68" s="19"/>
      <c r="AB68" s="19"/>
      <c r="FE68" s="54"/>
    </row>
    <row r="69" spans="1:161" s="18" customFormat="1">
      <c r="A69" s="51"/>
      <c r="B69" s="735"/>
      <c r="C69" s="735"/>
      <c r="D69" s="735"/>
      <c r="E69" s="735"/>
      <c r="F69" s="736"/>
      <c r="G69" s="735"/>
      <c r="H69" s="735"/>
      <c r="I69" s="735"/>
      <c r="J69" s="735"/>
      <c r="K69" s="735"/>
      <c r="L69" s="735"/>
      <c r="M69" s="735"/>
      <c r="N69" s="735"/>
      <c r="O69" s="19"/>
      <c r="P69" s="19"/>
      <c r="Q69" s="19"/>
      <c r="R69" s="19"/>
      <c r="S69" s="19"/>
      <c r="T69" s="19"/>
      <c r="U69" s="19"/>
      <c r="V69" s="19"/>
      <c r="W69" s="19"/>
      <c r="X69" s="19"/>
      <c r="Y69" s="19"/>
      <c r="Z69" s="19"/>
      <c r="AA69" s="19"/>
      <c r="AB69" s="19"/>
      <c r="FE69" s="54"/>
    </row>
    <row r="70" spans="1:161" s="18" customFormat="1">
      <c r="A70" s="51"/>
      <c r="B70" s="735"/>
      <c r="C70" s="735"/>
      <c r="D70" s="735"/>
      <c r="E70" s="735"/>
      <c r="F70" s="736"/>
      <c r="G70" s="735"/>
      <c r="H70" s="735"/>
      <c r="I70" s="735"/>
      <c r="J70" s="735"/>
      <c r="K70" s="735"/>
      <c r="L70" s="735"/>
      <c r="M70" s="735"/>
      <c r="N70" s="735"/>
      <c r="O70" s="19"/>
      <c r="P70" s="19"/>
      <c r="Q70" s="19"/>
      <c r="R70" s="19"/>
      <c r="S70" s="19"/>
      <c r="T70" s="19"/>
      <c r="U70" s="19"/>
      <c r="V70" s="19"/>
      <c r="W70" s="19"/>
      <c r="X70" s="19"/>
      <c r="Y70" s="19"/>
      <c r="Z70" s="19"/>
      <c r="AA70" s="19"/>
      <c r="AB70" s="19"/>
      <c r="FE70" s="54"/>
    </row>
    <row r="71" spans="1:161" s="18" customFormat="1">
      <c r="A71" s="51"/>
      <c r="B71" s="735"/>
      <c r="C71" s="735"/>
      <c r="D71" s="735"/>
      <c r="E71" s="735"/>
      <c r="F71" s="736"/>
      <c r="G71" s="735"/>
      <c r="H71" s="735"/>
      <c r="I71" s="735"/>
      <c r="J71" s="735"/>
      <c r="K71" s="735"/>
      <c r="L71" s="735"/>
      <c r="M71" s="735"/>
      <c r="N71" s="735"/>
      <c r="O71" s="19"/>
      <c r="P71" s="19"/>
      <c r="Q71" s="19"/>
      <c r="R71" s="19"/>
      <c r="S71" s="19"/>
      <c r="T71" s="19"/>
      <c r="U71" s="19"/>
      <c r="V71" s="19"/>
      <c r="W71" s="19"/>
      <c r="X71" s="19"/>
      <c r="Y71" s="19"/>
      <c r="Z71" s="19"/>
      <c r="AA71" s="19"/>
      <c r="AB71" s="19"/>
      <c r="FE71" s="54"/>
    </row>
    <row r="72" spans="1:161" s="18" customFormat="1">
      <c r="A72" s="51"/>
      <c r="B72" s="735"/>
      <c r="C72" s="735"/>
      <c r="D72" s="735"/>
      <c r="E72" s="735"/>
      <c r="F72" s="736"/>
      <c r="G72" s="735"/>
      <c r="H72" s="735"/>
      <c r="I72" s="735"/>
      <c r="J72" s="735"/>
      <c r="K72" s="735"/>
      <c r="L72" s="735"/>
      <c r="M72" s="735"/>
      <c r="N72" s="735"/>
      <c r="O72" s="19"/>
      <c r="P72" s="19"/>
      <c r="Q72" s="19"/>
      <c r="R72" s="19"/>
      <c r="S72" s="19"/>
      <c r="T72" s="19"/>
      <c r="U72" s="19"/>
      <c r="V72" s="19"/>
      <c r="W72" s="19"/>
      <c r="X72" s="19"/>
      <c r="Y72" s="19"/>
      <c r="Z72" s="19"/>
      <c r="AA72" s="19"/>
      <c r="AB72" s="19"/>
      <c r="FE72" s="54"/>
    </row>
    <row r="73" spans="1:161" s="18" customFormat="1">
      <c r="A73" s="51"/>
      <c r="B73" s="735"/>
      <c r="C73" s="735"/>
      <c r="D73" s="735"/>
      <c r="E73" s="735"/>
      <c r="F73" s="736"/>
      <c r="G73" s="735"/>
      <c r="H73" s="735"/>
      <c r="I73" s="735"/>
      <c r="J73" s="735"/>
      <c r="K73" s="735"/>
      <c r="L73" s="735"/>
      <c r="M73" s="735"/>
      <c r="N73" s="735"/>
      <c r="O73" s="19"/>
      <c r="P73" s="19"/>
      <c r="Q73" s="19"/>
      <c r="R73" s="19"/>
      <c r="S73" s="19"/>
      <c r="T73" s="19"/>
      <c r="U73" s="19"/>
      <c r="V73" s="19"/>
      <c r="W73" s="19"/>
      <c r="X73" s="19"/>
      <c r="Y73" s="19"/>
      <c r="Z73" s="19"/>
      <c r="AA73" s="19"/>
      <c r="AB73" s="19"/>
      <c r="FE73" s="54"/>
    </row>
    <row r="74" spans="1:161" s="18" customFormat="1">
      <c r="A74" s="51"/>
      <c r="B74" s="735"/>
      <c r="C74" s="735"/>
      <c r="D74" s="735"/>
      <c r="E74" s="735"/>
      <c r="F74" s="736"/>
      <c r="G74" s="735"/>
      <c r="H74" s="735"/>
      <c r="I74" s="735"/>
      <c r="J74" s="735"/>
      <c r="K74" s="735"/>
      <c r="L74" s="735"/>
      <c r="M74" s="735"/>
      <c r="N74" s="735"/>
      <c r="O74" s="19"/>
      <c r="P74" s="19"/>
      <c r="Q74" s="19"/>
      <c r="R74" s="19"/>
      <c r="S74" s="19"/>
      <c r="T74" s="19"/>
      <c r="U74" s="19"/>
      <c r="V74" s="19"/>
      <c r="W74" s="19"/>
      <c r="X74" s="19"/>
      <c r="Y74" s="19"/>
      <c r="Z74" s="19"/>
      <c r="AA74" s="19"/>
      <c r="AB74" s="19"/>
      <c r="FE74" s="54"/>
    </row>
    <row r="75" spans="1:161" s="18" customFormat="1">
      <c r="A75" s="51"/>
      <c r="B75" s="735"/>
      <c r="C75" s="735"/>
      <c r="D75" s="735"/>
      <c r="E75" s="735"/>
      <c r="F75" s="736"/>
      <c r="G75" s="735"/>
      <c r="H75" s="735"/>
      <c r="I75" s="735"/>
      <c r="J75" s="735"/>
      <c r="K75" s="735"/>
      <c r="L75" s="735"/>
      <c r="M75" s="735"/>
      <c r="N75" s="735"/>
      <c r="O75" s="19"/>
      <c r="P75" s="19"/>
      <c r="Q75" s="19"/>
      <c r="R75" s="19"/>
      <c r="S75" s="19"/>
      <c r="T75" s="19"/>
      <c r="U75" s="19"/>
      <c r="V75" s="19"/>
      <c r="W75" s="19"/>
      <c r="X75" s="19"/>
      <c r="Y75" s="19"/>
      <c r="Z75" s="19"/>
      <c r="AA75" s="19"/>
      <c r="AB75" s="19"/>
      <c r="FE75" s="54"/>
    </row>
    <row r="76" spans="1:161" s="18" customFormat="1">
      <c r="A76" s="51"/>
      <c r="B76" s="735"/>
      <c r="C76" s="735"/>
      <c r="D76" s="735"/>
      <c r="E76" s="735"/>
      <c r="F76" s="736"/>
      <c r="G76" s="735"/>
      <c r="H76" s="735"/>
      <c r="I76" s="735"/>
      <c r="J76" s="735"/>
      <c r="K76" s="735"/>
      <c r="L76" s="735"/>
      <c r="M76" s="735"/>
      <c r="N76" s="735"/>
      <c r="O76" s="19"/>
      <c r="P76" s="19"/>
      <c r="Q76" s="19"/>
      <c r="R76" s="19"/>
      <c r="S76" s="19"/>
      <c r="T76" s="19"/>
      <c r="U76" s="19"/>
      <c r="V76" s="19"/>
      <c r="W76" s="19"/>
      <c r="X76" s="19"/>
      <c r="Y76" s="19"/>
      <c r="Z76" s="19"/>
      <c r="AA76" s="19"/>
      <c r="AB76" s="19"/>
      <c r="FE76" s="54"/>
    </row>
    <row r="77" spans="1:161" s="18" customFormat="1">
      <c r="A77" s="51"/>
      <c r="B77" s="735"/>
      <c r="C77" s="735"/>
      <c r="D77" s="735"/>
      <c r="E77" s="735"/>
      <c r="F77" s="736"/>
      <c r="G77" s="735"/>
      <c r="H77" s="735"/>
      <c r="I77" s="735"/>
      <c r="J77" s="735"/>
      <c r="K77" s="735"/>
      <c r="L77" s="735"/>
      <c r="M77" s="735"/>
      <c r="N77" s="735"/>
      <c r="O77" s="19"/>
      <c r="P77" s="19"/>
      <c r="Q77" s="19"/>
      <c r="R77" s="19"/>
      <c r="S77" s="19"/>
      <c r="T77" s="19"/>
      <c r="U77" s="19"/>
      <c r="V77" s="19"/>
      <c r="W77" s="19"/>
      <c r="X77" s="19"/>
      <c r="Y77" s="19"/>
      <c r="Z77" s="19"/>
      <c r="AA77" s="19"/>
      <c r="AB77" s="19"/>
      <c r="FE77" s="54"/>
    </row>
    <row r="78" spans="1:161" s="18" customFormat="1">
      <c r="A78" s="51"/>
      <c r="B78" s="735"/>
      <c r="C78" s="735"/>
      <c r="D78" s="735"/>
      <c r="E78" s="735"/>
      <c r="F78" s="736"/>
      <c r="G78" s="735"/>
      <c r="H78" s="735"/>
      <c r="I78" s="735"/>
      <c r="J78" s="735"/>
      <c r="K78" s="735"/>
      <c r="L78" s="735"/>
      <c r="M78" s="735"/>
      <c r="N78" s="735"/>
      <c r="O78" s="19"/>
      <c r="P78" s="19"/>
      <c r="Q78" s="19"/>
      <c r="R78" s="19"/>
      <c r="S78" s="19"/>
      <c r="T78" s="19"/>
      <c r="U78" s="19"/>
      <c r="V78" s="19"/>
      <c r="W78" s="19"/>
      <c r="X78" s="19"/>
      <c r="Y78" s="19"/>
      <c r="Z78" s="19"/>
      <c r="AA78" s="19"/>
      <c r="AB78" s="19"/>
      <c r="FE78" s="54"/>
    </row>
    <row r="79" spans="1:161" s="18" customFormat="1">
      <c r="A79" s="51"/>
      <c r="B79" s="735"/>
      <c r="C79" s="735"/>
      <c r="D79" s="735"/>
      <c r="E79" s="735"/>
      <c r="F79" s="736"/>
      <c r="G79" s="735"/>
      <c r="H79" s="735"/>
      <c r="I79" s="735"/>
      <c r="J79" s="735"/>
      <c r="K79" s="735"/>
      <c r="L79" s="735"/>
      <c r="M79" s="735"/>
      <c r="N79" s="735"/>
      <c r="O79" s="19"/>
      <c r="P79" s="19"/>
      <c r="Q79" s="19"/>
      <c r="R79" s="19"/>
      <c r="S79" s="19"/>
      <c r="T79" s="19"/>
      <c r="U79" s="19"/>
      <c r="V79" s="19"/>
      <c r="W79" s="19"/>
      <c r="X79" s="19"/>
      <c r="Y79" s="19"/>
      <c r="Z79" s="19"/>
      <c r="AA79" s="19"/>
      <c r="AB79" s="19"/>
      <c r="FE79" s="54"/>
    </row>
    <row r="80" spans="1:161" s="18" customFormat="1">
      <c r="A80" s="51"/>
      <c r="B80" s="735"/>
      <c r="C80" s="735"/>
      <c r="D80" s="735"/>
      <c r="E80" s="735"/>
      <c r="F80" s="736"/>
      <c r="G80" s="735"/>
      <c r="H80" s="735"/>
      <c r="I80" s="735"/>
      <c r="J80" s="735"/>
      <c r="K80" s="735"/>
      <c r="L80" s="735"/>
      <c r="M80" s="735"/>
      <c r="N80" s="735"/>
      <c r="O80" s="19"/>
      <c r="P80" s="19"/>
      <c r="Q80" s="19"/>
      <c r="R80" s="19"/>
      <c r="S80" s="19"/>
      <c r="T80" s="19"/>
      <c r="U80" s="19"/>
      <c r="V80" s="19"/>
      <c r="W80" s="19"/>
      <c r="X80" s="19"/>
      <c r="Y80" s="19"/>
      <c r="Z80" s="19"/>
      <c r="AA80" s="19"/>
      <c r="AB80" s="19"/>
      <c r="FE80" s="54"/>
    </row>
    <row r="81" spans="1:161" s="18" customFormat="1">
      <c r="A81" s="51"/>
      <c r="B81" s="735"/>
      <c r="C81" s="735"/>
      <c r="D81" s="735"/>
      <c r="E81" s="735"/>
      <c r="F81" s="736"/>
      <c r="G81" s="735"/>
      <c r="H81" s="735"/>
      <c r="I81" s="735"/>
      <c r="J81" s="735"/>
      <c r="K81" s="735"/>
      <c r="L81" s="735"/>
      <c r="M81" s="735"/>
      <c r="N81" s="735"/>
      <c r="O81" s="19"/>
      <c r="P81" s="19"/>
      <c r="Q81" s="19"/>
      <c r="R81" s="19"/>
      <c r="S81" s="19"/>
      <c r="T81" s="19"/>
      <c r="U81" s="19"/>
      <c r="V81" s="19"/>
      <c r="W81" s="19"/>
      <c r="X81" s="19"/>
      <c r="Y81" s="19"/>
      <c r="Z81" s="19"/>
      <c r="AA81" s="19"/>
      <c r="AB81" s="19"/>
      <c r="FE81" s="54"/>
    </row>
    <row r="82" spans="1:161" s="18" customFormat="1">
      <c r="A82" s="51"/>
      <c r="B82" s="735"/>
      <c r="C82" s="735"/>
      <c r="D82" s="735"/>
      <c r="E82" s="735"/>
      <c r="F82" s="736"/>
      <c r="G82" s="735"/>
      <c r="H82" s="735"/>
      <c r="I82" s="735"/>
      <c r="J82" s="735"/>
      <c r="K82" s="735"/>
      <c r="L82" s="735"/>
      <c r="M82" s="735"/>
      <c r="N82" s="735"/>
      <c r="O82" s="19"/>
      <c r="P82" s="19"/>
      <c r="Q82" s="19"/>
      <c r="R82" s="19"/>
      <c r="S82" s="19"/>
      <c r="T82" s="19"/>
      <c r="U82" s="19"/>
      <c r="V82" s="19"/>
      <c r="W82" s="19"/>
      <c r="X82" s="19"/>
      <c r="Y82" s="19"/>
      <c r="Z82" s="19"/>
      <c r="AA82" s="19"/>
      <c r="AB82" s="19"/>
      <c r="FE82" s="54"/>
    </row>
    <row r="83" spans="1:161" s="18" customFormat="1">
      <c r="A83" s="51"/>
      <c r="B83" s="735"/>
      <c r="C83" s="735"/>
      <c r="D83" s="735"/>
      <c r="E83" s="735"/>
      <c r="F83" s="736"/>
      <c r="G83" s="735"/>
      <c r="H83" s="735"/>
      <c r="I83" s="735"/>
      <c r="J83" s="735"/>
      <c r="K83" s="735"/>
      <c r="L83" s="735"/>
      <c r="M83" s="735"/>
      <c r="N83" s="735"/>
      <c r="O83" s="19"/>
      <c r="P83" s="19"/>
      <c r="Q83" s="19"/>
      <c r="R83" s="19"/>
      <c r="S83" s="19"/>
      <c r="T83" s="19"/>
      <c r="U83" s="19"/>
      <c r="V83" s="19"/>
      <c r="W83" s="19"/>
      <c r="X83" s="19"/>
      <c r="Y83" s="19"/>
      <c r="Z83" s="19"/>
      <c r="AA83" s="19"/>
      <c r="AB83" s="19"/>
      <c r="FE83" s="54"/>
    </row>
    <row r="84" spans="1:161" s="18" customFormat="1">
      <c r="A84" s="51"/>
      <c r="B84" s="735"/>
      <c r="C84" s="735"/>
      <c r="D84" s="735"/>
      <c r="E84" s="735"/>
      <c r="F84" s="736"/>
      <c r="G84" s="735"/>
      <c r="H84" s="735"/>
      <c r="I84" s="735"/>
      <c r="J84" s="735"/>
      <c r="K84" s="735"/>
      <c r="L84" s="735"/>
      <c r="M84" s="735"/>
      <c r="N84" s="735"/>
      <c r="O84" s="19"/>
      <c r="P84" s="19"/>
      <c r="Q84" s="19"/>
      <c r="R84" s="19"/>
      <c r="S84" s="19"/>
      <c r="T84" s="19"/>
      <c r="U84" s="19"/>
      <c r="V84" s="19"/>
      <c r="W84" s="19"/>
      <c r="X84" s="19"/>
      <c r="Y84" s="19"/>
      <c r="Z84" s="19"/>
      <c r="AA84" s="19"/>
      <c r="AB84" s="19"/>
      <c r="FE84" s="54"/>
    </row>
    <row r="85" spans="1:161" s="18" customFormat="1">
      <c r="A85" s="51"/>
      <c r="B85" s="735"/>
      <c r="C85" s="735"/>
      <c r="D85" s="735"/>
      <c r="E85" s="735"/>
      <c r="F85" s="736"/>
      <c r="G85" s="735"/>
      <c r="H85" s="735"/>
      <c r="I85" s="735"/>
      <c r="J85" s="735"/>
      <c r="K85" s="735"/>
      <c r="L85" s="735"/>
      <c r="M85" s="735"/>
      <c r="N85" s="735"/>
      <c r="O85" s="19"/>
      <c r="P85" s="19"/>
      <c r="Q85" s="19"/>
      <c r="R85" s="19"/>
      <c r="S85" s="19"/>
      <c r="T85" s="19"/>
      <c r="U85" s="19"/>
      <c r="V85" s="19"/>
      <c r="W85" s="19"/>
      <c r="X85" s="19"/>
      <c r="Y85" s="19"/>
      <c r="Z85" s="19"/>
      <c r="AA85" s="19"/>
      <c r="AB85" s="19"/>
      <c r="FE85" s="54"/>
    </row>
    <row r="86" spans="1:161" s="18" customFormat="1">
      <c r="A86" s="51"/>
      <c r="B86" s="735"/>
      <c r="C86" s="735"/>
      <c r="D86" s="735"/>
      <c r="E86" s="735"/>
      <c r="F86" s="736"/>
      <c r="G86" s="735"/>
      <c r="H86" s="735"/>
      <c r="I86" s="735"/>
      <c r="J86" s="735"/>
      <c r="K86" s="735"/>
      <c r="L86" s="735"/>
      <c r="M86" s="735"/>
      <c r="N86" s="735"/>
      <c r="O86" s="19"/>
      <c r="P86" s="19"/>
      <c r="Q86" s="19"/>
      <c r="R86" s="19"/>
      <c r="S86" s="19"/>
      <c r="T86" s="19"/>
      <c r="U86" s="19"/>
      <c r="V86" s="19"/>
      <c r="W86" s="19"/>
      <c r="X86" s="19"/>
      <c r="Y86" s="19"/>
      <c r="Z86" s="19"/>
      <c r="AA86" s="19"/>
      <c r="AB86" s="19"/>
      <c r="FE86" s="54"/>
    </row>
    <row r="87" spans="1:161" s="18" customFormat="1">
      <c r="A87" s="51"/>
      <c r="B87" s="735"/>
      <c r="C87" s="735"/>
      <c r="D87" s="735"/>
      <c r="E87" s="735"/>
      <c r="F87" s="736"/>
      <c r="G87" s="735"/>
      <c r="H87" s="735"/>
      <c r="I87" s="735"/>
      <c r="J87" s="735"/>
      <c r="K87" s="735"/>
      <c r="L87" s="735"/>
      <c r="M87" s="735"/>
      <c r="N87" s="735"/>
      <c r="O87" s="19"/>
      <c r="P87" s="19"/>
      <c r="Q87" s="19"/>
      <c r="R87" s="19"/>
      <c r="S87" s="19"/>
      <c r="T87" s="19"/>
      <c r="U87" s="19"/>
      <c r="V87" s="19"/>
      <c r="W87" s="19"/>
      <c r="X87" s="19"/>
      <c r="Y87" s="19"/>
      <c r="Z87" s="19"/>
      <c r="AA87" s="19"/>
      <c r="AB87" s="19"/>
      <c r="FE87" s="54"/>
    </row>
    <row r="88" spans="1:161" s="18" customFormat="1">
      <c r="A88" s="51"/>
      <c r="B88" s="735"/>
      <c r="C88" s="735"/>
      <c r="D88" s="735"/>
      <c r="E88" s="735"/>
      <c r="F88" s="736"/>
      <c r="G88" s="735"/>
      <c r="H88" s="735"/>
      <c r="I88" s="735"/>
      <c r="J88" s="735"/>
      <c r="K88" s="735"/>
      <c r="L88" s="735"/>
      <c r="M88" s="735"/>
      <c r="N88" s="735"/>
      <c r="O88" s="19"/>
      <c r="P88" s="19"/>
      <c r="Q88" s="19"/>
      <c r="R88" s="19"/>
      <c r="S88" s="19"/>
      <c r="T88" s="19"/>
      <c r="U88" s="19"/>
      <c r="V88" s="19"/>
      <c r="W88" s="19"/>
      <c r="X88" s="19"/>
      <c r="Y88" s="19"/>
      <c r="Z88" s="19"/>
      <c r="AA88" s="19"/>
      <c r="AB88" s="19"/>
      <c r="FE88" s="54"/>
    </row>
    <row r="89" spans="1:161" s="18" customFormat="1">
      <c r="A89" s="51"/>
      <c r="B89" s="735"/>
      <c r="C89" s="735"/>
      <c r="D89" s="735"/>
      <c r="E89" s="735"/>
      <c r="F89" s="736"/>
      <c r="G89" s="735"/>
      <c r="H89" s="735"/>
      <c r="I89" s="735"/>
      <c r="J89" s="735"/>
      <c r="K89" s="735"/>
      <c r="L89" s="735"/>
      <c r="M89" s="735"/>
      <c r="N89" s="735"/>
      <c r="O89" s="19"/>
      <c r="P89" s="19"/>
      <c r="Q89" s="19"/>
      <c r="R89" s="19"/>
      <c r="S89" s="19"/>
      <c r="T89" s="19"/>
      <c r="U89" s="19"/>
      <c r="V89" s="19"/>
      <c r="W89" s="19"/>
      <c r="X89" s="19"/>
      <c r="Y89" s="19"/>
      <c r="Z89" s="19"/>
      <c r="AA89" s="19"/>
      <c r="AB89" s="19"/>
      <c r="FE89" s="54"/>
    </row>
    <row r="90" spans="1:161" s="18" customFormat="1">
      <c r="A90" s="51"/>
      <c r="B90" s="735"/>
      <c r="C90" s="735"/>
      <c r="D90" s="735"/>
      <c r="E90" s="735"/>
      <c r="F90" s="736"/>
      <c r="G90" s="735"/>
      <c r="H90" s="735"/>
      <c r="I90" s="735"/>
      <c r="J90" s="735"/>
      <c r="K90" s="735"/>
      <c r="L90" s="735"/>
      <c r="M90" s="735"/>
      <c r="N90" s="735"/>
      <c r="O90" s="19"/>
      <c r="P90" s="19"/>
      <c r="Q90" s="19"/>
      <c r="R90" s="19"/>
      <c r="S90" s="19"/>
      <c r="T90" s="19"/>
      <c r="U90" s="19"/>
      <c r="V90" s="19"/>
      <c r="W90" s="19"/>
      <c r="X90" s="19"/>
      <c r="Y90" s="19"/>
      <c r="Z90" s="19"/>
      <c r="AA90" s="19"/>
      <c r="AB90" s="19"/>
      <c r="FE90" s="54"/>
    </row>
    <row r="91" spans="1:161" s="18" customFormat="1">
      <c r="A91" s="51"/>
      <c r="B91" s="735"/>
      <c r="C91" s="735"/>
      <c r="D91" s="735"/>
      <c r="E91" s="735"/>
      <c r="F91" s="736"/>
      <c r="G91" s="735"/>
      <c r="H91" s="735"/>
      <c r="I91" s="735"/>
      <c r="J91" s="735"/>
      <c r="K91" s="735"/>
      <c r="L91" s="735"/>
      <c r="M91" s="735"/>
      <c r="N91" s="735"/>
      <c r="O91" s="19"/>
      <c r="P91" s="19"/>
      <c r="Q91" s="19"/>
      <c r="R91" s="19"/>
      <c r="S91" s="19"/>
      <c r="T91" s="19"/>
      <c r="U91" s="19"/>
      <c r="V91" s="19"/>
      <c r="W91" s="19"/>
      <c r="X91" s="19"/>
      <c r="Y91" s="19"/>
      <c r="Z91" s="19"/>
      <c r="AA91" s="19"/>
      <c r="AB91" s="19"/>
      <c r="FE91" s="54"/>
    </row>
    <row r="92" spans="1:161" s="18" customFormat="1">
      <c r="A92" s="51"/>
      <c r="B92" s="735"/>
      <c r="C92" s="735"/>
      <c r="D92" s="735"/>
      <c r="E92" s="735"/>
      <c r="F92" s="736"/>
      <c r="G92" s="735"/>
      <c r="H92" s="735"/>
      <c r="I92" s="735"/>
      <c r="J92" s="735"/>
      <c r="K92" s="735"/>
      <c r="L92" s="735"/>
      <c r="M92" s="735"/>
      <c r="N92" s="735"/>
      <c r="O92" s="19"/>
      <c r="P92" s="19"/>
      <c r="Q92" s="19"/>
      <c r="R92" s="19"/>
      <c r="S92" s="19"/>
      <c r="T92" s="19"/>
      <c r="U92" s="19"/>
      <c r="V92" s="19"/>
      <c r="W92" s="19"/>
      <c r="X92" s="19"/>
      <c r="Y92" s="19"/>
      <c r="Z92" s="19"/>
      <c r="AA92" s="19"/>
      <c r="AB92" s="19"/>
      <c r="FE92" s="54"/>
    </row>
    <row r="93" spans="1:161" s="18" customFormat="1">
      <c r="A93" s="51"/>
      <c r="B93" s="735"/>
      <c r="C93" s="735"/>
      <c r="D93" s="735"/>
      <c r="E93" s="735"/>
      <c r="F93" s="736"/>
      <c r="G93" s="735"/>
      <c r="H93" s="735"/>
      <c r="I93" s="735"/>
      <c r="J93" s="735"/>
      <c r="K93" s="735"/>
      <c r="L93" s="735"/>
      <c r="M93" s="735"/>
      <c r="N93" s="735"/>
      <c r="O93" s="19"/>
      <c r="P93" s="19"/>
      <c r="Q93" s="19"/>
      <c r="R93" s="19"/>
      <c r="S93" s="19"/>
      <c r="T93" s="19"/>
      <c r="U93" s="19"/>
      <c r="V93" s="19"/>
      <c r="W93" s="19"/>
      <c r="X93" s="19"/>
      <c r="Y93" s="19"/>
      <c r="Z93" s="19"/>
      <c r="AA93" s="19"/>
      <c r="AB93" s="19"/>
      <c r="FE93" s="54"/>
    </row>
    <row r="94" spans="1:161" s="18" customFormat="1">
      <c r="A94" s="51"/>
      <c r="B94" s="735"/>
      <c r="C94" s="735"/>
      <c r="D94" s="735"/>
      <c r="E94" s="735"/>
      <c r="F94" s="736"/>
      <c r="G94" s="735"/>
      <c r="H94" s="735"/>
      <c r="I94" s="735"/>
      <c r="J94" s="735"/>
      <c r="K94" s="735"/>
      <c r="L94" s="735"/>
      <c r="M94" s="735"/>
      <c r="N94" s="735"/>
      <c r="O94" s="19"/>
      <c r="P94" s="19"/>
      <c r="Q94" s="19"/>
      <c r="R94" s="19"/>
      <c r="S94" s="19"/>
      <c r="T94" s="19"/>
      <c r="U94" s="19"/>
      <c r="V94" s="19"/>
      <c r="W94" s="19"/>
      <c r="X94" s="19"/>
      <c r="Y94" s="19"/>
      <c r="Z94" s="19"/>
      <c r="AA94" s="19"/>
      <c r="AB94" s="19"/>
      <c r="FE94" s="54"/>
    </row>
    <row r="95" spans="1:161" s="18" customFormat="1">
      <c r="A95" s="51"/>
      <c r="B95" s="735"/>
      <c r="C95" s="735"/>
      <c r="D95" s="735"/>
      <c r="E95" s="735"/>
      <c r="F95" s="736"/>
      <c r="G95" s="735"/>
      <c r="H95" s="735"/>
      <c r="I95" s="735"/>
      <c r="J95" s="735"/>
      <c r="K95" s="735"/>
      <c r="L95" s="735"/>
      <c r="M95" s="735"/>
      <c r="N95" s="735"/>
      <c r="O95" s="19"/>
      <c r="P95" s="19"/>
      <c r="Q95" s="19"/>
      <c r="R95" s="19"/>
      <c r="S95" s="19"/>
      <c r="T95" s="19"/>
      <c r="U95" s="19"/>
      <c r="V95" s="19"/>
      <c r="W95" s="19"/>
      <c r="X95" s="19"/>
      <c r="Y95" s="19"/>
      <c r="Z95" s="19"/>
      <c r="AA95" s="19"/>
      <c r="AB95" s="19"/>
      <c r="FE95" s="54"/>
    </row>
    <row r="96" spans="1:161" s="18" customFormat="1">
      <c r="A96" s="51"/>
      <c r="B96" s="735"/>
      <c r="C96" s="735"/>
      <c r="D96" s="735"/>
      <c r="E96" s="735"/>
      <c r="F96" s="736"/>
      <c r="G96" s="735"/>
      <c r="H96" s="735"/>
      <c r="I96" s="735"/>
      <c r="J96" s="735"/>
      <c r="K96" s="735"/>
      <c r="L96" s="735"/>
      <c r="M96" s="735"/>
      <c r="N96" s="735"/>
      <c r="O96" s="19"/>
      <c r="P96" s="19"/>
      <c r="Q96" s="19"/>
      <c r="R96" s="19"/>
      <c r="S96" s="19"/>
      <c r="T96" s="19"/>
      <c r="U96" s="19"/>
      <c r="V96" s="19"/>
      <c r="W96" s="19"/>
      <c r="X96" s="19"/>
      <c r="Y96" s="19"/>
      <c r="Z96" s="19"/>
      <c r="AA96" s="19"/>
      <c r="AB96" s="19"/>
      <c r="FE96" s="54"/>
    </row>
    <row r="97" spans="1:161" s="18" customFormat="1">
      <c r="A97" s="51"/>
      <c r="B97" s="735"/>
      <c r="C97" s="735"/>
      <c r="D97" s="735"/>
      <c r="E97" s="735"/>
      <c r="F97" s="736"/>
      <c r="G97" s="735"/>
      <c r="H97" s="735"/>
      <c r="I97" s="735"/>
      <c r="J97" s="735"/>
      <c r="K97" s="735"/>
      <c r="L97" s="735"/>
      <c r="M97" s="735"/>
      <c r="N97" s="735"/>
      <c r="O97" s="19"/>
      <c r="P97" s="19"/>
      <c r="Q97" s="19"/>
      <c r="R97" s="19"/>
      <c r="S97" s="19"/>
      <c r="T97" s="19"/>
      <c r="U97" s="19"/>
      <c r="V97" s="19"/>
      <c r="W97" s="19"/>
      <c r="X97" s="19"/>
      <c r="Y97" s="19"/>
      <c r="Z97" s="19"/>
      <c r="AA97" s="19"/>
      <c r="AB97" s="19"/>
      <c r="FE97" s="54"/>
    </row>
    <row r="98" spans="1:161" s="18" customFormat="1">
      <c r="A98" s="51"/>
      <c r="B98" s="735"/>
      <c r="C98" s="735"/>
      <c r="D98" s="735"/>
      <c r="E98" s="735"/>
      <c r="F98" s="736"/>
      <c r="G98" s="735"/>
      <c r="H98" s="735"/>
      <c r="I98" s="735"/>
      <c r="J98" s="735"/>
      <c r="K98" s="735"/>
      <c r="L98" s="735"/>
      <c r="M98" s="735"/>
      <c r="N98" s="735"/>
      <c r="O98" s="19"/>
      <c r="P98" s="19"/>
      <c r="Q98" s="19"/>
      <c r="R98" s="19"/>
      <c r="S98" s="19"/>
      <c r="T98" s="19"/>
      <c r="U98" s="19"/>
      <c r="V98" s="19"/>
      <c r="W98" s="19"/>
      <c r="X98" s="19"/>
      <c r="Y98" s="19"/>
      <c r="Z98" s="19"/>
      <c r="AA98" s="19"/>
      <c r="AB98" s="19"/>
      <c r="FE98" s="54"/>
    </row>
    <row r="99" spans="1:161" s="18" customFormat="1">
      <c r="A99" s="51"/>
      <c r="B99" s="735"/>
      <c r="C99" s="735"/>
      <c r="D99" s="735"/>
      <c r="E99" s="735"/>
      <c r="F99" s="736"/>
      <c r="G99" s="735"/>
      <c r="H99" s="735"/>
      <c r="I99" s="735"/>
      <c r="J99" s="735"/>
      <c r="K99" s="735"/>
      <c r="L99" s="735"/>
      <c r="M99" s="735"/>
      <c r="N99" s="735"/>
      <c r="O99" s="19"/>
      <c r="P99" s="19"/>
      <c r="Q99" s="19"/>
      <c r="R99" s="19"/>
      <c r="S99" s="19"/>
      <c r="T99" s="19"/>
      <c r="U99" s="19"/>
      <c r="V99" s="19"/>
      <c r="W99" s="19"/>
      <c r="X99" s="19"/>
      <c r="Y99" s="19"/>
      <c r="Z99" s="19"/>
      <c r="AA99" s="19"/>
      <c r="AB99" s="19"/>
      <c r="FE99" s="54"/>
    </row>
    <row r="100" spans="1:161" s="18" customFormat="1">
      <c r="A100" s="51"/>
      <c r="B100" s="735"/>
      <c r="C100" s="735"/>
      <c r="D100" s="735"/>
      <c r="E100" s="735"/>
      <c r="F100" s="736"/>
      <c r="G100" s="735"/>
      <c r="H100" s="735"/>
      <c r="I100" s="735"/>
      <c r="J100" s="735"/>
      <c r="K100" s="735"/>
      <c r="L100" s="735"/>
      <c r="M100" s="735"/>
      <c r="N100" s="735"/>
      <c r="O100" s="19"/>
      <c r="P100" s="19"/>
      <c r="Q100" s="19"/>
      <c r="R100" s="19"/>
      <c r="S100" s="19"/>
      <c r="T100" s="19"/>
      <c r="U100" s="19"/>
      <c r="V100" s="19"/>
      <c r="W100" s="19"/>
      <c r="X100" s="19"/>
      <c r="Y100" s="19"/>
      <c r="Z100" s="19"/>
      <c r="AA100" s="19"/>
      <c r="AB100" s="19"/>
      <c r="FE100" s="54"/>
    </row>
    <row r="101" spans="1:161" s="18" customFormat="1">
      <c r="A101" s="51"/>
      <c r="B101" s="735"/>
      <c r="C101" s="735"/>
      <c r="D101" s="735"/>
      <c r="E101" s="735"/>
      <c r="F101" s="736"/>
      <c r="G101" s="735"/>
      <c r="H101" s="735"/>
      <c r="I101" s="735"/>
      <c r="J101" s="735"/>
      <c r="K101" s="735"/>
      <c r="L101" s="735"/>
      <c r="M101" s="735"/>
      <c r="N101" s="735"/>
      <c r="O101" s="19"/>
      <c r="P101" s="19"/>
      <c r="Q101" s="19"/>
      <c r="R101" s="19"/>
      <c r="S101" s="19"/>
      <c r="T101" s="19"/>
      <c r="U101" s="19"/>
      <c r="V101" s="19"/>
      <c r="W101" s="19"/>
      <c r="X101" s="19"/>
      <c r="Y101" s="19"/>
      <c r="Z101" s="19"/>
      <c r="AA101" s="19"/>
      <c r="AB101" s="19"/>
      <c r="FE101" s="54"/>
    </row>
    <row r="102" spans="1:161" s="18" customFormat="1">
      <c r="A102" s="51"/>
      <c r="B102" s="735"/>
      <c r="C102" s="735"/>
      <c r="D102" s="735"/>
      <c r="E102" s="735"/>
      <c r="F102" s="736"/>
      <c r="G102" s="735"/>
      <c r="H102" s="735"/>
      <c r="I102" s="735"/>
      <c r="J102" s="735"/>
      <c r="K102" s="735"/>
      <c r="L102" s="735"/>
      <c r="M102" s="735"/>
      <c r="N102" s="735"/>
      <c r="O102" s="19"/>
      <c r="P102" s="19"/>
      <c r="Q102" s="19"/>
      <c r="R102" s="19"/>
      <c r="S102" s="19"/>
      <c r="T102" s="19"/>
      <c r="U102" s="19"/>
      <c r="V102" s="19"/>
      <c r="W102" s="19"/>
      <c r="X102" s="19"/>
      <c r="Y102" s="19"/>
      <c r="Z102" s="19"/>
      <c r="AA102" s="19"/>
      <c r="AB102" s="19"/>
      <c r="FE102" s="54"/>
    </row>
    <row r="103" spans="1:161" s="18" customFormat="1">
      <c r="A103" s="51"/>
      <c r="B103" s="735"/>
      <c r="C103" s="735"/>
      <c r="D103" s="735"/>
      <c r="E103" s="735"/>
      <c r="F103" s="736"/>
      <c r="G103" s="735"/>
      <c r="H103" s="735"/>
      <c r="I103" s="735"/>
      <c r="J103" s="735"/>
      <c r="K103" s="735"/>
      <c r="L103" s="735"/>
      <c r="M103" s="735"/>
      <c r="N103" s="735"/>
      <c r="O103" s="19"/>
      <c r="P103" s="19"/>
      <c r="Q103" s="19"/>
      <c r="R103" s="19"/>
      <c r="S103" s="19"/>
      <c r="T103" s="19"/>
      <c r="U103" s="19"/>
      <c r="V103" s="19"/>
      <c r="W103" s="19"/>
      <c r="X103" s="19"/>
      <c r="Y103" s="19"/>
      <c r="Z103" s="19"/>
      <c r="AA103" s="19"/>
      <c r="AB103" s="19"/>
      <c r="FE103" s="54"/>
    </row>
    <row r="104" spans="1:161" s="18" customFormat="1">
      <c r="A104" s="51"/>
      <c r="B104" s="735"/>
      <c r="C104" s="735"/>
      <c r="D104" s="735"/>
      <c r="E104" s="735"/>
      <c r="F104" s="736"/>
      <c r="G104" s="735"/>
      <c r="H104" s="735"/>
      <c r="I104" s="735"/>
      <c r="J104" s="735"/>
      <c r="K104" s="735"/>
      <c r="L104" s="735"/>
      <c r="M104" s="735"/>
      <c r="N104" s="735"/>
      <c r="O104" s="19"/>
      <c r="P104" s="19"/>
      <c r="Q104" s="19"/>
      <c r="R104" s="19"/>
      <c r="S104" s="19"/>
      <c r="T104" s="19"/>
      <c r="U104" s="19"/>
      <c r="V104" s="19"/>
      <c r="W104" s="19"/>
      <c r="X104" s="19"/>
      <c r="Y104" s="19"/>
      <c r="Z104" s="19"/>
      <c r="AA104" s="19"/>
      <c r="AB104" s="19"/>
      <c r="FE104" s="54"/>
    </row>
    <row r="105" spans="1:161" s="18" customFormat="1">
      <c r="A105" s="51"/>
      <c r="B105" s="735"/>
      <c r="C105" s="735"/>
      <c r="D105" s="735"/>
      <c r="E105" s="735"/>
      <c r="F105" s="736"/>
      <c r="G105" s="735"/>
      <c r="H105" s="735"/>
      <c r="I105" s="735"/>
      <c r="J105" s="735"/>
      <c r="K105" s="735"/>
      <c r="L105" s="735"/>
      <c r="M105" s="735"/>
      <c r="N105" s="735"/>
      <c r="O105" s="19"/>
      <c r="P105" s="19"/>
      <c r="Q105" s="19"/>
      <c r="R105" s="19"/>
      <c r="S105" s="19"/>
      <c r="T105" s="19"/>
      <c r="U105" s="19"/>
      <c r="V105" s="19"/>
      <c r="W105" s="19"/>
      <c r="X105" s="19"/>
      <c r="Y105" s="19"/>
      <c r="Z105" s="19"/>
      <c r="AA105" s="19"/>
      <c r="AB105" s="19"/>
      <c r="FE105" s="54"/>
    </row>
    <row r="106" spans="1:161" s="18" customFormat="1">
      <c r="A106" s="51"/>
      <c r="B106" s="735"/>
      <c r="C106" s="735"/>
      <c r="D106" s="735"/>
      <c r="E106" s="735"/>
      <c r="F106" s="736"/>
      <c r="G106" s="735"/>
      <c r="H106" s="735"/>
      <c r="I106" s="735"/>
      <c r="J106" s="735"/>
      <c r="K106" s="735"/>
      <c r="L106" s="735"/>
      <c r="M106" s="735"/>
      <c r="N106" s="735"/>
      <c r="O106" s="19"/>
      <c r="P106" s="19"/>
      <c r="Q106" s="19"/>
      <c r="R106" s="19"/>
      <c r="S106" s="19"/>
      <c r="T106" s="19"/>
      <c r="U106" s="19"/>
      <c r="V106" s="19"/>
      <c r="W106" s="19"/>
      <c r="X106" s="19"/>
      <c r="Y106" s="19"/>
      <c r="Z106" s="19"/>
      <c r="AA106" s="19"/>
      <c r="AB106" s="19"/>
      <c r="FE106" s="54"/>
    </row>
    <row r="107" spans="1:161" s="18" customFormat="1">
      <c r="A107" s="51"/>
      <c r="B107" s="735"/>
      <c r="C107" s="735"/>
      <c r="D107" s="735"/>
      <c r="E107" s="735"/>
      <c r="F107" s="736"/>
      <c r="G107" s="735"/>
      <c r="H107" s="735"/>
      <c r="I107" s="735"/>
      <c r="J107" s="735"/>
      <c r="K107" s="735"/>
      <c r="L107" s="735"/>
      <c r="M107" s="735"/>
      <c r="N107" s="735"/>
      <c r="O107" s="19"/>
      <c r="P107" s="19"/>
      <c r="Q107" s="19"/>
      <c r="R107" s="19"/>
      <c r="S107" s="19"/>
      <c r="T107" s="19"/>
      <c r="U107" s="19"/>
      <c r="V107" s="19"/>
      <c r="W107" s="19"/>
      <c r="X107" s="19"/>
      <c r="Y107" s="19"/>
      <c r="Z107" s="19"/>
      <c r="AA107" s="19"/>
      <c r="AB107" s="19"/>
      <c r="FE107" s="54"/>
    </row>
    <row r="108" spans="1:161" s="18" customFormat="1">
      <c r="A108" s="51"/>
      <c r="B108" s="735"/>
      <c r="C108" s="735"/>
      <c r="D108" s="735"/>
      <c r="E108" s="735"/>
      <c r="F108" s="736"/>
      <c r="G108" s="735"/>
      <c r="H108" s="735"/>
      <c r="I108" s="735"/>
      <c r="J108" s="735"/>
      <c r="K108" s="735"/>
      <c r="L108" s="735"/>
      <c r="M108" s="735"/>
      <c r="N108" s="735"/>
      <c r="O108" s="19"/>
      <c r="P108" s="19"/>
      <c r="Q108" s="19"/>
      <c r="R108" s="19"/>
      <c r="S108" s="19"/>
      <c r="T108" s="19"/>
      <c r="U108" s="19"/>
      <c r="V108" s="19"/>
      <c r="W108" s="19"/>
      <c r="X108" s="19"/>
      <c r="Y108" s="19"/>
      <c r="Z108" s="19"/>
      <c r="AA108" s="19"/>
      <c r="AB108" s="19"/>
      <c r="FE108" s="54"/>
    </row>
    <row r="109" spans="1:161" s="18" customFormat="1">
      <c r="A109" s="51"/>
      <c r="B109" s="735"/>
      <c r="C109" s="735"/>
      <c r="D109" s="735"/>
      <c r="E109" s="735"/>
      <c r="F109" s="736"/>
      <c r="G109" s="735"/>
      <c r="H109" s="735"/>
      <c r="I109" s="735"/>
      <c r="J109" s="735"/>
      <c r="K109" s="735"/>
      <c r="L109" s="735"/>
      <c r="M109" s="735"/>
      <c r="N109" s="735"/>
      <c r="O109" s="19"/>
      <c r="P109" s="19"/>
      <c r="Q109" s="19"/>
      <c r="R109" s="19"/>
      <c r="S109" s="19"/>
      <c r="T109" s="19"/>
      <c r="U109" s="19"/>
      <c r="V109" s="19"/>
      <c r="W109" s="19"/>
      <c r="X109" s="19"/>
      <c r="Y109" s="19"/>
      <c r="Z109" s="19"/>
      <c r="AA109" s="19"/>
      <c r="AB109" s="19"/>
      <c r="FE109" s="54"/>
    </row>
    <row r="110" spans="1:161" s="18" customFormat="1">
      <c r="A110" s="51"/>
      <c r="B110" s="735"/>
      <c r="C110" s="735"/>
      <c r="D110" s="735"/>
      <c r="E110" s="735"/>
      <c r="F110" s="736"/>
      <c r="G110" s="735"/>
      <c r="H110" s="735"/>
      <c r="I110" s="735"/>
      <c r="J110" s="735"/>
      <c r="K110" s="735"/>
      <c r="L110" s="735"/>
      <c r="M110" s="735"/>
      <c r="N110" s="735"/>
      <c r="O110" s="19"/>
      <c r="P110" s="19"/>
      <c r="Q110" s="19"/>
      <c r="R110" s="19"/>
      <c r="S110" s="19"/>
      <c r="T110" s="19"/>
      <c r="U110" s="19"/>
      <c r="V110" s="19"/>
      <c r="W110" s="19"/>
      <c r="X110" s="19"/>
      <c r="Y110" s="19"/>
      <c r="Z110" s="19"/>
      <c r="AA110" s="19"/>
      <c r="AB110" s="19"/>
      <c r="FE110" s="54"/>
    </row>
    <row r="111" spans="1:161" s="18" customFormat="1">
      <c r="A111" s="51"/>
      <c r="B111" s="735"/>
      <c r="C111" s="735"/>
      <c r="D111" s="735"/>
      <c r="E111" s="735"/>
      <c r="F111" s="736"/>
      <c r="G111" s="735"/>
      <c r="H111" s="735"/>
      <c r="I111" s="735"/>
      <c r="J111" s="735"/>
      <c r="K111" s="735"/>
      <c r="L111" s="735"/>
      <c r="M111" s="735"/>
      <c r="N111" s="735"/>
      <c r="O111" s="19"/>
      <c r="P111" s="19"/>
      <c r="Q111" s="19"/>
      <c r="R111" s="19"/>
      <c r="S111" s="19"/>
      <c r="T111" s="19"/>
      <c r="U111" s="19"/>
      <c r="V111" s="19"/>
      <c r="W111" s="19"/>
      <c r="X111" s="19"/>
      <c r="Y111" s="19"/>
      <c r="Z111" s="19"/>
      <c r="AA111" s="19"/>
      <c r="AB111" s="19"/>
      <c r="FE111" s="54"/>
    </row>
    <row r="112" spans="1:161" s="18" customFormat="1">
      <c r="A112" s="51"/>
      <c r="B112" s="735"/>
      <c r="C112" s="735"/>
      <c r="D112" s="735"/>
      <c r="E112" s="735"/>
      <c r="F112" s="736"/>
      <c r="G112" s="735"/>
      <c r="H112" s="735"/>
      <c r="I112" s="735"/>
      <c r="J112" s="735"/>
      <c r="K112" s="735"/>
      <c r="L112" s="735"/>
      <c r="M112" s="735"/>
      <c r="N112" s="735"/>
      <c r="O112" s="19"/>
      <c r="P112" s="19"/>
      <c r="Q112" s="19"/>
      <c r="R112" s="19"/>
      <c r="S112" s="19"/>
      <c r="T112" s="19"/>
      <c r="U112" s="19"/>
      <c r="V112" s="19"/>
      <c r="W112" s="19"/>
      <c r="X112" s="19"/>
      <c r="Y112" s="19"/>
      <c r="Z112" s="19"/>
      <c r="AA112" s="19"/>
      <c r="AB112" s="19"/>
      <c r="FE112" s="54"/>
    </row>
    <row r="113" spans="1:161" s="18" customFormat="1">
      <c r="A113" s="51"/>
      <c r="B113" s="735"/>
      <c r="C113" s="735"/>
      <c r="D113" s="735"/>
      <c r="E113" s="735"/>
      <c r="F113" s="736"/>
      <c r="G113" s="735"/>
      <c r="H113" s="735"/>
      <c r="I113" s="735"/>
      <c r="J113" s="735"/>
      <c r="K113" s="735"/>
      <c r="L113" s="735"/>
      <c r="M113" s="735"/>
      <c r="N113" s="735"/>
      <c r="O113" s="19"/>
      <c r="P113" s="19"/>
      <c r="Q113" s="19"/>
      <c r="R113" s="19"/>
      <c r="S113" s="19"/>
      <c r="T113" s="19"/>
      <c r="U113" s="19"/>
      <c r="V113" s="19"/>
      <c r="W113" s="19"/>
      <c r="X113" s="19"/>
      <c r="Y113" s="19"/>
      <c r="Z113" s="19"/>
      <c r="AA113" s="19"/>
      <c r="AB113" s="19"/>
      <c r="FE113" s="54"/>
    </row>
    <row r="114" spans="1:161" s="18" customFormat="1">
      <c r="A114" s="51"/>
      <c r="B114" s="735"/>
      <c r="C114" s="735"/>
      <c r="D114" s="735"/>
      <c r="E114" s="735"/>
      <c r="F114" s="736"/>
      <c r="G114" s="735"/>
      <c r="H114" s="735"/>
      <c r="I114" s="735"/>
      <c r="J114" s="735"/>
      <c r="K114" s="735"/>
      <c r="L114" s="735"/>
      <c r="M114" s="735"/>
      <c r="N114" s="735"/>
      <c r="O114" s="19"/>
      <c r="P114" s="19"/>
      <c r="Q114" s="19"/>
      <c r="R114" s="19"/>
      <c r="S114" s="19"/>
      <c r="T114" s="19"/>
      <c r="U114" s="19"/>
      <c r="V114" s="19"/>
      <c r="W114" s="19"/>
      <c r="X114" s="19"/>
      <c r="Y114" s="19"/>
      <c r="Z114" s="19"/>
      <c r="AA114" s="19"/>
      <c r="AB114" s="19"/>
      <c r="FE114" s="54"/>
    </row>
    <row r="115" spans="1:161" s="18" customFormat="1">
      <c r="A115" s="51"/>
      <c r="B115" s="735"/>
      <c r="C115" s="735"/>
      <c r="D115" s="735"/>
      <c r="E115" s="735"/>
      <c r="F115" s="736"/>
      <c r="G115" s="735"/>
      <c r="H115" s="735"/>
      <c r="I115" s="735"/>
      <c r="J115" s="735"/>
      <c r="K115" s="735"/>
      <c r="L115" s="735"/>
      <c r="M115" s="735"/>
      <c r="N115" s="735"/>
      <c r="O115" s="19"/>
      <c r="P115" s="19"/>
      <c r="Q115" s="19"/>
      <c r="R115" s="19"/>
      <c r="S115" s="19"/>
      <c r="T115" s="19"/>
      <c r="U115" s="19"/>
      <c r="V115" s="19"/>
      <c r="W115" s="19"/>
      <c r="X115" s="19"/>
      <c r="Y115" s="19"/>
      <c r="Z115" s="19"/>
      <c r="AA115" s="19"/>
      <c r="AB115" s="19"/>
      <c r="FE115" s="54"/>
    </row>
    <row r="116" spans="1:161" s="18" customFormat="1">
      <c r="A116" s="51"/>
      <c r="B116" s="735"/>
      <c r="C116" s="735"/>
      <c r="D116" s="735"/>
      <c r="E116" s="735"/>
      <c r="F116" s="736"/>
      <c r="G116" s="735"/>
      <c r="H116" s="735"/>
      <c r="I116" s="735"/>
      <c r="J116" s="735"/>
      <c r="K116" s="735"/>
      <c r="L116" s="735"/>
      <c r="M116" s="735"/>
      <c r="N116" s="735"/>
      <c r="O116" s="19"/>
      <c r="P116" s="19"/>
      <c r="Q116" s="19"/>
      <c r="R116" s="19"/>
      <c r="S116" s="19"/>
      <c r="T116" s="19"/>
      <c r="U116" s="19"/>
      <c r="V116" s="19"/>
      <c r="W116" s="19"/>
      <c r="X116" s="19"/>
      <c r="Y116" s="19"/>
      <c r="Z116" s="19"/>
      <c r="AA116" s="19"/>
      <c r="AB116" s="19"/>
      <c r="FE116" s="54"/>
    </row>
    <row r="117" spans="1:161" s="18" customFormat="1">
      <c r="A117" s="51"/>
      <c r="B117" s="735"/>
      <c r="C117" s="735"/>
      <c r="D117" s="735"/>
      <c r="E117" s="735"/>
      <c r="F117" s="736"/>
      <c r="G117" s="735"/>
      <c r="H117" s="735"/>
      <c r="I117" s="735"/>
      <c r="J117" s="735"/>
      <c r="K117" s="735"/>
      <c r="L117" s="735"/>
      <c r="M117" s="735"/>
      <c r="N117" s="735"/>
      <c r="O117" s="19"/>
      <c r="P117" s="19"/>
      <c r="Q117" s="19"/>
      <c r="R117" s="19"/>
      <c r="S117" s="19"/>
      <c r="T117" s="19"/>
      <c r="U117" s="19"/>
      <c r="V117" s="19"/>
      <c r="W117" s="19"/>
      <c r="X117" s="19"/>
      <c r="Y117" s="19"/>
      <c r="Z117" s="19"/>
      <c r="AA117" s="19"/>
      <c r="AB117" s="19"/>
      <c r="FE117" s="54"/>
    </row>
    <row r="118" spans="1:161" s="18" customFormat="1">
      <c r="A118" s="51"/>
      <c r="B118" s="735"/>
      <c r="C118" s="735"/>
      <c r="D118" s="735"/>
      <c r="E118" s="735"/>
      <c r="F118" s="736"/>
      <c r="G118" s="735"/>
      <c r="H118" s="735"/>
      <c r="I118" s="735"/>
      <c r="J118" s="735"/>
      <c r="K118" s="735"/>
      <c r="L118" s="735"/>
      <c r="M118" s="735"/>
      <c r="N118" s="735"/>
      <c r="O118" s="19"/>
      <c r="P118" s="19"/>
      <c r="Q118" s="19"/>
      <c r="R118" s="19"/>
      <c r="S118" s="19"/>
      <c r="T118" s="19"/>
      <c r="U118" s="19"/>
      <c r="V118" s="19"/>
      <c r="W118" s="19"/>
      <c r="X118" s="19"/>
      <c r="Y118" s="19"/>
      <c r="Z118" s="19"/>
      <c r="AA118" s="19"/>
      <c r="AB118" s="19"/>
      <c r="FE118" s="54"/>
    </row>
    <row r="119" spans="1:161" s="18" customFormat="1">
      <c r="A119" s="51"/>
      <c r="B119" s="735"/>
      <c r="C119" s="735"/>
      <c r="D119" s="735"/>
      <c r="E119" s="735"/>
      <c r="F119" s="736"/>
      <c r="G119" s="735"/>
      <c r="H119" s="735"/>
      <c r="I119" s="735"/>
      <c r="J119" s="735"/>
      <c r="K119" s="735"/>
      <c r="L119" s="735"/>
      <c r="M119" s="735"/>
      <c r="N119" s="735"/>
      <c r="O119" s="19"/>
      <c r="P119" s="19"/>
      <c r="Q119" s="19"/>
      <c r="R119" s="19"/>
      <c r="S119" s="19"/>
      <c r="T119" s="19"/>
      <c r="U119" s="19"/>
      <c r="V119" s="19"/>
      <c r="W119" s="19"/>
      <c r="X119" s="19"/>
      <c r="Y119" s="19"/>
      <c r="Z119" s="19"/>
      <c r="AA119" s="19"/>
      <c r="AB119" s="19"/>
      <c r="FE119" s="54"/>
    </row>
    <row r="120" spans="1:161" s="18" customFormat="1">
      <c r="A120" s="51"/>
      <c r="B120" s="735"/>
      <c r="C120" s="735"/>
      <c r="D120" s="735"/>
      <c r="E120" s="735"/>
      <c r="F120" s="736"/>
      <c r="G120" s="735"/>
      <c r="H120" s="735"/>
      <c r="I120" s="735"/>
      <c r="J120" s="735"/>
      <c r="K120" s="735"/>
      <c r="L120" s="735"/>
      <c r="M120" s="735"/>
      <c r="N120" s="735"/>
      <c r="O120" s="19"/>
      <c r="P120" s="19"/>
      <c r="Q120" s="19"/>
      <c r="R120" s="19"/>
      <c r="S120" s="19"/>
      <c r="T120" s="19"/>
      <c r="U120" s="19"/>
      <c r="V120" s="19"/>
      <c r="W120" s="19"/>
      <c r="X120" s="19"/>
      <c r="Y120" s="19"/>
      <c r="Z120" s="19"/>
      <c r="AA120" s="19"/>
      <c r="AB120" s="19"/>
      <c r="FE120" s="54"/>
    </row>
    <row r="121" spans="1:161" s="18" customFormat="1">
      <c r="A121" s="51"/>
      <c r="B121" s="735"/>
      <c r="C121" s="735"/>
      <c r="D121" s="735"/>
      <c r="E121" s="735"/>
      <c r="F121" s="736"/>
      <c r="G121" s="735"/>
      <c r="H121" s="735"/>
      <c r="I121" s="735"/>
      <c r="J121" s="735"/>
      <c r="K121" s="735"/>
      <c r="L121" s="735"/>
      <c r="M121" s="735"/>
      <c r="N121" s="735"/>
      <c r="O121" s="19"/>
      <c r="P121" s="19"/>
      <c r="Q121" s="19"/>
      <c r="R121" s="19"/>
      <c r="S121" s="19"/>
      <c r="T121" s="19"/>
      <c r="U121" s="19"/>
      <c r="V121" s="19"/>
      <c r="W121" s="19"/>
      <c r="X121" s="19"/>
      <c r="Y121" s="19"/>
      <c r="Z121" s="19"/>
      <c r="AA121" s="19"/>
      <c r="AB121" s="19"/>
      <c r="FE121" s="54"/>
    </row>
    <row r="122" spans="1:161" s="18" customFormat="1">
      <c r="A122" s="51"/>
      <c r="B122" s="735"/>
      <c r="C122" s="735"/>
      <c r="D122" s="735"/>
      <c r="E122" s="735"/>
      <c r="F122" s="736"/>
      <c r="G122" s="735"/>
      <c r="H122" s="735"/>
      <c r="I122" s="735"/>
      <c r="J122" s="735"/>
      <c r="K122" s="735"/>
      <c r="L122" s="735"/>
      <c r="M122" s="735"/>
      <c r="N122" s="735"/>
      <c r="O122" s="19"/>
      <c r="P122" s="19"/>
      <c r="Q122" s="19"/>
      <c r="R122" s="19"/>
      <c r="S122" s="19"/>
      <c r="T122" s="19"/>
      <c r="U122" s="19"/>
      <c r="V122" s="19"/>
      <c r="W122" s="19"/>
      <c r="X122" s="19"/>
      <c r="Y122" s="19"/>
      <c r="Z122" s="19"/>
      <c r="AA122" s="19"/>
      <c r="AB122" s="19"/>
      <c r="FE122" s="54"/>
    </row>
    <row r="123" spans="1:161" s="18" customFormat="1">
      <c r="A123" s="51"/>
      <c r="B123" s="735"/>
      <c r="C123" s="735"/>
      <c r="D123" s="735"/>
      <c r="E123" s="735"/>
      <c r="F123" s="736"/>
      <c r="G123" s="735"/>
      <c r="H123" s="735"/>
      <c r="I123" s="735"/>
      <c r="J123" s="735"/>
      <c r="K123" s="735"/>
      <c r="L123" s="735"/>
      <c r="M123" s="735"/>
      <c r="N123" s="735"/>
      <c r="O123" s="19"/>
      <c r="P123" s="19"/>
      <c r="Q123" s="19"/>
      <c r="R123" s="19"/>
      <c r="S123" s="19"/>
      <c r="T123" s="19"/>
      <c r="U123" s="19"/>
      <c r="V123" s="19"/>
      <c r="W123" s="19"/>
      <c r="X123" s="19"/>
      <c r="Y123" s="19"/>
      <c r="Z123" s="19"/>
      <c r="AA123" s="19"/>
      <c r="AB123" s="19"/>
      <c r="FE123" s="54"/>
    </row>
    <row r="124" spans="1:161" s="18" customFormat="1">
      <c r="A124" s="51"/>
      <c r="B124" s="735"/>
      <c r="C124" s="735"/>
      <c r="D124" s="735"/>
      <c r="E124" s="735"/>
      <c r="F124" s="736"/>
      <c r="G124" s="735"/>
      <c r="H124" s="735"/>
      <c r="I124" s="735"/>
      <c r="J124" s="735"/>
      <c r="K124" s="735"/>
      <c r="L124" s="735"/>
      <c r="M124" s="735"/>
      <c r="N124" s="735"/>
      <c r="O124" s="19"/>
      <c r="P124" s="19"/>
      <c r="Q124" s="19"/>
      <c r="R124" s="19"/>
      <c r="S124" s="19"/>
      <c r="T124" s="19"/>
      <c r="U124" s="19"/>
      <c r="V124" s="19"/>
      <c r="W124" s="19"/>
      <c r="X124" s="19"/>
      <c r="Y124" s="19"/>
      <c r="Z124" s="19"/>
      <c r="AA124" s="19"/>
      <c r="AB124" s="19"/>
      <c r="FE124" s="54"/>
    </row>
    <row r="125" spans="1:161" s="18" customFormat="1">
      <c r="A125" s="51"/>
      <c r="B125" s="735"/>
      <c r="C125" s="735"/>
      <c r="D125" s="735"/>
      <c r="E125" s="735"/>
      <c r="F125" s="736"/>
      <c r="G125" s="735"/>
      <c r="H125" s="735"/>
      <c r="I125" s="735"/>
      <c r="J125" s="735"/>
      <c r="K125" s="735"/>
      <c r="L125" s="735"/>
      <c r="M125" s="735"/>
      <c r="N125" s="735"/>
      <c r="O125" s="19"/>
      <c r="P125" s="19"/>
      <c r="Q125" s="19"/>
      <c r="R125" s="19"/>
      <c r="S125" s="19"/>
      <c r="T125" s="19"/>
      <c r="U125" s="19"/>
      <c r="V125" s="19"/>
      <c r="W125" s="19"/>
      <c r="X125" s="19"/>
      <c r="Y125" s="19"/>
      <c r="Z125" s="19"/>
      <c r="AA125" s="19"/>
      <c r="AB125" s="19"/>
      <c r="FE125" s="54"/>
    </row>
    <row r="126" spans="1:161" s="18" customFormat="1">
      <c r="A126" s="51"/>
      <c r="B126" s="735"/>
      <c r="C126" s="735"/>
      <c r="D126" s="735"/>
      <c r="E126" s="735"/>
      <c r="F126" s="736"/>
      <c r="G126" s="735"/>
      <c r="H126" s="735"/>
      <c r="I126" s="735"/>
      <c r="J126" s="735"/>
      <c r="K126" s="735"/>
      <c r="L126" s="735"/>
      <c r="M126" s="735"/>
      <c r="N126" s="735"/>
      <c r="O126" s="19"/>
      <c r="P126" s="19"/>
      <c r="Q126" s="19"/>
      <c r="R126" s="19"/>
      <c r="S126" s="19"/>
      <c r="T126" s="19"/>
      <c r="U126" s="19"/>
      <c r="V126" s="19"/>
      <c r="W126" s="19"/>
      <c r="X126" s="19"/>
      <c r="Y126" s="19"/>
      <c r="Z126" s="19"/>
      <c r="AA126" s="19"/>
      <c r="AB126" s="19"/>
      <c r="FE126" s="54"/>
    </row>
    <row r="127" spans="1:161" s="18" customFormat="1">
      <c r="A127" s="51"/>
      <c r="B127" s="735"/>
      <c r="C127" s="735"/>
      <c r="D127" s="735"/>
      <c r="E127" s="735"/>
      <c r="F127" s="736"/>
      <c r="G127" s="735"/>
      <c r="H127" s="735"/>
      <c r="I127" s="735"/>
      <c r="J127" s="735"/>
      <c r="K127" s="735"/>
      <c r="L127" s="735"/>
      <c r="M127" s="735"/>
      <c r="N127" s="735"/>
      <c r="O127" s="19"/>
      <c r="P127" s="19"/>
      <c r="Q127" s="19"/>
      <c r="R127" s="19"/>
      <c r="S127" s="19"/>
      <c r="T127" s="19"/>
      <c r="U127" s="19"/>
      <c r="V127" s="19"/>
      <c r="W127" s="19"/>
      <c r="X127" s="19"/>
      <c r="Y127" s="19"/>
      <c r="Z127" s="19"/>
      <c r="AA127" s="19"/>
      <c r="AB127" s="19"/>
      <c r="FE127" s="54"/>
    </row>
    <row r="128" spans="1:161" s="18" customFormat="1">
      <c r="A128" s="51"/>
      <c r="B128" s="735"/>
      <c r="C128" s="735"/>
      <c r="D128" s="735"/>
      <c r="E128" s="735"/>
      <c r="F128" s="736"/>
      <c r="G128" s="735"/>
      <c r="H128" s="735"/>
      <c r="I128" s="735"/>
      <c r="J128" s="735"/>
      <c r="K128" s="735"/>
      <c r="L128" s="735"/>
      <c r="M128" s="735"/>
      <c r="N128" s="735"/>
      <c r="O128" s="19"/>
      <c r="P128" s="19"/>
      <c r="Q128" s="19"/>
      <c r="R128" s="19"/>
      <c r="S128" s="19"/>
      <c r="T128" s="19"/>
      <c r="U128" s="19"/>
      <c r="V128" s="19"/>
      <c r="W128" s="19"/>
      <c r="X128" s="19"/>
      <c r="Y128" s="19"/>
      <c r="Z128" s="19"/>
      <c r="AA128" s="19"/>
      <c r="AB128" s="19"/>
      <c r="FE128" s="54"/>
    </row>
    <row r="129" spans="1:161" s="18" customFormat="1">
      <c r="A129" s="51"/>
      <c r="B129" s="735"/>
      <c r="C129" s="735"/>
      <c r="D129" s="735"/>
      <c r="E129" s="735"/>
      <c r="F129" s="736"/>
      <c r="G129" s="735"/>
      <c r="H129" s="735"/>
      <c r="I129" s="735"/>
      <c r="J129" s="735"/>
      <c r="K129" s="735"/>
      <c r="L129" s="735"/>
      <c r="M129" s="735"/>
      <c r="N129" s="735"/>
      <c r="O129" s="19"/>
      <c r="P129" s="19"/>
      <c r="Q129" s="19"/>
      <c r="R129" s="19"/>
      <c r="S129" s="19"/>
      <c r="T129" s="19"/>
      <c r="U129" s="19"/>
      <c r="V129" s="19"/>
      <c r="W129" s="19"/>
      <c r="X129" s="19"/>
      <c r="Y129" s="19"/>
      <c r="Z129" s="19"/>
      <c r="AA129" s="19"/>
      <c r="AB129" s="19"/>
      <c r="FE129" s="54"/>
    </row>
    <row r="130" spans="1:161" s="18" customFormat="1">
      <c r="A130" s="51"/>
      <c r="B130" s="735"/>
      <c r="C130" s="735"/>
      <c r="D130" s="735"/>
      <c r="E130" s="735"/>
      <c r="F130" s="736"/>
      <c r="G130" s="735"/>
      <c r="H130" s="735"/>
      <c r="I130" s="735"/>
      <c r="J130" s="735"/>
      <c r="K130" s="735"/>
      <c r="L130" s="735"/>
      <c r="M130" s="735"/>
      <c r="N130" s="735"/>
      <c r="O130" s="19"/>
      <c r="P130" s="19"/>
      <c r="Q130" s="19"/>
      <c r="R130" s="19"/>
      <c r="S130" s="19"/>
      <c r="T130" s="19"/>
      <c r="U130" s="19"/>
      <c r="V130" s="19"/>
      <c r="W130" s="19"/>
      <c r="X130" s="19"/>
      <c r="Y130" s="19"/>
      <c r="Z130" s="19"/>
      <c r="AA130" s="19"/>
      <c r="AB130" s="19"/>
      <c r="FE130" s="54"/>
    </row>
    <row r="131" spans="1:161" s="18" customFormat="1">
      <c r="A131" s="51"/>
      <c r="B131" s="735"/>
      <c r="C131" s="735"/>
      <c r="D131" s="735"/>
      <c r="E131" s="735"/>
      <c r="F131" s="736"/>
      <c r="G131" s="735"/>
      <c r="H131" s="735"/>
      <c r="I131" s="735"/>
      <c r="J131" s="735"/>
      <c r="K131" s="735"/>
      <c r="L131" s="735"/>
      <c r="M131" s="735"/>
      <c r="N131" s="735"/>
      <c r="O131" s="19"/>
      <c r="P131" s="19"/>
      <c r="Q131" s="19"/>
      <c r="R131" s="19"/>
      <c r="S131" s="19"/>
      <c r="T131" s="19"/>
      <c r="U131" s="19"/>
      <c r="V131" s="19"/>
      <c r="W131" s="19"/>
      <c r="X131" s="19"/>
      <c r="Y131" s="19"/>
      <c r="Z131" s="19"/>
      <c r="AA131" s="19"/>
      <c r="AB131" s="19"/>
      <c r="FE131" s="54"/>
    </row>
    <row r="132" spans="1:161" s="18" customFormat="1">
      <c r="A132" s="51"/>
      <c r="B132" s="735"/>
      <c r="C132" s="735"/>
      <c r="D132" s="735"/>
      <c r="E132" s="735"/>
      <c r="F132" s="736"/>
      <c r="G132" s="735"/>
      <c r="H132" s="735"/>
      <c r="I132" s="735"/>
      <c r="J132" s="735"/>
      <c r="K132" s="735"/>
      <c r="L132" s="735"/>
      <c r="M132" s="735"/>
      <c r="N132" s="735"/>
      <c r="O132" s="19"/>
      <c r="P132" s="19"/>
      <c r="Q132" s="19"/>
      <c r="R132" s="19"/>
      <c r="S132" s="19"/>
      <c r="T132" s="19"/>
      <c r="U132" s="19"/>
      <c r="V132" s="19"/>
      <c r="W132" s="19"/>
      <c r="X132" s="19"/>
      <c r="Y132" s="19"/>
      <c r="Z132" s="19"/>
      <c r="AA132" s="19"/>
      <c r="AB132" s="19"/>
      <c r="FE132" s="54"/>
    </row>
    <row r="133" spans="1:161" s="18" customFormat="1">
      <c r="A133" s="51"/>
      <c r="B133" s="735"/>
      <c r="C133" s="735"/>
      <c r="D133" s="735"/>
      <c r="E133" s="735"/>
      <c r="F133" s="736"/>
      <c r="G133" s="735"/>
      <c r="H133" s="735"/>
      <c r="I133" s="735"/>
      <c r="J133" s="735"/>
      <c r="K133" s="735"/>
      <c r="L133" s="735"/>
      <c r="M133" s="735"/>
      <c r="N133" s="735"/>
      <c r="O133" s="19"/>
      <c r="P133" s="19"/>
      <c r="Q133" s="19"/>
      <c r="R133" s="19"/>
      <c r="S133" s="19"/>
      <c r="T133" s="19"/>
      <c r="U133" s="19"/>
      <c r="V133" s="19"/>
      <c r="W133" s="19"/>
      <c r="X133" s="19"/>
      <c r="Y133" s="19"/>
      <c r="Z133" s="19"/>
      <c r="AA133" s="19"/>
      <c r="AB133" s="19"/>
      <c r="FE133" s="54"/>
    </row>
    <row r="134" spans="1:161" s="18" customFormat="1">
      <c r="A134" s="51"/>
      <c r="B134" s="735"/>
      <c r="C134" s="735"/>
      <c r="D134" s="735"/>
      <c r="E134" s="735"/>
      <c r="F134" s="736"/>
      <c r="G134" s="735"/>
      <c r="H134" s="735"/>
      <c r="I134" s="735"/>
      <c r="J134" s="735"/>
      <c r="K134" s="735"/>
      <c r="L134" s="735"/>
      <c r="M134" s="735"/>
      <c r="N134" s="735"/>
      <c r="O134" s="19"/>
      <c r="P134" s="19"/>
      <c r="Q134" s="19"/>
      <c r="R134" s="19"/>
      <c r="S134" s="19"/>
      <c r="T134" s="19"/>
      <c r="U134" s="19"/>
      <c r="V134" s="19"/>
      <c r="W134" s="19"/>
      <c r="X134" s="19"/>
      <c r="Y134" s="19"/>
      <c r="Z134" s="19"/>
      <c r="AA134" s="19"/>
      <c r="AB134" s="19"/>
      <c r="FE134" s="54"/>
    </row>
    <row r="135" spans="1:161" s="18" customFormat="1">
      <c r="A135" s="51"/>
      <c r="B135" s="735"/>
      <c r="C135" s="735"/>
      <c r="D135" s="735"/>
      <c r="E135" s="735"/>
      <c r="F135" s="736"/>
      <c r="G135" s="735"/>
      <c r="H135" s="735"/>
      <c r="I135" s="735"/>
      <c r="J135" s="735"/>
      <c r="K135" s="735"/>
      <c r="L135" s="735"/>
      <c r="M135" s="735"/>
      <c r="N135" s="735"/>
      <c r="O135" s="19"/>
      <c r="P135" s="19"/>
      <c r="Q135" s="19"/>
      <c r="R135" s="19"/>
      <c r="S135" s="19"/>
      <c r="T135" s="19"/>
      <c r="U135" s="19"/>
      <c r="V135" s="19"/>
      <c r="W135" s="19"/>
      <c r="X135" s="19"/>
      <c r="Y135" s="19"/>
      <c r="Z135" s="19"/>
      <c r="AA135" s="19"/>
      <c r="AB135" s="19"/>
      <c r="FE135" s="54"/>
    </row>
    <row r="136" spans="1:161" s="18" customFormat="1">
      <c r="A136" s="51"/>
      <c r="B136" s="735"/>
      <c r="C136" s="735"/>
      <c r="D136" s="735"/>
      <c r="E136" s="735"/>
      <c r="F136" s="736"/>
      <c r="G136" s="735"/>
      <c r="H136" s="735"/>
      <c r="I136" s="735"/>
      <c r="J136" s="735"/>
      <c r="K136" s="735"/>
      <c r="L136" s="735"/>
      <c r="M136" s="735"/>
      <c r="N136" s="735"/>
      <c r="O136" s="19"/>
      <c r="P136" s="19"/>
      <c r="Q136" s="19"/>
      <c r="R136" s="19"/>
      <c r="S136" s="19"/>
      <c r="T136" s="19"/>
      <c r="U136" s="19"/>
      <c r="V136" s="19"/>
      <c r="W136" s="19"/>
      <c r="X136" s="19"/>
      <c r="Y136" s="19"/>
      <c r="Z136" s="19"/>
      <c r="AA136" s="19"/>
      <c r="AB136" s="19"/>
      <c r="FE136" s="54"/>
    </row>
    <row r="137" spans="1:161" s="18" customFormat="1">
      <c r="A137" s="51"/>
      <c r="B137" s="735"/>
      <c r="C137" s="735"/>
      <c r="D137" s="735"/>
      <c r="E137" s="735"/>
      <c r="F137" s="736"/>
      <c r="G137" s="735"/>
      <c r="H137" s="735"/>
      <c r="I137" s="735"/>
      <c r="J137" s="735"/>
      <c r="K137" s="735"/>
      <c r="L137" s="735"/>
      <c r="M137" s="735"/>
      <c r="N137" s="735"/>
      <c r="O137" s="19"/>
      <c r="P137" s="19"/>
      <c r="Q137" s="19"/>
      <c r="R137" s="19"/>
      <c r="S137" s="19"/>
      <c r="T137" s="19"/>
      <c r="U137" s="19"/>
      <c r="V137" s="19"/>
      <c r="W137" s="19"/>
      <c r="X137" s="19"/>
      <c r="Y137" s="19"/>
      <c r="Z137" s="19"/>
      <c r="AA137" s="19"/>
      <c r="AB137" s="19"/>
      <c r="FE137" s="54"/>
    </row>
    <row r="138" spans="1:161" s="18" customFormat="1">
      <c r="A138" s="51"/>
      <c r="B138" s="735"/>
      <c r="C138" s="735"/>
      <c r="D138" s="735"/>
      <c r="E138" s="735"/>
      <c r="F138" s="736"/>
      <c r="G138" s="735"/>
      <c r="H138" s="735"/>
      <c r="I138" s="735"/>
      <c r="J138" s="735"/>
      <c r="K138" s="735"/>
      <c r="L138" s="735"/>
      <c r="M138" s="735"/>
      <c r="N138" s="735"/>
      <c r="O138" s="19"/>
      <c r="P138" s="19"/>
      <c r="Q138" s="19"/>
      <c r="R138" s="19"/>
      <c r="S138" s="19"/>
      <c r="T138" s="19"/>
      <c r="U138" s="19"/>
      <c r="V138" s="19"/>
      <c r="W138" s="19"/>
      <c r="X138" s="19"/>
      <c r="Y138" s="19"/>
      <c r="Z138" s="19"/>
      <c r="AA138" s="19"/>
      <c r="AB138" s="19"/>
      <c r="FE138" s="54"/>
    </row>
    <row r="139" spans="1:161" s="18" customFormat="1">
      <c r="A139" s="51"/>
      <c r="B139" s="735"/>
      <c r="C139" s="735"/>
      <c r="D139" s="735"/>
      <c r="E139" s="735"/>
      <c r="F139" s="736"/>
      <c r="G139" s="735"/>
      <c r="H139" s="735"/>
      <c r="I139" s="735"/>
      <c r="J139" s="735"/>
      <c r="K139" s="735"/>
      <c r="L139" s="735"/>
      <c r="M139" s="735"/>
      <c r="N139" s="735"/>
      <c r="O139" s="19"/>
      <c r="P139" s="19"/>
      <c r="Q139" s="19"/>
      <c r="R139" s="19"/>
      <c r="S139" s="19"/>
      <c r="T139" s="19"/>
      <c r="U139" s="19"/>
      <c r="V139" s="19"/>
      <c r="W139" s="19"/>
      <c r="X139" s="19"/>
      <c r="Y139" s="19"/>
      <c r="Z139" s="19"/>
      <c r="AA139" s="19"/>
      <c r="AB139" s="19"/>
      <c r="FE139" s="54"/>
    </row>
    <row r="140" spans="1:161" s="18" customFormat="1">
      <c r="A140" s="51"/>
      <c r="B140" s="735"/>
      <c r="C140" s="735"/>
      <c r="D140" s="735"/>
      <c r="E140" s="735"/>
      <c r="F140" s="736"/>
      <c r="G140" s="735"/>
      <c r="H140" s="735"/>
      <c r="I140" s="735"/>
      <c r="J140" s="735"/>
      <c r="K140" s="735"/>
      <c r="L140" s="735"/>
      <c r="M140" s="735"/>
      <c r="N140" s="735"/>
      <c r="O140" s="19"/>
      <c r="P140" s="19"/>
      <c r="Q140" s="19"/>
      <c r="R140" s="19"/>
      <c r="S140" s="19"/>
      <c r="T140" s="19"/>
      <c r="U140" s="19"/>
      <c r="V140" s="19"/>
      <c r="W140" s="19"/>
      <c r="X140" s="19"/>
      <c r="Y140" s="19"/>
      <c r="Z140" s="19"/>
      <c r="AA140" s="19"/>
      <c r="AB140" s="19"/>
      <c r="FE140" s="54"/>
    </row>
    <row r="141" spans="1:161" s="18" customFormat="1">
      <c r="A141" s="51"/>
      <c r="B141" s="735"/>
      <c r="C141" s="735"/>
      <c r="D141" s="735"/>
      <c r="E141" s="735"/>
      <c r="F141" s="736"/>
      <c r="G141" s="735"/>
      <c r="H141" s="735"/>
      <c r="I141" s="735"/>
      <c r="J141" s="735"/>
      <c r="K141" s="735"/>
      <c r="L141" s="735"/>
      <c r="M141" s="735"/>
      <c r="N141" s="735"/>
      <c r="O141" s="19"/>
      <c r="P141" s="19"/>
      <c r="Q141" s="19"/>
      <c r="R141" s="19"/>
      <c r="S141" s="19"/>
      <c r="T141" s="19"/>
      <c r="U141" s="19"/>
      <c r="V141" s="19"/>
      <c r="W141" s="19"/>
      <c r="X141" s="19"/>
      <c r="Y141" s="19"/>
      <c r="Z141" s="19"/>
      <c r="AA141" s="19"/>
      <c r="AB141" s="19"/>
      <c r="FE141" s="54"/>
    </row>
    <row r="142" spans="1:161" s="18" customFormat="1">
      <c r="A142" s="51"/>
      <c r="B142" s="735"/>
      <c r="C142" s="735"/>
      <c r="D142" s="735"/>
      <c r="E142" s="735"/>
      <c r="F142" s="736"/>
      <c r="G142" s="735"/>
      <c r="H142" s="735"/>
      <c r="I142" s="735"/>
      <c r="J142" s="735"/>
      <c r="K142" s="735"/>
      <c r="L142" s="735"/>
      <c r="M142" s="735"/>
      <c r="N142" s="735"/>
      <c r="O142" s="19"/>
      <c r="P142" s="19"/>
      <c r="Q142" s="19"/>
      <c r="R142" s="19"/>
      <c r="S142" s="19"/>
      <c r="T142" s="19"/>
      <c r="U142" s="19"/>
      <c r="V142" s="19"/>
      <c r="W142" s="19"/>
      <c r="X142" s="19"/>
      <c r="Y142" s="19"/>
      <c r="Z142" s="19"/>
      <c r="AA142" s="19"/>
      <c r="AB142" s="19"/>
      <c r="FE142" s="54"/>
    </row>
    <row r="143" spans="1:161" s="18" customFormat="1">
      <c r="A143" s="51"/>
      <c r="B143" s="735"/>
      <c r="C143" s="735"/>
      <c r="D143" s="735"/>
      <c r="E143" s="735"/>
      <c r="F143" s="736"/>
      <c r="G143" s="735"/>
      <c r="H143" s="735"/>
      <c r="I143" s="735"/>
      <c r="J143" s="735"/>
      <c r="K143" s="735"/>
      <c r="L143" s="735"/>
      <c r="M143" s="735"/>
      <c r="N143" s="735"/>
      <c r="O143" s="19"/>
      <c r="P143" s="19"/>
      <c r="Q143" s="19"/>
      <c r="R143" s="19"/>
      <c r="S143" s="19"/>
      <c r="T143" s="19"/>
      <c r="U143" s="19"/>
      <c r="V143" s="19"/>
      <c r="W143" s="19"/>
      <c r="X143" s="19"/>
      <c r="Y143" s="19"/>
      <c r="Z143" s="19"/>
      <c r="AA143" s="19"/>
      <c r="AB143" s="19"/>
      <c r="FE143" s="54"/>
    </row>
    <row r="144" spans="1:161" s="18" customFormat="1">
      <c r="A144" s="51"/>
      <c r="B144" s="735"/>
      <c r="C144" s="735"/>
      <c r="D144" s="735"/>
      <c r="E144" s="735"/>
      <c r="F144" s="736"/>
      <c r="G144" s="735"/>
      <c r="H144" s="735"/>
      <c r="I144" s="735"/>
      <c r="J144" s="735"/>
      <c r="K144" s="735"/>
      <c r="L144" s="735"/>
      <c r="M144" s="735"/>
      <c r="N144" s="735"/>
      <c r="O144" s="19"/>
      <c r="P144" s="19"/>
      <c r="Q144" s="19"/>
      <c r="R144" s="19"/>
      <c r="S144" s="19"/>
      <c r="T144" s="19"/>
      <c r="U144" s="19"/>
      <c r="V144" s="19"/>
      <c r="W144" s="19"/>
      <c r="X144" s="19"/>
      <c r="Y144" s="19"/>
      <c r="Z144" s="19"/>
      <c r="AA144" s="19"/>
      <c r="AB144" s="19"/>
      <c r="FE144" s="54"/>
    </row>
    <row r="145" spans="1:161" s="18" customFormat="1">
      <c r="A145" s="51"/>
      <c r="B145" s="735"/>
      <c r="C145" s="735"/>
      <c r="D145" s="735"/>
      <c r="E145" s="735"/>
      <c r="F145" s="736"/>
      <c r="G145" s="735"/>
      <c r="H145" s="735"/>
      <c r="I145" s="735"/>
      <c r="J145" s="735"/>
      <c r="K145" s="735"/>
      <c r="L145" s="735"/>
      <c r="M145" s="735"/>
      <c r="N145" s="735"/>
      <c r="O145" s="19"/>
      <c r="P145" s="19"/>
      <c r="Q145" s="19"/>
      <c r="R145" s="19"/>
      <c r="S145" s="19"/>
      <c r="T145" s="19"/>
      <c r="U145" s="19"/>
      <c r="V145" s="19"/>
      <c r="W145" s="19"/>
      <c r="X145" s="19"/>
      <c r="Y145" s="19"/>
      <c r="Z145" s="19"/>
      <c r="AA145" s="19"/>
      <c r="AB145" s="19"/>
      <c r="FE145" s="54"/>
    </row>
    <row r="146" spans="1:161" s="18" customFormat="1">
      <c r="A146" s="51"/>
      <c r="B146" s="735"/>
      <c r="C146" s="735"/>
      <c r="D146" s="735"/>
      <c r="E146" s="735"/>
      <c r="F146" s="736"/>
      <c r="G146" s="735"/>
      <c r="H146" s="735"/>
      <c r="I146" s="735"/>
      <c r="J146" s="735"/>
      <c r="K146" s="735"/>
      <c r="L146" s="735"/>
      <c r="M146" s="735"/>
      <c r="N146" s="735"/>
      <c r="O146" s="19"/>
      <c r="P146" s="19"/>
      <c r="Q146" s="19"/>
      <c r="R146" s="19"/>
      <c r="S146" s="19"/>
      <c r="T146" s="19"/>
      <c r="U146" s="19"/>
      <c r="V146" s="19"/>
      <c r="W146" s="19"/>
      <c r="X146" s="19"/>
      <c r="Y146" s="19"/>
      <c r="Z146" s="19"/>
      <c r="AA146" s="19"/>
      <c r="AB146" s="19"/>
      <c r="FE146" s="54"/>
    </row>
    <row r="147" spans="1:161" s="18" customFormat="1">
      <c r="A147" s="51"/>
      <c r="B147" s="735"/>
      <c r="C147" s="735"/>
      <c r="D147" s="735"/>
      <c r="E147" s="735"/>
      <c r="F147" s="736"/>
      <c r="G147" s="735"/>
      <c r="H147" s="735"/>
      <c r="I147" s="735"/>
      <c r="J147" s="735"/>
      <c r="K147" s="735"/>
      <c r="L147" s="735"/>
      <c r="M147" s="735"/>
      <c r="N147" s="735"/>
      <c r="O147" s="19"/>
      <c r="P147" s="19"/>
      <c r="Q147" s="19"/>
      <c r="R147" s="19"/>
      <c r="S147" s="19"/>
      <c r="T147" s="19"/>
      <c r="U147" s="19"/>
      <c r="V147" s="19"/>
      <c r="W147" s="19"/>
      <c r="X147" s="19"/>
      <c r="Y147" s="19"/>
      <c r="Z147" s="19"/>
      <c r="AA147" s="19"/>
      <c r="AB147" s="19"/>
      <c r="FE147" s="54"/>
    </row>
    <row r="148" spans="1:161" s="18" customFormat="1">
      <c r="A148" s="51"/>
      <c r="B148" s="735"/>
      <c r="C148" s="735"/>
      <c r="D148" s="735"/>
      <c r="E148" s="735"/>
      <c r="F148" s="736"/>
      <c r="G148" s="735"/>
      <c r="H148" s="735"/>
      <c r="I148" s="735"/>
      <c r="J148" s="735"/>
      <c r="K148" s="735"/>
      <c r="L148" s="735"/>
      <c r="M148" s="735"/>
      <c r="N148" s="735"/>
      <c r="O148" s="19"/>
      <c r="P148" s="19"/>
      <c r="Q148" s="19"/>
      <c r="R148" s="19"/>
      <c r="S148" s="19"/>
      <c r="T148" s="19"/>
      <c r="U148" s="19"/>
      <c r="V148" s="19"/>
      <c r="W148" s="19"/>
      <c r="X148" s="19"/>
      <c r="Y148" s="19"/>
      <c r="Z148" s="19"/>
      <c r="AA148" s="19"/>
      <c r="AB148" s="19"/>
      <c r="FE148" s="54"/>
    </row>
    <row r="149" spans="1:161" s="18" customFormat="1">
      <c r="A149" s="51"/>
      <c r="B149" s="735"/>
      <c r="C149" s="735"/>
      <c r="D149" s="735"/>
      <c r="E149" s="735"/>
      <c r="F149" s="736"/>
      <c r="G149" s="735"/>
      <c r="H149" s="735"/>
      <c r="I149" s="735"/>
      <c r="J149" s="735"/>
      <c r="K149" s="735"/>
      <c r="L149" s="735"/>
      <c r="M149" s="735"/>
      <c r="N149" s="735"/>
      <c r="O149" s="19"/>
      <c r="P149" s="19"/>
      <c r="Q149" s="19"/>
      <c r="R149" s="19"/>
      <c r="S149" s="19"/>
      <c r="T149" s="19"/>
      <c r="U149" s="19"/>
      <c r="V149" s="19"/>
      <c r="W149" s="19"/>
      <c r="X149" s="19"/>
      <c r="Y149" s="19"/>
      <c r="Z149" s="19"/>
      <c r="AA149" s="19"/>
      <c r="AB149" s="19"/>
      <c r="FE149" s="54"/>
    </row>
    <row r="150" spans="1:161" s="18" customFormat="1">
      <c r="A150" s="51"/>
      <c r="B150" s="735"/>
      <c r="C150" s="735"/>
      <c r="D150" s="735"/>
      <c r="E150" s="735"/>
      <c r="F150" s="736"/>
      <c r="G150" s="735"/>
      <c r="H150" s="735"/>
      <c r="I150" s="735"/>
      <c r="J150" s="735"/>
      <c r="K150" s="735"/>
      <c r="L150" s="735"/>
      <c r="M150" s="735"/>
      <c r="N150" s="735"/>
      <c r="O150" s="19"/>
      <c r="P150" s="19"/>
      <c r="Q150" s="19"/>
      <c r="R150" s="19"/>
      <c r="S150" s="19"/>
      <c r="T150" s="19"/>
      <c r="U150" s="19"/>
      <c r="V150" s="19"/>
      <c r="W150" s="19"/>
      <c r="X150" s="19"/>
      <c r="Y150" s="19"/>
      <c r="Z150" s="19"/>
      <c r="AA150" s="19"/>
      <c r="AB150" s="19"/>
      <c r="FE150" s="54"/>
    </row>
    <row r="151" spans="1:161" s="18" customFormat="1">
      <c r="A151" s="51"/>
      <c r="B151" s="735"/>
      <c r="C151" s="735"/>
      <c r="D151" s="735"/>
      <c r="E151" s="735"/>
      <c r="F151" s="736"/>
      <c r="G151" s="735"/>
      <c r="H151" s="735"/>
      <c r="I151" s="735"/>
      <c r="J151" s="735"/>
      <c r="K151" s="735"/>
      <c r="L151" s="735"/>
      <c r="M151" s="735"/>
      <c r="N151" s="735"/>
      <c r="O151" s="19"/>
      <c r="P151" s="19"/>
      <c r="Q151" s="19"/>
      <c r="R151" s="19"/>
      <c r="S151" s="19"/>
      <c r="T151" s="19"/>
      <c r="U151" s="19"/>
      <c r="V151" s="19"/>
      <c r="W151" s="19"/>
      <c r="X151" s="19"/>
      <c r="Y151" s="19"/>
      <c r="Z151" s="19"/>
      <c r="AA151" s="19"/>
      <c r="AB151" s="19"/>
      <c r="FE151" s="54"/>
    </row>
    <row r="152" spans="1:161" s="18" customFormat="1">
      <c r="A152" s="51"/>
      <c r="B152" s="735"/>
      <c r="C152" s="735"/>
      <c r="D152" s="735"/>
      <c r="E152" s="735"/>
      <c r="F152" s="736"/>
      <c r="G152" s="735"/>
      <c r="H152" s="735"/>
      <c r="I152" s="735"/>
      <c r="J152" s="735"/>
      <c r="K152" s="735"/>
      <c r="L152" s="735"/>
      <c r="M152" s="735"/>
      <c r="N152" s="735"/>
      <c r="O152" s="19"/>
      <c r="P152" s="19"/>
      <c r="Q152" s="19"/>
      <c r="R152" s="19"/>
      <c r="S152" s="19"/>
      <c r="T152" s="19"/>
      <c r="U152" s="19"/>
      <c r="V152" s="19"/>
      <c r="W152" s="19"/>
      <c r="X152" s="19"/>
      <c r="Y152" s="19"/>
      <c r="Z152" s="19"/>
      <c r="AA152" s="19"/>
      <c r="AB152" s="19"/>
      <c r="FE152" s="54"/>
    </row>
    <row r="153" spans="1:161" s="18" customFormat="1">
      <c r="A153" s="51"/>
      <c r="B153" s="735"/>
      <c r="C153" s="735"/>
      <c r="D153" s="735"/>
      <c r="E153" s="735"/>
      <c r="F153" s="736"/>
      <c r="G153" s="735"/>
      <c r="H153" s="735"/>
      <c r="I153" s="735"/>
      <c r="J153" s="735"/>
      <c r="K153" s="735"/>
      <c r="L153" s="735"/>
      <c r="M153" s="735"/>
      <c r="N153" s="735"/>
      <c r="O153" s="19"/>
      <c r="P153" s="19"/>
      <c r="Q153" s="19"/>
      <c r="R153" s="19"/>
      <c r="S153" s="19"/>
      <c r="T153" s="19"/>
      <c r="U153" s="19"/>
      <c r="V153" s="19"/>
      <c r="W153" s="19"/>
      <c r="X153" s="19"/>
      <c r="Y153" s="19"/>
      <c r="Z153" s="19"/>
      <c r="AA153" s="19"/>
      <c r="AB153" s="19"/>
      <c r="FE153" s="54"/>
    </row>
    <row r="154" spans="1:161" s="18" customFormat="1">
      <c r="A154" s="51"/>
      <c r="B154" s="735"/>
      <c r="C154" s="735"/>
      <c r="D154" s="735"/>
      <c r="E154" s="735"/>
      <c r="F154" s="736"/>
      <c r="G154" s="735"/>
      <c r="H154" s="735"/>
      <c r="I154" s="735"/>
      <c r="J154" s="735"/>
      <c r="K154" s="735"/>
      <c r="L154" s="735"/>
      <c r="M154" s="735"/>
      <c r="N154" s="735"/>
      <c r="O154" s="19"/>
      <c r="P154" s="19"/>
      <c r="Q154" s="19"/>
      <c r="R154" s="19"/>
      <c r="S154" s="19"/>
      <c r="T154" s="19"/>
      <c r="U154" s="19"/>
      <c r="V154" s="19"/>
      <c r="W154" s="19"/>
      <c r="X154" s="19"/>
      <c r="Y154" s="19"/>
      <c r="Z154" s="19"/>
      <c r="AA154" s="19"/>
      <c r="AB154" s="19"/>
      <c r="FE154" s="54"/>
    </row>
    <row r="155" spans="1:161" s="18" customFormat="1">
      <c r="A155" s="51"/>
      <c r="B155" s="735"/>
      <c r="C155" s="735"/>
      <c r="D155" s="735"/>
      <c r="E155" s="735"/>
      <c r="F155" s="736"/>
      <c r="G155" s="735"/>
      <c r="H155" s="735"/>
      <c r="I155" s="735"/>
      <c r="J155" s="735"/>
      <c r="K155" s="735"/>
      <c r="L155" s="735"/>
      <c r="M155" s="735"/>
      <c r="N155" s="735"/>
      <c r="O155" s="19"/>
      <c r="P155" s="19"/>
      <c r="Q155" s="19"/>
      <c r="R155" s="19"/>
      <c r="S155" s="19"/>
      <c r="T155" s="19"/>
      <c r="U155" s="19"/>
      <c r="V155" s="19"/>
      <c r="W155" s="19"/>
      <c r="X155" s="19"/>
      <c r="Y155" s="19"/>
      <c r="Z155" s="19"/>
      <c r="AA155" s="19"/>
      <c r="AB155" s="19"/>
      <c r="FE155" s="54"/>
    </row>
    <row r="156" spans="1:161" s="18" customFormat="1">
      <c r="A156" s="51"/>
      <c r="B156" s="735"/>
      <c r="C156" s="735"/>
      <c r="D156" s="735"/>
      <c r="E156" s="735"/>
      <c r="F156" s="736"/>
      <c r="G156" s="735"/>
      <c r="H156" s="735"/>
      <c r="I156" s="735"/>
      <c r="J156" s="735"/>
      <c r="K156" s="735"/>
      <c r="L156" s="735"/>
      <c r="M156" s="735"/>
      <c r="N156" s="735"/>
      <c r="O156" s="19"/>
      <c r="P156" s="19"/>
      <c r="Q156" s="19"/>
      <c r="R156" s="19"/>
      <c r="S156" s="19"/>
      <c r="T156" s="19"/>
      <c r="U156" s="19"/>
      <c r="V156" s="19"/>
      <c r="W156" s="19"/>
      <c r="X156" s="19"/>
      <c r="Y156" s="19"/>
      <c r="Z156" s="19"/>
      <c r="AA156" s="19"/>
      <c r="AB156" s="19"/>
      <c r="FE156" s="54"/>
    </row>
    <row r="157" spans="1:161" s="18" customFormat="1">
      <c r="A157" s="51"/>
      <c r="B157" s="735"/>
      <c r="C157" s="735"/>
      <c r="D157" s="735"/>
      <c r="E157" s="735"/>
      <c r="F157" s="736"/>
      <c r="G157" s="735"/>
      <c r="H157" s="735"/>
      <c r="I157" s="735"/>
      <c r="J157" s="735"/>
      <c r="K157" s="735"/>
      <c r="L157" s="735"/>
      <c r="M157" s="735"/>
      <c r="N157" s="735"/>
      <c r="O157" s="19"/>
      <c r="P157" s="19"/>
      <c r="Q157" s="19"/>
      <c r="R157" s="19"/>
      <c r="S157" s="19"/>
      <c r="T157" s="19"/>
      <c r="U157" s="19"/>
      <c r="V157" s="19"/>
      <c r="W157" s="19"/>
      <c r="X157" s="19"/>
      <c r="Y157" s="19"/>
      <c r="Z157" s="19"/>
      <c r="AA157" s="19"/>
      <c r="AB157" s="19"/>
      <c r="FE157" s="54"/>
    </row>
    <row r="158" spans="1:161" s="18" customFormat="1">
      <c r="A158" s="51"/>
      <c r="B158" s="735"/>
      <c r="C158" s="735"/>
      <c r="D158" s="735"/>
      <c r="E158" s="735"/>
      <c r="F158" s="736"/>
      <c r="G158" s="735"/>
      <c r="H158" s="735"/>
      <c r="I158" s="735"/>
      <c r="J158" s="735"/>
      <c r="K158" s="735"/>
      <c r="L158" s="735"/>
      <c r="M158" s="735"/>
      <c r="N158" s="735"/>
      <c r="O158" s="19"/>
      <c r="P158" s="19"/>
      <c r="Q158" s="19"/>
      <c r="R158" s="19"/>
      <c r="S158" s="19"/>
      <c r="T158" s="19"/>
      <c r="U158" s="19"/>
      <c r="V158" s="19"/>
      <c r="W158" s="19"/>
      <c r="X158" s="19"/>
      <c r="Y158" s="19"/>
      <c r="Z158" s="19"/>
      <c r="AA158" s="19"/>
      <c r="AB158" s="19"/>
      <c r="FE158" s="54"/>
    </row>
    <row r="159" spans="1:161" s="18" customFormat="1">
      <c r="A159" s="51"/>
      <c r="B159" s="735"/>
      <c r="C159" s="735"/>
      <c r="D159" s="735"/>
      <c r="E159" s="735"/>
      <c r="F159" s="736"/>
      <c r="G159" s="735"/>
      <c r="H159" s="735"/>
      <c r="I159" s="735"/>
      <c r="J159" s="735"/>
      <c r="K159" s="735"/>
      <c r="L159" s="735"/>
      <c r="M159" s="735"/>
      <c r="N159" s="735"/>
      <c r="O159" s="19"/>
      <c r="P159" s="19"/>
      <c r="Q159" s="19"/>
      <c r="R159" s="19"/>
      <c r="S159" s="19"/>
      <c r="T159" s="19"/>
      <c r="U159" s="19"/>
      <c r="V159" s="19"/>
      <c r="W159" s="19"/>
      <c r="X159" s="19"/>
      <c r="Y159" s="19"/>
      <c r="Z159" s="19"/>
      <c r="AA159" s="19"/>
      <c r="AB159" s="19"/>
      <c r="FE159" s="54"/>
    </row>
    <row r="160" spans="1:161" s="18" customFormat="1">
      <c r="A160" s="51"/>
      <c r="B160" s="735"/>
      <c r="C160" s="735"/>
      <c r="D160" s="735"/>
      <c r="E160" s="735"/>
      <c r="F160" s="736"/>
      <c r="G160" s="735"/>
      <c r="H160" s="735"/>
      <c r="I160" s="735"/>
      <c r="J160" s="735"/>
      <c r="K160" s="735"/>
      <c r="L160" s="735"/>
      <c r="M160" s="735"/>
      <c r="N160" s="735"/>
      <c r="O160" s="19"/>
      <c r="P160" s="19"/>
      <c r="Q160" s="19"/>
      <c r="R160" s="19"/>
      <c r="S160" s="19"/>
      <c r="T160" s="19"/>
      <c r="U160" s="19"/>
      <c r="V160" s="19"/>
      <c r="W160" s="19"/>
      <c r="X160" s="19"/>
      <c r="Y160" s="19"/>
      <c r="Z160" s="19"/>
      <c r="AA160" s="19"/>
      <c r="AB160" s="19"/>
      <c r="FE160" s="54"/>
    </row>
    <row r="161" spans="1:161" s="18" customFormat="1">
      <c r="A161" s="51"/>
      <c r="B161" s="735"/>
      <c r="C161" s="735"/>
      <c r="D161" s="735"/>
      <c r="E161" s="735"/>
      <c r="F161" s="736"/>
      <c r="G161" s="735"/>
      <c r="H161" s="735"/>
      <c r="I161" s="735"/>
      <c r="J161" s="735"/>
      <c r="K161" s="735"/>
      <c r="L161" s="735"/>
      <c r="M161" s="735"/>
      <c r="N161" s="735"/>
      <c r="O161" s="19"/>
      <c r="P161" s="19"/>
      <c r="Q161" s="19"/>
      <c r="R161" s="19"/>
      <c r="S161" s="19"/>
      <c r="T161" s="19"/>
      <c r="U161" s="19"/>
      <c r="V161" s="19"/>
      <c r="W161" s="19"/>
      <c r="X161" s="19"/>
      <c r="Y161" s="19"/>
      <c r="Z161" s="19"/>
      <c r="AA161" s="19"/>
      <c r="AB161" s="19"/>
      <c r="FE161" s="54"/>
    </row>
    <row r="162" spans="1:161" s="18" customFormat="1">
      <c r="A162" s="51"/>
      <c r="B162" s="735"/>
      <c r="C162" s="735"/>
      <c r="D162" s="735"/>
      <c r="E162" s="735"/>
      <c r="F162" s="736"/>
      <c r="G162" s="735"/>
      <c r="H162" s="735"/>
      <c r="I162" s="735"/>
      <c r="J162" s="735"/>
      <c r="K162" s="735"/>
      <c r="L162" s="735"/>
      <c r="M162" s="735"/>
      <c r="N162" s="735"/>
      <c r="O162" s="19"/>
      <c r="P162" s="19"/>
      <c r="Q162" s="19"/>
      <c r="R162" s="19"/>
      <c r="S162" s="19"/>
      <c r="T162" s="19"/>
      <c r="U162" s="19"/>
      <c r="V162" s="19"/>
      <c r="W162" s="19"/>
      <c r="X162" s="19"/>
      <c r="Y162" s="19"/>
      <c r="Z162" s="19"/>
      <c r="AA162" s="19"/>
      <c r="AB162" s="19"/>
      <c r="FE162" s="54"/>
    </row>
    <row r="163" spans="1:161" s="18" customFormat="1">
      <c r="A163" s="51"/>
      <c r="B163" s="735"/>
      <c r="C163" s="735"/>
      <c r="D163" s="735"/>
      <c r="E163" s="735"/>
      <c r="F163" s="736"/>
      <c r="G163" s="735"/>
      <c r="H163" s="735"/>
      <c r="I163" s="735"/>
      <c r="J163" s="735"/>
      <c r="K163" s="735"/>
      <c r="L163" s="735"/>
      <c r="M163" s="735"/>
      <c r="N163" s="735"/>
      <c r="O163" s="19"/>
      <c r="P163" s="19"/>
      <c r="Q163" s="19"/>
      <c r="R163" s="19"/>
      <c r="S163" s="19"/>
      <c r="T163" s="19"/>
      <c r="U163" s="19"/>
      <c r="V163" s="19"/>
      <c r="W163" s="19"/>
      <c r="X163" s="19"/>
      <c r="Y163" s="19"/>
      <c r="Z163" s="19"/>
      <c r="AA163" s="19"/>
      <c r="AB163" s="19"/>
      <c r="FE163" s="54"/>
    </row>
    <row r="164" spans="1:161" s="18" customFormat="1">
      <c r="A164" s="51"/>
      <c r="B164" s="735"/>
      <c r="C164" s="735"/>
      <c r="D164" s="735"/>
      <c r="E164" s="735"/>
      <c r="F164" s="736"/>
      <c r="G164" s="735"/>
      <c r="H164" s="735"/>
      <c r="I164" s="735"/>
      <c r="J164" s="735"/>
      <c r="K164" s="735"/>
      <c r="L164" s="735"/>
      <c r="M164" s="735"/>
      <c r="N164" s="735"/>
      <c r="O164" s="19"/>
      <c r="P164" s="19"/>
      <c r="Q164" s="19"/>
      <c r="R164" s="19"/>
      <c r="S164" s="19"/>
      <c r="T164" s="19"/>
      <c r="U164" s="19"/>
      <c r="V164" s="19"/>
      <c r="W164" s="19"/>
      <c r="X164" s="19"/>
      <c r="Y164" s="19"/>
      <c r="Z164" s="19"/>
      <c r="AA164" s="19"/>
      <c r="AB164" s="19"/>
      <c r="FE164" s="54"/>
    </row>
    <row r="165" spans="1:161" s="18" customFormat="1">
      <c r="A165" s="51"/>
      <c r="B165" s="735"/>
      <c r="C165" s="735"/>
      <c r="D165" s="735"/>
      <c r="E165" s="735"/>
      <c r="F165" s="736"/>
      <c r="G165" s="735"/>
      <c r="H165" s="735"/>
      <c r="I165" s="735"/>
      <c r="J165" s="735"/>
      <c r="K165" s="735"/>
      <c r="L165" s="735"/>
      <c r="M165" s="735"/>
      <c r="N165" s="735"/>
      <c r="O165" s="19"/>
      <c r="P165" s="19"/>
      <c r="Q165" s="19"/>
      <c r="R165" s="19"/>
      <c r="S165" s="19"/>
      <c r="T165" s="19"/>
      <c r="U165" s="19"/>
      <c r="V165" s="19"/>
      <c r="W165" s="19"/>
      <c r="X165" s="19"/>
      <c r="Y165" s="19"/>
      <c r="Z165" s="19"/>
      <c r="AA165" s="19"/>
      <c r="AB165" s="19"/>
      <c r="FE165" s="54"/>
    </row>
    <row r="166" spans="1:161" s="18" customFormat="1">
      <c r="A166" s="51"/>
      <c r="B166" s="735"/>
      <c r="C166" s="735"/>
      <c r="D166" s="735"/>
      <c r="E166" s="735"/>
      <c r="F166" s="736"/>
      <c r="G166" s="735"/>
      <c r="H166" s="735"/>
      <c r="I166" s="735"/>
      <c r="J166" s="735"/>
      <c r="K166" s="735"/>
      <c r="L166" s="735"/>
      <c r="M166" s="735"/>
      <c r="N166" s="735"/>
      <c r="O166" s="19"/>
      <c r="P166" s="19"/>
      <c r="Q166" s="19"/>
      <c r="R166" s="19"/>
      <c r="S166" s="19"/>
      <c r="T166" s="19"/>
      <c r="U166" s="19"/>
      <c r="V166" s="19"/>
      <c r="W166" s="19"/>
      <c r="X166" s="19"/>
      <c r="Y166" s="19"/>
      <c r="Z166" s="19"/>
      <c r="AA166" s="19"/>
      <c r="AB166" s="19"/>
      <c r="FE166" s="54"/>
    </row>
    <row r="167" spans="1:161" s="18" customFormat="1">
      <c r="A167" s="51"/>
      <c r="B167" s="735"/>
      <c r="C167" s="735"/>
      <c r="D167" s="735"/>
      <c r="E167" s="735"/>
      <c r="F167" s="736"/>
      <c r="G167" s="735"/>
      <c r="H167" s="735"/>
      <c r="I167" s="735"/>
      <c r="J167" s="735"/>
      <c r="K167" s="735"/>
      <c r="L167" s="735"/>
      <c r="M167" s="735"/>
      <c r="N167" s="735"/>
      <c r="O167" s="19"/>
      <c r="P167" s="19"/>
      <c r="Q167" s="19"/>
      <c r="R167" s="19"/>
      <c r="S167" s="19"/>
      <c r="T167" s="19"/>
      <c r="U167" s="19"/>
      <c r="V167" s="19"/>
      <c r="W167" s="19"/>
      <c r="X167" s="19"/>
      <c r="Y167" s="19"/>
      <c r="Z167" s="19"/>
      <c r="AA167" s="19"/>
      <c r="AB167" s="19"/>
      <c r="FE167" s="54"/>
    </row>
    <row r="168" spans="1:161" s="18" customFormat="1">
      <c r="A168" s="51"/>
      <c r="B168" s="735"/>
      <c r="C168" s="735"/>
      <c r="D168" s="735"/>
      <c r="E168" s="735"/>
      <c r="F168" s="736"/>
      <c r="G168" s="735"/>
      <c r="H168" s="735"/>
      <c r="I168" s="735"/>
      <c r="J168" s="735"/>
      <c r="K168" s="735"/>
      <c r="L168" s="735"/>
      <c r="M168" s="735"/>
      <c r="N168" s="735"/>
      <c r="O168" s="19"/>
      <c r="P168" s="19"/>
      <c r="Q168" s="19"/>
      <c r="R168" s="19"/>
      <c r="S168" s="19"/>
      <c r="T168" s="19"/>
      <c r="U168" s="19"/>
      <c r="V168" s="19"/>
      <c r="W168" s="19"/>
      <c r="X168" s="19"/>
      <c r="Y168" s="19"/>
      <c r="Z168" s="19"/>
      <c r="AA168" s="19"/>
      <c r="AB168" s="19"/>
      <c r="FE168" s="54"/>
    </row>
    <row r="169" spans="1:161" s="18" customFormat="1">
      <c r="A169" s="51"/>
      <c r="B169" s="735"/>
      <c r="C169" s="735"/>
      <c r="D169" s="735"/>
      <c r="E169" s="735"/>
      <c r="F169" s="736"/>
      <c r="G169" s="735"/>
      <c r="H169" s="735"/>
      <c r="I169" s="735"/>
      <c r="J169" s="735"/>
      <c r="K169" s="735"/>
      <c r="L169" s="735"/>
      <c r="M169" s="735"/>
      <c r="N169" s="735"/>
      <c r="O169" s="19"/>
      <c r="P169" s="19"/>
      <c r="Q169" s="19"/>
      <c r="R169" s="19"/>
      <c r="S169" s="19"/>
      <c r="T169" s="19"/>
      <c r="U169" s="19"/>
      <c r="V169" s="19"/>
      <c r="W169" s="19"/>
      <c r="X169" s="19"/>
      <c r="Y169" s="19"/>
      <c r="Z169" s="19"/>
      <c r="AA169" s="19"/>
      <c r="AB169" s="19"/>
      <c r="FE169" s="54"/>
    </row>
    <row r="170" spans="1:161" s="18" customFormat="1">
      <c r="A170" s="51"/>
      <c r="B170" s="735"/>
      <c r="C170" s="735"/>
      <c r="D170" s="735"/>
      <c r="E170" s="735"/>
      <c r="F170" s="736"/>
      <c r="G170" s="735"/>
      <c r="H170" s="735"/>
      <c r="I170" s="735"/>
      <c r="J170" s="735"/>
      <c r="K170" s="735"/>
      <c r="L170" s="735"/>
      <c r="M170" s="735"/>
      <c r="N170" s="735"/>
      <c r="O170" s="19"/>
      <c r="P170" s="19"/>
      <c r="Q170" s="19"/>
      <c r="R170" s="19"/>
      <c r="S170" s="19"/>
      <c r="T170" s="19"/>
      <c r="U170" s="19"/>
      <c r="V170" s="19"/>
      <c r="W170" s="19"/>
      <c r="X170" s="19"/>
      <c r="Y170" s="19"/>
      <c r="Z170" s="19"/>
      <c r="AA170" s="19"/>
      <c r="AB170" s="19"/>
      <c r="FE170" s="54"/>
    </row>
    <row r="171" spans="1:161" s="18" customFormat="1">
      <c r="A171" s="51"/>
      <c r="B171" s="735"/>
      <c r="C171" s="735"/>
      <c r="D171" s="735"/>
      <c r="E171" s="735"/>
      <c r="F171" s="736"/>
      <c r="G171" s="735"/>
      <c r="H171" s="735"/>
      <c r="I171" s="735"/>
      <c r="J171" s="735"/>
      <c r="K171" s="735"/>
      <c r="L171" s="735"/>
      <c r="M171" s="735"/>
      <c r="N171" s="735"/>
      <c r="O171" s="19"/>
      <c r="P171" s="19"/>
      <c r="Q171" s="19"/>
      <c r="R171" s="19"/>
      <c r="S171" s="19"/>
      <c r="T171" s="19"/>
      <c r="U171" s="19"/>
      <c r="V171" s="19"/>
      <c r="W171" s="19"/>
      <c r="X171" s="19"/>
      <c r="Y171" s="19"/>
      <c r="Z171" s="19"/>
      <c r="AA171" s="19"/>
      <c r="AB171" s="19"/>
      <c r="FE171" s="54"/>
    </row>
    <row r="172" spans="1:161" s="18" customFormat="1">
      <c r="A172" s="51"/>
      <c r="B172" s="735"/>
      <c r="C172" s="735"/>
      <c r="D172" s="735"/>
      <c r="E172" s="735"/>
      <c r="F172" s="736"/>
      <c r="G172" s="735"/>
      <c r="H172" s="735"/>
      <c r="I172" s="735"/>
      <c r="J172" s="735"/>
      <c r="K172" s="735"/>
      <c r="L172" s="735"/>
      <c r="M172" s="735"/>
      <c r="N172" s="735"/>
      <c r="O172" s="19"/>
      <c r="P172" s="19"/>
      <c r="Q172" s="19"/>
      <c r="R172" s="19"/>
      <c r="S172" s="19"/>
      <c r="T172" s="19"/>
      <c r="U172" s="19"/>
      <c r="V172" s="19"/>
      <c r="W172" s="19"/>
      <c r="X172" s="19"/>
      <c r="Y172" s="19"/>
      <c r="Z172" s="19"/>
      <c r="AA172" s="19"/>
      <c r="AB172" s="19"/>
      <c r="FE172" s="54"/>
    </row>
    <row r="173" spans="1:161" s="18" customFormat="1">
      <c r="A173" s="51"/>
      <c r="B173" s="735"/>
      <c r="C173" s="735"/>
      <c r="D173" s="735"/>
      <c r="E173" s="735"/>
      <c r="F173" s="736"/>
      <c r="G173" s="735"/>
      <c r="H173" s="735"/>
      <c r="I173" s="735"/>
      <c r="J173" s="735"/>
      <c r="K173" s="735"/>
      <c r="L173" s="735"/>
      <c r="M173" s="735"/>
      <c r="N173" s="735"/>
      <c r="O173" s="19"/>
      <c r="P173" s="19"/>
      <c r="Q173" s="19"/>
      <c r="R173" s="19"/>
      <c r="S173" s="19"/>
      <c r="T173" s="19"/>
      <c r="U173" s="19"/>
      <c r="V173" s="19"/>
      <c r="W173" s="19"/>
      <c r="X173" s="19"/>
      <c r="Y173" s="19"/>
      <c r="Z173" s="19"/>
      <c r="AA173" s="19"/>
      <c r="AB173" s="19"/>
      <c r="FE173" s="54"/>
    </row>
    <row r="174" spans="1:161" s="18" customFormat="1">
      <c r="A174" s="51"/>
      <c r="B174" s="735"/>
      <c r="C174" s="735"/>
      <c r="D174" s="735"/>
      <c r="E174" s="735"/>
      <c r="F174" s="736"/>
      <c r="G174" s="735"/>
      <c r="H174" s="735"/>
      <c r="I174" s="735"/>
      <c r="J174" s="735"/>
      <c r="K174" s="735"/>
      <c r="L174" s="735"/>
      <c r="M174" s="735"/>
      <c r="N174" s="735"/>
      <c r="O174" s="19"/>
      <c r="P174" s="19"/>
      <c r="Q174" s="19"/>
      <c r="R174" s="19"/>
      <c r="S174" s="19"/>
      <c r="T174" s="19"/>
      <c r="U174" s="19"/>
      <c r="V174" s="19"/>
      <c r="W174" s="19"/>
      <c r="X174" s="19"/>
      <c r="Y174" s="19"/>
      <c r="Z174" s="19"/>
      <c r="AA174" s="19"/>
      <c r="AB174" s="19"/>
      <c r="FE174" s="54"/>
    </row>
    <row r="175" spans="1:161" s="18" customFormat="1">
      <c r="A175" s="51"/>
      <c r="B175" s="735"/>
      <c r="C175" s="735"/>
      <c r="D175" s="735"/>
      <c r="E175" s="735"/>
      <c r="F175" s="736"/>
      <c r="G175" s="735"/>
      <c r="H175" s="735"/>
      <c r="I175" s="735"/>
      <c r="J175" s="735"/>
      <c r="K175" s="735"/>
      <c r="L175" s="735"/>
      <c r="M175" s="735"/>
      <c r="N175" s="735"/>
      <c r="O175" s="19"/>
      <c r="P175" s="19"/>
      <c r="Q175" s="19"/>
      <c r="R175" s="19"/>
      <c r="S175" s="19"/>
      <c r="T175" s="19"/>
      <c r="U175" s="19"/>
      <c r="V175" s="19"/>
      <c r="W175" s="19"/>
      <c r="X175" s="19"/>
      <c r="Y175" s="19"/>
      <c r="Z175" s="19"/>
      <c r="AA175" s="19"/>
      <c r="AB175" s="19"/>
      <c r="FE175" s="54"/>
    </row>
    <row r="176" spans="1:161" s="18" customFormat="1">
      <c r="A176" s="51"/>
      <c r="B176" s="735"/>
      <c r="C176" s="735"/>
      <c r="D176" s="735"/>
      <c r="E176" s="735"/>
      <c r="F176" s="736"/>
      <c r="G176" s="735"/>
      <c r="H176" s="735"/>
      <c r="I176" s="735"/>
      <c r="J176" s="735"/>
      <c r="K176" s="735"/>
      <c r="L176" s="735"/>
      <c r="M176" s="735"/>
      <c r="N176" s="735"/>
      <c r="O176" s="19"/>
      <c r="P176" s="19"/>
      <c r="Q176" s="19"/>
      <c r="R176" s="19"/>
      <c r="S176" s="19"/>
      <c r="T176" s="19"/>
      <c r="U176" s="19"/>
      <c r="V176" s="19"/>
      <c r="W176" s="19"/>
      <c r="X176" s="19"/>
      <c r="Y176" s="19"/>
      <c r="Z176" s="19"/>
      <c r="AA176" s="19"/>
      <c r="AB176" s="19"/>
      <c r="FE176" s="54"/>
    </row>
    <row r="177" spans="1:161" s="18" customFormat="1">
      <c r="A177" s="51"/>
      <c r="B177" s="735"/>
      <c r="C177" s="735"/>
      <c r="D177" s="735"/>
      <c r="E177" s="735"/>
      <c r="F177" s="736"/>
      <c r="G177" s="735"/>
      <c r="H177" s="735"/>
      <c r="I177" s="735"/>
      <c r="J177" s="735"/>
      <c r="K177" s="735"/>
      <c r="L177" s="735"/>
      <c r="M177" s="735"/>
      <c r="N177" s="735"/>
      <c r="O177" s="19"/>
      <c r="P177" s="19"/>
      <c r="Q177" s="19"/>
      <c r="R177" s="19"/>
      <c r="S177" s="19"/>
      <c r="T177" s="19"/>
      <c r="U177" s="19"/>
      <c r="V177" s="19"/>
      <c r="W177" s="19"/>
      <c r="X177" s="19"/>
      <c r="Y177" s="19"/>
      <c r="Z177" s="19"/>
      <c r="AA177" s="19"/>
      <c r="AB177" s="19"/>
      <c r="FE177" s="54"/>
    </row>
    <row r="178" spans="1:161" s="18" customFormat="1">
      <c r="A178" s="51"/>
      <c r="B178" s="735"/>
      <c r="C178" s="735"/>
      <c r="D178" s="735"/>
      <c r="E178" s="735"/>
      <c r="F178" s="736"/>
      <c r="G178" s="735"/>
      <c r="H178" s="735"/>
      <c r="I178" s="735"/>
      <c r="J178" s="735"/>
      <c r="K178" s="735"/>
      <c r="L178" s="735"/>
      <c r="M178" s="735"/>
      <c r="N178" s="735"/>
      <c r="O178" s="19"/>
      <c r="P178" s="19"/>
      <c r="Q178" s="19"/>
      <c r="R178" s="19"/>
      <c r="S178" s="19"/>
      <c r="T178" s="19"/>
      <c r="U178" s="19"/>
      <c r="V178" s="19"/>
      <c r="W178" s="19"/>
      <c r="X178" s="19"/>
      <c r="Y178" s="19"/>
      <c r="Z178" s="19"/>
      <c r="AA178" s="19"/>
      <c r="AB178" s="19"/>
      <c r="FE178" s="54"/>
    </row>
    <row r="179" spans="1:161" s="18" customFormat="1">
      <c r="A179" s="51"/>
      <c r="B179" s="735"/>
      <c r="C179" s="735"/>
      <c r="D179" s="735"/>
      <c r="E179" s="735"/>
      <c r="F179" s="736"/>
      <c r="G179" s="735"/>
      <c r="H179" s="735"/>
      <c r="I179" s="735"/>
      <c r="J179" s="735"/>
      <c r="K179" s="735"/>
      <c r="L179" s="735"/>
      <c r="M179" s="735"/>
      <c r="N179" s="735"/>
      <c r="O179" s="19"/>
      <c r="P179" s="19"/>
      <c r="Q179" s="19"/>
      <c r="R179" s="19"/>
      <c r="S179" s="19"/>
      <c r="T179" s="19"/>
      <c r="U179" s="19"/>
      <c r="V179" s="19"/>
      <c r="W179" s="19"/>
      <c r="X179" s="19"/>
      <c r="Y179" s="19"/>
      <c r="Z179" s="19"/>
      <c r="AA179" s="19"/>
      <c r="AB179" s="19"/>
      <c r="FE179" s="54"/>
    </row>
    <row r="180" spans="1:161" s="18" customFormat="1">
      <c r="A180" s="51"/>
      <c r="B180" s="735"/>
      <c r="C180" s="735"/>
      <c r="D180" s="735"/>
      <c r="E180" s="735"/>
      <c r="F180" s="736"/>
      <c r="G180" s="735"/>
      <c r="H180" s="735"/>
      <c r="I180" s="735"/>
      <c r="J180" s="735"/>
      <c r="K180" s="735"/>
      <c r="L180" s="735"/>
      <c r="M180" s="735"/>
      <c r="N180" s="735"/>
      <c r="O180" s="19"/>
      <c r="P180" s="19"/>
      <c r="Q180" s="19"/>
      <c r="R180" s="19"/>
      <c r="S180" s="19"/>
      <c r="T180" s="19"/>
      <c r="U180" s="19"/>
      <c r="V180" s="19"/>
      <c r="W180" s="19"/>
      <c r="X180" s="19"/>
      <c r="Y180" s="19"/>
      <c r="Z180" s="19"/>
      <c r="AA180" s="19"/>
      <c r="AB180" s="19"/>
      <c r="FE180" s="54"/>
    </row>
    <row r="181" spans="1:161" s="18" customFormat="1">
      <c r="A181" s="51"/>
      <c r="B181" s="735"/>
      <c r="C181" s="735"/>
      <c r="D181" s="735"/>
      <c r="E181" s="735"/>
      <c r="F181" s="736"/>
      <c r="G181" s="735"/>
      <c r="H181" s="735"/>
      <c r="I181" s="735"/>
      <c r="J181" s="735"/>
      <c r="K181" s="735"/>
      <c r="L181" s="735"/>
      <c r="M181" s="735"/>
      <c r="N181" s="735"/>
      <c r="O181" s="19"/>
      <c r="P181" s="19"/>
      <c r="Q181" s="19"/>
      <c r="R181" s="19"/>
      <c r="S181" s="19"/>
      <c r="T181" s="19"/>
      <c r="U181" s="19"/>
      <c r="V181" s="19"/>
      <c r="W181" s="19"/>
      <c r="X181" s="19"/>
      <c r="Y181" s="19"/>
      <c r="Z181" s="19"/>
      <c r="AA181" s="19"/>
      <c r="AB181" s="19"/>
      <c r="FE181" s="54"/>
    </row>
    <row r="182" spans="1:161" s="18" customFormat="1">
      <c r="A182" s="51"/>
      <c r="B182" s="735"/>
      <c r="C182" s="735"/>
      <c r="D182" s="735"/>
      <c r="E182" s="735"/>
      <c r="F182" s="736"/>
      <c r="G182" s="735"/>
      <c r="H182" s="735"/>
      <c r="I182" s="735"/>
      <c r="J182" s="735"/>
      <c r="K182" s="735"/>
      <c r="L182" s="735"/>
      <c r="M182" s="735"/>
      <c r="N182" s="735"/>
      <c r="O182" s="19"/>
      <c r="P182" s="19"/>
      <c r="Q182" s="19"/>
      <c r="R182" s="19"/>
      <c r="S182" s="19"/>
      <c r="T182" s="19"/>
      <c r="U182" s="19"/>
      <c r="V182" s="19"/>
      <c r="W182" s="19"/>
      <c r="X182" s="19"/>
      <c r="Y182" s="19"/>
      <c r="Z182" s="19"/>
      <c r="AA182" s="19"/>
      <c r="AB182" s="19"/>
      <c r="FE182" s="54"/>
    </row>
    <row r="183" spans="1:161" s="18" customFormat="1">
      <c r="A183" s="51"/>
      <c r="B183" s="735"/>
      <c r="C183" s="735"/>
      <c r="D183" s="735"/>
      <c r="E183" s="735"/>
      <c r="F183" s="736"/>
      <c r="G183" s="735"/>
      <c r="H183" s="735"/>
      <c r="I183" s="735"/>
      <c r="J183" s="735"/>
      <c r="K183" s="735"/>
      <c r="L183" s="735"/>
      <c r="M183" s="735"/>
      <c r="N183" s="735"/>
      <c r="O183" s="19"/>
      <c r="P183" s="19"/>
      <c r="Q183" s="19"/>
      <c r="R183" s="19"/>
      <c r="S183" s="19"/>
      <c r="T183" s="19"/>
      <c r="U183" s="19"/>
      <c r="V183" s="19"/>
      <c r="W183" s="19"/>
      <c r="X183" s="19"/>
      <c r="Y183" s="19"/>
      <c r="Z183" s="19"/>
      <c r="AA183" s="19"/>
      <c r="AB183" s="19"/>
      <c r="FE183" s="54"/>
    </row>
    <row r="184" spans="1:161" s="18" customFormat="1">
      <c r="A184" s="51"/>
      <c r="B184" s="735"/>
      <c r="C184" s="735"/>
      <c r="D184" s="735"/>
      <c r="E184" s="735"/>
      <c r="F184" s="736"/>
      <c r="G184" s="735"/>
      <c r="H184" s="735"/>
      <c r="I184" s="735"/>
      <c r="J184" s="735"/>
      <c r="K184" s="735"/>
      <c r="L184" s="735"/>
      <c r="M184" s="735"/>
      <c r="N184" s="735"/>
      <c r="O184" s="19"/>
      <c r="P184" s="19"/>
      <c r="Q184" s="19"/>
      <c r="R184" s="19"/>
      <c r="S184" s="19"/>
      <c r="T184" s="19"/>
      <c r="U184" s="19"/>
      <c r="V184" s="19"/>
      <c r="W184" s="19"/>
      <c r="X184" s="19"/>
      <c r="Y184" s="19"/>
      <c r="Z184" s="19"/>
      <c r="AA184" s="19"/>
      <c r="AB184" s="19"/>
      <c r="FE184" s="54"/>
    </row>
    <row r="185" spans="1:161" s="18" customFormat="1">
      <c r="A185" s="51"/>
      <c r="B185" s="735"/>
      <c r="C185" s="735"/>
      <c r="D185" s="735"/>
      <c r="E185" s="735"/>
      <c r="F185" s="736"/>
      <c r="G185" s="735"/>
      <c r="H185" s="735"/>
      <c r="I185" s="735"/>
      <c r="J185" s="735"/>
      <c r="K185" s="735"/>
      <c r="L185" s="735"/>
      <c r="M185" s="735"/>
      <c r="N185" s="735"/>
      <c r="O185" s="19"/>
      <c r="P185" s="19"/>
      <c r="Q185" s="19"/>
      <c r="R185" s="19"/>
      <c r="S185" s="19"/>
      <c r="T185" s="19"/>
      <c r="U185" s="19"/>
      <c r="V185" s="19"/>
      <c r="W185" s="19"/>
      <c r="X185" s="19"/>
      <c r="Y185" s="19"/>
      <c r="Z185" s="19"/>
      <c r="AA185" s="19"/>
      <c r="AB185" s="19"/>
      <c r="FE185" s="54"/>
    </row>
    <row r="186" spans="1:161" s="18" customFormat="1">
      <c r="A186" s="51"/>
      <c r="B186" s="735"/>
      <c r="C186" s="735"/>
      <c r="D186" s="735"/>
      <c r="E186" s="735"/>
      <c r="F186" s="736"/>
      <c r="G186" s="735"/>
      <c r="H186" s="735"/>
      <c r="I186" s="735"/>
      <c r="J186" s="735"/>
      <c r="K186" s="735"/>
      <c r="L186" s="735"/>
      <c r="M186" s="735"/>
      <c r="N186" s="735"/>
      <c r="O186" s="19"/>
      <c r="P186" s="19"/>
      <c r="Q186" s="19"/>
      <c r="R186" s="19"/>
      <c r="S186" s="19"/>
      <c r="T186" s="19"/>
      <c r="U186" s="19"/>
      <c r="V186" s="19"/>
      <c r="W186" s="19"/>
      <c r="X186" s="19"/>
      <c r="Y186" s="19"/>
      <c r="Z186" s="19"/>
      <c r="AA186" s="19"/>
      <c r="AB186" s="19"/>
      <c r="FE186" s="54"/>
    </row>
    <row r="187" spans="1:161" s="18" customFormat="1">
      <c r="A187" s="51"/>
      <c r="B187" s="735"/>
      <c r="C187" s="735"/>
      <c r="D187" s="735"/>
      <c r="E187" s="735"/>
      <c r="F187" s="736"/>
      <c r="G187" s="735"/>
      <c r="H187" s="735"/>
      <c r="I187" s="735"/>
      <c r="J187" s="735"/>
      <c r="K187" s="735"/>
      <c r="L187" s="735"/>
      <c r="M187" s="735"/>
      <c r="N187" s="735"/>
      <c r="O187" s="19"/>
      <c r="P187" s="19"/>
      <c r="Q187" s="19"/>
      <c r="R187" s="19"/>
      <c r="S187" s="19"/>
      <c r="T187" s="19"/>
      <c r="U187" s="19"/>
      <c r="V187" s="19"/>
      <c r="W187" s="19"/>
      <c r="X187" s="19"/>
      <c r="Y187" s="19"/>
      <c r="Z187" s="19"/>
      <c r="AA187" s="19"/>
      <c r="AB187" s="19"/>
      <c r="FE187" s="54"/>
    </row>
    <row r="188" spans="1:161" s="18" customFormat="1">
      <c r="A188" s="51"/>
      <c r="B188" s="735"/>
      <c r="C188" s="735"/>
      <c r="D188" s="735"/>
      <c r="E188" s="735"/>
      <c r="F188" s="736"/>
      <c r="G188" s="735"/>
      <c r="H188" s="735"/>
      <c r="I188" s="735"/>
      <c r="J188" s="735"/>
      <c r="K188" s="735"/>
      <c r="L188" s="735"/>
      <c r="M188" s="735"/>
      <c r="N188" s="735"/>
      <c r="O188" s="19"/>
      <c r="P188" s="19"/>
      <c r="Q188" s="19"/>
      <c r="R188" s="19"/>
      <c r="S188" s="19"/>
      <c r="T188" s="19"/>
      <c r="U188" s="19"/>
      <c r="V188" s="19"/>
      <c r="W188" s="19"/>
      <c r="X188" s="19"/>
      <c r="Y188" s="19"/>
      <c r="Z188" s="19"/>
      <c r="AA188" s="19"/>
      <c r="AB188" s="19"/>
      <c r="FE188" s="54"/>
    </row>
    <row r="189" spans="1:161" s="18" customFormat="1">
      <c r="A189" s="51"/>
      <c r="B189" s="735"/>
      <c r="C189" s="735"/>
      <c r="D189" s="735"/>
      <c r="E189" s="735"/>
      <c r="F189" s="736"/>
      <c r="G189" s="735"/>
      <c r="H189" s="735"/>
      <c r="I189" s="735"/>
      <c r="J189" s="735"/>
      <c r="K189" s="735"/>
      <c r="L189" s="735"/>
      <c r="M189" s="735"/>
      <c r="N189" s="735"/>
      <c r="O189" s="19"/>
      <c r="P189" s="19"/>
      <c r="Q189" s="19"/>
      <c r="R189" s="19"/>
      <c r="S189" s="19"/>
      <c r="T189" s="19"/>
      <c r="U189" s="19"/>
      <c r="V189" s="19"/>
      <c r="W189" s="19"/>
      <c r="X189" s="19"/>
      <c r="Y189" s="19"/>
      <c r="Z189" s="19"/>
      <c r="AA189" s="19"/>
      <c r="AB189" s="19"/>
      <c r="FE189" s="54"/>
    </row>
    <row r="190" spans="1:161" s="18" customFormat="1">
      <c r="A190" s="51"/>
      <c r="B190" s="735"/>
      <c r="C190" s="735"/>
      <c r="D190" s="735"/>
      <c r="E190" s="735"/>
      <c r="F190" s="736"/>
      <c r="G190" s="735"/>
      <c r="H190" s="735"/>
      <c r="I190" s="735"/>
      <c r="J190" s="735"/>
      <c r="K190" s="735"/>
      <c r="L190" s="735"/>
      <c r="M190" s="735"/>
      <c r="N190" s="735"/>
      <c r="O190" s="19"/>
      <c r="P190" s="19"/>
      <c r="Q190" s="19"/>
      <c r="R190" s="19"/>
      <c r="S190" s="19"/>
      <c r="T190" s="19"/>
      <c r="U190" s="19"/>
      <c r="V190" s="19"/>
      <c r="W190" s="19"/>
      <c r="X190" s="19"/>
      <c r="Y190" s="19"/>
      <c r="Z190" s="19"/>
      <c r="AA190" s="19"/>
      <c r="AB190" s="19"/>
      <c r="FE190" s="54"/>
    </row>
    <row r="191" spans="1:161" s="18" customFormat="1">
      <c r="A191" s="51"/>
      <c r="B191" s="735"/>
      <c r="C191" s="735"/>
      <c r="D191" s="735"/>
      <c r="E191" s="735"/>
      <c r="F191" s="736"/>
      <c r="G191" s="735"/>
      <c r="H191" s="735"/>
      <c r="I191" s="735"/>
      <c r="J191" s="735"/>
      <c r="K191" s="735"/>
      <c r="L191" s="735"/>
      <c r="M191" s="735"/>
      <c r="N191" s="735"/>
      <c r="O191" s="19"/>
      <c r="P191" s="19"/>
      <c r="Q191" s="19"/>
      <c r="R191" s="19"/>
      <c r="S191" s="19"/>
      <c r="T191" s="19"/>
      <c r="U191" s="19"/>
      <c r="V191" s="19"/>
      <c r="W191" s="19"/>
      <c r="X191" s="19"/>
      <c r="Y191" s="19"/>
      <c r="Z191" s="19"/>
      <c r="AA191" s="19"/>
      <c r="AB191" s="19"/>
      <c r="FE191" s="54"/>
    </row>
    <row r="192" spans="1:161" s="18" customFormat="1">
      <c r="A192" s="51"/>
      <c r="B192" s="735"/>
      <c r="C192" s="735"/>
      <c r="D192" s="735"/>
      <c r="E192" s="735"/>
      <c r="F192" s="736"/>
      <c r="G192" s="735"/>
      <c r="H192" s="735"/>
      <c r="I192" s="735"/>
      <c r="J192" s="735"/>
      <c r="K192" s="735"/>
      <c r="L192" s="735"/>
      <c r="M192" s="735"/>
      <c r="N192" s="735"/>
      <c r="O192" s="19"/>
      <c r="P192" s="19"/>
      <c r="Q192" s="19"/>
      <c r="R192" s="19"/>
      <c r="S192" s="19"/>
      <c r="T192" s="19"/>
      <c r="U192" s="19"/>
      <c r="V192" s="19"/>
      <c r="W192" s="19"/>
      <c r="X192" s="19"/>
      <c r="Y192" s="19"/>
      <c r="Z192" s="19"/>
      <c r="AA192" s="19"/>
      <c r="AB192" s="19"/>
      <c r="FE192" s="54"/>
    </row>
    <row r="193" spans="1:161" s="18" customFormat="1">
      <c r="A193" s="51"/>
      <c r="B193" s="735"/>
      <c r="C193" s="735"/>
      <c r="D193" s="735"/>
      <c r="E193" s="735"/>
      <c r="F193" s="736"/>
      <c r="G193" s="735"/>
      <c r="H193" s="735"/>
      <c r="I193" s="735"/>
      <c r="J193" s="735"/>
      <c r="K193" s="735"/>
      <c r="L193" s="735"/>
      <c r="M193" s="735"/>
      <c r="N193" s="735"/>
      <c r="O193" s="19"/>
      <c r="P193" s="19"/>
      <c r="Q193" s="19"/>
      <c r="R193" s="19"/>
      <c r="S193" s="19"/>
      <c r="T193" s="19"/>
      <c r="U193" s="19"/>
      <c r="V193" s="19"/>
      <c r="W193" s="19"/>
      <c r="X193" s="19"/>
      <c r="Y193" s="19"/>
      <c r="Z193" s="19"/>
      <c r="AA193" s="19"/>
      <c r="AB193" s="19"/>
      <c r="FE193" s="54"/>
    </row>
    <row r="194" spans="1:161" s="18" customFormat="1">
      <c r="A194" s="51"/>
      <c r="B194" s="735"/>
      <c r="C194" s="735"/>
      <c r="D194" s="735"/>
      <c r="E194" s="735"/>
      <c r="F194" s="736"/>
      <c r="G194" s="735"/>
      <c r="H194" s="735"/>
      <c r="I194" s="735"/>
      <c r="J194" s="735"/>
      <c r="K194" s="735"/>
      <c r="L194" s="735"/>
      <c r="M194" s="735"/>
      <c r="N194" s="735"/>
      <c r="O194" s="19"/>
      <c r="P194" s="19"/>
      <c r="Q194" s="19"/>
      <c r="R194" s="19"/>
      <c r="S194" s="19"/>
      <c r="T194" s="19"/>
      <c r="U194" s="19"/>
      <c r="V194" s="19"/>
      <c r="W194" s="19"/>
      <c r="X194" s="19"/>
      <c r="Y194" s="19"/>
      <c r="Z194" s="19"/>
      <c r="AA194" s="19"/>
      <c r="AB194" s="19"/>
      <c r="FE194" s="54"/>
    </row>
    <row r="195" spans="1:161" s="18" customFormat="1">
      <c r="A195" s="51"/>
      <c r="B195" s="735"/>
      <c r="C195" s="735"/>
      <c r="D195" s="735"/>
      <c r="E195" s="735"/>
      <c r="F195" s="736"/>
      <c r="G195" s="735"/>
      <c r="H195" s="735"/>
      <c r="I195" s="735"/>
      <c r="J195" s="735"/>
      <c r="K195" s="735"/>
      <c r="L195" s="735"/>
      <c r="M195" s="735"/>
      <c r="N195" s="735"/>
      <c r="O195" s="19"/>
      <c r="P195" s="19"/>
      <c r="Q195" s="19"/>
      <c r="R195" s="19"/>
      <c r="S195" s="19"/>
      <c r="T195" s="19"/>
      <c r="U195" s="19"/>
      <c r="V195" s="19"/>
      <c r="W195" s="19"/>
      <c r="X195" s="19"/>
      <c r="Y195" s="19"/>
      <c r="Z195" s="19"/>
      <c r="AA195" s="19"/>
      <c r="AB195" s="19"/>
      <c r="FE195" s="54"/>
    </row>
    <row r="196" spans="1:161" s="18" customFormat="1">
      <c r="A196" s="51"/>
      <c r="B196" s="735"/>
      <c r="C196" s="735"/>
      <c r="D196" s="735"/>
      <c r="E196" s="735"/>
      <c r="F196" s="736"/>
      <c r="G196" s="735"/>
      <c r="H196" s="735"/>
      <c r="I196" s="735"/>
      <c r="J196" s="735"/>
      <c r="K196" s="735"/>
      <c r="L196" s="735"/>
      <c r="M196" s="735"/>
      <c r="N196" s="735"/>
      <c r="O196" s="19"/>
      <c r="P196" s="19"/>
      <c r="Q196" s="19"/>
      <c r="R196" s="19"/>
      <c r="S196" s="19"/>
      <c r="T196" s="19"/>
      <c r="U196" s="19"/>
      <c r="V196" s="19"/>
      <c r="W196" s="19"/>
      <c r="X196" s="19"/>
      <c r="Y196" s="19"/>
      <c r="Z196" s="19"/>
      <c r="AA196" s="19"/>
      <c r="AB196" s="19"/>
      <c r="FE196" s="54"/>
    </row>
    <row r="197" spans="1:161" s="18" customFormat="1">
      <c r="A197" s="51"/>
      <c r="B197" s="735"/>
      <c r="C197" s="735"/>
      <c r="D197" s="735"/>
      <c r="E197" s="735"/>
      <c r="F197" s="736"/>
      <c r="G197" s="735"/>
      <c r="H197" s="735"/>
      <c r="I197" s="735"/>
      <c r="J197" s="735"/>
      <c r="K197" s="735"/>
      <c r="L197" s="735"/>
      <c r="M197" s="735"/>
      <c r="N197" s="735"/>
      <c r="O197" s="19"/>
      <c r="P197" s="19"/>
      <c r="Q197" s="19"/>
      <c r="R197" s="19"/>
      <c r="S197" s="19"/>
      <c r="T197" s="19"/>
      <c r="U197" s="19"/>
      <c r="V197" s="19"/>
      <c r="W197" s="19"/>
      <c r="X197" s="19"/>
      <c r="Y197" s="19"/>
      <c r="Z197" s="19"/>
      <c r="AA197" s="19"/>
      <c r="AB197" s="19"/>
      <c r="FE197" s="54"/>
    </row>
    <row r="198" spans="1:161" s="18" customFormat="1">
      <c r="A198" s="51"/>
      <c r="B198" s="735"/>
      <c r="C198" s="735"/>
      <c r="D198" s="735"/>
      <c r="E198" s="735"/>
      <c r="F198" s="736"/>
      <c r="G198" s="735"/>
      <c r="H198" s="735"/>
      <c r="I198" s="735"/>
      <c r="J198" s="735"/>
      <c r="K198" s="735"/>
      <c r="L198" s="735"/>
      <c r="M198" s="735"/>
      <c r="N198" s="735"/>
      <c r="O198" s="19"/>
      <c r="P198" s="19"/>
      <c r="Q198" s="19"/>
      <c r="R198" s="19"/>
      <c r="S198" s="19"/>
      <c r="T198" s="19"/>
      <c r="U198" s="19"/>
      <c r="V198" s="19"/>
      <c r="W198" s="19"/>
      <c r="X198" s="19"/>
      <c r="Y198" s="19"/>
      <c r="Z198" s="19"/>
      <c r="AA198" s="19"/>
      <c r="AB198" s="19"/>
      <c r="FE198" s="54"/>
    </row>
    <row r="199" spans="1:161" s="18" customFormat="1">
      <c r="A199" s="51"/>
      <c r="B199" s="735"/>
      <c r="C199" s="735"/>
      <c r="D199" s="735"/>
      <c r="E199" s="735"/>
      <c r="F199" s="736"/>
      <c r="G199" s="735"/>
      <c r="H199" s="735"/>
      <c r="I199" s="735"/>
      <c r="J199" s="735"/>
      <c r="K199" s="735"/>
      <c r="L199" s="735"/>
      <c r="M199" s="735"/>
      <c r="N199" s="735"/>
      <c r="O199" s="19"/>
      <c r="P199" s="19"/>
      <c r="Q199" s="19"/>
      <c r="R199" s="19"/>
      <c r="S199" s="19"/>
      <c r="T199" s="19"/>
      <c r="U199" s="19"/>
      <c r="V199" s="19"/>
      <c r="W199" s="19"/>
      <c r="X199" s="19"/>
      <c r="Y199" s="19"/>
      <c r="Z199" s="19"/>
      <c r="AA199" s="19"/>
      <c r="AB199" s="19"/>
      <c r="FE199" s="54"/>
    </row>
    <row r="200" spans="1:161" s="18" customFormat="1">
      <c r="A200" s="51"/>
      <c r="B200" s="735"/>
      <c r="C200" s="735"/>
      <c r="D200" s="735"/>
      <c r="E200" s="735"/>
      <c r="F200" s="736"/>
      <c r="G200" s="735"/>
      <c r="H200" s="735"/>
      <c r="I200" s="735"/>
      <c r="J200" s="735"/>
      <c r="K200" s="735"/>
      <c r="L200" s="735"/>
      <c r="M200" s="735"/>
      <c r="N200" s="735"/>
      <c r="O200" s="19"/>
      <c r="P200" s="19"/>
      <c r="Q200" s="19"/>
      <c r="R200" s="19"/>
      <c r="S200" s="19"/>
      <c r="T200" s="19"/>
      <c r="U200" s="19"/>
      <c r="V200" s="19"/>
      <c r="W200" s="19"/>
      <c r="X200" s="19"/>
      <c r="Y200" s="19"/>
      <c r="Z200" s="19"/>
      <c r="AA200" s="19"/>
      <c r="AB200" s="19"/>
      <c r="FE200" s="54"/>
    </row>
    <row r="201" spans="1:161" s="18" customFormat="1">
      <c r="A201" s="51"/>
      <c r="B201" s="735"/>
      <c r="C201" s="735"/>
      <c r="D201" s="735"/>
      <c r="E201" s="735"/>
      <c r="F201" s="736"/>
      <c r="G201" s="735"/>
      <c r="H201" s="735"/>
      <c r="I201" s="735"/>
      <c r="J201" s="735"/>
      <c r="K201" s="735"/>
      <c r="L201" s="735"/>
      <c r="M201" s="735"/>
      <c r="N201" s="735"/>
      <c r="O201" s="19"/>
      <c r="P201" s="19"/>
      <c r="Q201" s="19"/>
      <c r="R201" s="19"/>
      <c r="S201" s="19"/>
      <c r="T201" s="19"/>
      <c r="U201" s="19"/>
      <c r="V201" s="19"/>
      <c r="W201" s="19"/>
      <c r="X201" s="19"/>
      <c r="Y201" s="19"/>
      <c r="Z201" s="19"/>
      <c r="AA201" s="19"/>
      <c r="AB201" s="19"/>
      <c r="FE201" s="54"/>
    </row>
    <row r="202" spans="1:161" s="18" customFormat="1">
      <c r="A202" s="51"/>
      <c r="B202" s="735"/>
      <c r="C202" s="735"/>
      <c r="D202" s="735"/>
      <c r="E202" s="735"/>
      <c r="F202" s="736"/>
      <c r="G202" s="735"/>
      <c r="H202" s="735"/>
      <c r="I202" s="735"/>
      <c r="J202" s="735"/>
      <c r="K202" s="735"/>
      <c r="L202" s="735"/>
      <c r="M202" s="735"/>
      <c r="N202" s="735"/>
      <c r="O202" s="19"/>
      <c r="P202" s="19"/>
      <c r="Q202" s="19"/>
      <c r="R202" s="19"/>
      <c r="S202" s="19"/>
      <c r="T202" s="19"/>
      <c r="U202" s="19"/>
      <c r="V202" s="19"/>
      <c r="W202" s="19"/>
      <c r="X202" s="19"/>
      <c r="Y202" s="19"/>
      <c r="Z202" s="19"/>
      <c r="AA202" s="19"/>
      <c r="AB202" s="19"/>
      <c r="FE202" s="54"/>
    </row>
    <row r="203" spans="1:161" s="18" customFormat="1">
      <c r="A203" s="51"/>
      <c r="B203" s="735"/>
      <c r="C203" s="735"/>
      <c r="D203" s="735"/>
      <c r="E203" s="735"/>
      <c r="F203" s="736"/>
      <c r="G203" s="735"/>
      <c r="H203" s="735"/>
      <c r="I203" s="735"/>
      <c r="J203" s="735"/>
      <c r="K203" s="735"/>
      <c r="L203" s="735"/>
      <c r="M203" s="735"/>
      <c r="N203" s="735"/>
      <c r="O203" s="19"/>
      <c r="P203" s="19"/>
      <c r="Q203" s="19"/>
      <c r="R203" s="19"/>
      <c r="S203" s="19"/>
      <c r="T203" s="19"/>
      <c r="U203" s="19"/>
      <c r="V203" s="19"/>
      <c r="W203" s="19"/>
      <c r="X203" s="19"/>
      <c r="Y203" s="19"/>
      <c r="Z203" s="19"/>
      <c r="AA203" s="19"/>
      <c r="AB203" s="19"/>
      <c r="FE203" s="54"/>
    </row>
    <row r="204" spans="1:161" s="18" customFormat="1">
      <c r="A204" s="51"/>
      <c r="B204" s="735"/>
      <c r="C204" s="735"/>
      <c r="D204" s="735"/>
      <c r="E204" s="735"/>
      <c r="F204" s="736"/>
      <c r="G204" s="735"/>
      <c r="H204" s="735"/>
      <c r="I204" s="735"/>
      <c r="J204" s="735"/>
      <c r="K204" s="735"/>
      <c r="L204" s="735"/>
      <c r="M204" s="735"/>
      <c r="N204" s="735"/>
      <c r="O204" s="19"/>
      <c r="P204" s="19"/>
      <c r="Q204" s="19"/>
      <c r="R204" s="19"/>
      <c r="S204" s="19"/>
      <c r="T204" s="19"/>
      <c r="U204" s="19"/>
      <c r="V204" s="19"/>
      <c r="W204" s="19"/>
      <c r="X204" s="19"/>
      <c r="Y204" s="19"/>
      <c r="Z204" s="19"/>
      <c r="AA204" s="19"/>
      <c r="AB204" s="19"/>
      <c r="FE204" s="54"/>
    </row>
    <row r="205" spans="1:161" s="18" customFormat="1">
      <c r="A205" s="51"/>
      <c r="B205" s="735"/>
      <c r="C205" s="735"/>
      <c r="D205" s="735"/>
      <c r="E205" s="735"/>
      <c r="F205" s="736"/>
      <c r="G205" s="735"/>
      <c r="H205" s="735"/>
      <c r="I205" s="735"/>
      <c r="J205" s="735"/>
      <c r="K205" s="735"/>
      <c r="L205" s="735"/>
      <c r="M205" s="735"/>
      <c r="N205" s="735"/>
      <c r="O205" s="19"/>
      <c r="P205" s="19"/>
      <c r="Q205" s="19"/>
      <c r="R205" s="19"/>
      <c r="S205" s="19"/>
      <c r="T205" s="19"/>
      <c r="U205" s="19"/>
      <c r="V205" s="19"/>
      <c r="W205" s="19"/>
      <c r="X205" s="19"/>
      <c r="Y205" s="19"/>
      <c r="Z205" s="19"/>
      <c r="AA205" s="19"/>
      <c r="AB205" s="19"/>
      <c r="FE205" s="54"/>
    </row>
    <row r="206" spans="1:161" s="18" customFormat="1">
      <c r="A206" s="51"/>
      <c r="B206" s="735"/>
      <c r="C206" s="735"/>
      <c r="D206" s="735"/>
      <c r="E206" s="735"/>
      <c r="F206" s="736"/>
      <c r="G206" s="735"/>
      <c r="H206" s="735"/>
      <c r="I206" s="735"/>
      <c r="J206" s="735"/>
      <c r="K206" s="735"/>
      <c r="L206" s="735"/>
      <c r="M206" s="735"/>
      <c r="N206" s="735"/>
      <c r="O206" s="19"/>
      <c r="P206" s="19"/>
      <c r="Q206" s="19"/>
      <c r="R206" s="19"/>
      <c r="S206" s="19"/>
      <c r="T206" s="19"/>
      <c r="U206" s="19"/>
      <c r="V206" s="19"/>
      <c r="W206" s="19"/>
      <c r="X206" s="19"/>
      <c r="Y206" s="19"/>
      <c r="Z206" s="19"/>
      <c r="AA206" s="19"/>
      <c r="AB206" s="19"/>
      <c r="FE206" s="54"/>
    </row>
    <row r="207" spans="1:161" s="18" customFormat="1">
      <c r="A207" s="51"/>
      <c r="B207" s="735"/>
      <c r="C207" s="735"/>
      <c r="D207" s="735"/>
      <c r="E207" s="735"/>
      <c r="F207" s="736"/>
      <c r="G207" s="735"/>
      <c r="H207" s="735"/>
      <c r="I207" s="735"/>
      <c r="J207" s="735"/>
      <c r="K207" s="735"/>
      <c r="L207" s="735"/>
      <c r="M207" s="735"/>
      <c r="N207" s="735"/>
      <c r="O207" s="19"/>
      <c r="P207" s="19"/>
      <c r="Q207" s="19"/>
      <c r="R207" s="19"/>
      <c r="S207" s="19"/>
      <c r="T207" s="19"/>
      <c r="U207" s="19"/>
      <c r="V207" s="19"/>
      <c r="W207" s="19"/>
      <c r="X207" s="19"/>
      <c r="Y207" s="19"/>
      <c r="Z207" s="19"/>
      <c r="AA207" s="19"/>
      <c r="AB207" s="19"/>
      <c r="FE207" s="54"/>
    </row>
    <row r="208" spans="1:161" s="18" customFormat="1">
      <c r="A208" s="51"/>
      <c r="B208" s="735"/>
      <c r="C208" s="735"/>
      <c r="D208" s="735"/>
      <c r="E208" s="735"/>
      <c r="F208" s="736"/>
      <c r="G208" s="735"/>
      <c r="H208" s="735"/>
      <c r="I208" s="735"/>
      <c r="J208" s="735"/>
      <c r="K208" s="735"/>
      <c r="L208" s="735"/>
      <c r="M208" s="735"/>
      <c r="N208" s="735"/>
      <c r="O208" s="19"/>
      <c r="P208" s="19"/>
      <c r="Q208" s="19"/>
      <c r="R208" s="19"/>
      <c r="S208" s="19"/>
      <c r="T208" s="19"/>
      <c r="U208" s="19"/>
      <c r="V208" s="19"/>
      <c r="W208" s="19"/>
      <c r="X208" s="19"/>
      <c r="Y208" s="19"/>
      <c r="Z208" s="19"/>
      <c r="AA208" s="19"/>
      <c r="AB208" s="19"/>
      <c r="FE208" s="54"/>
    </row>
    <row r="209" spans="1:161" s="18" customFormat="1">
      <c r="A209" s="51"/>
      <c r="B209" s="735"/>
      <c r="C209" s="735"/>
      <c r="D209" s="735"/>
      <c r="E209" s="735"/>
      <c r="F209" s="736"/>
      <c r="G209" s="735"/>
      <c r="H209" s="735"/>
      <c r="I209" s="735"/>
      <c r="J209" s="735"/>
      <c r="K209" s="735"/>
      <c r="L209" s="735"/>
      <c r="M209" s="735"/>
      <c r="N209" s="735"/>
      <c r="O209" s="19"/>
      <c r="P209" s="19"/>
      <c r="Q209" s="19"/>
      <c r="R209" s="19"/>
      <c r="S209" s="19"/>
      <c r="T209" s="19"/>
      <c r="U209" s="19"/>
      <c r="V209" s="19"/>
      <c r="W209" s="19"/>
      <c r="X209" s="19"/>
      <c r="Y209" s="19"/>
      <c r="Z209" s="19"/>
      <c r="AA209" s="19"/>
      <c r="AB209" s="19"/>
      <c r="FE209" s="54"/>
    </row>
    <row r="210" spans="1:161" s="18" customFormat="1">
      <c r="A210" s="51"/>
      <c r="B210" s="735"/>
      <c r="C210" s="735"/>
      <c r="D210" s="735"/>
      <c r="E210" s="735"/>
      <c r="F210" s="736"/>
      <c r="G210" s="735"/>
      <c r="H210" s="735"/>
      <c r="I210" s="735"/>
      <c r="J210" s="735"/>
      <c r="K210" s="735"/>
      <c r="L210" s="735"/>
      <c r="M210" s="735"/>
      <c r="N210" s="735"/>
      <c r="O210" s="19"/>
      <c r="P210" s="19"/>
      <c r="Q210" s="19"/>
      <c r="R210" s="19"/>
      <c r="S210" s="19"/>
      <c r="T210" s="19"/>
      <c r="U210" s="19"/>
      <c r="V210" s="19"/>
      <c r="W210" s="19"/>
      <c r="X210" s="19"/>
      <c r="Y210" s="19"/>
      <c r="Z210" s="19"/>
      <c r="AA210" s="19"/>
      <c r="AB210" s="19"/>
      <c r="FE210" s="54"/>
    </row>
    <row r="211" spans="1:161" s="18" customFormat="1">
      <c r="A211" s="51"/>
      <c r="B211" s="735"/>
      <c r="C211" s="735"/>
      <c r="D211" s="735"/>
      <c r="E211" s="735"/>
      <c r="F211" s="736"/>
      <c r="G211" s="735"/>
      <c r="H211" s="735"/>
      <c r="I211" s="735"/>
      <c r="J211" s="735"/>
      <c r="K211" s="735"/>
      <c r="L211" s="735"/>
      <c r="M211" s="735"/>
      <c r="N211" s="735"/>
      <c r="O211" s="19"/>
      <c r="P211" s="19"/>
      <c r="Q211" s="19"/>
      <c r="R211" s="19"/>
      <c r="S211" s="19"/>
      <c r="T211" s="19"/>
      <c r="U211" s="19"/>
      <c r="V211" s="19"/>
      <c r="W211" s="19"/>
      <c r="X211" s="19"/>
      <c r="Y211" s="19"/>
      <c r="Z211" s="19"/>
      <c r="AA211" s="19"/>
      <c r="AB211" s="19"/>
      <c r="FE211" s="54"/>
    </row>
    <row r="212" spans="1:161" s="18" customFormat="1">
      <c r="A212" s="51"/>
      <c r="B212" s="735"/>
      <c r="C212" s="735"/>
      <c r="D212" s="735"/>
      <c r="E212" s="735"/>
      <c r="F212" s="736"/>
      <c r="G212" s="735"/>
      <c r="H212" s="735"/>
      <c r="I212" s="735"/>
      <c r="J212" s="735"/>
      <c r="K212" s="735"/>
      <c r="L212" s="735"/>
      <c r="M212" s="735"/>
      <c r="N212" s="735"/>
      <c r="O212" s="19"/>
      <c r="P212" s="19"/>
      <c r="Q212" s="19"/>
      <c r="R212" s="19"/>
      <c r="S212" s="19"/>
      <c r="T212" s="19"/>
      <c r="U212" s="19"/>
      <c r="V212" s="19"/>
      <c r="W212" s="19"/>
      <c r="X212" s="19"/>
      <c r="Y212" s="19"/>
      <c r="Z212" s="19"/>
      <c r="AA212" s="19"/>
      <c r="AB212" s="19"/>
      <c r="FE212" s="54"/>
    </row>
    <row r="213" spans="1:161" s="18" customFormat="1">
      <c r="A213" s="51"/>
      <c r="B213" s="735"/>
      <c r="C213" s="735"/>
      <c r="D213" s="735"/>
      <c r="E213" s="735"/>
      <c r="F213" s="736"/>
      <c r="G213" s="735"/>
      <c r="H213" s="735"/>
      <c r="I213" s="735"/>
      <c r="J213" s="735"/>
      <c r="K213" s="735"/>
      <c r="L213" s="735"/>
      <c r="M213" s="735"/>
      <c r="N213" s="735"/>
      <c r="O213" s="19"/>
      <c r="P213" s="19"/>
      <c r="Q213" s="19"/>
      <c r="R213" s="19"/>
      <c r="S213" s="19"/>
      <c r="T213" s="19"/>
      <c r="U213" s="19"/>
      <c r="V213" s="19"/>
      <c r="W213" s="19"/>
      <c r="X213" s="19"/>
      <c r="Y213" s="19"/>
      <c r="Z213" s="19"/>
      <c r="AA213" s="19"/>
      <c r="AB213" s="19"/>
      <c r="FE213" s="54"/>
    </row>
    <row r="214" spans="1:161" s="18" customFormat="1">
      <c r="A214" s="51"/>
      <c r="B214" s="735"/>
      <c r="C214" s="735"/>
      <c r="D214" s="735"/>
      <c r="E214" s="735"/>
      <c r="F214" s="736"/>
      <c r="G214" s="735"/>
      <c r="H214" s="735"/>
      <c r="I214" s="735"/>
      <c r="J214" s="735"/>
      <c r="K214" s="735"/>
      <c r="L214" s="735"/>
      <c r="M214" s="735"/>
      <c r="N214" s="735"/>
      <c r="O214" s="19"/>
      <c r="P214" s="19"/>
      <c r="Q214" s="19"/>
      <c r="R214" s="19"/>
      <c r="S214" s="19"/>
      <c r="T214" s="19"/>
      <c r="U214" s="19"/>
      <c r="V214" s="19"/>
      <c r="W214" s="19"/>
      <c r="X214" s="19"/>
      <c r="Y214" s="19"/>
      <c r="Z214" s="19"/>
      <c r="AA214" s="19"/>
      <c r="AB214" s="19"/>
      <c r="FE214" s="54"/>
    </row>
    <row r="215" spans="1:161" s="18" customFormat="1">
      <c r="A215" s="51"/>
      <c r="B215" s="735"/>
      <c r="C215" s="735"/>
      <c r="D215" s="735"/>
      <c r="E215" s="735"/>
      <c r="F215" s="736"/>
      <c r="G215" s="735"/>
      <c r="H215" s="735"/>
      <c r="I215" s="735"/>
      <c r="J215" s="735"/>
      <c r="K215" s="735"/>
      <c r="L215" s="735"/>
      <c r="M215" s="735"/>
      <c r="N215" s="735"/>
      <c r="O215" s="19"/>
      <c r="P215" s="19"/>
      <c r="Q215" s="19"/>
      <c r="R215" s="19"/>
      <c r="S215" s="19"/>
      <c r="T215" s="19"/>
      <c r="U215" s="19"/>
      <c r="V215" s="19"/>
      <c r="W215" s="19"/>
      <c r="X215" s="19"/>
      <c r="Y215" s="19"/>
      <c r="Z215" s="19"/>
      <c r="AA215" s="19"/>
      <c r="AB215" s="19"/>
      <c r="FE215" s="54"/>
    </row>
    <row r="216" spans="1:161" s="18" customFormat="1">
      <c r="A216" s="51"/>
      <c r="B216" s="735"/>
      <c r="C216" s="735"/>
      <c r="D216" s="735"/>
      <c r="E216" s="735"/>
      <c r="F216" s="736"/>
      <c r="G216" s="735"/>
      <c r="H216" s="735"/>
      <c r="I216" s="735"/>
      <c r="J216" s="735"/>
      <c r="K216" s="735"/>
      <c r="L216" s="735"/>
      <c r="M216" s="735"/>
      <c r="N216" s="735"/>
      <c r="O216" s="19"/>
      <c r="P216" s="19"/>
      <c r="Q216" s="19"/>
      <c r="R216" s="19"/>
      <c r="S216" s="19"/>
      <c r="T216" s="19"/>
      <c r="U216" s="19"/>
      <c r="V216" s="19"/>
      <c r="W216" s="19"/>
      <c r="X216" s="19"/>
      <c r="Y216" s="19"/>
      <c r="Z216" s="19"/>
      <c r="AA216" s="19"/>
      <c r="AB216" s="19"/>
      <c r="FE216" s="54"/>
    </row>
    <row r="217" spans="1:161" s="18" customFormat="1">
      <c r="A217" s="51"/>
      <c r="B217" s="735"/>
      <c r="C217" s="735"/>
      <c r="D217" s="735"/>
      <c r="E217" s="735"/>
      <c r="F217" s="736"/>
      <c r="G217" s="735"/>
      <c r="H217" s="735"/>
      <c r="I217" s="735"/>
      <c r="J217" s="735"/>
      <c r="K217" s="735"/>
      <c r="L217" s="735"/>
      <c r="M217" s="735"/>
      <c r="N217" s="735"/>
      <c r="O217" s="19"/>
      <c r="P217" s="19"/>
      <c r="Q217" s="19"/>
      <c r="R217" s="19"/>
      <c r="S217" s="19"/>
      <c r="T217" s="19"/>
      <c r="U217" s="19"/>
      <c r="V217" s="19"/>
      <c r="W217" s="19"/>
      <c r="X217" s="19"/>
      <c r="Y217" s="19"/>
      <c r="Z217" s="19"/>
      <c r="AA217" s="19"/>
      <c r="AB217" s="19"/>
      <c r="FE217" s="54"/>
    </row>
    <row r="218" spans="1:161" s="18" customFormat="1">
      <c r="A218" s="51"/>
      <c r="B218" s="735"/>
      <c r="C218" s="735"/>
      <c r="D218" s="735"/>
      <c r="E218" s="735"/>
      <c r="F218" s="736"/>
      <c r="G218" s="735"/>
      <c r="H218" s="735"/>
      <c r="I218" s="735"/>
      <c r="J218" s="735"/>
      <c r="K218" s="735"/>
      <c r="L218" s="735"/>
      <c r="M218" s="735"/>
      <c r="N218" s="735"/>
      <c r="O218" s="19"/>
      <c r="P218" s="19"/>
      <c r="Q218" s="19"/>
      <c r="R218" s="19"/>
      <c r="S218" s="19"/>
      <c r="T218" s="19"/>
      <c r="U218" s="19"/>
      <c r="V218" s="19"/>
      <c r="W218" s="19"/>
      <c r="X218" s="19"/>
      <c r="Y218" s="19"/>
      <c r="Z218" s="19"/>
      <c r="AA218" s="19"/>
      <c r="AB218" s="19"/>
      <c r="FE218" s="54"/>
    </row>
    <row r="219" spans="1:161" s="18" customFormat="1">
      <c r="A219" s="51"/>
      <c r="B219" s="735"/>
      <c r="C219" s="735"/>
      <c r="D219" s="735"/>
      <c r="E219" s="735"/>
      <c r="F219" s="736"/>
      <c r="G219" s="735"/>
      <c r="H219" s="735"/>
      <c r="I219" s="735"/>
      <c r="J219" s="735"/>
      <c r="K219" s="735"/>
      <c r="L219" s="735"/>
      <c r="M219" s="735"/>
      <c r="N219" s="735"/>
      <c r="O219" s="19"/>
      <c r="P219" s="19"/>
      <c r="Q219" s="19"/>
      <c r="R219" s="19"/>
      <c r="S219" s="19"/>
      <c r="T219" s="19"/>
      <c r="U219" s="19"/>
      <c r="V219" s="19"/>
      <c r="W219" s="19"/>
      <c r="X219" s="19"/>
      <c r="Y219" s="19"/>
      <c r="Z219" s="19"/>
      <c r="AA219" s="19"/>
      <c r="AB219" s="19"/>
      <c r="FE219" s="54"/>
    </row>
    <row r="220" spans="1:161" s="18" customFormat="1">
      <c r="A220" s="51"/>
      <c r="B220" s="735"/>
      <c r="C220" s="735"/>
      <c r="D220" s="735"/>
      <c r="E220" s="735"/>
      <c r="F220" s="736"/>
      <c r="G220" s="735"/>
      <c r="H220" s="735"/>
      <c r="I220" s="735"/>
      <c r="J220" s="735"/>
      <c r="K220" s="735"/>
      <c r="L220" s="735"/>
      <c r="M220" s="735"/>
      <c r="N220" s="735"/>
      <c r="O220" s="19"/>
      <c r="P220" s="19"/>
      <c r="Q220" s="19"/>
      <c r="R220" s="19"/>
      <c r="S220" s="19"/>
      <c r="T220" s="19"/>
      <c r="U220" s="19"/>
      <c r="V220" s="19"/>
      <c r="W220" s="19"/>
      <c r="X220" s="19"/>
      <c r="Y220" s="19"/>
      <c r="Z220" s="19"/>
      <c r="AA220" s="19"/>
      <c r="AB220" s="19"/>
      <c r="FE220" s="54"/>
    </row>
    <row r="221" spans="1:161" s="18" customFormat="1">
      <c r="A221" s="51"/>
      <c r="B221" s="735"/>
      <c r="C221" s="735"/>
      <c r="D221" s="735"/>
      <c r="E221" s="735"/>
      <c r="F221" s="736"/>
      <c r="G221" s="735"/>
      <c r="H221" s="735"/>
      <c r="I221" s="735"/>
      <c r="J221" s="735"/>
      <c r="K221" s="735"/>
      <c r="L221" s="735"/>
      <c r="M221" s="735"/>
      <c r="N221" s="735"/>
      <c r="O221" s="19"/>
      <c r="P221" s="19"/>
      <c r="Q221" s="19"/>
      <c r="R221" s="19"/>
      <c r="S221" s="19"/>
      <c r="T221" s="19"/>
      <c r="U221" s="19"/>
      <c r="V221" s="19"/>
      <c r="W221" s="19"/>
      <c r="X221" s="19"/>
      <c r="Y221" s="19"/>
      <c r="Z221" s="19"/>
      <c r="AA221" s="19"/>
      <c r="AB221" s="19"/>
      <c r="FE221" s="54"/>
    </row>
    <row r="222" spans="1:161" s="18" customFormat="1">
      <c r="A222" s="51"/>
      <c r="B222" s="735"/>
      <c r="C222" s="735"/>
      <c r="D222" s="735"/>
      <c r="E222" s="735"/>
      <c r="F222" s="736"/>
      <c r="G222" s="735"/>
      <c r="H222" s="735"/>
      <c r="I222" s="735"/>
      <c r="J222" s="735"/>
      <c r="K222" s="735"/>
      <c r="L222" s="735"/>
      <c r="M222" s="735"/>
      <c r="N222" s="735"/>
      <c r="O222" s="19"/>
      <c r="P222" s="19"/>
      <c r="Q222" s="19"/>
      <c r="R222" s="19"/>
      <c r="S222" s="19"/>
      <c r="T222" s="19"/>
      <c r="U222" s="19"/>
      <c r="V222" s="19"/>
      <c r="W222" s="19"/>
      <c r="X222" s="19"/>
      <c r="Y222" s="19"/>
      <c r="Z222" s="19"/>
      <c r="AA222" s="19"/>
      <c r="AB222" s="19"/>
      <c r="FE222" s="54"/>
    </row>
    <row r="223" spans="1:161" s="18" customFormat="1">
      <c r="A223" s="51"/>
      <c r="B223" s="735"/>
      <c r="C223" s="735"/>
      <c r="D223" s="735"/>
      <c r="E223" s="735"/>
      <c r="F223" s="736"/>
      <c r="G223" s="735"/>
      <c r="H223" s="735"/>
      <c r="I223" s="735"/>
      <c r="J223" s="735"/>
      <c r="K223" s="735"/>
      <c r="L223" s="735"/>
      <c r="M223" s="735"/>
      <c r="N223" s="735"/>
      <c r="O223" s="19"/>
      <c r="P223" s="19"/>
      <c r="Q223" s="19"/>
      <c r="R223" s="19"/>
      <c r="S223" s="19"/>
      <c r="T223" s="19"/>
      <c r="U223" s="19"/>
      <c r="V223" s="19"/>
      <c r="W223" s="19"/>
      <c r="X223" s="19"/>
      <c r="Y223" s="19"/>
      <c r="Z223" s="19"/>
      <c r="AA223" s="19"/>
      <c r="AB223" s="19"/>
      <c r="FE223" s="54"/>
    </row>
    <row r="224" spans="1:161" s="18" customFormat="1">
      <c r="A224" s="51"/>
      <c r="B224" s="735"/>
      <c r="C224" s="735"/>
      <c r="D224" s="735"/>
      <c r="E224" s="735"/>
      <c r="F224" s="736"/>
      <c r="G224" s="735"/>
      <c r="H224" s="735"/>
      <c r="I224" s="735"/>
      <c r="J224" s="735"/>
      <c r="K224" s="735"/>
      <c r="L224" s="735"/>
      <c r="M224" s="735"/>
      <c r="N224" s="735"/>
      <c r="O224" s="19"/>
      <c r="P224" s="19"/>
      <c r="Q224" s="19"/>
      <c r="R224" s="19"/>
      <c r="S224" s="19"/>
      <c r="T224" s="19"/>
      <c r="U224" s="19"/>
      <c r="V224" s="19"/>
      <c r="W224" s="19"/>
      <c r="X224" s="19"/>
      <c r="Y224" s="19"/>
      <c r="Z224" s="19"/>
      <c r="AA224" s="19"/>
      <c r="AB224" s="19"/>
      <c r="FE224" s="54"/>
    </row>
    <row r="225" spans="1:161" s="18" customFormat="1">
      <c r="A225" s="51"/>
      <c r="B225" s="735"/>
      <c r="C225" s="735"/>
      <c r="D225" s="735"/>
      <c r="E225" s="735"/>
      <c r="F225" s="736"/>
      <c r="G225" s="735"/>
      <c r="H225" s="735"/>
      <c r="I225" s="735"/>
      <c r="J225" s="735"/>
      <c r="K225" s="735"/>
      <c r="L225" s="735"/>
      <c r="M225" s="735"/>
      <c r="N225" s="735"/>
      <c r="O225" s="19"/>
      <c r="P225" s="19"/>
      <c r="Q225" s="19"/>
      <c r="R225" s="19"/>
      <c r="S225" s="19"/>
      <c r="T225" s="19"/>
      <c r="U225" s="19"/>
      <c r="V225" s="19"/>
      <c r="W225" s="19"/>
      <c r="X225" s="19"/>
      <c r="Y225" s="19"/>
      <c r="Z225" s="19"/>
      <c r="AA225" s="19"/>
      <c r="AB225" s="19"/>
      <c r="FE225" s="54"/>
    </row>
    <row r="226" spans="1:161" s="18" customFormat="1">
      <c r="A226" s="51"/>
      <c r="B226" s="735"/>
      <c r="C226" s="735"/>
      <c r="D226" s="735"/>
      <c r="E226" s="735"/>
      <c r="F226" s="736"/>
      <c r="G226" s="735"/>
      <c r="H226" s="735"/>
      <c r="I226" s="735"/>
      <c r="J226" s="735"/>
      <c r="K226" s="735"/>
      <c r="L226" s="735"/>
      <c r="M226" s="735"/>
      <c r="N226" s="735"/>
      <c r="O226" s="19"/>
      <c r="P226" s="19"/>
      <c r="Q226" s="19"/>
      <c r="R226" s="19"/>
      <c r="S226" s="19"/>
      <c r="T226" s="19"/>
      <c r="U226" s="19"/>
      <c r="V226" s="19"/>
      <c r="W226" s="19"/>
      <c r="X226" s="19"/>
      <c r="Y226" s="19"/>
      <c r="Z226" s="19"/>
      <c r="AA226" s="19"/>
      <c r="AB226" s="19"/>
      <c r="FE226" s="54"/>
    </row>
    <row r="227" spans="1:161" s="18" customFormat="1">
      <c r="A227" s="51"/>
      <c r="B227" s="735"/>
      <c r="C227" s="735"/>
      <c r="D227" s="735"/>
      <c r="E227" s="735"/>
      <c r="F227" s="736"/>
      <c r="G227" s="735"/>
      <c r="H227" s="735"/>
      <c r="I227" s="735"/>
      <c r="J227" s="735"/>
      <c r="K227" s="735"/>
      <c r="L227" s="735"/>
      <c r="M227" s="735"/>
      <c r="N227" s="735"/>
      <c r="O227" s="19"/>
      <c r="P227" s="19"/>
      <c r="Q227" s="19"/>
      <c r="R227" s="19"/>
      <c r="S227" s="19"/>
      <c r="T227" s="19"/>
      <c r="U227" s="19"/>
      <c r="V227" s="19"/>
      <c r="W227" s="19"/>
      <c r="X227" s="19"/>
      <c r="Y227" s="19"/>
      <c r="Z227" s="19"/>
      <c r="AA227" s="19"/>
      <c r="AB227" s="19"/>
      <c r="FE227" s="54"/>
    </row>
    <row r="228" spans="1:161" s="18" customFormat="1">
      <c r="A228" s="51"/>
      <c r="B228" s="735"/>
      <c r="C228" s="735"/>
      <c r="D228" s="735"/>
      <c r="E228" s="735"/>
      <c r="F228" s="736"/>
      <c r="G228" s="735"/>
      <c r="H228" s="735"/>
      <c r="I228" s="735"/>
      <c r="J228" s="735"/>
      <c r="K228" s="735"/>
      <c r="L228" s="735"/>
      <c r="M228" s="735"/>
      <c r="N228" s="735"/>
      <c r="O228" s="19"/>
      <c r="P228" s="19"/>
      <c r="Q228" s="19"/>
      <c r="R228" s="19"/>
      <c r="S228" s="19"/>
      <c r="T228" s="19"/>
      <c r="U228" s="19"/>
      <c r="V228" s="19"/>
      <c r="W228" s="19"/>
      <c r="X228" s="19"/>
      <c r="Y228" s="19"/>
      <c r="Z228" s="19"/>
      <c r="AA228" s="19"/>
      <c r="AB228" s="19"/>
      <c r="FE228" s="54"/>
    </row>
    <row r="229" spans="1:161" s="18" customFormat="1">
      <c r="A229" s="51"/>
      <c r="B229" s="735"/>
      <c r="C229" s="735"/>
      <c r="D229" s="735"/>
      <c r="E229" s="735"/>
      <c r="F229" s="736"/>
      <c r="G229" s="735"/>
      <c r="H229" s="735"/>
      <c r="I229" s="735"/>
      <c r="J229" s="735"/>
      <c r="K229" s="735"/>
      <c r="L229" s="735"/>
      <c r="M229" s="735"/>
      <c r="N229" s="735"/>
      <c r="O229" s="19"/>
      <c r="P229" s="19"/>
      <c r="Q229" s="19"/>
      <c r="R229" s="19"/>
      <c r="S229" s="19"/>
      <c r="T229" s="19"/>
      <c r="U229" s="19"/>
      <c r="V229" s="19"/>
      <c r="W229" s="19"/>
      <c r="X229" s="19"/>
      <c r="Y229" s="19"/>
      <c r="Z229" s="19"/>
      <c r="AA229" s="19"/>
      <c r="AB229" s="19"/>
      <c r="FE229" s="54"/>
    </row>
    <row r="230" spans="1:161" s="18" customFormat="1">
      <c r="A230" s="51"/>
      <c r="B230" s="735"/>
      <c r="C230" s="735"/>
      <c r="D230" s="735"/>
      <c r="E230" s="735"/>
      <c r="F230" s="736"/>
      <c r="G230" s="735"/>
      <c r="H230" s="735"/>
      <c r="I230" s="735"/>
      <c r="J230" s="735"/>
      <c r="K230" s="735"/>
      <c r="L230" s="735"/>
      <c r="M230" s="735"/>
      <c r="N230" s="735"/>
      <c r="O230" s="19"/>
      <c r="P230" s="19"/>
      <c r="Q230" s="19"/>
      <c r="R230" s="19"/>
      <c r="S230" s="19"/>
      <c r="T230" s="19"/>
      <c r="U230" s="19"/>
      <c r="V230" s="19"/>
      <c r="W230" s="19"/>
      <c r="X230" s="19"/>
      <c r="Y230" s="19"/>
      <c r="Z230" s="19"/>
      <c r="AA230" s="19"/>
      <c r="AB230" s="19"/>
      <c r="FE230" s="54"/>
    </row>
    <row r="231" spans="1:161" s="18" customFormat="1">
      <c r="A231" s="51"/>
      <c r="B231" s="735"/>
      <c r="C231" s="735"/>
      <c r="D231" s="735"/>
      <c r="E231" s="735"/>
      <c r="F231" s="736"/>
      <c r="G231" s="735"/>
      <c r="H231" s="735"/>
      <c r="I231" s="735"/>
      <c r="J231" s="735"/>
      <c r="K231" s="735"/>
      <c r="L231" s="735"/>
      <c r="M231" s="735"/>
      <c r="N231" s="735"/>
      <c r="O231" s="19"/>
      <c r="P231" s="19"/>
      <c r="Q231" s="19"/>
      <c r="R231" s="19"/>
      <c r="S231" s="19"/>
      <c r="T231" s="19"/>
      <c r="U231" s="19"/>
      <c r="V231" s="19"/>
      <c r="W231" s="19"/>
      <c r="X231" s="19"/>
      <c r="Y231" s="19"/>
      <c r="Z231" s="19"/>
      <c r="AA231" s="19"/>
      <c r="AB231" s="19"/>
      <c r="FE231" s="54"/>
    </row>
    <row r="232" spans="1:161" s="18" customFormat="1">
      <c r="A232" s="51"/>
      <c r="B232" s="735"/>
      <c r="C232" s="735"/>
      <c r="D232" s="735"/>
      <c r="E232" s="735"/>
      <c r="F232" s="736"/>
      <c r="G232" s="735"/>
      <c r="H232" s="735"/>
      <c r="I232" s="735"/>
      <c r="J232" s="735"/>
      <c r="K232" s="735"/>
      <c r="L232" s="735"/>
      <c r="M232" s="735"/>
      <c r="N232" s="735"/>
      <c r="O232" s="19"/>
      <c r="P232" s="19"/>
      <c r="Q232" s="19"/>
      <c r="R232" s="19"/>
      <c r="S232" s="19"/>
      <c r="T232" s="19"/>
      <c r="U232" s="19"/>
      <c r="V232" s="19"/>
      <c r="W232" s="19"/>
      <c r="X232" s="19"/>
      <c r="Y232" s="19"/>
      <c r="Z232" s="19"/>
      <c r="AA232" s="19"/>
      <c r="AB232" s="19"/>
      <c r="FE232" s="54"/>
    </row>
    <row r="233" spans="1:161" s="18" customFormat="1">
      <c r="A233" s="51"/>
      <c r="B233" s="735"/>
      <c r="C233" s="735"/>
      <c r="D233" s="735"/>
      <c r="E233" s="735"/>
      <c r="F233" s="736"/>
      <c r="G233" s="735"/>
      <c r="H233" s="735"/>
      <c r="I233" s="735"/>
      <c r="J233" s="735"/>
      <c r="K233" s="735"/>
      <c r="L233" s="735"/>
      <c r="M233" s="735"/>
      <c r="N233" s="735"/>
      <c r="O233" s="19"/>
      <c r="P233" s="19"/>
      <c r="Q233" s="19"/>
      <c r="R233" s="19"/>
      <c r="S233" s="19"/>
      <c r="T233" s="19"/>
      <c r="U233" s="19"/>
      <c r="V233" s="19"/>
      <c r="W233" s="19"/>
      <c r="X233" s="19"/>
      <c r="Y233" s="19"/>
      <c r="Z233" s="19"/>
      <c r="AA233" s="19"/>
      <c r="AB233" s="19"/>
      <c r="FE233" s="54"/>
    </row>
    <row r="234" spans="1:161" s="18" customFormat="1">
      <c r="A234" s="51"/>
      <c r="B234" s="735"/>
      <c r="C234" s="735"/>
      <c r="D234" s="735"/>
      <c r="E234" s="735"/>
      <c r="F234" s="736"/>
      <c r="G234" s="735"/>
      <c r="H234" s="735"/>
      <c r="I234" s="735"/>
      <c r="J234" s="735"/>
      <c r="K234" s="735"/>
      <c r="L234" s="735"/>
      <c r="M234" s="735"/>
      <c r="N234" s="735"/>
      <c r="O234" s="19"/>
      <c r="P234" s="19"/>
      <c r="Q234" s="19"/>
      <c r="R234" s="19"/>
      <c r="S234" s="19"/>
      <c r="T234" s="19"/>
      <c r="U234" s="19"/>
      <c r="V234" s="19"/>
      <c r="W234" s="19"/>
      <c r="X234" s="19"/>
      <c r="Y234" s="19"/>
      <c r="Z234" s="19"/>
      <c r="AA234" s="19"/>
      <c r="AB234" s="19"/>
      <c r="FE234" s="54"/>
    </row>
    <row r="235" spans="1:161" s="18" customFormat="1">
      <c r="A235" s="51"/>
      <c r="B235" s="735"/>
      <c r="C235" s="735"/>
      <c r="D235" s="735"/>
      <c r="E235" s="735"/>
      <c r="F235" s="736"/>
      <c r="G235" s="735"/>
      <c r="H235" s="735"/>
      <c r="I235" s="735"/>
      <c r="J235" s="735"/>
      <c r="K235" s="735"/>
      <c r="L235" s="735"/>
      <c r="M235" s="735"/>
      <c r="N235" s="735"/>
      <c r="O235" s="19"/>
      <c r="P235" s="19"/>
      <c r="Q235" s="19"/>
      <c r="R235" s="19"/>
      <c r="S235" s="19"/>
      <c r="T235" s="19"/>
      <c r="U235" s="19"/>
      <c r="V235" s="19"/>
      <c r="W235" s="19"/>
      <c r="X235" s="19"/>
      <c r="Y235" s="19"/>
      <c r="Z235" s="19"/>
      <c r="AA235" s="19"/>
      <c r="AB235" s="19"/>
      <c r="FE235" s="54"/>
    </row>
    <row r="236" spans="1:161" s="18" customFormat="1">
      <c r="A236" s="51"/>
      <c r="B236" s="735"/>
      <c r="C236" s="735"/>
      <c r="D236" s="735"/>
      <c r="E236" s="735"/>
      <c r="F236" s="736"/>
      <c r="G236" s="735"/>
      <c r="H236" s="735"/>
      <c r="I236" s="735"/>
      <c r="J236" s="735"/>
      <c r="K236" s="735"/>
      <c r="L236" s="735"/>
      <c r="M236" s="735"/>
      <c r="N236" s="735"/>
      <c r="O236" s="19"/>
      <c r="P236" s="19"/>
      <c r="Q236" s="19"/>
      <c r="R236" s="19"/>
      <c r="S236" s="19"/>
      <c r="T236" s="19"/>
      <c r="U236" s="19"/>
      <c r="V236" s="19"/>
      <c r="W236" s="19"/>
      <c r="X236" s="19"/>
      <c r="Y236" s="19"/>
      <c r="Z236" s="19"/>
      <c r="AA236" s="19"/>
      <c r="AB236" s="19"/>
      <c r="FE236" s="54"/>
    </row>
    <row r="237" spans="1:161" s="18" customFormat="1">
      <c r="A237" s="51"/>
      <c r="B237" s="735"/>
      <c r="C237" s="735"/>
      <c r="D237" s="735"/>
      <c r="E237" s="735"/>
      <c r="F237" s="736"/>
      <c r="G237" s="735"/>
      <c r="H237" s="735"/>
      <c r="I237" s="735"/>
      <c r="J237" s="735"/>
      <c r="K237" s="735"/>
      <c r="L237" s="735"/>
      <c r="M237" s="735"/>
      <c r="N237" s="735"/>
      <c r="O237" s="19"/>
      <c r="P237" s="19"/>
      <c r="Q237" s="19"/>
      <c r="R237" s="19"/>
      <c r="S237" s="19"/>
      <c r="T237" s="19"/>
      <c r="U237" s="19"/>
      <c r="V237" s="19"/>
      <c r="W237" s="19"/>
      <c r="X237" s="19"/>
      <c r="Y237" s="19"/>
      <c r="Z237" s="19"/>
      <c r="AA237" s="19"/>
      <c r="AB237" s="19"/>
      <c r="FE237" s="54"/>
    </row>
    <row r="238" spans="1:161" s="18" customFormat="1">
      <c r="A238" s="51"/>
      <c r="B238" s="735"/>
      <c r="C238" s="735"/>
      <c r="D238" s="735"/>
      <c r="E238" s="735"/>
      <c r="F238" s="736"/>
      <c r="G238" s="735"/>
      <c r="H238" s="735"/>
      <c r="I238" s="735"/>
      <c r="J238" s="735"/>
      <c r="K238" s="735"/>
      <c r="L238" s="735"/>
      <c r="M238" s="735"/>
      <c r="N238" s="735"/>
      <c r="O238" s="19"/>
      <c r="P238" s="19"/>
      <c r="Q238" s="19"/>
      <c r="R238" s="19"/>
      <c r="S238" s="19"/>
      <c r="T238" s="19"/>
      <c r="U238" s="19"/>
      <c r="V238" s="19"/>
      <c r="W238" s="19"/>
      <c r="X238" s="19"/>
      <c r="Y238" s="19"/>
      <c r="Z238" s="19"/>
      <c r="AA238" s="19"/>
      <c r="AB238" s="19"/>
      <c r="FE238" s="54"/>
    </row>
    <row r="239" spans="1:161" s="18" customFormat="1">
      <c r="A239" s="51"/>
      <c r="B239" s="735"/>
      <c r="C239" s="735"/>
      <c r="D239" s="735"/>
      <c r="E239" s="735"/>
      <c r="F239" s="736"/>
      <c r="G239" s="735"/>
      <c r="H239" s="735"/>
      <c r="I239" s="735"/>
      <c r="J239" s="735"/>
      <c r="K239" s="735"/>
      <c r="L239" s="735"/>
      <c r="M239" s="735"/>
      <c r="N239" s="735"/>
      <c r="O239" s="19"/>
      <c r="P239" s="19"/>
      <c r="Q239" s="19"/>
      <c r="R239" s="19"/>
      <c r="S239" s="19"/>
      <c r="T239" s="19"/>
      <c r="U239" s="19"/>
      <c r="V239" s="19"/>
      <c r="W239" s="19"/>
      <c r="X239" s="19"/>
      <c r="Y239" s="19"/>
      <c r="Z239" s="19"/>
      <c r="AA239" s="19"/>
      <c r="AB239" s="19"/>
      <c r="FE239" s="54"/>
    </row>
    <row r="240" spans="1:161" s="18" customFormat="1">
      <c r="A240" s="51"/>
      <c r="B240" s="735"/>
      <c r="C240" s="735"/>
      <c r="D240" s="735"/>
      <c r="E240" s="735"/>
      <c r="F240" s="736"/>
      <c r="G240" s="735"/>
      <c r="H240" s="735"/>
      <c r="I240" s="735"/>
      <c r="J240" s="735"/>
      <c r="K240" s="735"/>
      <c r="L240" s="735"/>
      <c r="M240" s="735"/>
      <c r="N240" s="735"/>
      <c r="O240" s="19"/>
      <c r="P240" s="19"/>
      <c r="Q240" s="19"/>
      <c r="R240" s="19"/>
      <c r="S240" s="19"/>
      <c r="T240" s="19"/>
      <c r="U240" s="19"/>
      <c r="V240" s="19"/>
      <c r="W240" s="19"/>
      <c r="X240" s="19"/>
      <c r="Y240" s="19"/>
      <c r="Z240" s="19"/>
      <c r="AA240" s="19"/>
      <c r="AB240" s="19"/>
      <c r="FE240" s="54"/>
    </row>
    <row r="241" spans="1:161" s="18" customFormat="1">
      <c r="A241" s="51"/>
      <c r="B241" s="735"/>
      <c r="C241" s="735"/>
      <c r="D241" s="735"/>
      <c r="E241" s="735"/>
      <c r="F241" s="736"/>
      <c r="G241" s="735"/>
      <c r="H241" s="735"/>
      <c r="I241" s="735"/>
      <c r="J241" s="735"/>
      <c r="K241" s="735"/>
      <c r="L241" s="735"/>
      <c r="M241" s="735"/>
      <c r="N241" s="735"/>
      <c r="O241" s="19"/>
      <c r="P241" s="19"/>
      <c r="Q241" s="19"/>
      <c r="R241" s="19"/>
      <c r="S241" s="19"/>
      <c r="T241" s="19"/>
      <c r="U241" s="19"/>
      <c r="V241" s="19"/>
      <c r="W241" s="19"/>
      <c r="X241" s="19"/>
      <c r="Y241" s="19"/>
      <c r="Z241" s="19"/>
      <c r="AA241" s="19"/>
      <c r="AB241" s="19"/>
      <c r="FE241" s="54"/>
    </row>
    <row r="242" spans="1:161" s="18" customFormat="1">
      <c r="A242" s="51"/>
      <c r="B242" s="735"/>
      <c r="C242" s="735"/>
      <c r="D242" s="735"/>
      <c r="E242" s="735"/>
      <c r="F242" s="736"/>
      <c r="G242" s="735"/>
      <c r="H242" s="735"/>
      <c r="I242" s="735"/>
      <c r="J242" s="735"/>
      <c r="K242" s="735"/>
      <c r="L242" s="735"/>
      <c r="M242" s="735"/>
      <c r="N242" s="735"/>
      <c r="O242" s="19"/>
      <c r="P242" s="19"/>
      <c r="Q242" s="19"/>
      <c r="R242" s="19"/>
      <c r="S242" s="19"/>
      <c r="T242" s="19"/>
      <c r="U242" s="19"/>
      <c r="V242" s="19"/>
      <c r="W242" s="19"/>
      <c r="X242" s="19"/>
      <c r="Y242" s="19"/>
      <c r="Z242" s="19"/>
      <c r="AA242" s="19"/>
      <c r="AB242" s="19"/>
      <c r="FE242" s="54"/>
    </row>
    <row r="243" spans="1:161" s="18" customFormat="1">
      <c r="A243" s="51"/>
      <c r="B243" s="735"/>
      <c r="C243" s="735"/>
      <c r="D243" s="735"/>
      <c r="E243" s="735"/>
      <c r="F243" s="736"/>
      <c r="G243" s="735"/>
      <c r="H243" s="735"/>
      <c r="I243" s="735"/>
      <c r="J243" s="735"/>
      <c r="K243" s="735"/>
      <c r="L243" s="735"/>
      <c r="M243" s="735"/>
      <c r="N243" s="735"/>
      <c r="O243" s="19"/>
      <c r="P243" s="19"/>
      <c r="Q243" s="19"/>
      <c r="R243" s="19"/>
      <c r="S243" s="19"/>
      <c r="T243" s="19"/>
      <c r="U243" s="19"/>
      <c r="V243" s="19"/>
      <c r="W243" s="19"/>
      <c r="X243" s="19"/>
      <c r="Y243" s="19"/>
      <c r="Z243" s="19"/>
      <c r="AA243" s="19"/>
      <c r="AB243" s="19"/>
      <c r="FE243" s="54"/>
    </row>
    <row r="244" spans="1:161" s="18" customFormat="1">
      <c r="A244" s="51"/>
      <c r="B244" s="735"/>
      <c r="C244" s="735"/>
      <c r="D244" s="735"/>
      <c r="E244" s="735"/>
      <c r="F244" s="736"/>
      <c r="G244" s="735"/>
      <c r="H244" s="735"/>
      <c r="I244" s="735"/>
      <c r="J244" s="735"/>
      <c r="K244" s="735"/>
      <c r="L244" s="735"/>
      <c r="M244" s="735"/>
      <c r="N244" s="735"/>
      <c r="O244" s="19"/>
      <c r="P244" s="19"/>
      <c r="Q244" s="19"/>
      <c r="R244" s="19"/>
      <c r="S244" s="19"/>
      <c r="T244" s="19"/>
      <c r="U244" s="19"/>
      <c r="V244" s="19"/>
      <c r="W244" s="19"/>
      <c r="X244" s="19"/>
      <c r="Y244" s="19"/>
      <c r="Z244" s="19"/>
      <c r="AA244" s="19"/>
      <c r="AB244" s="19"/>
      <c r="FE244" s="54"/>
    </row>
    <row r="245" spans="1:161" s="18" customFormat="1">
      <c r="A245" s="51"/>
      <c r="B245" s="735"/>
      <c r="C245" s="735"/>
      <c r="D245" s="735"/>
      <c r="E245" s="735"/>
      <c r="F245" s="736"/>
      <c r="G245" s="735"/>
      <c r="H245" s="735"/>
      <c r="I245" s="735"/>
      <c r="J245" s="735"/>
      <c r="K245" s="735"/>
      <c r="L245" s="735"/>
      <c r="M245" s="735"/>
      <c r="N245" s="735"/>
      <c r="O245" s="19"/>
      <c r="P245" s="19"/>
      <c r="Q245" s="19"/>
      <c r="R245" s="19"/>
      <c r="S245" s="19"/>
      <c r="T245" s="19"/>
      <c r="U245" s="19"/>
      <c r="V245" s="19"/>
      <c r="W245" s="19"/>
      <c r="X245" s="19"/>
      <c r="Y245" s="19"/>
      <c r="Z245" s="19"/>
      <c r="AA245" s="19"/>
      <c r="AB245" s="19"/>
      <c r="FE245" s="54"/>
    </row>
    <row r="246" spans="1:161" s="18" customFormat="1">
      <c r="A246" s="51"/>
      <c r="B246" s="735"/>
      <c r="C246" s="735"/>
      <c r="D246" s="735"/>
      <c r="E246" s="735"/>
      <c r="F246" s="736"/>
      <c r="G246" s="735"/>
      <c r="H246" s="735"/>
      <c r="I246" s="735"/>
      <c r="J246" s="735"/>
      <c r="K246" s="735"/>
      <c r="L246" s="735"/>
      <c r="M246" s="735"/>
      <c r="N246" s="735"/>
      <c r="O246" s="19"/>
      <c r="P246" s="19"/>
      <c r="Q246" s="19"/>
      <c r="R246" s="19"/>
      <c r="S246" s="19"/>
      <c r="T246" s="19"/>
      <c r="U246" s="19"/>
      <c r="V246" s="19"/>
      <c r="W246" s="19"/>
      <c r="X246" s="19"/>
      <c r="Y246" s="19"/>
      <c r="Z246" s="19"/>
      <c r="AA246" s="19"/>
      <c r="AB246" s="19"/>
      <c r="FE246" s="54"/>
    </row>
    <row r="247" spans="1:161" s="18" customFormat="1">
      <c r="A247" s="51"/>
      <c r="B247" s="735"/>
      <c r="C247" s="735"/>
      <c r="D247" s="735"/>
      <c r="E247" s="735"/>
      <c r="F247" s="736"/>
      <c r="G247" s="735"/>
      <c r="H247" s="735"/>
      <c r="I247" s="735"/>
      <c r="J247" s="735"/>
      <c r="K247" s="735"/>
      <c r="L247" s="735"/>
      <c r="M247" s="735"/>
      <c r="N247" s="735"/>
      <c r="O247" s="19"/>
      <c r="P247" s="19"/>
      <c r="Q247" s="19"/>
      <c r="R247" s="19"/>
      <c r="S247" s="19"/>
      <c r="T247" s="19"/>
      <c r="U247" s="19"/>
      <c r="V247" s="19"/>
      <c r="W247" s="19"/>
      <c r="X247" s="19"/>
      <c r="Y247" s="19"/>
      <c r="Z247" s="19"/>
      <c r="AA247" s="19"/>
      <c r="AB247" s="19"/>
      <c r="FE247" s="54"/>
    </row>
    <row r="248" spans="1:161" s="18" customFormat="1">
      <c r="A248" s="51"/>
      <c r="B248" s="735"/>
      <c r="C248" s="735"/>
      <c r="D248" s="735"/>
      <c r="E248" s="735"/>
      <c r="F248" s="736"/>
      <c r="G248" s="735"/>
      <c r="H248" s="735"/>
      <c r="I248" s="735"/>
      <c r="J248" s="735"/>
      <c r="K248" s="735"/>
      <c r="L248" s="735"/>
      <c r="M248" s="735"/>
      <c r="N248" s="735"/>
      <c r="O248" s="19"/>
      <c r="P248" s="19"/>
      <c r="Q248" s="19"/>
      <c r="R248" s="19"/>
      <c r="S248" s="19"/>
      <c r="T248" s="19"/>
      <c r="U248" s="19"/>
      <c r="V248" s="19"/>
      <c r="W248" s="19"/>
      <c r="X248" s="19"/>
      <c r="Y248" s="19"/>
      <c r="Z248" s="19"/>
      <c r="AA248" s="19"/>
      <c r="AB248" s="19"/>
      <c r="FE248" s="54"/>
    </row>
    <row r="249" spans="1:161" s="18" customFormat="1">
      <c r="A249" s="51"/>
      <c r="B249" s="735"/>
      <c r="C249" s="735"/>
      <c r="D249" s="735"/>
      <c r="E249" s="735"/>
      <c r="F249" s="736"/>
      <c r="G249" s="735"/>
      <c r="H249" s="735"/>
      <c r="I249" s="735"/>
      <c r="J249" s="735"/>
      <c r="K249" s="735"/>
      <c r="L249" s="735"/>
      <c r="M249" s="735"/>
      <c r="N249" s="735"/>
      <c r="O249" s="19"/>
      <c r="P249" s="19"/>
      <c r="Q249" s="19"/>
      <c r="R249" s="19"/>
      <c r="S249" s="19"/>
      <c r="T249" s="19"/>
      <c r="U249" s="19"/>
      <c r="V249" s="19"/>
      <c r="W249" s="19"/>
      <c r="X249" s="19"/>
      <c r="Y249" s="19"/>
      <c r="Z249" s="19"/>
      <c r="AA249" s="19"/>
      <c r="AB249" s="19"/>
      <c r="FE249" s="54"/>
    </row>
    <row r="250" spans="1:161" s="18" customFormat="1">
      <c r="A250" s="51"/>
      <c r="B250" s="735"/>
      <c r="C250" s="735"/>
      <c r="D250" s="735"/>
      <c r="E250" s="735"/>
      <c r="F250" s="736"/>
      <c r="G250" s="735"/>
      <c r="H250" s="735"/>
      <c r="I250" s="735"/>
      <c r="J250" s="735"/>
      <c r="K250" s="735"/>
      <c r="L250" s="735"/>
      <c r="M250" s="735"/>
      <c r="N250" s="735"/>
      <c r="O250" s="19"/>
      <c r="P250" s="19"/>
      <c r="Q250" s="19"/>
      <c r="R250" s="19"/>
      <c r="S250" s="19"/>
      <c r="T250" s="19"/>
      <c r="U250" s="19"/>
      <c r="V250" s="19"/>
      <c r="W250" s="19"/>
      <c r="X250" s="19"/>
      <c r="Y250" s="19"/>
      <c r="Z250" s="19"/>
      <c r="AA250" s="19"/>
      <c r="AB250" s="19"/>
      <c r="FE250" s="54"/>
    </row>
    <row r="251" spans="1:161" s="18" customFormat="1">
      <c r="A251" s="51"/>
      <c r="B251" s="735"/>
      <c r="C251" s="735"/>
      <c r="D251" s="735"/>
      <c r="E251" s="735"/>
      <c r="F251" s="736"/>
      <c r="G251" s="735"/>
      <c r="H251" s="735"/>
      <c r="I251" s="735"/>
      <c r="J251" s="735"/>
      <c r="K251" s="735"/>
      <c r="L251" s="735"/>
      <c r="M251" s="735"/>
      <c r="N251" s="735"/>
      <c r="O251" s="19"/>
      <c r="P251" s="19"/>
      <c r="Q251" s="19"/>
      <c r="R251" s="19"/>
      <c r="S251" s="19"/>
      <c r="T251" s="19"/>
      <c r="U251" s="19"/>
      <c r="V251" s="19"/>
      <c r="W251" s="19"/>
      <c r="X251" s="19"/>
      <c r="Y251" s="19"/>
      <c r="Z251" s="19"/>
      <c r="AA251" s="19"/>
      <c r="AB251" s="19"/>
      <c r="FE251" s="54"/>
    </row>
    <row r="252" spans="1:161" s="18" customFormat="1">
      <c r="A252" s="51"/>
      <c r="B252" s="735"/>
      <c r="C252" s="735"/>
      <c r="D252" s="735"/>
      <c r="E252" s="735"/>
      <c r="F252" s="736"/>
      <c r="G252" s="735"/>
      <c r="H252" s="735"/>
      <c r="I252" s="735"/>
      <c r="J252" s="735"/>
      <c r="K252" s="735"/>
      <c r="L252" s="735"/>
      <c r="M252" s="735"/>
      <c r="N252" s="735"/>
      <c r="O252" s="19"/>
      <c r="P252" s="19"/>
      <c r="Q252" s="19"/>
      <c r="R252" s="19"/>
      <c r="S252" s="19"/>
      <c r="T252" s="19"/>
      <c r="U252" s="19"/>
      <c r="V252" s="19"/>
      <c r="W252" s="19"/>
      <c r="X252" s="19"/>
      <c r="Y252" s="19"/>
      <c r="Z252" s="19"/>
      <c r="AA252" s="19"/>
      <c r="AB252" s="19"/>
      <c r="FE252" s="54"/>
    </row>
    <row r="253" spans="1:161" s="18" customFormat="1">
      <c r="A253" s="51"/>
      <c r="B253" s="735"/>
      <c r="C253" s="735"/>
      <c r="D253" s="735"/>
      <c r="E253" s="735"/>
      <c r="F253" s="736"/>
      <c r="G253" s="735"/>
      <c r="H253" s="735"/>
      <c r="I253" s="735"/>
      <c r="J253" s="735"/>
      <c r="K253" s="735"/>
      <c r="L253" s="735"/>
      <c r="M253" s="735"/>
      <c r="N253" s="735"/>
      <c r="O253" s="19"/>
      <c r="P253" s="19"/>
      <c r="Q253" s="19"/>
      <c r="R253" s="19"/>
      <c r="S253" s="19"/>
      <c r="T253" s="19"/>
      <c r="U253" s="19"/>
      <c r="V253" s="19"/>
      <c r="W253" s="19"/>
      <c r="X253" s="19"/>
      <c r="Y253" s="19"/>
      <c r="Z253" s="19"/>
      <c r="AA253" s="19"/>
      <c r="AB253" s="19"/>
      <c r="FE253" s="54"/>
    </row>
    <row r="254" spans="1:161" s="18" customFormat="1">
      <c r="A254" s="51"/>
      <c r="B254" s="735"/>
      <c r="C254" s="735"/>
      <c r="D254" s="735"/>
      <c r="E254" s="735"/>
      <c r="F254" s="736"/>
      <c r="G254" s="735"/>
      <c r="H254" s="735"/>
      <c r="I254" s="735"/>
      <c r="J254" s="735"/>
      <c r="K254" s="735"/>
      <c r="L254" s="735"/>
      <c r="M254" s="735"/>
      <c r="N254" s="735"/>
      <c r="O254" s="19"/>
      <c r="P254" s="19"/>
      <c r="Q254" s="19"/>
      <c r="R254" s="19"/>
      <c r="S254" s="19"/>
      <c r="T254" s="19"/>
      <c r="U254" s="19"/>
      <c r="V254" s="19"/>
      <c r="W254" s="19"/>
      <c r="X254" s="19"/>
      <c r="Y254" s="19"/>
      <c r="Z254" s="19"/>
      <c r="AA254" s="19"/>
      <c r="AB254" s="19"/>
      <c r="FE254" s="54"/>
    </row>
    <row r="255" spans="1:161" s="18" customFormat="1">
      <c r="A255" s="51"/>
      <c r="B255" s="735"/>
      <c r="C255" s="735"/>
      <c r="D255" s="735"/>
      <c r="E255" s="735"/>
      <c r="F255" s="736"/>
      <c r="G255" s="735"/>
      <c r="H255" s="735"/>
      <c r="I255" s="735"/>
      <c r="J255" s="735"/>
      <c r="K255" s="735"/>
      <c r="L255" s="735"/>
      <c r="M255" s="735"/>
      <c r="N255" s="735"/>
      <c r="O255" s="19"/>
      <c r="P255" s="19"/>
      <c r="Q255" s="19"/>
      <c r="R255" s="19"/>
      <c r="S255" s="19"/>
      <c r="T255" s="19"/>
      <c r="U255" s="19"/>
      <c r="V255" s="19"/>
      <c r="W255" s="19"/>
      <c r="X255" s="19"/>
      <c r="Y255" s="19"/>
      <c r="Z255" s="19"/>
      <c r="AA255" s="19"/>
      <c r="AB255" s="19"/>
      <c r="FE255" s="54"/>
    </row>
    <row r="256" spans="1:161" s="18" customFormat="1">
      <c r="A256" s="51"/>
      <c r="B256" s="735"/>
      <c r="C256" s="735"/>
      <c r="D256" s="735"/>
      <c r="E256" s="735"/>
      <c r="F256" s="736"/>
      <c r="G256" s="735"/>
      <c r="H256" s="735"/>
      <c r="I256" s="735"/>
      <c r="J256" s="735"/>
      <c r="K256" s="735"/>
      <c r="L256" s="735"/>
      <c r="M256" s="735"/>
      <c r="N256" s="735"/>
      <c r="O256" s="19"/>
      <c r="P256" s="19"/>
      <c r="Q256" s="19"/>
      <c r="R256" s="19"/>
      <c r="S256" s="19"/>
      <c r="T256" s="19"/>
      <c r="U256" s="19"/>
      <c r="V256" s="19"/>
      <c r="W256" s="19"/>
      <c r="X256" s="19"/>
      <c r="Y256" s="19"/>
      <c r="Z256" s="19"/>
      <c r="AA256" s="19"/>
      <c r="AB256" s="19"/>
      <c r="FE256" s="54"/>
    </row>
    <row r="257" spans="1:161" s="18" customFormat="1">
      <c r="A257" s="51"/>
      <c r="B257" s="735"/>
      <c r="C257" s="735"/>
      <c r="D257" s="735"/>
      <c r="E257" s="735"/>
      <c r="F257" s="736"/>
      <c r="G257" s="735"/>
      <c r="H257" s="735"/>
      <c r="I257" s="735"/>
      <c r="J257" s="735"/>
      <c r="K257" s="735"/>
      <c r="L257" s="735"/>
      <c r="M257" s="735"/>
      <c r="N257" s="735"/>
      <c r="O257" s="19"/>
      <c r="P257" s="19"/>
      <c r="Q257" s="19"/>
      <c r="R257" s="19"/>
      <c r="S257" s="19"/>
      <c r="T257" s="19"/>
      <c r="U257" s="19"/>
      <c r="V257" s="19"/>
      <c r="W257" s="19"/>
      <c r="X257" s="19"/>
      <c r="Y257" s="19"/>
      <c r="Z257" s="19"/>
      <c r="AA257" s="19"/>
      <c r="AB257" s="19"/>
      <c r="FE257" s="54"/>
    </row>
    <row r="258" spans="1:161" s="18" customFormat="1">
      <c r="A258" s="51"/>
      <c r="B258" s="735"/>
      <c r="C258" s="735"/>
      <c r="D258" s="735"/>
      <c r="E258" s="735"/>
      <c r="F258" s="736"/>
      <c r="G258" s="735"/>
      <c r="H258" s="735"/>
      <c r="I258" s="735"/>
      <c r="J258" s="735"/>
      <c r="K258" s="735"/>
      <c r="L258" s="735"/>
      <c r="M258" s="735"/>
      <c r="N258" s="735"/>
      <c r="O258" s="19"/>
      <c r="P258" s="19"/>
      <c r="Q258" s="19"/>
      <c r="R258" s="19"/>
      <c r="S258" s="19"/>
      <c r="T258" s="19"/>
      <c r="U258" s="19"/>
      <c r="V258" s="19"/>
      <c r="W258" s="19"/>
      <c r="X258" s="19"/>
      <c r="Y258" s="19"/>
      <c r="Z258" s="19"/>
      <c r="AA258" s="19"/>
      <c r="AB258" s="19"/>
      <c r="FE258" s="54"/>
    </row>
    <row r="259" spans="1:161" s="18" customFormat="1">
      <c r="A259" s="51"/>
      <c r="B259" s="735"/>
      <c r="C259" s="735"/>
      <c r="D259" s="735"/>
      <c r="E259" s="735"/>
      <c r="F259" s="736"/>
      <c r="G259" s="735"/>
      <c r="H259" s="735"/>
      <c r="I259" s="735"/>
      <c r="J259" s="735"/>
      <c r="K259" s="735"/>
      <c r="L259" s="735"/>
      <c r="M259" s="735"/>
      <c r="N259" s="735"/>
      <c r="O259" s="19"/>
      <c r="P259" s="19"/>
      <c r="Q259" s="19"/>
      <c r="R259" s="19"/>
      <c r="S259" s="19"/>
      <c r="T259" s="19"/>
      <c r="U259" s="19"/>
      <c r="V259" s="19"/>
      <c r="W259" s="19"/>
      <c r="X259" s="19"/>
      <c r="Y259" s="19"/>
      <c r="Z259" s="19"/>
      <c r="AA259" s="19"/>
      <c r="AB259" s="19"/>
      <c r="FE259" s="54"/>
    </row>
    <row r="260" spans="1:161" s="18" customFormat="1">
      <c r="A260" s="51"/>
      <c r="B260" s="735"/>
      <c r="C260" s="735"/>
      <c r="D260" s="735"/>
      <c r="E260" s="735"/>
      <c r="F260" s="736"/>
      <c r="G260" s="735"/>
      <c r="H260" s="735"/>
      <c r="I260" s="735"/>
      <c r="J260" s="735"/>
      <c r="K260" s="735"/>
      <c r="L260" s="735"/>
      <c r="M260" s="735"/>
      <c r="N260" s="735"/>
      <c r="O260" s="19"/>
      <c r="P260" s="19"/>
      <c r="Q260" s="19"/>
      <c r="R260" s="19"/>
      <c r="S260" s="19"/>
      <c r="T260" s="19"/>
      <c r="U260" s="19"/>
      <c r="V260" s="19"/>
      <c r="W260" s="19"/>
      <c r="X260" s="19"/>
      <c r="Y260" s="19"/>
      <c r="Z260" s="19"/>
      <c r="AA260" s="19"/>
      <c r="AB260" s="19"/>
      <c r="FE260" s="54"/>
    </row>
    <row r="261" spans="1:161" s="18" customFormat="1">
      <c r="A261" s="51"/>
      <c r="B261" s="735"/>
      <c r="C261" s="735"/>
      <c r="D261" s="735"/>
      <c r="E261" s="735"/>
      <c r="F261" s="736"/>
      <c r="G261" s="735"/>
      <c r="H261" s="735"/>
      <c r="I261" s="735"/>
      <c r="J261" s="735"/>
      <c r="K261" s="735"/>
      <c r="L261" s="735"/>
      <c r="M261" s="735"/>
      <c r="N261" s="735"/>
      <c r="O261" s="19"/>
      <c r="P261" s="19"/>
      <c r="Q261" s="19"/>
      <c r="R261" s="19"/>
      <c r="S261" s="19"/>
      <c r="T261" s="19"/>
      <c r="U261" s="19"/>
      <c r="V261" s="19"/>
      <c r="W261" s="19"/>
      <c r="X261" s="19"/>
      <c r="Y261" s="19"/>
      <c r="Z261" s="19"/>
      <c r="AA261" s="19"/>
      <c r="AB261" s="19"/>
      <c r="FE261" s="54"/>
    </row>
    <row r="262" spans="1:161" s="18" customFormat="1">
      <c r="A262" s="51"/>
      <c r="B262" s="735"/>
      <c r="C262" s="735"/>
      <c r="D262" s="735"/>
      <c r="E262" s="735"/>
      <c r="F262" s="736"/>
      <c r="G262" s="735"/>
      <c r="H262" s="735"/>
      <c r="I262" s="735"/>
      <c r="J262" s="735"/>
      <c r="K262" s="735"/>
      <c r="L262" s="735"/>
      <c r="M262" s="735"/>
      <c r="N262" s="735"/>
      <c r="O262" s="19"/>
      <c r="P262" s="19"/>
      <c r="Q262" s="19"/>
      <c r="R262" s="19"/>
      <c r="S262" s="19"/>
      <c r="T262" s="19"/>
      <c r="U262" s="19"/>
      <c r="V262" s="19"/>
      <c r="W262" s="19"/>
      <c r="X262" s="19"/>
      <c r="Y262" s="19"/>
      <c r="Z262" s="19"/>
      <c r="AA262" s="19"/>
      <c r="AB262" s="19"/>
      <c r="FE262" s="54"/>
    </row>
    <row r="263" spans="1:161" s="18" customFormat="1">
      <c r="A263" s="51"/>
      <c r="B263" s="735"/>
      <c r="C263" s="735"/>
      <c r="D263" s="735"/>
      <c r="E263" s="735"/>
      <c r="F263" s="736"/>
      <c r="G263" s="735"/>
      <c r="H263" s="735"/>
      <c r="I263" s="735"/>
      <c r="J263" s="735"/>
      <c r="K263" s="735"/>
      <c r="L263" s="735"/>
      <c r="M263" s="735"/>
      <c r="N263" s="735"/>
      <c r="O263" s="19"/>
      <c r="P263" s="19"/>
      <c r="Q263" s="19"/>
      <c r="R263" s="19"/>
      <c r="S263" s="19"/>
      <c r="T263" s="19"/>
      <c r="U263" s="19"/>
      <c r="V263" s="19"/>
      <c r="W263" s="19"/>
      <c r="X263" s="19"/>
      <c r="Y263" s="19"/>
      <c r="Z263" s="19"/>
      <c r="AA263" s="19"/>
      <c r="AB263" s="19"/>
      <c r="FE263" s="54"/>
    </row>
    <row r="264" spans="1:161" s="18" customFormat="1">
      <c r="A264" s="51"/>
      <c r="B264" s="735"/>
      <c r="C264" s="735"/>
      <c r="D264" s="735"/>
      <c r="E264" s="735"/>
      <c r="F264" s="736"/>
      <c r="G264" s="735"/>
      <c r="H264" s="735"/>
      <c r="I264" s="735"/>
      <c r="J264" s="735"/>
      <c r="K264" s="735"/>
      <c r="L264" s="735"/>
      <c r="M264" s="735"/>
      <c r="N264" s="735"/>
      <c r="O264" s="19"/>
      <c r="P264" s="19"/>
      <c r="Q264" s="19"/>
      <c r="R264" s="19"/>
      <c r="S264" s="19"/>
      <c r="T264" s="19"/>
      <c r="U264" s="19"/>
      <c r="V264" s="19"/>
      <c r="W264" s="19"/>
      <c r="X264" s="19"/>
      <c r="Y264" s="19"/>
      <c r="Z264" s="19"/>
      <c r="AA264" s="19"/>
      <c r="AB264" s="19"/>
      <c r="FE264" s="54"/>
    </row>
    <row r="265" spans="1:161" s="18" customFormat="1">
      <c r="A265" s="51"/>
      <c r="B265" s="735"/>
      <c r="C265" s="735"/>
      <c r="D265" s="735"/>
      <c r="E265" s="735"/>
      <c r="F265" s="736"/>
      <c r="G265" s="735"/>
      <c r="H265" s="735"/>
      <c r="I265" s="735"/>
      <c r="J265" s="735"/>
      <c r="K265" s="735"/>
      <c r="L265" s="735"/>
      <c r="M265" s="735"/>
      <c r="N265" s="735"/>
      <c r="O265" s="19"/>
      <c r="P265" s="19"/>
      <c r="Q265" s="19"/>
      <c r="R265" s="19"/>
      <c r="S265" s="19"/>
      <c r="T265" s="19"/>
      <c r="U265" s="19"/>
      <c r="V265" s="19"/>
      <c r="W265" s="19"/>
      <c r="X265" s="19"/>
      <c r="Y265" s="19"/>
      <c r="Z265" s="19"/>
      <c r="AA265" s="19"/>
      <c r="AB265" s="19"/>
      <c r="FE265" s="54"/>
    </row>
    <row r="266" spans="1:161" s="18" customFormat="1">
      <c r="A266" s="51"/>
      <c r="B266" s="735"/>
      <c r="C266" s="735"/>
      <c r="D266" s="735"/>
      <c r="E266" s="735"/>
      <c r="F266" s="736"/>
      <c r="G266" s="735"/>
      <c r="H266" s="735"/>
      <c r="I266" s="735"/>
      <c r="J266" s="735"/>
      <c r="K266" s="735"/>
      <c r="L266" s="735"/>
      <c r="M266" s="735"/>
      <c r="N266" s="735"/>
      <c r="O266" s="19"/>
      <c r="P266" s="19"/>
      <c r="Q266" s="19"/>
      <c r="R266" s="19"/>
      <c r="S266" s="19"/>
      <c r="T266" s="19"/>
      <c r="U266" s="19"/>
      <c r="V266" s="19"/>
      <c r="W266" s="19"/>
      <c r="X266" s="19"/>
      <c r="Y266" s="19"/>
      <c r="Z266" s="19"/>
      <c r="AA266" s="19"/>
      <c r="AB266" s="19"/>
      <c r="FE266" s="54"/>
    </row>
    <row r="267" spans="1:161" s="18" customFormat="1">
      <c r="A267" s="51"/>
      <c r="B267" s="735"/>
      <c r="C267" s="735"/>
      <c r="D267" s="735"/>
      <c r="E267" s="735"/>
      <c r="F267" s="736"/>
      <c r="G267" s="735"/>
      <c r="H267" s="735"/>
      <c r="I267" s="735"/>
      <c r="J267" s="735"/>
      <c r="K267" s="735"/>
      <c r="L267" s="735"/>
      <c r="M267" s="735"/>
      <c r="N267" s="735"/>
      <c r="O267" s="19"/>
      <c r="P267" s="19"/>
      <c r="Q267" s="19"/>
      <c r="R267" s="19"/>
      <c r="S267" s="19"/>
      <c r="T267" s="19"/>
      <c r="U267" s="19"/>
      <c r="V267" s="19"/>
      <c r="W267" s="19"/>
      <c r="X267" s="19"/>
      <c r="Y267" s="19"/>
      <c r="Z267" s="19"/>
      <c r="AA267" s="19"/>
      <c r="AB267" s="19"/>
      <c r="FE267" s="54"/>
    </row>
    <row r="268" spans="1:161" s="18" customFormat="1">
      <c r="A268" s="51"/>
      <c r="B268" s="735"/>
      <c r="C268" s="735"/>
      <c r="D268" s="735"/>
      <c r="E268" s="735"/>
      <c r="F268" s="736"/>
      <c r="G268" s="735"/>
      <c r="H268" s="735"/>
      <c r="I268" s="735"/>
      <c r="J268" s="735"/>
      <c r="K268" s="735"/>
      <c r="L268" s="735"/>
      <c r="M268" s="735"/>
      <c r="N268" s="735"/>
      <c r="O268" s="19"/>
      <c r="P268" s="19"/>
      <c r="Q268" s="19"/>
      <c r="R268" s="19"/>
      <c r="S268" s="19"/>
      <c r="T268" s="19"/>
      <c r="U268" s="19"/>
      <c r="V268" s="19"/>
      <c r="W268" s="19"/>
      <c r="X268" s="19"/>
      <c r="Y268" s="19"/>
      <c r="Z268" s="19"/>
      <c r="AA268" s="19"/>
      <c r="AB268" s="19"/>
      <c r="FE268" s="54"/>
    </row>
    <row r="269" spans="1:161" s="18" customFormat="1">
      <c r="A269" s="51"/>
      <c r="B269" s="735"/>
      <c r="C269" s="735"/>
      <c r="D269" s="735"/>
      <c r="E269" s="735"/>
      <c r="F269" s="736"/>
      <c r="G269" s="735"/>
      <c r="H269" s="735"/>
      <c r="I269" s="735"/>
      <c r="J269" s="735"/>
      <c r="K269" s="735"/>
      <c r="L269" s="735"/>
      <c r="M269" s="735"/>
      <c r="N269" s="735"/>
      <c r="O269" s="19"/>
      <c r="P269" s="19"/>
      <c r="Q269" s="19"/>
      <c r="R269" s="19"/>
      <c r="S269" s="19"/>
      <c r="T269" s="19"/>
      <c r="U269" s="19"/>
      <c r="V269" s="19"/>
      <c r="W269" s="19"/>
      <c r="X269" s="19"/>
      <c r="Y269" s="19"/>
      <c r="Z269" s="19"/>
      <c r="AA269" s="19"/>
      <c r="AB269" s="19"/>
      <c r="FE269" s="54"/>
    </row>
    <row r="270" spans="1:161" s="18" customFormat="1">
      <c r="A270" s="51"/>
      <c r="B270" s="735"/>
      <c r="C270" s="735"/>
      <c r="D270" s="735"/>
      <c r="E270" s="735"/>
      <c r="F270" s="736"/>
      <c r="G270" s="735"/>
      <c r="H270" s="735"/>
      <c r="I270" s="735"/>
      <c r="J270" s="735"/>
      <c r="K270" s="735"/>
      <c r="L270" s="735"/>
      <c r="M270" s="735"/>
      <c r="N270" s="735"/>
      <c r="O270" s="19"/>
      <c r="P270" s="19"/>
      <c r="Q270" s="19"/>
      <c r="R270" s="19"/>
      <c r="S270" s="19"/>
      <c r="T270" s="19"/>
      <c r="U270" s="19"/>
      <c r="V270" s="19"/>
      <c r="W270" s="19"/>
      <c r="X270" s="19"/>
      <c r="Y270" s="19"/>
      <c r="Z270" s="19"/>
      <c r="AA270" s="19"/>
      <c r="AB270" s="19"/>
      <c r="FE270" s="54"/>
    </row>
    <row r="271" spans="1:161" s="18" customFormat="1">
      <c r="A271" s="51"/>
      <c r="B271" s="735"/>
      <c r="C271" s="735"/>
      <c r="D271" s="735"/>
      <c r="E271" s="735"/>
      <c r="F271" s="736"/>
      <c r="G271" s="735"/>
      <c r="H271" s="735"/>
      <c r="I271" s="735"/>
      <c r="J271" s="735"/>
      <c r="K271" s="735"/>
      <c r="L271" s="735"/>
      <c r="M271" s="735"/>
      <c r="N271" s="735"/>
      <c r="O271" s="19"/>
      <c r="P271" s="19"/>
      <c r="Q271" s="19"/>
      <c r="R271" s="19"/>
      <c r="S271" s="19"/>
      <c r="T271" s="19"/>
      <c r="U271" s="19"/>
      <c r="V271" s="19"/>
      <c r="W271" s="19"/>
      <c r="X271" s="19"/>
      <c r="Y271" s="19"/>
      <c r="Z271" s="19"/>
      <c r="AA271" s="19"/>
      <c r="AB271" s="19"/>
      <c r="FE271" s="54"/>
    </row>
    <row r="272" spans="1:161" s="18" customFormat="1">
      <c r="A272" s="51"/>
      <c r="B272" s="735"/>
      <c r="C272" s="735"/>
      <c r="D272" s="735"/>
      <c r="E272" s="735"/>
      <c r="F272" s="736"/>
      <c r="G272" s="735"/>
      <c r="H272" s="735"/>
      <c r="I272" s="735"/>
      <c r="J272" s="735"/>
      <c r="K272" s="735"/>
      <c r="L272" s="735"/>
      <c r="M272" s="735"/>
      <c r="N272" s="735"/>
      <c r="O272" s="19"/>
      <c r="P272" s="19"/>
      <c r="Q272" s="19"/>
      <c r="R272" s="19"/>
      <c r="S272" s="19"/>
      <c r="T272" s="19"/>
      <c r="U272" s="19"/>
      <c r="V272" s="19"/>
      <c r="W272" s="19"/>
      <c r="X272" s="19"/>
      <c r="Y272" s="19"/>
      <c r="Z272" s="19"/>
      <c r="AA272" s="19"/>
      <c r="AB272" s="19"/>
      <c r="FE272" s="54"/>
    </row>
    <row r="273" spans="1:161" s="18" customFormat="1">
      <c r="A273" s="51"/>
      <c r="B273" s="735"/>
      <c r="C273" s="735"/>
      <c r="D273" s="735"/>
      <c r="E273" s="735"/>
      <c r="F273" s="736"/>
      <c r="G273" s="735"/>
      <c r="H273" s="735"/>
      <c r="I273" s="735"/>
      <c r="J273" s="735"/>
      <c r="K273" s="735"/>
      <c r="L273" s="735"/>
      <c r="M273" s="735"/>
      <c r="N273" s="735"/>
      <c r="O273" s="19"/>
      <c r="P273" s="19"/>
      <c r="Q273" s="19"/>
      <c r="R273" s="19"/>
      <c r="S273" s="19"/>
      <c r="T273" s="19"/>
      <c r="U273" s="19"/>
      <c r="V273" s="19"/>
      <c r="W273" s="19"/>
      <c r="X273" s="19"/>
      <c r="Y273" s="19"/>
      <c r="Z273" s="19"/>
      <c r="AA273" s="19"/>
      <c r="AB273" s="19"/>
      <c r="FE273" s="54"/>
    </row>
    <row r="274" spans="1:161" s="18" customFormat="1">
      <c r="A274" s="51"/>
      <c r="B274" s="735"/>
      <c r="C274" s="735"/>
      <c r="D274" s="735"/>
      <c r="E274" s="735"/>
      <c r="F274" s="736"/>
      <c r="G274" s="735"/>
      <c r="H274" s="735"/>
      <c r="I274" s="735"/>
      <c r="J274" s="735"/>
      <c r="K274" s="735"/>
      <c r="L274" s="735"/>
      <c r="M274" s="735"/>
      <c r="N274" s="735"/>
      <c r="O274" s="19"/>
      <c r="P274" s="19"/>
      <c r="Q274" s="19"/>
      <c r="R274" s="19"/>
      <c r="S274" s="19"/>
      <c r="T274" s="19"/>
      <c r="U274" s="19"/>
      <c r="V274" s="19"/>
      <c r="W274" s="19"/>
      <c r="X274" s="19"/>
      <c r="Y274" s="19"/>
      <c r="Z274" s="19"/>
      <c r="AA274" s="19"/>
      <c r="AB274" s="19"/>
      <c r="FE274" s="54"/>
    </row>
    <row r="275" spans="1:161" s="18" customFormat="1">
      <c r="A275" s="51"/>
      <c r="B275" s="735"/>
      <c r="C275" s="735"/>
      <c r="D275" s="735"/>
      <c r="E275" s="735"/>
      <c r="F275" s="736"/>
      <c r="G275" s="735"/>
      <c r="H275" s="735"/>
      <c r="I275" s="735"/>
      <c r="J275" s="735"/>
      <c r="K275" s="735"/>
      <c r="L275" s="735"/>
      <c r="M275" s="735"/>
      <c r="N275" s="735"/>
      <c r="O275" s="19"/>
      <c r="P275" s="19"/>
      <c r="Q275" s="19"/>
      <c r="R275" s="19"/>
      <c r="S275" s="19"/>
      <c r="T275" s="19"/>
      <c r="U275" s="19"/>
      <c r="V275" s="19"/>
      <c r="W275" s="19"/>
      <c r="X275" s="19"/>
      <c r="Y275" s="19"/>
      <c r="Z275" s="19"/>
      <c r="AA275" s="19"/>
      <c r="AB275" s="19"/>
      <c r="FE275" s="54"/>
    </row>
    <row r="276" spans="1:161" s="18" customFormat="1">
      <c r="A276" s="51"/>
      <c r="B276" s="735"/>
      <c r="C276" s="735"/>
      <c r="D276" s="735"/>
      <c r="E276" s="735"/>
      <c r="F276" s="736"/>
      <c r="G276" s="735"/>
      <c r="H276" s="735"/>
      <c r="I276" s="735"/>
      <c r="J276" s="735"/>
      <c r="K276" s="735"/>
      <c r="L276" s="735"/>
      <c r="M276" s="735"/>
      <c r="N276" s="735"/>
      <c r="O276" s="19"/>
      <c r="P276" s="19"/>
      <c r="Q276" s="19"/>
      <c r="R276" s="19"/>
      <c r="S276" s="19"/>
      <c r="T276" s="19"/>
      <c r="U276" s="19"/>
      <c r="V276" s="19"/>
      <c r="W276" s="19"/>
      <c r="X276" s="19"/>
      <c r="Y276" s="19"/>
      <c r="Z276" s="19"/>
      <c r="AA276" s="19"/>
      <c r="AB276" s="19"/>
      <c r="FE276" s="54"/>
    </row>
    <row r="277" spans="1:161" s="18" customFormat="1">
      <c r="A277" s="51"/>
      <c r="B277" s="735"/>
      <c r="C277" s="735"/>
      <c r="D277" s="735"/>
      <c r="E277" s="735"/>
      <c r="F277" s="736"/>
      <c r="G277" s="735"/>
      <c r="H277" s="735"/>
      <c r="I277" s="735"/>
      <c r="J277" s="735"/>
      <c r="K277" s="735"/>
      <c r="L277" s="735"/>
      <c r="M277" s="735"/>
      <c r="N277" s="735"/>
      <c r="O277" s="19"/>
      <c r="P277" s="19"/>
      <c r="Q277" s="19"/>
      <c r="R277" s="19"/>
      <c r="S277" s="19"/>
      <c r="T277" s="19"/>
      <c r="U277" s="19"/>
      <c r="V277" s="19"/>
      <c r="W277" s="19"/>
      <c r="X277" s="19"/>
      <c r="Y277" s="19"/>
      <c r="Z277" s="19"/>
      <c r="AA277" s="19"/>
      <c r="AB277" s="19"/>
      <c r="FE277" s="54"/>
    </row>
    <row r="278" spans="1:161" s="18" customFormat="1">
      <c r="A278" s="51"/>
      <c r="B278" s="735"/>
      <c r="C278" s="735"/>
      <c r="D278" s="735"/>
      <c r="E278" s="735"/>
      <c r="F278" s="736"/>
      <c r="G278" s="735"/>
      <c r="H278" s="735"/>
      <c r="I278" s="735"/>
      <c r="J278" s="735"/>
      <c r="K278" s="735"/>
      <c r="L278" s="735"/>
      <c r="M278" s="735"/>
      <c r="N278" s="735"/>
      <c r="O278" s="19"/>
      <c r="P278" s="19"/>
      <c r="Q278" s="19"/>
      <c r="R278" s="19"/>
      <c r="S278" s="19"/>
      <c r="T278" s="19"/>
      <c r="U278" s="19"/>
      <c r="V278" s="19"/>
      <c r="W278" s="19"/>
      <c r="X278" s="19"/>
      <c r="Y278" s="19"/>
      <c r="Z278" s="19"/>
      <c r="AA278" s="19"/>
      <c r="AB278" s="19"/>
      <c r="FE278" s="54"/>
    </row>
    <row r="279" spans="1:161" s="18" customFormat="1">
      <c r="A279" s="51"/>
      <c r="B279" s="735"/>
      <c r="C279" s="735"/>
      <c r="D279" s="735"/>
      <c r="E279" s="735"/>
      <c r="F279" s="736"/>
      <c r="G279" s="735"/>
      <c r="H279" s="735"/>
      <c r="I279" s="735"/>
      <c r="J279" s="735"/>
      <c r="K279" s="735"/>
      <c r="L279" s="735"/>
      <c r="M279" s="735"/>
      <c r="N279" s="735"/>
      <c r="O279" s="19"/>
      <c r="P279" s="19"/>
      <c r="Q279" s="19"/>
      <c r="R279" s="19"/>
      <c r="S279" s="19"/>
      <c r="T279" s="19"/>
      <c r="U279" s="19"/>
      <c r="V279" s="19"/>
      <c r="W279" s="19"/>
      <c r="X279" s="19"/>
      <c r="Y279" s="19"/>
      <c r="Z279" s="19"/>
      <c r="AA279" s="19"/>
      <c r="AB279" s="19"/>
      <c r="FE279" s="54"/>
    </row>
    <row r="280" spans="1:161" s="18" customFormat="1">
      <c r="A280" s="51"/>
      <c r="B280" s="735"/>
      <c r="C280" s="735"/>
      <c r="D280" s="735"/>
      <c r="E280" s="735"/>
      <c r="F280" s="736"/>
      <c r="G280" s="735"/>
      <c r="H280" s="735"/>
      <c r="I280" s="735"/>
      <c r="J280" s="735"/>
      <c r="K280" s="735"/>
      <c r="L280" s="735"/>
      <c r="M280" s="735"/>
      <c r="N280" s="735"/>
      <c r="O280" s="19"/>
      <c r="P280" s="19"/>
      <c r="Q280" s="19"/>
      <c r="R280" s="19"/>
      <c r="S280" s="19"/>
      <c r="T280" s="19"/>
      <c r="U280" s="19"/>
      <c r="V280" s="19"/>
      <c r="W280" s="19"/>
      <c r="X280" s="19"/>
      <c r="Y280" s="19"/>
      <c r="Z280" s="19"/>
      <c r="AA280" s="19"/>
      <c r="AB280" s="19"/>
      <c r="FE280" s="54"/>
    </row>
    <row r="281" spans="1:161" s="18" customFormat="1">
      <c r="A281" s="51"/>
      <c r="B281" s="735"/>
      <c r="C281" s="735"/>
      <c r="D281" s="735"/>
      <c r="E281" s="735"/>
      <c r="F281" s="736"/>
      <c r="G281" s="735"/>
      <c r="H281" s="735"/>
      <c r="I281" s="735"/>
      <c r="J281" s="735"/>
      <c r="K281" s="735"/>
      <c r="L281" s="735"/>
      <c r="M281" s="735"/>
      <c r="N281" s="735"/>
      <c r="O281" s="19"/>
      <c r="P281" s="19"/>
      <c r="Q281" s="19"/>
      <c r="R281" s="19"/>
      <c r="S281" s="19"/>
      <c r="T281" s="19"/>
      <c r="U281" s="19"/>
      <c r="V281" s="19"/>
      <c r="W281" s="19"/>
      <c r="X281" s="19"/>
      <c r="Y281" s="19"/>
      <c r="Z281" s="19"/>
      <c r="AA281" s="19"/>
      <c r="AB281" s="19"/>
      <c r="FE281" s="54"/>
    </row>
    <row r="282" spans="1:161" s="18" customFormat="1">
      <c r="A282" s="51"/>
      <c r="B282" s="735"/>
      <c r="C282" s="735"/>
      <c r="D282" s="735"/>
      <c r="E282" s="735"/>
      <c r="F282" s="736"/>
      <c r="G282" s="735"/>
      <c r="H282" s="735"/>
      <c r="I282" s="735"/>
      <c r="J282" s="735"/>
      <c r="K282" s="735"/>
      <c r="L282" s="735"/>
      <c r="M282" s="735"/>
      <c r="N282" s="735"/>
      <c r="O282" s="19"/>
      <c r="P282" s="19"/>
      <c r="Q282" s="19"/>
      <c r="R282" s="19"/>
      <c r="S282" s="19"/>
      <c r="T282" s="19"/>
      <c r="U282" s="19"/>
      <c r="V282" s="19"/>
      <c r="W282" s="19"/>
      <c r="X282" s="19"/>
      <c r="Y282" s="19"/>
      <c r="Z282" s="19"/>
      <c r="AA282" s="19"/>
      <c r="AB282" s="19"/>
      <c r="FE282" s="54"/>
    </row>
    <row r="283" spans="1:161" s="18" customFormat="1">
      <c r="A283" s="51"/>
      <c r="B283" s="735"/>
      <c r="C283" s="735"/>
      <c r="D283" s="735"/>
      <c r="E283" s="735"/>
      <c r="F283" s="736"/>
      <c r="G283" s="735"/>
      <c r="H283" s="735"/>
      <c r="I283" s="735"/>
      <c r="J283" s="735"/>
      <c r="K283" s="735"/>
      <c r="L283" s="735"/>
      <c r="M283" s="735"/>
      <c r="N283" s="735"/>
      <c r="O283" s="19"/>
      <c r="P283" s="19"/>
      <c r="Q283" s="19"/>
      <c r="R283" s="19"/>
      <c r="S283" s="19"/>
      <c r="T283" s="19"/>
      <c r="U283" s="19"/>
      <c r="V283" s="19"/>
      <c r="W283" s="19"/>
      <c r="X283" s="19"/>
      <c r="Y283" s="19"/>
      <c r="Z283" s="19"/>
      <c r="AA283" s="19"/>
      <c r="AB283" s="19"/>
      <c r="FE283" s="54"/>
    </row>
    <row r="284" spans="1:161" s="18" customFormat="1">
      <c r="A284" s="51"/>
      <c r="B284" s="735"/>
      <c r="C284" s="735"/>
      <c r="D284" s="735"/>
      <c r="E284" s="735"/>
      <c r="F284" s="736"/>
      <c r="G284" s="735"/>
      <c r="H284" s="735"/>
      <c r="I284" s="735"/>
      <c r="J284" s="735"/>
      <c r="K284" s="735"/>
      <c r="L284" s="735"/>
      <c r="M284" s="735"/>
      <c r="N284" s="735"/>
      <c r="O284" s="19"/>
      <c r="P284" s="19"/>
      <c r="Q284" s="19"/>
      <c r="R284" s="19"/>
      <c r="S284" s="19"/>
      <c r="T284" s="19"/>
      <c r="U284" s="19"/>
      <c r="V284" s="19"/>
      <c r="W284" s="19"/>
      <c r="X284" s="19"/>
      <c r="Y284" s="19"/>
      <c r="Z284" s="19"/>
      <c r="AA284" s="19"/>
      <c r="AB284" s="19"/>
      <c r="FE284" s="54"/>
    </row>
    <row r="285" spans="1:161" s="18" customFormat="1">
      <c r="A285" s="51"/>
      <c r="B285" s="735"/>
      <c r="C285" s="735"/>
      <c r="D285" s="735"/>
      <c r="E285" s="735"/>
      <c r="F285" s="736"/>
      <c r="G285" s="735"/>
      <c r="H285" s="735"/>
      <c r="I285" s="735"/>
      <c r="J285" s="735"/>
      <c r="K285" s="735"/>
      <c r="L285" s="735"/>
      <c r="M285" s="735"/>
      <c r="N285" s="735"/>
      <c r="O285" s="19"/>
      <c r="P285" s="19"/>
      <c r="Q285" s="19"/>
      <c r="R285" s="19"/>
      <c r="S285" s="19"/>
      <c r="T285" s="19"/>
      <c r="U285" s="19"/>
      <c r="V285" s="19"/>
      <c r="W285" s="19"/>
      <c r="X285" s="19"/>
      <c r="Y285" s="19"/>
      <c r="Z285" s="19"/>
      <c r="AA285" s="19"/>
      <c r="AB285" s="19"/>
      <c r="FE285" s="54"/>
    </row>
    <row r="286" spans="1:161" s="18" customFormat="1">
      <c r="A286" s="51"/>
      <c r="B286" s="735"/>
      <c r="C286" s="735"/>
      <c r="D286" s="735"/>
      <c r="E286" s="735"/>
      <c r="F286" s="736"/>
      <c r="G286" s="735"/>
      <c r="H286" s="735"/>
      <c r="I286" s="735"/>
      <c r="J286" s="735"/>
      <c r="K286" s="735"/>
      <c r="L286" s="735"/>
      <c r="M286" s="735"/>
      <c r="N286" s="735"/>
      <c r="O286" s="19"/>
      <c r="P286" s="19"/>
      <c r="Q286" s="19"/>
      <c r="R286" s="19"/>
      <c r="S286" s="19"/>
      <c r="T286" s="19"/>
      <c r="U286" s="19"/>
      <c r="V286" s="19"/>
      <c r="W286" s="19"/>
      <c r="X286" s="19"/>
      <c r="Y286" s="19"/>
      <c r="Z286" s="19"/>
      <c r="AA286" s="19"/>
      <c r="AB286" s="19"/>
      <c r="FE286" s="54"/>
    </row>
    <row r="287" spans="1:161" s="18" customFormat="1">
      <c r="A287" s="51"/>
      <c r="B287" s="735"/>
      <c r="C287" s="735"/>
      <c r="D287" s="735"/>
      <c r="E287" s="735"/>
      <c r="F287" s="736"/>
      <c r="G287" s="735"/>
      <c r="H287" s="735"/>
      <c r="I287" s="735"/>
      <c r="J287" s="735"/>
      <c r="K287" s="735"/>
      <c r="L287" s="735"/>
      <c r="M287" s="735"/>
      <c r="N287" s="735"/>
      <c r="O287" s="19"/>
      <c r="P287" s="19"/>
      <c r="Q287" s="19"/>
      <c r="R287" s="19"/>
      <c r="S287" s="19"/>
      <c r="T287" s="19"/>
      <c r="U287" s="19"/>
      <c r="V287" s="19"/>
      <c r="W287" s="19"/>
      <c r="X287" s="19"/>
      <c r="Y287" s="19"/>
      <c r="Z287" s="19"/>
      <c r="AA287" s="19"/>
      <c r="AB287" s="19"/>
      <c r="FE287" s="54"/>
    </row>
    <row r="288" spans="1:161" s="18" customFormat="1">
      <c r="A288" s="51"/>
      <c r="B288" s="735"/>
      <c r="C288" s="735"/>
      <c r="D288" s="735"/>
      <c r="E288" s="735"/>
      <c r="F288" s="736"/>
      <c r="G288" s="735"/>
      <c r="H288" s="735"/>
      <c r="I288" s="735"/>
      <c r="J288" s="735"/>
      <c r="K288" s="735"/>
      <c r="L288" s="735"/>
      <c r="M288" s="735"/>
      <c r="N288" s="735"/>
      <c r="O288" s="19"/>
      <c r="P288" s="19"/>
      <c r="Q288" s="19"/>
      <c r="R288" s="19"/>
      <c r="S288" s="19"/>
      <c r="T288" s="19"/>
      <c r="U288" s="19"/>
      <c r="V288" s="19"/>
      <c r="W288" s="19"/>
      <c r="X288" s="19"/>
      <c r="Y288" s="19"/>
      <c r="Z288" s="19"/>
      <c r="AA288" s="19"/>
      <c r="AB288" s="19"/>
      <c r="FE288" s="54"/>
    </row>
    <row r="289" spans="1:161" s="18" customFormat="1">
      <c r="A289" s="51"/>
      <c r="B289" s="735"/>
      <c r="C289" s="735"/>
      <c r="D289" s="735"/>
      <c r="E289" s="735"/>
      <c r="F289" s="736"/>
      <c r="G289" s="735"/>
      <c r="H289" s="735"/>
      <c r="I289" s="735"/>
      <c r="J289" s="735"/>
      <c r="K289" s="735"/>
      <c r="L289" s="735"/>
      <c r="M289" s="735"/>
      <c r="N289" s="735"/>
      <c r="O289" s="19"/>
      <c r="P289" s="19"/>
      <c r="Q289" s="19"/>
      <c r="R289" s="19"/>
      <c r="S289" s="19"/>
      <c r="T289" s="19"/>
      <c r="U289" s="19"/>
      <c r="V289" s="19"/>
      <c r="W289" s="19"/>
      <c r="X289" s="19"/>
      <c r="Y289" s="19"/>
      <c r="Z289" s="19"/>
      <c r="AA289" s="19"/>
      <c r="AB289" s="19"/>
      <c r="FE289" s="54"/>
    </row>
    <row r="290" spans="1:161" s="18" customFormat="1">
      <c r="A290" s="51"/>
      <c r="B290" s="735"/>
      <c r="C290" s="735"/>
      <c r="D290" s="735"/>
      <c r="E290" s="735"/>
      <c r="F290" s="736"/>
      <c r="G290" s="735"/>
      <c r="H290" s="735"/>
      <c r="I290" s="735"/>
      <c r="J290" s="735"/>
      <c r="K290" s="735"/>
      <c r="L290" s="735"/>
      <c r="M290" s="735"/>
      <c r="N290" s="735"/>
      <c r="O290" s="19"/>
      <c r="P290" s="19"/>
      <c r="Q290" s="19"/>
      <c r="R290" s="19"/>
      <c r="S290" s="19"/>
      <c r="T290" s="19"/>
      <c r="U290" s="19"/>
      <c r="V290" s="19"/>
      <c r="W290" s="19"/>
      <c r="X290" s="19"/>
      <c r="Y290" s="19"/>
      <c r="Z290" s="19"/>
      <c r="AA290" s="19"/>
      <c r="AB290" s="19"/>
      <c r="FE290" s="54"/>
    </row>
    <row r="291" spans="1:161" s="18" customFormat="1">
      <c r="A291" s="51"/>
      <c r="B291" s="735"/>
      <c r="C291" s="735"/>
      <c r="D291" s="735"/>
      <c r="E291" s="735"/>
      <c r="F291" s="736"/>
      <c r="G291" s="735"/>
      <c r="H291" s="735"/>
      <c r="I291" s="735"/>
      <c r="J291" s="735"/>
      <c r="K291" s="735"/>
      <c r="L291" s="735"/>
      <c r="M291" s="735"/>
      <c r="N291" s="735"/>
      <c r="O291" s="19"/>
      <c r="P291" s="19"/>
      <c r="Q291" s="19"/>
      <c r="R291" s="19"/>
      <c r="S291" s="19"/>
      <c r="T291" s="19"/>
      <c r="U291" s="19"/>
      <c r="V291" s="19"/>
      <c r="W291" s="19"/>
      <c r="X291" s="19"/>
      <c r="Y291" s="19"/>
      <c r="Z291" s="19"/>
      <c r="AA291" s="19"/>
      <c r="AB291" s="19"/>
      <c r="FE291" s="54"/>
    </row>
    <row r="292" spans="1:161" s="18" customFormat="1">
      <c r="A292" s="51"/>
      <c r="B292" s="735"/>
      <c r="C292" s="735"/>
      <c r="D292" s="735"/>
      <c r="E292" s="735"/>
      <c r="F292" s="736"/>
      <c r="G292" s="735"/>
      <c r="H292" s="735"/>
      <c r="I292" s="735"/>
      <c r="J292" s="735"/>
      <c r="K292" s="735"/>
      <c r="L292" s="735"/>
      <c r="M292" s="735"/>
      <c r="N292" s="735"/>
      <c r="O292" s="19"/>
      <c r="P292" s="19"/>
      <c r="Q292" s="19"/>
      <c r="R292" s="19"/>
      <c r="S292" s="19"/>
      <c r="T292" s="19"/>
      <c r="U292" s="19"/>
      <c r="V292" s="19"/>
      <c r="W292" s="19"/>
      <c r="X292" s="19"/>
      <c r="Y292" s="19"/>
      <c r="Z292" s="19"/>
      <c r="AA292" s="19"/>
      <c r="AB292" s="19"/>
      <c r="FE292" s="54"/>
    </row>
    <row r="293" spans="1:161" s="18" customFormat="1">
      <c r="A293" s="51"/>
      <c r="B293" s="735"/>
      <c r="C293" s="735"/>
      <c r="D293" s="735"/>
      <c r="E293" s="735"/>
      <c r="F293" s="736"/>
      <c r="G293" s="735"/>
      <c r="H293" s="735"/>
      <c r="I293" s="735"/>
      <c r="J293" s="735"/>
      <c r="K293" s="735"/>
      <c r="L293" s="735"/>
      <c r="M293" s="735"/>
      <c r="N293" s="735"/>
      <c r="O293" s="19"/>
      <c r="P293" s="19"/>
      <c r="Q293" s="19"/>
      <c r="R293" s="19"/>
      <c r="S293" s="19"/>
      <c r="T293" s="19"/>
      <c r="U293" s="19"/>
      <c r="V293" s="19"/>
      <c r="W293" s="19"/>
      <c r="X293" s="19"/>
      <c r="Y293" s="19"/>
      <c r="Z293" s="19"/>
      <c r="AA293" s="19"/>
      <c r="AB293" s="19"/>
      <c r="FE293" s="54"/>
    </row>
    <row r="294" spans="1:161" s="18" customFormat="1">
      <c r="A294" s="51"/>
      <c r="B294" s="735"/>
      <c r="C294" s="735"/>
      <c r="D294" s="735"/>
      <c r="E294" s="735"/>
      <c r="F294" s="736"/>
      <c r="G294" s="735"/>
      <c r="H294" s="735"/>
      <c r="I294" s="735"/>
      <c r="J294" s="735"/>
      <c r="K294" s="735"/>
      <c r="L294" s="735"/>
      <c r="M294" s="735"/>
      <c r="N294" s="735"/>
      <c r="O294" s="19"/>
      <c r="P294" s="19"/>
      <c r="Q294" s="19"/>
      <c r="R294" s="19"/>
      <c r="S294" s="19"/>
      <c r="T294" s="19"/>
      <c r="U294" s="19"/>
      <c r="V294" s="19"/>
      <c r="W294" s="19"/>
      <c r="X294" s="19"/>
      <c r="Y294" s="19"/>
      <c r="Z294" s="19"/>
      <c r="AA294" s="19"/>
      <c r="AB294" s="19"/>
      <c r="FE294" s="54"/>
    </row>
    <row r="295" spans="1:161" s="18" customFormat="1">
      <c r="A295" s="51"/>
      <c r="B295" s="735"/>
      <c r="C295" s="735"/>
      <c r="D295" s="735"/>
      <c r="E295" s="735"/>
      <c r="F295" s="736"/>
      <c r="G295" s="735"/>
      <c r="H295" s="735"/>
      <c r="I295" s="735"/>
      <c r="J295" s="735"/>
      <c r="K295" s="735"/>
      <c r="L295" s="735"/>
      <c r="M295" s="735"/>
      <c r="N295" s="735"/>
      <c r="O295" s="19"/>
      <c r="P295" s="19"/>
      <c r="Q295" s="19"/>
      <c r="R295" s="19"/>
      <c r="S295" s="19"/>
      <c r="T295" s="19"/>
      <c r="U295" s="19"/>
      <c r="V295" s="19"/>
      <c r="W295" s="19"/>
      <c r="X295" s="19"/>
      <c r="Y295" s="19"/>
      <c r="Z295" s="19"/>
      <c r="AA295" s="19"/>
      <c r="AB295" s="19"/>
      <c r="FE295" s="54"/>
    </row>
    <row r="296" spans="1:161" s="18" customFormat="1">
      <c r="A296" s="51"/>
      <c r="B296" s="735"/>
      <c r="C296" s="735"/>
      <c r="D296" s="735"/>
      <c r="E296" s="735"/>
      <c r="F296" s="736"/>
      <c r="G296" s="735"/>
      <c r="H296" s="735"/>
      <c r="I296" s="735"/>
      <c r="J296" s="735"/>
      <c r="K296" s="735"/>
      <c r="L296" s="735"/>
      <c r="M296" s="735"/>
      <c r="N296" s="735"/>
      <c r="O296" s="19"/>
      <c r="P296" s="19"/>
      <c r="Q296" s="19"/>
      <c r="R296" s="19"/>
      <c r="S296" s="19"/>
      <c r="T296" s="19"/>
      <c r="U296" s="19"/>
      <c r="V296" s="19"/>
      <c r="W296" s="19"/>
      <c r="X296" s="19"/>
      <c r="Y296" s="19"/>
      <c r="Z296" s="19"/>
      <c r="AA296" s="19"/>
      <c r="AB296" s="19"/>
      <c r="FE296" s="54"/>
    </row>
    <row r="297" spans="1:161" s="18" customFormat="1">
      <c r="A297" s="51"/>
      <c r="B297" s="735"/>
      <c r="C297" s="735"/>
      <c r="D297" s="735"/>
      <c r="E297" s="735"/>
      <c r="F297" s="736"/>
      <c r="G297" s="735"/>
      <c r="H297" s="735"/>
      <c r="I297" s="735"/>
      <c r="J297" s="735"/>
      <c r="K297" s="735"/>
      <c r="L297" s="735"/>
      <c r="M297" s="735"/>
      <c r="N297" s="735"/>
      <c r="O297" s="19"/>
      <c r="P297" s="19"/>
      <c r="Q297" s="19"/>
      <c r="R297" s="19"/>
      <c r="S297" s="19"/>
      <c r="T297" s="19"/>
      <c r="U297" s="19"/>
      <c r="V297" s="19"/>
      <c r="W297" s="19"/>
      <c r="X297" s="19"/>
      <c r="Y297" s="19"/>
      <c r="Z297" s="19"/>
      <c r="AA297" s="19"/>
      <c r="AB297" s="19"/>
      <c r="FE297" s="54"/>
    </row>
    <row r="298" spans="1:161" s="18" customFormat="1">
      <c r="A298" s="51"/>
      <c r="B298" s="735"/>
      <c r="C298" s="735"/>
      <c r="D298" s="735"/>
      <c r="E298" s="735"/>
      <c r="F298" s="736"/>
      <c r="G298" s="735"/>
      <c r="H298" s="735"/>
      <c r="I298" s="735"/>
      <c r="J298" s="735"/>
      <c r="K298" s="735"/>
      <c r="L298" s="735"/>
      <c r="M298" s="735"/>
      <c r="N298" s="735"/>
      <c r="O298" s="19"/>
      <c r="P298" s="19"/>
      <c r="Q298" s="19"/>
      <c r="R298" s="19"/>
      <c r="S298" s="19"/>
      <c r="T298" s="19"/>
      <c r="U298" s="19"/>
      <c r="V298" s="19"/>
      <c r="W298" s="19"/>
      <c r="X298" s="19"/>
      <c r="Y298" s="19"/>
      <c r="Z298" s="19"/>
      <c r="AA298" s="19"/>
      <c r="AB298" s="19"/>
      <c r="FE298" s="54"/>
    </row>
    <row r="299" spans="1:161" s="18" customFormat="1">
      <c r="A299" s="51"/>
      <c r="B299" s="735"/>
      <c r="C299" s="735"/>
      <c r="D299" s="735"/>
      <c r="E299" s="735"/>
      <c r="F299" s="736"/>
      <c r="G299" s="735"/>
      <c r="H299" s="735"/>
      <c r="I299" s="735"/>
      <c r="J299" s="735"/>
      <c r="K299" s="735"/>
      <c r="L299" s="735"/>
      <c r="M299" s="735"/>
      <c r="N299" s="735"/>
      <c r="O299" s="19"/>
      <c r="P299" s="19"/>
      <c r="Q299" s="19"/>
      <c r="R299" s="19"/>
      <c r="S299" s="19"/>
      <c r="T299" s="19"/>
      <c r="U299" s="19"/>
      <c r="V299" s="19"/>
      <c r="W299" s="19"/>
      <c r="X299" s="19"/>
      <c r="Y299" s="19"/>
      <c r="Z299" s="19"/>
      <c r="AA299" s="19"/>
      <c r="AB299" s="19"/>
      <c r="FE299" s="54"/>
    </row>
    <row r="300" spans="1:161" s="18" customFormat="1">
      <c r="A300" s="51"/>
      <c r="B300" s="735"/>
      <c r="C300" s="735"/>
      <c r="D300" s="735"/>
      <c r="E300" s="735"/>
      <c r="F300" s="736"/>
      <c r="G300" s="735"/>
      <c r="H300" s="735"/>
      <c r="I300" s="735"/>
      <c r="J300" s="735"/>
      <c r="K300" s="735"/>
      <c r="L300" s="735"/>
      <c r="M300" s="735"/>
      <c r="N300" s="735"/>
      <c r="O300" s="19"/>
      <c r="P300" s="19"/>
      <c r="Q300" s="19"/>
      <c r="R300" s="19"/>
      <c r="S300" s="19"/>
      <c r="T300" s="19"/>
      <c r="U300" s="19"/>
      <c r="V300" s="19"/>
      <c r="W300" s="19"/>
      <c r="X300" s="19"/>
      <c r="Y300" s="19"/>
      <c r="Z300" s="19"/>
      <c r="AA300" s="19"/>
      <c r="AB300" s="19"/>
      <c r="FE300" s="54"/>
    </row>
    <row r="301" spans="1:161" s="18" customFormat="1">
      <c r="A301" s="51"/>
      <c r="B301" s="735"/>
      <c r="C301" s="735"/>
      <c r="D301" s="735"/>
      <c r="E301" s="735"/>
      <c r="F301" s="736"/>
      <c r="G301" s="735"/>
      <c r="H301" s="735"/>
      <c r="I301" s="735"/>
      <c r="J301" s="735"/>
      <c r="K301" s="735"/>
      <c r="L301" s="735"/>
      <c r="M301" s="735"/>
      <c r="N301" s="735"/>
      <c r="O301" s="19"/>
      <c r="P301" s="19"/>
      <c r="Q301" s="19"/>
      <c r="R301" s="19"/>
      <c r="S301" s="19"/>
      <c r="T301" s="19"/>
      <c r="U301" s="19"/>
      <c r="V301" s="19"/>
      <c r="W301" s="19"/>
      <c r="X301" s="19"/>
      <c r="Y301" s="19"/>
      <c r="Z301" s="19"/>
      <c r="AA301" s="19"/>
      <c r="AB301" s="19"/>
      <c r="FE301" s="54"/>
    </row>
    <row r="302" spans="1:161" s="18" customFormat="1">
      <c r="A302" s="51"/>
      <c r="B302" s="735"/>
      <c r="C302" s="735"/>
      <c r="D302" s="735"/>
      <c r="E302" s="735"/>
      <c r="F302" s="736"/>
      <c r="G302" s="735"/>
      <c r="H302" s="735"/>
      <c r="I302" s="735"/>
      <c r="J302" s="735"/>
      <c r="K302" s="735"/>
      <c r="L302" s="735"/>
      <c r="M302" s="735"/>
      <c r="N302" s="735"/>
      <c r="O302" s="19"/>
      <c r="P302" s="19"/>
      <c r="Q302" s="19"/>
      <c r="R302" s="19"/>
      <c r="S302" s="19"/>
      <c r="T302" s="19"/>
      <c r="U302" s="19"/>
      <c r="V302" s="19"/>
      <c r="W302" s="19"/>
      <c r="X302" s="19"/>
      <c r="Y302" s="19"/>
      <c r="Z302" s="19"/>
      <c r="AA302" s="19"/>
      <c r="AB302" s="19"/>
      <c r="FE302" s="54"/>
    </row>
    <row r="303" spans="1:161" s="18" customFormat="1">
      <c r="A303" s="51"/>
      <c r="B303" s="735"/>
      <c r="C303" s="735"/>
      <c r="D303" s="735"/>
      <c r="E303" s="735"/>
      <c r="F303" s="736"/>
      <c r="G303" s="735"/>
      <c r="H303" s="735"/>
      <c r="I303" s="735"/>
      <c r="J303" s="735"/>
      <c r="K303" s="735"/>
      <c r="L303" s="735"/>
      <c r="M303" s="735"/>
      <c r="N303" s="735"/>
      <c r="O303" s="19"/>
      <c r="P303" s="19"/>
      <c r="Q303" s="19"/>
      <c r="R303" s="19"/>
      <c r="S303" s="19"/>
      <c r="T303" s="19"/>
      <c r="U303" s="19"/>
      <c r="V303" s="19"/>
      <c r="W303" s="19"/>
      <c r="X303" s="19"/>
      <c r="Y303" s="19"/>
      <c r="Z303" s="19"/>
      <c r="AA303" s="19"/>
      <c r="AB303" s="19"/>
      <c r="FE303" s="54"/>
    </row>
    <row r="304" spans="1:161" s="18" customFormat="1">
      <c r="A304" s="51"/>
      <c r="B304" s="735"/>
      <c r="C304" s="735"/>
      <c r="D304" s="735"/>
      <c r="E304" s="735"/>
      <c r="F304" s="736"/>
      <c r="G304" s="735"/>
      <c r="H304" s="735"/>
      <c r="I304" s="735"/>
      <c r="J304" s="735"/>
      <c r="K304" s="735"/>
      <c r="L304" s="735"/>
      <c r="M304" s="735"/>
      <c r="N304" s="735"/>
      <c r="O304" s="19"/>
      <c r="P304" s="19"/>
      <c r="Q304" s="19"/>
      <c r="R304" s="19"/>
      <c r="S304" s="19"/>
      <c r="T304" s="19"/>
      <c r="U304" s="19"/>
      <c r="V304" s="19"/>
      <c r="W304" s="19"/>
      <c r="X304" s="19"/>
      <c r="Y304" s="19"/>
      <c r="Z304" s="19"/>
      <c r="AA304" s="19"/>
      <c r="AB304" s="19"/>
      <c r="FE304" s="54"/>
    </row>
    <row r="305" spans="1:161" s="18" customFormat="1">
      <c r="A305" s="51"/>
      <c r="B305" s="735"/>
      <c r="C305" s="735"/>
      <c r="D305" s="735"/>
      <c r="E305" s="735"/>
      <c r="F305" s="736"/>
      <c r="G305" s="735"/>
      <c r="H305" s="735"/>
      <c r="I305" s="735"/>
      <c r="J305" s="735"/>
      <c r="K305" s="735"/>
      <c r="L305" s="735"/>
      <c r="M305" s="735"/>
      <c r="N305" s="735"/>
      <c r="O305" s="19"/>
      <c r="P305" s="19"/>
      <c r="Q305" s="19"/>
      <c r="R305" s="19"/>
      <c r="S305" s="19"/>
      <c r="T305" s="19"/>
      <c r="U305" s="19"/>
      <c r="V305" s="19"/>
      <c r="W305" s="19"/>
      <c r="X305" s="19"/>
      <c r="Y305" s="19"/>
      <c r="Z305" s="19"/>
      <c r="AA305" s="19"/>
      <c r="AB305" s="19"/>
      <c r="FE305" s="54"/>
    </row>
    <row r="306" spans="1:161" s="18" customFormat="1">
      <c r="A306" s="51"/>
      <c r="B306" s="735"/>
      <c r="C306" s="735"/>
      <c r="D306" s="735"/>
      <c r="E306" s="735"/>
      <c r="F306" s="736"/>
      <c r="G306" s="735"/>
      <c r="H306" s="735"/>
      <c r="I306" s="735"/>
      <c r="J306" s="735"/>
      <c r="K306" s="735"/>
      <c r="L306" s="735"/>
      <c r="M306" s="735"/>
      <c r="N306" s="735"/>
      <c r="O306" s="19"/>
      <c r="P306" s="19"/>
      <c r="Q306" s="19"/>
      <c r="R306" s="19"/>
      <c r="S306" s="19"/>
      <c r="T306" s="19"/>
      <c r="U306" s="19"/>
      <c r="V306" s="19"/>
      <c r="W306" s="19"/>
      <c r="X306" s="19"/>
      <c r="Y306" s="19"/>
      <c r="Z306" s="19"/>
      <c r="AA306" s="19"/>
      <c r="AB306" s="19"/>
      <c r="FE306" s="54"/>
    </row>
    <row r="307" spans="1:161" s="18" customFormat="1">
      <c r="A307" s="51"/>
      <c r="B307" s="735"/>
      <c r="C307" s="735"/>
      <c r="D307" s="735"/>
      <c r="E307" s="735"/>
      <c r="F307" s="736"/>
      <c r="G307" s="735"/>
      <c r="H307" s="735"/>
      <c r="I307" s="735"/>
      <c r="J307" s="735"/>
      <c r="K307" s="735"/>
      <c r="L307" s="735"/>
      <c r="M307" s="735"/>
      <c r="N307" s="735"/>
      <c r="O307" s="19"/>
      <c r="P307" s="19"/>
      <c r="Q307" s="19"/>
      <c r="R307" s="19"/>
      <c r="S307" s="19"/>
      <c r="T307" s="19"/>
      <c r="U307" s="19"/>
      <c r="V307" s="19"/>
      <c r="W307" s="19"/>
      <c r="X307" s="19"/>
      <c r="Y307" s="19"/>
      <c r="Z307" s="19"/>
      <c r="AA307" s="19"/>
      <c r="AB307" s="19"/>
      <c r="FE307" s="54"/>
    </row>
    <row r="308" spans="1:161" s="18" customFormat="1">
      <c r="A308" s="51"/>
      <c r="B308" s="735"/>
      <c r="C308" s="735"/>
      <c r="D308" s="735"/>
      <c r="E308" s="735"/>
      <c r="F308" s="736"/>
      <c r="G308" s="735"/>
      <c r="H308" s="735"/>
      <c r="I308" s="735"/>
      <c r="J308" s="735"/>
      <c r="K308" s="735"/>
      <c r="L308" s="735"/>
      <c r="M308" s="735"/>
      <c r="N308" s="735"/>
      <c r="O308" s="19"/>
      <c r="P308" s="19"/>
      <c r="Q308" s="19"/>
      <c r="R308" s="19"/>
      <c r="S308" s="19"/>
      <c r="T308" s="19"/>
      <c r="U308" s="19"/>
      <c r="V308" s="19"/>
      <c r="W308" s="19"/>
      <c r="X308" s="19"/>
      <c r="Y308" s="19"/>
      <c r="Z308" s="19"/>
      <c r="AA308" s="19"/>
      <c r="AB308" s="19"/>
      <c r="FE308" s="54"/>
    </row>
    <row r="309" spans="1:161" s="18" customFormat="1">
      <c r="A309" s="51"/>
      <c r="B309" s="735"/>
      <c r="C309" s="735"/>
      <c r="D309" s="735"/>
      <c r="E309" s="735"/>
      <c r="F309" s="736"/>
      <c r="G309" s="735"/>
      <c r="H309" s="735"/>
      <c r="I309" s="735"/>
      <c r="J309" s="735"/>
      <c r="K309" s="735"/>
      <c r="L309" s="735"/>
      <c r="M309" s="735"/>
      <c r="N309" s="735"/>
      <c r="O309" s="19"/>
      <c r="P309" s="19"/>
      <c r="Q309" s="19"/>
      <c r="R309" s="19"/>
      <c r="S309" s="19"/>
      <c r="T309" s="19"/>
      <c r="U309" s="19"/>
      <c r="V309" s="19"/>
      <c r="W309" s="19"/>
      <c r="X309" s="19"/>
      <c r="Y309" s="19"/>
      <c r="Z309" s="19"/>
      <c r="AA309" s="19"/>
      <c r="AB309" s="19"/>
      <c r="FE309" s="54"/>
    </row>
    <row r="310" spans="1:161" s="18" customFormat="1">
      <c r="A310" s="51"/>
      <c r="B310" s="735"/>
      <c r="C310" s="735"/>
      <c r="D310" s="735"/>
      <c r="E310" s="735"/>
      <c r="F310" s="736"/>
      <c r="G310" s="735"/>
      <c r="H310" s="735"/>
      <c r="I310" s="735"/>
      <c r="J310" s="735"/>
      <c r="K310" s="735"/>
      <c r="L310" s="735"/>
      <c r="M310" s="735"/>
      <c r="N310" s="735"/>
      <c r="O310" s="19"/>
      <c r="P310" s="19"/>
      <c r="Q310" s="19"/>
      <c r="R310" s="19"/>
      <c r="S310" s="19"/>
      <c r="T310" s="19"/>
      <c r="U310" s="19"/>
      <c r="V310" s="19"/>
      <c r="W310" s="19"/>
      <c r="X310" s="19"/>
      <c r="Y310" s="19"/>
      <c r="Z310" s="19"/>
      <c r="AA310" s="19"/>
      <c r="AB310" s="19"/>
      <c r="FE310" s="54"/>
    </row>
    <row r="311" spans="1:161" s="18" customFormat="1">
      <c r="A311" s="51"/>
      <c r="B311" s="735"/>
      <c r="C311" s="735"/>
      <c r="D311" s="735"/>
      <c r="E311" s="735"/>
      <c r="F311" s="736"/>
      <c r="G311" s="735"/>
      <c r="H311" s="735"/>
      <c r="I311" s="735"/>
      <c r="J311" s="735"/>
      <c r="K311" s="735"/>
      <c r="L311" s="735"/>
      <c r="M311" s="735"/>
      <c r="N311" s="735"/>
      <c r="O311" s="19"/>
      <c r="P311" s="19"/>
      <c r="Q311" s="19"/>
      <c r="R311" s="19"/>
      <c r="S311" s="19"/>
      <c r="T311" s="19"/>
      <c r="U311" s="19"/>
      <c r="V311" s="19"/>
      <c r="W311" s="19"/>
      <c r="X311" s="19"/>
      <c r="Y311" s="19"/>
      <c r="Z311" s="19"/>
      <c r="AA311" s="19"/>
      <c r="AB311" s="19"/>
      <c r="FE311" s="54"/>
    </row>
    <row r="312" spans="1:161" s="18" customFormat="1">
      <c r="A312" s="51"/>
      <c r="B312" s="735"/>
      <c r="C312" s="735"/>
      <c r="D312" s="735"/>
      <c r="E312" s="735"/>
      <c r="F312" s="736"/>
      <c r="G312" s="735"/>
      <c r="H312" s="735"/>
      <c r="I312" s="735"/>
      <c r="J312" s="735"/>
      <c r="K312" s="735"/>
      <c r="L312" s="735"/>
      <c r="M312" s="735"/>
      <c r="N312" s="735"/>
      <c r="O312" s="19"/>
      <c r="P312" s="19"/>
      <c r="Q312" s="19"/>
      <c r="R312" s="19"/>
      <c r="S312" s="19"/>
      <c r="T312" s="19"/>
      <c r="U312" s="19"/>
      <c r="V312" s="19"/>
      <c r="W312" s="19"/>
      <c r="X312" s="19"/>
      <c r="Y312" s="19"/>
      <c r="Z312" s="19"/>
      <c r="AA312" s="19"/>
      <c r="AB312" s="19"/>
      <c r="FE312" s="54"/>
    </row>
    <row r="313" spans="1:161" s="18" customFormat="1">
      <c r="A313" s="51"/>
      <c r="B313" s="735"/>
      <c r="C313" s="735"/>
      <c r="D313" s="735"/>
      <c r="E313" s="735"/>
      <c r="F313" s="736"/>
      <c r="G313" s="735"/>
      <c r="H313" s="735"/>
      <c r="I313" s="735"/>
      <c r="J313" s="735"/>
      <c r="K313" s="735"/>
      <c r="L313" s="735"/>
      <c r="M313" s="735"/>
      <c r="N313" s="735"/>
      <c r="O313" s="19"/>
      <c r="P313" s="19"/>
      <c r="Q313" s="19"/>
      <c r="R313" s="19"/>
      <c r="S313" s="19"/>
      <c r="T313" s="19"/>
      <c r="U313" s="19"/>
      <c r="V313" s="19"/>
      <c r="W313" s="19"/>
      <c r="X313" s="19"/>
      <c r="Y313" s="19"/>
      <c r="Z313" s="19"/>
      <c r="AA313" s="19"/>
      <c r="AB313" s="19"/>
      <c r="FE313" s="54"/>
    </row>
    <row r="314" spans="1:161" s="18" customFormat="1">
      <c r="A314" s="51"/>
      <c r="B314" s="735"/>
      <c r="C314" s="735"/>
      <c r="D314" s="735"/>
      <c r="E314" s="735"/>
      <c r="F314" s="736"/>
      <c r="G314" s="735"/>
      <c r="H314" s="735"/>
      <c r="I314" s="735"/>
      <c r="J314" s="735"/>
      <c r="K314" s="735"/>
      <c r="L314" s="735"/>
      <c r="M314" s="735"/>
      <c r="N314" s="735"/>
      <c r="O314" s="19"/>
      <c r="P314" s="19"/>
      <c r="Q314" s="19"/>
      <c r="R314" s="19"/>
      <c r="S314" s="19"/>
      <c r="T314" s="19"/>
      <c r="U314" s="19"/>
      <c r="V314" s="19"/>
      <c r="W314" s="19"/>
      <c r="X314" s="19"/>
      <c r="Y314" s="19"/>
      <c r="Z314" s="19"/>
      <c r="AA314" s="19"/>
      <c r="AB314" s="19"/>
      <c r="FE314" s="54"/>
    </row>
    <row r="315" spans="1:161" s="18" customFormat="1">
      <c r="A315" s="51"/>
      <c r="B315" s="735"/>
      <c r="C315" s="735"/>
      <c r="D315" s="735"/>
      <c r="E315" s="735"/>
      <c r="F315" s="736"/>
      <c r="G315" s="735"/>
      <c r="H315" s="735"/>
      <c r="I315" s="735"/>
      <c r="J315" s="735"/>
      <c r="K315" s="735"/>
      <c r="L315" s="735"/>
      <c r="M315" s="735"/>
      <c r="N315" s="735"/>
      <c r="O315" s="19"/>
      <c r="P315" s="19"/>
      <c r="Q315" s="19"/>
      <c r="R315" s="19"/>
      <c r="S315" s="19"/>
      <c r="T315" s="19"/>
      <c r="U315" s="19"/>
      <c r="V315" s="19"/>
      <c r="W315" s="19"/>
      <c r="X315" s="19"/>
      <c r="Y315" s="19"/>
      <c r="Z315" s="19"/>
      <c r="AA315" s="19"/>
      <c r="AB315" s="19"/>
      <c r="FE315" s="54"/>
    </row>
    <row r="316" spans="1:161" s="18" customFormat="1">
      <c r="A316" s="51"/>
      <c r="B316" s="735"/>
      <c r="C316" s="735"/>
      <c r="D316" s="735"/>
      <c r="E316" s="735"/>
      <c r="F316" s="736"/>
      <c r="G316" s="735"/>
      <c r="H316" s="735"/>
      <c r="I316" s="735"/>
      <c r="J316" s="735"/>
      <c r="K316" s="735"/>
      <c r="L316" s="735"/>
      <c r="M316" s="735"/>
      <c r="N316" s="735"/>
      <c r="O316" s="19"/>
      <c r="P316" s="19"/>
      <c r="Q316" s="19"/>
      <c r="R316" s="19"/>
      <c r="S316" s="19"/>
      <c r="T316" s="19"/>
      <c r="U316" s="19"/>
      <c r="V316" s="19"/>
      <c r="W316" s="19"/>
      <c r="X316" s="19"/>
      <c r="Y316" s="19"/>
      <c r="Z316" s="19"/>
      <c r="AA316" s="19"/>
      <c r="AB316" s="19"/>
      <c r="FE316" s="54"/>
    </row>
    <row r="317" spans="1:161" s="18" customFormat="1">
      <c r="A317" s="51"/>
      <c r="B317" s="735"/>
      <c r="C317" s="735"/>
      <c r="D317" s="735"/>
      <c r="E317" s="735"/>
      <c r="F317" s="736"/>
      <c r="G317" s="735"/>
      <c r="H317" s="735"/>
      <c r="I317" s="735"/>
      <c r="J317" s="735"/>
      <c r="K317" s="735"/>
      <c r="L317" s="735"/>
      <c r="M317" s="735"/>
      <c r="N317" s="735"/>
      <c r="O317" s="19"/>
      <c r="P317" s="19"/>
      <c r="Q317" s="19"/>
      <c r="R317" s="19"/>
      <c r="S317" s="19"/>
      <c r="T317" s="19"/>
      <c r="U317" s="19"/>
      <c r="V317" s="19"/>
      <c r="W317" s="19"/>
      <c r="X317" s="19"/>
      <c r="Y317" s="19"/>
      <c r="Z317" s="19"/>
      <c r="AA317" s="19"/>
      <c r="AB317" s="19"/>
      <c r="FE317" s="54"/>
    </row>
    <row r="318" spans="1:161" s="18" customFormat="1">
      <c r="A318" s="51"/>
      <c r="B318" s="735"/>
      <c r="C318" s="735"/>
      <c r="D318" s="735"/>
      <c r="E318" s="735"/>
      <c r="F318" s="736"/>
      <c r="G318" s="735"/>
      <c r="H318" s="735"/>
      <c r="I318" s="735"/>
      <c r="J318" s="735"/>
      <c r="K318" s="735"/>
      <c r="L318" s="735"/>
      <c r="M318" s="735"/>
      <c r="N318" s="735"/>
      <c r="O318" s="19"/>
      <c r="P318" s="19"/>
      <c r="Q318" s="19"/>
      <c r="R318" s="19"/>
      <c r="S318" s="19"/>
      <c r="T318" s="19"/>
      <c r="U318" s="19"/>
      <c r="V318" s="19"/>
      <c r="W318" s="19"/>
      <c r="X318" s="19"/>
      <c r="Y318" s="19"/>
      <c r="Z318" s="19"/>
      <c r="AA318" s="19"/>
      <c r="AB318" s="19"/>
      <c r="FE318" s="54"/>
    </row>
    <row r="319" spans="1:161" s="18" customFormat="1">
      <c r="A319" s="51"/>
      <c r="B319" s="735"/>
      <c r="C319" s="735"/>
      <c r="D319" s="735"/>
      <c r="E319" s="735"/>
      <c r="F319" s="736"/>
      <c r="G319" s="735"/>
      <c r="H319" s="735"/>
      <c r="I319" s="735"/>
      <c r="J319" s="735"/>
      <c r="K319" s="735"/>
      <c r="L319" s="735"/>
      <c r="M319" s="735"/>
      <c r="N319" s="735"/>
      <c r="O319" s="19"/>
      <c r="P319" s="19"/>
      <c r="Q319" s="19"/>
      <c r="R319" s="19"/>
      <c r="S319" s="19"/>
      <c r="T319" s="19"/>
      <c r="U319" s="19"/>
      <c r="V319" s="19"/>
      <c r="W319" s="19"/>
      <c r="X319" s="19"/>
      <c r="Y319" s="19"/>
      <c r="Z319" s="19"/>
      <c r="AA319" s="19"/>
      <c r="AB319" s="19"/>
      <c r="FE319" s="54"/>
    </row>
    <row r="320" spans="1:161" s="18" customFormat="1">
      <c r="A320" s="51"/>
      <c r="B320" s="735"/>
      <c r="C320" s="735"/>
      <c r="D320" s="735"/>
      <c r="E320" s="735"/>
      <c r="F320" s="736"/>
      <c r="G320" s="735"/>
      <c r="H320" s="735"/>
      <c r="I320" s="735"/>
      <c r="J320" s="735"/>
      <c r="K320" s="735"/>
      <c r="L320" s="735"/>
      <c r="M320" s="735"/>
      <c r="N320" s="735"/>
      <c r="O320" s="19"/>
      <c r="P320" s="19"/>
      <c r="Q320" s="19"/>
      <c r="R320" s="19"/>
      <c r="S320" s="19"/>
      <c r="T320" s="19"/>
      <c r="U320" s="19"/>
      <c r="V320" s="19"/>
      <c r="W320" s="19"/>
      <c r="X320" s="19"/>
      <c r="Y320" s="19"/>
      <c r="Z320" s="19"/>
      <c r="AA320" s="19"/>
      <c r="AB320" s="19"/>
      <c r="FE320" s="54"/>
    </row>
    <row r="321" spans="1:161" s="18" customFormat="1">
      <c r="A321" s="51"/>
      <c r="B321" s="735"/>
      <c r="C321" s="735"/>
      <c r="D321" s="735"/>
      <c r="E321" s="735"/>
      <c r="F321" s="736"/>
      <c r="G321" s="735"/>
      <c r="H321" s="735"/>
      <c r="I321" s="735"/>
      <c r="J321" s="735"/>
      <c r="K321" s="735"/>
      <c r="L321" s="735"/>
      <c r="M321" s="735"/>
      <c r="N321" s="735"/>
      <c r="O321" s="19"/>
      <c r="P321" s="19"/>
      <c r="Q321" s="19"/>
      <c r="R321" s="19"/>
      <c r="S321" s="19"/>
      <c r="T321" s="19"/>
      <c r="U321" s="19"/>
      <c r="V321" s="19"/>
      <c r="W321" s="19"/>
      <c r="X321" s="19"/>
      <c r="Y321" s="19"/>
      <c r="Z321" s="19"/>
      <c r="AA321" s="19"/>
      <c r="AB321" s="19"/>
      <c r="FE321" s="54"/>
    </row>
    <row r="322" spans="1:161" s="18" customFormat="1">
      <c r="A322" s="51"/>
      <c r="B322" s="735"/>
      <c r="C322" s="735"/>
      <c r="D322" s="735"/>
      <c r="E322" s="735"/>
      <c r="F322" s="736"/>
      <c r="G322" s="735"/>
      <c r="H322" s="735"/>
      <c r="I322" s="735"/>
      <c r="J322" s="735"/>
      <c r="K322" s="735"/>
      <c r="L322" s="735"/>
      <c r="M322" s="735"/>
      <c r="N322" s="735"/>
      <c r="O322" s="19"/>
      <c r="P322" s="19"/>
      <c r="Q322" s="19"/>
      <c r="R322" s="19"/>
      <c r="S322" s="19"/>
      <c r="T322" s="19"/>
      <c r="U322" s="19"/>
      <c r="V322" s="19"/>
      <c r="W322" s="19"/>
      <c r="X322" s="19"/>
      <c r="Y322" s="19"/>
      <c r="Z322" s="19"/>
      <c r="AA322" s="19"/>
      <c r="AB322" s="19"/>
      <c r="FE322" s="54"/>
    </row>
    <row r="323" spans="1:161" s="18" customFormat="1">
      <c r="A323" s="51"/>
      <c r="B323" s="735"/>
      <c r="C323" s="735"/>
      <c r="D323" s="735"/>
      <c r="E323" s="735"/>
      <c r="F323" s="736"/>
      <c r="G323" s="735"/>
      <c r="H323" s="735"/>
      <c r="I323" s="735"/>
      <c r="J323" s="735"/>
      <c r="K323" s="735"/>
      <c r="L323" s="735"/>
      <c r="M323" s="735"/>
      <c r="N323" s="735"/>
      <c r="O323" s="19"/>
      <c r="P323" s="19"/>
      <c r="Q323" s="19"/>
      <c r="R323" s="19"/>
      <c r="S323" s="19"/>
      <c r="T323" s="19"/>
      <c r="U323" s="19"/>
      <c r="V323" s="19"/>
      <c r="W323" s="19"/>
      <c r="X323" s="19"/>
      <c r="Y323" s="19"/>
      <c r="Z323" s="19"/>
      <c r="AA323" s="19"/>
      <c r="AB323" s="19"/>
      <c r="FE323" s="54"/>
    </row>
    <row r="324" spans="1:161" s="18" customFormat="1">
      <c r="A324" s="51"/>
      <c r="B324" s="735"/>
      <c r="C324" s="735"/>
      <c r="D324" s="735"/>
      <c r="E324" s="735"/>
      <c r="F324" s="736"/>
      <c r="G324" s="735"/>
      <c r="H324" s="735"/>
      <c r="I324" s="735"/>
      <c r="J324" s="735"/>
      <c r="K324" s="735"/>
      <c r="L324" s="735"/>
      <c r="M324" s="735"/>
      <c r="N324" s="735"/>
      <c r="O324" s="19"/>
      <c r="P324" s="19"/>
      <c r="Q324" s="19"/>
      <c r="R324" s="19"/>
      <c r="S324" s="19"/>
      <c r="T324" s="19"/>
      <c r="U324" s="19"/>
      <c r="V324" s="19"/>
      <c r="W324" s="19"/>
      <c r="X324" s="19"/>
      <c r="Y324" s="19"/>
      <c r="Z324" s="19"/>
      <c r="AA324" s="19"/>
      <c r="AB324" s="19"/>
      <c r="FE324" s="54"/>
    </row>
    <row r="325" spans="1:161" s="18" customFormat="1">
      <c r="A325" s="51"/>
      <c r="B325" s="735"/>
      <c r="C325" s="735"/>
      <c r="D325" s="735"/>
      <c r="E325" s="735"/>
      <c r="F325" s="736"/>
      <c r="G325" s="735"/>
      <c r="H325" s="735"/>
      <c r="I325" s="735"/>
      <c r="J325" s="735"/>
      <c r="K325" s="735"/>
      <c r="L325" s="735"/>
      <c r="M325" s="735"/>
      <c r="N325" s="735"/>
      <c r="O325" s="19"/>
      <c r="P325" s="19"/>
      <c r="Q325" s="19"/>
      <c r="R325" s="19"/>
      <c r="S325" s="19"/>
      <c r="T325" s="19"/>
      <c r="U325" s="19"/>
      <c r="V325" s="19"/>
      <c r="W325" s="19"/>
      <c r="X325" s="19"/>
      <c r="Y325" s="19"/>
      <c r="Z325" s="19"/>
      <c r="AA325" s="19"/>
      <c r="AB325" s="19"/>
      <c r="FE325" s="54"/>
    </row>
    <row r="326" spans="1:161" s="18" customFormat="1">
      <c r="A326" s="51"/>
      <c r="B326" s="735"/>
      <c r="C326" s="735"/>
      <c r="D326" s="735"/>
      <c r="E326" s="735"/>
      <c r="F326" s="736"/>
      <c r="G326" s="735"/>
      <c r="H326" s="735"/>
      <c r="I326" s="735"/>
      <c r="J326" s="735"/>
      <c r="K326" s="735"/>
      <c r="L326" s="735"/>
      <c r="M326" s="735"/>
      <c r="N326" s="735"/>
      <c r="O326" s="19"/>
      <c r="P326" s="19"/>
      <c r="Q326" s="19"/>
      <c r="R326" s="19"/>
      <c r="S326" s="19"/>
      <c r="T326" s="19"/>
      <c r="U326" s="19"/>
      <c r="V326" s="19"/>
      <c r="W326" s="19"/>
      <c r="X326" s="19"/>
      <c r="Y326" s="19"/>
      <c r="Z326" s="19"/>
      <c r="AA326" s="19"/>
      <c r="AB326" s="19"/>
      <c r="FE326" s="54"/>
    </row>
    <row r="327" spans="1:161" s="18" customFormat="1">
      <c r="A327" s="51"/>
      <c r="B327" s="735"/>
      <c r="C327" s="735"/>
      <c r="D327" s="735"/>
      <c r="E327" s="735"/>
      <c r="F327" s="736"/>
      <c r="G327" s="735"/>
      <c r="H327" s="735"/>
      <c r="I327" s="735"/>
      <c r="J327" s="735"/>
      <c r="K327" s="735"/>
      <c r="L327" s="735"/>
      <c r="M327" s="735"/>
      <c r="N327" s="735"/>
      <c r="O327" s="19"/>
      <c r="P327" s="19"/>
      <c r="Q327" s="19"/>
      <c r="R327" s="19"/>
      <c r="S327" s="19"/>
      <c r="T327" s="19"/>
      <c r="U327" s="19"/>
      <c r="V327" s="19"/>
      <c r="W327" s="19"/>
      <c r="X327" s="19"/>
      <c r="Y327" s="19"/>
      <c r="Z327" s="19"/>
      <c r="AA327" s="19"/>
      <c r="AB327" s="19"/>
      <c r="FE327" s="54"/>
    </row>
    <row r="328" spans="1:161" s="18" customFormat="1">
      <c r="A328" s="51"/>
      <c r="B328" s="735"/>
      <c r="C328" s="735"/>
      <c r="D328" s="735"/>
      <c r="E328" s="735"/>
      <c r="F328" s="736"/>
      <c r="G328" s="735"/>
      <c r="H328" s="735"/>
      <c r="I328" s="735"/>
      <c r="J328" s="735"/>
      <c r="K328" s="735"/>
      <c r="L328" s="735"/>
      <c r="M328" s="735"/>
      <c r="N328" s="735"/>
      <c r="O328" s="19"/>
      <c r="P328" s="19"/>
      <c r="Q328" s="19"/>
      <c r="R328" s="19"/>
      <c r="S328" s="19"/>
      <c r="T328" s="19"/>
      <c r="U328" s="19"/>
      <c r="V328" s="19"/>
      <c r="W328" s="19"/>
      <c r="X328" s="19"/>
      <c r="Y328" s="19"/>
      <c r="Z328" s="19"/>
      <c r="AA328" s="19"/>
      <c r="AB328" s="19"/>
      <c r="FE328" s="54"/>
    </row>
    <row r="329" spans="1:161" s="18" customFormat="1">
      <c r="A329" s="51"/>
      <c r="B329" s="735"/>
      <c r="C329" s="735"/>
      <c r="D329" s="735"/>
      <c r="E329" s="735"/>
      <c r="F329" s="736"/>
      <c r="G329" s="735"/>
      <c r="H329" s="735"/>
      <c r="I329" s="735"/>
      <c r="J329" s="735"/>
      <c r="K329" s="735"/>
      <c r="L329" s="735"/>
      <c r="M329" s="735"/>
      <c r="N329" s="735"/>
      <c r="O329" s="19"/>
      <c r="P329" s="19"/>
      <c r="Q329" s="19"/>
      <c r="R329" s="19"/>
      <c r="S329" s="19"/>
      <c r="T329" s="19"/>
      <c r="U329" s="19"/>
      <c r="V329" s="19"/>
      <c r="W329" s="19"/>
      <c r="X329" s="19"/>
      <c r="Y329" s="19"/>
      <c r="Z329" s="19"/>
      <c r="AA329" s="19"/>
      <c r="AB329" s="19"/>
      <c r="FE329" s="54"/>
    </row>
    <row r="330" spans="1:161" s="18" customFormat="1">
      <c r="A330" s="51"/>
      <c r="B330" s="735"/>
      <c r="C330" s="735"/>
      <c r="D330" s="735"/>
      <c r="E330" s="735"/>
      <c r="F330" s="736"/>
      <c r="G330" s="735"/>
      <c r="H330" s="735"/>
      <c r="I330" s="735"/>
      <c r="J330" s="735"/>
      <c r="K330" s="735"/>
      <c r="L330" s="735"/>
      <c r="M330" s="735"/>
      <c r="N330" s="735"/>
      <c r="O330" s="19"/>
      <c r="P330" s="19"/>
      <c r="Q330" s="19"/>
      <c r="R330" s="19"/>
      <c r="S330" s="19"/>
      <c r="T330" s="19"/>
      <c r="U330" s="19"/>
      <c r="V330" s="19"/>
      <c r="W330" s="19"/>
      <c r="X330" s="19"/>
      <c r="Y330" s="19"/>
      <c r="Z330" s="19"/>
      <c r="AA330" s="19"/>
      <c r="AB330" s="19"/>
      <c r="FE330" s="54"/>
    </row>
    <row r="331" spans="1:161" s="18" customFormat="1">
      <c r="A331" s="51"/>
      <c r="B331" s="735"/>
      <c r="C331" s="735"/>
      <c r="D331" s="735"/>
      <c r="E331" s="735"/>
      <c r="F331" s="736"/>
      <c r="G331" s="735"/>
      <c r="H331" s="735"/>
      <c r="I331" s="735"/>
      <c r="J331" s="735"/>
      <c r="K331" s="735"/>
      <c r="L331" s="735"/>
      <c r="M331" s="735"/>
      <c r="N331" s="735"/>
      <c r="O331" s="19"/>
      <c r="P331" s="19"/>
      <c r="Q331" s="19"/>
      <c r="R331" s="19"/>
      <c r="S331" s="19"/>
      <c r="T331" s="19"/>
      <c r="U331" s="19"/>
      <c r="V331" s="19"/>
      <c r="W331" s="19"/>
      <c r="X331" s="19"/>
      <c r="Y331" s="19"/>
      <c r="Z331" s="19"/>
      <c r="AA331" s="19"/>
      <c r="AB331" s="19"/>
      <c r="FE331" s="54"/>
    </row>
    <row r="332" spans="1:161" s="18" customFormat="1">
      <c r="A332" s="51"/>
      <c r="B332" s="735"/>
      <c r="C332" s="735"/>
      <c r="D332" s="735"/>
      <c r="E332" s="735"/>
      <c r="F332" s="736"/>
      <c r="G332" s="735"/>
      <c r="H332" s="735"/>
      <c r="I332" s="735"/>
      <c r="J332" s="735"/>
      <c r="K332" s="735"/>
      <c r="L332" s="735"/>
      <c r="M332" s="735"/>
      <c r="N332" s="735"/>
      <c r="O332" s="19"/>
      <c r="P332" s="19"/>
      <c r="Q332" s="19"/>
      <c r="R332" s="19"/>
      <c r="S332" s="19"/>
      <c r="T332" s="19"/>
      <c r="U332" s="19"/>
      <c r="V332" s="19"/>
      <c r="W332" s="19"/>
      <c r="X332" s="19"/>
      <c r="Y332" s="19"/>
      <c r="Z332" s="19"/>
      <c r="AA332" s="19"/>
      <c r="AB332" s="19"/>
      <c r="FE332" s="54"/>
    </row>
    <row r="333" spans="1:161" s="18" customFormat="1">
      <c r="A333" s="51"/>
      <c r="B333" s="735"/>
      <c r="C333" s="735"/>
      <c r="D333" s="735"/>
      <c r="E333" s="735"/>
      <c r="F333" s="736"/>
      <c r="G333" s="735"/>
      <c r="H333" s="735"/>
      <c r="I333" s="735"/>
      <c r="J333" s="735"/>
      <c r="K333" s="735"/>
      <c r="L333" s="735"/>
      <c r="M333" s="735"/>
      <c r="N333" s="735"/>
      <c r="O333" s="19"/>
      <c r="P333" s="19"/>
      <c r="Q333" s="19"/>
      <c r="R333" s="19"/>
      <c r="S333" s="19"/>
      <c r="T333" s="19"/>
      <c r="U333" s="19"/>
      <c r="V333" s="19"/>
      <c r="W333" s="19"/>
      <c r="X333" s="19"/>
      <c r="Y333" s="19"/>
      <c r="Z333" s="19"/>
      <c r="AA333" s="19"/>
      <c r="AB333" s="19"/>
      <c r="FE333" s="54"/>
    </row>
    <row r="334" spans="1:161" s="18" customFormat="1">
      <c r="A334" s="51"/>
      <c r="B334" s="735"/>
      <c r="C334" s="735"/>
      <c r="D334" s="735"/>
      <c r="E334" s="735"/>
      <c r="F334" s="736"/>
      <c r="G334" s="735"/>
      <c r="H334" s="735"/>
      <c r="I334" s="735"/>
      <c r="J334" s="735"/>
      <c r="K334" s="735"/>
      <c r="L334" s="735"/>
      <c r="M334" s="735"/>
      <c r="N334" s="735"/>
      <c r="O334" s="19"/>
      <c r="P334" s="19"/>
      <c r="Q334" s="19"/>
      <c r="R334" s="19"/>
      <c r="S334" s="19"/>
      <c r="T334" s="19"/>
      <c r="U334" s="19"/>
      <c r="V334" s="19"/>
      <c r="W334" s="19"/>
      <c r="X334" s="19"/>
      <c r="Y334" s="19"/>
      <c r="Z334" s="19"/>
      <c r="AA334" s="19"/>
      <c r="AB334" s="19"/>
      <c r="FE334" s="54"/>
    </row>
    <row r="335" spans="1:161" s="18" customFormat="1">
      <c r="A335" s="51"/>
      <c r="B335" s="735"/>
      <c r="C335" s="735"/>
      <c r="D335" s="735"/>
      <c r="E335" s="735"/>
      <c r="F335" s="736"/>
      <c r="G335" s="735"/>
      <c r="H335" s="735"/>
      <c r="I335" s="735"/>
      <c r="J335" s="735"/>
      <c r="K335" s="735"/>
      <c r="L335" s="735"/>
      <c r="M335" s="735"/>
      <c r="N335" s="735"/>
      <c r="O335" s="19"/>
      <c r="P335" s="19"/>
      <c r="Q335" s="19"/>
      <c r="R335" s="19"/>
      <c r="S335" s="19"/>
      <c r="T335" s="19"/>
      <c r="U335" s="19"/>
      <c r="V335" s="19"/>
      <c r="W335" s="19"/>
      <c r="X335" s="19"/>
      <c r="Y335" s="19"/>
      <c r="Z335" s="19"/>
      <c r="AA335" s="19"/>
      <c r="AB335" s="19"/>
      <c r="FE335" s="54"/>
    </row>
    <row r="336" spans="1:161" s="18" customFormat="1">
      <c r="A336" s="51"/>
      <c r="B336" s="735"/>
      <c r="C336" s="735"/>
      <c r="D336" s="735"/>
      <c r="E336" s="735"/>
      <c r="F336" s="736"/>
      <c r="G336" s="735"/>
      <c r="H336" s="735"/>
      <c r="I336" s="735"/>
      <c r="J336" s="735"/>
      <c r="K336" s="735"/>
      <c r="L336" s="735"/>
      <c r="M336" s="735"/>
      <c r="N336" s="735"/>
      <c r="O336" s="19"/>
      <c r="P336" s="19"/>
      <c r="Q336" s="19"/>
      <c r="R336" s="19"/>
      <c r="S336" s="19"/>
      <c r="T336" s="19"/>
      <c r="U336" s="19"/>
      <c r="V336" s="19"/>
      <c r="W336" s="19"/>
      <c r="X336" s="19"/>
      <c r="Y336" s="19"/>
      <c r="Z336" s="19"/>
      <c r="AA336" s="19"/>
      <c r="AB336" s="19"/>
      <c r="FE336" s="54"/>
    </row>
    <row r="337" spans="1:161" s="18" customFormat="1">
      <c r="A337" s="51"/>
      <c r="B337" s="735"/>
      <c r="C337" s="735"/>
      <c r="D337" s="735"/>
      <c r="E337" s="735"/>
      <c r="F337" s="736"/>
      <c r="G337" s="735"/>
      <c r="H337" s="735"/>
      <c r="I337" s="735"/>
      <c r="J337" s="735"/>
      <c r="K337" s="735"/>
      <c r="L337" s="735"/>
      <c r="M337" s="735"/>
      <c r="N337" s="735"/>
      <c r="O337" s="19"/>
      <c r="P337" s="19"/>
      <c r="Q337" s="19"/>
      <c r="R337" s="19"/>
      <c r="S337" s="19"/>
      <c r="T337" s="19"/>
      <c r="U337" s="19"/>
      <c r="V337" s="19"/>
      <c r="W337" s="19"/>
      <c r="X337" s="19"/>
      <c r="Y337" s="19"/>
      <c r="Z337" s="19"/>
      <c r="AA337" s="19"/>
      <c r="AB337" s="19"/>
      <c r="FE337" s="54"/>
    </row>
    <row r="338" spans="1:161" s="18" customFormat="1">
      <c r="A338" s="51"/>
      <c r="B338" s="735"/>
      <c r="C338" s="735"/>
      <c r="D338" s="735"/>
      <c r="E338" s="735"/>
      <c r="F338" s="736"/>
      <c r="G338" s="735"/>
      <c r="H338" s="735"/>
      <c r="I338" s="735"/>
      <c r="J338" s="735"/>
      <c r="K338" s="735"/>
      <c r="L338" s="735"/>
      <c r="M338" s="735"/>
      <c r="N338" s="735"/>
      <c r="O338" s="19"/>
      <c r="P338" s="19"/>
      <c r="Q338" s="19"/>
      <c r="R338" s="19"/>
      <c r="S338" s="19"/>
      <c r="T338" s="19"/>
      <c r="U338" s="19"/>
      <c r="V338" s="19"/>
      <c r="W338" s="19"/>
      <c r="X338" s="19"/>
      <c r="Y338" s="19"/>
      <c r="Z338" s="19"/>
      <c r="AA338" s="19"/>
      <c r="AB338" s="19"/>
      <c r="FE338" s="54"/>
    </row>
    <row r="339" spans="1:161" s="18" customFormat="1">
      <c r="A339" s="51"/>
      <c r="B339" s="735"/>
      <c r="C339" s="735"/>
      <c r="D339" s="735"/>
      <c r="E339" s="735"/>
      <c r="F339" s="736"/>
      <c r="G339" s="735"/>
      <c r="H339" s="735"/>
      <c r="I339" s="735"/>
      <c r="J339" s="735"/>
      <c r="K339" s="735"/>
      <c r="L339" s="735"/>
      <c r="M339" s="735"/>
      <c r="N339" s="735"/>
      <c r="O339" s="19"/>
      <c r="P339" s="19"/>
      <c r="Q339" s="19"/>
      <c r="R339" s="19"/>
      <c r="S339" s="19"/>
      <c r="T339" s="19"/>
      <c r="U339" s="19"/>
      <c r="V339" s="19"/>
      <c r="W339" s="19"/>
      <c r="X339" s="19"/>
      <c r="Y339" s="19"/>
      <c r="Z339" s="19"/>
      <c r="AA339" s="19"/>
      <c r="AB339" s="19"/>
      <c r="FE339" s="54"/>
    </row>
    <row r="340" spans="1:161" s="18" customFormat="1">
      <c r="A340" s="51"/>
      <c r="B340" s="735"/>
      <c r="C340" s="735"/>
      <c r="D340" s="735"/>
      <c r="E340" s="735"/>
      <c r="F340" s="736"/>
      <c r="G340" s="735"/>
      <c r="H340" s="735"/>
      <c r="I340" s="735"/>
      <c r="J340" s="735"/>
      <c r="K340" s="735"/>
      <c r="L340" s="735"/>
      <c r="M340" s="735"/>
      <c r="N340" s="735"/>
      <c r="O340" s="19"/>
      <c r="P340" s="19"/>
      <c r="Q340" s="19"/>
      <c r="R340" s="19"/>
      <c r="S340" s="19"/>
      <c r="T340" s="19"/>
      <c r="U340" s="19"/>
      <c r="V340" s="19"/>
      <c r="W340" s="19"/>
      <c r="X340" s="19"/>
      <c r="Y340" s="19"/>
      <c r="Z340" s="19"/>
      <c r="AA340" s="19"/>
      <c r="AB340" s="19"/>
      <c r="FE340" s="54"/>
    </row>
    <row r="341" spans="1:161" s="18" customFormat="1">
      <c r="A341" s="51"/>
      <c r="B341" s="735"/>
      <c r="C341" s="735"/>
      <c r="D341" s="735"/>
      <c r="E341" s="735"/>
      <c r="F341" s="736"/>
      <c r="G341" s="735"/>
      <c r="H341" s="735"/>
      <c r="I341" s="735"/>
      <c r="J341" s="735"/>
      <c r="K341" s="735"/>
      <c r="L341" s="735"/>
      <c r="M341" s="735"/>
      <c r="N341" s="735"/>
      <c r="O341" s="19"/>
      <c r="P341" s="19"/>
      <c r="Q341" s="19"/>
      <c r="R341" s="19"/>
      <c r="S341" s="19"/>
      <c r="T341" s="19"/>
      <c r="U341" s="19"/>
      <c r="V341" s="19"/>
      <c r="W341" s="19"/>
      <c r="X341" s="19"/>
      <c r="Y341" s="19"/>
      <c r="Z341" s="19"/>
      <c r="AA341" s="19"/>
      <c r="AB341" s="19"/>
      <c r="FE341" s="54"/>
    </row>
    <row r="342" spans="1:161" s="18" customFormat="1">
      <c r="A342" s="51"/>
      <c r="B342" s="735"/>
      <c r="C342" s="735"/>
      <c r="D342" s="735"/>
      <c r="E342" s="735"/>
      <c r="F342" s="736"/>
      <c r="G342" s="735"/>
      <c r="H342" s="735"/>
      <c r="I342" s="735"/>
      <c r="J342" s="735"/>
      <c r="K342" s="735"/>
      <c r="L342" s="735"/>
      <c r="M342" s="735"/>
      <c r="N342" s="735"/>
      <c r="O342" s="19"/>
      <c r="P342" s="19"/>
      <c r="Q342" s="19"/>
      <c r="R342" s="19"/>
      <c r="S342" s="19"/>
      <c r="T342" s="19"/>
      <c r="U342" s="19"/>
      <c r="V342" s="19"/>
      <c r="W342" s="19"/>
      <c r="X342" s="19"/>
      <c r="Y342" s="19"/>
      <c r="Z342" s="19"/>
      <c r="AA342" s="19"/>
      <c r="AB342" s="19"/>
      <c r="FE342" s="54"/>
    </row>
    <row r="343" spans="1:161" s="18" customFormat="1">
      <c r="A343" s="51"/>
      <c r="B343" s="735"/>
      <c r="C343" s="735"/>
      <c r="D343" s="735"/>
      <c r="E343" s="735"/>
      <c r="F343" s="736"/>
      <c r="G343" s="735"/>
      <c r="H343" s="735"/>
      <c r="I343" s="735"/>
      <c r="J343" s="735"/>
      <c r="K343" s="735"/>
      <c r="L343" s="735"/>
      <c r="M343" s="735"/>
      <c r="N343" s="735"/>
      <c r="O343" s="19"/>
      <c r="P343" s="19"/>
      <c r="Q343" s="19"/>
      <c r="R343" s="19"/>
      <c r="S343" s="19"/>
      <c r="T343" s="19"/>
      <c r="U343" s="19"/>
      <c r="V343" s="19"/>
      <c r="W343" s="19"/>
      <c r="X343" s="19"/>
      <c r="Y343" s="19"/>
      <c r="Z343" s="19"/>
      <c r="AA343" s="19"/>
      <c r="AB343" s="19"/>
      <c r="FE343" s="54"/>
    </row>
    <row r="344" spans="1:161" s="18" customFormat="1">
      <c r="A344" s="51"/>
      <c r="B344" s="735"/>
      <c r="C344" s="735"/>
      <c r="D344" s="735"/>
      <c r="E344" s="735"/>
      <c r="F344" s="736"/>
      <c r="G344" s="735"/>
      <c r="H344" s="735"/>
      <c r="I344" s="735"/>
      <c r="J344" s="735"/>
      <c r="K344" s="735"/>
      <c r="L344" s="735"/>
      <c r="M344" s="735"/>
      <c r="N344" s="735"/>
      <c r="O344" s="19"/>
      <c r="P344" s="19"/>
      <c r="Q344" s="19"/>
      <c r="R344" s="19"/>
      <c r="S344" s="19"/>
      <c r="T344" s="19"/>
      <c r="U344" s="19"/>
      <c r="V344" s="19"/>
      <c r="W344" s="19"/>
      <c r="X344" s="19"/>
      <c r="Y344" s="19"/>
      <c r="Z344" s="19"/>
      <c r="AA344" s="19"/>
      <c r="AB344" s="19"/>
      <c r="FE344" s="54"/>
    </row>
    <row r="345" spans="1:161" s="18" customFormat="1">
      <c r="A345" s="51"/>
      <c r="B345" s="735"/>
      <c r="C345" s="735"/>
      <c r="D345" s="735"/>
      <c r="E345" s="735"/>
      <c r="F345" s="736"/>
      <c r="G345" s="735"/>
      <c r="H345" s="735"/>
      <c r="I345" s="735"/>
      <c r="J345" s="735"/>
      <c r="K345" s="735"/>
      <c r="L345" s="735"/>
      <c r="M345" s="735"/>
      <c r="N345" s="735"/>
      <c r="O345" s="19"/>
      <c r="P345" s="19"/>
      <c r="Q345" s="19"/>
      <c r="R345" s="19"/>
      <c r="S345" s="19"/>
      <c r="T345" s="19"/>
      <c r="U345" s="19"/>
      <c r="V345" s="19"/>
      <c r="W345" s="19"/>
      <c r="X345" s="19"/>
      <c r="Y345" s="19"/>
      <c r="Z345" s="19"/>
      <c r="AA345" s="19"/>
      <c r="AB345" s="19"/>
      <c r="FE345" s="54"/>
    </row>
    <row r="346" spans="1:161" s="18" customFormat="1">
      <c r="A346" s="51"/>
      <c r="B346" s="735"/>
      <c r="C346" s="735"/>
      <c r="D346" s="735"/>
      <c r="E346" s="735"/>
      <c r="F346" s="736"/>
      <c r="G346" s="735"/>
      <c r="H346" s="735"/>
      <c r="I346" s="735"/>
      <c r="J346" s="735"/>
      <c r="K346" s="735"/>
      <c r="L346" s="735"/>
      <c r="M346" s="735"/>
      <c r="N346" s="735"/>
      <c r="O346" s="19"/>
      <c r="P346" s="19"/>
      <c r="Q346" s="19"/>
      <c r="R346" s="19"/>
      <c r="S346" s="19"/>
      <c r="T346" s="19"/>
      <c r="U346" s="19"/>
      <c r="V346" s="19"/>
      <c r="W346" s="19"/>
      <c r="X346" s="19"/>
      <c r="Y346" s="19"/>
      <c r="Z346" s="19"/>
      <c r="AA346" s="19"/>
      <c r="AB346" s="19"/>
      <c r="FE346" s="54"/>
    </row>
    <row r="347" spans="1:161" s="18" customFormat="1">
      <c r="A347" s="51"/>
      <c r="B347" s="735"/>
      <c r="C347" s="735"/>
      <c r="D347" s="735"/>
      <c r="E347" s="735"/>
      <c r="F347" s="736"/>
      <c r="G347" s="735"/>
      <c r="H347" s="735"/>
      <c r="I347" s="735"/>
      <c r="J347" s="735"/>
      <c r="K347" s="735"/>
      <c r="L347" s="735"/>
      <c r="M347" s="735"/>
      <c r="N347" s="735"/>
      <c r="O347" s="19"/>
      <c r="P347" s="19"/>
      <c r="Q347" s="19"/>
      <c r="R347" s="19"/>
      <c r="S347" s="19"/>
      <c r="T347" s="19"/>
      <c r="U347" s="19"/>
      <c r="V347" s="19"/>
      <c r="W347" s="19"/>
      <c r="X347" s="19"/>
      <c r="Y347" s="19"/>
      <c r="Z347" s="19"/>
      <c r="AA347" s="19"/>
      <c r="AB347" s="19"/>
      <c r="FE347" s="54"/>
    </row>
    <row r="348" spans="1:161" s="18" customFormat="1">
      <c r="A348" s="51"/>
      <c r="B348" s="735"/>
      <c r="C348" s="735"/>
      <c r="D348" s="735"/>
      <c r="E348" s="735"/>
      <c r="F348" s="736"/>
      <c r="G348" s="735"/>
      <c r="H348" s="735"/>
      <c r="I348" s="735"/>
      <c r="J348" s="735"/>
      <c r="K348" s="735"/>
      <c r="L348" s="735"/>
      <c r="M348" s="735"/>
      <c r="N348" s="735"/>
      <c r="O348" s="19"/>
      <c r="P348" s="19"/>
      <c r="Q348" s="19"/>
      <c r="R348" s="19"/>
      <c r="S348" s="19"/>
      <c r="T348" s="19"/>
      <c r="U348" s="19"/>
      <c r="V348" s="19"/>
      <c r="W348" s="19"/>
      <c r="X348" s="19"/>
      <c r="Y348" s="19"/>
      <c r="Z348" s="19"/>
      <c r="AA348" s="19"/>
      <c r="AB348" s="19"/>
      <c r="FE348" s="54"/>
    </row>
    <row r="349" spans="1:161" s="18" customFormat="1">
      <c r="A349" s="51"/>
      <c r="B349" s="735"/>
      <c r="C349" s="735"/>
      <c r="D349" s="735"/>
      <c r="E349" s="735"/>
      <c r="F349" s="736"/>
      <c r="G349" s="735"/>
      <c r="H349" s="735"/>
      <c r="I349" s="735"/>
      <c r="J349" s="735"/>
      <c r="K349" s="735"/>
      <c r="L349" s="735"/>
      <c r="M349" s="735"/>
      <c r="N349" s="735"/>
      <c r="O349" s="19"/>
      <c r="P349" s="19"/>
      <c r="Q349" s="19"/>
      <c r="R349" s="19"/>
      <c r="S349" s="19"/>
      <c r="T349" s="19"/>
      <c r="U349" s="19"/>
      <c r="V349" s="19"/>
      <c r="W349" s="19"/>
      <c r="X349" s="19"/>
      <c r="Y349" s="19"/>
      <c r="Z349" s="19"/>
      <c r="AA349" s="19"/>
      <c r="AB349" s="19"/>
      <c r="FE349" s="54"/>
    </row>
    <row r="350" spans="1:161" s="18" customFormat="1">
      <c r="A350" s="51"/>
      <c r="B350" s="735"/>
      <c r="C350" s="735"/>
      <c r="D350" s="735"/>
      <c r="E350" s="735"/>
      <c r="F350" s="736"/>
      <c r="G350" s="735"/>
      <c r="H350" s="735"/>
      <c r="I350" s="735"/>
      <c r="J350" s="735"/>
      <c r="K350" s="735"/>
      <c r="L350" s="735"/>
      <c r="M350" s="735"/>
      <c r="N350" s="735"/>
      <c r="O350" s="19"/>
      <c r="P350" s="19"/>
      <c r="Q350" s="19"/>
      <c r="R350" s="19"/>
      <c r="S350" s="19"/>
      <c r="T350" s="19"/>
      <c r="U350" s="19"/>
      <c r="V350" s="19"/>
      <c r="W350" s="19"/>
      <c r="X350" s="19"/>
      <c r="Y350" s="19"/>
      <c r="Z350" s="19"/>
      <c r="AA350" s="19"/>
      <c r="AB350" s="19"/>
      <c r="FE350" s="54"/>
    </row>
    <row r="351" spans="1:161" s="18" customFormat="1">
      <c r="A351" s="51"/>
      <c r="B351" s="735"/>
      <c r="C351" s="735"/>
      <c r="D351" s="735"/>
      <c r="E351" s="735"/>
      <c r="F351" s="736"/>
      <c r="G351" s="735"/>
      <c r="H351" s="735"/>
      <c r="I351" s="735"/>
      <c r="J351" s="735"/>
      <c r="K351" s="735"/>
      <c r="L351" s="735"/>
      <c r="M351" s="735"/>
      <c r="N351" s="735"/>
      <c r="O351" s="19"/>
      <c r="P351" s="19"/>
      <c r="Q351" s="19"/>
      <c r="R351" s="19"/>
      <c r="S351" s="19"/>
      <c r="T351" s="19"/>
      <c r="U351" s="19"/>
      <c r="V351" s="19"/>
      <c r="W351" s="19"/>
      <c r="X351" s="19"/>
      <c r="Y351" s="19"/>
      <c r="Z351" s="19"/>
      <c r="AA351" s="19"/>
      <c r="AB351" s="19"/>
      <c r="FE351" s="54"/>
    </row>
    <row r="352" spans="1:161" s="18" customFormat="1">
      <c r="A352" s="51"/>
      <c r="B352" s="735"/>
      <c r="C352" s="735"/>
      <c r="D352" s="735"/>
      <c r="E352" s="735"/>
      <c r="F352" s="736"/>
      <c r="G352" s="735"/>
      <c r="H352" s="735"/>
      <c r="I352" s="735"/>
      <c r="J352" s="735"/>
      <c r="K352" s="735"/>
      <c r="L352" s="735"/>
      <c r="M352" s="735"/>
      <c r="N352" s="735"/>
      <c r="O352" s="19"/>
      <c r="P352" s="19"/>
      <c r="Q352" s="19"/>
      <c r="R352" s="19"/>
      <c r="S352" s="19"/>
      <c r="T352" s="19"/>
      <c r="U352" s="19"/>
      <c r="V352" s="19"/>
      <c r="W352" s="19"/>
      <c r="X352" s="19"/>
      <c r="Y352" s="19"/>
      <c r="Z352" s="19"/>
      <c r="AA352" s="19"/>
      <c r="AB352" s="19"/>
      <c r="FE352" s="54"/>
    </row>
    <row r="353" spans="1:161" s="18" customFormat="1">
      <c r="A353" s="51"/>
      <c r="B353" s="735"/>
      <c r="C353" s="735"/>
      <c r="D353" s="735"/>
      <c r="E353" s="735"/>
      <c r="F353" s="736"/>
      <c r="G353" s="735"/>
      <c r="H353" s="735"/>
      <c r="I353" s="735"/>
      <c r="J353" s="735"/>
      <c r="K353" s="735"/>
      <c r="L353" s="735"/>
      <c r="M353" s="735"/>
      <c r="N353" s="735"/>
      <c r="O353" s="19"/>
      <c r="P353" s="19"/>
      <c r="Q353" s="19"/>
      <c r="R353" s="19"/>
      <c r="S353" s="19"/>
      <c r="T353" s="19"/>
      <c r="U353" s="19"/>
      <c r="V353" s="19"/>
      <c r="W353" s="19"/>
      <c r="X353" s="19"/>
      <c r="Y353" s="19"/>
      <c r="Z353" s="19"/>
      <c r="AA353" s="19"/>
      <c r="AB353" s="19"/>
      <c r="FE353" s="54"/>
    </row>
    <row r="354" spans="1:161" s="18" customFormat="1">
      <c r="A354" s="51"/>
      <c r="B354" s="735"/>
      <c r="C354" s="735"/>
      <c r="D354" s="735"/>
      <c r="E354" s="735"/>
      <c r="F354" s="736"/>
      <c r="G354" s="735"/>
      <c r="H354" s="735"/>
      <c r="I354" s="735"/>
      <c r="J354" s="735"/>
      <c r="K354" s="735"/>
      <c r="L354" s="735"/>
      <c r="M354" s="735"/>
      <c r="N354" s="735"/>
      <c r="O354" s="19"/>
      <c r="P354" s="19"/>
      <c r="Q354" s="19"/>
      <c r="R354" s="19"/>
      <c r="S354" s="19"/>
      <c r="T354" s="19"/>
      <c r="U354" s="19"/>
      <c r="V354" s="19"/>
      <c r="W354" s="19"/>
      <c r="X354" s="19"/>
      <c r="Y354" s="19"/>
      <c r="Z354" s="19"/>
      <c r="AA354" s="19"/>
      <c r="AB354" s="19"/>
      <c r="FE354" s="54"/>
    </row>
    <row r="355" spans="1:161" s="18" customFormat="1">
      <c r="A355" s="51"/>
      <c r="B355" s="735"/>
      <c r="C355" s="735"/>
      <c r="D355" s="735"/>
      <c r="E355" s="735"/>
      <c r="F355" s="736"/>
      <c r="G355" s="735"/>
      <c r="H355" s="735"/>
      <c r="I355" s="735"/>
      <c r="J355" s="735"/>
      <c r="K355" s="735"/>
      <c r="L355" s="735"/>
      <c r="M355" s="735"/>
      <c r="N355" s="735"/>
      <c r="O355" s="19"/>
      <c r="P355" s="19"/>
      <c r="Q355" s="19"/>
      <c r="R355" s="19"/>
      <c r="S355" s="19"/>
      <c r="T355" s="19"/>
      <c r="U355" s="19"/>
      <c r="V355" s="19"/>
      <c r="W355" s="19"/>
      <c r="X355" s="19"/>
      <c r="Y355" s="19"/>
      <c r="Z355" s="19"/>
      <c r="AA355" s="19"/>
      <c r="AB355" s="19"/>
      <c r="FE355" s="54"/>
    </row>
    <row r="356" spans="1:161" s="18" customFormat="1">
      <c r="A356" s="51"/>
      <c r="B356" s="735"/>
      <c r="C356" s="735"/>
      <c r="D356" s="735"/>
      <c r="E356" s="735"/>
      <c r="F356" s="736"/>
      <c r="G356" s="735"/>
      <c r="H356" s="735"/>
      <c r="I356" s="735"/>
      <c r="J356" s="735"/>
      <c r="K356" s="735"/>
      <c r="L356" s="735"/>
      <c r="M356" s="735"/>
      <c r="N356" s="735"/>
      <c r="O356" s="19"/>
      <c r="P356" s="19"/>
      <c r="Q356" s="19"/>
      <c r="R356" s="19"/>
      <c r="S356" s="19"/>
      <c r="T356" s="19"/>
      <c r="U356" s="19"/>
      <c r="V356" s="19"/>
      <c r="W356" s="19"/>
      <c r="X356" s="19"/>
      <c r="Y356" s="19"/>
      <c r="Z356" s="19"/>
      <c r="AA356" s="19"/>
      <c r="AB356" s="19"/>
      <c r="FE356" s="54"/>
    </row>
    <row r="357" spans="1:161" s="18" customFormat="1">
      <c r="A357" s="51"/>
      <c r="B357" s="735"/>
      <c r="C357" s="735"/>
      <c r="D357" s="735"/>
      <c r="E357" s="735"/>
      <c r="F357" s="736"/>
      <c r="G357" s="735"/>
      <c r="H357" s="735"/>
      <c r="I357" s="735"/>
      <c r="J357" s="735"/>
      <c r="K357" s="735"/>
      <c r="L357" s="735"/>
      <c r="M357" s="735"/>
      <c r="N357" s="735"/>
      <c r="O357" s="19"/>
      <c r="P357" s="19"/>
      <c r="Q357" s="19"/>
      <c r="R357" s="19"/>
      <c r="S357" s="19"/>
      <c r="T357" s="19"/>
      <c r="U357" s="19"/>
      <c r="V357" s="19"/>
      <c r="W357" s="19"/>
      <c r="X357" s="19"/>
      <c r="Y357" s="19"/>
      <c r="Z357" s="19"/>
      <c r="AA357" s="19"/>
      <c r="AB357" s="19"/>
      <c r="FE357" s="54"/>
    </row>
    <row r="358" spans="1:161" s="18" customFormat="1">
      <c r="A358" s="51"/>
      <c r="B358" s="735"/>
      <c r="C358" s="735"/>
      <c r="D358" s="735"/>
      <c r="E358" s="735"/>
      <c r="F358" s="736"/>
      <c r="G358" s="735"/>
      <c r="H358" s="735"/>
      <c r="I358" s="735"/>
      <c r="J358" s="735"/>
      <c r="K358" s="735"/>
      <c r="L358" s="735"/>
      <c r="M358" s="735"/>
      <c r="N358" s="735"/>
      <c r="O358" s="19"/>
      <c r="P358" s="19"/>
      <c r="Q358" s="19"/>
      <c r="R358" s="19"/>
      <c r="S358" s="19"/>
      <c r="T358" s="19"/>
      <c r="U358" s="19"/>
      <c r="V358" s="19"/>
      <c r="W358" s="19"/>
      <c r="X358" s="19"/>
      <c r="Y358" s="19"/>
      <c r="Z358" s="19"/>
      <c r="AA358" s="19"/>
      <c r="AB358" s="19"/>
      <c r="FE358" s="54"/>
    </row>
    <row r="359" spans="1:161" s="18" customFormat="1">
      <c r="A359" s="51"/>
      <c r="B359" s="735"/>
      <c r="C359" s="735"/>
      <c r="D359" s="735"/>
      <c r="E359" s="735"/>
      <c r="F359" s="736"/>
      <c r="G359" s="735"/>
      <c r="H359" s="735"/>
      <c r="I359" s="735"/>
      <c r="J359" s="735"/>
      <c r="K359" s="735"/>
      <c r="L359" s="735"/>
      <c r="M359" s="735"/>
      <c r="N359" s="735"/>
      <c r="O359" s="19"/>
      <c r="P359" s="19"/>
      <c r="Q359" s="19"/>
      <c r="R359" s="19"/>
      <c r="S359" s="19"/>
      <c r="T359" s="19"/>
      <c r="U359" s="19"/>
      <c r="V359" s="19"/>
      <c r="W359" s="19"/>
      <c r="X359" s="19"/>
      <c r="Y359" s="19"/>
      <c r="Z359" s="19"/>
      <c r="AA359" s="19"/>
      <c r="AB359" s="19"/>
      <c r="FE359" s="54"/>
    </row>
    <row r="360" spans="1:161" s="18" customFormat="1">
      <c r="A360" s="51"/>
      <c r="B360" s="735"/>
      <c r="C360" s="735"/>
      <c r="D360" s="735"/>
      <c r="E360" s="735"/>
      <c r="F360" s="736"/>
      <c r="G360" s="735"/>
      <c r="H360" s="735"/>
      <c r="I360" s="735"/>
      <c r="J360" s="735"/>
      <c r="K360" s="735"/>
      <c r="L360" s="735"/>
      <c r="M360" s="735"/>
      <c r="N360" s="735"/>
      <c r="O360" s="19"/>
      <c r="P360" s="19"/>
      <c r="Q360" s="19"/>
      <c r="R360" s="19"/>
      <c r="S360" s="19"/>
      <c r="T360" s="19"/>
      <c r="U360" s="19"/>
      <c r="V360" s="19"/>
      <c r="W360" s="19"/>
      <c r="X360" s="19"/>
      <c r="Y360" s="19"/>
      <c r="Z360" s="19"/>
      <c r="AA360" s="19"/>
      <c r="AB360" s="19"/>
      <c r="FE360" s="54"/>
    </row>
    <row r="361" spans="1:161" s="18" customFormat="1">
      <c r="A361" s="51"/>
      <c r="B361" s="735"/>
      <c r="C361" s="735"/>
      <c r="D361" s="735"/>
      <c r="E361" s="735"/>
      <c r="F361" s="736"/>
      <c r="G361" s="735"/>
      <c r="H361" s="735"/>
      <c r="I361" s="735"/>
      <c r="J361" s="735"/>
      <c r="K361" s="735"/>
      <c r="L361" s="735"/>
      <c r="M361" s="735"/>
      <c r="N361" s="735"/>
      <c r="O361" s="19"/>
      <c r="P361" s="19"/>
      <c r="Q361" s="19"/>
      <c r="R361" s="19"/>
      <c r="S361" s="19"/>
      <c r="T361" s="19"/>
      <c r="U361" s="19"/>
      <c r="V361" s="19"/>
      <c r="W361" s="19"/>
      <c r="X361" s="19"/>
      <c r="Y361" s="19"/>
      <c r="Z361" s="19"/>
      <c r="AA361" s="19"/>
      <c r="AB361" s="19"/>
      <c r="FE361" s="54"/>
    </row>
    <row r="362" spans="1:161" s="18" customFormat="1">
      <c r="A362" s="51"/>
      <c r="B362" s="735"/>
      <c r="C362" s="735"/>
      <c r="D362" s="735"/>
      <c r="E362" s="735"/>
      <c r="F362" s="736"/>
      <c r="G362" s="735"/>
      <c r="H362" s="735"/>
      <c r="I362" s="735"/>
      <c r="J362" s="735"/>
      <c r="K362" s="735"/>
      <c r="L362" s="735"/>
      <c r="M362" s="735"/>
      <c r="N362" s="735"/>
      <c r="O362" s="19"/>
      <c r="P362" s="19"/>
      <c r="Q362" s="19"/>
      <c r="R362" s="19"/>
      <c r="S362" s="19"/>
      <c r="T362" s="19"/>
      <c r="U362" s="19"/>
      <c r="V362" s="19"/>
      <c r="W362" s="19"/>
      <c r="X362" s="19"/>
      <c r="Y362" s="19"/>
      <c r="Z362" s="19"/>
      <c r="AA362" s="19"/>
      <c r="AB362" s="19"/>
      <c r="FE362" s="54"/>
    </row>
    <row r="363" spans="1:161" s="18" customFormat="1">
      <c r="A363" s="51"/>
      <c r="B363" s="735"/>
      <c r="C363" s="735"/>
      <c r="D363" s="735"/>
      <c r="E363" s="735"/>
      <c r="F363" s="736"/>
      <c r="G363" s="735"/>
      <c r="H363" s="735"/>
      <c r="I363" s="735"/>
      <c r="J363" s="735"/>
      <c r="K363" s="735"/>
      <c r="L363" s="735"/>
      <c r="M363" s="735"/>
      <c r="N363" s="735"/>
      <c r="O363" s="19"/>
      <c r="P363" s="19"/>
      <c r="Q363" s="19"/>
      <c r="R363" s="19"/>
      <c r="S363" s="19"/>
      <c r="T363" s="19"/>
      <c r="U363" s="19"/>
      <c r="V363" s="19"/>
      <c r="W363" s="19"/>
      <c r="X363" s="19"/>
      <c r="Y363" s="19"/>
      <c r="Z363" s="19"/>
      <c r="AA363" s="19"/>
      <c r="AB363" s="19"/>
      <c r="FE363" s="54"/>
    </row>
    <row r="364" spans="1:161" s="18" customFormat="1">
      <c r="A364" s="51"/>
      <c r="B364" s="735"/>
      <c r="C364" s="735"/>
      <c r="D364" s="735"/>
      <c r="E364" s="735"/>
      <c r="F364" s="736"/>
      <c r="G364" s="735"/>
      <c r="H364" s="735"/>
      <c r="I364" s="735"/>
      <c r="J364" s="735"/>
      <c r="K364" s="735"/>
      <c r="L364" s="735"/>
      <c r="M364" s="735"/>
      <c r="N364" s="735"/>
      <c r="O364" s="19"/>
      <c r="P364" s="19"/>
      <c r="Q364" s="19"/>
      <c r="R364" s="19"/>
      <c r="S364" s="19"/>
      <c r="T364" s="19"/>
      <c r="U364" s="19"/>
      <c r="V364" s="19"/>
      <c r="W364" s="19"/>
      <c r="X364" s="19"/>
      <c r="Y364" s="19"/>
      <c r="Z364" s="19"/>
      <c r="AA364" s="19"/>
      <c r="AB364" s="19"/>
      <c r="FE364" s="54"/>
    </row>
    <row r="365" spans="1:161" s="18" customFormat="1">
      <c r="A365" s="51"/>
      <c r="B365" s="735"/>
      <c r="C365" s="735"/>
      <c r="D365" s="735"/>
      <c r="E365" s="735"/>
      <c r="F365" s="736"/>
      <c r="G365" s="735"/>
      <c r="H365" s="735"/>
      <c r="I365" s="735"/>
      <c r="J365" s="735"/>
      <c r="K365" s="735"/>
      <c r="L365" s="735"/>
      <c r="M365" s="735"/>
      <c r="N365" s="735"/>
      <c r="O365" s="19"/>
      <c r="P365" s="19"/>
      <c r="Q365" s="19"/>
      <c r="R365" s="19"/>
      <c r="S365" s="19"/>
      <c r="T365" s="19"/>
      <c r="U365" s="19"/>
      <c r="V365" s="19"/>
      <c r="W365" s="19"/>
      <c r="X365" s="19"/>
      <c r="Y365" s="19"/>
      <c r="Z365" s="19"/>
      <c r="AA365" s="19"/>
      <c r="AB365" s="19"/>
      <c r="FE365" s="54"/>
    </row>
    <row r="366" spans="1:161" s="18" customFormat="1">
      <c r="A366" s="51"/>
      <c r="B366" s="735"/>
      <c r="C366" s="735"/>
      <c r="D366" s="735"/>
      <c r="E366" s="735"/>
      <c r="F366" s="736"/>
      <c r="G366" s="735"/>
      <c r="H366" s="735"/>
      <c r="I366" s="735"/>
      <c r="J366" s="735"/>
      <c r="K366" s="735"/>
      <c r="L366" s="735"/>
      <c r="M366" s="735"/>
      <c r="N366" s="735"/>
      <c r="O366" s="19"/>
      <c r="P366" s="19"/>
      <c r="Q366" s="19"/>
      <c r="R366" s="19"/>
      <c r="S366" s="19"/>
      <c r="T366" s="19"/>
      <c r="U366" s="19"/>
      <c r="V366" s="19"/>
      <c r="W366" s="19"/>
      <c r="X366" s="19"/>
      <c r="Y366" s="19"/>
      <c r="Z366" s="19"/>
      <c r="AA366" s="19"/>
      <c r="AB366" s="19"/>
      <c r="FE366" s="54"/>
    </row>
    <row r="367" spans="1:161" s="18" customFormat="1">
      <c r="A367" s="51"/>
      <c r="B367" s="735"/>
      <c r="C367" s="735"/>
      <c r="D367" s="735"/>
      <c r="E367" s="735"/>
      <c r="F367" s="736"/>
      <c r="G367" s="735"/>
      <c r="H367" s="735"/>
      <c r="I367" s="735"/>
      <c r="J367" s="735"/>
      <c r="K367" s="735"/>
      <c r="L367" s="735"/>
      <c r="M367" s="735"/>
      <c r="N367" s="735"/>
      <c r="O367" s="19"/>
      <c r="P367" s="19"/>
      <c r="Q367" s="19"/>
      <c r="R367" s="19"/>
      <c r="S367" s="19"/>
      <c r="T367" s="19"/>
      <c r="U367" s="19"/>
      <c r="V367" s="19"/>
      <c r="W367" s="19"/>
      <c r="X367" s="19"/>
      <c r="Y367" s="19"/>
      <c r="Z367" s="19"/>
      <c r="AA367" s="19"/>
      <c r="AB367" s="19"/>
      <c r="FE367" s="54"/>
    </row>
    <row r="368" spans="1:161" s="18" customFormat="1">
      <c r="A368" s="51"/>
      <c r="B368" s="735"/>
      <c r="C368" s="735"/>
      <c r="D368" s="735"/>
      <c r="E368" s="735"/>
      <c r="F368" s="736"/>
      <c r="G368" s="735"/>
      <c r="H368" s="735"/>
      <c r="I368" s="735"/>
      <c r="J368" s="735"/>
      <c r="K368" s="735"/>
      <c r="L368" s="735"/>
      <c r="M368" s="735"/>
      <c r="N368" s="735"/>
      <c r="O368" s="19"/>
      <c r="P368" s="19"/>
      <c r="Q368" s="19"/>
      <c r="R368" s="19"/>
      <c r="S368" s="19"/>
      <c r="T368" s="19"/>
      <c r="U368" s="19"/>
      <c r="V368" s="19"/>
      <c r="W368" s="19"/>
      <c r="X368" s="19"/>
      <c r="Y368" s="19"/>
      <c r="Z368" s="19"/>
      <c r="AA368" s="19"/>
      <c r="AB368" s="19"/>
      <c r="FE368" s="54"/>
    </row>
    <row r="369" spans="1:161" s="18" customFormat="1">
      <c r="A369" s="51"/>
      <c r="B369" s="735"/>
      <c r="C369" s="735"/>
      <c r="D369" s="735"/>
      <c r="E369" s="735"/>
      <c r="F369" s="736"/>
      <c r="G369" s="735"/>
      <c r="H369" s="735"/>
      <c r="I369" s="735"/>
      <c r="J369" s="735"/>
      <c r="K369" s="735"/>
      <c r="L369" s="735"/>
      <c r="M369" s="735"/>
      <c r="N369" s="735"/>
      <c r="O369" s="19"/>
      <c r="P369" s="19"/>
      <c r="Q369" s="19"/>
      <c r="R369" s="19"/>
      <c r="S369" s="19"/>
      <c r="T369" s="19"/>
      <c r="U369" s="19"/>
      <c r="V369" s="19"/>
      <c r="W369" s="19"/>
      <c r="X369" s="19"/>
      <c r="Y369" s="19"/>
      <c r="Z369" s="19"/>
      <c r="AA369" s="19"/>
      <c r="AB369" s="19"/>
      <c r="FE369" s="54"/>
    </row>
    <row r="370" spans="1:161" s="18" customFormat="1">
      <c r="A370" s="51"/>
      <c r="B370" s="735"/>
      <c r="C370" s="735"/>
      <c r="D370" s="735"/>
      <c r="E370" s="735"/>
      <c r="F370" s="736"/>
      <c r="G370" s="735"/>
      <c r="H370" s="735"/>
      <c r="I370" s="735"/>
      <c r="J370" s="735"/>
      <c r="K370" s="735"/>
      <c r="L370" s="735"/>
      <c r="M370" s="735"/>
      <c r="N370" s="735"/>
      <c r="O370" s="19"/>
      <c r="P370" s="19"/>
      <c r="Q370" s="19"/>
      <c r="R370" s="19"/>
      <c r="S370" s="19"/>
      <c r="T370" s="19"/>
      <c r="U370" s="19"/>
      <c r="V370" s="19"/>
      <c r="W370" s="19"/>
      <c r="X370" s="19"/>
      <c r="Y370" s="19"/>
      <c r="Z370" s="19"/>
      <c r="AA370" s="19"/>
      <c r="AB370" s="19"/>
      <c r="FE370" s="54"/>
    </row>
    <row r="371" spans="1:161" s="18" customFormat="1">
      <c r="A371" s="51"/>
      <c r="B371" s="735"/>
      <c r="C371" s="735"/>
      <c r="D371" s="735"/>
      <c r="E371" s="735"/>
      <c r="F371" s="736"/>
      <c r="G371" s="735"/>
      <c r="H371" s="735"/>
      <c r="I371" s="735"/>
      <c r="J371" s="735"/>
      <c r="K371" s="735"/>
      <c r="L371" s="735"/>
      <c r="M371" s="735"/>
      <c r="N371" s="735"/>
      <c r="O371" s="19"/>
      <c r="P371" s="19"/>
      <c r="Q371" s="19"/>
      <c r="R371" s="19"/>
      <c r="S371" s="19"/>
      <c r="T371" s="19"/>
      <c r="U371" s="19"/>
      <c r="V371" s="19"/>
      <c r="W371" s="19"/>
      <c r="X371" s="19"/>
      <c r="Y371" s="19"/>
      <c r="Z371" s="19"/>
      <c r="AA371" s="19"/>
      <c r="AB371" s="19"/>
      <c r="FE371" s="54"/>
    </row>
    <row r="372" spans="1:161" s="18" customFormat="1">
      <c r="A372" s="51"/>
      <c r="B372" s="735"/>
      <c r="C372" s="735"/>
      <c r="D372" s="735"/>
      <c r="E372" s="735"/>
      <c r="F372" s="736"/>
      <c r="G372" s="735"/>
      <c r="H372" s="735"/>
      <c r="I372" s="735"/>
      <c r="J372" s="735"/>
      <c r="K372" s="735"/>
      <c r="L372" s="735"/>
      <c r="M372" s="735"/>
      <c r="N372" s="735"/>
      <c r="O372" s="19"/>
      <c r="P372" s="19"/>
      <c r="Q372" s="19"/>
      <c r="R372" s="19"/>
      <c r="S372" s="19"/>
      <c r="T372" s="19"/>
      <c r="U372" s="19"/>
      <c r="V372" s="19"/>
      <c r="W372" s="19"/>
      <c r="X372" s="19"/>
      <c r="Y372" s="19"/>
      <c r="Z372" s="19"/>
      <c r="AA372" s="19"/>
      <c r="AB372" s="19"/>
      <c r="FE372" s="54"/>
    </row>
    <row r="373" spans="1:161" s="18" customFormat="1">
      <c r="A373" s="51"/>
      <c r="B373" s="735"/>
      <c r="C373" s="735"/>
      <c r="D373" s="735"/>
      <c r="E373" s="735"/>
      <c r="F373" s="736"/>
      <c r="G373" s="735"/>
      <c r="H373" s="735"/>
      <c r="I373" s="735"/>
      <c r="J373" s="735"/>
      <c r="K373" s="735"/>
      <c r="L373" s="735"/>
      <c r="M373" s="735"/>
      <c r="N373" s="735"/>
      <c r="O373" s="19"/>
      <c r="P373" s="19"/>
      <c r="Q373" s="19"/>
      <c r="R373" s="19"/>
      <c r="S373" s="19"/>
      <c r="T373" s="19"/>
      <c r="U373" s="19"/>
      <c r="V373" s="19"/>
      <c r="W373" s="19"/>
      <c r="X373" s="19"/>
      <c r="Y373" s="19"/>
      <c r="Z373" s="19"/>
      <c r="AA373" s="19"/>
      <c r="AB373" s="19"/>
      <c r="FE373" s="54"/>
    </row>
    <row r="374" spans="1:161" s="18" customFormat="1">
      <c r="A374" s="51"/>
      <c r="B374" s="735"/>
      <c r="C374" s="735"/>
      <c r="D374" s="735"/>
      <c r="E374" s="735"/>
      <c r="F374" s="736"/>
      <c r="G374" s="735"/>
      <c r="H374" s="735"/>
      <c r="I374" s="735"/>
      <c r="J374" s="735"/>
      <c r="K374" s="735"/>
      <c r="L374" s="735"/>
      <c r="M374" s="735"/>
      <c r="N374" s="735"/>
      <c r="O374" s="19"/>
      <c r="P374" s="19"/>
      <c r="Q374" s="19"/>
      <c r="R374" s="19"/>
      <c r="S374" s="19"/>
      <c r="T374" s="19"/>
      <c r="U374" s="19"/>
      <c r="V374" s="19"/>
      <c r="W374" s="19"/>
      <c r="X374" s="19"/>
      <c r="Y374" s="19"/>
      <c r="Z374" s="19"/>
      <c r="AA374" s="19"/>
      <c r="AB374" s="19"/>
      <c r="FE374" s="54"/>
    </row>
    <row r="375" spans="1:161" s="18" customFormat="1">
      <c r="A375" s="51"/>
      <c r="B375" s="735"/>
      <c r="C375" s="735"/>
      <c r="D375" s="735"/>
      <c r="E375" s="735"/>
      <c r="F375" s="736"/>
      <c r="G375" s="735"/>
      <c r="H375" s="735"/>
      <c r="I375" s="735"/>
      <c r="J375" s="735"/>
      <c r="K375" s="735"/>
      <c r="L375" s="735"/>
      <c r="M375" s="735"/>
      <c r="N375" s="735"/>
      <c r="O375" s="19"/>
      <c r="P375" s="19"/>
      <c r="Q375" s="19"/>
      <c r="R375" s="19"/>
      <c r="S375" s="19"/>
      <c r="T375" s="19"/>
      <c r="U375" s="19"/>
      <c r="V375" s="19"/>
      <c r="W375" s="19"/>
      <c r="X375" s="19"/>
      <c r="Y375" s="19"/>
      <c r="Z375" s="19"/>
      <c r="AA375" s="19"/>
      <c r="AB375" s="19"/>
      <c r="FE375" s="54"/>
    </row>
    <row r="376" spans="1:161" s="18" customFormat="1">
      <c r="A376" s="51"/>
      <c r="B376" s="735"/>
      <c r="C376" s="735"/>
      <c r="D376" s="735"/>
      <c r="E376" s="735"/>
      <c r="F376" s="736"/>
      <c r="G376" s="735"/>
      <c r="H376" s="735"/>
      <c r="I376" s="735"/>
      <c r="J376" s="735"/>
      <c r="K376" s="735"/>
      <c r="L376" s="735"/>
      <c r="M376" s="735"/>
      <c r="N376" s="735"/>
      <c r="O376" s="19"/>
      <c r="P376" s="19"/>
      <c r="Q376" s="19"/>
      <c r="R376" s="19"/>
      <c r="S376" s="19"/>
      <c r="T376" s="19"/>
      <c r="U376" s="19"/>
      <c r="V376" s="19"/>
      <c r="W376" s="19"/>
      <c r="X376" s="19"/>
      <c r="Y376" s="19"/>
      <c r="Z376" s="19"/>
      <c r="AA376" s="19"/>
      <c r="AB376" s="19"/>
      <c r="FE376" s="54"/>
    </row>
    <row r="377" spans="1:161" s="18" customFormat="1">
      <c r="A377" s="51"/>
      <c r="B377" s="735"/>
      <c r="C377" s="735"/>
      <c r="D377" s="735"/>
      <c r="E377" s="735"/>
      <c r="F377" s="736"/>
      <c r="G377" s="735"/>
      <c r="H377" s="735"/>
      <c r="I377" s="735"/>
      <c r="J377" s="735"/>
      <c r="K377" s="735"/>
      <c r="L377" s="735"/>
      <c r="M377" s="735"/>
      <c r="N377" s="735"/>
      <c r="O377" s="19"/>
      <c r="P377" s="19"/>
      <c r="Q377" s="19"/>
      <c r="R377" s="19"/>
      <c r="S377" s="19"/>
      <c r="T377" s="19"/>
      <c r="U377" s="19"/>
      <c r="V377" s="19"/>
      <c r="W377" s="19"/>
      <c r="X377" s="19"/>
      <c r="Y377" s="19"/>
      <c r="Z377" s="19"/>
      <c r="AA377" s="19"/>
      <c r="AB377" s="19"/>
      <c r="FE377" s="54"/>
    </row>
    <row r="378" spans="1:161" s="18" customFormat="1">
      <c r="A378" s="51"/>
      <c r="B378" s="735"/>
      <c r="C378" s="735"/>
      <c r="D378" s="735"/>
      <c r="E378" s="735"/>
      <c r="F378" s="736"/>
      <c r="G378" s="735"/>
      <c r="H378" s="735"/>
      <c r="I378" s="735"/>
      <c r="J378" s="735"/>
      <c r="K378" s="735"/>
      <c r="L378" s="735"/>
      <c r="M378" s="735"/>
      <c r="N378" s="735"/>
      <c r="O378" s="19"/>
      <c r="P378" s="19"/>
      <c r="Q378" s="19"/>
      <c r="R378" s="19"/>
      <c r="S378" s="19"/>
      <c r="T378" s="19"/>
      <c r="U378" s="19"/>
      <c r="V378" s="19"/>
      <c r="W378" s="19"/>
      <c r="X378" s="19"/>
      <c r="Y378" s="19"/>
      <c r="Z378" s="19"/>
      <c r="AA378" s="19"/>
      <c r="AB378" s="19"/>
      <c r="FE378" s="54"/>
    </row>
    <row r="379" spans="1:161" s="18" customFormat="1">
      <c r="A379" s="51"/>
      <c r="B379" s="735"/>
      <c r="C379" s="735"/>
      <c r="D379" s="735"/>
      <c r="E379" s="735"/>
      <c r="F379" s="736"/>
      <c r="G379" s="735"/>
      <c r="H379" s="735"/>
      <c r="I379" s="735"/>
      <c r="J379" s="735"/>
      <c r="K379" s="735"/>
      <c r="L379" s="735"/>
      <c r="M379" s="735"/>
      <c r="N379" s="735"/>
      <c r="O379" s="19"/>
      <c r="P379" s="19"/>
      <c r="Q379" s="19"/>
      <c r="R379" s="19"/>
      <c r="S379" s="19"/>
      <c r="T379" s="19"/>
      <c r="U379" s="19"/>
      <c r="V379" s="19"/>
      <c r="W379" s="19"/>
      <c r="X379" s="19"/>
      <c r="Y379" s="19"/>
      <c r="Z379" s="19"/>
      <c r="AA379" s="19"/>
      <c r="AB379" s="19"/>
      <c r="FE379" s="54"/>
    </row>
    <row r="380" spans="1:161" s="18" customFormat="1">
      <c r="A380" s="51"/>
      <c r="B380" s="735"/>
      <c r="C380" s="735"/>
      <c r="D380" s="735"/>
      <c r="E380" s="735"/>
      <c r="F380" s="736"/>
      <c r="G380" s="735"/>
      <c r="H380" s="735"/>
      <c r="I380" s="735"/>
      <c r="J380" s="735"/>
      <c r="K380" s="735"/>
      <c r="L380" s="735"/>
      <c r="M380" s="735"/>
      <c r="N380" s="735"/>
      <c r="O380" s="19"/>
      <c r="P380" s="19"/>
      <c r="Q380" s="19"/>
      <c r="R380" s="19"/>
      <c r="S380" s="19"/>
      <c r="T380" s="19"/>
      <c r="U380" s="19"/>
      <c r="V380" s="19"/>
      <c r="W380" s="19"/>
      <c r="X380" s="19"/>
      <c r="Y380" s="19"/>
      <c r="Z380" s="19"/>
      <c r="AA380" s="19"/>
      <c r="AB380" s="19"/>
      <c r="FE380" s="54"/>
    </row>
    <row r="381" spans="1:161" s="18" customFormat="1">
      <c r="A381" s="51"/>
      <c r="B381" s="735"/>
      <c r="C381" s="735"/>
      <c r="D381" s="735"/>
      <c r="E381" s="735"/>
      <c r="F381" s="736"/>
      <c r="G381" s="735"/>
      <c r="H381" s="735"/>
      <c r="I381" s="735"/>
      <c r="J381" s="735"/>
      <c r="K381" s="735"/>
      <c r="L381" s="735"/>
      <c r="M381" s="735"/>
      <c r="N381" s="735"/>
      <c r="O381" s="19"/>
      <c r="P381" s="19"/>
      <c r="Q381" s="19"/>
      <c r="R381" s="19"/>
      <c r="S381" s="19"/>
      <c r="T381" s="19"/>
      <c r="U381" s="19"/>
      <c r="V381" s="19"/>
      <c r="W381" s="19"/>
      <c r="X381" s="19"/>
      <c r="Y381" s="19"/>
      <c r="Z381" s="19"/>
      <c r="AA381" s="19"/>
      <c r="AB381" s="19"/>
      <c r="FE381" s="54"/>
    </row>
    <row r="382" spans="1:161" s="18" customFormat="1">
      <c r="A382" s="51"/>
      <c r="B382" s="735"/>
      <c r="C382" s="735"/>
      <c r="D382" s="735"/>
      <c r="E382" s="735"/>
      <c r="F382" s="736"/>
      <c r="G382" s="735"/>
      <c r="H382" s="735"/>
      <c r="I382" s="735"/>
      <c r="J382" s="735"/>
      <c r="K382" s="735"/>
      <c r="L382" s="735"/>
      <c r="M382" s="735"/>
      <c r="N382" s="735"/>
      <c r="O382" s="19"/>
      <c r="P382" s="19"/>
      <c r="Q382" s="19"/>
      <c r="R382" s="19"/>
      <c r="S382" s="19"/>
      <c r="T382" s="19"/>
      <c r="U382" s="19"/>
      <c r="V382" s="19"/>
      <c r="W382" s="19"/>
      <c r="X382" s="19"/>
      <c r="Y382" s="19"/>
      <c r="Z382" s="19"/>
      <c r="AA382" s="19"/>
      <c r="AB382" s="19"/>
      <c r="FE382" s="54"/>
    </row>
    <row r="383" spans="1:161" s="18" customFormat="1">
      <c r="A383" s="51"/>
      <c r="B383" s="735"/>
      <c r="C383" s="735"/>
      <c r="D383" s="735"/>
      <c r="E383" s="735"/>
      <c r="F383" s="736"/>
      <c r="G383" s="735"/>
      <c r="H383" s="735"/>
      <c r="I383" s="735"/>
      <c r="J383" s="735"/>
      <c r="K383" s="735"/>
      <c r="L383" s="735"/>
      <c r="M383" s="735"/>
      <c r="N383" s="735"/>
      <c r="O383" s="19"/>
      <c r="P383" s="19"/>
      <c r="Q383" s="19"/>
      <c r="R383" s="19"/>
      <c r="S383" s="19"/>
      <c r="T383" s="19"/>
      <c r="U383" s="19"/>
      <c r="V383" s="19"/>
      <c r="W383" s="19"/>
      <c r="X383" s="19"/>
      <c r="Y383" s="19"/>
      <c r="Z383" s="19"/>
      <c r="AA383" s="19"/>
      <c r="AB383" s="19"/>
      <c r="FE383" s="54"/>
    </row>
    <row r="384" spans="1:161" s="18" customFormat="1">
      <c r="A384" s="51"/>
      <c r="B384" s="735"/>
      <c r="C384" s="735"/>
      <c r="D384" s="735"/>
      <c r="E384" s="735"/>
      <c r="F384" s="736"/>
      <c r="G384" s="735"/>
      <c r="H384" s="735"/>
      <c r="I384" s="735"/>
      <c r="J384" s="735"/>
      <c r="K384" s="735"/>
      <c r="L384" s="735"/>
      <c r="M384" s="735"/>
      <c r="N384" s="735"/>
      <c r="O384" s="19"/>
      <c r="P384" s="19"/>
      <c r="Q384" s="19"/>
      <c r="R384" s="19"/>
      <c r="S384" s="19"/>
      <c r="T384" s="19"/>
      <c r="U384" s="19"/>
      <c r="V384" s="19"/>
      <c r="W384" s="19"/>
      <c r="X384" s="19"/>
      <c r="Y384" s="19"/>
      <c r="Z384" s="19"/>
      <c r="AA384" s="19"/>
      <c r="AB384" s="19"/>
      <c r="FE384" s="54"/>
    </row>
    <row r="385" spans="1:161" s="18" customFormat="1">
      <c r="A385" s="51"/>
      <c r="B385" s="735"/>
      <c r="C385" s="735"/>
      <c r="D385" s="735"/>
      <c r="E385" s="735"/>
      <c r="F385" s="736"/>
      <c r="G385" s="735"/>
      <c r="H385" s="735"/>
      <c r="I385" s="735"/>
      <c r="J385" s="735"/>
      <c r="K385" s="735"/>
      <c r="L385" s="735"/>
      <c r="M385" s="735"/>
      <c r="N385" s="735"/>
      <c r="O385" s="19"/>
      <c r="P385" s="19"/>
      <c r="Q385" s="19"/>
      <c r="R385" s="19"/>
      <c r="S385" s="19"/>
      <c r="T385" s="19"/>
      <c r="U385" s="19"/>
      <c r="V385" s="19"/>
      <c r="W385" s="19"/>
      <c r="X385" s="19"/>
      <c r="Y385" s="19"/>
      <c r="Z385" s="19"/>
      <c r="AA385" s="19"/>
      <c r="AB385" s="19"/>
      <c r="FE385" s="54"/>
    </row>
    <row r="386" spans="1:161" s="18" customFormat="1">
      <c r="A386" s="51"/>
      <c r="B386" s="735"/>
      <c r="C386" s="735"/>
      <c r="D386" s="735"/>
      <c r="E386" s="735"/>
      <c r="F386" s="736"/>
      <c r="G386" s="735"/>
      <c r="H386" s="735"/>
      <c r="I386" s="735"/>
      <c r="J386" s="735"/>
      <c r="K386" s="735"/>
      <c r="L386" s="735"/>
      <c r="M386" s="735"/>
      <c r="N386" s="735"/>
      <c r="O386" s="19"/>
      <c r="P386" s="19"/>
      <c r="Q386" s="19"/>
      <c r="R386" s="19"/>
      <c r="S386" s="19"/>
      <c r="T386" s="19"/>
      <c r="U386" s="19"/>
      <c r="V386" s="19"/>
      <c r="W386" s="19"/>
      <c r="X386" s="19"/>
      <c r="Y386" s="19"/>
      <c r="Z386" s="19"/>
      <c r="AA386" s="19"/>
      <c r="AB386" s="19"/>
      <c r="FE386" s="54"/>
    </row>
    <row r="387" spans="1:161" s="18" customFormat="1">
      <c r="A387" s="51"/>
      <c r="B387" s="735"/>
      <c r="C387" s="735"/>
      <c r="D387" s="735"/>
      <c r="E387" s="735"/>
      <c r="F387" s="736"/>
      <c r="G387" s="735"/>
      <c r="H387" s="735"/>
      <c r="I387" s="735"/>
      <c r="J387" s="735"/>
      <c r="K387" s="735"/>
      <c r="L387" s="735"/>
      <c r="M387" s="735"/>
      <c r="N387" s="735"/>
      <c r="O387" s="19"/>
      <c r="P387" s="19"/>
      <c r="Q387" s="19"/>
      <c r="R387" s="19"/>
      <c r="S387" s="19"/>
      <c r="T387" s="19"/>
      <c r="U387" s="19"/>
      <c r="V387" s="19"/>
      <c r="W387" s="19"/>
      <c r="X387" s="19"/>
      <c r="Y387" s="19"/>
      <c r="Z387" s="19"/>
      <c r="AA387" s="19"/>
      <c r="AB387" s="19"/>
      <c r="FE387" s="54"/>
    </row>
    <row r="388" spans="1:161" s="18" customFormat="1">
      <c r="A388" s="51"/>
      <c r="B388" s="735"/>
      <c r="C388" s="735"/>
      <c r="D388" s="735"/>
      <c r="E388" s="735"/>
      <c r="F388" s="736"/>
      <c r="G388" s="735"/>
      <c r="H388" s="735"/>
      <c r="I388" s="735"/>
      <c r="J388" s="735"/>
      <c r="K388" s="735"/>
      <c r="L388" s="735"/>
      <c r="M388" s="735"/>
      <c r="N388" s="735"/>
      <c r="O388" s="19"/>
      <c r="P388" s="19"/>
      <c r="Q388" s="19"/>
      <c r="R388" s="19"/>
      <c r="S388" s="19"/>
      <c r="T388" s="19"/>
      <c r="U388" s="19"/>
      <c r="V388" s="19"/>
      <c r="W388" s="19"/>
      <c r="X388" s="19"/>
      <c r="Y388" s="19"/>
      <c r="Z388" s="19"/>
      <c r="AA388" s="19"/>
      <c r="AB388" s="19"/>
      <c r="FE388" s="54"/>
    </row>
    <row r="389" spans="1:161" s="18" customFormat="1">
      <c r="A389" s="51"/>
      <c r="B389" s="735"/>
      <c r="C389" s="735"/>
      <c r="D389" s="735"/>
      <c r="E389" s="735"/>
      <c r="F389" s="736"/>
      <c r="G389" s="735"/>
      <c r="H389" s="735"/>
      <c r="I389" s="735"/>
      <c r="J389" s="735"/>
      <c r="K389" s="735"/>
      <c r="L389" s="735"/>
      <c r="M389" s="735"/>
      <c r="N389" s="735"/>
      <c r="O389" s="19"/>
      <c r="P389" s="19"/>
      <c r="Q389" s="19"/>
      <c r="R389" s="19"/>
      <c r="S389" s="19"/>
      <c r="T389" s="19"/>
      <c r="U389" s="19"/>
      <c r="V389" s="19"/>
      <c r="W389" s="19"/>
      <c r="X389" s="19"/>
      <c r="Y389" s="19"/>
      <c r="Z389" s="19"/>
      <c r="AA389" s="19"/>
      <c r="AB389" s="19"/>
      <c r="FE389" s="54"/>
    </row>
    <row r="390" spans="1:161" s="18" customFormat="1">
      <c r="A390" s="51"/>
      <c r="B390" s="735"/>
      <c r="C390" s="735"/>
      <c r="D390" s="735"/>
      <c r="E390" s="735"/>
      <c r="F390" s="736"/>
      <c r="G390" s="735"/>
      <c r="H390" s="735"/>
      <c r="I390" s="735"/>
      <c r="J390" s="735"/>
      <c r="K390" s="735"/>
      <c r="L390" s="735"/>
      <c r="M390" s="735"/>
      <c r="N390" s="735"/>
      <c r="O390" s="19"/>
      <c r="P390" s="19"/>
      <c r="Q390" s="19"/>
      <c r="R390" s="19"/>
      <c r="S390" s="19"/>
      <c r="T390" s="19"/>
      <c r="U390" s="19"/>
      <c r="V390" s="19"/>
      <c r="W390" s="19"/>
      <c r="X390" s="19"/>
      <c r="Y390" s="19"/>
      <c r="Z390" s="19"/>
      <c r="AA390" s="19"/>
      <c r="AB390" s="19"/>
      <c r="FE390" s="54"/>
    </row>
    <row r="391" spans="1:161" s="18" customFormat="1">
      <c r="A391" s="51"/>
      <c r="B391" s="735"/>
      <c r="C391" s="735"/>
      <c r="D391" s="735"/>
      <c r="E391" s="735"/>
      <c r="F391" s="736"/>
      <c r="G391" s="735"/>
      <c r="H391" s="735"/>
      <c r="I391" s="735"/>
      <c r="J391" s="735"/>
      <c r="K391" s="735"/>
      <c r="L391" s="735"/>
      <c r="M391" s="735"/>
      <c r="N391" s="735"/>
      <c r="O391" s="19"/>
      <c r="P391" s="19"/>
      <c r="Q391" s="19"/>
      <c r="R391" s="19"/>
      <c r="S391" s="19"/>
      <c r="T391" s="19"/>
      <c r="U391" s="19"/>
      <c r="V391" s="19"/>
      <c r="W391" s="19"/>
      <c r="X391" s="19"/>
      <c r="Y391" s="19"/>
      <c r="Z391" s="19"/>
      <c r="AA391" s="19"/>
      <c r="AB391" s="19"/>
      <c r="FE391" s="54"/>
    </row>
    <row r="392" spans="1:161" s="18" customFormat="1">
      <c r="A392" s="51"/>
      <c r="B392" s="735"/>
      <c r="C392" s="735"/>
      <c r="D392" s="735"/>
      <c r="E392" s="735"/>
      <c r="F392" s="736"/>
      <c r="G392" s="735"/>
      <c r="H392" s="735"/>
      <c r="I392" s="735"/>
      <c r="J392" s="735"/>
      <c r="K392" s="735"/>
      <c r="L392" s="735"/>
      <c r="M392" s="735"/>
      <c r="N392" s="735"/>
      <c r="O392" s="19"/>
      <c r="P392" s="19"/>
      <c r="Q392" s="19"/>
      <c r="R392" s="19"/>
      <c r="S392" s="19"/>
      <c r="T392" s="19"/>
      <c r="U392" s="19"/>
      <c r="V392" s="19"/>
      <c r="W392" s="19"/>
      <c r="X392" s="19"/>
      <c r="Y392" s="19"/>
      <c r="Z392" s="19"/>
      <c r="AA392" s="19"/>
      <c r="AB392" s="19"/>
      <c r="FE392" s="54"/>
    </row>
    <row r="393" spans="1:161" s="18" customFormat="1">
      <c r="A393" s="51"/>
      <c r="B393" s="735"/>
      <c r="C393" s="735"/>
      <c r="D393" s="735"/>
      <c r="E393" s="735"/>
      <c r="F393" s="736"/>
      <c r="G393" s="735"/>
      <c r="H393" s="735"/>
      <c r="I393" s="735"/>
      <c r="J393" s="735"/>
      <c r="K393" s="735"/>
      <c r="L393" s="735"/>
      <c r="M393" s="735"/>
      <c r="N393" s="735"/>
      <c r="O393" s="19"/>
      <c r="P393" s="19"/>
      <c r="Q393" s="19"/>
      <c r="R393" s="19"/>
      <c r="S393" s="19"/>
      <c r="T393" s="19"/>
      <c r="U393" s="19"/>
      <c r="V393" s="19"/>
      <c r="W393" s="19"/>
      <c r="X393" s="19"/>
      <c r="Y393" s="19"/>
      <c r="Z393" s="19"/>
      <c r="AA393" s="19"/>
      <c r="AB393" s="19"/>
      <c r="FE393" s="54"/>
    </row>
    <row r="394" spans="1:161" s="18" customFormat="1">
      <c r="A394" s="51"/>
      <c r="B394" s="735"/>
      <c r="C394" s="735"/>
      <c r="D394" s="735"/>
      <c r="E394" s="735"/>
      <c r="F394" s="736"/>
      <c r="G394" s="735"/>
      <c r="H394" s="735"/>
      <c r="I394" s="735"/>
      <c r="J394" s="735"/>
      <c r="K394" s="735"/>
      <c r="L394" s="735"/>
      <c r="M394" s="735"/>
      <c r="N394" s="735"/>
      <c r="O394" s="19"/>
      <c r="P394" s="19"/>
      <c r="Q394" s="19"/>
      <c r="R394" s="19"/>
      <c r="S394" s="19"/>
      <c r="T394" s="19"/>
      <c r="U394" s="19"/>
      <c r="V394" s="19"/>
      <c r="W394" s="19"/>
      <c r="X394" s="19"/>
      <c r="Y394" s="19"/>
      <c r="Z394" s="19"/>
      <c r="AA394" s="19"/>
      <c r="AB394" s="19"/>
      <c r="FE394" s="54"/>
    </row>
    <row r="395" spans="1:161" s="18" customFormat="1">
      <c r="A395" s="51"/>
      <c r="B395" s="735"/>
      <c r="C395" s="735"/>
      <c r="D395" s="735"/>
      <c r="E395" s="735"/>
      <c r="F395" s="736"/>
      <c r="G395" s="735"/>
      <c r="H395" s="735"/>
      <c r="I395" s="735"/>
      <c r="J395" s="735"/>
      <c r="K395" s="735"/>
      <c r="L395" s="735"/>
      <c r="M395" s="735"/>
      <c r="N395" s="735"/>
      <c r="O395" s="19"/>
      <c r="P395" s="19"/>
      <c r="Q395" s="19"/>
      <c r="R395" s="19"/>
      <c r="S395" s="19"/>
      <c r="T395" s="19"/>
      <c r="U395" s="19"/>
      <c r="V395" s="19"/>
      <c r="W395" s="19"/>
      <c r="X395" s="19"/>
      <c r="Y395" s="19"/>
      <c r="Z395" s="19"/>
      <c r="AA395" s="19"/>
      <c r="AB395" s="19"/>
      <c r="FE395" s="54"/>
    </row>
    <row r="396" spans="1:161" s="18" customFormat="1">
      <c r="A396" s="51"/>
      <c r="B396" s="735"/>
      <c r="C396" s="735"/>
      <c r="D396" s="735"/>
      <c r="E396" s="735"/>
      <c r="F396" s="736"/>
      <c r="G396" s="735"/>
      <c r="H396" s="735"/>
      <c r="I396" s="735"/>
      <c r="J396" s="735"/>
      <c r="K396" s="735"/>
      <c r="L396" s="735"/>
      <c r="M396" s="735"/>
      <c r="N396" s="735"/>
      <c r="O396" s="19"/>
      <c r="P396" s="19"/>
      <c r="Q396" s="19"/>
      <c r="R396" s="19"/>
      <c r="S396" s="19"/>
      <c r="T396" s="19"/>
      <c r="U396" s="19"/>
      <c r="V396" s="19"/>
      <c r="W396" s="19"/>
      <c r="X396" s="19"/>
      <c r="Y396" s="19"/>
      <c r="Z396" s="19"/>
      <c r="AA396" s="19"/>
      <c r="AB396" s="19"/>
      <c r="FE396" s="54"/>
    </row>
    <row r="397" spans="1:161" s="18" customFormat="1">
      <c r="A397" s="51"/>
      <c r="B397" s="735"/>
      <c r="C397" s="735"/>
      <c r="D397" s="735"/>
      <c r="E397" s="735"/>
      <c r="F397" s="736"/>
      <c r="G397" s="735"/>
      <c r="H397" s="735"/>
      <c r="I397" s="735"/>
      <c r="J397" s="735"/>
      <c r="K397" s="735"/>
      <c r="L397" s="735"/>
      <c r="M397" s="735"/>
      <c r="N397" s="735"/>
      <c r="O397" s="19"/>
      <c r="P397" s="19"/>
      <c r="Q397" s="19"/>
      <c r="R397" s="19"/>
      <c r="S397" s="19"/>
      <c r="T397" s="19"/>
      <c r="U397" s="19"/>
      <c r="V397" s="19"/>
      <c r="W397" s="19"/>
      <c r="X397" s="19"/>
      <c r="Y397" s="19"/>
      <c r="Z397" s="19"/>
      <c r="AA397" s="19"/>
      <c r="AB397" s="19"/>
      <c r="FE397" s="54"/>
    </row>
    <row r="398" spans="1:161" s="18" customFormat="1">
      <c r="A398" s="51"/>
      <c r="B398" s="735"/>
      <c r="C398" s="735"/>
      <c r="D398" s="735"/>
      <c r="E398" s="735"/>
      <c r="F398" s="736"/>
      <c r="G398" s="735"/>
      <c r="H398" s="735"/>
      <c r="I398" s="735"/>
      <c r="J398" s="735"/>
      <c r="K398" s="735"/>
      <c r="L398" s="735"/>
      <c r="M398" s="735"/>
      <c r="N398" s="735"/>
      <c r="O398" s="19"/>
      <c r="P398" s="19"/>
      <c r="Q398" s="19"/>
      <c r="R398" s="19"/>
      <c r="S398" s="19"/>
      <c r="T398" s="19"/>
      <c r="U398" s="19"/>
      <c r="V398" s="19"/>
      <c r="W398" s="19"/>
      <c r="X398" s="19"/>
      <c r="Y398" s="19"/>
      <c r="Z398" s="19"/>
      <c r="AA398" s="19"/>
      <c r="AB398" s="19"/>
      <c r="FE398" s="54"/>
    </row>
    <row r="399" spans="1:161" s="18" customFormat="1">
      <c r="A399" s="51"/>
      <c r="B399" s="735"/>
      <c r="C399" s="735"/>
      <c r="D399" s="735"/>
      <c r="E399" s="735"/>
      <c r="F399" s="736"/>
      <c r="G399" s="735"/>
      <c r="H399" s="735"/>
      <c r="I399" s="735"/>
      <c r="J399" s="735"/>
      <c r="K399" s="735"/>
      <c r="L399" s="735"/>
      <c r="M399" s="735"/>
      <c r="N399" s="735"/>
      <c r="O399" s="19"/>
      <c r="P399" s="19"/>
      <c r="Q399" s="19"/>
      <c r="R399" s="19"/>
      <c r="S399" s="19"/>
      <c r="T399" s="19"/>
      <c r="U399" s="19"/>
      <c r="V399" s="19"/>
      <c r="W399" s="19"/>
      <c r="X399" s="19"/>
      <c r="Y399" s="19"/>
      <c r="Z399" s="19"/>
      <c r="AA399" s="19"/>
      <c r="AB399" s="19"/>
      <c r="FE399" s="54"/>
    </row>
    <row r="400" spans="1:161" s="18" customFormat="1">
      <c r="A400" s="51"/>
      <c r="B400" s="735"/>
      <c r="C400" s="735"/>
      <c r="D400" s="735"/>
      <c r="E400" s="735"/>
      <c r="F400" s="736"/>
      <c r="G400" s="735"/>
      <c r="H400" s="735"/>
      <c r="I400" s="735"/>
      <c r="J400" s="735"/>
      <c r="K400" s="735"/>
      <c r="L400" s="735"/>
      <c r="M400" s="735"/>
      <c r="N400" s="735"/>
      <c r="O400" s="19"/>
      <c r="P400" s="19"/>
      <c r="Q400" s="19"/>
      <c r="R400" s="19"/>
      <c r="S400" s="19"/>
      <c r="T400" s="19"/>
      <c r="U400" s="19"/>
      <c r="V400" s="19"/>
      <c r="W400" s="19"/>
      <c r="X400" s="19"/>
      <c r="Y400" s="19"/>
      <c r="Z400" s="19"/>
      <c r="AA400" s="19"/>
      <c r="AB400" s="19"/>
      <c r="FE400" s="54"/>
    </row>
    <row r="401" spans="1:161" s="18" customFormat="1">
      <c r="A401" s="51"/>
      <c r="B401" s="735"/>
      <c r="C401" s="735"/>
      <c r="D401" s="735"/>
      <c r="E401" s="735"/>
      <c r="F401" s="736"/>
      <c r="G401" s="735"/>
      <c r="H401" s="735"/>
      <c r="I401" s="735"/>
      <c r="J401" s="735"/>
      <c r="K401" s="735"/>
      <c r="L401" s="735"/>
      <c r="M401" s="735"/>
      <c r="N401" s="735"/>
      <c r="O401" s="19"/>
      <c r="P401" s="19"/>
      <c r="Q401" s="19"/>
      <c r="R401" s="19"/>
      <c r="S401" s="19"/>
      <c r="T401" s="19"/>
      <c r="U401" s="19"/>
      <c r="V401" s="19"/>
      <c r="W401" s="19"/>
      <c r="X401" s="19"/>
      <c r="Y401" s="19"/>
      <c r="Z401" s="19"/>
      <c r="AA401" s="19"/>
      <c r="AB401" s="19"/>
      <c r="FE401" s="54"/>
    </row>
    <row r="402" spans="1:161" s="18" customFormat="1">
      <c r="A402" s="51"/>
      <c r="B402" s="735"/>
      <c r="C402" s="735"/>
      <c r="D402" s="735"/>
      <c r="E402" s="735"/>
      <c r="F402" s="736"/>
      <c r="G402" s="735"/>
      <c r="H402" s="735"/>
      <c r="I402" s="735"/>
      <c r="J402" s="735"/>
      <c r="K402" s="735"/>
      <c r="L402" s="735"/>
      <c r="M402" s="735"/>
      <c r="N402" s="735"/>
      <c r="O402" s="19"/>
      <c r="P402" s="19"/>
      <c r="Q402" s="19"/>
      <c r="R402" s="19"/>
      <c r="S402" s="19"/>
      <c r="T402" s="19"/>
      <c r="U402" s="19"/>
      <c r="V402" s="19"/>
      <c r="W402" s="19"/>
      <c r="X402" s="19"/>
      <c r="Y402" s="19"/>
      <c r="Z402" s="19"/>
      <c r="AA402" s="19"/>
      <c r="AB402" s="19"/>
      <c r="FE402" s="54"/>
    </row>
    <row r="403" spans="1:161" s="18" customFormat="1">
      <c r="A403" s="51"/>
      <c r="B403" s="735"/>
      <c r="C403" s="735"/>
      <c r="D403" s="735"/>
      <c r="E403" s="735"/>
      <c r="F403" s="736"/>
      <c r="G403" s="735"/>
      <c r="H403" s="735"/>
      <c r="I403" s="735"/>
      <c r="J403" s="735"/>
      <c r="K403" s="735"/>
      <c r="L403" s="735"/>
      <c r="M403" s="735"/>
      <c r="N403" s="735"/>
      <c r="O403" s="19"/>
      <c r="P403" s="19"/>
      <c r="Q403" s="19"/>
      <c r="R403" s="19"/>
      <c r="S403" s="19"/>
      <c r="T403" s="19"/>
      <c r="U403" s="19"/>
      <c r="V403" s="19"/>
      <c r="W403" s="19"/>
      <c r="X403" s="19"/>
      <c r="Y403" s="19"/>
      <c r="Z403" s="19"/>
      <c r="AA403" s="19"/>
      <c r="AB403" s="19"/>
      <c r="FE403" s="54"/>
    </row>
    <row r="404" spans="1:161" s="18" customFormat="1">
      <c r="A404" s="51"/>
      <c r="B404" s="735"/>
      <c r="C404" s="735"/>
      <c r="D404" s="735"/>
      <c r="E404" s="735"/>
      <c r="F404" s="736"/>
      <c r="G404" s="735"/>
      <c r="H404" s="735"/>
      <c r="I404" s="735"/>
      <c r="J404" s="735"/>
      <c r="K404" s="735"/>
      <c r="L404" s="735"/>
      <c r="M404" s="735"/>
      <c r="N404" s="735"/>
      <c r="O404" s="19"/>
      <c r="P404" s="19"/>
      <c r="Q404" s="19"/>
      <c r="R404" s="19"/>
      <c r="S404" s="19"/>
      <c r="T404" s="19"/>
      <c r="U404" s="19"/>
      <c r="V404" s="19"/>
      <c r="W404" s="19"/>
      <c r="X404" s="19"/>
      <c r="Y404" s="19"/>
      <c r="Z404" s="19"/>
      <c r="AA404" s="19"/>
      <c r="AB404" s="19"/>
      <c r="FE404" s="54"/>
    </row>
    <row r="405" spans="1:161" s="18" customFormat="1">
      <c r="A405" s="51"/>
      <c r="B405" s="735"/>
      <c r="C405" s="735"/>
      <c r="D405" s="735"/>
      <c r="E405" s="735"/>
      <c r="F405" s="736"/>
      <c r="G405" s="735"/>
      <c r="H405" s="735"/>
      <c r="I405" s="735"/>
      <c r="J405" s="735"/>
      <c r="K405" s="735"/>
      <c r="L405" s="735"/>
      <c r="M405" s="735"/>
      <c r="N405" s="735"/>
      <c r="O405" s="19"/>
      <c r="P405" s="19"/>
      <c r="Q405" s="19"/>
      <c r="R405" s="19"/>
      <c r="S405" s="19"/>
      <c r="T405" s="19"/>
      <c r="U405" s="19"/>
      <c r="V405" s="19"/>
      <c r="W405" s="19"/>
      <c r="X405" s="19"/>
      <c r="Y405" s="19"/>
      <c r="Z405" s="19"/>
      <c r="AA405" s="19"/>
      <c r="AB405" s="19"/>
      <c r="FE405" s="54"/>
    </row>
    <row r="406" spans="1:161" s="18" customFormat="1">
      <c r="A406" s="51"/>
      <c r="B406" s="735"/>
      <c r="C406" s="735"/>
      <c r="D406" s="735"/>
      <c r="E406" s="735"/>
      <c r="F406" s="736"/>
      <c r="G406" s="735"/>
      <c r="H406" s="735"/>
      <c r="I406" s="735"/>
      <c r="J406" s="735"/>
      <c r="K406" s="735"/>
      <c r="L406" s="735"/>
      <c r="M406" s="735"/>
      <c r="N406" s="735"/>
      <c r="O406" s="19"/>
      <c r="P406" s="19"/>
      <c r="Q406" s="19"/>
      <c r="R406" s="19"/>
      <c r="S406" s="19"/>
      <c r="T406" s="19"/>
      <c r="U406" s="19"/>
      <c r="V406" s="19"/>
      <c r="W406" s="19"/>
      <c r="X406" s="19"/>
      <c r="Y406" s="19"/>
      <c r="Z406" s="19"/>
      <c r="AA406" s="19"/>
      <c r="AB406" s="19"/>
      <c r="FE406" s="54"/>
    </row>
    <row r="407" spans="1:161" s="18" customFormat="1">
      <c r="A407" s="51"/>
      <c r="B407" s="735"/>
      <c r="C407" s="735"/>
      <c r="D407" s="735"/>
      <c r="E407" s="735"/>
      <c r="F407" s="736"/>
      <c r="G407" s="735"/>
      <c r="H407" s="735"/>
      <c r="I407" s="735"/>
      <c r="J407" s="735"/>
      <c r="K407" s="735"/>
      <c r="L407" s="735"/>
      <c r="M407" s="735"/>
      <c r="N407" s="735"/>
      <c r="O407" s="19"/>
      <c r="P407" s="19"/>
      <c r="Q407" s="19"/>
      <c r="R407" s="19"/>
      <c r="S407" s="19"/>
      <c r="T407" s="19"/>
      <c r="U407" s="19"/>
      <c r="V407" s="19"/>
      <c r="W407" s="19"/>
      <c r="X407" s="19"/>
      <c r="Y407" s="19"/>
      <c r="Z407" s="19"/>
      <c r="AA407" s="19"/>
      <c r="AB407" s="19"/>
      <c r="FE407" s="54"/>
    </row>
    <row r="408" spans="1:161" s="18" customFormat="1">
      <c r="A408" s="51"/>
      <c r="B408" s="735"/>
      <c r="C408" s="735"/>
      <c r="D408" s="735"/>
      <c r="E408" s="735"/>
      <c r="F408" s="736"/>
      <c r="G408" s="735"/>
      <c r="H408" s="735"/>
      <c r="I408" s="735"/>
      <c r="J408" s="735"/>
      <c r="K408" s="735"/>
      <c r="L408" s="735"/>
      <c r="M408" s="735"/>
      <c r="N408" s="735"/>
      <c r="O408" s="19"/>
      <c r="P408" s="19"/>
      <c r="Q408" s="19"/>
      <c r="R408" s="19"/>
      <c r="S408" s="19"/>
      <c r="T408" s="19"/>
      <c r="U408" s="19"/>
      <c r="V408" s="19"/>
      <c r="W408" s="19"/>
      <c r="X408" s="19"/>
      <c r="Y408" s="19"/>
      <c r="Z408" s="19"/>
      <c r="AA408" s="19"/>
      <c r="AB408" s="19"/>
      <c r="FE408" s="54"/>
    </row>
    <row r="409" spans="1:161" s="18" customFormat="1">
      <c r="A409" s="51"/>
      <c r="B409" s="735"/>
      <c r="C409" s="735"/>
      <c r="D409" s="735"/>
      <c r="E409" s="735"/>
      <c r="F409" s="736"/>
      <c r="G409" s="735"/>
      <c r="H409" s="735"/>
      <c r="I409" s="735"/>
      <c r="J409" s="735"/>
      <c r="K409" s="735"/>
      <c r="L409" s="735"/>
      <c r="M409" s="735"/>
      <c r="N409" s="735"/>
      <c r="O409" s="19"/>
      <c r="P409" s="19"/>
      <c r="Q409" s="19"/>
      <c r="R409" s="19"/>
      <c r="S409" s="19"/>
      <c r="T409" s="19"/>
      <c r="U409" s="19"/>
      <c r="V409" s="19"/>
      <c r="W409" s="19"/>
      <c r="X409" s="19"/>
      <c r="Y409" s="19"/>
      <c r="Z409" s="19"/>
      <c r="AA409" s="19"/>
      <c r="AB409" s="19"/>
      <c r="FE409" s="54"/>
    </row>
    <row r="410" spans="1:161" s="18" customFormat="1">
      <c r="A410" s="51"/>
      <c r="B410" s="735"/>
      <c r="C410" s="735"/>
      <c r="D410" s="735"/>
      <c r="E410" s="735"/>
      <c r="F410" s="736"/>
      <c r="G410" s="735"/>
      <c r="H410" s="735"/>
      <c r="I410" s="735"/>
      <c r="J410" s="735"/>
      <c r="K410" s="735"/>
      <c r="L410" s="735"/>
      <c r="M410" s="735"/>
      <c r="N410" s="735"/>
      <c r="O410" s="19"/>
      <c r="P410" s="19"/>
      <c r="Q410" s="19"/>
      <c r="R410" s="19"/>
      <c r="S410" s="19"/>
      <c r="T410" s="19"/>
      <c r="U410" s="19"/>
      <c r="V410" s="19"/>
      <c r="W410" s="19"/>
      <c r="X410" s="19"/>
      <c r="Y410" s="19"/>
      <c r="Z410" s="19"/>
      <c r="AA410" s="19"/>
      <c r="AB410" s="19"/>
      <c r="FE410" s="54"/>
    </row>
    <row r="411" spans="1:161" s="18" customFormat="1">
      <c r="A411" s="51"/>
      <c r="B411" s="735"/>
      <c r="C411" s="735"/>
      <c r="D411" s="735"/>
      <c r="E411" s="735"/>
      <c r="F411" s="736"/>
      <c r="G411" s="735"/>
      <c r="H411" s="735"/>
      <c r="I411" s="735"/>
      <c r="J411" s="735"/>
      <c r="K411" s="735"/>
      <c r="L411" s="735"/>
      <c r="M411" s="735"/>
      <c r="N411" s="735"/>
      <c r="O411" s="19"/>
      <c r="P411" s="19"/>
      <c r="Q411" s="19"/>
      <c r="R411" s="19"/>
      <c r="S411" s="19"/>
      <c r="T411" s="19"/>
      <c r="U411" s="19"/>
      <c r="V411" s="19"/>
      <c r="W411" s="19"/>
      <c r="X411" s="19"/>
      <c r="Y411" s="19"/>
      <c r="Z411" s="19"/>
      <c r="AA411" s="19"/>
      <c r="AB411" s="19"/>
      <c r="FE411" s="54"/>
    </row>
    <row r="412" spans="1:161" s="18" customFormat="1">
      <c r="A412" s="51"/>
      <c r="B412" s="735"/>
      <c r="C412" s="735"/>
      <c r="D412" s="735"/>
      <c r="E412" s="735"/>
      <c r="F412" s="736"/>
      <c r="G412" s="735"/>
      <c r="H412" s="735"/>
      <c r="I412" s="735"/>
      <c r="J412" s="735"/>
      <c r="K412" s="735"/>
      <c r="L412" s="735"/>
      <c r="M412" s="735"/>
      <c r="N412" s="735"/>
      <c r="O412" s="19"/>
      <c r="P412" s="19"/>
      <c r="Q412" s="19"/>
      <c r="R412" s="19"/>
      <c r="S412" s="19"/>
      <c r="T412" s="19"/>
      <c r="U412" s="19"/>
      <c r="V412" s="19"/>
      <c r="W412" s="19"/>
      <c r="X412" s="19"/>
      <c r="Y412" s="19"/>
      <c r="Z412" s="19"/>
      <c r="AA412" s="19"/>
      <c r="AB412" s="19"/>
      <c r="FE412" s="54"/>
    </row>
    <row r="413" spans="1:161" s="18" customFormat="1">
      <c r="A413" s="51"/>
      <c r="B413" s="735"/>
      <c r="C413" s="735"/>
      <c r="D413" s="735"/>
      <c r="E413" s="735"/>
      <c r="F413" s="736"/>
      <c r="G413" s="735"/>
      <c r="H413" s="735"/>
      <c r="I413" s="735"/>
      <c r="J413" s="735"/>
      <c r="K413" s="735"/>
      <c r="L413" s="735"/>
      <c r="M413" s="735"/>
      <c r="N413" s="735"/>
      <c r="O413" s="19"/>
      <c r="P413" s="19"/>
      <c r="Q413" s="19"/>
      <c r="R413" s="19"/>
      <c r="S413" s="19"/>
      <c r="T413" s="19"/>
      <c r="U413" s="19"/>
      <c r="V413" s="19"/>
      <c r="W413" s="19"/>
      <c r="X413" s="19"/>
      <c r="Y413" s="19"/>
      <c r="Z413" s="19"/>
      <c r="AA413" s="19"/>
      <c r="AB413" s="19"/>
      <c r="FE413" s="54"/>
    </row>
    <row r="414" spans="1:161" s="18" customFormat="1">
      <c r="A414" s="51"/>
      <c r="B414" s="735"/>
      <c r="C414" s="735"/>
      <c r="D414" s="735"/>
      <c r="E414" s="735"/>
      <c r="F414" s="736"/>
      <c r="G414" s="735"/>
      <c r="H414" s="735"/>
      <c r="I414" s="735"/>
      <c r="J414" s="735"/>
      <c r="K414" s="735"/>
      <c r="L414" s="735"/>
      <c r="M414" s="735"/>
      <c r="N414" s="735"/>
      <c r="O414" s="19"/>
      <c r="P414" s="19"/>
      <c r="Q414" s="19"/>
      <c r="R414" s="19"/>
      <c r="S414" s="19"/>
      <c r="T414" s="19"/>
      <c r="U414" s="19"/>
      <c r="V414" s="19"/>
      <c r="W414" s="19"/>
      <c r="X414" s="19"/>
      <c r="Y414" s="19"/>
      <c r="Z414" s="19"/>
      <c r="AA414" s="19"/>
      <c r="AB414" s="19"/>
      <c r="FE414" s="54"/>
    </row>
    <row r="415" spans="1:161" s="18" customFormat="1">
      <c r="A415" s="51"/>
      <c r="B415" s="735"/>
      <c r="C415" s="735"/>
      <c r="D415" s="735"/>
      <c r="E415" s="735"/>
      <c r="F415" s="736"/>
      <c r="G415" s="735"/>
      <c r="H415" s="735"/>
      <c r="I415" s="735"/>
      <c r="J415" s="735"/>
      <c r="K415" s="735"/>
      <c r="L415" s="735"/>
      <c r="M415" s="735"/>
      <c r="N415" s="735"/>
      <c r="O415" s="19"/>
      <c r="P415" s="19"/>
      <c r="Q415" s="19"/>
      <c r="R415" s="19"/>
      <c r="S415" s="19"/>
      <c r="T415" s="19"/>
      <c r="U415" s="19"/>
      <c r="V415" s="19"/>
      <c r="W415" s="19"/>
      <c r="X415" s="19"/>
      <c r="Y415" s="19"/>
      <c r="Z415" s="19"/>
      <c r="AA415" s="19"/>
      <c r="AB415" s="19"/>
      <c r="FE415" s="54"/>
    </row>
    <row r="416" spans="1:161" s="18" customFormat="1">
      <c r="A416" s="51"/>
      <c r="B416" s="735"/>
      <c r="C416" s="735"/>
      <c r="D416" s="735"/>
      <c r="E416" s="735"/>
      <c r="F416" s="736"/>
      <c r="G416" s="735"/>
      <c r="H416" s="735"/>
      <c r="I416" s="735"/>
      <c r="J416" s="735"/>
      <c r="K416" s="735"/>
      <c r="L416" s="735"/>
      <c r="M416" s="735"/>
      <c r="N416" s="735"/>
      <c r="O416" s="19"/>
      <c r="P416" s="19"/>
      <c r="Q416" s="19"/>
      <c r="R416" s="19"/>
      <c r="S416" s="19"/>
      <c r="T416" s="19"/>
      <c r="U416" s="19"/>
      <c r="V416" s="19"/>
      <c r="W416" s="19"/>
      <c r="X416" s="19"/>
      <c r="Y416" s="19"/>
      <c r="Z416" s="19"/>
      <c r="AA416" s="19"/>
      <c r="AB416" s="19"/>
      <c r="FE416" s="54"/>
    </row>
    <row r="417" spans="1:161" s="18" customFormat="1">
      <c r="A417" s="51"/>
      <c r="B417" s="735"/>
      <c r="C417" s="735"/>
      <c r="D417" s="735"/>
      <c r="E417" s="735"/>
      <c r="F417" s="736"/>
      <c r="G417" s="735"/>
      <c r="H417" s="735"/>
      <c r="I417" s="735"/>
      <c r="J417" s="735"/>
      <c r="K417" s="735"/>
      <c r="L417" s="735"/>
      <c r="M417" s="735"/>
      <c r="N417" s="735"/>
      <c r="O417" s="19"/>
      <c r="P417" s="19"/>
      <c r="Q417" s="19"/>
      <c r="R417" s="19"/>
      <c r="S417" s="19"/>
      <c r="T417" s="19"/>
      <c r="U417" s="19"/>
      <c r="V417" s="19"/>
      <c r="W417" s="19"/>
      <c r="X417" s="19"/>
      <c r="Y417" s="19"/>
      <c r="Z417" s="19"/>
      <c r="AA417" s="19"/>
      <c r="AB417" s="19"/>
      <c r="FE417" s="54"/>
    </row>
    <row r="418" spans="1:161" s="18" customFormat="1">
      <c r="A418" s="51"/>
      <c r="B418" s="735"/>
      <c r="C418" s="735"/>
      <c r="D418" s="735"/>
      <c r="E418" s="735"/>
      <c r="F418" s="736"/>
      <c r="G418" s="735"/>
      <c r="H418" s="735"/>
      <c r="I418" s="735"/>
      <c r="J418" s="735"/>
      <c r="K418" s="735"/>
      <c r="L418" s="735"/>
      <c r="M418" s="735"/>
      <c r="N418" s="735"/>
      <c r="O418" s="19"/>
      <c r="P418" s="19"/>
      <c r="Q418" s="19"/>
      <c r="R418" s="19"/>
      <c r="S418" s="19"/>
      <c r="T418" s="19"/>
      <c r="U418" s="19"/>
      <c r="V418" s="19"/>
      <c r="W418" s="19"/>
      <c r="X418" s="19"/>
      <c r="Y418" s="19"/>
      <c r="Z418" s="19"/>
      <c r="AA418" s="19"/>
      <c r="AB418" s="19"/>
      <c r="FE418" s="54"/>
    </row>
    <row r="419" spans="1:161" s="18" customFormat="1">
      <c r="A419" s="51"/>
      <c r="B419" s="735"/>
      <c r="C419" s="735"/>
      <c r="D419" s="735"/>
      <c r="E419" s="735"/>
      <c r="F419" s="736"/>
      <c r="G419" s="735"/>
      <c r="H419" s="735"/>
      <c r="I419" s="735"/>
      <c r="J419" s="735"/>
      <c r="K419" s="735"/>
      <c r="L419" s="735"/>
      <c r="M419" s="735"/>
      <c r="N419" s="735"/>
      <c r="O419" s="19"/>
      <c r="P419" s="19"/>
      <c r="Q419" s="19"/>
      <c r="R419" s="19"/>
      <c r="S419" s="19"/>
      <c r="T419" s="19"/>
      <c r="U419" s="19"/>
      <c r="V419" s="19"/>
      <c r="W419" s="19"/>
      <c r="X419" s="19"/>
      <c r="Y419" s="19"/>
      <c r="Z419" s="19"/>
      <c r="AA419" s="19"/>
      <c r="AB419" s="19"/>
      <c r="FE419" s="54"/>
    </row>
    <row r="420" spans="1:161" s="18" customFormat="1">
      <c r="A420" s="51"/>
      <c r="B420" s="735"/>
      <c r="C420" s="735"/>
      <c r="D420" s="735"/>
      <c r="E420" s="735"/>
      <c r="F420" s="736"/>
      <c r="G420" s="735"/>
      <c r="H420" s="735"/>
      <c r="I420" s="735"/>
      <c r="J420" s="735"/>
      <c r="K420" s="735"/>
      <c r="L420" s="735"/>
      <c r="M420" s="735"/>
      <c r="N420" s="735"/>
      <c r="O420" s="19"/>
      <c r="P420" s="19"/>
      <c r="Q420" s="19"/>
      <c r="R420" s="19"/>
      <c r="S420" s="19"/>
      <c r="T420" s="19"/>
      <c r="U420" s="19"/>
      <c r="V420" s="19"/>
      <c r="W420" s="19"/>
      <c r="X420" s="19"/>
      <c r="Y420" s="19"/>
      <c r="Z420" s="19"/>
      <c r="AA420" s="19"/>
      <c r="AB420" s="19"/>
      <c r="FE420" s="54"/>
    </row>
    <row r="421" spans="1:161" s="18" customFormat="1">
      <c r="A421" s="51"/>
      <c r="B421" s="735"/>
      <c r="C421" s="735"/>
      <c r="D421" s="735"/>
      <c r="E421" s="735"/>
      <c r="F421" s="736"/>
      <c r="G421" s="735"/>
      <c r="H421" s="735"/>
      <c r="I421" s="735"/>
      <c r="J421" s="735"/>
      <c r="K421" s="735"/>
      <c r="L421" s="735"/>
      <c r="M421" s="735"/>
      <c r="N421" s="735"/>
      <c r="O421" s="19"/>
      <c r="P421" s="19"/>
      <c r="Q421" s="19"/>
      <c r="R421" s="19"/>
      <c r="S421" s="19"/>
      <c r="T421" s="19"/>
      <c r="U421" s="19"/>
      <c r="V421" s="19"/>
      <c r="W421" s="19"/>
      <c r="X421" s="19"/>
      <c r="Y421" s="19"/>
      <c r="Z421" s="19"/>
      <c r="AA421" s="19"/>
      <c r="AB421" s="19"/>
      <c r="FE421" s="54"/>
    </row>
    <row r="422" spans="1:161" s="18" customFormat="1">
      <c r="A422" s="51"/>
      <c r="B422" s="735"/>
      <c r="C422" s="735"/>
      <c r="D422" s="735"/>
      <c r="E422" s="735"/>
      <c r="F422" s="736"/>
      <c r="G422" s="735"/>
      <c r="H422" s="735"/>
      <c r="I422" s="735"/>
      <c r="J422" s="735"/>
      <c r="K422" s="735"/>
      <c r="L422" s="735"/>
      <c r="M422" s="735"/>
      <c r="N422" s="735"/>
      <c r="O422" s="19"/>
      <c r="P422" s="19"/>
      <c r="Q422" s="19"/>
      <c r="R422" s="19"/>
      <c r="S422" s="19"/>
      <c r="T422" s="19"/>
      <c r="U422" s="19"/>
      <c r="V422" s="19"/>
      <c r="W422" s="19"/>
      <c r="X422" s="19"/>
      <c r="Y422" s="19"/>
      <c r="Z422" s="19"/>
      <c r="AA422" s="19"/>
      <c r="AB422" s="19"/>
      <c r="FE422" s="54"/>
    </row>
    <row r="423" spans="1:161" s="18" customFormat="1">
      <c r="A423" s="51"/>
      <c r="B423" s="735"/>
      <c r="C423" s="735"/>
      <c r="D423" s="735"/>
      <c r="E423" s="735"/>
      <c r="F423" s="736"/>
      <c r="G423" s="735"/>
      <c r="H423" s="735"/>
      <c r="I423" s="735"/>
      <c r="J423" s="735"/>
      <c r="K423" s="735"/>
      <c r="L423" s="735"/>
      <c r="M423" s="735"/>
      <c r="N423" s="735"/>
      <c r="O423" s="19"/>
      <c r="P423" s="19"/>
      <c r="Q423" s="19"/>
      <c r="R423" s="19"/>
      <c r="S423" s="19"/>
      <c r="T423" s="19"/>
      <c r="U423" s="19"/>
      <c r="V423" s="19"/>
      <c r="W423" s="19"/>
      <c r="X423" s="19"/>
      <c r="Y423" s="19"/>
      <c r="Z423" s="19"/>
      <c r="AA423" s="19"/>
      <c r="AB423" s="19"/>
      <c r="FE423" s="54"/>
    </row>
    <row r="424" spans="1:161" s="18" customFormat="1">
      <c r="A424" s="51"/>
      <c r="B424" s="735"/>
      <c r="C424" s="735"/>
      <c r="D424" s="735"/>
      <c r="E424" s="735"/>
      <c r="F424" s="736"/>
      <c r="G424" s="735"/>
      <c r="H424" s="735"/>
      <c r="I424" s="735"/>
      <c r="J424" s="735"/>
      <c r="K424" s="735"/>
      <c r="L424" s="735"/>
      <c r="M424" s="735"/>
      <c r="N424" s="735"/>
      <c r="O424" s="19"/>
      <c r="P424" s="19"/>
      <c r="Q424" s="19"/>
      <c r="R424" s="19"/>
      <c r="S424" s="19"/>
      <c r="T424" s="19"/>
      <c r="U424" s="19"/>
      <c r="V424" s="19"/>
      <c r="W424" s="19"/>
      <c r="X424" s="19"/>
      <c r="Y424" s="19"/>
      <c r="Z424" s="19"/>
      <c r="AA424" s="19"/>
      <c r="AB424" s="19"/>
      <c r="FE424" s="54"/>
    </row>
    <row r="425" spans="1:161" s="18" customFormat="1">
      <c r="A425" s="51"/>
      <c r="B425" s="735"/>
      <c r="C425" s="735"/>
      <c r="D425" s="735"/>
      <c r="E425" s="735"/>
      <c r="F425" s="736"/>
      <c r="G425" s="735"/>
      <c r="H425" s="735"/>
      <c r="I425" s="735"/>
      <c r="J425" s="735"/>
      <c r="K425" s="735"/>
      <c r="L425" s="735"/>
      <c r="M425" s="735"/>
      <c r="N425" s="735"/>
      <c r="O425" s="19"/>
      <c r="P425" s="19"/>
      <c r="Q425" s="19"/>
      <c r="R425" s="19"/>
      <c r="S425" s="19"/>
      <c r="T425" s="19"/>
      <c r="U425" s="19"/>
      <c r="V425" s="19"/>
      <c r="W425" s="19"/>
      <c r="X425" s="19"/>
      <c r="Y425" s="19"/>
      <c r="Z425" s="19"/>
      <c r="AA425" s="19"/>
      <c r="AB425" s="19"/>
      <c r="FE425" s="54"/>
    </row>
    <row r="426" spans="1:161" s="18" customFormat="1">
      <c r="A426" s="51"/>
      <c r="B426" s="735"/>
      <c r="C426" s="735"/>
      <c r="D426" s="735"/>
      <c r="E426" s="735"/>
      <c r="F426" s="736"/>
      <c r="G426" s="735"/>
      <c r="H426" s="735"/>
      <c r="I426" s="735"/>
      <c r="J426" s="735"/>
      <c r="K426" s="735"/>
      <c r="L426" s="735"/>
      <c r="M426" s="735"/>
      <c r="N426" s="735"/>
      <c r="O426" s="19"/>
      <c r="P426" s="19"/>
      <c r="Q426" s="19"/>
      <c r="R426" s="19"/>
      <c r="S426" s="19"/>
      <c r="T426" s="19"/>
      <c r="U426" s="19"/>
      <c r="V426" s="19"/>
      <c r="W426" s="19"/>
      <c r="X426" s="19"/>
      <c r="Y426" s="19"/>
      <c r="Z426" s="19"/>
      <c r="AA426" s="19"/>
      <c r="AB426" s="19"/>
      <c r="FE426" s="54"/>
    </row>
    <row r="427" spans="1:161" s="18" customFormat="1">
      <c r="A427" s="51"/>
      <c r="B427" s="735"/>
      <c r="C427" s="735"/>
      <c r="D427" s="735"/>
      <c r="E427" s="735"/>
      <c r="F427" s="736"/>
      <c r="G427" s="735"/>
      <c r="H427" s="735"/>
      <c r="I427" s="735"/>
      <c r="J427" s="735"/>
      <c r="K427" s="735"/>
      <c r="L427" s="735"/>
      <c r="M427" s="735"/>
      <c r="N427" s="735"/>
      <c r="O427" s="19"/>
      <c r="P427" s="19"/>
      <c r="Q427" s="19"/>
      <c r="R427" s="19"/>
      <c r="S427" s="19"/>
      <c r="T427" s="19"/>
      <c r="U427" s="19"/>
      <c r="V427" s="19"/>
      <c r="W427" s="19"/>
      <c r="X427" s="19"/>
      <c r="Y427" s="19"/>
      <c r="Z427" s="19"/>
      <c r="AA427" s="19"/>
      <c r="AB427" s="19"/>
      <c r="FE427" s="54"/>
    </row>
    <row r="428" spans="1:161" s="18" customFormat="1">
      <c r="A428" s="51"/>
      <c r="B428" s="735"/>
      <c r="C428" s="735"/>
      <c r="D428" s="735"/>
      <c r="E428" s="735"/>
      <c r="F428" s="736"/>
      <c r="G428" s="735"/>
      <c r="H428" s="735"/>
      <c r="I428" s="735"/>
      <c r="J428" s="735"/>
      <c r="K428" s="735"/>
      <c r="L428" s="735"/>
      <c r="M428" s="735"/>
      <c r="N428" s="735"/>
      <c r="O428" s="19"/>
      <c r="P428" s="19"/>
      <c r="Q428" s="19"/>
      <c r="R428" s="19"/>
      <c r="S428" s="19"/>
      <c r="T428" s="19"/>
      <c r="U428" s="19"/>
      <c r="V428" s="19"/>
      <c r="W428" s="19"/>
      <c r="X428" s="19"/>
      <c r="Y428" s="19"/>
      <c r="Z428" s="19"/>
      <c r="AA428" s="19"/>
      <c r="AB428" s="19"/>
      <c r="FE428" s="54"/>
    </row>
    <row r="429" spans="1:161" s="18" customFormat="1">
      <c r="A429" s="51"/>
      <c r="B429" s="735"/>
      <c r="C429" s="735"/>
      <c r="D429" s="735"/>
      <c r="E429" s="735"/>
      <c r="F429" s="736"/>
      <c r="G429" s="735"/>
      <c r="H429" s="735"/>
      <c r="I429" s="735"/>
      <c r="J429" s="735"/>
      <c r="K429" s="735"/>
      <c r="L429" s="735"/>
      <c r="M429" s="735"/>
      <c r="N429" s="735"/>
      <c r="O429" s="19"/>
      <c r="P429" s="19"/>
      <c r="Q429" s="19"/>
      <c r="R429" s="19"/>
      <c r="S429" s="19"/>
      <c r="T429" s="19"/>
      <c r="U429" s="19"/>
      <c r="V429" s="19"/>
      <c r="W429" s="19"/>
      <c r="X429" s="19"/>
      <c r="Y429" s="19"/>
      <c r="Z429" s="19"/>
      <c r="AA429" s="19"/>
      <c r="AB429" s="19"/>
      <c r="FE429" s="54"/>
    </row>
    <row r="430" spans="1:161" s="18" customFormat="1">
      <c r="A430" s="51"/>
      <c r="B430" s="735"/>
      <c r="C430" s="735"/>
      <c r="D430" s="735"/>
      <c r="E430" s="735"/>
      <c r="F430" s="736"/>
      <c r="G430" s="735"/>
      <c r="H430" s="735"/>
      <c r="I430" s="735"/>
      <c r="J430" s="735"/>
      <c r="K430" s="735"/>
      <c r="L430" s="735"/>
      <c r="M430" s="735"/>
      <c r="N430" s="735"/>
      <c r="O430" s="19"/>
      <c r="P430" s="19"/>
      <c r="Q430" s="19"/>
      <c r="R430" s="19"/>
      <c r="S430" s="19"/>
      <c r="T430" s="19"/>
      <c r="U430" s="19"/>
      <c r="V430" s="19"/>
      <c r="W430" s="19"/>
      <c r="X430" s="19"/>
      <c r="Y430" s="19"/>
      <c r="Z430" s="19"/>
      <c r="AA430" s="19"/>
      <c r="AB430" s="19"/>
      <c r="FE430" s="54"/>
    </row>
    <row r="431" spans="1:161" s="18" customFormat="1">
      <c r="A431" s="51"/>
      <c r="B431" s="735"/>
      <c r="C431" s="735"/>
      <c r="D431" s="735"/>
      <c r="E431" s="735"/>
      <c r="F431" s="736"/>
      <c r="G431" s="735"/>
      <c r="H431" s="735"/>
      <c r="I431" s="735"/>
      <c r="J431" s="735"/>
      <c r="K431" s="735"/>
      <c r="L431" s="735"/>
      <c r="M431" s="735"/>
      <c r="N431" s="735"/>
      <c r="O431" s="19"/>
      <c r="P431" s="19"/>
      <c r="Q431" s="19"/>
      <c r="R431" s="19"/>
      <c r="S431" s="19"/>
      <c r="T431" s="19"/>
      <c r="U431" s="19"/>
      <c r="V431" s="19"/>
      <c r="W431" s="19"/>
      <c r="X431" s="19"/>
      <c r="Y431" s="19"/>
      <c r="Z431" s="19"/>
      <c r="AA431" s="19"/>
      <c r="AB431" s="19"/>
      <c r="FE431" s="54"/>
    </row>
    <row r="432" spans="1:161" s="18" customFormat="1">
      <c r="A432" s="51"/>
      <c r="B432" s="735"/>
      <c r="C432" s="735"/>
      <c r="D432" s="735"/>
      <c r="E432" s="735"/>
      <c r="F432" s="736"/>
      <c r="G432" s="735"/>
      <c r="H432" s="735"/>
      <c r="I432" s="735"/>
      <c r="J432" s="735"/>
      <c r="K432" s="735"/>
      <c r="L432" s="735"/>
      <c r="M432" s="735"/>
      <c r="N432" s="735"/>
      <c r="O432" s="19"/>
      <c r="P432" s="19"/>
      <c r="Q432" s="19"/>
      <c r="R432" s="19"/>
      <c r="S432" s="19"/>
      <c r="T432" s="19"/>
      <c r="U432" s="19"/>
      <c r="V432" s="19"/>
      <c r="W432" s="19"/>
      <c r="X432" s="19"/>
      <c r="Y432" s="19"/>
      <c r="Z432" s="19"/>
      <c r="AA432" s="19"/>
      <c r="AB432" s="19"/>
      <c r="FE432" s="54"/>
    </row>
    <row r="433" spans="1:161" s="18" customFormat="1">
      <c r="A433" s="51"/>
      <c r="B433" s="735"/>
      <c r="C433" s="735"/>
      <c r="D433" s="735"/>
      <c r="E433" s="735"/>
      <c r="F433" s="736"/>
      <c r="G433" s="735"/>
      <c r="H433" s="735"/>
      <c r="I433" s="735"/>
      <c r="J433" s="735"/>
      <c r="K433" s="735"/>
      <c r="L433" s="735"/>
      <c r="M433" s="735"/>
      <c r="N433" s="735"/>
      <c r="O433" s="19"/>
      <c r="P433" s="19"/>
      <c r="Q433" s="19"/>
      <c r="R433" s="19"/>
      <c r="S433" s="19"/>
      <c r="T433" s="19"/>
      <c r="U433" s="19"/>
      <c r="V433" s="19"/>
      <c r="W433" s="19"/>
      <c r="X433" s="19"/>
      <c r="Y433" s="19"/>
      <c r="Z433" s="19"/>
      <c r="AA433" s="19"/>
      <c r="AB433" s="19"/>
      <c r="FE433" s="54"/>
    </row>
    <row r="434" spans="1:161" s="18" customFormat="1">
      <c r="A434" s="51"/>
      <c r="B434" s="735"/>
      <c r="C434" s="735"/>
      <c r="D434" s="735"/>
      <c r="E434" s="735"/>
      <c r="F434" s="736"/>
      <c r="G434" s="735"/>
      <c r="H434" s="735"/>
      <c r="I434" s="735"/>
      <c r="J434" s="735"/>
      <c r="K434" s="735"/>
      <c r="L434" s="735"/>
      <c r="M434" s="735"/>
      <c r="N434" s="735"/>
      <c r="O434" s="19"/>
      <c r="P434" s="19"/>
      <c r="Q434" s="19"/>
      <c r="R434" s="19"/>
      <c r="S434" s="19"/>
      <c r="T434" s="19"/>
      <c r="U434" s="19"/>
      <c r="V434" s="19"/>
      <c r="W434" s="19"/>
      <c r="X434" s="19"/>
      <c r="Y434" s="19"/>
      <c r="Z434" s="19"/>
      <c r="AA434" s="19"/>
      <c r="AB434" s="19"/>
      <c r="FE434" s="54"/>
    </row>
    <row r="435" spans="1:161" s="18" customFormat="1">
      <c r="A435" s="51"/>
      <c r="B435" s="735"/>
      <c r="C435" s="735"/>
      <c r="D435" s="735"/>
      <c r="E435" s="735"/>
      <c r="F435" s="736"/>
      <c r="G435" s="735"/>
      <c r="H435" s="735"/>
      <c r="I435" s="735"/>
      <c r="J435" s="735"/>
      <c r="K435" s="735"/>
      <c r="L435" s="735"/>
      <c r="M435" s="735"/>
      <c r="N435" s="735"/>
      <c r="O435" s="19"/>
      <c r="P435" s="19"/>
      <c r="Q435" s="19"/>
      <c r="R435" s="19"/>
      <c r="S435" s="19"/>
      <c r="T435" s="19"/>
      <c r="U435" s="19"/>
      <c r="V435" s="19"/>
      <c r="W435" s="19"/>
      <c r="X435" s="19"/>
      <c r="Y435" s="19"/>
      <c r="Z435" s="19"/>
      <c r="AA435" s="19"/>
      <c r="AB435" s="19"/>
      <c r="FE435" s="54"/>
    </row>
    <row r="436" spans="1:161" s="18" customFormat="1">
      <c r="A436" s="51"/>
      <c r="B436" s="735"/>
      <c r="C436" s="735"/>
      <c r="D436" s="735"/>
      <c r="E436" s="735"/>
      <c r="F436" s="736"/>
      <c r="G436" s="735"/>
      <c r="H436" s="735"/>
      <c r="I436" s="735"/>
      <c r="J436" s="735"/>
      <c r="K436" s="735"/>
      <c r="L436" s="735"/>
      <c r="M436" s="735"/>
      <c r="N436" s="735"/>
      <c r="O436" s="19"/>
      <c r="P436" s="19"/>
      <c r="Q436" s="19"/>
      <c r="R436" s="19"/>
      <c r="S436" s="19"/>
      <c r="T436" s="19"/>
      <c r="U436" s="19"/>
      <c r="V436" s="19"/>
      <c r="W436" s="19"/>
      <c r="X436" s="19"/>
      <c r="Y436" s="19"/>
      <c r="Z436" s="19"/>
      <c r="AA436" s="19"/>
      <c r="AB436" s="19"/>
      <c r="FE436" s="54"/>
    </row>
    <row r="437" spans="1:161" s="18" customFormat="1">
      <c r="A437" s="51"/>
      <c r="B437" s="735"/>
      <c r="C437" s="735"/>
      <c r="D437" s="735"/>
      <c r="E437" s="735"/>
      <c r="F437" s="736"/>
      <c r="G437" s="735"/>
      <c r="H437" s="735"/>
      <c r="I437" s="735"/>
      <c r="J437" s="735"/>
      <c r="K437" s="735"/>
      <c r="L437" s="735"/>
      <c r="M437" s="735"/>
      <c r="N437" s="735"/>
      <c r="O437" s="19"/>
      <c r="P437" s="19"/>
      <c r="Q437" s="19"/>
      <c r="R437" s="19"/>
      <c r="S437" s="19"/>
      <c r="T437" s="19"/>
      <c r="U437" s="19"/>
      <c r="V437" s="19"/>
      <c r="W437" s="19"/>
      <c r="X437" s="19"/>
      <c r="Y437" s="19"/>
      <c r="Z437" s="19"/>
      <c r="AA437" s="19"/>
      <c r="AB437" s="19"/>
      <c r="FE437" s="54"/>
    </row>
    <row r="438" spans="1:161" s="18" customFormat="1">
      <c r="A438" s="51"/>
      <c r="B438" s="735"/>
      <c r="C438" s="735"/>
      <c r="D438" s="735"/>
      <c r="E438" s="735"/>
      <c r="F438" s="736"/>
      <c r="G438" s="735"/>
      <c r="H438" s="735"/>
      <c r="I438" s="735"/>
      <c r="J438" s="735"/>
      <c r="K438" s="735"/>
      <c r="L438" s="735"/>
      <c r="M438" s="735"/>
      <c r="N438" s="735"/>
      <c r="O438" s="19"/>
      <c r="P438" s="19"/>
      <c r="Q438" s="19"/>
      <c r="R438" s="19"/>
      <c r="S438" s="19"/>
      <c r="T438" s="19"/>
      <c r="U438" s="19"/>
      <c r="V438" s="19"/>
      <c r="W438" s="19"/>
      <c r="X438" s="19"/>
      <c r="Y438" s="19"/>
      <c r="Z438" s="19"/>
      <c r="AA438" s="19"/>
      <c r="AB438" s="19"/>
      <c r="FE438" s="54"/>
    </row>
    <row r="439" spans="1:161" s="18" customFormat="1">
      <c r="A439" s="51"/>
      <c r="B439" s="735"/>
      <c r="C439" s="735"/>
      <c r="D439" s="735"/>
      <c r="E439" s="735"/>
      <c r="F439" s="736"/>
      <c r="G439" s="735"/>
      <c r="H439" s="735"/>
      <c r="I439" s="735"/>
      <c r="J439" s="735"/>
      <c r="K439" s="735"/>
      <c r="L439" s="735"/>
      <c r="M439" s="735"/>
      <c r="N439" s="735"/>
      <c r="O439" s="19"/>
      <c r="P439" s="19"/>
      <c r="Q439" s="19"/>
      <c r="R439" s="19"/>
      <c r="S439" s="19"/>
      <c r="T439" s="19"/>
      <c r="U439" s="19"/>
      <c r="V439" s="19"/>
      <c r="W439" s="19"/>
      <c r="X439" s="19"/>
      <c r="Y439" s="19"/>
      <c r="Z439" s="19"/>
      <c r="AA439" s="19"/>
      <c r="AB439" s="19"/>
      <c r="FE439" s="54"/>
    </row>
    <row r="440" spans="1:161" s="18" customFormat="1">
      <c r="A440" s="51"/>
      <c r="B440" s="735"/>
      <c r="C440" s="735"/>
      <c r="D440" s="735"/>
      <c r="E440" s="735"/>
      <c r="F440" s="736"/>
      <c r="G440" s="735"/>
      <c r="H440" s="735"/>
      <c r="I440" s="735"/>
      <c r="J440" s="735"/>
      <c r="K440" s="735"/>
      <c r="L440" s="735"/>
      <c r="M440" s="735"/>
      <c r="N440" s="735"/>
      <c r="O440" s="19"/>
      <c r="P440" s="19"/>
      <c r="Q440" s="19"/>
      <c r="R440" s="19"/>
      <c r="S440" s="19"/>
      <c r="T440" s="19"/>
      <c r="U440" s="19"/>
      <c r="V440" s="19"/>
      <c r="W440" s="19"/>
      <c r="X440" s="19"/>
      <c r="Y440" s="19"/>
      <c r="Z440" s="19"/>
      <c r="AA440" s="19"/>
      <c r="AB440" s="19"/>
      <c r="FE440" s="54"/>
    </row>
    <row r="441" spans="1:161" s="18" customFormat="1">
      <c r="A441" s="51"/>
      <c r="B441" s="735"/>
      <c r="C441" s="735"/>
      <c r="D441" s="735"/>
      <c r="E441" s="735"/>
      <c r="F441" s="736"/>
      <c r="G441" s="735"/>
      <c r="H441" s="735"/>
      <c r="I441" s="735"/>
      <c r="J441" s="735"/>
      <c r="K441" s="735"/>
      <c r="L441" s="735"/>
      <c r="M441" s="735"/>
      <c r="N441" s="735"/>
      <c r="O441" s="19"/>
      <c r="P441" s="19"/>
      <c r="Q441" s="19"/>
      <c r="R441" s="19"/>
      <c r="S441" s="19"/>
      <c r="T441" s="19"/>
      <c r="U441" s="19"/>
      <c r="V441" s="19"/>
      <c r="W441" s="19"/>
      <c r="X441" s="19"/>
      <c r="Y441" s="19"/>
      <c r="Z441" s="19"/>
      <c r="AA441" s="19"/>
      <c r="AB441" s="19"/>
      <c r="FE441" s="54"/>
    </row>
    <row r="442" spans="1:161" s="18" customFormat="1">
      <c r="A442" s="51"/>
      <c r="B442" s="735"/>
      <c r="C442" s="735"/>
      <c r="D442" s="735"/>
      <c r="E442" s="735"/>
      <c r="F442" s="736"/>
      <c r="G442" s="735"/>
      <c r="H442" s="735"/>
      <c r="I442" s="735"/>
      <c r="J442" s="735"/>
      <c r="K442" s="735"/>
      <c r="L442" s="735"/>
      <c r="M442" s="735"/>
      <c r="N442" s="735"/>
      <c r="O442" s="19"/>
      <c r="P442" s="19"/>
      <c r="Q442" s="19"/>
      <c r="R442" s="19"/>
      <c r="S442" s="19"/>
      <c r="T442" s="19"/>
      <c r="U442" s="19"/>
      <c r="V442" s="19"/>
      <c r="W442" s="19"/>
      <c r="X442" s="19"/>
      <c r="Y442" s="19"/>
      <c r="Z442" s="19"/>
      <c r="AA442" s="19"/>
      <c r="AB442" s="19"/>
      <c r="FE442" s="54"/>
    </row>
    <row r="443" spans="1:161" s="18" customFormat="1">
      <c r="A443" s="51"/>
      <c r="B443" s="735"/>
      <c r="C443" s="735"/>
      <c r="D443" s="735"/>
      <c r="E443" s="735"/>
      <c r="F443" s="736"/>
      <c r="G443" s="735"/>
      <c r="H443" s="735"/>
      <c r="I443" s="735"/>
      <c r="J443" s="735"/>
      <c r="K443" s="735"/>
      <c r="L443" s="735"/>
      <c r="M443" s="735"/>
      <c r="N443" s="735"/>
      <c r="O443" s="19"/>
      <c r="P443" s="19"/>
      <c r="Q443" s="19"/>
      <c r="R443" s="19"/>
      <c r="S443" s="19"/>
      <c r="T443" s="19"/>
      <c r="U443" s="19"/>
      <c r="V443" s="19"/>
      <c r="W443" s="19"/>
      <c r="X443" s="19"/>
      <c r="Y443" s="19"/>
      <c r="Z443" s="19"/>
      <c r="AA443" s="19"/>
      <c r="AB443" s="19"/>
      <c r="FE443" s="54"/>
    </row>
    <row r="444" spans="1:161" s="18" customFormat="1">
      <c r="A444" s="51"/>
      <c r="B444" s="735"/>
      <c r="C444" s="735"/>
      <c r="D444" s="735"/>
      <c r="E444" s="735"/>
      <c r="F444" s="736"/>
      <c r="G444" s="735"/>
      <c r="H444" s="735"/>
      <c r="I444" s="735"/>
      <c r="J444" s="735"/>
      <c r="K444" s="735"/>
      <c r="L444" s="735"/>
      <c r="M444" s="735"/>
      <c r="N444" s="735"/>
      <c r="O444" s="19"/>
      <c r="P444" s="19"/>
      <c r="Q444" s="19"/>
      <c r="R444" s="19"/>
      <c r="S444" s="19"/>
      <c r="T444" s="19"/>
      <c r="U444" s="19"/>
      <c r="V444" s="19"/>
      <c r="W444" s="19"/>
      <c r="X444" s="19"/>
      <c r="Y444" s="19"/>
      <c r="Z444" s="19"/>
      <c r="AA444" s="19"/>
      <c r="AB444" s="19"/>
      <c r="FE444" s="54"/>
    </row>
    <row r="445" spans="1:161" s="18" customFormat="1">
      <c r="A445" s="51"/>
      <c r="B445" s="735"/>
      <c r="C445" s="735"/>
      <c r="D445" s="735"/>
      <c r="E445" s="735"/>
      <c r="F445" s="736"/>
      <c r="G445" s="735"/>
      <c r="H445" s="735"/>
      <c r="I445" s="735"/>
      <c r="J445" s="735"/>
      <c r="K445" s="735"/>
      <c r="L445" s="735"/>
      <c r="M445" s="735"/>
      <c r="N445" s="735"/>
      <c r="O445" s="19"/>
      <c r="P445" s="19"/>
      <c r="Q445" s="19"/>
      <c r="R445" s="19"/>
      <c r="S445" s="19"/>
      <c r="T445" s="19"/>
      <c r="U445" s="19"/>
      <c r="V445" s="19"/>
      <c r="W445" s="19"/>
      <c r="X445" s="19"/>
      <c r="Y445" s="19"/>
      <c r="Z445" s="19"/>
      <c r="AA445" s="19"/>
      <c r="AB445" s="19"/>
      <c r="FE445" s="54"/>
    </row>
    <row r="446" spans="1:161" s="18" customFormat="1">
      <c r="A446" s="51"/>
      <c r="B446" s="735"/>
      <c r="C446" s="735"/>
      <c r="D446" s="735"/>
      <c r="E446" s="735"/>
      <c r="F446" s="736"/>
      <c r="G446" s="735"/>
      <c r="H446" s="735"/>
      <c r="I446" s="735"/>
      <c r="J446" s="735"/>
      <c r="K446" s="735"/>
      <c r="L446" s="735"/>
      <c r="M446" s="735"/>
      <c r="N446" s="735"/>
      <c r="O446" s="19"/>
      <c r="P446" s="19"/>
      <c r="Q446" s="19"/>
      <c r="R446" s="19"/>
      <c r="S446" s="19"/>
      <c r="T446" s="19"/>
      <c r="U446" s="19"/>
      <c r="V446" s="19"/>
      <c r="W446" s="19"/>
      <c r="X446" s="19"/>
      <c r="Y446" s="19"/>
      <c r="Z446" s="19"/>
      <c r="AA446" s="19"/>
      <c r="AB446" s="19"/>
      <c r="FE446" s="54"/>
    </row>
    <row r="447" spans="1:161" s="18" customFormat="1">
      <c r="A447" s="51"/>
      <c r="B447" s="735"/>
      <c r="C447" s="735"/>
      <c r="D447" s="735"/>
      <c r="E447" s="735"/>
      <c r="F447" s="736"/>
      <c r="G447" s="735"/>
      <c r="H447" s="735"/>
      <c r="I447" s="735"/>
      <c r="J447" s="735"/>
      <c r="K447" s="735"/>
      <c r="L447" s="735"/>
      <c r="M447" s="735"/>
      <c r="N447" s="735"/>
      <c r="O447" s="19"/>
      <c r="P447" s="19"/>
      <c r="Q447" s="19"/>
      <c r="R447" s="19"/>
      <c r="S447" s="19"/>
      <c r="T447" s="19"/>
      <c r="U447" s="19"/>
      <c r="V447" s="19"/>
      <c r="W447" s="19"/>
      <c r="X447" s="19"/>
      <c r="Y447" s="19"/>
      <c r="Z447" s="19"/>
      <c r="AA447" s="19"/>
      <c r="AB447" s="19"/>
      <c r="FE447" s="54"/>
    </row>
    <row r="448" spans="1:161" s="18" customFormat="1">
      <c r="A448" s="51"/>
      <c r="B448" s="735"/>
      <c r="C448" s="735"/>
      <c r="D448" s="735"/>
      <c r="E448" s="735"/>
      <c r="F448" s="736"/>
      <c r="G448" s="735"/>
      <c r="H448" s="735"/>
      <c r="I448" s="735"/>
      <c r="J448" s="735"/>
      <c r="K448" s="735"/>
      <c r="L448" s="735"/>
      <c r="M448" s="735"/>
      <c r="N448" s="735"/>
      <c r="O448" s="19"/>
      <c r="P448" s="19"/>
      <c r="Q448" s="19"/>
      <c r="R448" s="19"/>
      <c r="S448" s="19"/>
      <c r="T448" s="19"/>
      <c r="U448" s="19"/>
      <c r="V448" s="19"/>
      <c r="W448" s="19"/>
      <c r="X448" s="19"/>
      <c r="Y448" s="19"/>
      <c r="Z448" s="19"/>
      <c r="AA448" s="19"/>
      <c r="AB448" s="19"/>
      <c r="FE448" s="54"/>
    </row>
    <row r="449" spans="1:161" s="18" customFormat="1">
      <c r="A449" s="51"/>
      <c r="B449" s="735"/>
      <c r="C449" s="735"/>
      <c r="D449" s="735"/>
      <c r="E449" s="735"/>
      <c r="F449" s="736"/>
      <c r="G449" s="735"/>
      <c r="H449" s="735"/>
      <c r="I449" s="735"/>
      <c r="J449" s="735"/>
      <c r="K449" s="735"/>
      <c r="L449" s="735"/>
      <c r="M449" s="735"/>
      <c r="N449" s="735"/>
      <c r="O449" s="19"/>
      <c r="P449" s="19"/>
      <c r="Q449" s="19"/>
      <c r="R449" s="19"/>
      <c r="S449" s="19"/>
      <c r="T449" s="19"/>
      <c r="U449" s="19"/>
      <c r="V449" s="19"/>
      <c r="W449" s="19"/>
      <c r="X449" s="19"/>
      <c r="Y449" s="19"/>
      <c r="Z449" s="19"/>
      <c r="AA449" s="19"/>
      <c r="AB449" s="19"/>
      <c r="FE449" s="54"/>
    </row>
    <row r="450" spans="1:161" s="18" customFormat="1">
      <c r="A450" s="51"/>
      <c r="B450" s="735"/>
      <c r="C450" s="735"/>
      <c r="D450" s="735"/>
      <c r="E450" s="735"/>
      <c r="F450" s="736"/>
      <c r="G450" s="735"/>
      <c r="H450" s="735"/>
      <c r="I450" s="735"/>
      <c r="J450" s="735"/>
      <c r="K450" s="735"/>
      <c r="L450" s="735"/>
      <c r="M450" s="735"/>
      <c r="N450" s="735"/>
      <c r="O450" s="19"/>
      <c r="P450" s="19"/>
      <c r="Q450" s="19"/>
      <c r="R450" s="19"/>
      <c r="S450" s="19"/>
      <c r="T450" s="19"/>
      <c r="U450" s="19"/>
      <c r="V450" s="19"/>
      <c r="W450" s="19"/>
      <c r="X450" s="19"/>
      <c r="Y450" s="19"/>
      <c r="Z450" s="19"/>
      <c r="AA450" s="19"/>
      <c r="AB450" s="19"/>
      <c r="FE450" s="54"/>
    </row>
    <row r="451" spans="1:161" s="18" customFormat="1">
      <c r="A451" s="51"/>
      <c r="B451" s="735"/>
      <c r="C451" s="735"/>
      <c r="D451" s="735"/>
      <c r="E451" s="735"/>
      <c r="F451" s="736"/>
      <c r="G451" s="735"/>
      <c r="H451" s="735"/>
      <c r="I451" s="735"/>
      <c r="J451" s="735"/>
      <c r="K451" s="735"/>
      <c r="L451" s="735"/>
      <c r="M451" s="735"/>
      <c r="N451" s="735"/>
      <c r="O451" s="19"/>
      <c r="P451" s="19"/>
      <c r="Q451" s="19"/>
      <c r="R451" s="19"/>
      <c r="S451" s="19"/>
      <c r="T451" s="19"/>
      <c r="U451" s="19"/>
      <c r="V451" s="19"/>
      <c r="W451" s="19"/>
      <c r="X451" s="19"/>
      <c r="Y451" s="19"/>
      <c r="Z451" s="19"/>
      <c r="AA451" s="19"/>
      <c r="AB451" s="19"/>
      <c r="FE451" s="54"/>
    </row>
    <row r="452" spans="1:161" s="18" customFormat="1">
      <c r="A452" s="51"/>
      <c r="B452" s="735"/>
      <c r="C452" s="735"/>
      <c r="D452" s="735"/>
      <c r="E452" s="735"/>
      <c r="F452" s="736"/>
      <c r="G452" s="735"/>
      <c r="H452" s="735"/>
      <c r="I452" s="735"/>
      <c r="J452" s="735"/>
      <c r="K452" s="735"/>
      <c r="L452" s="735"/>
      <c r="M452" s="735"/>
      <c r="N452" s="735"/>
      <c r="O452" s="19"/>
      <c r="P452" s="19"/>
      <c r="Q452" s="19"/>
      <c r="R452" s="19"/>
      <c r="S452" s="19"/>
      <c r="T452" s="19"/>
      <c r="U452" s="19"/>
      <c r="V452" s="19"/>
      <c r="W452" s="19"/>
      <c r="X452" s="19"/>
      <c r="Y452" s="19"/>
      <c r="Z452" s="19"/>
      <c r="AA452" s="19"/>
      <c r="AB452" s="19"/>
      <c r="FE452" s="54"/>
    </row>
    <row r="453" spans="1:161" s="18" customFormat="1">
      <c r="A453" s="51"/>
      <c r="B453" s="735"/>
      <c r="C453" s="735"/>
      <c r="D453" s="735"/>
      <c r="E453" s="735"/>
      <c r="F453" s="736"/>
      <c r="G453" s="735"/>
      <c r="H453" s="735"/>
      <c r="I453" s="735"/>
      <c r="J453" s="735"/>
      <c r="K453" s="735"/>
      <c r="L453" s="735"/>
      <c r="M453" s="735"/>
      <c r="N453" s="735"/>
      <c r="O453" s="19"/>
      <c r="P453" s="19"/>
      <c r="Q453" s="19"/>
      <c r="R453" s="19"/>
      <c r="S453" s="19"/>
      <c r="T453" s="19"/>
      <c r="U453" s="19"/>
      <c r="V453" s="19"/>
      <c r="W453" s="19"/>
      <c r="X453" s="19"/>
      <c r="Y453" s="19"/>
      <c r="Z453" s="19"/>
      <c r="AA453" s="19"/>
      <c r="AB453" s="19"/>
      <c r="FE453" s="54"/>
    </row>
    <row r="454" spans="1:161" s="18" customFormat="1">
      <c r="A454" s="51"/>
      <c r="B454" s="735"/>
      <c r="C454" s="735"/>
      <c r="D454" s="735"/>
      <c r="E454" s="735"/>
      <c r="F454" s="736"/>
      <c r="G454" s="735"/>
      <c r="H454" s="735"/>
      <c r="I454" s="735"/>
      <c r="J454" s="735"/>
      <c r="K454" s="735"/>
      <c r="L454" s="735"/>
      <c r="M454" s="735"/>
      <c r="N454" s="735"/>
      <c r="O454" s="19"/>
      <c r="P454" s="19"/>
      <c r="Q454" s="19"/>
      <c r="R454" s="19"/>
      <c r="S454" s="19"/>
      <c r="T454" s="19"/>
      <c r="U454" s="19"/>
      <c r="V454" s="19"/>
      <c r="W454" s="19"/>
      <c r="X454" s="19"/>
      <c r="Y454" s="19"/>
      <c r="Z454" s="19"/>
      <c r="AA454" s="19"/>
      <c r="AB454" s="19"/>
      <c r="FE454" s="54"/>
    </row>
    <row r="455" spans="1:161" s="18" customFormat="1">
      <c r="A455" s="51"/>
      <c r="B455" s="735"/>
      <c r="C455" s="735"/>
      <c r="D455" s="735"/>
      <c r="E455" s="735"/>
      <c r="F455" s="736"/>
      <c r="G455" s="735"/>
      <c r="H455" s="735"/>
      <c r="I455" s="735"/>
      <c r="J455" s="735"/>
      <c r="K455" s="735"/>
      <c r="L455" s="735"/>
      <c r="M455" s="735"/>
      <c r="N455" s="735"/>
      <c r="O455" s="19"/>
      <c r="P455" s="19"/>
      <c r="Q455" s="19"/>
      <c r="R455" s="19"/>
      <c r="S455" s="19"/>
      <c r="T455" s="19"/>
      <c r="U455" s="19"/>
      <c r="V455" s="19"/>
      <c r="W455" s="19"/>
      <c r="X455" s="19"/>
      <c r="Y455" s="19"/>
      <c r="Z455" s="19"/>
      <c r="AA455" s="19"/>
      <c r="AB455" s="19"/>
      <c r="FE455" s="54"/>
    </row>
    <row r="456" spans="1:161" s="18" customFormat="1">
      <c r="A456" s="51"/>
      <c r="B456" s="735"/>
      <c r="C456" s="735"/>
      <c r="D456" s="735"/>
      <c r="E456" s="735"/>
      <c r="F456" s="736"/>
      <c r="G456" s="735"/>
      <c r="H456" s="735"/>
      <c r="I456" s="735"/>
      <c r="J456" s="735"/>
      <c r="K456" s="735"/>
      <c r="L456" s="735"/>
      <c r="M456" s="735"/>
      <c r="N456" s="735"/>
      <c r="O456" s="19"/>
      <c r="P456" s="19"/>
      <c r="Q456" s="19"/>
      <c r="R456" s="19"/>
      <c r="S456" s="19"/>
      <c r="T456" s="19"/>
      <c r="U456" s="19"/>
      <c r="V456" s="19"/>
      <c r="W456" s="19"/>
      <c r="X456" s="19"/>
      <c r="Y456" s="19"/>
      <c r="Z456" s="19"/>
      <c r="AA456" s="19"/>
      <c r="AB456" s="19"/>
      <c r="FE456" s="54"/>
    </row>
    <row r="457" spans="1:161" s="18" customFormat="1">
      <c r="A457" s="51"/>
      <c r="B457" s="735"/>
      <c r="C457" s="735"/>
      <c r="D457" s="735"/>
      <c r="E457" s="735"/>
      <c r="F457" s="736"/>
      <c r="G457" s="735"/>
      <c r="H457" s="735"/>
      <c r="I457" s="735"/>
      <c r="J457" s="735"/>
      <c r="K457" s="735"/>
      <c r="L457" s="735"/>
      <c r="M457" s="735"/>
      <c r="N457" s="735"/>
      <c r="O457" s="19"/>
      <c r="P457" s="19"/>
      <c r="Q457" s="19"/>
      <c r="R457" s="19"/>
      <c r="S457" s="19"/>
      <c r="T457" s="19"/>
      <c r="U457" s="19"/>
      <c r="V457" s="19"/>
      <c r="W457" s="19"/>
      <c r="X457" s="19"/>
      <c r="Y457" s="19"/>
      <c r="Z457" s="19"/>
      <c r="AA457" s="19"/>
      <c r="AB457" s="19"/>
      <c r="FE457" s="54"/>
    </row>
    <row r="458" spans="1:161" s="18" customFormat="1">
      <c r="A458" s="51"/>
      <c r="B458" s="735"/>
      <c r="C458" s="735"/>
      <c r="D458" s="735"/>
      <c r="E458" s="735"/>
      <c r="F458" s="736"/>
      <c r="G458" s="735"/>
      <c r="H458" s="735"/>
      <c r="I458" s="735"/>
      <c r="J458" s="735"/>
      <c r="K458" s="735"/>
      <c r="L458" s="735"/>
      <c r="M458" s="735"/>
      <c r="N458" s="735"/>
      <c r="O458" s="19"/>
      <c r="P458" s="19"/>
      <c r="Q458" s="19"/>
      <c r="R458" s="19"/>
      <c r="S458" s="19"/>
      <c r="T458" s="19"/>
      <c r="U458" s="19"/>
      <c r="V458" s="19"/>
      <c r="W458" s="19"/>
      <c r="X458" s="19"/>
      <c r="Y458" s="19"/>
      <c r="Z458" s="19"/>
      <c r="AA458" s="19"/>
      <c r="AB458" s="19"/>
      <c r="FE458" s="54"/>
    </row>
    <row r="459" spans="1:161" s="18" customFormat="1">
      <c r="A459" s="51"/>
      <c r="B459" s="735"/>
      <c r="C459" s="735"/>
      <c r="D459" s="735"/>
      <c r="E459" s="735"/>
      <c r="F459" s="736"/>
      <c r="G459" s="735"/>
      <c r="H459" s="735"/>
      <c r="I459" s="735"/>
      <c r="J459" s="735"/>
      <c r="K459" s="735"/>
      <c r="L459" s="735"/>
      <c r="M459" s="735"/>
      <c r="N459" s="735"/>
      <c r="O459" s="19"/>
      <c r="P459" s="19"/>
      <c r="Q459" s="19"/>
      <c r="R459" s="19"/>
      <c r="S459" s="19"/>
      <c r="T459" s="19"/>
      <c r="U459" s="19"/>
      <c r="V459" s="19"/>
      <c r="W459" s="19"/>
      <c r="X459" s="19"/>
      <c r="Y459" s="19"/>
      <c r="Z459" s="19"/>
      <c r="AA459" s="19"/>
      <c r="AB459" s="19"/>
      <c r="FE459" s="54"/>
    </row>
    <row r="460" spans="1:161" s="18" customFormat="1">
      <c r="A460" s="51"/>
      <c r="B460" s="735"/>
      <c r="C460" s="735"/>
      <c r="D460" s="735"/>
      <c r="E460" s="735"/>
      <c r="F460" s="736"/>
      <c r="G460" s="735"/>
      <c r="H460" s="735"/>
      <c r="I460" s="735"/>
      <c r="J460" s="735"/>
      <c r="K460" s="735"/>
      <c r="L460" s="735"/>
      <c r="M460" s="735"/>
      <c r="N460" s="735"/>
      <c r="O460" s="19"/>
      <c r="P460" s="19"/>
      <c r="Q460" s="19"/>
      <c r="R460" s="19"/>
      <c r="S460" s="19"/>
      <c r="T460" s="19"/>
      <c r="U460" s="19"/>
      <c r="V460" s="19"/>
      <c r="W460" s="19"/>
      <c r="X460" s="19"/>
      <c r="Y460" s="19"/>
      <c r="Z460" s="19"/>
      <c r="AA460" s="19"/>
      <c r="AB460" s="19"/>
      <c r="FE460" s="54"/>
    </row>
    <row r="461" spans="1:161" s="18" customFormat="1">
      <c r="A461" s="51"/>
      <c r="B461" s="735"/>
      <c r="C461" s="735"/>
      <c r="D461" s="735"/>
      <c r="E461" s="735"/>
      <c r="F461" s="736"/>
      <c r="G461" s="735"/>
      <c r="H461" s="735"/>
      <c r="I461" s="735"/>
      <c r="J461" s="735"/>
      <c r="K461" s="735"/>
      <c r="L461" s="735"/>
      <c r="M461" s="735"/>
      <c r="N461" s="735"/>
      <c r="O461" s="19"/>
      <c r="P461" s="19"/>
      <c r="Q461" s="19"/>
      <c r="R461" s="19"/>
      <c r="S461" s="19"/>
      <c r="T461" s="19"/>
      <c r="U461" s="19"/>
      <c r="V461" s="19"/>
      <c r="W461" s="19"/>
      <c r="X461" s="19"/>
      <c r="Y461" s="19"/>
      <c r="Z461" s="19"/>
      <c r="AA461" s="19"/>
      <c r="AB461" s="19"/>
      <c r="FE461" s="54"/>
    </row>
    <row r="462" spans="1:161" s="18" customFormat="1">
      <c r="A462" s="51"/>
      <c r="B462" s="735"/>
      <c r="C462" s="735"/>
      <c r="D462" s="735"/>
      <c r="E462" s="735"/>
      <c r="F462" s="736"/>
      <c r="G462" s="735"/>
      <c r="H462" s="735"/>
      <c r="I462" s="735"/>
      <c r="J462" s="735"/>
      <c r="K462" s="735"/>
      <c r="L462" s="735"/>
      <c r="M462" s="735"/>
      <c r="N462" s="735"/>
      <c r="O462" s="19"/>
      <c r="P462" s="19"/>
      <c r="Q462" s="19"/>
      <c r="R462" s="19"/>
      <c r="S462" s="19"/>
      <c r="T462" s="19"/>
      <c r="U462" s="19"/>
      <c r="V462" s="19"/>
      <c r="W462" s="19"/>
      <c r="X462" s="19"/>
      <c r="Y462" s="19"/>
      <c r="Z462" s="19"/>
      <c r="AA462" s="19"/>
      <c r="AB462" s="19"/>
      <c r="FE462" s="54"/>
    </row>
    <row r="463" spans="1:161" s="18" customFormat="1">
      <c r="A463" s="51"/>
      <c r="B463" s="735"/>
      <c r="C463" s="735"/>
      <c r="D463" s="735"/>
      <c r="E463" s="735"/>
      <c r="F463" s="736"/>
      <c r="G463" s="735"/>
      <c r="H463" s="735"/>
      <c r="I463" s="735"/>
      <c r="J463" s="735"/>
      <c r="K463" s="735"/>
      <c r="L463" s="735"/>
      <c r="M463" s="735"/>
      <c r="N463" s="735"/>
      <c r="O463" s="19"/>
      <c r="P463" s="19"/>
      <c r="Q463" s="19"/>
      <c r="R463" s="19"/>
      <c r="S463" s="19"/>
      <c r="T463" s="19"/>
      <c r="U463" s="19"/>
      <c r="V463" s="19"/>
      <c r="W463" s="19"/>
      <c r="X463" s="19"/>
      <c r="Y463" s="19"/>
      <c r="Z463" s="19"/>
      <c r="AA463" s="19"/>
      <c r="AB463" s="19"/>
      <c r="FE463" s="54"/>
    </row>
    <row r="464" spans="1:161" s="18" customFormat="1">
      <c r="A464" s="51"/>
      <c r="B464" s="735"/>
      <c r="C464" s="735"/>
      <c r="D464" s="735"/>
      <c r="E464" s="735"/>
      <c r="F464" s="736"/>
      <c r="G464" s="735"/>
      <c r="H464" s="735"/>
      <c r="I464" s="735"/>
      <c r="J464" s="735"/>
      <c r="K464" s="735"/>
      <c r="L464" s="735"/>
      <c r="M464" s="735"/>
      <c r="N464" s="735"/>
      <c r="O464" s="19"/>
      <c r="P464" s="19"/>
      <c r="Q464" s="19"/>
      <c r="R464" s="19"/>
      <c r="S464" s="19"/>
      <c r="T464" s="19"/>
      <c r="U464" s="19"/>
      <c r="V464" s="19"/>
      <c r="W464" s="19"/>
      <c r="X464" s="19"/>
      <c r="Y464" s="19"/>
      <c r="Z464" s="19"/>
      <c r="AA464" s="19"/>
      <c r="AB464" s="19"/>
      <c r="FE464" s="54"/>
    </row>
    <row r="465" spans="1:161" s="18" customFormat="1">
      <c r="A465" s="51"/>
      <c r="B465" s="735"/>
      <c r="C465" s="735"/>
      <c r="D465" s="735"/>
      <c r="E465" s="735"/>
      <c r="F465" s="736"/>
      <c r="G465" s="735"/>
      <c r="H465" s="735"/>
      <c r="I465" s="735"/>
      <c r="J465" s="735"/>
      <c r="K465" s="735"/>
      <c r="L465" s="735"/>
      <c r="M465" s="735"/>
      <c r="N465" s="735"/>
      <c r="O465" s="19"/>
      <c r="P465" s="19"/>
      <c r="Q465" s="19"/>
      <c r="R465" s="19"/>
      <c r="S465" s="19"/>
      <c r="T465" s="19"/>
      <c r="U465" s="19"/>
      <c r="V465" s="19"/>
      <c r="W465" s="19"/>
      <c r="X465" s="19"/>
      <c r="Y465" s="19"/>
      <c r="Z465" s="19"/>
      <c r="AA465" s="19"/>
      <c r="AB465" s="19"/>
      <c r="FE465" s="54"/>
    </row>
    <row r="466" spans="1:161" s="18" customFormat="1">
      <c r="A466" s="51"/>
      <c r="B466" s="735"/>
      <c r="C466" s="735"/>
      <c r="D466" s="735"/>
      <c r="E466" s="735"/>
      <c r="F466" s="736"/>
      <c r="G466" s="735"/>
      <c r="H466" s="735"/>
      <c r="I466" s="735"/>
      <c r="J466" s="735"/>
      <c r="K466" s="735"/>
      <c r="L466" s="735"/>
      <c r="M466" s="735"/>
      <c r="N466" s="735"/>
      <c r="O466" s="19"/>
      <c r="P466" s="19"/>
      <c r="Q466" s="19"/>
      <c r="R466" s="19"/>
      <c r="S466" s="19"/>
      <c r="T466" s="19"/>
      <c r="U466" s="19"/>
      <c r="V466" s="19"/>
      <c r="W466" s="19"/>
      <c r="X466" s="19"/>
      <c r="Y466" s="19"/>
      <c r="Z466" s="19"/>
      <c r="AA466" s="19"/>
      <c r="AB466" s="19"/>
      <c r="FE466" s="54"/>
    </row>
    <row r="467" spans="1:161" s="18" customFormat="1">
      <c r="A467" s="51"/>
      <c r="B467" s="735"/>
      <c r="C467" s="735"/>
      <c r="D467" s="735"/>
      <c r="E467" s="735"/>
      <c r="F467" s="736"/>
      <c r="G467" s="735"/>
      <c r="H467" s="735"/>
      <c r="I467" s="735"/>
      <c r="J467" s="735"/>
      <c r="K467" s="735"/>
      <c r="L467" s="735"/>
      <c r="M467" s="735"/>
      <c r="N467" s="735"/>
      <c r="O467" s="19"/>
      <c r="P467" s="19"/>
      <c r="Q467" s="19"/>
      <c r="R467" s="19"/>
      <c r="S467" s="19"/>
      <c r="T467" s="19"/>
      <c r="U467" s="19"/>
      <c r="V467" s="19"/>
      <c r="W467" s="19"/>
      <c r="X467" s="19"/>
      <c r="Y467" s="19"/>
      <c r="Z467" s="19"/>
      <c r="AA467" s="19"/>
      <c r="AB467" s="19"/>
      <c r="FE467" s="54"/>
    </row>
    <row r="468" spans="1:161" s="18" customFormat="1">
      <c r="A468" s="51"/>
      <c r="B468" s="735"/>
      <c r="C468" s="735"/>
      <c r="D468" s="735"/>
      <c r="E468" s="735"/>
      <c r="F468" s="736"/>
      <c r="G468" s="735"/>
      <c r="H468" s="735"/>
      <c r="I468" s="735"/>
      <c r="J468" s="735"/>
      <c r="K468" s="735"/>
      <c r="L468" s="735"/>
      <c r="M468" s="735"/>
      <c r="N468" s="735"/>
      <c r="O468" s="19"/>
      <c r="P468" s="19"/>
      <c r="Q468" s="19"/>
      <c r="R468" s="19"/>
      <c r="S468" s="19"/>
      <c r="T468" s="19"/>
      <c r="U468" s="19"/>
      <c r="V468" s="19"/>
      <c r="W468" s="19"/>
      <c r="X468" s="19"/>
      <c r="Y468" s="19"/>
      <c r="Z468" s="19"/>
      <c r="AA468" s="19"/>
      <c r="AB468" s="19"/>
      <c r="FE468" s="54"/>
    </row>
    <row r="469" spans="1:161" s="18" customFormat="1">
      <c r="A469" s="51"/>
      <c r="B469" s="735"/>
      <c r="C469" s="735"/>
      <c r="D469" s="735"/>
      <c r="E469" s="735"/>
      <c r="F469" s="736"/>
      <c r="G469" s="735"/>
      <c r="H469" s="735"/>
      <c r="I469" s="735"/>
      <c r="J469" s="735"/>
      <c r="K469" s="735"/>
      <c r="L469" s="735"/>
      <c r="M469" s="735"/>
      <c r="N469" s="735"/>
      <c r="O469" s="19"/>
      <c r="P469" s="19"/>
      <c r="Q469" s="19"/>
      <c r="R469" s="19"/>
      <c r="S469" s="19"/>
      <c r="T469" s="19"/>
      <c r="U469" s="19"/>
      <c r="V469" s="19"/>
      <c r="W469" s="19"/>
      <c r="X469" s="19"/>
      <c r="Y469" s="19"/>
      <c r="Z469" s="19"/>
      <c r="AA469" s="19"/>
      <c r="AB469" s="19"/>
      <c r="FE469" s="54"/>
    </row>
    <row r="470" spans="1:161" s="18" customFormat="1">
      <c r="A470" s="51"/>
      <c r="B470" s="735"/>
      <c r="C470" s="735"/>
      <c r="D470" s="735"/>
      <c r="E470" s="735"/>
      <c r="F470" s="736"/>
      <c r="G470" s="735"/>
      <c r="H470" s="735"/>
      <c r="I470" s="735"/>
      <c r="J470" s="735"/>
      <c r="K470" s="735"/>
      <c r="L470" s="735"/>
      <c r="M470" s="735"/>
      <c r="N470" s="735"/>
      <c r="O470" s="19"/>
      <c r="P470" s="19"/>
      <c r="Q470" s="19"/>
      <c r="R470" s="19"/>
      <c r="S470" s="19"/>
      <c r="T470" s="19"/>
      <c r="U470" s="19"/>
      <c r="V470" s="19"/>
      <c r="W470" s="19"/>
      <c r="X470" s="19"/>
      <c r="Y470" s="19"/>
      <c r="Z470" s="19"/>
      <c r="AA470" s="19"/>
      <c r="AB470" s="19"/>
      <c r="FE470" s="54"/>
    </row>
    <row r="471" spans="1:161" s="18" customFormat="1">
      <c r="A471" s="51"/>
      <c r="B471" s="735"/>
      <c r="C471" s="735"/>
      <c r="D471" s="735"/>
      <c r="E471" s="735"/>
      <c r="F471" s="736"/>
      <c r="G471" s="735"/>
      <c r="H471" s="735"/>
      <c r="I471" s="735"/>
      <c r="J471" s="735"/>
      <c r="K471" s="735"/>
      <c r="L471" s="735"/>
      <c r="M471" s="735"/>
      <c r="N471" s="735"/>
      <c r="O471" s="19"/>
      <c r="P471" s="19"/>
      <c r="Q471" s="19"/>
      <c r="R471" s="19"/>
      <c r="S471" s="19"/>
      <c r="T471" s="19"/>
      <c r="U471" s="19"/>
      <c r="V471" s="19"/>
      <c r="W471" s="19"/>
      <c r="X471" s="19"/>
      <c r="Y471" s="19"/>
      <c r="Z471" s="19"/>
      <c r="AA471" s="19"/>
      <c r="AB471" s="19"/>
      <c r="FE471" s="54"/>
    </row>
    <row r="472" spans="1:161" s="18" customFormat="1">
      <c r="A472" s="51"/>
      <c r="B472" s="735"/>
      <c r="C472" s="735"/>
      <c r="D472" s="735"/>
      <c r="E472" s="735"/>
      <c r="F472" s="736"/>
      <c r="G472" s="735"/>
      <c r="H472" s="735"/>
      <c r="I472" s="735"/>
      <c r="J472" s="735"/>
      <c r="K472" s="735"/>
      <c r="L472" s="735"/>
      <c r="M472" s="735"/>
      <c r="N472" s="735"/>
      <c r="O472" s="19"/>
      <c r="P472" s="19"/>
      <c r="Q472" s="19"/>
      <c r="R472" s="19"/>
      <c r="S472" s="19"/>
      <c r="T472" s="19"/>
      <c r="U472" s="19"/>
      <c r="V472" s="19"/>
      <c r="W472" s="19"/>
      <c r="X472" s="19"/>
      <c r="Y472" s="19"/>
      <c r="Z472" s="19"/>
      <c r="AA472" s="19"/>
      <c r="AB472" s="19"/>
      <c r="FE472" s="54"/>
    </row>
    <row r="473" spans="1:161" s="18" customFormat="1">
      <c r="A473" s="51"/>
      <c r="B473" s="735"/>
      <c r="C473" s="735"/>
      <c r="D473" s="735"/>
      <c r="E473" s="735"/>
      <c r="F473" s="736"/>
      <c r="G473" s="735"/>
      <c r="H473" s="735"/>
      <c r="I473" s="735"/>
      <c r="J473" s="735"/>
      <c r="K473" s="735"/>
      <c r="L473" s="735"/>
      <c r="M473" s="735"/>
      <c r="N473" s="735"/>
      <c r="O473" s="19"/>
      <c r="P473" s="19"/>
      <c r="Q473" s="19"/>
      <c r="R473" s="19"/>
      <c r="S473" s="19"/>
      <c r="T473" s="19"/>
      <c r="U473" s="19"/>
      <c r="V473" s="19"/>
      <c r="W473" s="19"/>
      <c r="X473" s="19"/>
      <c r="Y473" s="19"/>
      <c r="Z473" s="19"/>
      <c r="AA473" s="19"/>
      <c r="AB473" s="19"/>
      <c r="FE473" s="54"/>
    </row>
    <row r="474" spans="1:161" s="18" customFormat="1">
      <c r="A474" s="51"/>
      <c r="B474" s="735"/>
      <c r="C474" s="735"/>
      <c r="D474" s="735"/>
      <c r="E474" s="735"/>
      <c r="F474" s="736"/>
      <c r="G474" s="735"/>
      <c r="H474" s="735"/>
      <c r="I474" s="735"/>
      <c r="J474" s="735"/>
      <c r="K474" s="735"/>
      <c r="L474" s="735"/>
      <c r="M474" s="735"/>
      <c r="N474" s="735"/>
      <c r="O474" s="19"/>
      <c r="P474" s="19"/>
      <c r="Q474" s="19"/>
      <c r="R474" s="19"/>
      <c r="S474" s="19"/>
      <c r="T474" s="19"/>
      <c r="U474" s="19"/>
      <c r="V474" s="19"/>
      <c r="W474" s="19"/>
      <c r="X474" s="19"/>
      <c r="Y474" s="19"/>
      <c r="Z474" s="19"/>
      <c r="AA474" s="19"/>
      <c r="AB474" s="19"/>
      <c r="FE474" s="54"/>
    </row>
    <row r="475" spans="1:161" s="18" customFormat="1">
      <c r="A475" s="51"/>
      <c r="B475" s="735"/>
      <c r="C475" s="735"/>
      <c r="D475" s="735"/>
      <c r="E475" s="735"/>
      <c r="F475" s="736"/>
      <c r="G475" s="735"/>
      <c r="H475" s="735"/>
      <c r="I475" s="735"/>
      <c r="J475" s="735"/>
      <c r="K475" s="735"/>
      <c r="L475" s="735"/>
      <c r="M475" s="735"/>
      <c r="N475" s="735"/>
      <c r="O475" s="19"/>
      <c r="P475" s="19"/>
      <c r="Q475" s="19"/>
      <c r="R475" s="19"/>
      <c r="S475" s="19"/>
      <c r="T475" s="19"/>
      <c r="U475" s="19"/>
      <c r="V475" s="19"/>
      <c r="W475" s="19"/>
      <c r="X475" s="19"/>
      <c r="Y475" s="19"/>
      <c r="Z475" s="19"/>
      <c r="AA475" s="19"/>
      <c r="AB475" s="19"/>
      <c r="FE475" s="54"/>
    </row>
    <row r="476" spans="1:161" s="18" customFormat="1">
      <c r="A476" s="51"/>
      <c r="B476" s="735"/>
      <c r="C476" s="735"/>
      <c r="D476" s="735"/>
      <c r="E476" s="735"/>
      <c r="F476" s="736"/>
      <c r="G476" s="735"/>
      <c r="H476" s="735"/>
      <c r="I476" s="735"/>
      <c r="J476" s="735"/>
      <c r="K476" s="735"/>
      <c r="L476" s="735"/>
      <c r="M476" s="735"/>
      <c r="N476" s="735"/>
      <c r="O476" s="19"/>
      <c r="P476" s="19"/>
      <c r="Q476" s="19"/>
      <c r="R476" s="19"/>
      <c r="S476" s="19"/>
      <c r="T476" s="19"/>
      <c r="U476" s="19"/>
      <c r="V476" s="19"/>
      <c r="W476" s="19"/>
      <c r="X476" s="19"/>
      <c r="Y476" s="19"/>
      <c r="Z476" s="19"/>
      <c r="AA476" s="19"/>
      <c r="AB476" s="19"/>
      <c r="FE476" s="54"/>
    </row>
    <row r="477" spans="1:161" s="18" customFormat="1">
      <c r="A477" s="51"/>
      <c r="B477" s="735"/>
      <c r="C477" s="735"/>
      <c r="D477" s="735"/>
      <c r="E477" s="735"/>
      <c r="F477" s="736"/>
      <c r="G477" s="735"/>
      <c r="H477" s="735"/>
      <c r="I477" s="735"/>
      <c r="J477" s="735"/>
      <c r="K477" s="735"/>
      <c r="L477" s="735"/>
      <c r="M477" s="735"/>
      <c r="N477" s="735"/>
      <c r="O477" s="19"/>
      <c r="P477" s="19"/>
      <c r="Q477" s="19"/>
      <c r="R477" s="19"/>
      <c r="S477" s="19"/>
      <c r="T477" s="19"/>
      <c r="U477" s="19"/>
      <c r="V477" s="19"/>
      <c r="W477" s="19"/>
      <c r="X477" s="19"/>
      <c r="Y477" s="19"/>
      <c r="Z477" s="19"/>
      <c r="AA477" s="19"/>
      <c r="AB477" s="19"/>
      <c r="FE477" s="54"/>
    </row>
    <row r="478" spans="1:161" s="18" customFormat="1">
      <c r="A478" s="51"/>
      <c r="B478" s="735"/>
      <c r="C478" s="735"/>
      <c r="D478" s="735"/>
      <c r="E478" s="735"/>
      <c r="F478" s="736"/>
      <c r="G478" s="735"/>
      <c r="H478" s="735"/>
      <c r="I478" s="735"/>
      <c r="J478" s="735"/>
      <c r="K478" s="735"/>
      <c r="L478" s="735"/>
      <c r="M478" s="735"/>
      <c r="N478" s="735"/>
      <c r="O478" s="19"/>
      <c r="P478" s="19"/>
      <c r="Q478" s="19"/>
      <c r="R478" s="19"/>
      <c r="S478" s="19"/>
      <c r="T478" s="19"/>
      <c r="U478" s="19"/>
      <c r="V478" s="19"/>
      <c r="W478" s="19"/>
      <c r="X478" s="19"/>
      <c r="Y478" s="19"/>
      <c r="Z478" s="19"/>
      <c r="AA478" s="19"/>
      <c r="AB478" s="19"/>
      <c r="FE478" s="54"/>
    </row>
    <row r="479" spans="1:161" s="18" customFormat="1">
      <c r="A479" s="51"/>
      <c r="B479" s="735"/>
      <c r="C479" s="735"/>
      <c r="D479" s="735"/>
      <c r="E479" s="735"/>
      <c r="F479" s="736"/>
      <c r="G479" s="735"/>
      <c r="H479" s="735"/>
      <c r="I479" s="735"/>
      <c r="J479" s="735"/>
      <c r="K479" s="735"/>
      <c r="L479" s="735"/>
      <c r="M479" s="735"/>
      <c r="N479" s="735"/>
      <c r="O479" s="19"/>
      <c r="P479" s="19"/>
      <c r="Q479" s="19"/>
      <c r="R479" s="19"/>
      <c r="S479" s="19"/>
      <c r="T479" s="19"/>
      <c r="U479" s="19"/>
      <c r="V479" s="19"/>
      <c r="W479" s="19"/>
      <c r="X479" s="19"/>
      <c r="Y479" s="19"/>
      <c r="Z479" s="19"/>
      <c r="AA479" s="19"/>
      <c r="AB479" s="19"/>
      <c r="FE479" s="54"/>
    </row>
    <row r="480" spans="1:161" s="18" customFormat="1">
      <c r="A480" s="51"/>
      <c r="B480" s="735"/>
      <c r="C480" s="735"/>
      <c r="D480" s="735"/>
      <c r="E480" s="735"/>
      <c r="F480" s="736"/>
      <c r="G480" s="735"/>
      <c r="H480" s="735"/>
      <c r="I480" s="735"/>
      <c r="J480" s="735"/>
      <c r="K480" s="735"/>
      <c r="L480" s="735"/>
      <c r="M480" s="735"/>
      <c r="N480" s="735"/>
      <c r="O480" s="19"/>
      <c r="P480" s="19"/>
      <c r="Q480" s="19"/>
      <c r="R480" s="19"/>
      <c r="S480" s="19"/>
      <c r="T480" s="19"/>
      <c r="U480" s="19"/>
      <c r="V480" s="19"/>
      <c r="W480" s="19"/>
      <c r="X480" s="19"/>
      <c r="Y480" s="19"/>
      <c r="Z480" s="19"/>
      <c r="AA480" s="19"/>
      <c r="AB480" s="19"/>
      <c r="FE480" s="54"/>
    </row>
    <row r="481" spans="1:161" s="18" customFormat="1">
      <c r="A481" s="51"/>
      <c r="B481" s="735"/>
      <c r="C481" s="735"/>
      <c r="D481" s="735"/>
      <c r="E481" s="735"/>
      <c r="F481" s="736"/>
      <c r="G481" s="735"/>
      <c r="H481" s="735"/>
      <c r="I481" s="735"/>
      <c r="J481" s="735"/>
      <c r="K481" s="735"/>
      <c r="L481" s="735"/>
      <c r="M481" s="735"/>
      <c r="N481" s="735"/>
      <c r="O481" s="19"/>
      <c r="P481" s="19"/>
      <c r="Q481" s="19"/>
      <c r="R481" s="19"/>
      <c r="S481" s="19"/>
      <c r="T481" s="19"/>
      <c r="U481" s="19"/>
      <c r="V481" s="19"/>
      <c r="W481" s="19"/>
      <c r="X481" s="19"/>
      <c r="Y481" s="19"/>
      <c r="Z481" s="19"/>
      <c r="AA481" s="19"/>
      <c r="AB481" s="19"/>
      <c r="FE481" s="54"/>
    </row>
    <row r="482" spans="1:161" s="18" customFormat="1">
      <c r="A482" s="51"/>
      <c r="B482" s="735"/>
      <c r="C482" s="735"/>
      <c r="D482" s="735"/>
      <c r="E482" s="735"/>
      <c r="F482" s="736"/>
      <c r="G482" s="735"/>
      <c r="H482" s="735"/>
      <c r="I482" s="735"/>
      <c r="J482" s="735"/>
      <c r="K482" s="735"/>
      <c r="L482" s="735"/>
      <c r="M482" s="735"/>
      <c r="N482" s="735"/>
      <c r="O482" s="19"/>
      <c r="P482" s="19"/>
      <c r="Q482" s="19"/>
      <c r="R482" s="19"/>
      <c r="S482" s="19"/>
      <c r="T482" s="19"/>
      <c r="U482" s="19"/>
      <c r="V482" s="19"/>
      <c r="W482" s="19"/>
      <c r="X482" s="19"/>
      <c r="Y482" s="19"/>
      <c r="Z482" s="19"/>
      <c r="AA482" s="19"/>
      <c r="AB482" s="19"/>
      <c r="FE482" s="54"/>
    </row>
    <row r="483" spans="1:161" s="18" customFormat="1">
      <c r="A483" s="51"/>
      <c r="B483" s="735"/>
      <c r="C483" s="735"/>
      <c r="D483" s="735"/>
      <c r="E483" s="735"/>
      <c r="F483" s="736"/>
      <c r="G483" s="735"/>
      <c r="H483" s="735"/>
      <c r="I483" s="735"/>
      <c r="J483" s="735"/>
      <c r="K483" s="735"/>
      <c r="L483" s="735"/>
      <c r="M483" s="735"/>
      <c r="N483" s="735"/>
      <c r="O483" s="19"/>
      <c r="P483" s="19"/>
      <c r="Q483" s="19"/>
      <c r="R483" s="19"/>
      <c r="S483" s="19"/>
      <c r="T483" s="19"/>
      <c r="U483" s="19"/>
      <c r="V483" s="19"/>
      <c r="W483" s="19"/>
      <c r="X483" s="19"/>
      <c r="Y483" s="19"/>
      <c r="Z483" s="19"/>
      <c r="AA483" s="19"/>
      <c r="AB483" s="19"/>
      <c r="FE483" s="54"/>
    </row>
    <row r="484" spans="1:161" s="18" customFormat="1">
      <c r="A484" s="51"/>
      <c r="B484" s="735"/>
      <c r="C484" s="735"/>
      <c r="D484" s="735"/>
      <c r="E484" s="735"/>
      <c r="F484" s="736"/>
      <c r="G484" s="735"/>
      <c r="H484" s="735"/>
      <c r="I484" s="735"/>
      <c r="J484" s="735"/>
      <c r="K484" s="735"/>
      <c r="L484" s="735"/>
      <c r="M484" s="735"/>
      <c r="N484" s="735"/>
      <c r="O484" s="19"/>
      <c r="P484" s="19"/>
      <c r="Q484" s="19"/>
      <c r="R484" s="19"/>
      <c r="S484" s="19"/>
      <c r="T484" s="19"/>
      <c r="U484" s="19"/>
      <c r="V484" s="19"/>
      <c r="W484" s="19"/>
      <c r="X484" s="19"/>
      <c r="Y484" s="19"/>
      <c r="Z484" s="19"/>
      <c r="AA484" s="19"/>
      <c r="AB484" s="19"/>
      <c r="FE484" s="54"/>
    </row>
    <row r="485" spans="1:161" s="18" customFormat="1">
      <c r="A485" s="51"/>
      <c r="B485" s="735"/>
      <c r="C485" s="735"/>
      <c r="D485" s="735"/>
      <c r="E485" s="735"/>
      <c r="F485" s="736"/>
      <c r="G485" s="735"/>
      <c r="H485" s="735"/>
      <c r="I485" s="735"/>
      <c r="J485" s="735"/>
      <c r="K485" s="735"/>
      <c r="L485" s="735"/>
      <c r="M485" s="735"/>
      <c r="N485" s="735"/>
      <c r="O485" s="19"/>
      <c r="P485" s="19"/>
      <c r="Q485" s="19"/>
      <c r="R485" s="19"/>
      <c r="S485" s="19"/>
      <c r="T485" s="19"/>
      <c r="U485" s="19"/>
      <c r="V485" s="19"/>
      <c r="W485" s="19"/>
      <c r="X485" s="19"/>
      <c r="Y485" s="19"/>
      <c r="Z485" s="19"/>
      <c r="AA485" s="19"/>
      <c r="AB485" s="19"/>
      <c r="FE485" s="54"/>
    </row>
    <row r="486" spans="1:161" s="18" customFormat="1">
      <c r="A486" s="51"/>
      <c r="B486" s="735"/>
      <c r="C486" s="735"/>
      <c r="D486" s="735"/>
      <c r="E486" s="735"/>
      <c r="F486" s="736"/>
      <c r="G486" s="735"/>
      <c r="H486" s="735"/>
      <c r="I486" s="735"/>
      <c r="J486" s="735"/>
      <c r="K486" s="735"/>
      <c r="L486" s="735"/>
      <c r="M486" s="735"/>
      <c r="N486" s="735"/>
      <c r="O486" s="19"/>
      <c r="P486" s="19"/>
      <c r="Q486" s="19"/>
      <c r="R486" s="19"/>
      <c r="S486" s="19"/>
      <c r="T486" s="19"/>
      <c r="U486" s="19"/>
      <c r="V486" s="19"/>
      <c r="W486" s="19"/>
      <c r="X486" s="19"/>
      <c r="Y486" s="19"/>
      <c r="Z486" s="19"/>
      <c r="AA486" s="19"/>
      <c r="AB486" s="19"/>
      <c r="FE486" s="54"/>
    </row>
    <row r="487" spans="1:161" s="18" customFormat="1">
      <c r="A487" s="51"/>
      <c r="B487" s="735"/>
      <c r="C487" s="735"/>
      <c r="D487" s="735"/>
      <c r="E487" s="735"/>
      <c r="F487" s="736"/>
      <c r="G487" s="735"/>
      <c r="H487" s="735"/>
      <c r="I487" s="735"/>
      <c r="J487" s="735"/>
      <c r="K487" s="735"/>
      <c r="L487" s="735"/>
      <c r="M487" s="735"/>
      <c r="N487" s="735"/>
      <c r="O487" s="19"/>
      <c r="P487" s="19"/>
      <c r="Q487" s="19"/>
      <c r="R487" s="19"/>
      <c r="S487" s="19"/>
      <c r="T487" s="19"/>
      <c r="U487" s="19"/>
      <c r="V487" s="19"/>
      <c r="W487" s="19"/>
      <c r="X487" s="19"/>
      <c r="Y487" s="19"/>
      <c r="Z487" s="19"/>
      <c r="AA487" s="19"/>
      <c r="AB487" s="19"/>
      <c r="FE487" s="54"/>
    </row>
    <row r="488" spans="1:161" s="18" customFormat="1">
      <c r="A488" s="51"/>
      <c r="B488" s="735"/>
      <c r="C488" s="735"/>
      <c r="D488" s="735"/>
      <c r="E488" s="735"/>
      <c r="F488" s="736"/>
      <c r="G488" s="735"/>
      <c r="H488" s="735"/>
      <c r="I488" s="735"/>
      <c r="J488" s="735"/>
      <c r="K488" s="735"/>
      <c r="L488" s="735"/>
      <c r="M488" s="735"/>
      <c r="N488" s="735"/>
      <c r="O488" s="19"/>
      <c r="P488" s="19"/>
      <c r="Q488" s="19"/>
      <c r="R488" s="19"/>
      <c r="S488" s="19"/>
      <c r="T488" s="19"/>
      <c r="U488" s="19"/>
      <c r="V488" s="19"/>
      <c r="W488" s="19"/>
      <c r="X488" s="19"/>
      <c r="Y488" s="19"/>
      <c r="Z488" s="19"/>
      <c r="AA488" s="19"/>
      <c r="AB488" s="19"/>
      <c r="FE488" s="54"/>
    </row>
    <row r="489" spans="1:161" s="18" customFormat="1">
      <c r="A489" s="51"/>
      <c r="B489" s="735"/>
      <c r="C489" s="735"/>
      <c r="D489" s="735"/>
      <c r="E489" s="735"/>
      <c r="F489" s="736"/>
      <c r="G489" s="735"/>
      <c r="H489" s="735"/>
      <c r="I489" s="735"/>
      <c r="J489" s="735"/>
      <c r="K489" s="735"/>
      <c r="L489" s="735"/>
      <c r="M489" s="735"/>
      <c r="N489" s="735"/>
      <c r="O489" s="19"/>
      <c r="P489" s="19"/>
      <c r="Q489" s="19"/>
      <c r="R489" s="19"/>
      <c r="S489" s="19"/>
      <c r="T489" s="19"/>
      <c r="U489" s="19"/>
      <c r="V489" s="19"/>
      <c r="W489" s="19"/>
      <c r="X489" s="19"/>
      <c r="Y489" s="19"/>
      <c r="Z489" s="19"/>
      <c r="AA489" s="19"/>
      <c r="AB489" s="19"/>
      <c r="FE489" s="54"/>
    </row>
    <row r="490" spans="1:161" s="18" customFormat="1">
      <c r="A490" s="51"/>
      <c r="B490" s="735"/>
      <c r="C490" s="735"/>
      <c r="D490" s="735"/>
      <c r="E490" s="735"/>
      <c r="F490" s="736"/>
      <c r="G490" s="735"/>
      <c r="H490" s="735"/>
      <c r="I490" s="735"/>
      <c r="J490" s="735"/>
      <c r="K490" s="735"/>
      <c r="L490" s="735"/>
      <c r="M490" s="735"/>
      <c r="N490" s="735"/>
      <c r="O490" s="19"/>
      <c r="P490" s="19"/>
      <c r="Q490" s="19"/>
      <c r="R490" s="19"/>
      <c r="S490" s="19"/>
      <c r="T490" s="19"/>
      <c r="U490" s="19"/>
      <c r="V490" s="19"/>
      <c r="W490" s="19"/>
      <c r="X490" s="19"/>
      <c r="Y490" s="19"/>
      <c r="Z490" s="19"/>
      <c r="AA490" s="19"/>
      <c r="AB490" s="19"/>
      <c r="FE490" s="54"/>
    </row>
    <row r="491" spans="1:161" s="18" customFormat="1">
      <c r="A491" s="51"/>
      <c r="B491" s="735"/>
      <c r="C491" s="735"/>
      <c r="D491" s="735"/>
      <c r="E491" s="735"/>
      <c r="F491" s="736"/>
      <c r="G491" s="735"/>
      <c r="H491" s="735"/>
      <c r="I491" s="735"/>
      <c r="J491" s="735"/>
      <c r="K491" s="735"/>
      <c r="L491" s="735"/>
      <c r="M491" s="735"/>
      <c r="N491" s="735"/>
      <c r="O491" s="19"/>
      <c r="P491" s="19"/>
      <c r="Q491" s="19"/>
      <c r="R491" s="19"/>
      <c r="S491" s="19"/>
      <c r="T491" s="19"/>
      <c r="U491" s="19"/>
      <c r="V491" s="19"/>
      <c r="W491" s="19"/>
      <c r="X491" s="19"/>
      <c r="Y491" s="19"/>
      <c r="Z491" s="19"/>
      <c r="AA491" s="19"/>
      <c r="AB491" s="19"/>
      <c r="FE491" s="54"/>
    </row>
    <row r="492" spans="1:161" s="18" customFormat="1">
      <c r="A492" s="51"/>
      <c r="B492" s="735"/>
      <c r="C492" s="735"/>
      <c r="D492" s="735"/>
      <c r="E492" s="735"/>
      <c r="F492" s="736"/>
      <c r="G492" s="735"/>
      <c r="H492" s="735"/>
      <c r="I492" s="735"/>
      <c r="J492" s="735"/>
      <c r="K492" s="735"/>
      <c r="L492" s="735"/>
      <c r="M492" s="735"/>
      <c r="N492" s="735"/>
      <c r="O492" s="19"/>
      <c r="P492" s="19"/>
      <c r="Q492" s="19"/>
      <c r="R492" s="19"/>
      <c r="S492" s="19"/>
      <c r="T492" s="19"/>
      <c r="U492" s="19"/>
      <c r="V492" s="19"/>
      <c r="W492" s="19"/>
      <c r="X492" s="19"/>
      <c r="Y492" s="19"/>
      <c r="Z492" s="19"/>
      <c r="AA492" s="19"/>
      <c r="AB492" s="19"/>
      <c r="FE492" s="54"/>
    </row>
    <row r="493" spans="1:161" s="18" customFormat="1">
      <c r="A493" s="51"/>
      <c r="B493" s="735"/>
      <c r="C493" s="735"/>
      <c r="D493" s="735"/>
      <c r="E493" s="735"/>
      <c r="F493" s="736"/>
      <c r="G493" s="735"/>
      <c r="H493" s="735"/>
      <c r="I493" s="735"/>
      <c r="J493" s="735"/>
      <c r="K493" s="735"/>
      <c r="L493" s="735"/>
      <c r="M493" s="735"/>
      <c r="N493" s="735"/>
      <c r="O493" s="19"/>
      <c r="P493" s="19"/>
      <c r="Q493" s="19"/>
      <c r="R493" s="19"/>
      <c r="S493" s="19"/>
      <c r="T493" s="19"/>
      <c r="U493" s="19"/>
      <c r="V493" s="19"/>
      <c r="W493" s="19"/>
      <c r="X493" s="19"/>
      <c r="Y493" s="19"/>
      <c r="Z493" s="19"/>
      <c r="AA493" s="19"/>
      <c r="AB493" s="19"/>
      <c r="FE493" s="54"/>
    </row>
    <row r="494" spans="1:161" s="18" customFormat="1">
      <c r="A494" s="51"/>
      <c r="B494" s="735"/>
      <c r="C494" s="735"/>
      <c r="D494" s="735"/>
      <c r="E494" s="735"/>
      <c r="F494" s="736"/>
      <c r="G494" s="735"/>
      <c r="H494" s="735"/>
      <c r="I494" s="735"/>
      <c r="J494" s="735"/>
      <c r="K494" s="735"/>
      <c r="L494" s="735"/>
      <c r="M494" s="735"/>
      <c r="N494" s="735"/>
      <c r="O494" s="19"/>
      <c r="P494" s="19"/>
      <c r="Q494" s="19"/>
      <c r="R494" s="19"/>
      <c r="S494" s="19"/>
      <c r="T494" s="19"/>
      <c r="U494" s="19"/>
      <c r="V494" s="19"/>
      <c r="W494" s="19"/>
      <c r="X494" s="19"/>
      <c r="Y494" s="19"/>
      <c r="Z494" s="19"/>
      <c r="AA494" s="19"/>
      <c r="AB494" s="19"/>
      <c r="FE494" s="54"/>
    </row>
    <row r="495" spans="1:161" s="18" customFormat="1">
      <c r="A495" s="51"/>
      <c r="B495" s="735"/>
      <c r="C495" s="735"/>
      <c r="D495" s="735"/>
      <c r="E495" s="735"/>
      <c r="F495" s="736"/>
      <c r="G495" s="735"/>
      <c r="H495" s="735"/>
      <c r="I495" s="735"/>
      <c r="J495" s="735"/>
      <c r="K495" s="735"/>
      <c r="L495" s="735"/>
      <c r="M495" s="735"/>
      <c r="N495" s="735"/>
      <c r="O495" s="19"/>
      <c r="P495" s="19"/>
      <c r="Q495" s="19"/>
      <c r="R495" s="19"/>
      <c r="S495" s="19"/>
      <c r="T495" s="19"/>
      <c r="U495" s="19"/>
      <c r="V495" s="19"/>
      <c r="W495" s="19"/>
      <c r="X495" s="19"/>
      <c r="Y495" s="19"/>
      <c r="Z495" s="19"/>
      <c r="AA495" s="19"/>
      <c r="AB495" s="19"/>
      <c r="FE495" s="54"/>
    </row>
    <row r="496" spans="1:161" s="18" customFormat="1">
      <c r="A496" s="51"/>
      <c r="B496" s="735"/>
      <c r="C496" s="735"/>
      <c r="D496" s="735"/>
      <c r="E496" s="735"/>
      <c r="F496" s="736"/>
      <c r="G496" s="735"/>
      <c r="H496" s="735"/>
      <c r="I496" s="735"/>
      <c r="J496" s="735"/>
      <c r="K496" s="735"/>
      <c r="L496" s="735"/>
      <c r="M496" s="735"/>
      <c r="N496" s="735"/>
      <c r="O496" s="19"/>
      <c r="P496" s="19"/>
      <c r="Q496" s="19"/>
      <c r="R496" s="19"/>
      <c r="S496" s="19"/>
      <c r="T496" s="19"/>
      <c r="U496" s="19"/>
      <c r="V496" s="19"/>
      <c r="W496" s="19"/>
      <c r="X496" s="19"/>
      <c r="Y496" s="19"/>
      <c r="Z496" s="19"/>
      <c r="AA496" s="19"/>
      <c r="AB496" s="19"/>
      <c r="FE496" s="54"/>
    </row>
    <row r="497" spans="1:161" s="18" customFormat="1">
      <c r="A497" s="51"/>
      <c r="B497" s="735"/>
      <c r="C497" s="735"/>
      <c r="D497" s="735"/>
      <c r="E497" s="735"/>
      <c r="F497" s="736"/>
      <c r="G497" s="735"/>
      <c r="H497" s="735"/>
      <c r="I497" s="735"/>
      <c r="J497" s="735"/>
      <c r="K497" s="735"/>
      <c r="L497" s="735"/>
      <c r="M497" s="735"/>
      <c r="N497" s="735"/>
      <c r="O497" s="19"/>
      <c r="P497" s="19"/>
      <c r="Q497" s="19"/>
      <c r="R497" s="19"/>
      <c r="S497" s="19"/>
      <c r="T497" s="19"/>
      <c r="U497" s="19"/>
      <c r="V497" s="19"/>
      <c r="W497" s="19"/>
      <c r="X497" s="19"/>
      <c r="Y497" s="19"/>
      <c r="Z497" s="19"/>
      <c r="AA497" s="19"/>
      <c r="AB497" s="19"/>
      <c r="FE497" s="54"/>
    </row>
    <row r="498" spans="1:161" s="18" customFormat="1">
      <c r="A498" s="51"/>
      <c r="B498" s="735"/>
      <c r="C498" s="735"/>
      <c r="D498" s="735"/>
      <c r="E498" s="735"/>
      <c r="F498" s="736"/>
      <c r="G498" s="735"/>
      <c r="H498" s="735"/>
      <c r="I498" s="735"/>
      <c r="J498" s="735"/>
      <c r="K498" s="735"/>
      <c r="L498" s="735"/>
      <c r="M498" s="735"/>
      <c r="N498" s="735"/>
      <c r="O498" s="19"/>
      <c r="P498" s="19"/>
      <c r="Q498" s="19"/>
      <c r="R498" s="19"/>
      <c r="S498" s="19"/>
      <c r="T498" s="19"/>
      <c r="U498" s="19"/>
      <c r="V498" s="19"/>
      <c r="W498" s="19"/>
      <c r="X498" s="19"/>
      <c r="Y498" s="19"/>
      <c r="Z498" s="19"/>
      <c r="AA498" s="19"/>
      <c r="AB498" s="19"/>
      <c r="FE498" s="54"/>
    </row>
    <row r="499" spans="1:161" s="18" customFormat="1">
      <c r="A499" s="51"/>
      <c r="B499" s="735"/>
      <c r="C499" s="735"/>
      <c r="D499" s="735"/>
      <c r="E499" s="735"/>
      <c r="F499" s="736"/>
      <c r="G499" s="735"/>
      <c r="H499" s="735"/>
      <c r="I499" s="735"/>
      <c r="J499" s="735"/>
      <c r="K499" s="735"/>
      <c r="L499" s="735"/>
      <c r="M499" s="735"/>
      <c r="N499" s="735"/>
      <c r="O499" s="19"/>
      <c r="P499" s="19"/>
      <c r="Q499" s="19"/>
      <c r="R499" s="19"/>
      <c r="S499" s="19"/>
      <c r="T499" s="19"/>
      <c r="U499" s="19"/>
      <c r="V499" s="19"/>
      <c r="W499" s="19"/>
      <c r="X499" s="19"/>
      <c r="Y499" s="19"/>
      <c r="Z499" s="19"/>
      <c r="AA499" s="19"/>
      <c r="AB499" s="19"/>
      <c r="FE499" s="54"/>
    </row>
    <row r="500" spans="1:161" s="18" customFormat="1">
      <c r="A500" s="51"/>
      <c r="B500" s="735"/>
      <c r="C500" s="735"/>
      <c r="D500" s="735"/>
      <c r="E500" s="735"/>
      <c r="F500" s="736"/>
      <c r="G500" s="735"/>
      <c r="H500" s="735"/>
      <c r="I500" s="735"/>
      <c r="J500" s="735"/>
      <c r="K500" s="735"/>
      <c r="L500" s="735"/>
      <c r="M500" s="735"/>
      <c r="N500" s="735"/>
      <c r="O500" s="19"/>
      <c r="P500" s="19"/>
      <c r="Q500" s="19"/>
      <c r="R500" s="19"/>
      <c r="S500" s="19"/>
      <c r="T500" s="19"/>
      <c r="U500" s="19"/>
      <c r="V500" s="19"/>
      <c r="W500" s="19"/>
      <c r="X500" s="19"/>
      <c r="Y500" s="19"/>
      <c r="Z500" s="19"/>
      <c r="AA500" s="19"/>
      <c r="AB500" s="19"/>
      <c r="FE500" s="54"/>
    </row>
    <row r="501" spans="1:161" s="18" customFormat="1">
      <c r="A501" s="51"/>
      <c r="B501" s="735"/>
      <c r="C501" s="735"/>
      <c r="D501" s="735"/>
      <c r="E501" s="735"/>
      <c r="F501" s="736"/>
      <c r="G501" s="735"/>
      <c r="H501" s="735"/>
      <c r="I501" s="735"/>
      <c r="J501" s="735"/>
      <c r="K501" s="735"/>
      <c r="L501" s="735"/>
      <c r="M501" s="735"/>
      <c r="N501" s="735"/>
      <c r="O501" s="19"/>
      <c r="P501" s="19"/>
      <c r="Q501" s="19"/>
      <c r="R501" s="19"/>
      <c r="S501" s="19"/>
      <c r="T501" s="19"/>
      <c r="U501" s="19"/>
      <c r="V501" s="19"/>
      <c r="W501" s="19"/>
      <c r="X501" s="19"/>
      <c r="Y501" s="19"/>
      <c r="Z501" s="19"/>
      <c r="AA501" s="19"/>
      <c r="AB501" s="19"/>
      <c r="FE501" s="54"/>
    </row>
    <row r="502" spans="1:161" s="18" customFormat="1">
      <c r="A502" s="51"/>
      <c r="B502" s="735"/>
      <c r="C502" s="735"/>
      <c r="D502" s="735"/>
      <c r="E502" s="735"/>
      <c r="F502" s="736"/>
      <c r="G502" s="735"/>
      <c r="H502" s="735"/>
      <c r="I502" s="735"/>
      <c r="J502" s="735"/>
      <c r="K502" s="735"/>
      <c r="L502" s="735"/>
      <c r="M502" s="735"/>
      <c r="N502" s="735"/>
      <c r="O502" s="19"/>
      <c r="P502" s="19"/>
      <c r="Q502" s="19"/>
      <c r="R502" s="19"/>
      <c r="S502" s="19"/>
      <c r="T502" s="19"/>
      <c r="U502" s="19"/>
      <c r="V502" s="19"/>
      <c r="W502" s="19"/>
      <c r="X502" s="19"/>
      <c r="Y502" s="19"/>
      <c r="Z502" s="19"/>
      <c r="AA502" s="19"/>
      <c r="AB502" s="19"/>
      <c r="FE502" s="54"/>
    </row>
    <row r="503" spans="1:161" s="18" customFormat="1">
      <c r="A503" s="51"/>
      <c r="B503" s="735"/>
      <c r="C503" s="735"/>
      <c r="D503" s="735"/>
      <c r="E503" s="735"/>
      <c r="F503" s="736"/>
      <c r="G503" s="735"/>
      <c r="H503" s="735"/>
      <c r="I503" s="735"/>
      <c r="J503" s="735"/>
      <c r="K503" s="735"/>
      <c r="L503" s="735"/>
      <c r="M503" s="735"/>
      <c r="N503" s="735"/>
      <c r="O503" s="19"/>
      <c r="P503" s="19"/>
      <c r="Q503" s="19"/>
      <c r="R503" s="19"/>
      <c r="S503" s="19"/>
      <c r="T503" s="19"/>
      <c r="U503" s="19"/>
      <c r="V503" s="19"/>
      <c r="W503" s="19"/>
      <c r="X503" s="19"/>
      <c r="Y503" s="19"/>
      <c r="Z503" s="19"/>
      <c r="AA503" s="19"/>
      <c r="AB503" s="19"/>
      <c r="FE503" s="54"/>
    </row>
    <row r="504" spans="1:161" s="18" customFormat="1">
      <c r="A504" s="51"/>
      <c r="B504" s="735"/>
      <c r="C504" s="735"/>
      <c r="D504" s="735"/>
      <c r="E504" s="735"/>
      <c r="F504" s="736"/>
      <c r="G504" s="735"/>
      <c r="H504" s="735"/>
      <c r="I504" s="735"/>
      <c r="J504" s="735"/>
      <c r="K504" s="735"/>
      <c r="L504" s="735"/>
      <c r="M504" s="735"/>
      <c r="N504" s="735"/>
      <c r="O504" s="19"/>
      <c r="P504" s="19"/>
      <c r="Q504" s="19"/>
      <c r="R504" s="19"/>
      <c r="S504" s="19"/>
      <c r="T504" s="19"/>
      <c r="U504" s="19"/>
      <c r="V504" s="19"/>
      <c r="W504" s="19"/>
      <c r="X504" s="19"/>
      <c r="Y504" s="19"/>
      <c r="Z504" s="19"/>
      <c r="AA504" s="19"/>
      <c r="AB504" s="19"/>
      <c r="FE504" s="54"/>
    </row>
    <row r="505" spans="1:161" s="18" customFormat="1">
      <c r="A505" s="51"/>
      <c r="B505" s="735"/>
      <c r="C505" s="735"/>
      <c r="D505" s="735"/>
      <c r="E505" s="735"/>
      <c r="F505" s="736"/>
      <c r="G505" s="735"/>
      <c r="H505" s="735"/>
      <c r="I505" s="735"/>
      <c r="J505" s="735"/>
      <c r="K505" s="735"/>
      <c r="L505" s="735"/>
      <c r="M505" s="735"/>
      <c r="N505" s="735"/>
      <c r="O505" s="19"/>
      <c r="P505" s="19"/>
      <c r="Q505" s="19"/>
      <c r="R505" s="19"/>
      <c r="S505" s="19"/>
      <c r="T505" s="19"/>
      <c r="U505" s="19"/>
      <c r="V505" s="19"/>
      <c r="W505" s="19"/>
      <c r="X505" s="19"/>
      <c r="Y505" s="19"/>
      <c r="Z505" s="19"/>
      <c r="AA505" s="19"/>
      <c r="AB505" s="19"/>
      <c r="FE505" s="54"/>
    </row>
    <row r="506" spans="1:161" s="18" customFormat="1">
      <c r="A506" s="51"/>
      <c r="B506" s="735"/>
      <c r="C506" s="735"/>
      <c r="D506" s="735"/>
      <c r="E506" s="735"/>
      <c r="F506" s="736"/>
      <c r="G506" s="735"/>
      <c r="H506" s="735"/>
      <c r="I506" s="735"/>
      <c r="J506" s="735"/>
      <c r="K506" s="735"/>
      <c r="L506" s="735"/>
      <c r="M506" s="735"/>
      <c r="N506" s="735"/>
      <c r="O506" s="19"/>
      <c r="P506" s="19"/>
      <c r="Q506" s="19"/>
      <c r="R506" s="19"/>
      <c r="S506" s="19"/>
      <c r="T506" s="19"/>
      <c r="U506" s="19"/>
      <c r="V506" s="19"/>
      <c r="W506" s="19"/>
      <c r="X506" s="19"/>
      <c r="Y506" s="19"/>
      <c r="Z506" s="19"/>
      <c r="AA506" s="19"/>
      <c r="AB506" s="19"/>
      <c r="FE506" s="54"/>
    </row>
    <row r="507" spans="1:161" s="18" customFormat="1">
      <c r="A507" s="51"/>
      <c r="B507" s="735"/>
      <c r="C507" s="735"/>
      <c r="D507" s="735"/>
      <c r="E507" s="735"/>
      <c r="F507" s="736"/>
      <c r="G507" s="735"/>
      <c r="H507" s="735"/>
      <c r="I507" s="735"/>
      <c r="J507" s="735"/>
      <c r="K507" s="735"/>
      <c r="L507" s="735"/>
      <c r="M507" s="735"/>
      <c r="N507" s="735"/>
      <c r="O507" s="19"/>
      <c r="P507" s="19"/>
      <c r="Q507" s="19"/>
      <c r="R507" s="19"/>
      <c r="S507" s="19"/>
      <c r="T507" s="19"/>
      <c r="U507" s="19"/>
      <c r="V507" s="19"/>
      <c r="W507" s="19"/>
      <c r="X507" s="19"/>
      <c r="Y507" s="19"/>
      <c r="Z507" s="19"/>
      <c r="AA507" s="19"/>
      <c r="AB507" s="19"/>
      <c r="FE507" s="54"/>
    </row>
    <row r="508" spans="1:161" s="18" customFormat="1">
      <c r="A508" s="51"/>
      <c r="B508" s="735"/>
      <c r="C508" s="735"/>
      <c r="D508" s="735"/>
      <c r="E508" s="735"/>
      <c r="F508" s="736"/>
      <c r="G508" s="735"/>
      <c r="H508" s="735"/>
      <c r="I508" s="735"/>
      <c r="J508" s="735"/>
      <c r="K508" s="735"/>
      <c r="L508" s="735"/>
      <c r="M508" s="735"/>
      <c r="N508" s="735"/>
      <c r="O508" s="19"/>
      <c r="P508" s="19"/>
      <c r="Q508" s="19"/>
      <c r="R508" s="19"/>
      <c r="S508" s="19"/>
      <c r="T508" s="19"/>
      <c r="U508" s="19"/>
      <c r="V508" s="19"/>
      <c r="W508" s="19"/>
      <c r="X508" s="19"/>
      <c r="Y508" s="19"/>
      <c r="Z508" s="19"/>
      <c r="AA508" s="19"/>
      <c r="AB508" s="19"/>
      <c r="FE508" s="54"/>
    </row>
    <row r="509" spans="1:161" s="18" customFormat="1">
      <c r="A509" s="51"/>
      <c r="B509" s="735"/>
      <c r="C509" s="735"/>
      <c r="D509" s="735"/>
      <c r="E509" s="735"/>
      <c r="F509" s="736"/>
      <c r="G509" s="735"/>
      <c r="H509" s="735"/>
      <c r="I509" s="735"/>
      <c r="J509" s="735"/>
      <c r="K509" s="735"/>
      <c r="L509" s="735"/>
      <c r="M509" s="735"/>
      <c r="N509" s="735"/>
      <c r="O509" s="19"/>
      <c r="P509" s="19"/>
      <c r="Q509" s="19"/>
      <c r="R509" s="19"/>
      <c r="S509" s="19"/>
      <c r="T509" s="19"/>
      <c r="U509" s="19"/>
      <c r="V509" s="19"/>
      <c r="W509" s="19"/>
      <c r="X509" s="19"/>
      <c r="Y509" s="19"/>
      <c r="Z509" s="19"/>
      <c r="AA509" s="19"/>
      <c r="AB509" s="19"/>
      <c r="FE509" s="54"/>
    </row>
    <row r="510" spans="1:161" s="18" customFormat="1">
      <c r="A510" s="51"/>
      <c r="B510" s="735"/>
      <c r="C510" s="735"/>
      <c r="D510" s="735"/>
      <c r="E510" s="735"/>
      <c r="F510" s="736"/>
      <c r="G510" s="735"/>
      <c r="H510" s="735"/>
      <c r="I510" s="735"/>
      <c r="J510" s="735"/>
      <c r="K510" s="735"/>
      <c r="L510" s="735"/>
      <c r="M510" s="735"/>
      <c r="N510" s="735"/>
      <c r="O510" s="19"/>
      <c r="P510" s="19"/>
      <c r="Q510" s="19"/>
      <c r="R510" s="19"/>
      <c r="S510" s="19"/>
      <c r="T510" s="19"/>
      <c r="U510" s="19"/>
      <c r="V510" s="19"/>
      <c r="W510" s="19"/>
      <c r="X510" s="19"/>
      <c r="Y510" s="19"/>
      <c r="Z510" s="19"/>
      <c r="AA510" s="19"/>
      <c r="AB510" s="19"/>
      <c r="FE510" s="54"/>
    </row>
    <row r="511" spans="1:161" s="18" customFormat="1">
      <c r="A511" s="51"/>
      <c r="B511" s="735"/>
      <c r="C511" s="735"/>
      <c r="D511" s="735"/>
      <c r="E511" s="735"/>
      <c r="F511" s="736"/>
      <c r="G511" s="735"/>
      <c r="H511" s="735"/>
      <c r="I511" s="735"/>
      <c r="J511" s="735"/>
      <c r="K511" s="735"/>
      <c r="L511" s="735"/>
      <c r="M511" s="735"/>
      <c r="N511" s="735"/>
      <c r="O511" s="19"/>
      <c r="P511" s="19"/>
      <c r="Q511" s="19"/>
      <c r="R511" s="19"/>
      <c r="S511" s="19"/>
      <c r="T511" s="19"/>
      <c r="U511" s="19"/>
      <c r="V511" s="19"/>
      <c r="W511" s="19"/>
      <c r="X511" s="19"/>
      <c r="Y511" s="19"/>
      <c r="Z511" s="19"/>
      <c r="AA511" s="19"/>
      <c r="AB511" s="19"/>
      <c r="FE511" s="54"/>
    </row>
    <row r="512" spans="1:161" s="18" customFormat="1">
      <c r="A512" s="51"/>
      <c r="B512" s="735"/>
      <c r="C512" s="735"/>
      <c r="D512" s="735"/>
      <c r="E512" s="735"/>
      <c r="F512" s="736"/>
      <c r="G512" s="735"/>
      <c r="H512" s="735"/>
      <c r="I512" s="735"/>
      <c r="J512" s="735"/>
      <c r="K512" s="735"/>
      <c r="L512" s="735"/>
      <c r="M512" s="735"/>
      <c r="N512" s="735"/>
      <c r="O512" s="19"/>
      <c r="P512" s="19"/>
      <c r="Q512" s="19"/>
      <c r="R512" s="19"/>
      <c r="S512" s="19"/>
      <c r="T512" s="19"/>
      <c r="U512" s="19"/>
      <c r="V512" s="19"/>
      <c r="W512" s="19"/>
      <c r="X512" s="19"/>
      <c r="Y512" s="19"/>
      <c r="Z512" s="19"/>
      <c r="AA512" s="19"/>
      <c r="AB512" s="19"/>
      <c r="FE512" s="54"/>
    </row>
    <row r="513" spans="1:161" s="18" customFormat="1">
      <c r="A513" s="51"/>
      <c r="B513" s="735"/>
      <c r="C513" s="735"/>
      <c r="D513" s="735"/>
      <c r="E513" s="735"/>
      <c r="F513" s="736"/>
      <c r="G513" s="735"/>
      <c r="H513" s="735"/>
      <c r="I513" s="735"/>
      <c r="J513" s="735"/>
      <c r="K513" s="735"/>
      <c r="L513" s="735"/>
      <c r="M513" s="735"/>
      <c r="N513" s="735"/>
      <c r="O513" s="19"/>
      <c r="P513" s="19"/>
      <c r="Q513" s="19"/>
      <c r="R513" s="19"/>
      <c r="S513" s="19"/>
      <c r="T513" s="19"/>
      <c r="U513" s="19"/>
      <c r="V513" s="19"/>
      <c r="W513" s="19"/>
      <c r="X513" s="19"/>
      <c r="Y513" s="19"/>
      <c r="Z513" s="19"/>
      <c r="AA513" s="19"/>
      <c r="AB513" s="19"/>
      <c r="FE513" s="54"/>
    </row>
    <row r="514" spans="1:161" s="18" customFormat="1">
      <c r="A514" s="51"/>
      <c r="B514" s="735"/>
      <c r="C514" s="735"/>
      <c r="D514" s="735"/>
      <c r="E514" s="735"/>
      <c r="F514" s="736"/>
      <c r="G514" s="735"/>
      <c r="H514" s="735"/>
      <c r="I514" s="735"/>
      <c r="J514" s="735"/>
      <c r="K514" s="735"/>
      <c r="L514" s="735"/>
      <c r="M514" s="735"/>
      <c r="N514" s="735"/>
      <c r="O514" s="19"/>
      <c r="P514" s="19"/>
      <c r="Q514" s="19"/>
      <c r="R514" s="19"/>
      <c r="S514" s="19"/>
      <c r="T514" s="19"/>
      <c r="U514" s="19"/>
      <c r="V514" s="19"/>
      <c r="W514" s="19"/>
      <c r="X514" s="19"/>
      <c r="Y514" s="19"/>
      <c r="Z514" s="19"/>
      <c r="AA514" s="19"/>
      <c r="AB514" s="19"/>
      <c r="FE514" s="54"/>
    </row>
    <row r="515" spans="1:161" s="18" customFormat="1">
      <c r="A515" s="51"/>
      <c r="B515" s="735"/>
      <c r="C515" s="735"/>
      <c r="D515" s="735"/>
      <c r="E515" s="735"/>
      <c r="F515" s="736"/>
      <c r="G515" s="735"/>
      <c r="H515" s="735"/>
      <c r="I515" s="735"/>
      <c r="J515" s="735"/>
      <c r="K515" s="735"/>
      <c r="L515" s="735"/>
      <c r="M515" s="735"/>
      <c r="N515" s="735"/>
      <c r="O515" s="19"/>
      <c r="P515" s="19"/>
      <c r="Q515" s="19"/>
      <c r="R515" s="19"/>
      <c r="S515" s="19"/>
      <c r="T515" s="19"/>
      <c r="U515" s="19"/>
      <c r="V515" s="19"/>
      <c r="W515" s="19"/>
      <c r="X515" s="19"/>
      <c r="Y515" s="19"/>
      <c r="Z515" s="19"/>
      <c r="AA515" s="19"/>
      <c r="AB515" s="19"/>
      <c r="FE515" s="54"/>
    </row>
    <row r="516" spans="1:161" s="18" customFormat="1">
      <c r="A516" s="51"/>
      <c r="B516" s="735"/>
      <c r="C516" s="735"/>
      <c r="D516" s="735"/>
      <c r="E516" s="735"/>
      <c r="F516" s="736"/>
      <c r="G516" s="735"/>
      <c r="H516" s="735"/>
      <c r="I516" s="735"/>
      <c r="J516" s="735"/>
      <c r="K516" s="735"/>
      <c r="L516" s="735"/>
      <c r="M516" s="735"/>
      <c r="N516" s="735"/>
      <c r="O516" s="19"/>
      <c r="P516" s="19"/>
      <c r="Q516" s="19"/>
      <c r="R516" s="19"/>
      <c r="S516" s="19"/>
      <c r="T516" s="19"/>
      <c r="U516" s="19"/>
      <c r="V516" s="19"/>
      <c r="W516" s="19"/>
      <c r="X516" s="19"/>
      <c r="Y516" s="19"/>
      <c r="Z516" s="19"/>
      <c r="AA516" s="19"/>
      <c r="AB516" s="19"/>
      <c r="FE516" s="54"/>
    </row>
    <row r="517" spans="1:161" s="18" customFormat="1">
      <c r="A517" s="51"/>
      <c r="B517" s="735"/>
      <c r="C517" s="735"/>
      <c r="D517" s="735"/>
      <c r="E517" s="735"/>
      <c r="F517" s="736"/>
      <c r="G517" s="735"/>
      <c r="H517" s="735"/>
      <c r="I517" s="735"/>
      <c r="J517" s="735"/>
      <c r="K517" s="735"/>
      <c r="L517" s="735"/>
      <c r="M517" s="735"/>
      <c r="N517" s="735"/>
      <c r="O517" s="19"/>
      <c r="P517" s="19"/>
      <c r="Q517" s="19"/>
      <c r="R517" s="19"/>
      <c r="S517" s="19"/>
      <c r="T517" s="19"/>
      <c r="U517" s="19"/>
      <c r="V517" s="19"/>
      <c r="W517" s="19"/>
      <c r="X517" s="19"/>
      <c r="Y517" s="19"/>
      <c r="Z517" s="19"/>
      <c r="AA517" s="19"/>
      <c r="AB517" s="19"/>
      <c r="FE517" s="54"/>
    </row>
    <row r="518" spans="1:161" s="18" customFormat="1">
      <c r="A518" s="51"/>
      <c r="B518" s="735"/>
      <c r="C518" s="735"/>
      <c r="D518" s="735"/>
      <c r="E518" s="735"/>
      <c r="F518" s="736"/>
      <c r="G518" s="735"/>
      <c r="H518" s="735"/>
      <c r="I518" s="735"/>
      <c r="J518" s="735"/>
      <c r="K518" s="735"/>
      <c r="L518" s="735"/>
      <c r="M518" s="735"/>
      <c r="N518" s="735"/>
      <c r="O518" s="19"/>
      <c r="P518" s="19"/>
      <c r="Q518" s="19"/>
      <c r="R518" s="19"/>
      <c r="S518" s="19"/>
      <c r="T518" s="19"/>
      <c r="U518" s="19"/>
      <c r="V518" s="19"/>
      <c r="W518" s="19"/>
      <c r="X518" s="19"/>
      <c r="Y518" s="19"/>
      <c r="Z518" s="19"/>
      <c r="AA518" s="19"/>
      <c r="AB518" s="19"/>
      <c r="FE518" s="54"/>
    </row>
    <row r="519" spans="1:161" s="18" customFormat="1">
      <c r="A519" s="51"/>
      <c r="B519" s="735"/>
      <c r="C519" s="735"/>
      <c r="D519" s="735"/>
      <c r="E519" s="735"/>
      <c r="F519" s="736"/>
      <c r="G519" s="735"/>
      <c r="H519" s="735"/>
      <c r="I519" s="735"/>
      <c r="J519" s="735"/>
      <c r="K519" s="735"/>
      <c r="L519" s="735"/>
      <c r="M519" s="735"/>
      <c r="N519" s="735"/>
      <c r="O519" s="19"/>
      <c r="P519" s="19"/>
      <c r="Q519" s="19"/>
      <c r="R519" s="19"/>
      <c r="S519" s="19"/>
      <c r="T519" s="19"/>
      <c r="U519" s="19"/>
      <c r="V519" s="19"/>
      <c r="W519" s="19"/>
      <c r="X519" s="19"/>
      <c r="Y519" s="19"/>
      <c r="Z519" s="19"/>
      <c r="AA519" s="19"/>
      <c r="AB519" s="19"/>
      <c r="FE519" s="54"/>
    </row>
    <row r="520" spans="1:161" s="18" customFormat="1">
      <c r="A520" s="51"/>
      <c r="B520" s="735"/>
      <c r="C520" s="735"/>
      <c r="D520" s="735"/>
      <c r="E520" s="735"/>
      <c r="F520" s="736"/>
      <c r="G520" s="735"/>
      <c r="H520" s="735"/>
      <c r="I520" s="735"/>
      <c r="J520" s="735"/>
      <c r="K520" s="735"/>
      <c r="L520" s="735"/>
      <c r="M520" s="735"/>
      <c r="N520" s="735"/>
      <c r="O520" s="19"/>
      <c r="P520" s="19"/>
      <c r="Q520" s="19"/>
      <c r="R520" s="19"/>
      <c r="S520" s="19"/>
      <c r="T520" s="19"/>
      <c r="U520" s="19"/>
      <c r="V520" s="19"/>
      <c r="W520" s="19"/>
      <c r="X520" s="19"/>
      <c r="Y520" s="19"/>
      <c r="Z520" s="19"/>
      <c r="AA520" s="19"/>
      <c r="AB520" s="19"/>
      <c r="FE520" s="54"/>
    </row>
    <row r="521" spans="1:161" s="18" customFormat="1">
      <c r="A521" s="51"/>
      <c r="B521" s="735"/>
      <c r="C521" s="735"/>
      <c r="D521" s="735"/>
      <c r="E521" s="735"/>
      <c r="F521" s="736"/>
      <c r="G521" s="735"/>
      <c r="H521" s="735"/>
      <c r="I521" s="735"/>
      <c r="J521" s="735"/>
      <c r="K521" s="735"/>
      <c r="L521" s="735"/>
      <c r="M521" s="735"/>
      <c r="N521" s="735"/>
      <c r="O521" s="19"/>
      <c r="P521" s="19"/>
      <c r="Q521" s="19"/>
      <c r="R521" s="19"/>
      <c r="S521" s="19"/>
      <c r="T521" s="19"/>
      <c r="U521" s="19"/>
      <c r="V521" s="19"/>
      <c r="W521" s="19"/>
      <c r="X521" s="19"/>
      <c r="Y521" s="19"/>
      <c r="Z521" s="19"/>
      <c r="AA521" s="19"/>
      <c r="AB521" s="19"/>
      <c r="FE521" s="54"/>
    </row>
    <row r="522" spans="1:161" s="18" customFormat="1">
      <c r="A522" s="51"/>
      <c r="B522" s="735"/>
      <c r="C522" s="735"/>
      <c r="D522" s="735"/>
      <c r="E522" s="735"/>
      <c r="F522" s="736"/>
      <c r="G522" s="735"/>
      <c r="H522" s="735"/>
      <c r="I522" s="735"/>
      <c r="J522" s="735"/>
      <c r="K522" s="735"/>
      <c r="L522" s="735"/>
      <c r="M522" s="735"/>
      <c r="N522" s="735"/>
      <c r="O522" s="19"/>
      <c r="P522" s="19"/>
      <c r="Q522" s="19"/>
      <c r="R522" s="19"/>
      <c r="S522" s="19"/>
      <c r="T522" s="19"/>
      <c r="U522" s="19"/>
      <c r="V522" s="19"/>
      <c r="W522" s="19"/>
      <c r="X522" s="19"/>
      <c r="Y522" s="19"/>
      <c r="Z522" s="19"/>
      <c r="AA522" s="19"/>
      <c r="AB522" s="19"/>
      <c r="FE522" s="54"/>
    </row>
    <row r="523" spans="1:161" s="18" customFormat="1">
      <c r="A523" s="51"/>
      <c r="B523" s="735"/>
      <c r="C523" s="735"/>
      <c r="D523" s="735"/>
      <c r="E523" s="735"/>
      <c r="F523" s="736"/>
      <c r="G523" s="735"/>
      <c r="H523" s="735"/>
      <c r="I523" s="735"/>
      <c r="J523" s="735"/>
      <c r="K523" s="735"/>
      <c r="L523" s="735"/>
      <c r="M523" s="735"/>
      <c r="N523" s="735"/>
      <c r="O523" s="19"/>
      <c r="P523" s="19"/>
      <c r="Q523" s="19"/>
      <c r="R523" s="19"/>
      <c r="S523" s="19"/>
      <c r="T523" s="19"/>
      <c r="U523" s="19"/>
      <c r="V523" s="19"/>
      <c r="W523" s="19"/>
      <c r="X523" s="19"/>
      <c r="Y523" s="19"/>
      <c r="Z523" s="19"/>
      <c r="AA523" s="19"/>
      <c r="AB523" s="19"/>
      <c r="FE523" s="54"/>
    </row>
    <row r="524" spans="1:161" s="18" customFormat="1">
      <c r="A524" s="51"/>
      <c r="B524" s="735"/>
      <c r="C524" s="735"/>
      <c r="D524" s="735"/>
      <c r="E524" s="735"/>
      <c r="F524" s="736"/>
      <c r="G524" s="735"/>
      <c r="H524" s="735"/>
      <c r="I524" s="735"/>
      <c r="J524" s="735"/>
      <c r="K524" s="735"/>
      <c r="L524" s="735"/>
      <c r="M524" s="735"/>
      <c r="N524" s="735"/>
      <c r="O524" s="19"/>
      <c r="P524" s="19"/>
      <c r="Q524" s="19"/>
      <c r="R524" s="19"/>
      <c r="S524" s="19"/>
      <c r="T524" s="19"/>
      <c r="U524" s="19"/>
      <c r="V524" s="19"/>
      <c r="W524" s="19"/>
      <c r="X524" s="19"/>
      <c r="Y524" s="19"/>
      <c r="Z524" s="19"/>
      <c r="AA524" s="19"/>
      <c r="AB524" s="19"/>
      <c r="FE524" s="54"/>
    </row>
    <row r="525" spans="1:161" s="18" customFormat="1">
      <c r="A525" s="51"/>
      <c r="B525" s="735"/>
      <c r="C525" s="735"/>
      <c r="D525" s="735"/>
      <c r="E525" s="735"/>
      <c r="F525" s="736"/>
      <c r="G525" s="735"/>
      <c r="H525" s="735"/>
      <c r="I525" s="735"/>
      <c r="J525" s="735"/>
      <c r="K525" s="735"/>
      <c r="L525" s="735"/>
      <c r="M525" s="735"/>
      <c r="N525" s="735"/>
      <c r="O525" s="19"/>
      <c r="P525" s="19"/>
      <c r="Q525" s="19"/>
      <c r="R525" s="19"/>
      <c r="S525" s="19"/>
      <c r="T525" s="19"/>
      <c r="U525" s="19"/>
      <c r="V525" s="19"/>
      <c r="W525" s="19"/>
      <c r="X525" s="19"/>
      <c r="Y525" s="19"/>
      <c r="Z525" s="19"/>
      <c r="AA525" s="19"/>
      <c r="AB525" s="19"/>
      <c r="FE525" s="54"/>
    </row>
    <row r="526" spans="1:161" s="18" customFormat="1">
      <c r="A526" s="51"/>
      <c r="B526" s="735"/>
      <c r="C526" s="735"/>
      <c r="D526" s="735"/>
      <c r="E526" s="735"/>
      <c r="F526" s="736"/>
      <c r="G526" s="735"/>
      <c r="H526" s="735"/>
      <c r="I526" s="735"/>
      <c r="J526" s="735"/>
      <c r="K526" s="735"/>
      <c r="L526" s="735"/>
      <c r="M526" s="735"/>
      <c r="N526" s="735"/>
      <c r="O526" s="19"/>
      <c r="P526" s="19"/>
      <c r="Q526" s="19"/>
      <c r="R526" s="19"/>
      <c r="S526" s="19"/>
      <c r="T526" s="19"/>
      <c r="U526" s="19"/>
      <c r="V526" s="19"/>
      <c r="W526" s="19"/>
      <c r="X526" s="19"/>
      <c r="Y526" s="19"/>
      <c r="Z526" s="19"/>
      <c r="AA526" s="19"/>
      <c r="AB526" s="19"/>
      <c r="FE526" s="54"/>
    </row>
    <row r="527" spans="1:161" s="18" customFormat="1">
      <c r="A527" s="51"/>
      <c r="B527" s="735"/>
      <c r="C527" s="735"/>
      <c r="D527" s="735"/>
      <c r="E527" s="735"/>
      <c r="F527" s="736"/>
      <c r="G527" s="735"/>
      <c r="H527" s="735"/>
      <c r="I527" s="735"/>
      <c r="J527" s="735"/>
      <c r="K527" s="735"/>
      <c r="L527" s="735"/>
      <c r="M527" s="735"/>
      <c r="N527" s="735"/>
      <c r="O527" s="19"/>
      <c r="P527" s="19"/>
      <c r="Q527" s="19"/>
      <c r="R527" s="19"/>
      <c r="S527" s="19"/>
      <c r="T527" s="19"/>
      <c r="U527" s="19"/>
      <c r="V527" s="19"/>
      <c r="W527" s="19"/>
      <c r="X527" s="19"/>
      <c r="Y527" s="19"/>
      <c r="Z527" s="19"/>
      <c r="AA527" s="19"/>
      <c r="AB527" s="19"/>
      <c r="FE527" s="54"/>
    </row>
    <row r="528" spans="1:161" s="18" customFormat="1">
      <c r="A528" s="51"/>
      <c r="B528" s="735"/>
      <c r="C528" s="735"/>
      <c r="D528" s="735"/>
      <c r="E528" s="735"/>
      <c r="F528" s="736"/>
      <c r="G528" s="735"/>
      <c r="H528" s="735"/>
      <c r="I528" s="735"/>
      <c r="J528" s="735"/>
      <c r="K528" s="735"/>
      <c r="L528" s="735"/>
      <c r="M528" s="735"/>
      <c r="N528" s="735"/>
      <c r="O528" s="19"/>
      <c r="P528" s="19"/>
      <c r="Q528" s="19"/>
      <c r="R528" s="19"/>
      <c r="S528" s="19"/>
      <c r="T528" s="19"/>
      <c r="U528" s="19"/>
      <c r="V528" s="19"/>
      <c r="W528" s="19"/>
      <c r="X528" s="19"/>
      <c r="Y528" s="19"/>
      <c r="Z528" s="19"/>
      <c r="AA528" s="19"/>
      <c r="AB528" s="19"/>
      <c r="FE528" s="54"/>
    </row>
    <row r="529" spans="1:161" s="18" customFormat="1">
      <c r="A529" s="51"/>
      <c r="B529" s="735"/>
      <c r="C529" s="735"/>
      <c r="D529" s="735"/>
      <c r="E529" s="735"/>
      <c r="F529" s="736"/>
      <c r="G529" s="735"/>
      <c r="H529" s="735"/>
      <c r="I529" s="735"/>
      <c r="J529" s="735"/>
      <c r="K529" s="735"/>
      <c r="L529" s="735"/>
      <c r="M529" s="735"/>
      <c r="N529" s="735"/>
      <c r="O529" s="19"/>
      <c r="P529" s="19"/>
      <c r="Q529" s="19"/>
      <c r="R529" s="19"/>
      <c r="S529" s="19"/>
      <c r="T529" s="19"/>
      <c r="U529" s="19"/>
      <c r="V529" s="19"/>
      <c r="W529" s="19"/>
      <c r="X529" s="19"/>
      <c r="Y529" s="19"/>
      <c r="Z529" s="19"/>
      <c r="AA529" s="19"/>
      <c r="AB529" s="19"/>
      <c r="FE529" s="54"/>
    </row>
    <row r="530" spans="1:161" s="18" customFormat="1">
      <c r="A530" s="51"/>
      <c r="B530" s="735"/>
      <c r="C530" s="735"/>
      <c r="D530" s="735"/>
      <c r="E530" s="735"/>
      <c r="F530" s="736"/>
      <c r="G530" s="735"/>
      <c r="H530" s="735"/>
      <c r="I530" s="735"/>
      <c r="J530" s="735"/>
      <c r="K530" s="735"/>
      <c r="L530" s="735"/>
      <c r="M530" s="735"/>
      <c r="N530" s="735"/>
      <c r="O530" s="19"/>
      <c r="P530" s="19"/>
      <c r="Q530" s="19"/>
      <c r="R530" s="19"/>
      <c r="S530" s="19"/>
      <c r="T530" s="19"/>
      <c r="U530" s="19"/>
      <c r="V530" s="19"/>
      <c r="W530" s="19"/>
      <c r="X530" s="19"/>
      <c r="Y530" s="19"/>
      <c r="Z530" s="19"/>
      <c r="AA530" s="19"/>
      <c r="AB530" s="19"/>
      <c r="FE530" s="54"/>
    </row>
    <row r="531" spans="1:161" s="18" customFormat="1">
      <c r="A531" s="51"/>
      <c r="B531" s="735"/>
      <c r="C531" s="735"/>
      <c r="D531" s="735"/>
      <c r="E531" s="735"/>
      <c r="F531" s="736"/>
      <c r="G531" s="735"/>
      <c r="H531" s="735"/>
      <c r="I531" s="735"/>
      <c r="J531" s="735"/>
      <c r="K531" s="735"/>
      <c r="L531" s="735"/>
      <c r="M531" s="735"/>
      <c r="N531" s="735"/>
      <c r="O531" s="19"/>
      <c r="P531" s="19"/>
      <c r="Q531" s="19"/>
      <c r="R531" s="19"/>
      <c r="S531" s="19"/>
      <c r="T531" s="19"/>
      <c r="U531" s="19"/>
      <c r="V531" s="19"/>
      <c r="W531" s="19"/>
      <c r="X531" s="19"/>
      <c r="Y531" s="19"/>
      <c r="Z531" s="19"/>
      <c r="AA531" s="19"/>
      <c r="AB531" s="19"/>
      <c r="FE531" s="54"/>
    </row>
    <row r="532" spans="1:161" s="18" customFormat="1">
      <c r="A532" s="51"/>
      <c r="B532" s="735"/>
      <c r="C532" s="735"/>
      <c r="D532" s="735"/>
      <c r="E532" s="735"/>
      <c r="F532" s="736"/>
      <c r="G532" s="735"/>
      <c r="H532" s="735"/>
      <c r="I532" s="735"/>
      <c r="J532" s="735"/>
      <c r="K532" s="735"/>
      <c r="L532" s="735"/>
      <c r="M532" s="735"/>
      <c r="N532" s="735"/>
      <c r="O532" s="19"/>
      <c r="P532" s="19"/>
      <c r="Q532" s="19"/>
      <c r="R532" s="19"/>
      <c r="S532" s="19"/>
      <c r="T532" s="19"/>
      <c r="U532" s="19"/>
      <c r="V532" s="19"/>
      <c r="W532" s="19"/>
      <c r="X532" s="19"/>
      <c r="Y532" s="19"/>
      <c r="Z532" s="19"/>
      <c r="AA532" s="19"/>
      <c r="AB532" s="19"/>
      <c r="FE532" s="54"/>
    </row>
    <row r="533" spans="1:161" s="18" customFormat="1">
      <c r="A533" s="51"/>
      <c r="B533" s="735"/>
      <c r="C533" s="735"/>
      <c r="D533" s="735"/>
      <c r="E533" s="735"/>
      <c r="F533" s="736"/>
      <c r="G533" s="735"/>
      <c r="H533" s="735"/>
      <c r="I533" s="735"/>
      <c r="J533" s="735"/>
      <c r="K533" s="735"/>
      <c r="L533" s="735"/>
      <c r="M533" s="735"/>
      <c r="N533" s="735"/>
      <c r="O533" s="19"/>
      <c r="P533" s="19"/>
      <c r="Q533" s="19"/>
      <c r="R533" s="19"/>
      <c r="S533" s="19"/>
      <c r="T533" s="19"/>
      <c r="U533" s="19"/>
      <c r="V533" s="19"/>
      <c r="W533" s="19"/>
      <c r="X533" s="19"/>
      <c r="Y533" s="19"/>
      <c r="Z533" s="19"/>
      <c r="AA533" s="19"/>
      <c r="AB533" s="19"/>
      <c r="FE533" s="54"/>
    </row>
    <row r="534" spans="1:161" s="18" customFormat="1">
      <c r="A534" s="51"/>
      <c r="B534" s="735"/>
      <c r="C534" s="735"/>
      <c r="D534" s="735"/>
      <c r="E534" s="735"/>
      <c r="F534" s="736"/>
      <c r="G534" s="735"/>
      <c r="H534" s="735"/>
      <c r="I534" s="735"/>
      <c r="J534" s="735"/>
      <c r="K534" s="735"/>
      <c r="L534" s="735"/>
      <c r="M534" s="735"/>
      <c r="N534" s="735"/>
      <c r="O534" s="19"/>
      <c r="P534" s="19"/>
      <c r="Q534" s="19"/>
      <c r="R534" s="19"/>
      <c r="S534" s="19"/>
      <c r="T534" s="19"/>
      <c r="U534" s="19"/>
      <c r="V534" s="19"/>
      <c r="W534" s="19"/>
      <c r="X534" s="19"/>
      <c r="Y534" s="19"/>
      <c r="Z534" s="19"/>
      <c r="AA534" s="19"/>
      <c r="AB534" s="19"/>
      <c r="FE534" s="54"/>
    </row>
    <row r="535" spans="1:161" s="18" customFormat="1">
      <c r="A535" s="51"/>
      <c r="B535" s="735"/>
      <c r="C535" s="735"/>
      <c r="D535" s="735"/>
      <c r="E535" s="735"/>
      <c r="F535" s="736"/>
      <c r="G535" s="735"/>
      <c r="H535" s="735"/>
      <c r="I535" s="735"/>
      <c r="J535" s="735"/>
      <c r="K535" s="735"/>
      <c r="L535" s="735"/>
      <c r="M535" s="735"/>
      <c r="N535" s="735"/>
      <c r="O535" s="19"/>
      <c r="P535" s="19"/>
      <c r="Q535" s="19"/>
      <c r="R535" s="19"/>
      <c r="S535" s="19"/>
      <c r="T535" s="19"/>
      <c r="U535" s="19"/>
      <c r="V535" s="19"/>
      <c r="W535" s="19"/>
      <c r="X535" s="19"/>
      <c r="Y535" s="19"/>
      <c r="Z535" s="19"/>
      <c r="AA535" s="19"/>
      <c r="AB535" s="19"/>
      <c r="FE535" s="54"/>
    </row>
    <row r="536" spans="1:161" s="18" customFormat="1">
      <c r="A536" s="51"/>
      <c r="B536" s="735"/>
      <c r="C536" s="735"/>
      <c r="D536" s="735"/>
      <c r="E536" s="735"/>
      <c r="F536" s="736"/>
      <c r="G536" s="735"/>
      <c r="H536" s="735"/>
      <c r="I536" s="735"/>
      <c r="J536" s="735"/>
      <c r="K536" s="735"/>
      <c r="L536" s="735"/>
      <c r="M536" s="735"/>
      <c r="N536" s="735"/>
      <c r="O536" s="19"/>
      <c r="P536" s="19"/>
      <c r="Q536" s="19"/>
      <c r="R536" s="19"/>
      <c r="S536" s="19"/>
      <c r="T536" s="19"/>
      <c r="U536" s="19"/>
      <c r="V536" s="19"/>
      <c r="W536" s="19"/>
      <c r="X536" s="19"/>
      <c r="Y536" s="19"/>
      <c r="Z536" s="19"/>
      <c r="AA536" s="19"/>
      <c r="AB536" s="19"/>
      <c r="FE536" s="54"/>
    </row>
    <row r="537" spans="1:161" s="18" customFormat="1">
      <c r="A537" s="51"/>
      <c r="B537" s="735"/>
      <c r="C537" s="735"/>
      <c r="D537" s="735"/>
      <c r="E537" s="735"/>
      <c r="F537" s="736"/>
      <c r="G537" s="735"/>
      <c r="H537" s="735"/>
      <c r="I537" s="735"/>
      <c r="J537" s="735"/>
      <c r="K537" s="735"/>
      <c r="L537" s="735"/>
      <c r="M537" s="735"/>
      <c r="N537" s="735"/>
      <c r="O537" s="19"/>
      <c r="P537" s="19"/>
      <c r="Q537" s="19"/>
      <c r="R537" s="19"/>
      <c r="S537" s="19"/>
      <c r="T537" s="19"/>
      <c r="U537" s="19"/>
      <c r="V537" s="19"/>
      <c r="W537" s="19"/>
      <c r="X537" s="19"/>
      <c r="Y537" s="19"/>
      <c r="Z537" s="19"/>
      <c r="AA537" s="19"/>
      <c r="AB537" s="19"/>
      <c r="FE537" s="54"/>
    </row>
    <row r="538" spans="1:161" s="18" customFormat="1">
      <c r="A538" s="51"/>
      <c r="B538" s="735"/>
      <c r="C538" s="735"/>
      <c r="D538" s="735"/>
      <c r="E538" s="735"/>
      <c r="F538" s="736"/>
      <c r="G538" s="735"/>
      <c r="H538" s="735"/>
      <c r="I538" s="735"/>
      <c r="J538" s="735"/>
      <c r="K538" s="735"/>
      <c r="L538" s="735"/>
      <c r="M538" s="735"/>
      <c r="N538" s="735"/>
      <c r="O538" s="19"/>
      <c r="P538" s="19"/>
      <c r="Q538" s="19"/>
      <c r="R538" s="19"/>
      <c r="S538" s="19"/>
      <c r="T538" s="19"/>
      <c r="U538" s="19"/>
      <c r="V538" s="19"/>
      <c r="W538" s="19"/>
      <c r="X538" s="19"/>
      <c r="Y538" s="19"/>
      <c r="Z538" s="19"/>
      <c r="AA538" s="19"/>
      <c r="AB538" s="19"/>
      <c r="FE538" s="54"/>
    </row>
    <row r="539" spans="1:161" s="18" customFormat="1">
      <c r="A539" s="51"/>
      <c r="B539" s="735"/>
      <c r="C539" s="735"/>
      <c r="D539" s="735"/>
      <c r="E539" s="735"/>
      <c r="F539" s="736"/>
      <c r="G539" s="735"/>
      <c r="H539" s="735"/>
      <c r="I539" s="735"/>
      <c r="J539" s="735"/>
      <c r="K539" s="735"/>
      <c r="L539" s="735"/>
      <c r="M539" s="735"/>
      <c r="N539" s="735"/>
      <c r="O539" s="19"/>
      <c r="P539" s="19"/>
      <c r="Q539" s="19"/>
      <c r="R539" s="19"/>
      <c r="S539" s="19"/>
      <c r="T539" s="19"/>
      <c r="U539" s="19"/>
      <c r="V539" s="19"/>
      <c r="W539" s="19"/>
      <c r="X539" s="19"/>
      <c r="Y539" s="19"/>
      <c r="Z539" s="19"/>
      <c r="AA539" s="19"/>
      <c r="AB539" s="19"/>
      <c r="FE539" s="54"/>
    </row>
    <row r="540" spans="1:161" s="18" customFormat="1">
      <c r="A540" s="51"/>
      <c r="B540" s="735"/>
      <c r="C540" s="735"/>
      <c r="D540" s="735"/>
      <c r="E540" s="735"/>
      <c r="F540" s="736"/>
      <c r="G540" s="735"/>
      <c r="H540" s="735"/>
      <c r="I540" s="735"/>
      <c r="J540" s="735"/>
      <c r="K540" s="735"/>
      <c r="L540" s="735"/>
      <c r="M540" s="735"/>
      <c r="N540" s="735"/>
      <c r="O540" s="19"/>
      <c r="P540" s="19"/>
      <c r="Q540" s="19"/>
      <c r="R540" s="19"/>
      <c r="S540" s="19"/>
      <c r="T540" s="19"/>
      <c r="U540" s="19"/>
      <c r="V540" s="19"/>
      <c r="W540" s="19"/>
      <c r="X540" s="19"/>
      <c r="Y540" s="19"/>
      <c r="Z540" s="19"/>
      <c r="AA540" s="19"/>
      <c r="AB540" s="19"/>
      <c r="FE540" s="54"/>
    </row>
    <row r="541" spans="1:161" s="18" customFormat="1">
      <c r="A541" s="51"/>
      <c r="B541" s="735"/>
      <c r="C541" s="735"/>
      <c r="D541" s="735"/>
      <c r="E541" s="735"/>
      <c r="F541" s="736"/>
      <c r="G541" s="735"/>
      <c r="H541" s="735"/>
      <c r="I541" s="735"/>
      <c r="J541" s="735"/>
      <c r="K541" s="735"/>
      <c r="L541" s="735"/>
      <c r="M541" s="735"/>
      <c r="N541" s="735"/>
      <c r="O541" s="19"/>
      <c r="P541" s="19"/>
      <c r="Q541" s="19"/>
      <c r="R541" s="19"/>
      <c r="S541" s="19"/>
      <c r="T541" s="19"/>
      <c r="U541" s="19"/>
      <c r="V541" s="19"/>
      <c r="W541" s="19"/>
      <c r="X541" s="19"/>
      <c r="Y541" s="19"/>
      <c r="Z541" s="19"/>
      <c r="AA541" s="19"/>
      <c r="AB541" s="19"/>
      <c r="FE541" s="54"/>
    </row>
    <row r="542" spans="1:161" s="18" customFormat="1">
      <c r="A542" s="51"/>
      <c r="B542" s="735"/>
      <c r="C542" s="735"/>
      <c r="D542" s="735"/>
      <c r="E542" s="735"/>
      <c r="F542" s="736"/>
      <c r="G542" s="735"/>
      <c r="H542" s="735"/>
      <c r="I542" s="735"/>
      <c r="J542" s="735"/>
      <c r="K542" s="735"/>
      <c r="L542" s="735"/>
      <c r="M542" s="735"/>
      <c r="N542" s="735"/>
      <c r="O542" s="19"/>
      <c r="P542" s="19"/>
      <c r="Q542" s="19"/>
      <c r="R542" s="19"/>
      <c r="S542" s="19"/>
      <c r="T542" s="19"/>
      <c r="U542" s="19"/>
      <c r="V542" s="19"/>
      <c r="W542" s="19"/>
      <c r="X542" s="19"/>
      <c r="Y542" s="19"/>
      <c r="Z542" s="19"/>
      <c r="AA542" s="19"/>
      <c r="AB542" s="19"/>
      <c r="FE542" s="54"/>
    </row>
    <row r="543" spans="1:161" s="18" customFormat="1">
      <c r="A543" s="51"/>
      <c r="B543" s="735"/>
      <c r="C543" s="735"/>
      <c r="D543" s="735"/>
      <c r="E543" s="735"/>
      <c r="F543" s="736"/>
      <c r="G543" s="735"/>
      <c r="H543" s="735"/>
      <c r="I543" s="735"/>
      <c r="J543" s="735"/>
      <c r="K543" s="735"/>
      <c r="L543" s="735"/>
      <c r="M543" s="735"/>
      <c r="N543" s="735"/>
      <c r="O543" s="19"/>
      <c r="P543" s="19"/>
      <c r="Q543" s="19"/>
      <c r="R543" s="19"/>
      <c r="S543" s="19"/>
      <c r="T543" s="19"/>
      <c r="U543" s="19"/>
      <c r="V543" s="19"/>
      <c r="W543" s="19"/>
      <c r="X543" s="19"/>
      <c r="Y543" s="19"/>
      <c r="Z543" s="19"/>
      <c r="AA543" s="19"/>
      <c r="AB543" s="19"/>
      <c r="FE543" s="54"/>
    </row>
    <row r="544" spans="1:161" s="18" customFormat="1">
      <c r="A544" s="51"/>
      <c r="B544" s="735"/>
      <c r="C544" s="735"/>
      <c r="D544" s="735"/>
      <c r="E544" s="735"/>
      <c r="F544" s="736"/>
      <c r="G544" s="735"/>
      <c r="H544" s="735"/>
      <c r="I544" s="735"/>
      <c r="J544" s="735"/>
      <c r="K544" s="735"/>
      <c r="L544" s="735"/>
      <c r="M544" s="735"/>
      <c r="N544" s="735"/>
      <c r="O544" s="19"/>
      <c r="P544" s="19"/>
      <c r="Q544" s="19"/>
      <c r="R544" s="19"/>
      <c r="S544" s="19"/>
      <c r="T544" s="19"/>
      <c r="U544" s="19"/>
      <c r="V544" s="19"/>
      <c r="W544" s="19"/>
      <c r="X544" s="19"/>
      <c r="Y544" s="19"/>
      <c r="Z544" s="19"/>
      <c r="AA544" s="19"/>
      <c r="AB544" s="19"/>
      <c r="FE544" s="54"/>
    </row>
    <row r="545" spans="1:161" s="18" customFormat="1">
      <c r="A545" s="51"/>
      <c r="B545" s="735"/>
      <c r="C545" s="735"/>
      <c r="D545" s="735"/>
      <c r="E545" s="735"/>
      <c r="F545" s="736"/>
      <c r="G545" s="735"/>
      <c r="H545" s="735"/>
      <c r="I545" s="735"/>
      <c r="J545" s="735"/>
      <c r="K545" s="735"/>
      <c r="L545" s="735"/>
      <c r="M545" s="735"/>
      <c r="N545" s="735"/>
      <c r="O545" s="19"/>
      <c r="P545" s="19"/>
      <c r="Q545" s="19"/>
      <c r="R545" s="19"/>
      <c r="S545" s="19"/>
      <c r="T545" s="19"/>
      <c r="U545" s="19"/>
      <c r="V545" s="19"/>
      <c r="W545" s="19"/>
      <c r="X545" s="19"/>
      <c r="Y545" s="19"/>
      <c r="Z545" s="19"/>
      <c r="AA545" s="19"/>
      <c r="AB545" s="19"/>
      <c r="FE545" s="54"/>
    </row>
    <row r="546" spans="1:161" s="18" customFormat="1">
      <c r="A546" s="51"/>
      <c r="B546" s="735"/>
      <c r="C546" s="735"/>
      <c r="D546" s="735"/>
      <c r="E546" s="735"/>
      <c r="F546" s="736"/>
      <c r="G546" s="735"/>
      <c r="H546" s="735"/>
      <c r="I546" s="735"/>
      <c r="J546" s="735"/>
      <c r="K546" s="735"/>
      <c r="L546" s="735"/>
      <c r="M546" s="735"/>
      <c r="N546" s="735"/>
      <c r="O546" s="19"/>
      <c r="P546" s="19"/>
      <c r="Q546" s="19"/>
      <c r="R546" s="19"/>
      <c r="S546" s="19"/>
      <c r="T546" s="19"/>
      <c r="U546" s="19"/>
      <c r="V546" s="19"/>
      <c r="W546" s="19"/>
      <c r="X546" s="19"/>
      <c r="Y546" s="19"/>
      <c r="Z546" s="19"/>
      <c r="AA546" s="19"/>
      <c r="AB546" s="19"/>
      <c r="FE546" s="54"/>
    </row>
    <row r="547" spans="1:161" s="18" customFormat="1">
      <c r="A547" s="51"/>
      <c r="B547" s="735"/>
      <c r="C547" s="735"/>
      <c r="D547" s="735"/>
      <c r="E547" s="735"/>
      <c r="F547" s="736"/>
      <c r="G547" s="735"/>
      <c r="H547" s="735"/>
      <c r="I547" s="735"/>
      <c r="J547" s="735"/>
      <c r="K547" s="735"/>
      <c r="L547" s="735"/>
      <c r="M547" s="735"/>
      <c r="N547" s="735"/>
      <c r="O547" s="19"/>
      <c r="P547" s="19"/>
      <c r="Q547" s="19"/>
      <c r="R547" s="19"/>
      <c r="S547" s="19"/>
      <c r="T547" s="19"/>
      <c r="U547" s="19"/>
      <c r="V547" s="19"/>
      <c r="W547" s="19"/>
      <c r="X547" s="19"/>
      <c r="Y547" s="19"/>
      <c r="Z547" s="19"/>
      <c r="AA547" s="19"/>
      <c r="AB547" s="19"/>
      <c r="FE547" s="54"/>
    </row>
    <row r="548" spans="1:161" s="18" customFormat="1">
      <c r="A548" s="51"/>
      <c r="B548" s="735"/>
      <c r="C548" s="735"/>
      <c r="D548" s="735"/>
      <c r="E548" s="735"/>
      <c r="F548" s="736"/>
      <c r="G548" s="735"/>
      <c r="H548" s="735"/>
      <c r="I548" s="735"/>
      <c r="J548" s="735"/>
      <c r="K548" s="735"/>
      <c r="L548" s="735"/>
      <c r="M548" s="735"/>
      <c r="N548" s="735"/>
      <c r="O548" s="19"/>
      <c r="P548" s="19"/>
      <c r="Q548" s="19"/>
      <c r="R548" s="19"/>
      <c r="S548" s="19"/>
      <c r="T548" s="19"/>
      <c r="U548" s="19"/>
      <c r="V548" s="19"/>
      <c r="W548" s="19"/>
      <c r="X548" s="19"/>
      <c r="Y548" s="19"/>
      <c r="Z548" s="19"/>
      <c r="AA548" s="19"/>
      <c r="AB548" s="19"/>
      <c r="FE548" s="54"/>
    </row>
    <row r="549" spans="1:161" s="18" customFormat="1">
      <c r="A549" s="51"/>
      <c r="B549" s="735"/>
      <c r="C549" s="735"/>
      <c r="D549" s="735"/>
      <c r="E549" s="735"/>
      <c r="F549" s="736"/>
      <c r="G549" s="735"/>
      <c r="H549" s="735"/>
      <c r="I549" s="735"/>
      <c r="J549" s="735"/>
      <c r="K549" s="735"/>
      <c r="L549" s="735"/>
      <c r="M549" s="735"/>
      <c r="N549" s="735"/>
      <c r="O549" s="19"/>
      <c r="P549" s="19"/>
      <c r="Q549" s="19"/>
      <c r="R549" s="19"/>
      <c r="S549" s="19"/>
      <c r="T549" s="19"/>
      <c r="U549" s="19"/>
      <c r="V549" s="19"/>
      <c r="W549" s="19"/>
      <c r="X549" s="19"/>
      <c r="Y549" s="19"/>
      <c r="Z549" s="19"/>
      <c r="AA549" s="19"/>
      <c r="AB549" s="19"/>
      <c r="FE549" s="54"/>
    </row>
    <row r="550" spans="1:161" s="18" customFormat="1">
      <c r="A550" s="51"/>
      <c r="B550" s="735"/>
      <c r="C550" s="735"/>
      <c r="D550" s="735"/>
      <c r="E550" s="735"/>
      <c r="F550" s="736"/>
      <c r="G550" s="735"/>
      <c r="H550" s="735"/>
      <c r="I550" s="735"/>
      <c r="J550" s="735"/>
      <c r="K550" s="735"/>
      <c r="L550" s="735"/>
      <c r="M550" s="735"/>
      <c r="N550" s="735"/>
      <c r="O550" s="19"/>
      <c r="P550" s="19"/>
      <c r="Q550" s="19"/>
      <c r="R550" s="19"/>
      <c r="S550" s="19"/>
      <c r="T550" s="19"/>
      <c r="U550" s="19"/>
      <c r="V550" s="19"/>
      <c r="W550" s="19"/>
      <c r="X550" s="19"/>
      <c r="Y550" s="19"/>
      <c r="Z550" s="19"/>
      <c r="AA550" s="19"/>
      <c r="AB550" s="19"/>
      <c r="FE550" s="54"/>
    </row>
    <row r="551" spans="1:161" s="18" customFormat="1">
      <c r="A551" s="51"/>
      <c r="B551" s="735"/>
      <c r="C551" s="735"/>
      <c r="D551" s="735"/>
      <c r="E551" s="735"/>
      <c r="F551" s="736"/>
      <c r="G551" s="735"/>
      <c r="H551" s="735"/>
      <c r="I551" s="735"/>
      <c r="J551" s="735"/>
      <c r="K551" s="735"/>
      <c r="L551" s="735"/>
      <c r="M551" s="735"/>
      <c r="N551" s="735"/>
      <c r="O551" s="19"/>
      <c r="P551" s="19"/>
      <c r="Q551" s="19"/>
      <c r="R551" s="19"/>
      <c r="S551" s="19"/>
      <c r="T551" s="19"/>
      <c r="U551" s="19"/>
      <c r="V551" s="19"/>
      <c r="W551" s="19"/>
      <c r="X551" s="19"/>
      <c r="Y551" s="19"/>
      <c r="Z551" s="19"/>
      <c r="AA551" s="19"/>
      <c r="AB551" s="19"/>
      <c r="FE551" s="54"/>
    </row>
    <row r="552" spans="1:161" s="18" customFormat="1">
      <c r="A552" s="51"/>
      <c r="B552" s="735"/>
      <c r="C552" s="735"/>
      <c r="D552" s="735"/>
      <c r="E552" s="735"/>
      <c r="F552" s="736"/>
      <c r="G552" s="735"/>
      <c r="H552" s="735"/>
      <c r="I552" s="735"/>
      <c r="J552" s="735"/>
      <c r="K552" s="735"/>
      <c r="L552" s="735"/>
      <c r="M552" s="735"/>
      <c r="N552" s="735"/>
      <c r="O552" s="19"/>
      <c r="P552" s="19"/>
      <c r="Q552" s="19"/>
      <c r="R552" s="19"/>
      <c r="S552" s="19"/>
      <c r="T552" s="19"/>
      <c r="U552" s="19"/>
      <c r="V552" s="19"/>
      <c r="W552" s="19"/>
      <c r="X552" s="19"/>
      <c r="Y552" s="19"/>
      <c r="Z552" s="19"/>
      <c r="AA552" s="19"/>
      <c r="AB552" s="19"/>
      <c r="FE552" s="54"/>
    </row>
    <row r="553" spans="1:161" s="18" customFormat="1">
      <c r="A553" s="51"/>
      <c r="B553" s="735"/>
      <c r="C553" s="735"/>
      <c r="D553" s="735"/>
      <c r="E553" s="735"/>
      <c r="F553" s="736"/>
      <c r="G553" s="735"/>
      <c r="H553" s="735"/>
      <c r="I553" s="735"/>
      <c r="J553" s="735"/>
      <c r="K553" s="735"/>
      <c r="L553" s="735"/>
      <c r="M553" s="735"/>
      <c r="N553" s="735"/>
      <c r="O553" s="19"/>
      <c r="P553" s="19"/>
      <c r="Q553" s="19"/>
      <c r="R553" s="19"/>
      <c r="S553" s="19"/>
      <c r="T553" s="19"/>
      <c r="U553" s="19"/>
      <c r="V553" s="19"/>
      <c r="W553" s="19"/>
      <c r="X553" s="19"/>
      <c r="Y553" s="19"/>
      <c r="Z553" s="19"/>
      <c r="AA553" s="19"/>
      <c r="AB553" s="19"/>
      <c r="FE553" s="54"/>
    </row>
    <row r="554" spans="1:161" s="18" customFormat="1">
      <c r="A554" s="51"/>
      <c r="B554" s="735"/>
      <c r="C554" s="735"/>
      <c r="D554" s="735"/>
      <c r="E554" s="735"/>
      <c r="F554" s="736"/>
      <c r="G554" s="735"/>
      <c r="H554" s="735"/>
      <c r="I554" s="735"/>
      <c r="J554" s="735"/>
      <c r="K554" s="735"/>
      <c r="L554" s="735"/>
      <c r="M554" s="735"/>
      <c r="N554" s="735"/>
      <c r="O554" s="19"/>
      <c r="P554" s="19"/>
      <c r="Q554" s="19"/>
      <c r="R554" s="19"/>
      <c r="S554" s="19"/>
      <c r="T554" s="19"/>
      <c r="U554" s="19"/>
      <c r="V554" s="19"/>
      <c r="W554" s="19"/>
      <c r="X554" s="19"/>
      <c r="Y554" s="19"/>
      <c r="Z554" s="19"/>
      <c r="AA554" s="19"/>
      <c r="AB554" s="19"/>
      <c r="FE554" s="54"/>
    </row>
    <row r="555" spans="1:161" s="18" customFormat="1">
      <c r="A555" s="51"/>
      <c r="B555" s="735"/>
      <c r="C555" s="735"/>
      <c r="D555" s="735"/>
      <c r="E555" s="735"/>
      <c r="F555" s="736"/>
      <c r="G555" s="735"/>
      <c r="H555" s="735"/>
      <c r="I555" s="735"/>
      <c r="J555" s="735"/>
      <c r="K555" s="735"/>
      <c r="L555" s="735"/>
      <c r="M555" s="735"/>
      <c r="N555" s="735"/>
      <c r="O555" s="19"/>
      <c r="P555" s="19"/>
      <c r="Q555" s="19"/>
      <c r="R555" s="19"/>
      <c r="S555" s="19"/>
      <c r="T555" s="19"/>
      <c r="U555" s="19"/>
      <c r="V555" s="19"/>
      <c r="W555" s="19"/>
      <c r="X555" s="19"/>
      <c r="Y555" s="19"/>
      <c r="Z555" s="19"/>
      <c r="AA555" s="19"/>
      <c r="AB555" s="19"/>
      <c r="FE555" s="54"/>
    </row>
    <row r="556" spans="1:161" s="18" customFormat="1">
      <c r="A556" s="51"/>
      <c r="B556" s="735"/>
      <c r="C556" s="735"/>
      <c r="D556" s="735"/>
      <c r="E556" s="735"/>
      <c r="F556" s="736"/>
      <c r="G556" s="735"/>
      <c r="H556" s="735"/>
      <c r="I556" s="735"/>
      <c r="J556" s="735"/>
      <c r="K556" s="735"/>
      <c r="L556" s="735"/>
      <c r="M556" s="735"/>
      <c r="N556" s="735"/>
      <c r="O556" s="19"/>
      <c r="P556" s="19"/>
      <c r="Q556" s="19"/>
      <c r="R556" s="19"/>
      <c r="S556" s="19"/>
      <c r="T556" s="19"/>
      <c r="U556" s="19"/>
      <c r="V556" s="19"/>
      <c r="W556" s="19"/>
      <c r="X556" s="19"/>
      <c r="Y556" s="19"/>
      <c r="Z556" s="19"/>
      <c r="AA556" s="19"/>
      <c r="AB556" s="19"/>
      <c r="FE556" s="54"/>
    </row>
    <row r="557" spans="1:161" s="18" customFormat="1">
      <c r="A557" s="51"/>
      <c r="B557" s="735"/>
      <c r="C557" s="735"/>
      <c r="D557" s="735"/>
      <c r="E557" s="735"/>
      <c r="F557" s="736"/>
      <c r="G557" s="735"/>
      <c r="H557" s="735"/>
      <c r="I557" s="735"/>
      <c r="J557" s="735"/>
      <c r="K557" s="735"/>
      <c r="L557" s="735"/>
      <c r="M557" s="735"/>
      <c r="N557" s="735"/>
      <c r="O557" s="19"/>
      <c r="P557" s="19"/>
      <c r="Q557" s="19"/>
      <c r="R557" s="19"/>
      <c r="S557" s="19"/>
      <c r="T557" s="19"/>
      <c r="U557" s="19"/>
      <c r="V557" s="19"/>
      <c r="W557" s="19"/>
      <c r="X557" s="19"/>
      <c r="Y557" s="19"/>
      <c r="Z557" s="19"/>
      <c r="AA557" s="19"/>
      <c r="AB557" s="19"/>
      <c r="FE557" s="54"/>
    </row>
    <row r="558" spans="1:161" s="18" customFormat="1">
      <c r="A558" s="51"/>
      <c r="B558" s="735"/>
      <c r="C558" s="735"/>
      <c r="D558" s="735"/>
      <c r="E558" s="735"/>
      <c r="F558" s="736"/>
      <c r="G558" s="735"/>
      <c r="H558" s="735"/>
      <c r="I558" s="735"/>
      <c r="J558" s="735"/>
      <c r="K558" s="735"/>
      <c r="L558" s="735"/>
      <c r="M558" s="735"/>
      <c r="N558" s="735"/>
      <c r="O558" s="19"/>
      <c r="P558" s="19"/>
      <c r="Q558" s="19"/>
      <c r="R558" s="19"/>
      <c r="S558" s="19"/>
      <c r="T558" s="19"/>
      <c r="U558" s="19"/>
      <c r="V558" s="19"/>
      <c r="W558" s="19"/>
      <c r="X558" s="19"/>
      <c r="Y558" s="19"/>
      <c r="Z558" s="19"/>
      <c r="AA558" s="19"/>
      <c r="AB558" s="19"/>
      <c r="FE558" s="54"/>
    </row>
    <row r="559" spans="1:161" s="18" customFormat="1">
      <c r="A559" s="51"/>
      <c r="B559" s="735"/>
      <c r="C559" s="735"/>
      <c r="D559" s="735"/>
      <c r="E559" s="735"/>
      <c r="F559" s="736"/>
      <c r="G559" s="735"/>
      <c r="H559" s="735"/>
      <c r="I559" s="735"/>
      <c r="J559" s="735"/>
      <c r="K559" s="735"/>
      <c r="L559" s="735"/>
      <c r="M559" s="735"/>
      <c r="N559" s="735"/>
      <c r="O559" s="19"/>
      <c r="P559" s="19"/>
      <c r="Q559" s="19"/>
      <c r="R559" s="19"/>
      <c r="S559" s="19"/>
      <c r="T559" s="19"/>
      <c r="U559" s="19"/>
      <c r="V559" s="19"/>
      <c r="W559" s="19"/>
      <c r="X559" s="19"/>
      <c r="Y559" s="19"/>
      <c r="Z559" s="19"/>
      <c r="AA559" s="19"/>
      <c r="AB559" s="19"/>
      <c r="FE559" s="54"/>
    </row>
    <row r="560" spans="1:161" s="18" customFormat="1">
      <c r="A560" s="51"/>
      <c r="B560" s="735"/>
      <c r="C560" s="735"/>
      <c r="D560" s="735"/>
      <c r="E560" s="735"/>
      <c r="F560" s="736"/>
      <c r="G560" s="735"/>
      <c r="H560" s="735"/>
      <c r="I560" s="735"/>
      <c r="J560" s="735"/>
      <c r="K560" s="735"/>
      <c r="L560" s="735"/>
      <c r="M560" s="735"/>
      <c r="N560" s="735"/>
      <c r="O560" s="19"/>
      <c r="P560" s="19"/>
      <c r="Q560" s="19"/>
      <c r="R560" s="19"/>
      <c r="S560" s="19"/>
      <c r="T560" s="19"/>
      <c r="U560" s="19"/>
      <c r="V560" s="19"/>
      <c r="W560" s="19"/>
      <c r="X560" s="19"/>
      <c r="Y560" s="19"/>
      <c r="Z560" s="19"/>
      <c r="AA560" s="19"/>
      <c r="AB560" s="19"/>
      <c r="FE560" s="54"/>
    </row>
    <row r="561" spans="1:161" s="18" customFormat="1">
      <c r="A561" s="51"/>
      <c r="B561" s="735"/>
      <c r="C561" s="735"/>
      <c r="D561" s="735"/>
      <c r="E561" s="735"/>
      <c r="F561" s="736"/>
      <c r="G561" s="735"/>
      <c r="H561" s="735"/>
      <c r="I561" s="735"/>
      <c r="J561" s="735"/>
      <c r="K561" s="735"/>
      <c r="L561" s="735"/>
      <c r="M561" s="735"/>
      <c r="N561" s="735"/>
      <c r="O561" s="19"/>
      <c r="P561" s="19"/>
      <c r="Q561" s="19"/>
      <c r="R561" s="19"/>
      <c r="S561" s="19"/>
      <c r="T561" s="19"/>
      <c r="U561" s="19"/>
      <c r="V561" s="19"/>
      <c r="W561" s="19"/>
      <c r="X561" s="19"/>
      <c r="Y561" s="19"/>
      <c r="Z561" s="19"/>
      <c r="AA561" s="19"/>
      <c r="AB561" s="19"/>
      <c r="FE561" s="54"/>
    </row>
    <row r="562" spans="1:161" s="18" customFormat="1">
      <c r="A562" s="51"/>
      <c r="B562" s="735"/>
      <c r="C562" s="735"/>
      <c r="D562" s="735"/>
      <c r="E562" s="735"/>
      <c r="F562" s="736"/>
      <c r="G562" s="735"/>
      <c r="H562" s="735"/>
      <c r="I562" s="735"/>
      <c r="J562" s="735"/>
      <c r="K562" s="735"/>
      <c r="L562" s="735"/>
      <c r="M562" s="735"/>
      <c r="N562" s="735"/>
      <c r="O562" s="19"/>
      <c r="P562" s="19"/>
      <c r="Q562" s="19"/>
      <c r="R562" s="19"/>
      <c r="S562" s="19"/>
      <c r="T562" s="19"/>
      <c r="U562" s="19"/>
      <c r="V562" s="19"/>
      <c r="W562" s="19"/>
      <c r="X562" s="19"/>
      <c r="Y562" s="19"/>
      <c r="Z562" s="19"/>
      <c r="AA562" s="19"/>
      <c r="AB562" s="19"/>
      <c r="FE562" s="54"/>
    </row>
    <row r="563" spans="1:161" s="18" customFormat="1">
      <c r="A563" s="51"/>
      <c r="B563" s="735"/>
      <c r="C563" s="735"/>
      <c r="D563" s="735"/>
      <c r="E563" s="735"/>
      <c r="F563" s="736"/>
      <c r="G563" s="735"/>
      <c r="H563" s="735"/>
      <c r="I563" s="735"/>
      <c r="J563" s="735"/>
      <c r="K563" s="735"/>
      <c r="L563" s="735"/>
      <c r="M563" s="735"/>
      <c r="N563" s="735"/>
      <c r="O563" s="19"/>
      <c r="P563" s="19"/>
      <c r="Q563" s="19"/>
      <c r="R563" s="19"/>
      <c r="S563" s="19"/>
      <c r="T563" s="19"/>
      <c r="U563" s="19"/>
      <c r="V563" s="19"/>
      <c r="W563" s="19"/>
      <c r="X563" s="19"/>
      <c r="Y563" s="19"/>
      <c r="Z563" s="19"/>
      <c r="AA563" s="19"/>
      <c r="AB563" s="19"/>
      <c r="FE563" s="54"/>
    </row>
    <row r="564" spans="1:161" s="18" customFormat="1">
      <c r="A564" s="51"/>
      <c r="B564" s="735"/>
      <c r="C564" s="735"/>
      <c r="D564" s="735"/>
      <c r="E564" s="735"/>
      <c r="F564" s="736"/>
      <c r="G564" s="735"/>
      <c r="H564" s="735"/>
      <c r="I564" s="735"/>
      <c r="J564" s="735"/>
      <c r="K564" s="735"/>
      <c r="L564" s="735"/>
      <c r="M564" s="735"/>
      <c r="N564" s="735"/>
      <c r="O564" s="19"/>
      <c r="P564" s="19"/>
      <c r="Q564" s="19"/>
      <c r="R564" s="19"/>
      <c r="S564" s="19"/>
      <c r="T564" s="19"/>
      <c r="U564" s="19"/>
      <c r="V564" s="19"/>
      <c r="W564" s="19"/>
      <c r="X564" s="19"/>
      <c r="Y564" s="19"/>
      <c r="Z564" s="19"/>
      <c r="AA564" s="19"/>
      <c r="AB564" s="19"/>
      <c r="FE564" s="54"/>
    </row>
    <row r="565" spans="1:161" s="18" customFormat="1">
      <c r="A565" s="51"/>
      <c r="B565" s="735"/>
      <c r="C565" s="735"/>
      <c r="D565" s="735"/>
      <c r="E565" s="735"/>
      <c r="F565" s="736"/>
      <c r="G565" s="735"/>
      <c r="H565" s="735"/>
      <c r="I565" s="735"/>
      <c r="J565" s="735"/>
      <c r="K565" s="735"/>
      <c r="L565" s="735"/>
      <c r="M565" s="735"/>
      <c r="N565" s="735"/>
      <c r="O565" s="19"/>
      <c r="P565" s="19"/>
      <c r="Q565" s="19"/>
      <c r="R565" s="19"/>
      <c r="S565" s="19"/>
      <c r="T565" s="19"/>
      <c r="U565" s="19"/>
      <c r="V565" s="19"/>
      <c r="W565" s="19"/>
      <c r="X565" s="19"/>
      <c r="Y565" s="19"/>
      <c r="Z565" s="19"/>
      <c r="AA565" s="19"/>
      <c r="AB565" s="19"/>
      <c r="FE565" s="54"/>
    </row>
    <row r="566" spans="1:161" s="18" customFormat="1">
      <c r="A566" s="51"/>
      <c r="B566" s="735"/>
      <c r="C566" s="735"/>
      <c r="D566" s="735"/>
      <c r="E566" s="735"/>
      <c r="F566" s="736"/>
      <c r="G566" s="735"/>
      <c r="H566" s="735"/>
      <c r="I566" s="735"/>
      <c r="J566" s="735"/>
      <c r="K566" s="735"/>
      <c r="L566" s="735"/>
      <c r="M566" s="735"/>
      <c r="N566" s="735"/>
      <c r="O566" s="19"/>
      <c r="P566" s="19"/>
      <c r="Q566" s="19"/>
      <c r="R566" s="19"/>
      <c r="S566" s="19"/>
      <c r="T566" s="19"/>
      <c r="U566" s="19"/>
      <c r="V566" s="19"/>
      <c r="W566" s="19"/>
      <c r="X566" s="19"/>
      <c r="Y566" s="19"/>
      <c r="Z566" s="19"/>
      <c r="AA566" s="19"/>
      <c r="AB566" s="19"/>
      <c r="FE566" s="54"/>
    </row>
    <row r="567" spans="1:161" s="18" customFormat="1">
      <c r="A567" s="51"/>
      <c r="B567" s="735"/>
      <c r="C567" s="735"/>
      <c r="D567" s="735"/>
      <c r="E567" s="735"/>
      <c r="F567" s="736"/>
      <c r="G567" s="735"/>
      <c r="H567" s="735"/>
      <c r="I567" s="735"/>
      <c r="J567" s="735"/>
      <c r="K567" s="735"/>
      <c r="L567" s="735"/>
      <c r="M567" s="735"/>
      <c r="N567" s="735"/>
      <c r="O567" s="19"/>
      <c r="P567" s="19"/>
      <c r="Q567" s="19"/>
      <c r="R567" s="19"/>
      <c r="S567" s="19"/>
      <c r="T567" s="19"/>
      <c r="U567" s="19"/>
      <c r="V567" s="19"/>
      <c r="W567" s="19"/>
      <c r="X567" s="19"/>
      <c r="Y567" s="19"/>
      <c r="Z567" s="19"/>
      <c r="AA567" s="19"/>
      <c r="AB567" s="19"/>
      <c r="FE567" s="54"/>
    </row>
    <row r="568" spans="1:161" s="18" customFormat="1">
      <c r="A568" s="51"/>
      <c r="B568" s="735"/>
      <c r="C568" s="735"/>
      <c r="D568" s="735"/>
      <c r="E568" s="735"/>
      <c r="F568" s="736"/>
      <c r="G568" s="735"/>
      <c r="H568" s="735"/>
      <c r="I568" s="735"/>
      <c r="J568" s="735"/>
      <c r="K568" s="735"/>
      <c r="L568" s="735"/>
      <c r="M568" s="735"/>
      <c r="N568" s="735"/>
      <c r="O568" s="19"/>
      <c r="P568" s="19"/>
      <c r="Q568" s="19"/>
      <c r="R568" s="19"/>
      <c r="S568" s="19"/>
      <c r="T568" s="19"/>
      <c r="U568" s="19"/>
      <c r="V568" s="19"/>
      <c r="W568" s="19"/>
      <c r="X568" s="19"/>
      <c r="Y568" s="19"/>
      <c r="Z568" s="19"/>
      <c r="AA568" s="19"/>
      <c r="AB568" s="19"/>
      <c r="FE568" s="54"/>
    </row>
    <row r="569" spans="1:161" s="18" customFormat="1">
      <c r="A569" s="51"/>
      <c r="B569" s="735"/>
      <c r="C569" s="735"/>
      <c r="D569" s="735"/>
      <c r="E569" s="735"/>
      <c r="F569" s="736"/>
      <c r="G569" s="735"/>
      <c r="H569" s="735"/>
      <c r="I569" s="735"/>
      <c r="J569" s="735"/>
      <c r="K569" s="735"/>
      <c r="L569" s="735"/>
      <c r="M569" s="735"/>
      <c r="N569" s="735"/>
      <c r="O569" s="19"/>
      <c r="P569" s="19"/>
      <c r="Q569" s="19"/>
      <c r="R569" s="19"/>
      <c r="S569" s="19"/>
      <c r="T569" s="19"/>
      <c r="U569" s="19"/>
      <c r="V569" s="19"/>
      <c r="W569" s="19"/>
      <c r="X569" s="19"/>
      <c r="Y569" s="19"/>
      <c r="Z569" s="19"/>
      <c r="AA569" s="19"/>
      <c r="AB569" s="19"/>
      <c r="FE569" s="54"/>
    </row>
    <row r="570" spans="1:161" s="18" customFormat="1">
      <c r="A570" s="51"/>
      <c r="B570" s="735"/>
      <c r="C570" s="735"/>
      <c r="D570" s="735"/>
      <c r="E570" s="735"/>
      <c r="F570" s="736"/>
      <c r="G570" s="735"/>
      <c r="H570" s="735"/>
      <c r="I570" s="735"/>
      <c r="J570" s="735"/>
      <c r="K570" s="735"/>
      <c r="L570" s="735"/>
      <c r="M570" s="735"/>
      <c r="N570" s="735"/>
      <c r="O570" s="19"/>
      <c r="P570" s="19"/>
      <c r="Q570" s="19"/>
      <c r="R570" s="19"/>
      <c r="S570" s="19"/>
      <c r="T570" s="19"/>
      <c r="U570" s="19"/>
      <c r="V570" s="19"/>
      <c r="W570" s="19"/>
      <c r="X570" s="19"/>
      <c r="Y570" s="19"/>
      <c r="Z570" s="19"/>
      <c r="AA570" s="19"/>
      <c r="AB570" s="19"/>
      <c r="FE570" s="54"/>
    </row>
    <row r="571" spans="1:161" s="18" customFormat="1">
      <c r="A571" s="51"/>
      <c r="B571" s="735"/>
      <c r="C571" s="735"/>
      <c r="D571" s="735"/>
      <c r="E571" s="735"/>
      <c r="F571" s="736"/>
      <c r="G571" s="735"/>
      <c r="H571" s="735"/>
      <c r="I571" s="735"/>
      <c r="J571" s="735"/>
      <c r="K571" s="735"/>
      <c r="L571" s="735"/>
      <c r="M571" s="735"/>
      <c r="N571" s="735"/>
      <c r="O571" s="19"/>
      <c r="P571" s="19"/>
      <c r="Q571" s="19"/>
      <c r="R571" s="19"/>
      <c r="S571" s="19"/>
      <c r="T571" s="19"/>
      <c r="U571" s="19"/>
      <c r="V571" s="19"/>
      <c r="W571" s="19"/>
      <c r="X571" s="19"/>
      <c r="Y571" s="19"/>
      <c r="Z571" s="19"/>
      <c r="AA571" s="19"/>
      <c r="AB571" s="19"/>
      <c r="FE571" s="54"/>
    </row>
    <row r="572" spans="1:161" s="18" customFormat="1">
      <c r="A572" s="51"/>
      <c r="B572" s="735"/>
      <c r="C572" s="735"/>
      <c r="D572" s="735"/>
      <c r="E572" s="735"/>
      <c r="F572" s="736"/>
      <c r="G572" s="735"/>
      <c r="H572" s="735"/>
      <c r="I572" s="735"/>
      <c r="J572" s="735"/>
      <c r="K572" s="735"/>
      <c r="L572" s="735"/>
      <c r="M572" s="735"/>
      <c r="N572" s="735"/>
      <c r="O572" s="19"/>
      <c r="P572" s="19"/>
      <c r="Q572" s="19"/>
      <c r="R572" s="19"/>
      <c r="S572" s="19"/>
      <c r="T572" s="19"/>
      <c r="U572" s="19"/>
      <c r="V572" s="19"/>
      <c r="W572" s="19"/>
      <c r="X572" s="19"/>
      <c r="Y572" s="19"/>
      <c r="Z572" s="19"/>
      <c r="AA572" s="19"/>
      <c r="AB572" s="19"/>
      <c r="FE572" s="54"/>
    </row>
    <row r="573" spans="1:161" s="18" customFormat="1">
      <c r="A573" s="51"/>
      <c r="B573" s="735"/>
      <c r="C573" s="735"/>
      <c r="D573" s="735"/>
      <c r="E573" s="735"/>
      <c r="F573" s="736"/>
      <c r="G573" s="735"/>
      <c r="H573" s="735"/>
      <c r="I573" s="735"/>
      <c r="J573" s="735"/>
      <c r="K573" s="735"/>
      <c r="L573" s="735"/>
      <c r="M573" s="735"/>
      <c r="N573" s="735"/>
      <c r="O573" s="19"/>
      <c r="P573" s="19"/>
      <c r="Q573" s="19"/>
      <c r="R573" s="19"/>
      <c r="S573" s="19"/>
      <c r="T573" s="19"/>
      <c r="U573" s="19"/>
      <c r="V573" s="19"/>
      <c r="W573" s="19"/>
      <c r="X573" s="19"/>
      <c r="Y573" s="19"/>
      <c r="Z573" s="19"/>
      <c r="AA573" s="19"/>
      <c r="AB573" s="19"/>
      <c r="FE573" s="54"/>
    </row>
    <row r="574" spans="1:161" s="18" customFormat="1">
      <c r="A574" s="51"/>
      <c r="B574" s="735"/>
      <c r="C574" s="735"/>
      <c r="D574" s="735"/>
      <c r="E574" s="735"/>
      <c r="F574" s="736"/>
      <c r="G574" s="735"/>
      <c r="H574" s="735"/>
      <c r="I574" s="735"/>
      <c r="J574" s="735"/>
      <c r="K574" s="735"/>
      <c r="L574" s="735"/>
      <c r="M574" s="735"/>
      <c r="N574" s="735"/>
      <c r="O574" s="19"/>
      <c r="P574" s="19"/>
      <c r="Q574" s="19"/>
      <c r="R574" s="19"/>
      <c r="S574" s="19"/>
      <c r="T574" s="19"/>
      <c r="U574" s="19"/>
      <c r="V574" s="19"/>
      <c r="W574" s="19"/>
      <c r="X574" s="19"/>
      <c r="Y574" s="19"/>
      <c r="Z574" s="19"/>
      <c r="AA574" s="19"/>
      <c r="AB574" s="19"/>
      <c r="FE574" s="54"/>
    </row>
    <row r="575" spans="1:161" s="18" customFormat="1">
      <c r="A575" s="51"/>
      <c r="B575" s="735"/>
      <c r="C575" s="735"/>
      <c r="D575" s="735"/>
      <c r="E575" s="735"/>
      <c r="F575" s="736"/>
      <c r="G575" s="735"/>
      <c r="H575" s="735"/>
      <c r="I575" s="735"/>
      <c r="J575" s="735"/>
      <c r="K575" s="735"/>
      <c r="L575" s="735"/>
      <c r="M575" s="735"/>
      <c r="N575" s="735"/>
      <c r="O575" s="19"/>
      <c r="P575" s="19"/>
      <c r="Q575" s="19"/>
      <c r="R575" s="19"/>
      <c r="S575" s="19"/>
      <c r="T575" s="19"/>
      <c r="U575" s="19"/>
      <c r="V575" s="19"/>
      <c r="W575" s="19"/>
      <c r="X575" s="19"/>
      <c r="Y575" s="19"/>
      <c r="Z575" s="19"/>
      <c r="AA575" s="19"/>
      <c r="AB575" s="19"/>
      <c r="FE575" s="54"/>
    </row>
    <row r="576" spans="1:161" s="18" customFormat="1">
      <c r="A576" s="51"/>
      <c r="B576" s="735"/>
      <c r="C576" s="735"/>
      <c r="D576" s="735"/>
      <c r="E576" s="735"/>
      <c r="F576" s="736"/>
      <c r="G576" s="735"/>
      <c r="H576" s="735"/>
      <c r="I576" s="735"/>
      <c r="J576" s="735"/>
      <c r="K576" s="735"/>
      <c r="L576" s="735"/>
      <c r="M576" s="735"/>
      <c r="N576" s="735"/>
      <c r="O576" s="19"/>
      <c r="P576" s="19"/>
      <c r="Q576" s="19"/>
      <c r="R576" s="19"/>
      <c r="S576" s="19"/>
      <c r="T576" s="19"/>
      <c r="U576" s="19"/>
      <c r="V576" s="19"/>
      <c r="W576" s="19"/>
      <c r="X576" s="19"/>
      <c r="Y576" s="19"/>
      <c r="Z576" s="19"/>
      <c r="AA576" s="19"/>
      <c r="AB576" s="19"/>
      <c r="FE576" s="54"/>
    </row>
    <row r="577" spans="1:161" s="18" customFormat="1">
      <c r="A577" s="51"/>
      <c r="B577" s="735"/>
      <c r="C577" s="735"/>
      <c r="D577" s="735"/>
      <c r="E577" s="735"/>
      <c r="F577" s="736"/>
      <c r="G577" s="735"/>
      <c r="H577" s="735"/>
      <c r="I577" s="735"/>
      <c r="J577" s="735"/>
      <c r="K577" s="735"/>
      <c r="L577" s="735"/>
      <c r="M577" s="735"/>
      <c r="N577" s="735"/>
      <c r="O577" s="19"/>
      <c r="P577" s="19"/>
      <c r="Q577" s="19"/>
      <c r="R577" s="19"/>
      <c r="S577" s="19"/>
      <c r="T577" s="19"/>
      <c r="U577" s="19"/>
      <c r="V577" s="19"/>
      <c r="W577" s="19"/>
      <c r="X577" s="19"/>
      <c r="Y577" s="19"/>
      <c r="Z577" s="19"/>
      <c r="AA577" s="19"/>
      <c r="AB577" s="19"/>
      <c r="FE577" s="54"/>
    </row>
    <row r="578" spans="1:161" s="18" customFormat="1">
      <c r="A578" s="51"/>
      <c r="B578" s="735"/>
      <c r="C578" s="735"/>
      <c r="D578" s="735"/>
      <c r="E578" s="735"/>
      <c r="F578" s="736"/>
      <c r="G578" s="735"/>
      <c r="H578" s="735"/>
      <c r="I578" s="735"/>
      <c r="J578" s="735"/>
      <c r="K578" s="735"/>
      <c r="L578" s="735"/>
      <c r="M578" s="735"/>
      <c r="N578" s="735"/>
      <c r="O578" s="19"/>
      <c r="P578" s="19"/>
      <c r="Q578" s="19"/>
      <c r="R578" s="19"/>
      <c r="S578" s="19"/>
      <c r="T578" s="19"/>
      <c r="U578" s="19"/>
      <c r="V578" s="19"/>
      <c r="W578" s="19"/>
      <c r="X578" s="19"/>
      <c r="Y578" s="19"/>
      <c r="Z578" s="19"/>
      <c r="AA578" s="19"/>
      <c r="AB578" s="19"/>
      <c r="FE578" s="54"/>
    </row>
    <row r="579" spans="1:161" s="18" customFormat="1">
      <c r="A579" s="51"/>
      <c r="B579" s="735"/>
      <c r="C579" s="735"/>
      <c r="D579" s="735"/>
      <c r="E579" s="735"/>
      <c r="F579" s="736"/>
      <c r="G579" s="735"/>
      <c r="H579" s="735"/>
      <c r="I579" s="735"/>
      <c r="J579" s="735"/>
      <c r="K579" s="735"/>
      <c r="L579" s="735"/>
      <c r="M579" s="735"/>
      <c r="N579" s="735"/>
      <c r="O579" s="19"/>
      <c r="P579" s="19"/>
      <c r="Q579" s="19"/>
      <c r="R579" s="19"/>
      <c r="S579" s="19"/>
      <c r="T579" s="19"/>
      <c r="U579" s="19"/>
      <c r="V579" s="19"/>
      <c r="W579" s="19"/>
      <c r="X579" s="19"/>
      <c r="Y579" s="19"/>
      <c r="Z579" s="19"/>
      <c r="AA579" s="19"/>
      <c r="AB579" s="19"/>
      <c r="FE579" s="54"/>
    </row>
    <row r="580" spans="1:161" s="18" customFormat="1">
      <c r="A580" s="51"/>
      <c r="B580" s="735"/>
      <c r="C580" s="735"/>
      <c r="D580" s="735"/>
      <c r="E580" s="735"/>
      <c r="F580" s="736"/>
      <c r="G580" s="735"/>
      <c r="H580" s="735"/>
      <c r="I580" s="735"/>
      <c r="J580" s="735"/>
      <c r="K580" s="735"/>
      <c r="L580" s="735"/>
      <c r="M580" s="735"/>
      <c r="N580" s="735"/>
      <c r="O580" s="19"/>
      <c r="P580" s="19"/>
      <c r="Q580" s="19"/>
      <c r="R580" s="19"/>
      <c r="S580" s="19"/>
      <c r="T580" s="19"/>
      <c r="U580" s="19"/>
      <c r="V580" s="19"/>
      <c r="W580" s="19"/>
      <c r="X580" s="19"/>
      <c r="Y580" s="19"/>
      <c r="Z580" s="19"/>
      <c r="AA580" s="19"/>
      <c r="AB580" s="19"/>
      <c r="FE580" s="54"/>
    </row>
    <row r="581" spans="1:161" s="18" customFormat="1">
      <c r="A581" s="51"/>
      <c r="B581" s="735"/>
      <c r="C581" s="735"/>
      <c r="D581" s="735"/>
      <c r="E581" s="735"/>
      <c r="F581" s="736"/>
      <c r="G581" s="735"/>
      <c r="H581" s="735"/>
      <c r="I581" s="735"/>
      <c r="J581" s="735"/>
      <c r="K581" s="735"/>
      <c r="L581" s="735"/>
      <c r="M581" s="735"/>
      <c r="N581" s="735"/>
      <c r="O581" s="19"/>
      <c r="P581" s="19"/>
      <c r="Q581" s="19"/>
      <c r="R581" s="19"/>
      <c r="S581" s="19"/>
      <c r="T581" s="19"/>
      <c r="U581" s="19"/>
      <c r="V581" s="19"/>
      <c r="W581" s="19"/>
      <c r="X581" s="19"/>
      <c r="Y581" s="19"/>
      <c r="Z581" s="19"/>
      <c r="AA581" s="19"/>
      <c r="AB581" s="19"/>
      <c r="FE581" s="54"/>
    </row>
    <row r="582" spans="1:161" s="18" customFormat="1">
      <c r="A582" s="51"/>
      <c r="B582" s="735"/>
      <c r="C582" s="735"/>
      <c r="D582" s="735"/>
      <c r="E582" s="735"/>
      <c r="F582" s="736"/>
      <c r="G582" s="735"/>
      <c r="H582" s="735"/>
      <c r="I582" s="735"/>
      <c r="J582" s="735"/>
      <c r="K582" s="735"/>
      <c r="L582" s="735"/>
      <c r="M582" s="735"/>
      <c r="N582" s="735"/>
      <c r="O582" s="19"/>
      <c r="P582" s="19"/>
      <c r="Q582" s="19"/>
      <c r="R582" s="19"/>
      <c r="S582" s="19"/>
      <c r="T582" s="19"/>
      <c r="U582" s="19"/>
      <c r="V582" s="19"/>
      <c r="W582" s="19"/>
      <c r="X582" s="19"/>
      <c r="Y582" s="19"/>
      <c r="Z582" s="19"/>
      <c r="AA582" s="19"/>
      <c r="AB582" s="19"/>
      <c r="FE582" s="54"/>
    </row>
    <row r="583" spans="1:161" s="18" customFormat="1">
      <c r="A583" s="51"/>
      <c r="B583" s="735"/>
      <c r="C583" s="735"/>
      <c r="D583" s="735"/>
      <c r="E583" s="735"/>
      <c r="F583" s="736"/>
      <c r="G583" s="735"/>
      <c r="H583" s="735"/>
      <c r="I583" s="735"/>
      <c r="J583" s="735"/>
      <c r="K583" s="735"/>
      <c r="L583" s="735"/>
      <c r="M583" s="735"/>
      <c r="N583" s="735"/>
      <c r="O583" s="19"/>
      <c r="P583" s="19"/>
      <c r="Q583" s="19"/>
      <c r="R583" s="19"/>
      <c r="S583" s="19"/>
      <c r="T583" s="19"/>
      <c r="U583" s="19"/>
      <c r="V583" s="19"/>
      <c r="W583" s="19"/>
      <c r="X583" s="19"/>
      <c r="Y583" s="19"/>
      <c r="Z583" s="19"/>
      <c r="AA583" s="19"/>
      <c r="AB583" s="19"/>
      <c r="FE583" s="54"/>
    </row>
    <row r="584" spans="1:161" s="18" customFormat="1">
      <c r="A584" s="51"/>
      <c r="B584" s="735"/>
      <c r="C584" s="735"/>
      <c r="D584" s="735"/>
      <c r="E584" s="735"/>
      <c r="F584" s="736"/>
      <c r="G584" s="735"/>
      <c r="H584" s="735"/>
      <c r="I584" s="735"/>
      <c r="J584" s="735"/>
      <c r="K584" s="735"/>
      <c r="L584" s="735"/>
      <c r="M584" s="735"/>
      <c r="N584" s="735"/>
      <c r="O584" s="19"/>
      <c r="P584" s="19"/>
      <c r="Q584" s="19"/>
      <c r="R584" s="19"/>
      <c r="S584" s="19"/>
      <c r="T584" s="19"/>
      <c r="U584" s="19"/>
      <c r="V584" s="19"/>
      <c r="W584" s="19"/>
      <c r="X584" s="19"/>
      <c r="Y584" s="19"/>
      <c r="Z584" s="19"/>
      <c r="AA584" s="19"/>
      <c r="AB584" s="19"/>
      <c r="FE584" s="54"/>
    </row>
    <row r="585" spans="1:161" s="18" customFormat="1">
      <c r="A585" s="51"/>
      <c r="B585" s="735"/>
      <c r="C585" s="735"/>
      <c r="D585" s="735"/>
      <c r="E585" s="735"/>
      <c r="F585" s="736"/>
      <c r="G585" s="735"/>
      <c r="H585" s="735"/>
      <c r="I585" s="735"/>
      <c r="J585" s="735"/>
      <c r="K585" s="735"/>
      <c r="L585" s="735"/>
      <c r="M585" s="735"/>
      <c r="N585" s="735"/>
      <c r="O585" s="19"/>
      <c r="P585" s="19"/>
      <c r="Q585" s="19"/>
      <c r="R585" s="19"/>
      <c r="S585" s="19"/>
      <c r="T585" s="19"/>
      <c r="U585" s="19"/>
      <c r="V585" s="19"/>
      <c r="W585" s="19"/>
      <c r="X585" s="19"/>
      <c r="Y585" s="19"/>
      <c r="Z585" s="19"/>
      <c r="AA585" s="19"/>
      <c r="AB585" s="19"/>
      <c r="FE585" s="54"/>
    </row>
    <row r="586" spans="1:161" s="18" customFormat="1">
      <c r="A586" s="51"/>
      <c r="B586" s="735"/>
      <c r="C586" s="735"/>
      <c r="D586" s="735"/>
      <c r="E586" s="735"/>
      <c r="F586" s="736"/>
      <c r="G586" s="735"/>
      <c r="H586" s="735"/>
      <c r="I586" s="735"/>
      <c r="J586" s="735"/>
      <c r="K586" s="735"/>
      <c r="L586" s="735"/>
      <c r="M586" s="735"/>
      <c r="N586" s="735"/>
      <c r="O586" s="19"/>
      <c r="P586" s="19"/>
      <c r="Q586" s="19"/>
      <c r="R586" s="19"/>
      <c r="S586" s="19"/>
      <c r="T586" s="19"/>
      <c r="U586" s="19"/>
      <c r="V586" s="19"/>
      <c r="W586" s="19"/>
      <c r="X586" s="19"/>
      <c r="Y586" s="19"/>
      <c r="Z586" s="19"/>
      <c r="AA586" s="19"/>
      <c r="AB586" s="19"/>
      <c r="FE586" s="54"/>
    </row>
    <row r="587" spans="1:161" s="18" customFormat="1">
      <c r="A587" s="51"/>
      <c r="B587" s="735"/>
      <c r="C587" s="735"/>
      <c r="D587" s="735"/>
      <c r="E587" s="735"/>
      <c r="F587" s="736"/>
      <c r="G587" s="735"/>
      <c r="H587" s="735"/>
      <c r="I587" s="735"/>
      <c r="J587" s="735"/>
      <c r="K587" s="735"/>
      <c r="L587" s="735"/>
      <c r="M587" s="735"/>
      <c r="N587" s="735"/>
      <c r="O587" s="19"/>
      <c r="P587" s="19"/>
      <c r="Q587" s="19"/>
      <c r="R587" s="19"/>
      <c r="S587" s="19"/>
      <c r="T587" s="19"/>
      <c r="U587" s="19"/>
      <c r="V587" s="19"/>
      <c r="W587" s="19"/>
      <c r="X587" s="19"/>
      <c r="Y587" s="19"/>
      <c r="Z587" s="19"/>
      <c r="AA587" s="19"/>
      <c r="AB587" s="19"/>
      <c r="FE587" s="54"/>
    </row>
    <row r="588" spans="1:161" s="18" customFormat="1">
      <c r="A588" s="51"/>
      <c r="B588" s="735"/>
      <c r="C588" s="735"/>
      <c r="D588" s="735"/>
      <c r="E588" s="735"/>
      <c r="F588" s="736"/>
      <c r="G588" s="735"/>
      <c r="H588" s="735"/>
      <c r="I588" s="735"/>
      <c r="J588" s="735"/>
      <c r="K588" s="735"/>
      <c r="L588" s="735"/>
      <c r="M588" s="735"/>
      <c r="N588" s="735"/>
      <c r="O588" s="19"/>
      <c r="P588" s="19"/>
      <c r="Q588" s="19"/>
      <c r="R588" s="19"/>
      <c r="S588" s="19"/>
      <c r="T588" s="19"/>
      <c r="U588" s="19"/>
      <c r="V588" s="19"/>
      <c r="W588" s="19"/>
      <c r="X588" s="19"/>
      <c r="Y588" s="19"/>
      <c r="Z588" s="19"/>
      <c r="AA588" s="19"/>
      <c r="AB588" s="19"/>
      <c r="FE588" s="54"/>
    </row>
    <row r="589" spans="1:161" s="18" customFormat="1">
      <c r="A589" s="51"/>
      <c r="B589" s="735"/>
      <c r="C589" s="735"/>
      <c r="D589" s="735"/>
      <c r="E589" s="735"/>
      <c r="F589" s="736"/>
      <c r="G589" s="735"/>
      <c r="H589" s="735"/>
      <c r="I589" s="735"/>
      <c r="J589" s="735"/>
      <c r="K589" s="735"/>
      <c r="L589" s="735"/>
      <c r="M589" s="735"/>
      <c r="N589" s="735"/>
      <c r="O589" s="19"/>
      <c r="P589" s="19"/>
      <c r="Q589" s="19"/>
      <c r="R589" s="19"/>
      <c r="S589" s="19"/>
      <c r="T589" s="19"/>
      <c r="U589" s="19"/>
      <c r="V589" s="19"/>
      <c r="W589" s="19"/>
      <c r="X589" s="19"/>
      <c r="Y589" s="19"/>
      <c r="Z589" s="19"/>
      <c r="AA589" s="19"/>
      <c r="AB589" s="19"/>
      <c r="FE589" s="54"/>
    </row>
    <row r="590" spans="1:161" s="18" customFormat="1">
      <c r="A590" s="51"/>
      <c r="B590" s="735"/>
      <c r="C590" s="735"/>
      <c r="D590" s="735"/>
      <c r="E590" s="735"/>
      <c r="F590" s="736"/>
      <c r="G590" s="735"/>
      <c r="H590" s="735"/>
      <c r="I590" s="735"/>
      <c r="J590" s="735"/>
      <c r="K590" s="735"/>
      <c r="L590" s="735"/>
      <c r="M590" s="735"/>
      <c r="N590" s="735"/>
      <c r="O590" s="19"/>
      <c r="P590" s="19"/>
      <c r="Q590" s="19"/>
      <c r="R590" s="19"/>
      <c r="S590" s="19"/>
      <c r="T590" s="19"/>
      <c r="U590" s="19"/>
      <c r="V590" s="19"/>
      <c r="W590" s="19"/>
      <c r="X590" s="19"/>
      <c r="Y590" s="19"/>
      <c r="Z590" s="19"/>
      <c r="AA590" s="19"/>
      <c r="AB590" s="19"/>
      <c r="FE590" s="54"/>
    </row>
    <row r="591" spans="1:161" s="18" customFormat="1">
      <c r="A591" s="51"/>
      <c r="B591" s="735"/>
      <c r="C591" s="735"/>
      <c r="D591" s="735"/>
      <c r="E591" s="735"/>
      <c r="F591" s="736"/>
      <c r="G591" s="735"/>
      <c r="H591" s="735"/>
      <c r="I591" s="735"/>
      <c r="J591" s="735"/>
      <c r="K591" s="735"/>
      <c r="L591" s="735"/>
      <c r="M591" s="735"/>
      <c r="N591" s="735"/>
      <c r="O591" s="19"/>
      <c r="P591" s="19"/>
      <c r="Q591" s="19"/>
      <c r="R591" s="19"/>
      <c r="S591" s="19"/>
      <c r="T591" s="19"/>
      <c r="U591" s="19"/>
      <c r="V591" s="19"/>
      <c r="W591" s="19"/>
      <c r="X591" s="19"/>
      <c r="Y591" s="19"/>
      <c r="Z591" s="19"/>
      <c r="AA591" s="19"/>
      <c r="AB591" s="19"/>
      <c r="FE591" s="54"/>
    </row>
    <row r="592" spans="1:161" s="18" customFormat="1">
      <c r="A592" s="51"/>
      <c r="B592" s="735"/>
      <c r="C592" s="735"/>
      <c r="D592" s="735"/>
      <c r="E592" s="735"/>
      <c r="F592" s="736"/>
      <c r="G592" s="735"/>
      <c r="H592" s="735"/>
      <c r="I592" s="735"/>
      <c r="J592" s="735"/>
      <c r="K592" s="735"/>
      <c r="L592" s="735"/>
      <c r="M592" s="735"/>
      <c r="N592" s="735"/>
      <c r="O592" s="19"/>
      <c r="P592" s="19"/>
      <c r="Q592" s="19"/>
      <c r="R592" s="19"/>
      <c r="S592" s="19"/>
      <c r="T592" s="19"/>
      <c r="U592" s="19"/>
      <c r="V592" s="19"/>
      <c r="W592" s="19"/>
      <c r="X592" s="19"/>
      <c r="Y592" s="19"/>
      <c r="Z592" s="19"/>
      <c r="AA592" s="19"/>
      <c r="AB592" s="19"/>
      <c r="FE592" s="54"/>
    </row>
    <row r="593" spans="1:161" s="18" customFormat="1">
      <c r="A593" s="51"/>
      <c r="B593" s="735"/>
      <c r="C593" s="735"/>
      <c r="D593" s="735"/>
      <c r="E593" s="735"/>
      <c r="F593" s="736"/>
      <c r="G593" s="735"/>
      <c r="H593" s="735"/>
      <c r="I593" s="735"/>
      <c r="J593" s="735"/>
      <c r="K593" s="735"/>
      <c r="L593" s="735"/>
      <c r="M593" s="735"/>
      <c r="N593" s="735"/>
      <c r="O593" s="19"/>
      <c r="P593" s="19"/>
      <c r="Q593" s="19"/>
      <c r="R593" s="19"/>
      <c r="S593" s="19"/>
      <c r="T593" s="19"/>
      <c r="U593" s="19"/>
      <c r="V593" s="19"/>
      <c r="W593" s="19"/>
      <c r="X593" s="19"/>
      <c r="Y593" s="19"/>
      <c r="Z593" s="19"/>
      <c r="AA593" s="19"/>
      <c r="AB593" s="19"/>
      <c r="FE593" s="54"/>
    </row>
    <row r="594" spans="1:161" s="18" customFormat="1">
      <c r="A594" s="51"/>
      <c r="B594" s="735"/>
      <c r="C594" s="735"/>
      <c r="D594" s="735"/>
      <c r="E594" s="735"/>
      <c r="F594" s="736"/>
      <c r="G594" s="735"/>
      <c r="H594" s="735"/>
      <c r="I594" s="735"/>
      <c r="J594" s="735"/>
      <c r="K594" s="735"/>
      <c r="L594" s="735"/>
      <c r="M594" s="735"/>
      <c r="N594" s="735"/>
      <c r="O594" s="19"/>
      <c r="P594" s="19"/>
      <c r="Q594" s="19"/>
      <c r="R594" s="19"/>
      <c r="S594" s="19"/>
      <c r="T594" s="19"/>
      <c r="U594" s="19"/>
      <c r="V594" s="19"/>
      <c r="W594" s="19"/>
      <c r="X594" s="19"/>
      <c r="Y594" s="19"/>
      <c r="Z594" s="19"/>
      <c r="AA594" s="19"/>
      <c r="AB594" s="19"/>
      <c r="FE594" s="54"/>
    </row>
    <row r="595" spans="1:161" s="18" customFormat="1">
      <c r="A595" s="51"/>
      <c r="B595" s="735"/>
      <c r="C595" s="735"/>
      <c r="D595" s="735"/>
      <c r="E595" s="735"/>
      <c r="F595" s="736"/>
      <c r="G595" s="735"/>
      <c r="H595" s="735"/>
      <c r="I595" s="735"/>
      <c r="J595" s="735"/>
      <c r="K595" s="735"/>
      <c r="L595" s="735"/>
      <c r="M595" s="735"/>
      <c r="N595" s="735"/>
      <c r="O595" s="19"/>
      <c r="P595" s="19"/>
      <c r="Q595" s="19"/>
      <c r="R595" s="19"/>
      <c r="S595" s="19"/>
      <c r="T595" s="19"/>
      <c r="U595" s="19"/>
      <c r="V595" s="19"/>
      <c r="W595" s="19"/>
      <c r="X595" s="19"/>
      <c r="Y595" s="19"/>
      <c r="Z595" s="19"/>
      <c r="AA595" s="19"/>
      <c r="AB595" s="19"/>
      <c r="FE595" s="54"/>
    </row>
    <row r="596" spans="1:161" s="18" customFormat="1">
      <c r="A596" s="51"/>
      <c r="B596" s="735"/>
      <c r="C596" s="735"/>
      <c r="D596" s="735"/>
      <c r="E596" s="735"/>
      <c r="F596" s="736"/>
      <c r="G596" s="735"/>
      <c r="H596" s="735"/>
      <c r="I596" s="735"/>
      <c r="J596" s="735"/>
      <c r="K596" s="735"/>
      <c r="L596" s="735"/>
      <c r="M596" s="735"/>
      <c r="N596" s="735"/>
      <c r="O596" s="19"/>
      <c r="P596" s="19"/>
      <c r="Q596" s="19"/>
      <c r="R596" s="19"/>
      <c r="S596" s="19"/>
      <c r="T596" s="19"/>
      <c r="U596" s="19"/>
      <c r="V596" s="19"/>
      <c r="W596" s="19"/>
      <c r="X596" s="19"/>
      <c r="Y596" s="19"/>
      <c r="Z596" s="19"/>
      <c r="AA596" s="19"/>
      <c r="AB596" s="19"/>
      <c r="FE596" s="54"/>
    </row>
    <row r="597" spans="1:161" s="18" customFormat="1">
      <c r="A597" s="51"/>
      <c r="B597" s="735"/>
      <c r="C597" s="735"/>
      <c r="D597" s="735"/>
      <c r="E597" s="735"/>
      <c r="F597" s="736"/>
      <c r="G597" s="735"/>
      <c r="H597" s="735"/>
      <c r="I597" s="735"/>
      <c r="J597" s="735"/>
      <c r="K597" s="735"/>
      <c r="L597" s="735"/>
      <c r="M597" s="735"/>
      <c r="N597" s="735"/>
      <c r="O597" s="19"/>
      <c r="P597" s="19"/>
      <c r="Q597" s="19"/>
      <c r="R597" s="19"/>
      <c r="S597" s="19"/>
      <c r="T597" s="19"/>
      <c r="U597" s="19"/>
      <c r="V597" s="19"/>
      <c r="W597" s="19"/>
      <c r="X597" s="19"/>
      <c r="Y597" s="19"/>
      <c r="Z597" s="19"/>
      <c r="AA597" s="19"/>
      <c r="AB597" s="19"/>
      <c r="FE597" s="54"/>
    </row>
    <row r="598" spans="1:161" s="18" customFormat="1">
      <c r="A598" s="51"/>
      <c r="B598" s="735"/>
      <c r="C598" s="735"/>
      <c r="D598" s="735"/>
      <c r="E598" s="735"/>
      <c r="F598" s="736"/>
      <c r="G598" s="735"/>
      <c r="H598" s="735"/>
      <c r="I598" s="735"/>
      <c r="J598" s="735"/>
      <c r="K598" s="735"/>
      <c r="L598" s="735"/>
      <c r="M598" s="735"/>
      <c r="N598" s="735"/>
      <c r="O598" s="19"/>
      <c r="P598" s="19"/>
      <c r="Q598" s="19"/>
      <c r="R598" s="19"/>
      <c r="S598" s="19"/>
      <c r="T598" s="19"/>
      <c r="U598" s="19"/>
      <c r="V598" s="19"/>
      <c r="W598" s="19"/>
      <c r="X598" s="19"/>
      <c r="Y598" s="19"/>
      <c r="Z598" s="19"/>
      <c r="AA598" s="19"/>
      <c r="AB598" s="19"/>
      <c r="FE598" s="54"/>
    </row>
    <row r="599" spans="1:161" s="18" customFormat="1">
      <c r="A599" s="51"/>
      <c r="B599" s="735"/>
      <c r="C599" s="735"/>
      <c r="D599" s="735"/>
      <c r="E599" s="735"/>
      <c r="F599" s="736"/>
      <c r="G599" s="735"/>
      <c r="H599" s="735"/>
      <c r="I599" s="735"/>
      <c r="J599" s="735"/>
      <c r="K599" s="735"/>
      <c r="L599" s="735"/>
      <c r="M599" s="735"/>
      <c r="N599" s="735"/>
      <c r="O599" s="19"/>
      <c r="P599" s="19"/>
      <c r="Q599" s="19"/>
      <c r="R599" s="19"/>
      <c r="S599" s="19"/>
      <c r="T599" s="19"/>
      <c r="U599" s="19"/>
      <c r="V599" s="19"/>
      <c r="W599" s="19"/>
      <c r="X599" s="19"/>
      <c r="Y599" s="19"/>
      <c r="Z599" s="19"/>
      <c r="AA599" s="19"/>
      <c r="AB599" s="19"/>
      <c r="FE599" s="54"/>
    </row>
    <row r="600" spans="1:161" s="18" customFormat="1">
      <c r="A600" s="51"/>
      <c r="B600" s="735"/>
      <c r="C600" s="735"/>
      <c r="D600" s="735"/>
      <c r="E600" s="735"/>
      <c r="F600" s="736"/>
      <c r="G600" s="735"/>
      <c r="H600" s="735"/>
      <c r="I600" s="735"/>
      <c r="J600" s="735"/>
      <c r="K600" s="735"/>
      <c r="L600" s="735"/>
      <c r="M600" s="735"/>
      <c r="N600" s="735"/>
      <c r="O600" s="19"/>
      <c r="P600" s="19"/>
      <c r="Q600" s="19"/>
      <c r="R600" s="19"/>
      <c r="S600" s="19"/>
      <c r="T600" s="19"/>
      <c r="U600" s="19"/>
      <c r="V600" s="19"/>
      <c r="W600" s="19"/>
      <c r="X600" s="19"/>
      <c r="Y600" s="19"/>
      <c r="Z600" s="19"/>
      <c r="AA600" s="19"/>
      <c r="AB600" s="19"/>
      <c r="FE600" s="54"/>
    </row>
    <row r="601" spans="1:161" s="18" customFormat="1">
      <c r="A601" s="51"/>
      <c r="B601" s="735"/>
      <c r="C601" s="735"/>
      <c r="D601" s="735"/>
      <c r="E601" s="735"/>
      <c r="F601" s="736"/>
      <c r="G601" s="735"/>
      <c r="H601" s="735"/>
      <c r="I601" s="735"/>
      <c r="J601" s="735"/>
      <c r="K601" s="735"/>
      <c r="L601" s="735"/>
      <c r="M601" s="735"/>
      <c r="N601" s="735"/>
      <c r="O601" s="19"/>
      <c r="P601" s="19"/>
      <c r="Q601" s="19"/>
      <c r="R601" s="19"/>
      <c r="S601" s="19"/>
      <c r="T601" s="19"/>
      <c r="U601" s="19"/>
      <c r="V601" s="19"/>
      <c r="W601" s="19"/>
      <c r="X601" s="19"/>
      <c r="Y601" s="19"/>
      <c r="Z601" s="19"/>
      <c r="AA601" s="19"/>
      <c r="AB601" s="19"/>
      <c r="FE601" s="54"/>
    </row>
    <row r="602" spans="1:161" s="18" customFormat="1">
      <c r="A602" s="51"/>
      <c r="B602" s="735"/>
      <c r="C602" s="735"/>
      <c r="D602" s="735"/>
      <c r="E602" s="735"/>
      <c r="F602" s="736"/>
      <c r="G602" s="735"/>
      <c r="H602" s="735"/>
      <c r="I602" s="735"/>
      <c r="J602" s="735"/>
      <c r="K602" s="735"/>
      <c r="L602" s="735"/>
      <c r="M602" s="735"/>
      <c r="N602" s="735"/>
      <c r="O602" s="19"/>
      <c r="P602" s="19"/>
      <c r="Q602" s="19"/>
      <c r="R602" s="19"/>
      <c r="S602" s="19"/>
      <c r="T602" s="19"/>
      <c r="U602" s="19"/>
      <c r="V602" s="19"/>
      <c r="W602" s="19"/>
      <c r="X602" s="19"/>
      <c r="Y602" s="19"/>
      <c r="Z602" s="19"/>
      <c r="AA602" s="19"/>
      <c r="AB602" s="19"/>
      <c r="FE602" s="54"/>
    </row>
    <row r="603" spans="1:161" s="18" customFormat="1">
      <c r="A603" s="51"/>
      <c r="B603" s="735"/>
      <c r="C603" s="735"/>
      <c r="D603" s="735"/>
      <c r="E603" s="735"/>
      <c r="F603" s="736"/>
      <c r="G603" s="735"/>
      <c r="H603" s="735"/>
      <c r="I603" s="735"/>
      <c r="J603" s="735"/>
      <c r="K603" s="735"/>
      <c r="L603" s="735"/>
      <c r="M603" s="735"/>
      <c r="N603" s="735"/>
      <c r="O603" s="19"/>
      <c r="P603" s="19"/>
      <c r="Q603" s="19"/>
      <c r="R603" s="19"/>
      <c r="S603" s="19"/>
      <c r="T603" s="19"/>
      <c r="U603" s="19"/>
      <c r="V603" s="19"/>
      <c r="W603" s="19"/>
      <c r="X603" s="19"/>
      <c r="Y603" s="19"/>
      <c r="Z603" s="19"/>
      <c r="AA603" s="19"/>
      <c r="AB603" s="19"/>
      <c r="FE603" s="54"/>
    </row>
    <row r="604" spans="1:161" s="18" customFormat="1">
      <c r="A604" s="51"/>
      <c r="B604" s="735"/>
      <c r="C604" s="735"/>
      <c r="D604" s="735"/>
      <c r="E604" s="735"/>
      <c r="F604" s="736"/>
      <c r="G604" s="735"/>
      <c r="H604" s="735"/>
      <c r="I604" s="735"/>
      <c r="J604" s="735"/>
      <c r="K604" s="735"/>
      <c r="L604" s="735"/>
      <c r="M604" s="735"/>
      <c r="N604" s="735"/>
      <c r="O604" s="19"/>
      <c r="P604" s="19"/>
      <c r="Q604" s="19"/>
      <c r="R604" s="19"/>
      <c r="S604" s="19"/>
      <c r="T604" s="19"/>
      <c r="U604" s="19"/>
      <c r="V604" s="19"/>
      <c r="W604" s="19"/>
      <c r="X604" s="19"/>
      <c r="Y604" s="19"/>
      <c r="Z604" s="19"/>
      <c r="AA604" s="19"/>
      <c r="AB604" s="19"/>
      <c r="FE604" s="54"/>
    </row>
    <row r="605" spans="1:161" s="18" customFormat="1">
      <c r="A605" s="51"/>
      <c r="B605" s="735"/>
      <c r="C605" s="735"/>
      <c r="D605" s="735"/>
      <c r="E605" s="735"/>
      <c r="F605" s="736"/>
      <c r="G605" s="735"/>
      <c r="H605" s="735"/>
      <c r="I605" s="735"/>
      <c r="J605" s="735"/>
      <c r="K605" s="735"/>
      <c r="L605" s="735"/>
      <c r="M605" s="735"/>
      <c r="N605" s="735"/>
      <c r="O605" s="19"/>
      <c r="P605" s="19"/>
      <c r="Q605" s="19"/>
      <c r="R605" s="19"/>
      <c r="S605" s="19"/>
      <c r="T605" s="19"/>
      <c r="U605" s="19"/>
      <c r="V605" s="19"/>
      <c r="W605" s="19"/>
      <c r="X605" s="19"/>
      <c r="Y605" s="19"/>
      <c r="Z605" s="19"/>
      <c r="AA605" s="19"/>
      <c r="AB605" s="19"/>
      <c r="FE605" s="54"/>
    </row>
    <row r="606" spans="1:161" s="18" customFormat="1">
      <c r="A606" s="51"/>
      <c r="B606" s="735"/>
      <c r="C606" s="735"/>
      <c r="D606" s="735"/>
      <c r="E606" s="735"/>
      <c r="F606" s="736"/>
      <c r="G606" s="735"/>
      <c r="H606" s="735"/>
      <c r="I606" s="735"/>
      <c r="J606" s="735"/>
      <c r="K606" s="735"/>
      <c r="L606" s="735"/>
      <c r="M606" s="735"/>
      <c r="N606" s="735"/>
      <c r="O606" s="19"/>
      <c r="P606" s="19"/>
      <c r="Q606" s="19"/>
      <c r="R606" s="19"/>
      <c r="S606" s="19"/>
      <c r="T606" s="19"/>
      <c r="U606" s="19"/>
      <c r="V606" s="19"/>
      <c r="W606" s="19"/>
      <c r="X606" s="19"/>
      <c r="Y606" s="19"/>
      <c r="Z606" s="19"/>
      <c r="AA606" s="19"/>
      <c r="AB606" s="19"/>
      <c r="FE606" s="54"/>
    </row>
    <row r="607" spans="1:161" s="18" customFormat="1">
      <c r="A607" s="51"/>
      <c r="B607" s="735"/>
      <c r="C607" s="735"/>
      <c r="D607" s="735"/>
      <c r="E607" s="735"/>
      <c r="F607" s="736"/>
      <c r="G607" s="735"/>
      <c r="H607" s="735"/>
      <c r="I607" s="735"/>
      <c r="J607" s="735"/>
      <c r="K607" s="735"/>
      <c r="L607" s="735"/>
      <c r="M607" s="735"/>
      <c r="N607" s="735"/>
      <c r="O607" s="19"/>
      <c r="P607" s="19"/>
      <c r="Q607" s="19"/>
      <c r="R607" s="19"/>
      <c r="S607" s="19"/>
      <c r="T607" s="19"/>
      <c r="U607" s="19"/>
      <c r="V607" s="19"/>
      <c r="W607" s="19"/>
      <c r="X607" s="19"/>
      <c r="Y607" s="19"/>
      <c r="Z607" s="19"/>
      <c r="AA607" s="19"/>
      <c r="AB607" s="19"/>
      <c r="FE607" s="54"/>
    </row>
    <row r="608" spans="1:161" s="18" customFormat="1">
      <c r="A608" s="51"/>
      <c r="B608" s="735"/>
      <c r="C608" s="735"/>
      <c r="D608" s="735"/>
      <c r="E608" s="735"/>
      <c r="F608" s="736"/>
      <c r="G608" s="735"/>
      <c r="H608" s="735"/>
      <c r="I608" s="735"/>
      <c r="J608" s="735"/>
      <c r="K608" s="735"/>
      <c r="L608" s="735"/>
      <c r="M608" s="735"/>
      <c r="N608" s="735"/>
      <c r="O608" s="19"/>
      <c r="P608" s="19"/>
      <c r="Q608" s="19"/>
      <c r="R608" s="19"/>
      <c r="S608" s="19"/>
      <c r="T608" s="19"/>
      <c r="U608" s="19"/>
      <c r="V608" s="19"/>
      <c r="W608" s="19"/>
      <c r="X608" s="19"/>
      <c r="Y608" s="19"/>
      <c r="Z608" s="19"/>
      <c r="AA608" s="19"/>
      <c r="AB608" s="19"/>
      <c r="FE608" s="54"/>
    </row>
    <row r="609" spans="1:161" s="18" customFormat="1">
      <c r="A609" s="51"/>
      <c r="B609" s="735"/>
      <c r="C609" s="735"/>
      <c r="D609" s="735"/>
      <c r="E609" s="735"/>
      <c r="F609" s="736"/>
      <c r="G609" s="735"/>
      <c r="H609" s="735"/>
      <c r="I609" s="735"/>
      <c r="J609" s="735"/>
      <c r="K609" s="735"/>
      <c r="L609" s="735"/>
      <c r="M609" s="735"/>
      <c r="N609" s="735"/>
      <c r="O609" s="19"/>
      <c r="P609" s="19"/>
      <c r="Q609" s="19"/>
      <c r="R609" s="19"/>
      <c r="S609" s="19"/>
      <c r="T609" s="19"/>
      <c r="U609" s="19"/>
      <c r="V609" s="19"/>
      <c r="W609" s="19"/>
      <c r="X609" s="19"/>
      <c r="Y609" s="19"/>
      <c r="Z609" s="19"/>
      <c r="AA609" s="19"/>
      <c r="AB609" s="19"/>
      <c r="FE609" s="54"/>
    </row>
    <row r="610" spans="1:161" s="18" customFormat="1">
      <c r="A610" s="51"/>
      <c r="B610" s="735"/>
      <c r="C610" s="735"/>
      <c r="D610" s="735"/>
      <c r="E610" s="735"/>
      <c r="F610" s="736"/>
      <c r="G610" s="735"/>
      <c r="H610" s="735"/>
      <c r="I610" s="735"/>
      <c r="J610" s="735"/>
      <c r="K610" s="735"/>
      <c r="L610" s="735"/>
      <c r="M610" s="735"/>
      <c r="N610" s="735"/>
      <c r="O610" s="19"/>
      <c r="P610" s="19"/>
      <c r="Q610" s="19"/>
      <c r="R610" s="19"/>
      <c r="S610" s="19"/>
      <c r="T610" s="19"/>
      <c r="U610" s="19"/>
      <c r="V610" s="19"/>
      <c r="W610" s="19"/>
      <c r="X610" s="19"/>
      <c r="Y610" s="19"/>
      <c r="Z610" s="19"/>
      <c r="AA610" s="19"/>
      <c r="AB610" s="19"/>
      <c r="FE610" s="54"/>
    </row>
    <row r="611" spans="1:161" s="18" customFormat="1">
      <c r="A611" s="51"/>
      <c r="B611" s="735"/>
      <c r="C611" s="735"/>
      <c r="D611" s="735"/>
      <c r="E611" s="735"/>
      <c r="F611" s="736"/>
      <c r="G611" s="735"/>
      <c r="H611" s="735"/>
      <c r="I611" s="735"/>
      <c r="J611" s="735"/>
      <c r="K611" s="735"/>
      <c r="L611" s="735"/>
      <c r="M611" s="735"/>
      <c r="N611" s="735"/>
      <c r="O611" s="19"/>
      <c r="P611" s="19"/>
      <c r="Q611" s="19"/>
      <c r="R611" s="19"/>
      <c r="S611" s="19"/>
      <c r="T611" s="19"/>
      <c r="U611" s="19"/>
      <c r="V611" s="19"/>
      <c r="W611" s="19"/>
      <c r="X611" s="19"/>
      <c r="Y611" s="19"/>
      <c r="Z611" s="19"/>
      <c r="AA611" s="19"/>
      <c r="AB611" s="19"/>
      <c r="FE611" s="54"/>
    </row>
    <row r="612" spans="1:161" s="18" customFormat="1">
      <c r="A612" s="51"/>
      <c r="B612" s="735"/>
      <c r="C612" s="735"/>
      <c r="D612" s="735"/>
      <c r="E612" s="735"/>
      <c r="F612" s="736"/>
      <c r="G612" s="735"/>
      <c r="H612" s="735"/>
      <c r="I612" s="735"/>
      <c r="J612" s="735"/>
      <c r="K612" s="735"/>
      <c r="L612" s="735"/>
      <c r="M612" s="735"/>
      <c r="N612" s="735"/>
      <c r="O612" s="19"/>
      <c r="P612" s="19"/>
      <c r="Q612" s="19"/>
      <c r="R612" s="19"/>
      <c r="S612" s="19"/>
      <c r="T612" s="19"/>
      <c r="U612" s="19"/>
      <c r="V612" s="19"/>
      <c r="W612" s="19"/>
      <c r="X612" s="19"/>
      <c r="Y612" s="19"/>
      <c r="Z612" s="19"/>
      <c r="AA612" s="19"/>
      <c r="AB612" s="19"/>
      <c r="FE612" s="54"/>
    </row>
    <row r="613" spans="1:161" s="18" customFormat="1">
      <c r="A613" s="51"/>
      <c r="B613" s="735"/>
      <c r="C613" s="735"/>
      <c r="D613" s="735"/>
      <c r="E613" s="735"/>
      <c r="F613" s="736"/>
      <c r="G613" s="735"/>
      <c r="H613" s="735"/>
      <c r="I613" s="735"/>
      <c r="J613" s="735"/>
      <c r="K613" s="735"/>
      <c r="L613" s="735"/>
      <c r="M613" s="735"/>
      <c r="N613" s="735"/>
      <c r="O613" s="19"/>
      <c r="P613" s="19"/>
      <c r="Q613" s="19"/>
      <c r="R613" s="19"/>
      <c r="S613" s="19"/>
      <c r="T613" s="19"/>
      <c r="U613" s="19"/>
      <c r="V613" s="19"/>
      <c r="W613" s="19"/>
      <c r="X613" s="19"/>
      <c r="Y613" s="19"/>
      <c r="Z613" s="19"/>
      <c r="AA613" s="19"/>
      <c r="AB613" s="19"/>
      <c r="FE613" s="54"/>
    </row>
    <row r="614" spans="1:161" s="18" customFormat="1">
      <c r="A614" s="51"/>
      <c r="B614" s="735"/>
      <c r="C614" s="735"/>
      <c r="D614" s="735"/>
      <c r="E614" s="735"/>
      <c r="F614" s="736"/>
      <c r="G614" s="735"/>
      <c r="H614" s="735"/>
      <c r="I614" s="735"/>
      <c r="J614" s="735"/>
      <c r="K614" s="735"/>
      <c r="L614" s="735"/>
      <c r="M614" s="735"/>
      <c r="N614" s="735"/>
      <c r="O614" s="19"/>
      <c r="P614" s="19"/>
      <c r="Q614" s="19"/>
      <c r="R614" s="19"/>
      <c r="S614" s="19"/>
      <c r="T614" s="19"/>
      <c r="U614" s="19"/>
      <c r="V614" s="19"/>
      <c r="W614" s="19"/>
      <c r="X614" s="19"/>
      <c r="Y614" s="19"/>
      <c r="Z614" s="19"/>
      <c r="AA614" s="19"/>
      <c r="AB614" s="19"/>
      <c r="FE614" s="54"/>
    </row>
    <row r="615" spans="1:161" s="18" customFormat="1">
      <c r="A615" s="51"/>
      <c r="B615" s="735"/>
      <c r="C615" s="735"/>
      <c r="D615" s="735"/>
      <c r="E615" s="735"/>
      <c r="F615" s="736"/>
      <c r="G615" s="735"/>
      <c r="H615" s="735"/>
      <c r="I615" s="735"/>
      <c r="J615" s="735"/>
      <c r="K615" s="735"/>
      <c r="L615" s="735"/>
      <c r="M615" s="735"/>
      <c r="N615" s="735"/>
      <c r="O615" s="19"/>
      <c r="P615" s="19"/>
      <c r="Q615" s="19"/>
      <c r="R615" s="19"/>
      <c r="S615" s="19"/>
      <c r="T615" s="19"/>
      <c r="U615" s="19"/>
      <c r="V615" s="19"/>
      <c r="W615" s="19"/>
      <c r="X615" s="19"/>
      <c r="Y615" s="19"/>
      <c r="Z615" s="19"/>
      <c r="AA615" s="19"/>
      <c r="AB615" s="19"/>
      <c r="FE615" s="54"/>
    </row>
    <row r="616" spans="1:161" s="18" customFormat="1">
      <c r="A616" s="51"/>
      <c r="B616" s="735"/>
      <c r="C616" s="735"/>
      <c r="D616" s="735"/>
      <c r="E616" s="735"/>
      <c r="F616" s="736"/>
      <c r="G616" s="735"/>
      <c r="H616" s="735"/>
      <c r="I616" s="735"/>
      <c r="J616" s="735"/>
      <c r="K616" s="735"/>
      <c r="L616" s="735"/>
      <c r="M616" s="735"/>
      <c r="N616" s="735"/>
      <c r="O616" s="19"/>
      <c r="P616" s="19"/>
      <c r="Q616" s="19"/>
      <c r="R616" s="19"/>
      <c r="S616" s="19"/>
      <c r="T616" s="19"/>
      <c r="U616" s="19"/>
      <c r="V616" s="19"/>
      <c r="W616" s="19"/>
      <c r="X616" s="19"/>
      <c r="Y616" s="19"/>
      <c r="Z616" s="19"/>
      <c r="AA616" s="19"/>
      <c r="AB616" s="19"/>
      <c r="FE616" s="54"/>
    </row>
    <row r="617" spans="1:161" s="18" customFormat="1">
      <c r="A617" s="51"/>
      <c r="B617" s="735"/>
      <c r="C617" s="735"/>
      <c r="D617" s="735"/>
      <c r="E617" s="735"/>
      <c r="F617" s="736"/>
      <c r="G617" s="735"/>
      <c r="H617" s="735"/>
      <c r="I617" s="735"/>
      <c r="J617" s="735"/>
      <c r="K617" s="735"/>
      <c r="L617" s="735"/>
      <c r="M617" s="735"/>
      <c r="N617" s="735"/>
      <c r="O617" s="19"/>
      <c r="P617" s="19"/>
      <c r="Q617" s="19"/>
      <c r="R617" s="19"/>
      <c r="S617" s="19"/>
      <c r="T617" s="19"/>
      <c r="U617" s="19"/>
      <c r="V617" s="19"/>
      <c r="W617" s="19"/>
      <c r="X617" s="19"/>
      <c r="Y617" s="19"/>
      <c r="Z617" s="19"/>
      <c r="AA617" s="19"/>
      <c r="AB617" s="19"/>
      <c r="FE617" s="54"/>
    </row>
    <row r="618" spans="1:161" s="18" customFormat="1">
      <c r="A618" s="51"/>
      <c r="B618" s="735"/>
      <c r="C618" s="735"/>
      <c r="D618" s="735"/>
      <c r="E618" s="735"/>
      <c r="F618" s="736"/>
      <c r="G618" s="735"/>
      <c r="H618" s="735"/>
      <c r="I618" s="735"/>
      <c r="J618" s="735"/>
      <c r="K618" s="735"/>
      <c r="L618" s="735"/>
      <c r="M618" s="735"/>
      <c r="N618" s="735"/>
      <c r="O618" s="19"/>
      <c r="P618" s="19"/>
      <c r="Q618" s="19"/>
      <c r="R618" s="19"/>
      <c r="S618" s="19"/>
      <c r="T618" s="19"/>
      <c r="U618" s="19"/>
      <c r="V618" s="19"/>
      <c r="W618" s="19"/>
      <c r="X618" s="19"/>
      <c r="Y618" s="19"/>
      <c r="Z618" s="19"/>
      <c r="AA618" s="19"/>
      <c r="AB618" s="19"/>
      <c r="FE618" s="54"/>
    </row>
    <row r="619" spans="1:161" s="18" customFormat="1">
      <c r="A619" s="51"/>
      <c r="B619" s="735"/>
      <c r="C619" s="735"/>
      <c r="D619" s="735"/>
      <c r="E619" s="735"/>
      <c r="F619" s="736"/>
      <c r="G619" s="735"/>
      <c r="H619" s="735"/>
      <c r="I619" s="735"/>
      <c r="J619" s="735"/>
      <c r="K619" s="735"/>
      <c r="L619" s="735"/>
      <c r="M619" s="735"/>
      <c r="N619" s="735"/>
      <c r="O619" s="19"/>
      <c r="P619" s="19"/>
      <c r="Q619" s="19"/>
      <c r="R619" s="19"/>
      <c r="S619" s="19"/>
      <c r="T619" s="19"/>
      <c r="U619" s="19"/>
      <c r="V619" s="19"/>
      <c r="W619" s="19"/>
      <c r="X619" s="19"/>
      <c r="Y619" s="19"/>
      <c r="Z619" s="19"/>
      <c r="AA619" s="19"/>
      <c r="AB619" s="19"/>
      <c r="FE619" s="54"/>
    </row>
    <row r="620" spans="1:161" s="18" customFormat="1">
      <c r="A620" s="51"/>
      <c r="B620" s="735"/>
      <c r="C620" s="735"/>
      <c r="D620" s="735"/>
      <c r="E620" s="735"/>
      <c r="F620" s="736"/>
      <c r="G620" s="735"/>
      <c r="H620" s="735"/>
      <c r="I620" s="735"/>
      <c r="J620" s="735"/>
      <c r="K620" s="735"/>
      <c r="L620" s="735"/>
      <c r="M620" s="735"/>
      <c r="N620" s="735"/>
      <c r="O620" s="19"/>
      <c r="P620" s="19"/>
      <c r="Q620" s="19"/>
      <c r="R620" s="19"/>
      <c r="S620" s="19"/>
      <c r="T620" s="19"/>
      <c r="U620" s="19"/>
      <c r="V620" s="19"/>
      <c r="W620" s="19"/>
      <c r="X620" s="19"/>
      <c r="Y620" s="19"/>
      <c r="Z620" s="19"/>
      <c r="AA620" s="19"/>
      <c r="AB620" s="19"/>
      <c r="FE620" s="54"/>
    </row>
    <row r="621" spans="1:161" s="18" customFormat="1">
      <c r="A621" s="51"/>
      <c r="B621" s="735"/>
      <c r="C621" s="735"/>
      <c r="D621" s="735"/>
      <c r="E621" s="735"/>
      <c r="F621" s="736"/>
      <c r="G621" s="735"/>
      <c r="H621" s="735"/>
      <c r="I621" s="735"/>
      <c r="J621" s="735"/>
      <c r="K621" s="735"/>
      <c r="L621" s="735"/>
      <c r="M621" s="735"/>
      <c r="N621" s="735"/>
      <c r="O621" s="19"/>
      <c r="P621" s="19"/>
      <c r="Q621" s="19"/>
      <c r="R621" s="19"/>
      <c r="S621" s="19"/>
      <c r="T621" s="19"/>
      <c r="U621" s="19"/>
      <c r="V621" s="19"/>
      <c r="W621" s="19"/>
      <c r="X621" s="19"/>
      <c r="Y621" s="19"/>
      <c r="Z621" s="19"/>
      <c r="AA621" s="19"/>
      <c r="AB621" s="19"/>
      <c r="FE621" s="54"/>
    </row>
    <row r="622" spans="1:161" s="18" customFormat="1">
      <c r="A622" s="51"/>
      <c r="B622" s="735"/>
      <c r="C622" s="735"/>
      <c r="D622" s="735"/>
      <c r="E622" s="735"/>
      <c r="F622" s="736"/>
      <c r="G622" s="735"/>
      <c r="H622" s="735"/>
      <c r="I622" s="735"/>
      <c r="J622" s="735"/>
      <c r="K622" s="735"/>
      <c r="L622" s="735"/>
      <c r="M622" s="735"/>
      <c r="N622" s="735"/>
      <c r="O622" s="19"/>
      <c r="P622" s="19"/>
      <c r="Q622" s="19"/>
      <c r="R622" s="19"/>
      <c r="S622" s="19"/>
      <c r="T622" s="19"/>
      <c r="U622" s="19"/>
      <c r="V622" s="19"/>
      <c r="W622" s="19"/>
      <c r="X622" s="19"/>
      <c r="Y622" s="19"/>
      <c r="Z622" s="19"/>
      <c r="AA622" s="19"/>
      <c r="AB622" s="19"/>
      <c r="FE622" s="54"/>
    </row>
    <row r="623" spans="1:161" s="18" customFormat="1">
      <c r="A623" s="51"/>
      <c r="B623" s="735"/>
      <c r="C623" s="735"/>
      <c r="D623" s="735"/>
      <c r="E623" s="735"/>
      <c r="F623" s="736"/>
      <c r="G623" s="735"/>
      <c r="H623" s="735"/>
      <c r="I623" s="735"/>
      <c r="J623" s="735"/>
      <c r="K623" s="735"/>
      <c r="L623" s="735"/>
      <c r="M623" s="735"/>
      <c r="N623" s="735"/>
      <c r="O623" s="19"/>
      <c r="P623" s="19"/>
      <c r="Q623" s="19"/>
      <c r="R623" s="19"/>
      <c r="S623" s="19"/>
      <c r="T623" s="19"/>
      <c r="U623" s="19"/>
      <c r="V623" s="19"/>
      <c r="W623" s="19"/>
      <c r="X623" s="19"/>
      <c r="Y623" s="19"/>
      <c r="Z623" s="19"/>
      <c r="AA623" s="19"/>
      <c r="AB623" s="19"/>
      <c r="FE623" s="54"/>
    </row>
    <row r="624" spans="1:161" s="18" customFormat="1">
      <c r="A624" s="51"/>
      <c r="B624" s="735"/>
      <c r="C624" s="735"/>
      <c r="D624" s="735"/>
      <c r="E624" s="735"/>
      <c r="F624" s="736"/>
      <c r="G624" s="735"/>
      <c r="H624" s="735"/>
      <c r="I624" s="735"/>
      <c r="J624" s="735"/>
      <c r="K624" s="735"/>
      <c r="L624" s="735"/>
      <c r="M624" s="735"/>
      <c r="N624" s="735"/>
      <c r="O624" s="19"/>
      <c r="P624" s="19"/>
      <c r="Q624" s="19"/>
      <c r="R624" s="19"/>
      <c r="S624" s="19"/>
      <c r="T624" s="19"/>
      <c r="U624" s="19"/>
      <c r="V624" s="19"/>
      <c r="W624" s="19"/>
      <c r="X624" s="19"/>
      <c r="Y624" s="19"/>
      <c r="Z624" s="19"/>
      <c r="AA624" s="19"/>
      <c r="AB624" s="19"/>
      <c r="FE624" s="54"/>
    </row>
    <row r="625" spans="1:161" s="18" customFormat="1">
      <c r="A625" s="51"/>
      <c r="B625" s="735"/>
      <c r="C625" s="735"/>
      <c r="D625" s="735"/>
      <c r="E625" s="735"/>
      <c r="F625" s="736"/>
      <c r="G625" s="735"/>
      <c r="H625" s="735"/>
      <c r="I625" s="735"/>
      <c r="J625" s="735"/>
      <c r="K625" s="735"/>
      <c r="L625" s="735"/>
      <c r="M625" s="735"/>
      <c r="N625" s="735"/>
      <c r="O625" s="19"/>
      <c r="P625" s="19"/>
      <c r="Q625" s="19"/>
      <c r="R625" s="19"/>
      <c r="S625" s="19"/>
      <c r="T625" s="19"/>
      <c r="U625" s="19"/>
      <c r="V625" s="19"/>
      <c r="W625" s="19"/>
      <c r="X625" s="19"/>
      <c r="Y625" s="19"/>
      <c r="Z625" s="19"/>
      <c r="AA625" s="19"/>
      <c r="AB625" s="19"/>
      <c r="FE625" s="54"/>
    </row>
    <row r="626" spans="1:161" s="18" customFormat="1">
      <c r="A626" s="51"/>
      <c r="B626" s="735"/>
      <c r="C626" s="735"/>
      <c r="D626" s="735"/>
      <c r="E626" s="735"/>
      <c r="F626" s="736"/>
      <c r="G626" s="735"/>
      <c r="H626" s="735"/>
      <c r="I626" s="735"/>
      <c r="J626" s="735"/>
      <c r="K626" s="735"/>
      <c r="L626" s="735"/>
      <c r="M626" s="735"/>
      <c r="N626" s="735"/>
      <c r="O626" s="19"/>
      <c r="P626" s="19"/>
      <c r="Q626" s="19"/>
      <c r="R626" s="19"/>
      <c r="S626" s="19"/>
      <c r="T626" s="19"/>
      <c r="U626" s="19"/>
      <c r="V626" s="19"/>
      <c r="W626" s="19"/>
      <c r="X626" s="19"/>
      <c r="Y626" s="19"/>
      <c r="Z626" s="19"/>
      <c r="AA626" s="19"/>
      <c r="AB626" s="19"/>
      <c r="FE626" s="54"/>
    </row>
    <row r="627" spans="1:161" s="18" customFormat="1">
      <c r="A627" s="51"/>
      <c r="B627" s="735"/>
      <c r="C627" s="735"/>
      <c r="D627" s="735"/>
      <c r="E627" s="735"/>
      <c r="F627" s="736"/>
      <c r="G627" s="735"/>
      <c r="H627" s="735"/>
      <c r="I627" s="735"/>
      <c r="J627" s="735"/>
      <c r="K627" s="735"/>
      <c r="L627" s="735"/>
      <c r="M627" s="735"/>
      <c r="N627" s="735"/>
      <c r="O627" s="19"/>
      <c r="P627" s="19"/>
      <c r="Q627" s="19"/>
      <c r="R627" s="19"/>
      <c r="S627" s="19"/>
      <c r="T627" s="19"/>
      <c r="U627" s="19"/>
      <c r="V627" s="19"/>
      <c r="W627" s="19"/>
      <c r="X627" s="19"/>
      <c r="Y627" s="19"/>
      <c r="Z627" s="19"/>
      <c r="AA627" s="19"/>
      <c r="AB627" s="19"/>
      <c r="FE627" s="54"/>
    </row>
    <row r="628" spans="1:161" s="18" customFormat="1">
      <c r="A628" s="51"/>
      <c r="B628" s="735"/>
      <c r="C628" s="735"/>
      <c r="D628" s="735"/>
      <c r="E628" s="735"/>
      <c r="F628" s="736"/>
      <c r="G628" s="735"/>
      <c r="H628" s="735"/>
      <c r="I628" s="735"/>
      <c r="J628" s="735"/>
      <c r="K628" s="735"/>
      <c r="L628" s="735"/>
      <c r="M628" s="735"/>
      <c r="N628" s="735"/>
      <c r="O628" s="19"/>
      <c r="P628" s="19"/>
      <c r="Q628" s="19"/>
      <c r="R628" s="19"/>
      <c r="S628" s="19"/>
      <c r="T628" s="19"/>
      <c r="U628" s="19"/>
      <c r="V628" s="19"/>
      <c r="W628" s="19"/>
      <c r="X628" s="19"/>
      <c r="Y628" s="19"/>
      <c r="Z628" s="19"/>
      <c r="AA628" s="19"/>
      <c r="AB628" s="19"/>
      <c r="FE628" s="54"/>
    </row>
    <row r="629" spans="1:161" s="18" customFormat="1">
      <c r="A629" s="51"/>
      <c r="B629" s="735"/>
      <c r="C629" s="735"/>
      <c r="D629" s="735"/>
      <c r="E629" s="735"/>
      <c r="F629" s="736"/>
      <c r="G629" s="735"/>
      <c r="H629" s="735"/>
      <c r="I629" s="735"/>
      <c r="J629" s="735"/>
      <c r="K629" s="735"/>
      <c r="L629" s="735"/>
      <c r="M629" s="735"/>
      <c r="N629" s="735"/>
      <c r="O629" s="19"/>
      <c r="P629" s="19"/>
      <c r="Q629" s="19"/>
      <c r="R629" s="19"/>
      <c r="S629" s="19"/>
      <c r="T629" s="19"/>
      <c r="U629" s="19"/>
      <c r="V629" s="19"/>
      <c r="W629" s="19"/>
      <c r="X629" s="19"/>
      <c r="Y629" s="19"/>
      <c r="Z629" s="19"/>
      <c r="AA629" s="19"/>
      <c r="AB629" s="19"/>
      <c r="FE629" s="54"/>
    </row>
    <row r="630" spans="1:161" s="18" customFormat="1">
      <c r="A630" s="51"/>
      <c r="B630" s="735"/>
      <c r="C630" s="735"/>
      <c r="D630" s="735"/>
      <c r="E630" s="735"/>
      <c r="F630" s="736"/>
      <c r="G630" s="735"/>
      <c r="H630" s="735"/>
      <c r="I630" s="735"/>
      <c r="J630" s="735"/>
      <c r="K630" s="735"/>
      <c r="L630" s="735"/>
      <c r="M630" s="735"/>
      <c r="N630" s="735"/>
      <c r="O630" s="19"/>
      <c r="P630" s="19"/>
      <c r="Q630" s="19"/>
      <c r="R630" s="19"/>
      <c r="S630" s="19"/>
      <c r="T630" s="19"/>
      <c r="U630" s="19"/>
      <c r="V630" s="19"/>
      <c r="W630" s="19"/>
      <c r="X630" s="19"/>
      <c r="Y630" s="19"/>
      <c r="Z630" s="19"/>
      <c r="AA630" s="19"/>
      <c r="AB630" s="19"/>
      <c r="FE630" s="54"/>
    </row>
    <row r="631" spans="1:161" s="18" customFormat="1">
      <c r="A631" s="51"/>
      <c r="B631" s="735"/>
      <c r="C631" s="735"/>
      <c r="D631" s="735"/>
      <c r="E631" s="735"/>
      <c r="F631" s="736"/>
      <c r="G631" s="735"/>
      <c r="H631" s="735"/>
      <c r="I631" s="735"/>
      <c r="J631" s="735"/>
      <c r="K631" s="735"/>
      <c r="L631" s="735"/>
      <c r="M631" s="735"/>
      <c r="N631" s="735"/>
      <c r="O631" s="19"/>
      <c r="P631" s="19"/>
      <c r="Q631" s="19"/>
      <c r="R631" s="19"/>
      <c r="S631" s="19"/>
      <c r="T631" s="19"/>
      <c r="U631" s="19"/>
      <c r="V631" s="19"/>
      <c r="W631" s="19"/>
      <c r="X631" s="19"/>
      <c r="Y631" s="19"/>
      <c r="Z631" s="19"/>
      <c r="AA631" s="19"/>
      <c r="AB631" s="19"/>
      <c r="FE631" s="54"/>
    </row>
    <row r="632" spans="1:161" s="18" customFormat="1">
      <c r="A632" s="51"/>
      <c r="B632" s="735"/>
      <c r="C632" s="735"/>
      <c r="D632" s="735"/>
      <c r="E632" s="735"/>
      <c r="F632" s="736"/>
      <c r="G632" s="735"/>
      <c r="H632" s="735"/>
      <c r="I632" s="735"/>
      <c r="J632" s="735"/>
      <c r="K632" s="735"/>
      <c r="L632" s="735"/>
      <c r="M632" s="735"/>
      <c r="N632" s="735"/>
      <c r="O632" s="19"/>
      <c r="P632" s="19"/>
      <c r="Q632" s="19"/>
      <c r="R632" s="19"/>
      <c r="S632" s="19"/>
      <c r="T632" s="19"/>
      <c r="U632" s="19"/>
      <c r="V632" s="19"/>
      <c r="W632" s="19"/>
      <c r="X632" s="19"/>
      <c r="Y632" s="19"/>
      <c r="Z632" s="19"/>
      <c r="AA632" s="19"/>
      <c r="AB632" s="19"/>
      <c r="FE632" s="54"/>
    </row>
    <row r="633" spans="1:161" s="18" customFormat="1">
      <c r="A633" s="51"/>
      <c r="B633" s="735"/>
      <c r="C633" s="735"/>
      <c r="D633" s="735"/>
      <c r="E633" s="735"/>
      <c r="F633" s="736"/>
      <c r="G633" s="735"/>
      <c r="H633" s="735"/>
      <c r="I633" s="735"/>
      <c r="J633" s="735"/>
      <c r="K633" s="735"/>
      <c r="L633" s="735"/>
      <c r="M633" s="735"/>
      <c r="N633" s="735"/>
      <c r="O633" s="19"/>
      <c r="P633" s="19"/>
      <c r="Q633" s="19"/>
      <c r="R633" s="19"/>
      <c r="S633" s="19"/>
      <c r="T633" s="19"/>
      <c r="U633" s="19"/>
      <c r="V633" s="19"/>
      <c r="W633" s="19"/>
      <c r="X633" s="19"/>
      <c r="Y633" s="19"/>
      <c r="Z633" s="19"/>
      <c r="AA633" s="19"/>
      <c r="AB633" s="19"/>
      <c r="FE633" s="54"/>
    </row>
    <row r="634" spans="1:161" s="18" customFormat="1">
      <c r="A634" s="51"/>
      <c r="B634" s="735"/>
      <c r="C634" s="735"/>
      <c r="D634" s="735"/>
      <c r="E634" s="735"/>
      <c r="F634" s="736"/>
      <c r="G634" s="735"/>
      <c r="H634" s="735"/>
      <c r="I634" s="735"/>
      <c r="J634" s="735"/>
      <c r="K634" s="735"/>
      <c r="L634" s="735"/>
      <c r="M634" s="735"/>
      <c r="N634" s="735"/>
      <c r="O634" s="19"/>
      <c r="P634" s="19"/>
      <c r="Q634" s="19"/>
      <c r="R634" s="19"/>
      <c r="S634" s="19"/>
      <c r="T634" s="19"/>
      <c r="U634" s="19"/>
      <c r="V634" s="19"/>
      <c r="W634" s="19"/>
      <c r="X634" s="19"/>
      <c r="Y634" s="19"/>
      <c r="Z634" s="19"/>
      <c r="AA634" s="19"/>
      <c r="AB634" s="19"/>
      <c r="FE634" s="54"/>
    </row>
    <row r="635" spans="1:161" s="18" customFormat="1">
      <c r="A635" s="51"/>
      <c r="B635" s="735"/>
      <c r="C635" s="735"/>
      <c r="D635" s="735"/>
      <c r="E635" s="735"/>
      <c r="F635" s="736"/>
      <c r="G635" s="735"/>
      <c r="H635" s="735"/>
      <c r="I635" s="735"/>
      <c r="J635" s="735"/>
      <c r="K635" s="735"/>
      <c r="L635" s="735"/>
      <c r="M635" s="735"/>
      <c r="N635" s="735"/>
      <c r="O635" s="19"/>
      <c r="P635" s="19"/>
      <c r="Q635" s="19"/>
      <c r="R635" s="19"/>
      <c r="S635" s="19"/>
      <c r="T635" s="19"/>
      <c r="U635" s="19"/>
      <c r="V635" s="19"/>
      <c r="W635" s="19"/>
      <c r="X635" s="19"/>
      <c r="Y635" s="19"/>
      <c r="Z635" s="19"/>
      <c r="AA635" s="19"/>
      <c r="AB635" s="19"/>
      <c r="FE635" s="54"/>
    </row>
    <row r="636" spans="1:161" s="18" customFormat="1">
      <c r="A636" s="51"/>
      <c r="B636" s="735"/>
      <c r="C636" s="735"/>
      <c r="D636" s="735"/>
      <c r="E636" s="735"/>
      <c r="F636" s="736"/>
      <c r="G636" s="735"/>
      <c r="H636" s="735"/>
      <c r="I636" s="735"/>
      <c r="J636" s="735"/>
      <c r="K636" s="735"/>
      <c r="L636" s="735"/>
      <c r="M636" s="735"/>
      <c r="N636" s="735"/>
      <c r="O636" s="19"/>
      <c r="P636" s="19"/>
      <c r="Q636" s="19"/>
      <c r="R636" s="19"/>
      <c r="S636" s="19"/>
      <c r="T636" s="19"/>
      <c r="U636" s="19"/>
      <c r="V636" s="19"/>
      <c r="W636" s="19"/>
      <c r="X636" s="19"/>
      <c r="Y636" s="19"/>
      <c r="Z636" s="19"/>
      <c r="AA636" s="19"/>
      <c r="AB636" s="19"/>
      <c r="FE636" s="54"/>
    </row>
    <row r="637" spans="1:161" s="18" customFormat="1">
      <c r="A637" s="51"/>
      <c r="B637" s="735"/>
      <c r="C637" s="735"/>
      <c r="D637" s="735"/>
      <c r="E637" s="735"/>
      <c r="F637" s="736"/>
      <c r="G637" s="735"/>
      <c r="H637" s="735"/>
      <c r="I637" s="735"/>
      <c r="J637" s="735"/>
      <c r="K637" s="735"/>
      <c r="L637" s="735"/>
      <c r="M637" s="735"/>
      <c r="N637" s="735"/>
      <c r="O637" s="19"/>
      <c r="P637" s="19"/>
      <c r="Q637" s="19"/>
      <c r="R637" s="19"/>
      <c r="S637" s="19"/>
      <c r="T637" s="19"/>
      <c r="U637" s="19"/>
      <c r="V637" s="19"/>
      <c r="W637" s="19"/>
      <c r="X637" s="19"/>
      <c r="Y637" s="19"/>
      <c r="Z637" s="19"/>
      <c r="AA637" s="19"/>
      <c r="AB637" s="19"/>
      <c r="FE637" s="54"/>
    </row>
    <row r="638" spans="1:161" s="18" customFormat="1">
      <c r="A638" s="51"/>
      <c r="B638" s="735"/>
      <c r="C638" s="735"/>
      <c r="D638" s="735"/>
      <c r="E638" s="735"/>
      <c r="F638" s="736"/>
      <c r="G638" s="735"/>
      <c r="H638" s="735"/>
      <c r="I638" s="735"/>
      <c r="J638" s="735"/>
      <c r="K638" s="735"/>
      <c r="L638" s="735"/>
      <c r="M638" s="735"/>
      <c r="N638" s="735"/>
      <c r="O638" s="19"/>
      <c r="P638" s="19"/>
      <c r="Q638" s="19"/>
      <c r="R638" s="19"/>
      <c r="S638" s="19"/>
      <c r="T638" s="19"/>
      <c r="U638" s="19"/>
      <c r="V638" s="19"/>
      <c r="W638" s="19"/>
      <c r="X638" s="19"/>
      <c r="Y638" s="19"/>
      <c r="Z638" s="19"/>
      <c r="AA638" s="19"/>
      <c r="AB638" s="19"/>
      <c r="FE638" s="54"/>
    </row>
    <row r="639" spans="1:161" s="18" customFormat="1">
      <c r="A639" s="51"/>
      <c r="B639" s="735"/>
      <c r="C639" s="735"/>
      <c r="D639" s="735"/>
      <c r="E639" s="735"/>
      <c r="F639" s="736"/>
      <c r="G639" s="735"/>
      <c r="H639" s="735"/>
      <c r="I639" s="735"/>
      <c r="J639" s="735"/>
      <c r="K639" s="735"/>
      <c r="L639" s="735"/>
      <c r="M639" s="735"/>
      <c r="N639" s="735"/>
      <c r="O639" s="19"/>
      <c r="P639" s="19"/>
      <c r="Q639" s="19"/>
      <c r="R639" s="19"/>
      <c r="S639" s="19"/>
      <c r="T639" s="19"/>
      <c r="U639" s="19"/>
      <c r="V639" s="19"/>
      <c r="W639" s="19"/>
      <c r="X639" s="19"/>
      <c r="Y639" s="19"/>
      <c r="Z639" s="19"/>
      <c r="AA639" s="19"/>
      <c r="AB639" s="19"/>
      <c r="FE639" s="54"/>
    </row>
    <row r="640" spans="1:161" s="18" customFormat="1">
      <c r="A640" s="51"/>
      <c r="B640" s="735"/>
      <c r="C640" s="735"/>
      <c r="D640" s="735"/>
      <c r="E640" s="735"/>
      <c r="F640" s="736"/>
      <c r="G640" s="735"/>
      <c r="H640" s="735"/>
      <c r="I640" s="735"/>
      <c r="J640" s="735"/>
      <c r="K640" s="735"/>
      <c r="L640" s="735"/>
      <c r="M640" s="735"/>
      <c r="N640" s="735"/>
      <c r="O640" s="19"/>
      <c r="P640" s="19"/>
      <c r="Q640" s="19"/>
      <c r="R640" s="19"/>
      <c r="S640" s="19"/>
      <c r="T640" s="19"/>
      <c r="U640" s="19"/>
      <c r="V640" s="19"/>
      <c r="W640" s="19"/>
      <c r="X640" s="19"/>
      <c r="Y640" s="19"/>
      <c r="Z640" s="19"/>
      <c r="AA640" s="19"/>
      <c r="AB640" s="19"/>
      <c r="FE640" s="54"/>
    </row>
    <row r="641" spans="1:161" s="18" customFormat="1">
      <c r="A641" s="51"/>
      <c r="B641" s="735"/>
      <c r="C641" s="735"/>
      <c r="D641" s="735"/>
      <c r="E641" s="735"/>
      <c r="F641" s="736"/>
      <c r="G641" s="735"/>
      <c r="H641" s="735"/>
      <c r="I641" s="735"/>
      <c r="J641" s="735"/>
      <c r="K641" s="735"/>
      <c r="L641" s="735"/>
      <c r="M641" s="735"/>
      <c r="N641" s="735"/>
      <c r="O641" s="19"/>
      <c r="P641" s="19"/>
      <c r="Q641" s="19"/>
      <c r="R641" s="19"/>
      <c r="S641" s="19"/>
      <c r="T641" s="19"/>
      <c r="U641" s="19"/>
      <c r="V641" s="19"/>
      <c r="W641" s="19"/>
      <c r="X641" s="19"/>
      <c r="Y641" s="19"/>
      <c r="Z641" s="19"/>
      <c r="AA641" s="19"/>
      <c r="AB641" s="19"/>
      <c r="FE641" s="54"/>
    </row>
    <row r="642" spans="1:161" s="18" customFormat="1">
      <c r="A642" s="51"/>
      <c r="B642" s="735"/>
      <c r="C642" s="735"/>
      <c r="D642" s="735"/>
      <c r="E642" s="735"/>
      <c r="F642" s="736"/>
      <c r="G642" s="735"/>
      <c r="H642" s="735"/>
      <c r="I642" s="735"/>
      <c r="J642" s="735"/>
      <c r="K642" s="735"/>
      <c r="L642" s="735"/>
      <c r="M642" s="735"/>
      <c r="N642" s="735"/>
      <c r="O642" s="19"/>
      <c r="P642" s="19"/>
      <c r="Q642" s="19"/>
      <c r="R642" s="19"/>
      <c r="S642" s="19"/>
      <c r="T642" s="19"/>
      <c r="U642" s="19"/>
      <c r="V642" s="19"/>
      <c r="W642" s="19"/>
      <c r="X642" s="19"/>
      <c r="Y642" s="19"/>
      <c r="Z642" s="19"/>
      <c r="AA642" s="19"/>
      <c r="AB642" s="19"/>
      <c r="FE642" s="54"/>
    </row>
    <row r="643" spans="1:161" s="18" customFormat="1">
      <c r="A643" s="51"/>
      <c r="B643" s="735"/>
      <c r="C643" s="735"/>
      <c r="D643" s="735"/>
      <c r="E643" s="735"/>
      <c r="F643" s="736"/>
      <c r="G643" s="735"/>
      <c r="H643" s="735"/>
      <c r="I643" s="735"/>
      <c r="J643" s="735"/>
      <c r="K643" s="735"/>
      <c r="L643" s="735"/>
      <c r="M643" s="735"/>
      <c r="N643" s="735"/>
      <c r="O643" s="19"/>
      <c r="P643" s="19"/>
      <c r="Q643" s="19"/>
      <c r="R643" s="19"/>
      <c r="S643" s="19"/>
      <c r="T643" s="19"/>
      <c r="U643" s="19"/>
      <c r="V643" s="19"/>
      <c r="W643" s="19"/>
      <c r="X643" s="19"/>
      <c r="Y643" s="19"/>
      <c r="Z643" s="19"/>
      <c r="AA643" s="19"/>
      <c r="AB643" s="19"/>
      <c r="FE643" s="54"/>
    </row>
    <row r="644" spans="1:161" s="18" customFormat="1">
      <c r="A644" s="51"/>
      <c r="B644" s="735"/>
      <c r="C644" s="735"/>
      <c r="D644" s="735"/>
      <c r="E644" s="735"/>
      <c r="F644" s="736"/>
      <c r="G644" s="735"/>
      <c r="H644" s="735"/>
      <c r="I644" s="735"/>
      <c r="J644" s="735"/>
      <c r="K644" s="735"/>
      <c r="L644" s="735"/>
      <c r="M644" s="735"/>
      <c r="N644" s="735"/>
      <c r="O644" s="19"/>
      <c r="P644" s="19"/>
      <c r="Q644" s="19"/>
      <c r="R644" s="19"/>
      <c r="S644" s="19"/>
      <c r="T644" s="19"/>
      <c r="U644" s="19"/>
      <c r="V644" s="19"/>
      <c r="W644" s="19"/>
      <c r="X644" s="19"/>
      <c r="Y644" s="19"/>
      <c r="Z644" s="19"/>
      <c r="AA644" s="19"/>
      <c r="AB644" s="19"/>
      <c r="FE644" s="54"/>
    </row>
    <row r="645" spans="1:161" s="18" customFormat="1">
      <c r="A645" s="51"/>
      <c r="B645" s="735"/>
      <c r="C645" s="735"/>
      <c r="D645" s="735"/>
      <c r="E645" s="735"/>
      <c r="F645" s="736"/>
      <c r="G645" s="735"/>
      <c r="H645" s="735"/>
      <c r="I645" s="735"/>
      <c r="J645" s="735"/>
      <c r="K645" s="735"/>
      <c r="L645" s="735"/>
      <c r="M645" s="735"/>
      <c r="N645" s="735"/>
      <c r="O645" s="19"/>
      <c r="P645" s="19"/>
      <c r="Q645" s="19"/>
      <c r="R645" s="19"/>
      <c r="S645" s="19"/>
      <c r="T645" s="19"/>
      <c r="U645" s="19"/>
      <c r="V645" s="19"/>
      <c r="W645" s="19"/>
      <c r="X645" s="19"/>
      <c r="Y645" s="19"/>
      <c r="Z645" s="19"/>
      <c r="AA645" s="19"/>
      <c r="AB645" s="19"/>
      <c r="FE645" s="54"/>
    </row>
    <row r="646" spans="1:161" s="18" customFormat="1">
      <c r="A646" s="51"/>
      <c r="B646" s="735"/>
      <c r="C646" s="735"/>
      <c r="D646" s="735"/>
      <c r="E646" s="735"/>
      <c r="F646" s="736"/>
      <c r="G646" s="735"/>
      <c r="H646" s="735"/>
      <c r="I646" s="735"/>
      <c r="J646" s="735"/>
      <c r="K646" s="735"/>
      <c r="L646" s="735"/>
      <c r="M646" s="735"/>
      <c r="N646" s="735"/>
      <c r="O646" s="19"/>
      <c r="P646" s="19"/>
      <c r="Q646" s="19"/>
      <c r="R646" s="19"/>
      <c r="S646" s="19"/>
      <c r="T646" s="19"/>
      <c r="U646" s="19"/>
      <c r="V646" s="19"/>
      <c r="W646" s="19"/>
      <c r="X646" s="19"/>
      <c r="Y646" s="19"/>
      <c r="Z646" s="19"/>
      <c r="AA646" s="19"/>
      <c r="AB646" s="19"/>
      <c r="FE646" s="54"/>
    </row>
    <row r="647" spans="1:161" s="18" customFormat="1">
      <c r="A647" s="51"/>
      <c r="B647" s="735"/>
      <c r="C647" s="735"/>
      <c r="D647" s="735"/>
      <c r="E647" s="735"/>
      <c r="F647" s="736"/>
      <c r="G647" s="735"/>
      <c r="H647" s="735"/>
      <c r="I647" s="735"/>
      <c r="J647" s="735"/>
      <c r="K647" s="735"/>
      <c r="L647" s="735"/>
      <c r="M647" s="735"/>
      <c r="N647" s="735"/>
      <c r="O647" s="19"/>
      <c r="P647" s="19"/>
      <c r="Q647" s="19"/>
      <c r="R647" s="19"/>
      <c r="S647" s="19"/>
      <c r="T647" s="19"/>
      <c r="U647" s="19"/>
      <c r="V647" s="19"/>
      <c r="W647" s="19"/>
      <c r="X647" s="19"/>
      <c r="Y647" s="19"/>
      <c r="Z647" s="19"/>
      <c r="AA647" s="19"/>
      <c r="AB647" s="19"/>
      <c r="FE647" s="54"/>
    </row>
    <row r="648" spans="1:161" s="18" customFormat="1">
      <c r="A648" s="51"/>
      <c r="B648" s="735"/>
      <c r="C648" s="735"/>
      <c r="D648" s="735"/>
      <c r="E648" s="735"/>
      <c r="F648" s="736"/>
      <c r="G648" s="735"/>
      <c r="H648" s="735"/>
      <c r="I648" s="735"/>
      <c r="J648" s="735"/>
      <c r="K648" s="735"/>
      <c r="L648" s="735"/>
      <c r="M648" s="735"/>
      <c r="N648" s="735"/>
      <c r="O648" s="19"/>
      <c r="P648" s="19"/>
      <c r="Q648" s="19"/>
      <c r="R648" s="19"/>
      <c r="S648" s="19"/>
      <c r="T648" s="19"/>
      <c r="U648" s="19"/>
      <c r="V648" s="19"/>
      <c r="W648" s="19"/>
      <c r="X648" s="19"/>
      <c r="Y648" s="19"/>
      <c r="Z648" s="19"/>
      <c r="AA648" s="19"/>
      <c r="AB648" s="19"/>
      <c r="FE648" s="54"/>
    </row>
    <row r="649" spans="1:161" s="18" customFormat="1">
      <c r="A649" s="51"/>
      <c r="B649" s="735"/>
      <c r="C649" s="735"/>
      <c r="D649" s="735"/>
      <c r="E649" s="735"/>
      <c r="F649" s="736"/>
      <c r="G649" s="735"/>
      <c r="H649" s="735"/>
      <c r="I649" s="735"/>
      <c r="J649" s="735"/>
      <c r="K649" s="735"/>
      <c r="L649" s="735"/>
      <c r="M649" s="735"/>
      <c r="N649" s="735"/>
      <c r="O649" s="19"/>
      <c r="P649" s="19"/>
      <c r="Q649" s="19"/>
      <c r="R649" s="19"/>
      <c r="S649" s="19"/>
      <c r="T649" s="19"/>
      <c r="U649" s="19"/>
      <c r="V649" s="19"/>
      <c r="W649" s="19"/>
      <c r="X649" s="19"/>
      <c r="Y649" s="19"/>
      <c r="Z649" s="19"/>
      <c r="AA649" s="19"/>
      <c r="AB649" s="19"/>
      <c r="FE649" s="54"/>
    </row>
    <row r="650" spans="1:161" s="18" customFormat="1">
      <c r="A650" s="51"/>
      <c r="B650" s="735"/>
      <c r="C650" s="735"/>
      <c r="D650" s="735"/>
      <c r="E650" s="735"/>
      <c r="F650" s="736"/>
      <c r="G650" s="735"/>
      <c r="H650" s="735"/>
      <c r="I650" s="735"/>
      <c r="J650" s="735"/>
      <c r="K650" s="735"/>
      <c r="L650" s="735"/>
      <c r="M650" s="735"/>
      <c r="N650" s="735"/>
      <c r="O650" s="19"/>
      <c r="P650" s="19"/>
      <c r="Q650" s="19"/>
      <c r="R650" s="19"/>
      <c r="S650" s="19"/>
      <c r="T650" s="19"/>
      <c r="U650" s="19"/>
      <c r="V650" s="19"/>
      <c r="W650" s="19"/>
      <c r="X650" s="19"/>
      <c r="Y650" s="19"/>
      <c r="Z650" s="19"/>
      <c r="AA650" s="19"/>
      <c r="AB650" s="19"/>
      <c r="FE650" s="54"/>
    </row>
    <row r="651" spans="1:161" s="18" customFormat="1">
      <c r="A651" s="51"/>
      <c r="B651" s="735"/>
      <c r="C651" s="735"/>
      <c r="D651" s="735"/>
      <c r="E651" s="735"/>
      <c r="F651" s="736"/>
      <c r="G651" s="735"/>
      <c r="H651" s="735"/>
      <c r="I651" s="735"/>
      <c r="J651" s="735"/>
      <c r="K651" s="735"/>
      <c r="L651" s="735"/>
      <c r="M651" s="735"/>
      <c r="N651" s="735"/>
      <c r="O651" s="19"/>
      <c r="P651" s="19"/>
      <c r="Q651" s="19"/>
      <c r="R651" s="19"/>
      <c r="S651" s="19"/>
      <c r="T651" s="19"/>
      <c r="U651" s="19"/>
      <c r="V651" s="19"/>
      <c r="W651" s="19"/>
      <c r="X651" s="19"/>
      <c r="Y651" s="19"/>
      <c r="Z651" s="19"/>
      <c r="AA651" s="19"/>
      <c r="AB651" s="19"/>
      <c r="FE651" s="54"/>
    </row>
    <row r="652" spans="1:161" s="18" customFormat="1">
      <c r="A652" s="51"/>
      <c r="B652" s="735"/>
      <c r="C652" s="735"/>
      <c r="D652" s="735"/>
      <c r="E652" s="735"/>
      <c r="F652" s="736"/>
      <c r="G652" s="735"/>
      <c r="H652" s="735"/>
      <c r="I652" s="735"/>
      <c r="J652" s="735"/>
      <c r="K652" s="735"/>
      <c r="L652" s="735"/>
      <c r="M652" s="735"/>
      <c r="N652" s="735"/>
      <c r="O652" s="19"/>
      <c r="P652" s="19"/>
      <c r="Q652" s="19"/>
      <c r="R652" s="19"/>
      <c r="S652" s="19"/>
      <c r="T652" s="19"/>
      <c r="U652" s="19"/>
      <c r="V652" s="19"/>
      <c r="W652" s="19"/>
      <c r="X652" s="19"/>
      <c r="Y652" s="19"/>
      <c r="Z652" s="19"/>
      <c r="AA652" s="19"/>
      <c r="AB652" s="19"/>
      <c r="FE652" s="54"/>
    </row>
    <row r="653" spans="1:161" s="18" customFormat="1">
      <c r="A653" s="51"/>
      <c r="B653" s="735"/>
      <c r="C653" s="735"/>
      <c r="D653" s="735"/>
      <c r="E653" s="735"/>
      <c r="F653" s="736"/>
      <c r="G653" s="735"/>
      <c r="H653" s="735"/>
      <c r="I653" s="735"/>
      <c r="J653" s="735"/>
      <c r="K653" s="735"/>
      <c r="L653" s="735"/>
      <c r="M653" s="735"/>
      <c r="N653" s="735"/>
      <c r="O653" s="19"/>
      <c r="P653" s="19"/>
      <c r="Q653" s="19"/>
      <c r="R653" s="19"/>
      <c r="S653" s="19"/>
      <c r="T653" s="19"/>
      <c r="U653" s="19"/>
      <c r="V653" s="19"/>
      <c r="W653" s="19"/>
      <c r="X653" s="19"/>
      <c r="Y653" s="19"/>
      <c r="Z653" s="19"/>
      <c r="AA653" s="19"/>
      <c r="AB653" s="19"/>
      <c r="FE653" s="54"/>
    </row>
    <row r="654" spans="1:161" s="18" customFormat="1">
      <c r="A654" s="51"/>
      <c r="B654" s="735"/>
      <c r="C654" s="735"/>
      <c r="D654" s="735"/>
      <c r="E654" s="735"/>
      <c r="F654" s="736"/>
      <c r="G654" s="735"/>
      <c r="H654" s="735"/>
      <c r="I654" s="735"/>
      <c r="J654" s="735"/>
      <c r="K654" s="735"/>
      <c r="L654" s="735"/>
      <c r="M654" s="735"/>
      <c r="N654" s="735"/>
      <c r="O654" s="19"/>
      <c r="P654" s="19"/>
      <c r="Q654" s="19"/>
      <c r="R654" s="19"/>
      <c r="S654" s="19"/>
      <c r="T654" s="19"/>
      <c r="U654" s="19"/>
      <c r="V654" s="19"/>
      <c r="W654" s="19"/>
      <c r="X654" s="19"/>
      <c r="Y654" s="19"/>
      <c r="Z654" s="19"/>
      <c r="AA654" s="19"/>
      <c r="AB654" s="19"/>
      <c r="FE654" s="54"/>
    </row>
    <row r="655" spans="1:161" s="18" customFormat="1">
      <c r="A655" s="51"/>
      <c r="B655" s="735"/>
      <c r="C655" s="735"/>
      <c r="D655" s="735"/>
      <c r="E655" s="735"/>
      <c r="F655" s="736"/>
      <c r="G655" s="735"/>
      <c r="H655" s="735"/>
      <c r="I655" s="735"/>
      <c r="J655" s="735"/>
      <c r="K655" s="735"/>
      <c r="L655" s="735"/>
      <c r="M655" s="735"/>
      <c r="N655" s="735"/>
      <c r="O655" s="19"/>
      <c r="P655" s="19"/>
      <c r="Q655" s="19"/>
      <c r="R655" s="19"/>
      <c r="S655" s="19"/>
      <c r="T655" s="19"/>
      <c r="U655" s="19"/>
      <c r="V655" s="19"/>
      <c r="W655" s="19"/>
      <c r="X655" s="19"/>
      <c r="Y655" s="19"/>
      <c r="Z655" s="19"/>
      <c r="AA655" s="19"/>
      <c r="AB655" s="19"/>
      <c r="FE655" s="54"/>
    </row>
    <row r="656" spans="1:161" s="18" customFormat="1">
      <c r="A656" s="51"/>
      <c r="B656" s="735"/>
      <c r="C656" s="735"/>
      <c r="D656" s="735"/>
      <c r="E656" s="735"/>
      <c r="F656" s="736"/>
      <c r="G656" s="735"/>
      <c r="H656" s="735"/>
      <c r="I656" s="735"/>
      <c r="J656" s="735"/>
      <c r="K656" s="735"/>
      <c r="L656" s="735"/>
      <c r="M656" s="735"/>
      <c r="N656" s="735"/>
      <c r="O656" s="19"/>
      <c r="P656" s="19"/>
      <c r="Q656" s="19"/>
      <c r="R656" s="19"/>
      <c r="S656" s="19"/>
      <c r="T656" s="19"/>
      <c r="U656" s="19"/>
      <c r="V656" s="19"/>
      <c r="W656" s="19"/>
      <c r="X656" s="19"/>
      <c r="Y656" s="19"/>
      <c r="Z656" s="19"/>
      <c r="AA656" s="19"/>
      <c r="AB656" s="19"/>
      <c r="FE656" s="54"/>
    </row>
    <row r="657" spans="1:161" s="18" customFormat="1">
      <c r="A657" s="51"/>
      <c r="B657" s="735"/>
      <c r="C657" s="735"/>
      <c r="D657" s="735"/>
      <c r="E657" s="735"/>
      <c r="F657" s="736"/>
      <c r="G657" s="735"/>
      <c r="H657" s="735"/>
      <c r="I657" s="735"/>
      <c r="J657" s="735"/>
      <c r="K657" s="735"/>
      <c r="L657" s="735"/>
      <c r="M657" s="735"/>
      <c r="N657" s="735"/>
      <c r="O657" s="19"/>
      <c r="P657" s="19"/>
      <c r="Q657" s="19"/>
      <c r="R657" s="19"/>
      <c r="S657" s="19"/>
      <c r="T657" s="19"/>
      <c r="U657" s="19"/>
      <c r="V657" s="19"/>
      <c r="W657" s="19"/>
      <c r="X657" s="19"/>
      <c r="Y657" s="19"/>
      <c r="Z657" s="19"/>
      <c r="AA657" s="19"/>
      <c r="AB657" s="19"/>
      <c r="FE657" s="54"/>
    </row>
    <row r="658" spans="1:161" s="18" customFormat="1">
      <c r="A658" s="51"/>
      <c r="B658" s="735"/>
      <c r="C658" s="735"/>
      <c r="D658" s="735"/>
      <c r="E658" s="735"/>
      <c r="F658" s="736"/>
      <c r="G658" s="735"/>
      <c r="H658" s="735"/>
      <c r="I658" s="735"/>
      <c r="J658" s="735"/>
      <c r="K658" s="735"/>
      <c r="L658" s="735"/>
      <c r="M658" s="735"/>
      <c r="N658" s="735"/>
      <c r="O658" s="19"/>
      <c r="P658" s="19"/>
      <c r="Q658" s="19"/>
      <c r="R658" s="19"/>
      <c r="S658" s="19"/>
      <c r="T658" s="19"/>
      <c r="U658" s="19"/>
      <c r="V658" s="19"/>
      <c r="W658" s="19"/>
      <c r="X658" s="19"/>
      <c r="Y658" s="19"/>
      <c r="Z658" s="19"/>
      <c r="AA658" s="19"/>
      <c r="AB658" s="19"/>
      <c r="FE658" s="54"/>
    </row>
    <row r="659" spans="1:161" s="18" customFormat="1">
      <c r="A659" s="51"/>
      <c r="B659" s="735"/>
      <c r="C659" s="735"/>
      <c r="D659" s="735"/>
      <c r="E659" s="735"/>
      <c r="F659" s="736"/>
      <c r="G659" s="735"/>
      <c r="H659" s="735"/>
      <c r="I659" s="735"/>
      <c r="J659" s="735"/>
      <c r="K659" s="735"/>
      <c r="L659" s="735"/>
      <c r="M659" s="735"/>
      <c r="N659" s="735"/>
      <c r="O659" s="19"/>
      <c r="P659" s="19"/>
      <c r="Q659" s="19"/>
      <c r="R659" s="19"/>
      <c r="S659" s="19"/>
      <c r="T659" s="19"/>
      <c r="U659" s="19"/>
      <c r="V659" s="19"/>
      <c r="W659" s="19"/>
      <c r="X659" s="19"/>
      <c r="Y659" s="19"/>
      <c r="Z659" s="19"/>
      <c r="AA659" s="19"/>
      <c r="AB659" s="19"/>
      <c r="FE659" s="54"/>
    </row>
    <row r="660" spans="1:161" s="18" customFormat="1">
      <c r="A660" s="51"/>
      <c r="B660" s="735"/>
      <c r="C660" s="735"/>
      <c r="D660" s="735"/>
      <c r="E660" s="735"/>
      <c r="F660" s="736"/>
      <c r="G660" s="735"/>
      <c r="H660" s="735"/>
      <c r="I660" s="735"/>
      <c r="J660" s="735"/>
      <c r="K660" s="735"/>
      <c r="L660" s="735"/>
      <c r="M660" s="735"/>
      <c r="N660" s="735"/>
      <c r="O660" s="19"/>
      <c r="P660" s="19"/>
      <c r="Q660" s="19"/>
      <c r="R660" s="19"/>
      <c r="S660" s="19"/>
      <c r="T660" s="19"/>
      <c r="U660" s="19"/>
      <c r="V660" s="19"/>
      <c r="W660" s="19"/>
      <c r="X660" s="19"/>
      <c r="Y660" s="19"/>
      <c r="Z660" s="19"/>
      <c r="AA660" s="19"/>
      <c r="AB660" s="19"/>
      <c r="FE660" s="54"/>
    </row>
    <row r="661" spans="1:161" s="18" customFormat="1">
      <c r="A661" s="51"/>
      <c r="B661" s="735"/>
      <c r="C661" s="735"/>
      <c r="D661" s="735"/>
      <c r="E661" s="735"/>
      <c r="F661" s="736"/>
      <c r="G661" s="735"/>
      <c r="H661" s="735"/>
      <c r="I661" s="735"/>
      <c r="J661" s="735"/>
      <c r="K661" s="735"/>
      <c r="L661" s="735"/>
      <c r="M661" s="735"/>
      <c r="N661" s="735"/>
      <c r="O661" s="19"/>
      <c r="P661" s="19"/>
      <c r="Q661" s="19"/>
      <c r="R661" s="19"/>
      <c r="S661" s="19"/>
      <c r="T661" s="19"/>
      <c r="U661" s="19"/>
      <c r="V661" s="19"/>
      <c r="W661" s="19"/>
      <c r="X661" s="19"/>
      <c r="Y661" s="19"/>
      <c r="Z661" s="19"/>
      <c r="AA661" s="19"/>
      <c r="AB661" s="19"/>
      <c r="FE661" s="54"/>
    </row>
    <row r="662" spans="1:161" s="18" customFormat="1">
      <c r="A662" s="51"/>
      <c r="B662" s="735"/>
      <c r="C662" s="735"/>
      <c r="D662" s="735"/>
      <c r="E662" s="735"/>
      <c r="F662" s="736"/>
      <c r="G662" s="735"/>
      <c r="H662" s="735"/>
      <c r="I662" s="735"/>
      <c r="J662" s="735"/>
      <c r="K662" s="735"/>
      <c r="L662" s="735"/>
      <c r="M662" s="735"/>
      <c r="N662" s="735"/>
      <c r="O662" s="19"/>
      <c r="P662" s="19"/>
      <c r="Q662" s="19"/>
      <c r="R662" s="19"/>
      <c r="S662" s="19"/>
      <c r="T662" s="19"/>
      <c r="U662" s="19"/>
      <c r="V662" s="19"/>
      <c r="W662" s="19"/>
      <c r="X662" s="19"/>
      <c r="Y662" s="19"/>
      <c r="Z662" s="19"/>
      <c r="AA662" s="19"/>
      <c r="AB662" s="19"/>
      <c r="FE662" s="54"/>
    </row>
    <row r="663" spans="1:161" s="18" customFormat="1">
      <c r="A663" s="51"/>
      <c r="B663" s="735"/>
      <c r="C663" s="735"/>
      <c r="D663" s="735"/>
      <c r="E663" s="735"/>
      <c r="F663" s="736"/>
      <c r="G663" s="735"/>
      <c r="H663" s="735"/>
      <c r="I663" s="735"/>
      <c r="J663" s="735"/>
      <c r="K663" s="735"/>
      <c r="L663" s="735"/>
      <c r="M663" s="735"/>
      <c r="N663" s="735"/>
      <c r="O663" s="19"/>
      <c r="P663" s="19"/>
      <c r="Q663" s="19"/>
      <c r="R663" s="19"/>
      <c r="S663" s="19"/>
      <c r="T663" s="19"/>
      <c r="U663" s="19"/>
      <c r="V663" s="19"/>
      <c r="W663" s="19"/>
      <c r="X663" s="19"/>
      <c r="Y663" s="19"/>
      <c r="Z663" s="19"/>
      <c r="AA663" s="19"/>
      <c r="AB663" s="19"/>
      <c r="FE663" s="54"/>
    </row>
    <row r="664" spans="1:161" s="18" customFormat="1">
      <c r="A664" s="51"/>
      <c r="B664" s="735"/>
      <c r="C664" s="735"/>
      <c r="D664" s="735"/>
      <c r="E664" s="735"/>
      <c r="F664" s="736"/>
      <c r="G664" s="735"/>
      <c r="H664" s="735"/>
      <c r="I664" s="735"/>
      <c r="J664" s="735"/>
      <c r="K664" s="735"/>
      <c r="L664" s="735"/>
      <c r="M664" s="735"/>
      <c r="N664" s="735"/>
      <c r="O664" s="19"/>
      <c r="P664" s="19"/>
      <c r="Q664" s="19"/>
      <c r="R664" s="19"/>
      <c r="S664" s="19"/>
      <c r="T664" s="19"/>
      <c r="U664" s="19"/>
      <c r="V664" s="19"/>
      <c r="W664" s="19"/>
      <c r="X664" s="19"/>
      <c r="Y664" s="19"/>
      <c r="Z664" s="19"/>
      <c r="AA664" s="19"/>
      <c r="AB664" s="19"/>
      <c r="FE664" s="54"/>
    </row>
    <row r="665" spans="1:161" s="18" customFormat="1">
      <c r="A665" s="51"/>
      <c r="B665" s="735"/>
      <c r="C665" s="735"/>
      <c r="D665" s="735"/>
      <c r="E665" s="735"/>
      <c r="F665" s="736"/>
      <c r="G665" s="735"/>
      <c r="H665" s="735"/>
      <c r="I665" s="735"/>
      <c r="J665" s="735"/>
      <c r="K665" s="735"/>
      <c r="L665" s="735"/>
      <c r="M665" s="735"/>
      <c r="N665" s="735"/>
      <c r="O665" s="19"/>
      <c r="P665" s="19"/>
      <c r="Q665" s="19"/>
      <c r="R665" s="19"/>
      <c r="S665" s="19"/>
      <c r="T665" s="19"/>
      <c r="U665" s="19"/>
      <c r="V665" s="19"/>
      <c r="W665" s="19"/>
      <c r="X665" s="19"/>
      <c r="Y665" s="19"/>
      <c r="Z665" s="19"/>
      <c r="AA665" s="19"/>
      <c r="AB665" s="19"/>
      <c r="FE665" s="54"/>
    </row>
    <row r="666" spans="1:161" s="18" customFormat="1">
      <c r="A666" s="51"/>
      <c r="B666" s="735"/>
      <c r="C666" s="735"/>
      <c r="D666" s="735"/>
      <c r="E666" s="735"/>
      <c r="F666" s="736"/>
      <c r="G666" s="735"/>
      <c r="H666" s="735"/>
      <c r="I666" s="735"/>
      <c r="J666" s="735"/>
      <c r="K666" s="735"/>
      <c r="L666" s="735"/>
      <c r="M666" s="735"/>
      <c r="N666" s="735"/>
      <c r="O666" s="19"/>
      <c r="P666" s="19"/>
      <c r="Q666" s="19"/>
      <c r="R666" s="19"/>
      <c r="S666" s="19"/>
      <c r="T666" s="19"/>
      <c r="U666" s="19"/>
      <c r="V666" s="19"/>
      <c r="W666" s="19"/>
      <c r="X666" s="19"/>
      <c r="Y666" s="19"/>
      <c r="Z666" s="19"/>
      <c r="AA666" s="19"/>
      <c r="AB666" s="19"/>
      <c r="FE666" s="54"/>
    </row>
    <row r="667" spans="1:161" s="18" customFormat="1">
      <c r="A667" s="51"/>
      <c r="B667" s="735"/>
      <c r="C667" s="735"/>
      <c r="D667" s="735"/>
      <c r="E667" s="735"/>
      <c r="F667" s="736"/>
      <c r="G667" s="735"/>
      <c r="H667" s="735"/>
      <c r="I667" s="735"/>
      <c r="J667" s="735"/>
      <c r="K667" s="735"/>
      <c r="L667" s="735"/>
      <c r="M667" s="735"/>
      <c r="N667" s="735"/>
      <c r="O667" s="19"/>
      <c r="P667" s="19"/>
      <c r="Q667" s="19"/>
      <c r="R667" s="19"/>
      <c r="S667" s="19"/>
      <c r="T667" s="19"/>
      <c r="U667" s="19"/>
      <c r="V667" s="19"/>
      <c r="W667" s="19"/>
      <c r="X667" s="19"/>
      <c r="Y667" s="19"/>
      <c r="Z667" s="19"/>
      <c r="AA667" s="19"/>
      <c r="AB667" s="19"/>
      <c r="FE667" s="54"/>
    </row>
    <row r="668" spans="1:161" s="18" customFormat="1">
      <c r="A668" s="51"/>
      <c r="B668" s="735"/>
      <c r="C668" s="735"/>
      <c r="D668" s="735"/>
      <c r="E668" s="735"/>
      <c r="F668" s="736"/>
      <c r="G668" s="735"/>
      <c r="H668" s="735"/>
      <c r="I668" s="735"/>
      <c r="J668" s="735"/>
      <c r="K668" s="735"/>
      <c r="L668" s="735"/>
      <c r="M668" s="735"/>
      <c r="N668" s="735"/>
      <c r="O668" s="19"/>
      <c r="P668" s="19"/>
      <c r="Q668" s="19"/>
      <c r="R668" s="19"/>
      <c r="S668" s="19"/>
      <c r="T668" s="19"/>
      <c r="U668" s="19"/>
      <c r="V668" s="19"/>
      <c r="W668" s="19"/>
      <c r="X668" s="19"/>
      <c r="Y668" s="19"/>
      <c r="Z668" s="19"/>
      <c r="AA668" s="19"/>
      <c r="AB668" s="19"/>
      <c r="FE668" s="54"/>
    </row>
    <row r="669" spans="1:161" s="18" customFormat="1">
      <c r="A669" s="51"/>
      <c r="B669" s="735"/>
      <c r="C669" s="735"/>
      <c r="D669" s="735"/>
      <c r="E669" s="735"/>
      <c r="F669" s="736"/>
      <c r="G669" s="735"/>
      <c r="H669" s="735"/>
      <c r="I669" s="735"/>
      <c r="J669" s="735"/>
      <c r="K669" s="735"/>
      <c r="L669" s="735"/>
      <c r="M669" s="735"/>
      <c r="N669" s="735"/>
      <c r="O669" s="19"/>
      <c r="P669" s="19"/>
      <c r="Q669" s="19"/>
      <c r="R669" s="19"/>
      <c r="S669" s="19"/>
      <c r="T669" s="19"/>
      <c r="U669" s="19"/>
      <c r="V669" s="19"/>
      <c r="W669" s="19"/>
      <c r="X669" s="19"/>
      <c r="Y669" s="19"/>
      <c r="Z669" s="19"/>
      <c r="AA669" s="19"/>
      <c r="AB669" s="19"/>
      <c r="FE669" s="54"/>
    </row>
    <row r="670" spans="1:161" s="18" customFormat="1">
      <c r="A670" s="51"/>
      <c r="B670" s="735"/>
      <c r="C670" s="735"/>
      <c r="D670" s="735"/>
      <c r="E670" s="735"/>
      <c r="F670" s="736"/>
      <c r="G670" s="735"/>
      <c r="H670" s="735"/>
      <c r="I670" s="735"/>
      <c r="J670" s="735"/>
      <c r="K670" s="735"/>
      <c r="L670" s="735"/>
      <c r="M670" s="735"/>
      <c r="N670" s="735"/>
      <c r="O670" s="19"/>
      <c r="P670" s="19"/>
      <c r="Q670" s="19"/>
      <c r="R670" s="19"/>
      <c r="S670" s="19"/>
      <c r="T670" s="19"/>
      <c r="U670" s="19"/>
      <c r="V670" s="19"/>
      <c r="W670" s="19"/>
      <c r="X670" s="19"/>
      <c r="Y670" s="19"/>
      <c r="Z670" s="19"/>
      <c r="AA670" s="19"/>
      <c r="AB670" s="19"/>
      <c r="FE670" s="54"/>
    </row>
    <row r="671" spans="1:161" s="18" customFormat="1">
      <c r="A671" s="51"/>
      <c r="B671" s="735"/>
      <c r="C671" s="735"/>
      <c r="D671" s="735"/>
      <c r="E671" s="735"/>
      <c r="F671" s="736"/>
      <c r="G671" s="735"/>
      <c r="H671" s="735"/>
      <c r="I671" s="735"/>
      <c r="J671" s="735"/>
      <c r="K671" s="735"/>
      <c r="L671" s="735"/>
      <c r="M671" s="735"/>
      <c r="N671" s="735"/>
      <c r="O671" s="19"/>
      <c r="P671" s="19"/>
      <c r="Q671" s="19"/>
      <c r="R671" s="19"/>
      <c r="S671" s="19"/>
      <c r="T671" s="19"/>
      <c r="U671" s="19"/>
      <c r="V671" s="19"/>
      <c r="W671" s="19"/>
      <c r="X671" s="19"/>
      <c r="Y671" s="19"/>
      <c r="Z671" s="19"/>
      <c r="AA671" s="19"/>
      <c r="AB671" s="19"/>
      <c r="FE671" s="54"/>
    </row>
    <row r="672" spans="1:161" s="18" customFormat="1">
      <c r="A672" s="51"/>
      <c r="B672" s="735"/>
      <c r="C672" s="735"/>
      <c r="D672" s="735"/>
      <c r="E672" s="735"/>
      <c r="F672" s="736"/>
      <c r="G672" s="735"/>
      <c r="H672" s="735"/>
      <c r="I672" s="735"/>
      <c r="J672" s="735"/>
      <c r="K672" s="735"/>
      <c r="L672" s="735"/>
      <c r="M672" s="735"/>
      <c r="N672" s="735"/>
      <c r="O672" s="19"/>
      <c r="P672" s="19"/>
      <c r="Q672" s="19"/>
      <c r="R672" s="19"/>
      <c r="S672" s="19"/>
      <c r="T672" s="19"/>
      <c r="U672" s="19"/>
      <c r="V672" s="19"/>
      <c r="W672" s="19"/>
      <c r="X672" s="19"/>
      <c r="Y672" s="19"/>
      <c r="Z672" s="19"/>
      <c r="AA672" s="19"/>
      <c r="AB672" s="19"/>
      <c r="FE672" s="54"/>
    </row>
    <row r="673" spans="1:161" s="18" customFormat="1">
      <c r="A673" s="51"/>
      <c r="B673" s="735"/>
      <c r="C673" s="735"/>
      <c r="D673" s="735"/>
      <c r="E673" s="735"/>
      <c r="F673" s="736"/>
      <c r="G673" s="735"/>
      <c r="H673" s="735"/>
      <c r="I673" s="735"/>
      <c r="J673" s="735"/>
      <c r="K673" s="735"/>
      <c r="L673" s="735"/>
      <c r="M673" s="735"/>
      <c r="N673" s="735"/>
      <c r="O673" s="19"/>
      <c r="P673" s="19"/>
      <c r="Q673" s="19"/>
      <c r="R673" s="19"/>
      <c r="S673" s="19"/>
      <c r="T673" s="19"/>
      <c r="U673" s="19"/>
      <c r="V673" s="19"/>
      <c r="W673" s="19"/>
      <c r="X673" s="19"/>
      <c r="Y673" s="19"/>
      <c r="Z673" s="19"/>
      <c r="AA673" s="19"/>
      <c r="AB673" s="19"/>
      <c r="FE673" s="54"/>
    </row>
    <row r="674" spans="1:161" s="18" customFormat="1">
      <c r="A674" s="51"/>
      <c r="B674" s="735"/>
      <c r="C674" s="735"/>
      <c r="D674" s="735"/>
      <c r="E674" s="735"/>
      <c r="F674" s="736"/>
      <c r="G674" s="735"/>
      <c r="H674" s="735"/>
      <c r="I674" s="735"/>
      <c r="J674" s="735"/>
      <c r="K674" s="735"/>
      <c r="L674" s="735"/>
      <c r="M674" s="735"/>
      <c r="N674" s="735"/>
      <c r="O674" s="19"/>
      <c r="P674" s="19"/>
      <c r="Q674" s="19"/>
      <c r="R674" s="19"/>
      <c r="S674" s="19"/>
      <c r="T674" s="19"/>
      <c r="U674" s="19"/>
      <c r="V674" s="19"/>
      <c r="W674" s="19"/>
      <c r="X674" s="19"/>
      <c r="Y674" s="19"/>
      <c r="Z674" s="19"/>
      <c r="AA674" s="19"/>
      <c r="AB674" s="19"/>
      <c r="FE674" s="54"/>
    </row>
    <row r="675" spans="1:161" s="18" customFormat="1">
      <c r="A675" s="51"/>
      <c r="B675" s="735"/>
      <c r="C675" s="735"/>
      <c r="D675" s="735"/>
      <c r="E675" s="735"/>
      <c r="F675" s="736"/>
      <c r="G675" s="735"/>
      <c r="H675" s="735"/>
      <c r="I675" s="735"/>
      <c r="J675" s="735"/>
      <c r="K675" s="735"/>
      <c r="L675" s="735"/>
      <c r="M675" s="735"/>
      <c r="N675" s="735"/>
      <c r="O675" s="19"/>
      <c r="P675" s="19"/>
      <c r="Q675" s="19"/>
      <c r="R675" s="19"/>
      <c r="S675" s="19"/>
      <c r="T675" s="19"/>
      <c r="U675" s="19"/>
      <c r="V675" s="19"/>
      <c r="W675" s="19"/>
      <c r="X675" s="19"/>
      <c r="Y675" s="19"/>
      <c r="Z675" s="19"/>
      <c r="AA675" s="19"/>
      <c r="AB675" s="19"/>
      <c r="FE675" s="54"/>
    </row>
    <row r="676" spans="1:161" s="18" customFormat="1">
      <c r="A676" s="51"/>
      <c r="B676" s="735"/>
      <c r="C676" s="735"/>
      <c r="D676" s="735"/>
      <c r="E676" s="735"/>
      <c r="F676" s="736"/>
      <c r="G676" s="735"/>
      <c r="H676" s="735"/>
      <c r="I676" s="735"/>
      <c r="J676" s="735"/>
      <c r="K676" s="735"/>
      <c r="L676" s="735"/>
      <c r="M676" s="735"/>
      <c r="N676" s="735"/>
      <c r="O676" s="19"/>
      <c r="P676" s="19"/>
      <c r="Q676" s="19"/>
      <c r="R676" s="19"/>
      <c r="S676" s="19"/>
      <c r="T676" s="19"/>
      <c r="U676" s="19"/>
      <c r="V676" s="19"/>
      <c r="W676" s="19"/>
      <c r="X676" s="19"/>
      <c r="Y676" s="19"/>
      <c r="Z676" s="19"/>
      <c r="AA676" s="19"/>
      <c r="AB676" s="19"/>
      <c r="FE676" s="54"/>
    </row>
    <row r="677" spans="1:161" s="18" customFormat="1">
      <c r="A677" s="51"/>
      <c r="B677" s="735"/>
      <c r="C677" s="735"/>
      <c r="D677" s="735"/>
      <c r="E677" s="735"/>
      <c r="F677" s="736"/>
      <c r="G677" s="735"/>
      <c r="H677" s="735"/>
      <c r="I677" s="735"/>
      <c r="J677" s="735"/>
      <c r="K677" s="735"/>
      <c r="L677" s="735"/>
      <c r="M677" s="735"/>
      <c r="N677" s="735"/>
      <c r="O677" s="19"/>
      <c r="P677" s="19"/>
      <c r="Q677" s="19"/>
      <c r="R677" s="19"/>
      <c r="S677" s="19"/>
      <c r="T677" s="19"/>
      <c r="U677" s="19"/>
      <c r="V677" s="19"/>
      <c r="W677" s="19"/>
      <c r="X677" s="19"/>
      <c r="Y677" s="19"/>
      <c r="Z677" s="19"/>
      <c r="AA677" s="19"/>
      <c r="AB677" s="19"/>
      <c r="FE677" s="54"/>
    </row>
    <row r="678" spans="1:161" s="18" customFormat="1">
      <c r="A678" s="51"/>
      <c r="B678" s="735"/>
      <c r="C678" s="735"/>
      <c r="D678" s="735"/>
      <c r="E678" s="735"/>
      <c r="F678" s="736"/>
      <c r="G678" s="735"/>
      <c r="H678" s="735"/>
      <c r="I678" s="735"/>
      <c r="J678" s="735"/>
      <c r="K678" s="735"/>
      <c r="L678" s="735"/>
      <c r="M678" s="735"/>
      <c r="N678" s="735"/>
      <c r="O678" s="19"/>
      <c r="P678" s="19"/>
      <c r="Q678" s="19"/>
      <c r="R678" s="19"/>
      <c r="S678" s="19"/>
      <c r="T678" s="19"/>
      <c r="U678" s="19"/>
      <c r="V678" s="19"/>
      <c r="W678" s="19"/>
      <c r="X678" s="19"/>
      <c r="Y678" s="19"/>
      <c r="Z678" s="19"/>
      <c r="AA678" s="19"/>
      <c r="AB678" s="19"/>
      <c r="FE678" s="54"/>
    </row>
    <row r="679" spans="1:161" s="18" customFormat="1">
      <c r="A679" s="51"/>
      <c r="B679" s="735"/>
      <c r="C679" s="735"/>
      <c r="D679" s="735"/>
      <c r="E679" s="735"/>
      <c r="F679" s="736"/>
      <c r="G679" s="735"/>
      <c r="H679" s="735"/>
      <c r="I679" s="735"/>
      <c r="J679" s="735"/>
      <c r="K679" s="735"/>
      <c r="L679" s="735"/>
      <c r="M679" s="735"/>
      <c r="N679" s="735"/>
      <c r="O679" s="19"/>
      <c r="P679" s="19"/>
      <c r="Q679" s="19"/>
      <c r="R679" s="19"/>
      <c r="S679" s="19"/>
      <c r="T679" s="19"/>
      <c r="U679" s="19"/>
      <c r="V679" s="19"/>
      <c r="W679" s="19"/>
      <c r="X679" s="19"/>
      <c r="Y679" s="19"/>
      <c r="Z679" s="19"/>
      <c r="AA679" s="19"/>
      <c r="AB679" s="19"/>
      <c r="FE679" s="54"/>
    </row>
    <row r="680" spans="1:161" s="18" customFormat="1">
      <c r="A680" s="51"/>
      <c r="B680" s="735"/>
      <c r="C680" s="735"/>
      <c r="D680" s="735"/>
      <c r="E680" s="735"/>
      <c r="F680" s="736"/>
      <c r="G680" s="735"/>
      <c r="H680" s="735"/>
      <c r="I680" s="735"/>
      <c r="J680" s="735"/>
      <c r="K680" s="735"/>
      <c r="L680" s="735"/>
      <c r="M680" s="735"/>
      <c r="N680" s="735"/>
      <c r="O680" s="19"/>
      <c r="P680" s="19"/>
      <c r="Q680" s="19"/>
      <c r="R680" s="19"/>
      <c r="S680" s="19"/>
      <c r="T680" s="19"/>
      <c r="U680" s="19"/>
      <c r="V680" s="19"/>
      <c r="W680" s="19"/>
      <c r="X680" s="19"/>
      <c r="Y680" s="19"/>
      <c r="Z680" s="19"/>
      <c r="AA680" s="19"/>
      <c r="AB680" s="19"/>
      <c r="FE680" s="54"/>
    </row>
    <row r="681" spans="1:161" s="18" customFormat="1">
      <c r="A681" s="51"/>
      <c r="B681" s="735"/>
      <c r="C681" s="735"/>
      <c r="D681" s="735"/>
      <c r="E681" s="735"/>
      <c r="F681" s="736"/>
      <c r="G681" s="735"/>
      <c r="H681" s="735"/>
      <c r="I681" s="735"/>
      <c r="J681" s="735"/>
      <c r="K681" s="735"/>
      <c r="L681" s="735"/>
      <c r="M681" s="735"/>
      <c r="N681" s="735"/>
      <c r="O681" s="19"/>
      <c r="P681" s="19"/>
      <c r="Q681" s="19"/>
      <c r="R681" s="19"/>
      <c r="S681" s="19"/>
      <c r="T681" s="19"/>
      <c r="U681" s="19"/>
      <c r="V681" s="19"/>
      <c r="W681" s="19"/>
      <c r="X681" s="19"/>
      <c r="Y681" s="19"/>
      <c r="Z681" s="19"/>
      <c r="AA681" s="19"/>
      <c r="AB681" s="19"/>
      <c r="FE681" s="54"/>
    </row>
    <row r="682" spans="1:161" s="18" customFormat="1">
      <c r="A682" s="51"/>
      <c r="B682" s="735"/>
      <c r="C682" s="735"/>
      <c r="D682" s="735"/>
      <c r="E682" s="735"/>
      <c r="F682" s="736"/>
      <c r="G682" s="735"/>
      <c r="H682" s="735"/>
      <c r="I682" s="735"/>
      <c r="J682" s="735"/>
      <c r="K682" s="735"/>
      <c r="L682" s="735"/>
      <c r="M682" s="735"/>
      <c r="N682" s="735"/>
      <c r="O682" s="19"/>
      <c r="P682" s="19"/>
      <c r="Q682" s="19"/>
      <c r="R682" s="19"/>
      <c r="S682" s="19"/>
      <c r="T682" s="19"/>
      <c r="U682" s="19"/>
      <c r="V682" s="19"/>
      <c r="W682" s="19"/>
      <c r="X682" s="19"/>
      <c r="Y682" s="19"/>
      <c r="Z682" s="19"/>
      <c r="AA682" s="19"/>
      <c r="AB682" s="19"/>
      <c r="FE682" s="54"/>
    </row>
    <row r="683" spans="1:161" s="18" customFormat="1">
      <c r="A683" s="51"/>
      <c r="B683" s="735"/>
      <c r="C683" s="735"/>
      <c r="D683" s="735"/>
      <c r="E683" s="735"/>
      <c r="F683" s="736"/>
      <c r="G683" s="735"/>
      <c r="H683" s="735"/>
      <c r="I683" s="735"/>
      <c r="J683" s="735"/>
      <c r="K683" s="735"/>
      <c r="L683" s="735"/>
      <c r="M683" s="735"/>
      <c r="N683" s="735"/>
      <c r="O683" s="19"/>
      <c r="P683" s="19"/>
      <c r="Q683" s="19"/>
      <c r="R683" s="19"/>
      <c r="S683" s="19"/>
      <c r="T683" s="19"/>
      <c r="U683" s="19"/>
      <c r="V683" s="19"/>
      <c r="W683" s="19"/>
      <c r="X683" s="19"/>
      <c r="Y683" s="19"/>
      <c r="Z683" s="19"/>
      <c r="AA683" s="19"/>
      <c r="AB683" s="19"/>
      <c r="FE683" s="54"/>
    </row>
    <row r="684" spans="1:161" s="18" customFormat="1">
      <c r="A684" s="51"/>
      <c r="B684" s="735"/>
      <c r="C684" s="735"/>
      <c r="D684" s="735"/>
      <c r="E684" s="735"/>
      <c r="F684" s="736"/>
      <c r="G684" s="735"/>
      <c r="H684" s="735"/>
      <c r="I684" s="735"/>
      <c r="J684" s="735"/>
      <c r="K684" s="735"/>
      <c r="L684" s="735"/>
      <c r="M684" s="735"/>
      <c r="N684" s="735"/>
      <c r="O684" s="19"/>
      <c r="P684" s="19"/>
      <c r="Q684" s="19"/>
      <c r="R684" s="19"/>
      <c r="S684" s="19"/>
      <c r="T684" s="19"/>
      <c r="U684" s="19"/>
      <c r="V684" s="19"/>
      <c r="W684" s="19"/>
      <c r="X684" s="19"/>
      <c r="Y684" s="19"/>
      <c r="Z684" s="19"/>
      <c r="AA684" s="19"/>
      <c r="AB684" s="19"/>
      <c r="FE684" s="54"/>
    </row>
    <row r="685" spans="1:161" s="18" customFormat="1">
      <c r="A685" s="51"/>
      <c r="B685" s="735"/>
      <c r="C685" s="735"/>
      <c r="D685" s="735"/>
      <c r="E685" s="735"/>
      <c r="F685" s="736"/>
      <c r="G685" s="735"/>
      <c r="H685" s="735"/>
      <c r="I685" s="735"/>
      <c r="J685" s="735"/>
      <c r="K685" s="735"/>
      <c r="L685" s="735"/>
      <c r="M685" s="735"/>
      <c r="N685" s="735"/>
      <c r="O685" s="19"/>
      <c r="P685" s="19"/>
      <c r="Q685" s="19"/>
      <c r="R685" s="19"/>
      <c r="S685" s="19"/>
      <c r="T685" s="19"/>
      <c r="U685" s="19"/>
      <c r="V685" s="19"/>
      <c r="W685" s="19"/>
      <c r="X685" s="19"/>
      <c r="Y685" s="19"/>
      <c r="Z685" s="19"/>
      <c r="AA685" s="19"/>
      <c r="AB685" s="19"/>
      <c r="FE685" s="54"/>
    </row>
    <row r="686" spans="1:161" s="18" customFormat="1">
      <c r="A686" s="51"/>
      <c r="B686" s="735"/>
      <c r="C686" s="735"/>
      <c r="D686" s="735"/>
      <c r="E686" s="735"/>
      <c r="F686" s="736"/>
      <c r="G686" s="735"/>
      <c r="H686" s="735"/>
      <c r="I686" s="735"/>
      <c r="J686" s="735"/>
      <c r="K686" s="735"/>
      <c r="L686" s="735"/>
      <c r="M686" s="735"/>
      <c r="N686" s="735"/>
      <c r="O686" s="19"/>
      <c r="P686" s="19"/>
      <c r="Q686" s="19"/>
      <c r="R686" s="19"/>
      <c r="S686" s="19"/>
      <c r="T686" s="19"/>
      <c r="U686" s="19"/>
      <c r="V686" s="19"/>
      <c r="W686" s="19"/>
      <c r="X686" s="19"/>
      <c r="Y686" s="19"/>
      <c r="Z686" s="19"/>
      <c r="AA686" s="19"/>
      <c r="AB686" s="19"/>
      <c r="FE686" s="54"/>
    </row>
    <row r="687" spans="1:161" s="18" customFormat="1">
      <c r="A687" s="51"/>
      <c r="B687" s="735"/>
      <c r="C687" s="735"/>
      <c r="D687" s="735"/>
      <c r="E687" s="735"/>
      <c r="F687" s="736"/>
      <c r="G687" s="735"/>
      <c r="H687" s="735"/>
      <c r="I687" s="735"/>
      <c r="J687" s="735"/>
      <c r="K687" s="735"/>
      <c r="L687" s="735"/>
      <c r="M687" s="735"/>
      <c r="N687" s="735"/>
      <c r="O687" s="19"/>
      <c r="P687" s="19"/>
      <c r="Q687" s="19"/>
      <c r="R687" s="19"/>
      <c r="S687" s="19"/>
      <c r="T687" s="19"/>
      <c r="U687" s="19"/>
      <c r="V687" s="19"/>
      <c r="W687" s="19"/>
      <c r="X687" s="19"/>
      <c r="Y687" s="19"/>
      <c r="Z687" s="19"/>
      <c r="AA687" s="19"/>
      <c r="AB687" s="19"/>
      <c r="FE687" s="54"/>
    </row>
    <row r="688" spans="1:161" s="18" customFormat="1">
      <c r="A688" s="51"/>
      <c r="B688" s="735"/>
      <c r="C688" s="735"/>
      <c r="D688" s="735"/>
      <c r="E688" s="735"/>
      <c r="F688" s="736"/>
      <c r="G688" s="735"/>
      <c r="H688" s="735"/>
      <c r="I688" s="735"/>
      <c r="J688" s="735"/>
      <c r="K688" s="735"/>
      <c r="L688" s="735"/>
      <c r="M688" s="735"/>
      <c r="N688" s="735"/>
      <c r="O688" s="19"/>
      <c r="P688" s="19"/>
      <c r="Q688" s="19"/>
      <c r="R688" s="19"/>
      <c r="S688" s="19"/>
      <c r="T688" s="19"/>
      <c r="U688" s="19"/>
      <c r="V688" s="19"/>
      <c r="W688" s="19"/>
      <c r="X688" s="19"/>
      <c r="Y688" s="19"/>
      <c r="Z688" s="19"/>
      <c r="AA688" s="19"/>
      <c r="AB688" s="19"/>
      <c r="FE688" s="54"/>
    </row>
    <row r="689" spans="1:161" s="18" customFormat="1">
      <c r="A689" s="51"/>
      <c r="B689" s="735"/>
      <c r="C689" s="735"/>
      <c r="D689" s="735"/>
      <c r="E689" s="735"/>
      <c r="F689" s="736"/>
      <c r="G689" s="735"/>
      <c r="H689" s="735"/>
      <c r="I689" s="735"/>
      <c r="J689" s="735"/>
      <c r="K689" s="735"/>
      <c r="L689" s="735"/>
      <c r="M689" s="735"/>
      <c r="N689" s="735"/>
      <c r="O689" s="19"/>
      <c r="P689" s="19"/>
      <c r="Q689" s="19"/>
      <c r="R689" s="19"/>
      <c r="S689" s="19"/>
      <c r="T689" s="19"/>
      <c r="U689" s="19"/>
      <c r="V689" s="19"/>
      <c r="W689" s="19"/>
      <c r="X689" s="19"/>
      <c r="Y689" s="19"/>
      <c r="Z689" s="19"/>
      <c r="AA689" s="19"/>
      <c r="AB689" s="19"/>
      <c r="FE689" s="54"/>
    </row>
    <row r="690" spans="1:161" s="18" customFormat="1">
      <c r="A690" s="51"/>
      <c r="B690" s="735"/>
      <c r="C690" s="735"/>
      <c r="D690" s="735"/>
      <c r="E690" s="735"/>
      <c r="F690" s="736"/>
      <c r="G690" s="735"/>
      <c r="H690" s="735"/>
      <c r="I690" s="735"/>
      <c r="J690" s="735"/>
      <c r="K690" s="735"/>
      <c r="L690" s="735"/>
      <c r="M690" s="735"/>
      <c r="N690" s="735"/>
      <c r="O690" s="19"/>
      <c r="P690" s="19"/>
      <c r="Q690" s="19"/>
      <c r="R690" s="19"/>
      <c r="S690" s="19"/>
      <c r="T690" s="19"/>
      <c r="U690" s="19"/>
      <c r="V690" s="19"/>
      <c r="W690" s="19"/>
      <c r="X690" s="19"/>
      <c r="Y690" s="19"/>
      <c r="Z690" s="19"/>
      <c r="AA690" s="19"/>
      <c r="AB690" s="19"/>
      <c r="FE690" s="54"/>
    </row>
    <row r="691" spans="1:161" s="18" customFormat="1">
      <c r="A691" s="51"/>
      <c r="B691" s="735"/>
      <c r="C691" s="735"/>
      <c r="D691" s="735"/>
      <c r="E691" s="735"/>
      <c r="F691" s="736"/>
      <c r="G691" s="735"/>
      <c r="H691" s="735"/>
      <c r="I691" s="735"/>
      <c r="J691" s="735"/>
      <c r="K691" s="735"/>
      <c r="L691" s="735"/>
      <c r="M691" s="735"/>
      <c r="N691" s="735"/>
      <c r="O691" s="19"/>
      <c r="P691" s="19"/>
      <c r="Q691" s="19"/>
      <c r="R691" s="19"/>
      <c r="S691" s="19"/>
      <c r="T691" s="19"/>
      <c r="U691" s="19"/>
      <c r="V691" s="19"/>
      <c r="W691" s="19"/>
      <c r="X691" s="19"/>
      <c r="Y691" s="19"/>
      <c r="Z691" s="19"/>
      <c r="AA691" s="19"/>
      <c r="AB691" s="19"/>
      <c r="FE691" s="54"/>
    </row>
    <row r="692" spans="1:161" s="18" customFormat="1">
      <c r="A692" s="51"/>
      <c r="B692" s="735"/>
      <c r="C692" s="735"/>
      <c r="D692" s="735"/>
      <c r="E692" s="735"/>
      <c r="F692" s="736"/>
      <c r="G692" s="735"/>
      <c r="H692" s="735"/>
      <c r="I692" s="735"/>
      <c r="J692" s="735"/>
      <c r="K692" s="735"/>
      <c r="L692" s="735"/>
      <c r="M692" s="735"/>
      <c r="N692" s="735"/>
      <c r="O692" s="19"/>
      <c r="P692" s="19"/>
      <c r="Q692" s="19"/>
      <c r="R692" s="19"/>
      <c r="S692" s="19"/>
      <c r="T692" s="19"/>
      <c r="U692" s="19"/>
      <c r="V692" s="19"/>
      <c r="W692" s="19"/>
      <c r="X692" s="19"/>
      <c r="Y692" s="19"/>
      <c r="Z692" s="19"/>
      <c r="AA692" s="19"/>
      <c r="AB692" s="19"/>
      <c r="FE692" s="54"/>
    </row>
    <row r="693" spans="1:161" s="18" customFormat="1">
      <c r="A693" s="51"/>
      <c r="B693" s="735"/>
      <c r="C693" s="735"/>
      <c r="D693" s="735"/>
      <c r="E693" s="735"/>
      <c r="F693" s="736"/>
      <c r="G693" s="735"/>
      <c r="H693" s="735"/>
      <c r="I693" s="735"/>
      <c r="J693" s="735"/>
      <c r="K693" s="735"/>
      <c r="L693" s="735"/>
      <c r="M693" s="735"/>
      <c r="N693" s="735"/>
      <c r="O693" s="19"/>
      <c r="P693" s="19"/>
      <c r="Q693" s="19"/>
      <c r="R693" s="19"/>
      <c r="S693" s="19"/>
      <c r="T693" s="19"/>
      <c r="U693" s="19"/>
      <c r="V693" s="19"/>
      <c r="W693" s="19"/>
      <c r="X693" s="19"/>
      <c r="Y693" s="19"/>
      <c r="Z693" s="19"/>
      <c r="AA693" s="19"/>
      <c r="AB693" s="19"/>
      <c r="FE693" s="54"/>
    </row>
    <row r="694" spans="1:161" s="18" customFormat="1">
      <c r="A694" s="51"/>
      <c r="B694" s="735"/>
      <c r="C694" s="735"/>
      <c r="D694" s="735"/>
      <c r="E694" s="735"/>
      <c r="F694" s="736"/>
      <c r="G694" s="735"/>
      <c r="H694" s="735"/>
      <c r="I694" s="735"/>
      <c r="J694" s="735"/>
      <c r="K694" s="735"/>
      <c r="L694" s="735"/>
      <c r="M694" s="735"/>
      <c r="N694" s="735"/>
      <c r="O694" s="19"/>
      <c r="P694" s="19"/>
      <c r="Q694" s="19"/>
      <c r="R694" s="19"/>
      <c r="S694" s="19"/>
      <c r="T694" s="19"/>
      <c r="U694" s="19"/>
      <c r="V694" s="19"/>
      <c r="W694" s="19"/>
      <c r="X694" s="19"/>
      <c r="Y694" s="19"/>
      <c r="Z694" s="19"/>
      <c r="AA694" s="19"/>
      <c r="AB694" s="19"/>
      <c r="FE694" s="54"/>
    </row>
    <row r="695" spans="1:161" s="18" customFormat="1">
      <c r="A695" s="51"/>
      <c r="B695" s="735"/>
      <c r="C695" s="735"/>
      <c r="D695" s="735"/>
      <c r="E695" s="735"/>
      <c r="F695" s="736"/>
      <c r="G695" s="735"/>
      <c r="H695" s="735"/>
      <c r="I695" s="735"/>
      <c r="J695" s="735"/>
      <c r="K695" s="735"/>
      <c r="L695" s="735"/>
      <c r="M695" s="735"/>
      <c r="N695" s="735"/>
      <c r="O695" s="19"/>
      <c r="P695" s="19"/>
      <c r="Q695" s="19"/>
      <c r="R695" s="19"/>
      <c r="S695" s="19"/>
      <c r="T695" s="19"/>
      <c r="U695" s="19"/>
      <c r="V695" s="19"/>
      <c r="W695" s="19"/>
      <c r="X695" s="19"/>
      <c r="Y695" s="19"/>
      <c r="Z695" s="19"/>
      <c r="AA695" s="19"/>
      <c r="AB695" s="19"/>
      <c r="FE695" s="54"/>
    </row>
    <row r="696" spans="1:161" s="18" customFormat="1">
      <c r="A696" s="51"/>
      <c r="B696" s="735"/>
      <c r="C696" s="735"/>
      <c r="D696" s="735"/>
      <c r="E696" s="735"/>
      <c r="F696" s="736"/>
      <c r="G696" s="735"/>
      <c r="H696" s="735"/>
      <c r="I696" s="735"/>
      <c r="J696" s="735"/>
      <c r="K696" s="735"/>
      <c r="L696" s="735"/>
      <c r="M696" s="735"/>
      <c r="N696" s="735"/>
      <c r="O696" s="19"/>
      <c r="P696" s="19"/>
      <c r="Q696" s="19"/>
      <c r="R696" s="19"/>
      <c r="S696" s="19"/>
      <c r="T696" s="19"/>
      <c r="U696" s="19"/>
      <c r="V696" s="19"/>
      <c r="W696" s="19"/>
      <c r="X696" s="19"/>
      <c r="Y696" s="19"/>
      <c r="Z696" s="19"/>
      <c r="AA696" s="19"/>
      <c r="AB696" s="19"/>
      <c r="FE696" s="54"/>
    </row>
    <row r="697" spans="1:161" s="18" customFormat="1">
      <c r="A697" s="51"/>
      <c r="B697" s="735"/>
      <c r="C697" s="735"/>
      <c r="D697" s="735"/>
      <c r="E697" s="735"/>
      <c r="F697" s="736"/>
      <c r="G697" s="735"/>
      <c r="H697" s="735"/>
      <c r="I697" s="735"/>
      <c r="J697" s="735"/>
      <c r="K697" s="735"/>
      <c r="L697" s="735"/>
      <c r="M697" s="735"/>
      <c r="N697" s="735"/>
      <c r="O697" s="19"/>
      <c r="P697" s="19"/>
      <c r="Q697" s="19"/>
      <c r="R697" s="19"/>
      <c r="S697" s="19"/>
      <c r="T697" s="19"/>
      <c r="U697" s="19"/>
      <c r="V697" s="19"/>
      <c r="W697" s="19"/>
      <c r="X697" s="19"/>
      <c r="Y697" s="19"/>
      <c r="Z697" s="19"/>
      <c r="AA697" s="19"/>
      <c r="AB697" s="19"/>
      <c r="FE697" s="54"/>
    </row>
    <row r="698" spans="1:161" s="18" customFormat="1">
      <c r="A698" s="51"/>
      <c r="B698" s="735"/>
      <c r="C698" s="735"/>
      <c r="D698" s="735"/>
      <c r="E698" s="735"/>
      <c r="F698" s="736"/>
      <c r="G698" s="735"/>
      <c r="H698" s="735"/>
      <c r="I698" s="735"/>
      <c r="J698" s="735"/>
      <c r="K698" s="735"/>
      <c r="L698" s="735"/>
      <c r="M698" s="735"/>
      <c r="N698" s="735"/>
      <c r="O698" s="19"/>
      <c r="P698" s="19"/>
      <c r="Q698" s="19"/>
      <c r="R698" s="19"/>
      <c r="S698" s="19"/>
      <c r="T698" s="19"/>
      <c r="U698" s="19"/>
      <c r="V698" s="19"/>
      <c r="W698" s="19"/>
      <c r="X698" s="19"/>
      <c r="Y698" s="19"/>
      <c r="Z698" s="19"/>
      <c r="AA698" s="19"/>
      <c r="AB698" s="19"/>
      <c r="FE698" s="54"/>
    </row>
    <row r="699" spans="1:161" s="18" customFormat="1">
      <c r="A699" s="51"/>
      <c r="B699" s="735"/>
      <c r="C699" s="735"/>
      <c r="D699" s="735"/>
      <c r="E699" s="735"/>
      <c r="F699" s="736"/>
      <c r="G699" s="735"/>
      <c r="H699" s="735"/>
      <c r="I699" s="735"/>
      <c r="J699" s="735"/>
      <c r="K699" s="735"/>
      <c r="L699" s="735"/>
      <c r="M699" s="735"/>
      <c r="N699" s="735"/>
      <c r="O699" s="19"/>
      <c r="P699" s="19"/>
      <c r="Q699" s="19"/>
      <c r="R699" s="19"/>
      <c r="S699" s="19"/>
      <c r="T699" s="19"/>
      <c r="U699" s="19"/>
      <c r="V699" s="19"/>
      <c r="W699" s="19"/>
      <c r="X699" s="19"/>
      <c r="Y699" s="19"/>
      <c r="Z699" s="19"/>
      <c r="AA699" s="19"/>
      <c r="AB699" s="19"/>
      <c r="FE699" s="54"/>
    </row>
    <row r="700" spans="1:161" s="18" customFormat="1">
      <c r="A700" s="51"/>
      <c r="B700" s="735"/>
      <c r="C700" s="735"/>
      <c r="D700" s="735"/>
      <c r="E700" s="735"/>
      <c r="F700" s="736"/>
      <c r="G700" s="735"/>
      <c r="H700" s="735"/>
      <c r="I700" s="735"/>
      <c r="J700" s="735"/>
      <c r="K700" s="735"/>
      <c r="L700" s="735"/>
      <c r="M700" s="735"/>
      <c r="N700" s="735"/>
      <c r="O700" s="19"/>
      <c r="P700" s="19"/>
      <c r="Q700" s="19"/>
      <c r="R700" s="19"/>
      <c r="S700" s="19"/>
      <c r="T700" s="19"/>
      <c r="U700" s="19"/>
      <c r="V700" s="19"/>
      <c r="W700" s="19"/>
      <c r="X700" s="19"/>
      <c r="Y700" s="19"/>
      <c r="Z700" s="19"/>
      <c r="AA700" s="19"/>
      <c r="AB700" s="19"/>
      <c r="FE700" s="54"/>
    </row>
    <row r="701" spans="1:161" s="18" customFormat="1">
      <c r="A701" s="51"/>
      <c r="B701" s="735"/>
      <c r="C701" s="735"/>
      <c r="D701" s="735"/>
      <c r="E701" s="735"/>
      <c r="F701" s="736"/>
      <c r="G701" s="735"/>
      <c r="H701" s="735"/>
      <c r="I701" s="735"/>
      <c r="J701" s="735"/>
      <c r="K701" s="735"/>
      <c r="L701" s="735"/>
      <c r="M701" s="735"/>
      <c r="N701" s="735"/>
      <c r="O701" s="19"/>
      <c r="P701" s="19"/>
      <c r="Q701" s="19"/>
      <c r="R701" s="19"/>
      <c r="S701" s="19"/>
      <c r="T701" s="19"/>
      <c r="U701" s="19"/>
      <c r="V701" s="19"/>
      <c r="W701" s="19"/>
      <c r="X701" s="19"/>
      <c r="Y701" s="19"/>
      <c r="Z701" s="19"/>
      <c r="AA701" s="19"/>
      <c r="AB701" s="19"/>
      <c r="FE701" s="54"/>
    </row>
    <row r="702" spans="1:161" s="18" customFormat="1">
      <c r="A702" s="51"/>
      <c r="B702" s="735"/>
      <c r="C702" s="735"/>
      <c r="D702" s="735"/>
      <c r="E702" s="735"/>
      <c r="F702" s="736"/>
      <c r="G702" s="735"/>
      <c r="H702" s="735"/>
      <c r="I702" s="735"/>
      <c r="J702" s="735"/>
      <c r="K702" s="735"/>
      <c r="L702" s="735"/>
      <c r="M702" s="735"/>
      <c r="N702" s="735"/>
      <c r="O702" s="19"/>
      <c r="P702" s="19"/>
      <c r="Q702" s="19"/>
      <c r="R702" s="19"/>
      <c r="S702" s="19"/>
      <c r="T702" s="19"/>
      <c r="U702" s="19"/>
      <c r="V702" s="19"/>
      <c r="W702" s="19"/>
      <c r="X702" s="19"/>
      <c r="Y702" s="19"/>
      <c r="Z702" s="19"/>
      <c r="AA702" s="19"/>
      <c r="AB702" s="19"/>
      <c r="FE702" s="54"/>
    </row>
    <row r="703" spans="1:161" s="18" customFormat="1">
      <c r="A703" s="51"/>
      <c r="B703" s="735"/>
      <c r="C703" s="735"/>
      <c r="D703" s="735"/>
      <c r="E703" s="735"/>
      <c r="F703" s="736"/>
      <c r="G703" s="735"/>
      <c r="H703" s="735"/>
      <c r="I703" s="735"/>
      <c r="J703" s="735"/>
      <c r="K703" s="735"/>
      <c r="L703" s="735"/>
      <c r="M703" s="735"/>
      <c r="N703" s="735"/>
      <c r="O703" s="19"/>
      <c r="P703" s="19"/>
      <c r="Q703" s="19"/>
      <c r="R703" s="19"/>
      <c r="S703" s="19"/>
      <c r="T703" s="19"/>
      <c r="U703" s="19"/>
      <c r="V703" s="19"/>
      <c r="W703" s="19"/>
      <c r="X703" s="19"/>
      <c r="Y703" s="19"/>
      <c r="Z703" s="19"/>
      <c r="AA703" s="19"/>
      <c r="AB703" s="19"/>
      <c r="FE703" s="54"/>
    </row>
    <row r="704" spans="1:161" s="18" customFormat="1">
      <c r="A704" s="51"/>
      <c r="B704" s="735"/>
      <c r="C704" s="735"/>
      <c r="D704" s="735"/>
      <c r="E704" s="735"/>
      <c r="F704" s="736"/>
      <c r="G704" s="735"/>
      <c r="H704" s="735"/>
      <c r="I704" s="735"/>
      <c r="J704" s="735"/>
      <c r="K704" s="735"/>
      <c r="L704" s="735"/>
      <c r="M704" s="735"/>
      <c r="N704" s="735"/>
      <c r="O704" s="19"/>
      <c r="P704" s="19"/>
      <c r="Q704" s="19"/>
      <c r="R704" s="19"/>
      <c r="S704" s="19"/>
      <c r="T704" s="19"/>
      <c r="U704" s="19"/>
      <c r="V704" s="19"/>
      <c r="W704" s="19"/>
      <c r="X704" s="19"/>
      <c r="Y704" s="19"/>
      <c r="Z704" s="19"/>
      <c r="AA704" s="19"/>
      <c r="AB704" s="19"/>
      <c r="FE704" s="54"/>
    </row>
    <row r="705" spans="1:161" s="18" customFormat="1">
      <c r="A705" s="51"/>
      <c r="B705" s="735"/>
      <c r="C705" s="735"/>
      <c r="D705" s="735"/>
      <c r="E705" s="735"/>
      <c r="F705" s="736"/>
      <c r="G705" s="735"/>
      <c r="H705" s="735"/>
      <c r="I705" s="735"/>
      <c r="J705" s="735"/>
      <c r="K705" s="735"/>
      <c r="L705" s="735"/>
      <c r="M705" s="735"/>
      <c r="N705" s="735"/>
      <c r="O705" s="19"/>
      <c r="P705" s="19"/>
      <c r="Q705" s="19"/>
      <c r="R705" s="19"/>
      <c r="S705" s="19"/>
      <c r="T705" s="19"/>
      <c r="U705" s="19"/>
      <c r="V705" s="19"/>
      <c r="W705" s="19"/>
      <c r="X705" s="19"/>
      <c r="Y705" s="19"/>
      <c r="Z705" s="19"/>
      <c r="AA705" s="19"/>
      <c r="AB705" s="19"/>
      <c r="FE705" s="54"/>
    </row>
    <row r="706" spans="1:161" s="18" customFormat="1">
      <c r="A706" s="51"/>
      <c r="B706" s="735"/>
      <c r="C706" s="735"/>
      <c r="D706" s="735"/>
      <c r="E706" s="735"/>
      <c r="F706" s="736"/>
      <c r="G706" s="735"/>
      <c r="H706" s="735"/>
      <c r="I706" s="735"/>
      <c r="J706" s="735"/>
      <c r="K706" s="735"/>
      <c r="L706" s="735"/>
      <c r="M706" s="735"/>
      <c r="N706" s="735"/>
      <c r="O706" s="19"/>
      <c r="P706" s="19"/>
      <c r="Q706" s="19"/>
      <c r="R706" s="19"/>
      <c r="S706" s="19"/>
      <c r="T706" s="19"/>
      <c r="U706" s="19"/>
      <c r="V706" s="19"/>
      <c r="W706" s="19"/>
      <c r="X706" s="19"/>
      <c r="Y706" s="19"/>
      <c r="Z706" s="19"/>
      <c r="AA706" s="19"/>
      <c r="AB706" s="19"/>
      <c r="FE706" s="54"/>
    </row>
    <row r="707" spans="1:161" s="18" customFormat="1">
      <c r="A707" s="51"/>
      <c r="B707" s="735"/>
      <c r="C707" s="735"/>
      <c r="D707" s="735"/>
      <c r="E707" s="735"/>
      <c r="F707" s="736"/>
      <c r="G707" s="735"/>
      <c r="H707" s="735"/>
      <c r="I707" s="735"/>
      <c r="J707" s="735"/>
      <c r="K707" s="735"/>
      <c r="L707" s="735"/>
      <c r="M707" s="735"/>
      <c r="N707" s="735"/>
      <c r="O707" s="19"/>
      <c r="P707" s="19"/>
      <c r="Q707" s="19"/>
      <c r="R707" s="19"/>
      <c r="S707" s="19"/>
      <c r="T707" s="19"/>
      <c r="U707" s="19"/>
      <c r="V707" s="19"/>
      <c r="W707" s="19"/>
      <c r="X707" s="19"/>
      <c r="Y707" s="19"/>
      <c r="Z707" s="19"/>
      <c r="AA707" s="19"/>
      <c r="AB707" s="19"/>
      <c r="FE707" s="54"/>
    </row>
    <row r="708" spans="1:161" s="18" customFormat="1">
      <c r="A708" s="51"/>
      <c r="B708" s="735"/>
      <c r="C708" s="735"/>
      <c r="D708" s="735"/>
      <c r="E708" s="735"/>
      <c r="F708" s="736"/>
      <c r="G708" s="735"/>
      <c r="H708" s="735"/>
      <c r="I708" s="735"/>
      <c r="J708" s="735"/>
      <c r="K708" s="735"/>
      <c r="L708" s="735"/>
      <c r="M708" s="735"/>
      <c r="N708" s="735"/>
      <c r="O708" s="19"/>
      <c r="P708" s="19"/>
      <c r="Q708" s="19"/>
      <c r="R708" s="19"/>
      <c r="S708" s="19"/>
      <c r="T708" s="19"/>
      <c r="U708" s="19"/>
      <c r="V708" s="19"/>
      <c r="W708" s="19"/>
      <c r="X708" s="19"/>
      <c r="Y708" s="19"/>
      <c r="Z708" s="19"/>
      <c r="AA708" s="19"/>
      <c r="AB708" s="19"/>
      <c r="FE708" s="54"/>
    </row>
    <row r="709" spans="1:161" s="18" customFormat="1">
      <c r="A709" s="51"/>
      <c r="B709" s="735"/>
      <c r="C709" s="735"/>
      <c r="D709" s="735"/>
      <c r="E709" s="735"/>
      <c r="F709" s="736"/>
      <c r="G709" s="735"/>
      <c r="H709" s="735"/>
      <c r="I709" s="735"/>
      <c r="J709" s="735"/>
      <c r="K709" s="735"/>
      <c r="L709" s="735"/>
      <c r="M709" s="735"/>
      <c r="N709" s="735"/>
      <c r="O709" s="19"/>
      <c r="P709" s="19"/>
      <c r="Q709" s="19"/>
      <c r="R709" s="19"/>
      <c r="S709" s="19"/>
      <c r="T709" s="19"/>
      <c r="U709" s="19"/>
      <c r="V709" s="19"/>
      <c r="W709" s="19"/>
      <c r="X709" s="19"/>
      <c r="Y709" s="19"/>
      <c r="Z709" s="19"/>
      <c r="AA709" s="19"/>
      <c r="AB709" s="19"/>
      <c r="FE709" s="54"/>
    </row>
    <row r="710" spans="1:161" s="18" customFormat="1">
      <c r="A710" s="51"/>
      <c r="B710" s="735"/>
      <c r="C710" s="735"/>
      <c r="D710" s="735"/>
      <c r="E710" s="735"/>
      <c r="F710" s="736"/>
      <c r="G710" s="735"/>
      <c r="H710" s="735"/>
      <c r="I710" s="735"/>
      <c r="J710" s="735"/>
      <c r="K710" s="735"/>
      <c r="L710" s="735"/>
      <c r="M710" s="735"/>
      <c r="N710" s="735"/>
      <c r="O710" s="19"/>
      <c r="P710" s="19"/>
      <c r="Q710" s="19"/>
      <c r="R710" s="19"/>
      <c r="S710" s="19"/>
      <c r="T710" s="19"/>
      <c r="U710" s="19"/>
      <c r="V710" s="19"/>
      <c r="W710" s="19"/>
      <c r="X710" s="19"/>
      <c r="Y710" s="19"/>
      <c r="Z710" s="19"/>
      <c r="AA710" s="19"/>
      <c r="AB710" s="19"/>
      <c r="FE710" s="54"/>
    </row>
    <row r="711" spans="1:161" s="18" customFormat="1">
      <c r="A711" s="51"/>
      <c r="B711" s="735"/>
      <c r="C711" s="735"/>
      <c r="D711" s="735"/>
      <c r="E711" s="735"/>
      <c r="F711" s="736"/>
      <c r="G711" s="735"/>
      <c r="H711" s="735"/>
      <c r="I711" s="735"/>
      <c r="J711" s="735"/>
      <c r="K711" s="735"/>
      <c r="L711" s="735"/>
      <c r="M711" s="735"/>
      <c r="N711" s="735"/>
      <c r="O711" s="19"/>
      <c r="P711" s="19"/>
      <c r="Q711" s="19"/>
      <c r="R711" s="19"/>
      <c r="S711" s="19"/>
      <c r="T711" s="19"/>
      <c r="U711" s="19"/>
      <c r="V711" s="19"/>
      <c r="W711" s="19"/>
      <c r="X711" s="19"/>
      <c r="Y711" s="19"/>
      <c r="Z711" s="19"/>
      <c r="AA711" s="19"/>
      <c r="AB711" s="19"/>
      <c r="FE711" s="54"/>
    </row>
    <row r="712" spans="1:161" s="18" customFormat="1">
      <c r="A712" s="51"/>
      <c r="B712" s="735"/>
      <c r="C712" s="735"/>
      <c r="D712" s="735"/>
      <c r="E712" s="735"/>
      <c r="F712" s="736"/>
      <c r="G712" s="735"/>
      <c r="H712" s="735"/>
      <c r="I712" s="735"/>
      <c r="J712" s="735"/>
      <c r="K712" s="735"/>
      <c r="L712" s="735"/>
      <c r="M712" s="735"/>
      <c r="N712" s="735"/>
      <c r="O712" s="19"/>
      <c r="P712" s="19"/>
      <c r="Q712" s="19"/>
      <c r="R712" s="19"/>
      <c r="S712" s="19"/>
      <c r="T712" s="19"/>
      <c r="U712" s="19"/>
      <c r="V712" s="19"/>
      <c r="W712" s="19"/>
      <c r="X712" s="19"/>
      <c r="Y712" s="19"/>
      <c r="Z712" s="19"/>
      <c r="AA712" s="19"/>
      <c r="AB712" s="19"/>
      <c r="FE712" s="54"/>
    </row>
    <row r="713" spans="1:161" s="18" customFormat="1">
      <c r="A713" s="51"/>
      <c r="B713" s="735"/>
      <c r="C713" s="735"/>
      <c r="D713" s="735"/>
      <c r="E713" s="735"/>
      <c r="F713" s="736"/>
      <c r="G713" s="735"/>
      <c r="H713" s="735"/>
      <c r="I713" s="735"/>
      <c r="J713" s="735"/>
      <c r="K713" s="735"/>
      <c r="L713" s="735"/>
      <c r="M713" s="735"/>
      <c r="N713" s="735"/>
      <c r="O713" s="19"/>
      <c r="P713" s="19"/>
      <c r="Q713" s="19"/>
      <c r="R713" s="19"/>
      <c r="S713" s="19"/>
      <c r="T713" s="19"/>
      <c r="U713" s="19"/>
      <c r="V713" s="19"/>
      <c r="W713" s="19"/>
      <c r="X713" s="19"/>
      <c r="Y713" s="19"/>
      <c r="Z713" s="19"/>
      <c r="AA713" s="19"/>
      <c r="AB713" s="19"/>
      <c r="FE713" s="54"/>
    </row>
    <row r="714" spans="1:161" s="18" customFormat="1">
      <c r="A714" s="51"/>
      <c r="B714" s="735"/>
      <c r="C714" s="735"/>
      <c r="D714" s="735"/>
      <c r="E714" s="735"/>
      <c r="F714" s="736"/>
      <c r="G714" s="735"/>
      <c r="H714" s="735"/>
      <c r="I714" s="735"/>
      <c r="J714" s="735"/>
      <c r="K714" s="735"/>
      <c r="L714" s="735"/>
      <c r="M714" s="735"/>
      <c r="N714" s="735"/>
      <c r="O714" s="19"/>
      <c r="P714" s="19"/>
      <c r="Q714" s="19"/>
      <c r="R714" s="19"/>
      <c r="S714" s="19"/>
      <c r="T714" s="19"/>
      <c r="U714" s="19"/>
      <c r="V714" s="19"/>
      <c r="W714" s="19"/>
      <c r="X714" s="19"/>
      <c r="Y714" s="19"/>
      <c r="Z714" s="19"/>
      <c r="AA714" s="19"/>
      <c r="AB714" s="19"/>
      <c r="FE714" s="54"/>
    </row>
    <row r="715" spans="1:161" s="18" customFormat="1">
      <c r="A715" s="51"/>
      <c r="B715" s="735"/>
      <c r="C715" s="735"/>
      <c r="D715" s="735"/>
      <c r="E715" s="735"/>
      <c r="F715" s="736"/>
      <c r="G715" s="735"/>
      <c r="H715" s="735"/>
      <c r="I715" s="735"/>
      <c r="J715" s="735"/>
      <c r="K715" s="735"/>
      <c r="L715" s="735"/>
      <c r="M715" s="735"/>
      <c r="N715" s="735"/>
      <c r="O715" s="19"/>
      <c r="P715" s="19"/>
      <c r="Q715" s="19"/>
      <c r="R715" s="19"/>
      <c r="S715" s="19"/>
      <c r="T715" s="19"/>
      <c r="U715" s="19"/>
      <c r="V715" s="19"/>
      <c r="W715" s="19"/>
      <c r="X715" s="19"/>
      <c r="Y715" s="19"/>
      <c r="Z715" s="19"/>
      <c r="AA715" s="19"/>
      <c r="AB715" s="19"/>
      <c r="FE715" s="54"/>
    </row>
    <row r="716" spans="1:161" s="18" customFormat="1">
      <c r="A716" s="51"/>
      <c r="B716" s="735"/>
      <c r="C716" s="735"/>
      <c r="D716" s="735"/>
      <c r="E716" s="735"/>
      <c r="F716" s="736"/>
      <c r="G716" s="735"/>
      <c r="H716" s="735"/>
      <c r="I716" s="735"/>
      <c r="J716" s="735"/>
      <c r="K716" s="735"/>
      <c r="L716" s="735"/>
      <c r="M716" s="735"/>
      <c r="N716" s="735"/>
      <c r="O716" s="19"/>
      <c r="P716" s="19"/>
      <c r="Q716" s="19"/>
      <c r="R716" s="19"/>
      <c r="S716" s="19"/>
      <c r="T716" s="19"/>
      <c r="U716" s="19"/>
      <c r="V716" s="19"/>
      <c r="W716" s="19"/>
      <c r="X716" s="19"/>
      <c r="Y716" s="19"/>
      <c r="Z716" s="19"/>
      <c r="AA716" s="19"/>
      <c r="AB716" s="19"/>
      <c r="FE716" s="54"/>
    </row>
    <row r="717" spans="1:161" s="18" customFormat="1">
      <c r="A717" s="51"/>
      <c r="B717" s="735"/>
      <c r="C717" s="735"/>
      <c r="D717" s="735"/>
      <c r="E717" s="735"/>
      <c r="F717" s="736"/>
      <c r="G717" s="735"/>
      <c r="H717" s="735"/>
      <c r="I717" s="735"/>
      <c r="J717" s="735"/>
      <c r="K717" s="735"/>
      <c r="L717" s="735"/>
      <c r="M717" s="735"/>
      <c r="N717" s="735"/>
      <c r="O717" s="19"/>
      <c r="P717" s="19"/>
      <c r="Q717" s="19"/>
      <c r="R717" s="19"/>
      <c r="S717" s="19"/>
      <c r="T717" s="19"/>
      <c r="U717" s="19"/>
      <c r="V717" s="19"/>
      <c r="W717" s="19"/>
      <c r="X717" s="19"/>
      <c r="Y717" s="19"/>
      <c r="Z717" s="19"/>
      <c r="AA717" s="19"/>
      <c r="AB717" s="19"/>
      <c r="FE717" s="54"/>
    </row>
    <row r="718" spans="1:161" s="18" customFormat="1">
      <c r="A718" s="51"/>
      <c r="B718" s="735"/>
      <c r="C718" s="735"/>
      <c r="D718" s="735"/>
      <c r="E718" s="735"/>
      <c r="F718" s="736"/>
      <c r="G718" s="735"/>
      <c r="H718" s="735"/>
      <c r="I718" s="735"/>
      <c r="J718" s="735"/>
      <c r="K718" s="735"/>
      <c r="L718" s="735"/>
      <c r="M718" s="735"/>
      <c r="N718" s="735"/>
      <c r="O718" s="19"/>
      <c r="P718" s="19"/>
      <c r="Q718" s="19"/>
      <c r="R718" s="19"/>
      <c r="S718" s="19"/>
      <c r="T718" s="19"/>
      <c r="U718" s="19"/>
      <c r="V718" s="19"/>
      <c r="W718" s="19"/>
      <c r="X718" s="19"/>
      <c r="Y718" s="19"/>
      <c r="Z718" s="19"/>
      <c r="AA718" s="19"/>
      <c r="AB718" s="19"/>
      <c r="FE718" s="54"/>
    </row>
    <row r="719" spans="1:161" s="18" customFormat="1">
      <c r="A719" s="51"/>
      <c r="B719" s="735"/>
      <c r="C719" s="735"/>
      <c r="D719" s="735"/>
      <c r="E719" s="735"/>
      <c r="F719" s="736"/>
      <c r="G719" s="735"/>
      <c r="H719" s="735"/>
      <c r="I719" s="735"/>
      <c r="J719" s="735"/>
      <c r="K719" s="735"/>
      <c r="L719" s="735"/>
      <c r="M719" s="735"/>
      <c r="N719" s="735"/>
      <c r="O719" s="19"/>
      <c r="P719" s="19"/>
      <c r="Q719" s="19"/>
      <c r="R719" s="19"/>
      <c r="S719" s="19"/>
      <c r="T719" s="19"/>
      <c r="U719" s="19"/>
      <c r="V719" s="19"/>
      <c r="W719" s="19"/>
      <c r="X719" s="19"/>
      <c r="Y719" s="19"/>
      <c r="Z719" s="19"/>
      <c r="AA719" s="19"/>
      <c r="AB719" s="19"/>
      <c r="FE719" s="54"/>
    </row>
    <row r="720" spans="1:161" s="18" customFormat="1">
      <c r="A720" s="51"/>
      <c r="B720" s="735"/>
      <c r="C720" s="735"/>
      <c r="D720" s="735"/>
      <c r="E720" s="735"/>
      <c r="F720" s="736"/>
      <c r="G720" s="735"/>
      <c r="H720" s="735"/>
      <c r="I720" s="735"/>
      <c r="J720" s="735"/>
      <c r="K720" s="735"/>
      <c r="L720" s="735"/>
      <c r="M720" s="735"/>
      <c r="N720" s="735"/>
      <c r="O720" s="19"/>
      <c r="P720" s="19"/>
      <c r="Q720" s="19"/>
      <c r="R720" s="19"/>
      <c r="S720" s="19"/>
      <c r="T720" s="19"/>
      <c r="U720" s="19"/>
      <c r="V720" s="19"/>
      <c r="W720" s="19"/>
      <c r="X720" s="19"/>
      <c r="Y720" s="19"/>
      <c r="Z720" s="19"/>
      <c r="AA720" s="19"/>
      <c r="AB720" s="19"/>
      <c r="FE720" s="54"/>
    </row>
    <row r="721" spans="1:161" s="18" customFormat="1">
      <c r="A721" s="51"/>
      <c r="B721" s="735"/>
      <c r="C721" s="735"/>
      <c r="D721" s="735"/>
      <c r="E721" s="735"/>
      <c r="F721" s="736"/>
      <c r="G721" s="735"/>
      <c r="H721" s="735"/>
      <c r="I721" s="735"/>
      <c r="J721" s="735"/>
      <c r="K721" s="735"/>
      <c r="L721" s="735"/>
      <c r="M721" s="735"/>
      <c r="N721" s="735"/>
      <c r="O721" s="19"/>
      <c r="P721" s="19"/>
      <c r="Q721" s="19"/>
      <c r="R721" s="19"/>
      <c r="S721" s="19"/>
      <c r="T721" s="19"/>
      <c r="U721" s="19"/>
      <c r="V721" s="19"/>
      <c r="W721" s="19"/>
      <c r="X721" s="19"/>
      <c r="Y721" s="19"/>
      <c r="Z721" s="19"/>
      <c r="AA721" s="19"/>
      <c r="AB721" s="19"/>
      <c r="FE721" s="54"/>
    </row>
    <row r="722" spans="1:161" s="18" customFormat="1">
      <c r="A722" s="51"/>
      <c r="B722" s="735"/>
      <c r="C722" s="735"/>
      <c r="D722" s="735"/>
      <c r="E722" s="735"/>
      <c r="F722" s="736"/>
      <c r="G722" s="735"/>
      <c r="H722" s="735"/>
      <c r="I722" s="735"/>
      <c r="J722" s="735"/>
      <c r="K722" s="735"/>
      <c r="L722" s="735"/>
      <c r="M722" s="735"/>
      <c r="N722" s="735"/>
      <c r="O722" s="19"/>
      <c r="P722" s="19"/>
      <c r="Q722" s="19"/>
      <c r="R722" s="19"/>
      <c r="S722" s="19"/>
      <c r="T722" s="19"/>
      <c r="U722" s="19"/>
      <c r="V722" s="19"/>
      <c r="W722" s="19"/>
      <c r="X722" s="19"/>
      <c r="Y722" s="19"/>
      <c r="Z722" s="19"/>
      <c r="AA722" s="19"/>
      <c r="AB722" s="19"/>
      <c r="FE722" s="54"/>
    </row>
    <row r="723" spans="1:161" s="18" customFormat="1">
      <c r="A723" s="51"/>
      <c r="B723" s="735"/>
      <c r="C723" s="735"/>
      <c r="D723" s="735"/>
      <c r="E723" s="735"/>
      <c r="F723" s="736"/>
      <c r="G723" s="735"/>
      <c r="H723" s="735"/>
      <c r="I723" s="735"/>
      <c r="J723" s="735"/>
      <c r="K723" s="735"/>
      <c r="L723" s="735"/>
      <c r="M723" s="735"/>
      <c r="N723" s="735"/>
      <c r="O723" s="19"/>
      <c r="P723" s="19"/>
      <c r="Q723" s="19"/>
      <c r="R723" s="19"/>
      <c r="S723" s="19"/>
      <c r="T723" s="19"/>
      <c r="U723" s="19"/>
      <c r="V723" s="19"/>
      <c r="W723" s="19"/>
      <c r="X723" s="19"/>
      <c r="Y723" s="19"/>
      <c r="Z723" s="19"/>
      <c r="AA723" s="19"/>
      <c r="AB723" s="19"/>
      <c r="FE723" s="54"/>
    </row>
    <row r="724" spans="1:161" s="18" customFormat="1">
      <c r="A724" s="51"/>
      <c r="B724" s="735"/>
      <c r="C724" s="735"/>
      <c r="D724" s="735"/>
      <c r="E724" s="735"/>
      <c r="F724" s="736"/>
      <c r="G724" s="735"/>
      <c r="H724" s="735"/>
      <c r="I724" s="735"/>
      <c r="J724" s="735"/>
      <c r="K724" s="735"/>
      <c r="L724" s="735"/>
      <c r="M724" s="735"/>
      <c r="N724" s="735"/>
      <c r="O724" s="19"/>
      <c r="P724" s="19"/>
      <c r="Q724" s="19"/>
      <c r="R724" s="19"/>
      <c r="S724" s="19"/>
      <c r="T724" s="19"/>
      <c r="U724" s="19"/>
      <c r="V724" s="19"/>
      <c r="W724" s="19"/>
      <c r="X724" s="19"/>
      <c r="Y724" s="19"/>
      <c r="Z724" s="19"/>
      <c r="AA724" s="19"/>
      <c r="AB724" s="19"/>
      <c r="FE724" s="54"/>
    </row>
    <row r="725" spans="1:161" s="18" customFormat="1">
      <c r="A725" s="51"/>
      <c r="B725" s="735"/>
      <c r="C725" s="735"/>
      <c r="D725" s="735"/>
      <c r="E725" s="735"/>
      <c r="F725" s="736"/>
      <c r="G725" s="735"/>
      <c r="H725" s="735"/>
      <c r="I725" s="735"/>
      <c r="J725" s="735"/>
      <c r="K725" s="735"/>
      <c r="L725" s="735"/>
      <c r="M725" s="735"/>
      <c r="N725" s="735"/>
      <c r="O725" s="19"/>
      <c r="P725" s="19"/>
      <c r="Q725" s="19"/>
      <c r="R725" s="19"/>
      <c r="S725" s="19"/>
      <c r="T725" s="19"/>
      <c r="U725" s="19"/>
      <c r="V725" s="19"/>
      <c r="W725" s="19"/>
      <c r="X725" s="19"/>
      <c r="Y725" s="19"/>
      <c r="Z725" s="19"/>
      <c r="AA725" s="19"/>
      <c r="AB725" s="19"/>
      <c r="FE725" s="54"/>
    </row>
    <row r="726" spans="1:161" s="18" customFormat="1">
      <c r="A726" s="51"/>
      <c r="B726" s="735"/>
      <c r="C726" s="735"/>
      <c r="D726" s="735"/>
      <c r="E726" s="735"/>
      <c r="F726" s="736"/>
      <c r="G726" s="735"/>
      <c r="H726" s="735"/>
      <c r="I726" s="735"/>
      <c r="J726" s="735"/>
      <c r="K726" s="735"/>
      <c r="L726" s="735"/>
      <c r="M726" s="735"/>
      <c r="N726" s="735"/>
      <c r="O726" s="19"/>
      <c r="P726" s="19"/>
      <c r="Q726" s="19"/>
      <c r="R726" s="19"/>
      <c r="S726" s="19"/>
      <c r="T726" s="19"/>
      <c r="U726" s="19"/>
      <c r="V726" s="19"/>
      <c r="W726" s="19"/>
      <c r="X726" s="19"/>
      <c r="Y726" s="19"/>
      <c r="Z726" s="19"/>
      <c r="AA726" s="19"/>
      <c r="AB726" s="19"/>
      <c r="FE726" s="54"/>
    </row>
    <row r="727" spans="1:161" s="18" customFormat="1">
      <c r="A727" s="51"/>
      <c r="B727" s="735"/>
      <c r="C727" s="735"/>
      <c r="D727" s="735"/>
      <c r="E727" s="735"/>
      <c r="F727" s="736"/>
      <c r="G727" s="735"/>
      <c r="H727" s="735"/>
      <c r="I727" s="735"/>
      <c r="J727" s="735"/>
      <c r="K727" s="735"/>
      <c r="L727" s="735"/>
      <c r="M727" s="735"/>
      <c r="N727" s="735"/>
      <c r="O727" s="19"/>
      <c r="P727" s="19"/>
      <c r="Q727" s="19"/>
      <c r="R727" s="19"/>
      <c r="S727" s="19"/>
      <c r="T727" s="19"/>
      <c r="U727" s="19"/>
      <c r="V727" s="19"/>
      <c r="W727" s="19"/>
      <c r="X727" s="19"/>
      <c r="Y727" s="19"/>
      <c r="Z727" s="19"/>
      <c r="AA727" s="19"/>
      <c r="AB727" s="19"/>
      <c r="FE727" s="54"/>
    </row>
    <row r="728" spans="1:161" s="18" customFormat="1">
      <c r="A728" s="51"/>
      <c r="B728" s="735"/>
      <c r="C728" s="735"/>
      <c r="D728" s="735"/>
      <c r="E728" s="735"/>
      <c r="F728" s="736"/>
      <c r="G728" s="735"/>
      <c r="H728" s="735"/>
      <c r="I728" s="735"/>
      <c r="J728" s="735"/>
      <c r="K728" s="735"/>
      <c r="L728" s="735"/>
      <c r="M728" s="735"/>
      <c r="N728" s="735"/>
      <c r="O728" s="19"/>
      <c r="P728" s="19"/>
      <c r="Q728" s="19"/>
      <c r="R728" s="19"/>
      <c r="S728" s="19"/>
      <c r="T728" s="19"/>
      <c r="U728" s="19"/>
      <c r="V728" s="19"/>
      <c r="W728" s="19"/>
      <c r="X728" s="19"/>
      <c r="Y728" s="19"/>
      <c r="Z728" s="19"/>
      <c r="AA728" s="19"/>
      <c r="AB728" s="19"/>
      <c r="FE728" s="54"/>
    </row>
    <row r="729" spans="1:161" s="18" customFormat="1">
      <c r="A729" s="51"/>
      <c r="B729" s="735"/>
      <c r="C729" s="735"/>
      <c r="D729" s="735"/>
      <c r="E729" s="735"/>
      <c r="F729" s="736"/>
      <c r="G729" s="735"/>
      <c r="H729" s="735"/>
      <c r="I729" s="735"/>
      <c r="J729" s="735"/>
      <c r="K729" s="735"/>
      <c r="L729" s="735"/>
      <c r="M729" s="735"/>
      <c r="N729" s="735"/>
      <c r="O729" s="19"/>
      <c r="P729" s="19"/>
      <c r="Q729" s="19"/>
      <c r="R729" s="19"/>
      <c r="S729" s="19"/>
      <c r="T729" s="19"/>
      <c r="U729" s="19"/>
      <c r="V729" s="19"/>
      <c r="W729" s="19"/>
      <c r="X729" s="19"/>
      <c r="Y729" s="19"/>
      <c r="Z729" s="19"/>
      <c r="AA729" s="19"/>
      <c r="AB729" s="19"/>
      <c r="FE729" s="54"/>
    </row>
    <row r="730" spans="1:161" s="18" customFormat="1">
      <c r="A730" s="51"/>
      <c r="B730" s="735"/>
      <c r="C730" s="735"/>
      <c r="D730" s="735"/>
      <c r="E730" s="735"/>
      <c r="F730" s="736"/>
      <c r="G730" s="735"/>
      <c r="H730" s="735"/>
      <c r="I730" s="735"/>
      <c r="J730" s="735"/>
      <c r="K730" s="735"/>
      <c r="L730" s="735"/>
      <c r="M730" s="735"/>
      <c r="N730" s="735"/>
      <c r="O730" s="19"/>
      <c r="P730" s="19"/>
      <c r="Q730" s="19"/>
      <c r="R730" s="19"/>
      <c r="S730" s="19"/>
      <c r="T730" s="19"/>
      <c r="U730" s="19"/>
      <c r="V730" s="19"/>
      <c r="W730" s="19"/>
      <c r="X730" s="19"/>
      <c r="Y730" s="19"/>
      <c r="Z730" s="19"/>
      <c r="AA730" s="19"/>
      <c r="AB730" s="19"/>
      <c r="FE730" s="54"/>
    </row>
    <row r="731" spans="1:161" s="18" customFormat="1">
      <c r="A731" s="51"/>
      <c r="B731" s="735"/>
      <c r="C731" s="735"/>
      <c r="D731" s="735"/>
      <c r="E731" s="735"/>
      <c r="F731" s="736"/>
      <c r="G731" s="735"/>
      <c r="H731" s="735"/>
      <c r="I731" s="735"/>
      <c r="J731" s="735"/>
      <c r="K731" s="735"/>
      <c r="L731" s="735"/>
      <c r="M731" s="735"/>
      <c r="N731" s="735"/>
      <c r="O731" s="19"/>
      <c r="P731" s="19"/>
      <c r="Q731" s="19"/>
      <c r="R731" s="19"/>
      <c r="S731" s="19"/>
      <c r="T731" s="19"/>
      <c r="U731" s="19"/>
      <c r="V731" s="19"/>
      <c r="W731" s="19"/>
      <c r="X731" s="19"/>
      <c r="Y731" s="19"/>
      <c r="Z731" s="19"/>
      <c r="AA731" s="19"/>
      <c r="AB731" s="19"/>
      <c r="FE731" s="54"/>
    </row>
    <row r="732" spans="1:161" s="18" customFormat="1">
      <c r="A732" s="51"/>
      <c r="B732" s="735"/>
      <c r="C732" s="735"/>
      <c r="D732" s="735"/>
      <c r="E732" s="735"/>
      <c r="F732" s="736"/>
      <c r="G732" s="735"/>
      <c r="H732" s="735"/>
      <c r="I732" s="735"/>
      <c r="J732" s="735"/>
      <c r="K732" s="735"/>
      <c r="L732" s="735"/>
      <c r="M732" s="735"/>
      <c r="N732" s="735"/>
      <c r="O732" s="19"/>
      <c r="P732" s="19"/>
      <c r="Q732" s="19"/>
      <c r="R732" s="19"/>
      <c r="S732" s="19"/>
      <c r="T732" s="19"/>
      <c r="U732" s="19"/>
      <c r="V732" s="19"/>
      <c r="W732" s="19"/>
      <c r="X732" s="19"/>
      <c r="Y732" s="19"/>
      <c r="Z732" s="19"/>
      <c r="AA732" s="19"/>
      <c r="AB732" s="19"/>
      <c r="FE732" s="54"/>
    </row>
    <row r="733" spans="1:161" s="18" customFormat="1">
      <c r="A733" s="51"/>
      <c r="B733" s="735"/>
      <c r="C733" s="735"/>
      <c r="D733" s="735"/>
      <c r="E733" s="735"/>
      <c r="F733" s="736"/>
      <c r="G733" s="735"/>
      <c r="H733" s="735"/>
      <c r="I733" s="735"/>
      <c r="J733" s="735"/>
      <c r="K733" s="735"/>
      <c r="L733" s="735"/>
      <c r="M733" s="735"/>
      <c r="N733" s="735"/>
      <c r="O733" s="19"/>
      <c r="P733" s="19"/>
      <c r="Q733" s="19"/>
      <c r="R733" s="19"/>
      <c r="S733" s="19"/>
      <c r="T733" s="19"/>
      <c r="U733" s="19"/>
      <c r="V733" s="19"/>
      <c r="W733" s="19"/>
      <c r="X733" s="19"/>
      <c r="Y733" s="19"/>
      <c r="Z733" s="19"/>
      <c r="AA733" s="19"/>
      <c r="AB733" s="19"/>
      <c r="FE733" s="54"/>
    </row>
    <row r="734" spans="1:161" s="18" customFormat="1">
      <c r="A734" s="51"/>
      <c r="B734" s="735"/>
      <c r="C734" s="735"/>
      <c r="D734" s="735"/>
      <c r="E734" s="735"/>
      <c r="F734" s="736"/>
      <c r="G734" s="735"/>
      <c r="H734" s="735"/>
      <c r="I734" s="735"/>
      <c r="J734" s="735"/>
      <c r="K734" s="735"/>
      <c r="L734" s="735"/>
      <c r="M734" s="735"/>
      <c r="N734" s="735"/>
      <c r="O734" s="19"/>
      <c r="P734" s="19"/>
      <c r="Q734" s="19"/>
      <c r="R734" s="19"/>
      <c r="S734" s="19"/>
      <c r="T734" s="19"/>
      <c r="U734" s="19"/>
      <c r="V734" s="19"/>
      <c r="W734" s="19"/>
      <c r="X734" s="19"/>
      <c r="Y734" s="19"/>
      <c r="Z734" s="19"/>
      <c r="AA734" s="19"/>
      <c r="AB734" s="19"/>
      <c r="FE734" s="54"/>
    </row>
    <row r="735" spans="1:161" s="18" customFormat="1">
      <c r="A735" s="51"/>
      <c r="B735" s="735"/>
      <c r="C735" s="735"/>
      <c r="D735" s="735"/>
      <c r="E735" s="735"/>
      <c r="F735" s="736"/>
      <c r="G735" s="735"/>
      <c r="H735" s="735"/>
      <c r="I735" s="735"/>
      <c r="J735" s="735"/>
      <c r="K735" s="735"/>
      <c r="L735" s="735"/>
      <c r="M735" s="735"/>
      <c r="N735" s="735"/>
      <c r="O735" s="19"/>
      <c r="P735" s="19"/>
      <c r="Q735" s="19"/>
      <c r="R735" s="19"/>
      <c r="S735" s="19"/>
      <c r="T735" s="19"/>
      <c r="U735" s="19"/>
      <c r="V735" s="19"/>
      <c r="W735" s="19"/>
      <c r="X735" s="19"/>
      <c r="Y735" s="19"/>
      <c r="Z735" s="19"/>
      <c r="AA735" s="19"/>
      <c r="AB735" s="19"/>
      <c r="FE735" s="54"/>
    </row>
    <row r="736" spans="1:161" s="18" customFormat="1">
      <c r="A736" s="51"/>
      <c r="B736" s="735"/>
      <c r="C736" s="735"/>
      <c r="D736" s="735"/>
      <c r="E736" s="735"/>
      <c r="F736" s="736"/>
      <c r="G736" s="735"/>
      <c r="H736" s="735"/>
      <c r="I736" s="735"/>
      <c r="J736" s="735"/>
      <c r="K736" s="735"/>
      <c r="L736" s="735"/>
      <c r="M736" s="735"/>
      <c r="N736" s="735"/>
      <c r="O736" s="19"/>
      <c r="P736" s="19"/>
      <c r="Q736" s="19"/>
      <c r="R736" s="19"/>
      <c r="S736" s="19"/>
      <c r="T736" s="19"/>
      <c r="U736" s="19"/>
      <c r="V736" s="19"/>
      <c r="W736" s="19"/>
      <c r="X736" s="19"/>
      <c r="Y736" s="19"/>
      <c r="Z736" s="19"/>
      <c r="AA736" s="19"/>
      <c r="AB736" s="19"/>
      <c r="FE736" s="54"/>
    </row>
    <row r="737" spans="1:161" s="18" customFormat="1">
      <c r="A737" s="51"/>
      <c r="B737" s="735"/>
      <c r="C737" s="735"/>
      <c r="D737" s="735"/>
      <c r="E737" s="735"/>
      <c r="F737" s="736"/>
      <c r="G737" s="735"/>
      <c r="H737" s="735"/>
      <c r="I737" s="735"/>
      <c r="J737" s="735"/>
      <c r="K737" s="735"/>
      <c r="L737" s="735"/>
      <c r="M737" s="735"/>
      <c r="N737" s="735"/>
      <c r="O737" s="19"/>
      <c r="P737" s="19"/>
      <c r="Q737" s="19"/>
      <c r="R737" s="19"/>
      <c r="S737" s="19"/>
      <c r="T737" s="19"/>
      <c r="U737" s="19"/>
      <c r="V737" s="19"/>
      <c r="W737" s="19"/>
      <c r="X737" s="19"/>
      <c r="Y737" s="19"/>
      <c r="Z737" s="19"/>
      <c r="AA737" s="19"/>
      <c r="AB737" s="19"/>
      <c r="FE737" s="54"/>
    </row>
    <row r="738" spans="1:161" s="18" customFormat="1">
      <c r="A738" s="51"/>
      <c r="B738" s="735"/>
      <c r="C738" s="735"/>
      <c r="D738" s="735"/>
      <c r="E738" s="735"/>
      <c r="F738" s="736"/>
      <c r="G738" s="735"/>
      <c r="H738" s="735"/>
      <c r="I738" s="735"/>
      <c r="J738" s="735"/>
      <c r="K738" s="735"/>
      <c r="L738" s="735"/>
      <c r="M738" s="735"/>
      <c r="N738" s="735"/>
      <c r="O738" s="19"/>
      <c r="P738" s="19"/>
      <c r="Q738" s="19"/>
      <c r="R738" s="19"/>
      <c r="S738" s="19"/>
      <c r="T738" s="19"/>
      <c r="U738" s="19"/>
      <c r="V738" s="19"/>
      <c r="W738" s="19"/>
      <c r="X738" s="19"/>
      <c r="Y738" s="19"/>
      <c r="Z738" s="19"/>
      <c r="AA738" s="19"/>
      <c r="AB738" s="19"/>
      <c r="FE738" s="54"/>
    </row>
    <row r="739" spans="1:161" s="18" customFormat="1">
      <c r="A739" s="51"/>
      <c r="B739" s="735"/>
      <c r="C739" s="735"/>
      <c r="D739" s="735"/>
      <c r="E739" s="735"/>
      <c r="F739" s="736"/>
      <c r="G739" s="735"/>
      <c r="H739" s="735"/>
      <c r="I739" s="735"/>
      <c r="J739" s="735"/>
      <c r="K739" s="735"/>
      <c r="L739" s="735"/>
      <c r="M739" s="735"/>
      <c r="N739" s="735"/>
      <c r="O739" s="19"/>
      <c r="P739" s="19"/>
      <c r="Q739" s="19"/>
      <c r="R739" s="19"/>
      <c r="S739" s="19"/>
      <c r="T739" s="19"/>
      <c r="U739" s="19"/>
      <c r="V739" s="19"/>
      <c r="W739" s="19"/>
      <c r="X739" s="19"/>
      <c r="Y739" s="19"/>
      <c r="Z739" s="19"/>
      <c r="AA739" s="19"/>
      <c r="AB739" s="19"/>
      <c r="FE739" s="54"/>
    </row>
    <row r="740" spans="1:161" s="18" customFormat="1">
      <c r="A740" s="51"/>
      <c r="B740" s="735"/>
      <c r="C740" s="735"/>
      <c r="D740" s="735"/>
      <c r="E740" s="735"/>
      <c r="F740" s="736"/>
      <c r="G740" s="735"/>
      <c r="H740" s="735"/>
      <c r="I740" s="735"/>
      <c r="J740" s="735"/>
      <c r="K740" s="735"/>
      <c r="L740" s="735"/>
      <c r="M740" s="735"/>
      <c r="N740" s="735"/>
      <c r="O740" s="19"/>
      <c r="P740" s="19"/>
      <c r="Q740" s="19"/>
      <c r="R740" s="19"/>
      <c r="S740" s="19"/>
      <c r="T740" s="19"/>
      <c r="U740" s="19"/>
      <c r="V740" s="19"/>
      <c r="W740" s="19"/>
      <c r="X740" s="19"/>
      <c r="Y740" s="19"/>
      <c r="Z740" s="19"/>
      <c r="AA740" s="19"/>
      <c r="AB740" s="19"/>
      <c r="FE740" s="54"/>
    </row>
    <row r="741" spans="1:161" s="18" customFormat="1">
      <c r="A741" s="51"/>
      <c r="B741" s="735"/>
      <c r="C741" s="735"/>
      <c r="D741" s="735"/>
      <c r="E741" s="735"/>
      <c r="F741" s="736"/>
      <c r="G741" s="735"/>
      <c r="H741" s="735"/>
      <c r="I741" s="735"/>
      <c r="J741" s="735"/>
      <c r="K741" s="735"/>
      <c r="L741" s="735"/>
      <c r="M741" s="735"/>
      <c r="N741" s="735"/>
      <c r="O741" s="19"/>
      <c r="P741" s="19"/>
      <c r="Q741" s="19"/>
      <c r="R741" s="19"/>
      <c r="S741" s="19"/>
      <c r="T741" s="19"/>
      <c r="U741" s="19"/>
      <c r="V741" s="19"/>
      <c r="W741" s="19"/>
      <c r="X741" s="19"/>
      <c r="Y741" s="19"/>
      <c r="Z741" s="19"/>
      <c r="AA741" s="19"/>
      <c r="AB741" s="19"/>
      <c r="FE741" s="54"/>
    </row>
    <row r="742" spans="1:161" s="18" customFormat="1">
      <c r="A742" s="51"/>
      <c r="B742" s="735"/>
      <c r="C742" s="735"/>
      <c r="D742" s="735"/>
      <c r="E742" s="735"/>
      <c r="F742" s="736"/>
      <c r="G742" s="735"/>
      <c r="H742" s="735"/>
      <c r="I742" s="735"/>
      <c r="J742" s="735"/>
      <c r="K742" s="735"/>
      <c r="L742" s="735"/>
      <c r="M742" s="735"/>
      <c r="N742" s="735"/>
      <c r="O742" s="19"/>
      <c r="P742" s="19"/>
      <c r="Q742" s="19"/>
      <c r="R742" s="19"/>
      <c r="S742" s="19"/>
      <c r="T742" s="19"/>
      <c r="U742" s="19"/>
      <c r="V742" s="19"/>
      <c r="W742" s="19"/>
      <c r="X742" s="19"/>
      <c r="Y742" s="19"/>
      <c r="Z742" s="19"/>
      <c r="AA742" s="19"/>
      <c r="AB742" s="19"/>
      <c r="FE742" s="54"/>
    </row>
    <row r="743" spans="1:161" s="18" customFormat="1">
      <c r="A743" s="51"/>
      <c r="B743" s="735"/>
      <c r="C743" s="735"/>
      <c r="D743" s="735"/>
      <c r="E743" s="735"/>
      <c r="F743" s="736"/>
      <c r="G743" s="735"/>
      <c r="H743" s="735"/>
      <c r="I743" s="735"/>
      <c r="J743" s="735"/>
      <c r="K743" s="735"/>
      <c r="L743" s="735"/>
      <c r="M743" s="735"/>
      <c r="N743" s="735"/>
      <c r="O743" s="19"/>
      <c r="P743" s="19"/>
      <c r="Q743" s="19"/>
      <c r="R743" s="19"/>
      <c r="S743" s="19"/>
      <c r="T743" s="19"/>
      <c r="U743" s="19"/>
      <c r="V743" s="19"/>
      <c r="W743" s="19"/>
      <c r="X743" s="19"/>
      <c r="Y743" s="19"/>
      <c r="Z743" s="19"/>
      <c r="AA743" s="19"/>
      <c r="AB743" s="19"/>
      <c r="FE743" s="54"/>
    </row>
    <row r="744" spans="1:161" s="18" customFormat="1">
      <c r="A744" s="51"/>
      <c r="B744" s="735"/>
      <c r="C744" s="735"/>
      <c r="D744" s="735"/>
      <c r="E744" s="735"/>
      <c r="F744" s="736"/>
      <c r="G744" s="735"/>
      <c r="H744" s="735"/>
      <c r="I744" s="735"/>
      <c r="J744" s="735"/>
      <c r="K744" s="735"/>
      <c r="L744" s="735"/>
      <c r="M744" s="735"/>
      <c r="N744" s="735"/>
      <c r="O744" s="19"/>
      <c r="P744" s="19"/>
      <c r="Q744" s="19"/>
      <c r="R744" s="19"/>
      <c r="S744" s="19"/>
      <c r="T744" s="19"/>
      <c r="U744" s="19"/>
      <c r="V744" s="19"/>
      <c r="W744" s="19"/>
      <c r="X744" s="19"/>
      <c r="Y744" s="19"/>
      <c r="Z744" s="19"/>
      <c r="AA744" s="19"/>
      <c r="AB744" s="19"/>
      <c r="FE744" s="54"/>
    </row>
    <row r="745" spans="1:161" s="18" customFormat="1">
      <c r="A745" s="51"/>
      <c r="B745" s="735"/>
      <c r="C745" s="735"/>
      <c r="D745" s="735"/>
      <c r="E745" s="735"/>
      <c r="F745" s="736"/>
      <c r="G745" s="735"/>
      <c r="H745" s="735"/>
      <c r="I745" s="735"/>
      <c r="J745" s="735"/>
      <c r="K745" s="735"/>
      <c r="L745" s="735"/>
      <c r="M745" s="735"/>
      <c r="N745" s="735"/>
      <c r="O745" s="19"/>
      <c r="P745" s="19"/>
      <c r="Q745" s="19"/>
      <c r="R745" s="19"/>
      <c r="S745" s="19"/>
      <c r="T745" s="19"/>
      <c r="U745" s="19"/>
      <c r="V745" s="19"/>
      <c r="W745" s="19"/>
      <c r="X745" s="19"/>
      <c r="Y745" s="19"/>
      <c r="Z745" s="19"/>
      <c r="AA745" s="19"/>
      <c r="AB745" s="19"/>
      <c r="FE745" s="54"/>
    </row>
    <row r="746" spans="1:161" s="18" customFormat="1">
      <c r="A746" s="51"/>
      <c r="B746" s="735"/>
      <c r="C746" s="735"/>
      <c r="D746" s="735"/>
      <c r="E746" s="735"/>
      <c r="F746" s="736"/>
      <c r="G746" s="735"/>
      <c r="H746" s="735"/>
      <c r="I746" s="735"/>
      <c r="J746" s="735"/>
      <c r="K746" s="735"/>
      <c r="L746" s="735"/>
      <c r="M746" s="735"/>
      <c r="N746" s="735"/>
      <c r="O746" s="19"/>
      <c r="P746" s="19"/>
      <c r="Q746" s="19"/>
      <c r="R746" s="19"/>
      <c r="S746" s="19"/>
      <c r="T746" s="19"/>
      <c r="U746" s="19"/>
      <c r="V746" s="19"/>
      <c r="W746" s="19"/>
      <c r="X746" s="19"/>
      <c r="Y746" s="19"/>
      <c r="Z746" s="19"/>
      <c r="AA746" s="19"/>
      <c r="AB746" s="19"/>
      <c r="FE746" s="54"/>
    </row>
    <row r="747" spans="1:161" s="18" customFormat="1">
      <c r="A747" s="51"/>
      <c r="B747" s="735"/>
      <c r="C747" s="735"/>
      <c r="D747" s="735"/>
      <c r="E747" s="735"/>
      <c r="F747" s="736"/>
      <c r="G747" s="735"/>
      <c r="H747" s="735"/>
      <c r="I747" s="735"/>
      <c r="J747" s="735"/>
      <c r="K747" s="735"/>
      <c r="L747" s="735"/>
      <c r="M747" s="735"/>
      <c r="N747" s="735"/>
      <c r="O747" s="19"/>
      <c r="P747" s="19"/>
      <c r="Q747" s="19"/>
      <c r="R747" s="19"/>
      <c r="S747" s="19"/>
      <c r="T747" s="19"/>
      <c r="U747" s="19"/>
      <c r="V747" s="19"/>
      <c r="W747" s="19"/>
      <c r="X747" s="19"/>
      <c r="Y747" s="19"/>
      <c r="Z747" s="19"/>
      <c r="AA747" s="19"/>
      <c r="AB747" s="19"/>
      <c r="FE747" s="54"/>
    </row>
    <row r="748" spans="1:161" s="18" customFormat="1">
      <c r="A748" s="51"/>
      <c r="B748" s="735"/>
      <c r="C748" s="735"/>
      <c r="D748" s="735"/>
      <c r="E748" s="735"/>
      <c r="F748" s="736"/>
      <c r="G748" s="735"/>
      <c r="H748" s="735"/>
      <c r="I748" s="735"/>
      <c r="J748" s="735"/>
      <c r="K748" s="735"/>
      <c r="L748" s="735"/>
      <c r="M748" s="735"/>
      <c r="N748" s="735"/>
      <c r="O748" s="19"/>
      <c r="P748" s="19"/>
      <c r="Q748" s="19"/>
      <c r="R748" s="19"/>
      <c r="S748" s="19"/>
      <c r="T748" s="19"/>
      <c r="U748" s="19"/>
      <c r="V748" s="19"/>
      <c r="W748" s="19"/>
      <c r="X748" s="19"/>
      <c r="Y748" s="19"/>
      <c r="Z748" s="19"/>
      <c r="AA748" s="19"/>
      <c r="AB748" s="19"/>
      <c r="FE748" s="54"/>
    </row>
    <row r="749" spans="1:161" s="18" customFormat="1">
      <c r="A749" s="51"/>
      <c r="B749" s="735"/>
      <c r="C749" s="735"/>
      <c r="D749" s="735"/>
      <c r="E749" s="735"/>
      <c r="F749" s="736"/>
      <c r="G749" s="735"/>
      <c r="H749" s="735"/>
      <c r="I749" s="735"/>
      <c r="J749" s="735"/>
      <c r="K749" s="735"/>
      <c r="L749" s="735"/>
      <c r="M749" s="735"/>
      <c r="N749" s="735"/>
      <c r="O749" s="19"/>
      <c r="P749" s="19"/>
      <c r="Q749" s="19"/>
      <c r="R749" s="19"/>
      <c r="S749" s="19"/>
      <c r="T749" s="19"/>
      <c r="U749" s="19"/>
      <c r="V749" s="19"/>
      <c r="W749" s="19"/>
      <c r="X749" s="19"/>
      <c r="Y749" s="19"/>
      <c r="Z749" s="19"/>
      <c r="AA749" s="19"/>
      <c r="AB749" s="19"/>
      <c r="FE749" s="54"/>
    </row>
    <row r="750" spans="1:161" s="18" customFormat="1">
      <c r="A750" s="51"/>
      <c r="B750" s="735"/>
      <c r="C750" s="735"/>
      <c r="D750" s="735"/>
      <c r="E750" s="735"/>
      <c r="F750" s="736"/>
      <c r="G750" s="735"/>
      <c r="H750" s="735"/>
      <c r="I750" s="735"/>
      <c r="J750" s="735"/>
      <c r="K750" s="735"/>
      <c r="L750" s="735"/>
      <c r="M750" s="735"/>
      <c r="N750" s="735"/>
      <c r="O750" s="19"/>
      <c r="P750" s="19"/>
      <c r="Q750" s="19"/>
      <c r="R750" s="19"/>
      <c r="S750" s="19"/>
      <c r="T750" s="19"/>
      <c r="U750" s="19"/>
      <c r="V750" s="19"/>
      <c r="W750" s="19"/>
      <c r="X750" s="19"/>
      <c r="Y750" s="19"/>
      <c r="Z750" s="19"/>
      <c r="AA750" s="19"/>
      <c r="AB750" s="19"/>
      <c r="FE750" s="54"/>
    </row>
    <row r="751" spans="1:161" s="18" customFormat="1">
      <c r="A751" s="51"/>
      <c r="B751" s="735"/>
      <c r="C751" s="735"/>
      <c r="D751" s="735"/>
      <c r="E751" s="735"/>
      <c r="F751" s="736"/>
      <c r="G751" s="735"/>
      <c r="H751" s="735"/>
      <c r="I751" s="735"/>
      <c r="J751" s="735"/>
      <c r="K751" s="735"/>
      <c r="L751" s="735"/>
      <c r="M751" s="735"/>
      <c r="N751" s="735"/>
      <c r="O751" s="19"/>
      <c r="P751" s="19"/>
      <c r="Q751" s="19"/>
      <c r="R751" s="19"/>
      <c r="S751" s="19"/>
      <c r="T751" s="19"/>
      <c r="U751" s="19"/>
      <c r="V751" s="19"/>
      <c r="W751" s="19"/>
      <c r="X751" s="19"/>
      <c r="Y751" s="19"/>
      <c r="Z751" s="19"/>
      <c r="AA751" s="19"/>
      <c r="AB751" s="19"/>
      <c r="FE751" s="54"/>
    </row>
    <row r="752" spans="1:161" s="18" customFormat="1">
      <c r="A752" s="51"/>
      <c r="B752" s="735"/>
      <c r="C752" s="735"/>
      <c r="D752" s="735"/>
      <c r="E752" s="735"/>
      <c r="F752" s="736"/>
      <c r="G752" s="735"/>
      <c r="H752" s="735"/>
      <c r="I752" s="735"/>
      <c r="J752" s="735"/>
      <c r="K752" s="735"/>
      <c r="L752" s="735"/>
      <c r="M752" s="735"/>
      <c r="N752" s="735"/>
      <c r="O752" s="19"/>
      <c r="P752" s="19"/>
      <c r="Q752" s="19"/>
      <c r="R752" s="19"/>
      <c r="S752" s="19"/>
      <c r="T752" s="19"/>
      <c r="U752" s="19"/>
      <c r="V752" s="19"/>
      <c r="W752" s="19"/>
      <c r="X752" s="19"/>
      <c r="Y752" s="19"/>
      <c r="Z752" s="19"/>
      <c r="AA752" s="19"/>
      <c r="AB752" s="19"/>
      <c r="FE752" s="54"/>
    </row>
    <row r="753" spans="1:161" s="18" customFormat="1">
      <c r="A753" s="51"/>
      <c r="B753" s="735"/>
      <c r="C753" s="735"/>
      <c r="D753" s="735"/>
      <c r="E753" s="735"/>
      <c r="F753" s="736"/>
      <c r="G753" s="735"/>
      <c r="H753" s="735"/>
      <c r="I753" s="735"/>
      <c r="J753" s="735"/>
      <c r="K753" s="735"/>
      <c r="L753" s="735"/>
      <c r="M753" s="735"/>
      <c r="N753" s="735"/>
      <c r="O753" s="19"/>
      <c r="P753" s="19"/>
      <c r="Q753" s="19"/>
      <c r="R753" s="19"/>
      <c r="S753" s="19"/>
      <c r="T753" s="19"/>
      <c r="U753" s="19"/>
      <c r="V753" s="19"/>
      <c r="W753" s="19"/>
      <c r="X753" s="19"/>
      <c r="Y753" s="19"/>
      <c r="Z753" s="19"/>
      <c r="AA753" s="19"/>
      <c r="AB753" s="19"/>
      <c r="FE753" s="54"/>
    </row>
    <row r="754" spans="1:161" s="18" customFormat="1">
      <c r="A754" s="51"/>
      <c r="B754" s="735"/>
      <c r="C754" s="735"/>
      <c r="D754" s="735"/>
      <c r="E754" s="735"/>
      <c r="F754" s="736"/>
      <c r="G754" s="735"/>
      <c r="H754" s="735"/>
      <c r="I754" s="735"/>
      <c r="J754" s="735"/>
      <c r="K754" s="735"/>
      <c r="L754" s="735"/>
      <c r="M754" s="735"/>
      <c r="N754" s="735"/>
      <c r="O754" s="19"/>
      <c r="P754" s="19"/>
      <c r="Q754" s="19"/>
      <c r="R754" s="19"/>
      <c r="S754" s="19"/>
      <c r="T754" s="19"/>
      <c r="U754" s="19"/>
      <c r="V754" s="19"/>
      <c r="W754" s="19"/>
      <c r="X754" s="19"/>
      <c r="Y754" s="19"/>
      <c r="Z754" s="19"/>
      <c r="AA754" s="19"/>
      <c r="AB754" s="19"/>
      <c r="FE754" s="54"/>
    </row>
    <row r="755" spans="1:161" s="18" customFormat="1">
      <c r="A755" s="51"/>
      <c r="B755" s="735"/>
      <c r="C755" s="735"/>
      <c r="D755" s="735"/>
      <c r="E755" s="735"/>
      <c r="F755" s="736"/>
      <c r="G755" s="735"/>
      <c r="H755" s="735"/>
      <c r="I755" s="735"/>
      <c r="J755" s="735"/>
      <c r="K755" s="735"/>
      <c r="L755" s="735"/>
      <c r="M755" s="735"/>
      <c r="N755" s="735"/>
      <c r="O755" s="19"/>
      <c r="P755" s="19"/>
      <c r="Q755" s="19"/>
      <c r="R755" s="19"/>
      <c r="S755" s="19"/>
      <c r="T755" s="19"/>
      <c r="U755" s="19"/>
      <c r="V755" s="19"/>
      <c r="W755" s="19"/>
      <c r="X755" s="19"/>
      <c r="Y755" s="19"/>
      <c r="Z755" s="19"/>
      <c r="AA755" s="19"/>
      <c r="AB755" s="19"/>
      <c r="FE755" s="54"/>
    </row>
    <row r="756" spans="1:161" s="18" customFormat="1">
      <c r="A756" s="51"/>
      <c r="B756" s="735"/>
      <c r="C756" s="735"/>
      <c r="D756" s="735"/>
      <c r="E756" s="735"/>
      <c r="F756" s="736"/>
      <c r="G756" s="735"/>
      <c r="H756" s="735"/>
      <c r="I756" s="735"/>
      <c r="J756" s="735"/>
      <c r="K756" s="735"/>
      <c r="L756" s="735"/>
      <c r="M756" s="735"/>
      <c r="N756" s="735"/>
      <c r="O756" s="19"/>
      <c r="P756" s="19"/>
      <c r="Q756" s="19"/>
      <c r="R756" s="19"/>
      <c r="S756" s="19"/>
      <c r="T756" s="19"/>
      <c r="U756" s="19"/>
      <c r="V756" s="19"/>
      <c r="W756" s="19"/>
      <c r="X756" s="19"/>
      <c r="Y756" s="19"/>
      <c r="Z756" s="19"/>
      <c r="AA756" s="19"/>
      <c r="AB756" s="19"/>
      <c r="FE756" s="54"/>
    </row>
    <row r="757" spans="1:161" s="18" customFormat="1">
      <c r="A757" s="51"/>
      <c r="B757" s="735"/>
      <c r="C757" s="735"/>
      <c r="D757" s="735"/>
      <c r="E757" s="735"/>
      <c r="F757" s="736"/>
      <c r="G757" s="735"/>
      <c r="H757" s="735"/>
      <c r="I757" s="735"/>
      <c r="J757" s="735"/>
      <c r="K757" s="735"/>
      <c r="L757" s="735"/>
      <c r="M757" s="735"/>
      <c r="N757" s="735"/>
      <c r="O757" s="19"/>
      <c r="P757" s="19"/>
      <c r="Q757" s="19"/>
      <c r="R757" s="19"/>
      <c r="S757" s="19"/>
      <c r="T757" s="19"/>
      <c r="U757" s="19"/>
      <c r="V757" s="19"/>
      <c r="W757" s="19"/>
      <c r="X757" s="19"/>
      <c r="Y757" s="19"/>
      <c r="Z757" s="19"/>
      <c r="AA757" s="19"/>
      <c r="AB757" s="19"/>
      <c r="FE757" s="54"/>
    </row>
    <row r="758" spans="1:161" s="18" customFormat="1">
      <c r="A758" s="51"/>
      <c r="B758" s="735"/>
      <c r="C758" s="735"/>
      <c r="D758" s="735"/>
      <c r="E758" s="735"/>
      <c r="F758" s="736"/>
      <c r="G758" s="735"/>
      <c r="H758" s="735"/>
      <c r="I758" s="735"/>
      <c r="J758" s="735"/>
      <c r="K758" s="735"/>
      <c r="L758" s="735"/>
      <c r="M758" s="735"/>
      <c r="N758" s="735"/>
      <c r="O758" s="19"/>
      <c r="P758" s="19"/>
      <c r="Q758" s="19"/>
      <c r="R758" s="19"/>
      <c r="S758" s="19"/>
      <c r="T758" s="19"/>
      <c r="U758" s="19"/>
      <c r="V758" s="19"/>
      <c r="W758" s="19"/>
      <c r="X758" s="19"/>
      <c r="Y758" s="19"/>
      <c r="Z758" s="19"/>
      <c r="AA758" s="19"/>
      <c r="AB758" s="19"/>
      <c r="FE758" s="54"/>
    </row>
    <row r="759" spans="1:161" s="18" customFormat="1">
      <c r="A759" s="51"/>
      <c r="B759" s="735"/>
      <c r="C759" s="735"/>
      <c r="D759" s="735"/>
      <c r="E759" s="735"/>
      <c r="F759" s="736"/>
      <c r="G759" s="735"/>
      <c r="H759" s="735"/>
      <c r="I759" s="735"/>
      <c r="J759" s="735"/>
      <c r="K759" s="735"/>
      <c r="L759" s="735"/>
      <c r="M759" s="735"/>
      <c r="N759" s="735"/>
      <c r="O759" s="19"/>
      <c r="P759" s="19"/>
      <c r="Q759" s="19"/>
      <c r="R759" s="19"/>
      <c r="S759" s="19"/>
      <c r="T759" s="19"/>
      <c r="U759" s="19"/>
      <c r="V759" s="19"/>
      <c r="W759" s="19"/>
      <c r="X759" s="19"/>
      <c r="Y759" s="19"/>
      <c r="Z759" s="19"/>
      <c r="AA759" s="19"/>
      <c r="AB759" s="19"/>
      <c r="FE759" s="54"/>
    </row>
    <row r="760" spans="1:161" s="18" customFormat="1">
      <c r="A760" s="51"/>
      <c r="B760" s="735"/>
      <c r="C760" s="735"/>
      <c r="D760" s="735"/>
      <c r="E760" s="735"/>
      <c r="F760" s="736"/>
      <c r="G760" s="735"/>
      <c r="H760" s="735"/>
      <c r="I760" s="735"/>
      <c r="J760" s="735"/>
      <c r="K760" s="735"/>
      <c r="L760" s="735"/>
      <c r="M760" s="735"/>
      <c r="N760" s="735"/>
      <c r="O760" s="19"/>
      <c r="P760" s="19"/>
      <c r="Q760" s="19"/>
      <c r="R760" s="19"/>
      <c r="S760" s="19"/>
      <c r="T760" s="19"/>
      <c r="U760" s="19"/>
      <c r="V760" s="19"/>
      <c r="W760" s="19"/>
      <c r="X760" s="19"/>
      <c r="Y760" s="19"/>
      <c r="Z760" s="19"/>
      <c r="AA760" s="19"/>
      <c r="AB760" s="19"/>
      <c r="FE760" s="54"/>
    </row>
    <row r="761" spans="1:161" s="18" customFormat="1">
      <c r="A761" s="51"/>
      <c r="B761" s="735"/>
      <c r="C761" s="735"/>
      <c r="D761" s="735"/>
      <c r="E761" s="735"/>
      <c r="F761" s="736"/>
      <c r="G761" s="735"/>
      <c r="H761" s="735"/>
      <c r="I761" s="735"/>
      <c r="J761" s="735"/>
      <c r="K761" s="735"/>
      <c r="L761" s="735"/>
      <c r="M761" s="735"/>
      <c r="N761" s="735"/>
      <c r="O761" s="19"/>
      <c r="P761" s="19"/>
      <c r="Q761" s="19"/>
      <c r="R761" s="19"/>
      <c r="S761" s="19"/>
      <c r="T761" s="19"/>
      <c r="U761" s="19"/>
      <c r="V761" s="19"/>
      <c r="W761" s="19"/>
      <c r="X761" s="19"/>
      <c r="Y761" s="19"/>
      <c r="Z761" s="19"/>
      <c r="AA761" s="19"/>
      <c r="AB761" s="19"/>
      <c r="FE761" s="54"/>
    </row>
    <row r="762" spans="1:161" s="18" customFormat="1">
      <c r="A762" s="51"/>
      <c r="B762" s="735"/>
      <c r="C762" s="735"/>
      <c r="D762" s="735"/>
      <c r="E762" s="735"/>
      <c r="F762" s="736"/>
      <c r="G762" s="735"/>
      <c r="H762" s="735"/>
      <c r="I762" s="735"/>
      <c r="J762" s="735"/>
      <c r="K762" s="735"/>
      <c r="L762" s="735"/>
      <c r="M762" s="735"/>
      <c r="N762" s="735"/>
      <c r="O762" s="19"/>
      <c r="P762" s="19"/>
      <c r="Q762" s="19"/>
      <c r="R762" s="19"/>
      <c r="S762" s="19"/>
      <c r="T762" s="19"/>
      <c r="U762" s="19"/>
      <c r="V762" s="19"/>
      <c r="W762" s="19"/>
      <c r="X762" s="19"/>
      <c r="Y762" s="19"/>
      <c r="Z762" s="19"/>
      <c r="AA762" s="19"/>
      <c r="AB762" s="19"/>
      <c r="FE762" s="54"/>
    </row>
    <row r="763" spans="1:161" s="18" customFormat="1">
      <c r="A763" s="51"/>
      <c r="B763" s="735"/>
      <c r="C763" s="735"/>
      <c r="D763" s="735"/>
      <c r="E763" s="735"/>
      <c r="F763" s="736"/>
      <c r="G763" s="735"/>
      <c r="H763" s="735"/>
      <c r="I763" s="735"/>
      <c r="J763" s="735"/>
      <c r="K763" s="735"/>
      <c r="L763" s="735"/>
      <c r="M763" s="735"/>
      <c r="N763" s="735"/>
      <c r="O763" s="19"/>
      <c r="P763" s="19"/>
      <c r="Q763" s="19"/>
      <c r="R763" s="19"/>
      <c r="S763" s="19"/>
      <c r="T763" s="19"/>
      <c r="U763" s="19"/>
      <c r="V763" s="19"/>
      <c r="W763" s="19"/>
      <c r="X763" s="19"/>
      <c r="Y763" s="19"/>
      <c r="Z763" s="19"/>
      <c r="AA763" s="19"/>
      <c r="AB763" s="19"/>
      <c r="FE763" s="54"/>
    </row>
    <row r="764" spans="1:161" s="18" customFormat="1">
      <c r="A764" s="51"/>
      <c r="B764" s="735"/>
      <c r="C764" s="735"/>
      <c r="D764" s="735"/>
      <c r="E764" s="735"/>
      <c r="F764" s="736"/>
      <c r="G764" s="735"/>
      <c r="H764" s="735"/>
      <c r="I764" s="735"/>
      <c r="J764" s="735"/>
      <c r="K764" s="735"/>
      <c r="L764" s="735"/>
      <c r="M764" s="735"/>
      <c r="N764" s="735"/>
      <c r="O764" s="19"/>
      <c r="P764" s="19"/>
      <c r="Q764" s="19"/>
      <c r="R764" s="19"/>
      <c r="S764" s="19"/>
      <c r="T764" s="19"/>
      <c r="U764" s="19"/>
      <c r="V764" s="19"/>
      <c r="W764" s="19"/>
      <c r="X764" s="19"/>
      <c r="Y764" s="19"/>
      <c r="Z764" s="19"/>
      <c r="AA764" s="19"/>
      <c r="AB764" s="19"/>
      <c r="FE764" s="54"/>
    </row>
    <row r="765" spans="1:161" s="18" customFormat="1">
      <c r="A765" s="51"/>
      <c r="B765" s="735"/>
      <c r="C765" s="735"/>
      <c r="D765" s="735"/>
      <c r="E765" s="735"/>
      <c r="F765" s="736"/>
      <c r="G765" s="735"/>
      <c r="H765" s="735"/>
      <c r="I765" s="735"/>
      <c r="J765" s="735"/>
      <c r="K765" s="735"/>
      <c r="L765" s="735"/>
      <c r="M765" s="735"/>
      <c r="N765" s="735"/>
      <c r="O765" s="19"/>
      <c r="P765" s="19"/>
      <c r="Q765" s="19"/>
      <c r="R765" s="19"/>
      <c r="S765" s="19"/>
      <c r="T765" s="19"/>
      <c r="U765" s="19"/>
      <c r="V765" s="19"/>
      <c r="W765" s="19"/>
      <c r="X765" s="19"/>
      <c r="Y765" s="19"/>
      <c r="Z765" s="19"/>
      <c r="AA765" s="19"/>
      <c r="AB765" s="19"/>
      <c r="FE765" s="54"/>
    </row>
    <row r="766" spans="1:161" s="18" customFormat="1">
      <c r="A766" s="51"/>
      <c r="B766" s="735"/>
      <c r="C766" s="735"/>
      <c r="D766" s="735"/>
      <c r="E766" s="735"/>
      <c r="F766" s="736"/>
      <c r="G766" s="735"/>
      <c r="H766" s="735"/>
      <c r="I766" s="735"/>
      <c r="J766" s="735"/>
      <c r="K766" s="735"/>
      <c r="L766" s="735"/>
      <c r="M766" s="735"/>
      <c r="N766" s="735"/>
      <c r="O766" s="19"/>
      <c r="P766" s="19"/>
      <c r="Q766" s="19"/>
      <c r="R766" s="19"/>
      <c r="S766" s="19"/>
      <c r="T766" s="19"/>
      <c r="U766" s="19"/>
      <c r="V766" s="19"/>
      <c r="W766" s="19"/>
      <c r="X766" s="19"/>
      <c r="Y766" s="19"/>
      <c r="Z766" s="19"/>
      <c r="AA766" s="19"/>
      <c r="AB766" s="19"/>
      <c r="FE766" s="54"/>
    </row>
    <row r="767" spans="1:161" s="18" customFormat="1">
      <c r="A767" s="51"/>
      <c r="B767" s="735"/>
      <c r="C767" s="735"/>
      <c r="D767" s="735"/>
      <c r="E767" s="735"/>
      <c r="F767" s="736"/>
      <c r="G767" s="735"/>
      <c r="H767" s="735"/>
      <c r="I767" s="735"/>
      <c r="J767" s="735"/>
      <c r="K767" s="735"/>
      <c r="L767" s="735"/>
      <c r="M767" s="735"/>
      <c r="N767" s="735"/>
      <c r="O767" s="19"/>
      <c r="P767" s="19"/>
      <c r="Q767" s="19"/>
      <c r="R767" s="19"/>
      <c r="S767" s="19"/>
      <c r="T767" s="19"/>
      <c r="U767" s="19"/>
      <c r="V767" s="19"/>
      <c r="W767" s="19"/>
      <c r="X767" s="19"/>
      <c r="Y767" s="19"/>
      <c r="Z767" s="19"/>
      <c r="AA767" s="19"/>
      <c r="AB767" s="19"/>
      <c r="FE767" s="54"/>
    </row>
    <row r="768" spans="1:161" s="18" customFormat="1">
      <c r="A768" s="51"/>
      <c r="B768" s="735"/>
      <c r="C768" s="735"/>
      <c r="D768" s="735"/>
      <c r="E768" s="735"/>
      <c r="F768" s="736"/>
      <c r="G768" s="735"/>
      <c r="H768" s="735"/>
      <c r="I768" s="735"/>
      <c r="J768" s="735"/>
      <c r="K768" s="735"/>
      <c r="L768" s="735"/>
      <c r="M768" s="735"/>
      <c r="N768" s="735"/>
      <c r="O768" s="19"/>
      <c r="P768" s="19"/>
      <c r="Q768" s="19"/>
      <c r="R768" s="19"/>
      <c r="S768" s="19"/>
      <c r="T768" s="19"/>
      <c r="U768" s="19"/>
      <c r="V768" s="19"/>
      <c r="W768" s="19"/>
      <c r="X768" s="19"/>
      <c r="Y768" s="19"/>
      <c r="Z768" s="19"/>
      <c r="AA768" s="19"/>
      <c r="AB768" s="19"/>
      <c r="FE768" s="54"/>
    </row>
    <row r="769" spans="1:161" s="18" customFormat="1">
      <c r="A769" s="51"/>
      <c r="B769" s="735"/>
      <c r="C769" s="735"/>
      <c r="D769" s="735"/>
      <c r="E769" s="735"/>
      <c r="F769" s="736"/>
      <c r="G769" s="735"/>
      <c r="H769" s="735"/>
      <c r="I769" s="735"/>
      <c r="J769" s="735"/>
      <c r="K769" s="735"/>
      <c r="L769" s="735"/>
      <c r="M769" s="735"/>
      <c r="N769" s="735"/>
      <c r="O769" s="19"/>
      <c r="P769" s="19"/>
      <c r="Q769" s="19"/>
      <c r="R769" s="19"/>
      <c r="S769" s="19"/>
      <c r="T769" s="19"/>
      <c r="U769" s="19"/>
      <c r="V769" s="19"/>
      <c r="W769" s="19"/>
      <c r="X769" s="19"/>
      <c r="Y769" s="19"/>
      <c r="Z769" s="19"/>
      <c r="AA769" s="19"/>
      <c r="AB769" s="19"/>
      <c r="FE769" s="54"/>
    </row>
    <row r="770" spans="1:161" s="18" customFormat="1">
      <c r="A770" s="51"/>
      <c r="B770" s="735"/>
      <c r="C770" s="735"/>
      <c r="D770" s="735"/>
      <c r="E770" s="735"/>
      <c r="F770" s="736"/>
      <c r="G770" s="735"/>
      <c r="H770" s="735"/>
      <c r="I770" s="735"/>
      <c r="J770" s="735"/>
      <c r="K770" s="735"/>
      <c r="L770" s="735"/>
      <c r="M770" s="735"/>
      <c r="N770" s="735"/>
      <c r="O770" s="19"/>
      <c r="P770" s="19"/>
      <c r="Q770" s="19"/>
      <c r="R770" s="19"/>
      <c r="S770" s="19"/>
      <c r="T770" s="19"/>
      <c r="U770" s="19"/>
      <c r="V770" s="19"/>
      <c r="W770" s="19"/>
      <c r="X770" s="19"/>
      <c r="Y770" s="19"/>
      <c r="Z770" s="19"/>
      <c r="AA770" s="19"/>
      <c r="AB770" s="19"/>
      <c r="FE770" s="54"/>
    </row>
    <row r="771" spans="1:161" s="18" customFormat="1">
      <c r="A771" s="51"/>
      <c r="B771" s="735"/>
      <c r="C771" s="735"/>
      <c r="D771" s="735"/>
      <c r="E771" s="735"/>
      <c r="F771" s="736"/>
      <c r="G771" s="735"/>
      <c r="H771" s="735"/>
      <c r="I771" s="735"/>
      <c r="J771" s="735"/>
      <c r="K771" s="735"/>
      <c r="L771" s="735"/>
      <c r="M771" s="735"/>
      <c r="N771" s="735"/>
      <c r="O771" s="19"/>
      <c r="P771" s="19"/>
      <c r="Q771" s="19"/>
      <c r="R771" s="19"/>
      <c r="S771" s="19"/>
      <c r="T771" s="19"/>
      <c r="U771" s="19"/>
      <c r="V771" s="19"/>
      <c r="W771" s="19"/>
      <c r="X771" s="19"/>
      <c r="Y771" s="19"/>
      <c r="Z771" s="19"/>
      <c r="AA771" s="19"/>
      <c r="AB771" s="19"/>
      <c r="FE771" s="54"/>
    </row>
    <row r="772" spans="1:161" s="18" customFormat="1">
      <c r="A772" s="51"/>
      <c r="B772" s="735"/>
      <c r="C772" s="735"/>
      <c r="D772" s="735"/>
      <c r="E772" s="735"/>
      <c r="F772" s="736"/>
      <c r="G772" s="735"/>
      <c r="H772" s="735"/>
      <c r="I772" s="735"/>
      <c r="J772" s="735"/>
      <c r="K772" s="735"/>
      <c r="L772" s="735"/>
      <c r="M772" s="735"/>
      <c r="N772" s="735"/>
      <c r="O772" s="19"/>
      <c r="P772" s="19"/>
      <c r="Q772" s="19"/>
      <c r="R772" s="19"/>
      <c r="S772" s="19"/>
      <c r="T772" s="19"/>
      <c r="U772" s="19"/>
      <c r="V772" s="19"/>
      <c r="W772" s="19"/>
      <c r="X772" s="19"/>
      <c r="Y772" s="19"/>
      <c r="Z772" s="19"/>
      <c r="AA772" s="19"/>
      <c r="AB772" s="19"/>
      <c r="FE772" s="54"/>
    </row>
    <row r="773" spans="1:161" s="18" customFormat="1">
      <c r="A773" s="51"/>
      <c r="B773" s="735"/>
      <c r="C773" s="735"/>
      <c r="D773" s="735"/>
      <c r="E773" s="735"/>
      <c r="F773" s="736"/>
      <c r="G773" s="735"/>
      <c r="H773" s="735"/>
      <c r="I773" s="735"/>
      <c r="J773" s="735"/>
      <c r="K773" s="735"/>
      <c r="L773" s="735"/>
      <c r="M773" s="735"/>
      <c r="N773" s="735"/>
      <c r="O773" s="19"/>
      <c r="P773" s="19"/>
      <c r="Q773" s="19"/>
      <c r="R773" s="19"/>
      <c r="S773" s="19"/>
      <c r="T773" s="19"/>
      <c r="U773" s="19"/>
      <c r="V773" s="19"/>
      <c r="W773" s="19"/>
      <c r="X773" s="19"/>
      <c r="Y773" s="19"/>
      <c r="Z773" s="19"/>
      <c r="AA773" s="19"/>
      <c r="AB773" s="19"/>
      <c r="FE773" s="54"/>
    </row>
    <row r="774" spans="1:161" s="18" customFormat="1">
      <c r="A774" s="51"/>
      <c r="B774" s="735"/>
      <c r="C774" s="735"/>
      <c r="D774" s="735"/>
      <c r="E774" s="735"/>
      <c r="F774" s="736"/>
      <c r="G774" s="735"/>
      <c r="H774" s="735"/>
      <c r="I774" s="735"/>
      <c r="J774" s="735"/>
      <c r="K774" s="735"/>
      <c r="L774" s="735"/>
      <c r="M774" s="735"/>
      <c r="N774" s="735"/>
      <c r="O774" s="19"/>
      <c r="P774" s="19"/>
      <c r="Q774" s="19"/>
      <c r="R774" s="19"/>
      <c r="S774" s="19"/>
      <c r="T774" s="19"/>
      <c r="U774" s="19"/>
      <c r="V774" s="19"/>
      <c r="W774" s="19"/>
      <c r="X774" s="19"/>
      <c r="Y774" s="19"/>
      <c r="Z774" s="19"/>
      <c r="AA774" s="19"/>
      <c r="AB774" s="19"/>
      <c r="FE774" s="54"/>
    </row>
    <row r="775" spans="1:161" s="18" customFormat="1">
      <c r="A775" s="51"/>
      <c r="B775" s="735"/>
      <c r="C775" s="735"/>
      <c r="D775" s="735"/>
      <c r="E775" s="735"/>
      <c r="F775" s="736"/>
      <c r="G775" s="735"/>
      <c r="H775" s="735"/>
      <c r="I775" s="735"/>
      <c r="J775" s="735"/>
      <c r="K775" s="735"/>
      <c r="L775" s="735"/>
      <c r="M775" s="735"/>
      <c r="N775" s="735"/>
      <c r="O775" s="19"/>
      <c r="P775" s="19"/>
      <c r="Q775" s="19"/>
      <c r="R775" s="19"/>
      <c r="S775" s="19"/>
      <c r="T775" s="19"/>
      <c r="U775" s="19"/>
      <c r="V775" s="19"/>
      <c r="W775" s="19"/>
      <c r="X775" s="19"/>
      <c r="Y775" s="19"/>
      <c r="Z775" s="19"/>
      <c r="AA775" s="19"/>
      <c r="AB775" s="19"/>
      <c r="FE775" s="54"/>
    </row>
    <row r="776" spans="1:161" s="18" customFormat="1">
      <c r="A776" s="51"/>
      <c r="B776" s="735"/>
      <c r="C776" s="735"/>
      <c r="D776" s="735"/>
      <c r="E776" s="735"/>
      <c r="F776" s="736"/>
      <c r="G776" s="735"/>
      <c r="H776" s="735"/>
      <c r="I776" s="735"/>
      <c r="J776" s="735"/>
      <c r="K776" s="735"/>
      <c r="L776" s="735"/>
      <c r="M776" s="735"/>
      <c r="N776" s="735"/>
      <c r="O776" s="19"/>
      <c r="P776" s="19"/>
      <c r="Q776" s="19"/>
      <c r="R776" s="19"/>
      <c r="S776" s="19"/>
      <c r="T776" s="19"/>
      <c r="U776" s="19"/>
      <c r="V776" s="19"/>
      <c r="W776" s="19"/>
      <c r="X776" s="19"/>
      <c r="Y776" s="19"/>
      <c r="Z776" s="19"/>
      <c r="AA776" s="19"/>
      <c r="AB776" s="19"/>
      <c r="FE776" s="54"/>
    </row>
    <row r="777" spans="1:161" s="18" customFormat="1">
      <c r="A777" s="51"/>
      <c r="B777" s="735"/>
      <c r="C777" s="735"/>
      <c r="D777" s="735"/>
      <c r="E777" s="735"/>
      <c r="F777" s="736"/>
      <c r="G777" s="735"/>
      <c r="H777" s="735"/>
      <c r="I777" s="735"/>
      <c r="J777" s="735"/>
      <c r="K777" s="735"/>
      <c r="L777" s="735"/>
      <c r="M777" s="735"/>
      <c r="N777" s="735"/>
      <c r="O777" s="19"/>
      <c r="P777" s="19"/>
      <c r="Q777" s="19"/>
      <c r="R777" s="19"/>
      <c r="S777" s="19"/>
      <c r="T777" s="19"/>
      <c r="U777" s="19"/>
      <c r="V777" s="19"/>
      <c r="W777" s="19"/>
      <c r="X777" s="19"/>
      <c r="Y777" s="19"/>
      <c r="Z777" s="19"/>
      <c r="AA777" s="19"/>
      <c r="AB777" s="19"/>
      <c r="FE777" s="54"/>
    </row>
    <row r="778" spans="1:161" s="18" customFormat="1">
      <c r="A778" s="51"/>
      <c r="B778" s="735"/>
      <c r="C778" s="735"/>
      <c r="D778" s="735"/>
      <c r="E778" s="735"/>
      <c r="F778" s="736"/>
      <c r="G778" s="735"/>
      <c r="H778" s="735"/>
      <c r="I778" s="735"/>
      <c r="J778" s="735"/>
      <c r="K778" s="735"/>
      <c r="L778" s="735"/>
      <c r="M778" s="735"/>
      <c r="N778" s="735"/>
      <c r="O778" s="19"/>
      <c r="P778" s="19"/>
      <c r="Q778" s="19"/>
      <c r="R778" s="19"/>
      <c r="S778" s="19"/>
      <c r="T778" s="19"/>
      <c r="U778" s="19"/>
      <c r="V778" s="19"/>
      <c r="W778" s="19"/>
      <c r="X778" s="19"/>
      <c r="Y778" s="19"/>
      <c r="Z778" s="19"/>
      <c r="AA778" s="19"/>
      <c r="AB778" s="19"/>
      <c r="FE778" s="54"/>
    </row>
    <row r="779" spans="1:161" s="18" customFormat="1">
      <c r="A779" s="51"/>
      <c r="B779" s="735"/>
      <c r="C779" s="735"/>
      <c r="D779" s="735"/>
      <c r="E779" s="735"/>
      <c r="F779" s="736"/>
      <c r="G779" s="735"/>
      <c r="H779" s="735"/>
      <c r="I779" s="735"/>
      <c r="J779" s="735"/>
      <c r="K779" s="735"/>
      <c r="L779" s="735"/>
      <c r="M779" s="735"/>
      <c r="N779" s="735"/>
      <c r="O779" s="19"/>
      <c r="P779" s="19"/>
      <c r="Q779" s="19"/>
      <c r="R779" s="19"/>
      <c r="S779" s="19"/>
      <c r="T779" s="19"/>
      <c r="U779" s="19"/>
      <c r="V779" s="19"/>
      <c r="W779" s="19"/>
      <c r="X779" s="19"/>
      <c r="Y779" s="19"/>
      <c r="Z779" s="19"/>
      <c r="AA779" s="19"/>
      <c r="AB779" s="19"/>
      <c r="FE779" s="54"/>
    </row>
    <row r="780" spans="1:161" s="18" customFormat="1">
      <c r="A780" s="51"/>
      <c r="B780" s="735"/>
      <c r="C780" s="735"/>
      <c r="D780" s="735"/>
      <c r="E780" s="735"/>
      <c r="F780" s="736"/>
      <c r="G780" s="735"/>
      <c r="H780" s="735"/>
      <c r="I780" s="735"/>
      <c r="J780" s="735"/>
      <c r="K780" s="735"/>
      <c r="L780" s="735"/>
      <c r="M780" s="735"/>
      <c r="N780" s="735"/>
      <c r="O780" s="19"/>
      <c r="P780" s="19"/>
      <c r="Q780" s="19"/>
      <c r="R780" s="19"/>
      <c r="S780" s="19"/>
      <c r="T780" s="19"/>
      <c r="U780" s="19"/>
      <c r="V780" s="19"/>
      <c r="W780" s="19"/>
      <c r="X780" s="19"/>
      <c r="Y780" s="19"/>
      <c r="Z780" s="19"/>
      <c r="AA780" s="19"/>
      <c r="AB780" s="19"/>
      <c r="FE780" s="54"/>
    </row>
    <row r="781" spans="1:161" s="18" customFormat="1">
      <c r="A781" s="51"/>
      <c r="B781" s="735"/>
      <c r="C781" s="735"/>
      <c r="D781" s="735"/>
      <c r="E781" s="735"/>
      <c r="F781" s="736"/>
      <c r="G781" s="735"/>
      <c r="H781" s="735"/>
      <c r="I781" s="735"/>
      <c r="J781" s="735"/>
      <c r="K781" s="735"/>
      <c r="L781" s="735"/>
      <c r="M781" s="735"/>
      <c r="N781" s="735"/>
      <c r="O781" s="19"/>
      <c r="P781" s="19"/>
      <c r="Q781" s="19"/>
      <c r="R781" s="19"/>
      <c r="S781" s="19"/>
      <c r="T781" s="19"/>
      <c r="U781" s="19"/>
      <c r="V781" s="19"/>
      <c r="W781" s="19"/>
      <c r="X781" s="19"/>
      <c r="Y781" s="19"/>
      <c r="Z781" s="19"/>
      <c r="AA781" s="19"/>
      <c r="AB781" s="19"/>
      <c r="FE781" s="54"/>
    </row>
    <row r="782" spans="1:161" s="18" customFormat="1">
      <c r="A782" s="51"/>
      <c r="B782" s="735"/>
      <c r="C782" s="735"/>
      <c r="D782" s="735"/>
      <c r="E782" s="735"/>
      <c r="F782" s="736"/>
      <c r="G782" s="735"/>
      <c r="H782" s="735"/>
      <c r="I782" s="735"/>
      <c r="J782" s="735"/>
      <c r="K782" s="735"/>
      <c r="L782" s="735"/>
      <c r="M782" s="735"/>
      <c r="N782" s="735"/>
      <c r="O782" s="19"/>
      <c r="P782" s="19"/>
      <c r="Q782" s="19"/>
      <c r="R782" s="19"/>
      <c r="S782" s="19"/>
      <c r="T782" s="19"/>
      <c r="U782" s="19"/>
      <c r="V782" s="19"/>
      <c r="W782" s="19"/>
      <c r="X782" s="19"/>
      <c r="Y782" s="19"/>
      <c r="Z782" s="19"/>
      <c r="AA782" s="19"/>
      <c r="AB782" s="19"/>
      <c r="FE782" s="54"/>
    </row>
    <row r="783" spans="1:161" s="18" customFormat="1">
      <c r="A783" s="51"/>
      <c r="B783" s="735"/>
      <c r="C783" s="735"/>
      <c r="D783" s="735"/>
      <c r="E783" s="735"/>
      <c r="F783" s="736"/>
      <c r="G783" s="735"/>
      <c r="H783" s="735"/>
      <c r="I783" s="735"/>
      <c r="J783" s="735"/>
      <c r="K783" s="735"/>
      <c r="L783" s="735"/>
      <c r="M783" s="735"/>
      <c r="N783" s="735"/>
      <c r="O783" s="19"/>
      <c r="P783" s="19"/>
      <c r="Q783" s="19"/>
      <c r="R783" s="19"/>
      <c r="S783" s="19"/>
      <c r="T783" s="19"/>
      <c r="U783" s="19"/>
      <c r="V783" s="19"/>
      <c r="W783" s="19"/>
      <c r="X783" s="19"/>
      <c r="Y783" s="19"/>
      <c r="Z783" s="19"/>
      <c r="AA783" s="19"/>
      <c r="AB783" s="19"/>
      <c r="FE783" s="54"/>
    </row>
    <row r="784" spans="1:161" s="18" customFormat="1">
      <c r="A784" s="51"/>
      <c r="B784" s="735"/>
      <c r="C784" s="735"/>
      <c r="D784" s="735"/>
      <c r="E784" s="735"/>
      <c r="F784" s="736"/>
      <c r="G784" s="735"/>
      <c r="H784" s="735"/>
      <c r="I784" s="735"/>
      <c r="J784" s="735"/>
      <c r="K784" s="735"/>
      <c r="L784" s="735"/>
      <c r="M784" s="735"/>
      <c r="N784" s="735"/>
      <c r="O784" s="19"/>
      <c r="P784" s="19"/>
      <c r="Q784" s="19"/>
      <c r="R784" s="19"/>
      <c r="S784" s="19"/>
      <c r="T784" s="19"/>
      <c r="U784" s="19"/>
      <c r="V784" s="19"/>
      <c r="W784" s="19"/>
      <c r="X784" s="19"/>
      <c r="Y784" s="19"/>
      <c r="Z784" s="19"/>
      <c r="AA784" s="19"/>
      <c r="AB784" s="19"/>
      <c r="FE784" s="54"/>
    </row>
    <row r="785" spans="1:161" s="18" customFormat="1">
      <c r="A785" s="51"/>
      <c r="B785" s="735"/>
      <c r="C785" s="735"/>
      <c r="D785" s="735"/>
      <c r="E785" s="735"/>
      <c r="F785" s="736"/>
      <c r="G785" s="735"/>
      <c r="H785" s="735"/>
      <c r="I785" s="735"/>
      <c r="J785" s="735"/>
      <c r="K785" s="735"/>
      <c r="L785" s="735"/>
      <c r="M785" s="735"/>
      <c r="N785" s="735"/>
      <c r="O785" s="19"/>
      <c r="P785" s="19"/>
      <c r="Q785" s="19"/>
      <c r="R785" s="19"/>
      <c r="S785" s="19"/>
      <c r="T785" s="19"/>
      <c r="U785" s="19"/>
      <c r="V785" s="19"/>
      <c r="W785" s="19"/>
      <c r="X785" s="19"/>
      <c r="Y785" s="19"/>
      <c r="Z785" s="19"/>
      <c r="AA785" s="19"/>
      <c r="AB785" s="19"/>
      <c r="FE785" s="54"/>
    </row>
    <row r="786" spans="1:161" s="18" customFormat="1">
      <c r="A786" s="51"/>
      <c r="B786" s="735"/>
      <c r="C786" s="735"/>
      <c r="D786" s="735"/>
      <c r="E786" s="735"/>
      <c r="F786" s="736"/>
      <c r="G786" s="735"/>
      <c r="H786" s="735"/>
      <c r="I786" s="735"/>
      <c r="J786" s="735"/>
      <c r="K786" s="735"/>
      <c r="L786" s="735"/>
      <c r="M786" s="735"/>
      <c r="N786" s="735"/>
      <c r="O786" s="19"/>
      <c r="P786" s="19"/>
      <c r="Q786" s="19"/>
      <c r="R786" s="19"/>
      <c r="S786" s="19"/>
      <c r="T786" s="19"/>
      <c r="U786" s="19"/>
      <c r="V786" s="19"/>
      <c r="W786" s="19"/>
      <c r="X786" s="19"/>
      <c r="Y786" s="19"/>
      <c r="Z786" s="19"/>
      <c r="AA786" s="19"/>
      <c r="AB786" s="19"/>
      <c r="FE786" s="54"/>
    </row>
    <row r="787" spans="1:161" s="18" customFormat="1">
      <c r="A787" s="51"/>
      <c r="B787" s="735"/>
      <c r="C787" s="735"/>
      <c r="D787" s="735"/>
      <c r="E787" s="735"/>
      <c r="F787" s="736"/>
      <c r="G787" s="735"/>
      <c r="H787" s="735"/>
      <c r="I787" s="735"/>
      <c r="J787" s="735"/>
      <c r="K787" s="735"/>
      <c r="L787" s="735"/>
      <c r="M787" s="735"/>
      <c r="N787" s="735"/>
      <c r="O787" s="19"/>
      <c r="P787" s="19"/>
      <c r="Q787" s="19"/>
      <c r="R787" s="19"/>
      <c r="S787" s="19"/>
      <c r="T787" s="19"/>
      <c r="U787" s="19"/>
      <c r="V787" s="19"/>
      <c r="W787" s="19"/>
      <c r="X787" s="19"/>
      <c r="Y787" s="19"/>
      <c r="Z787" s="19"/>
      <c r="AA787" s="19"/>
      <c r="AB787" s="19"/>
      <c r="FE787" s="54"/>
    </row>
    <row r="788" spans="1:161" s="18" customFormat="1">
      <c r="A788" s="51"/>
      <c r="B788" s="735"/>
      <c r="C788" s="735"/>
      <c r="D788" s="735"/>
      <c r="E788" s="735"/>
      <c r="F788" s="736"/>
      <c r="G788" s="735"/>
      <c r="H788" s="735"/>
      <c r="I788" s="735"/>
      <c r="J788" s="735"/>
      <c r="K788" s="735"/>
      <c r="L788" s="735"/>
      <c r="M788" s="735"/>
      <c r="N788" s="735"/>
      <c r="O788" s="19"/>
      <c r="P788" s="19"/>
      <c r="Q788" s="19"/>
      <c r="R788" s="19"/>
      <c r="S788" s="19"/>
      <c r="T788" s="19"/>
      <c r="U788" s="19"/>
      <c r="V788" s="19"/>
      <c r="W788" s="19"/>
      <c r="X788" s="19"/>
      <c r="Y788" s="19"/>
      <c r="Z788" s="19"/>
      <c r="AA788" s="19"/>
      <c r="AB788" s="19"/>
      <c r="FE788" s="54"/>
    </row>
    <row r="789" spans="1:161" s="18" customFormat="1">
      <c r="A789" s="51"/>
      <c r="B789" s="735"/>
      <c r="C789" s="735"/>
      <c r="D789" s="735"/>
      <c r="E789" s="735"/>
      <c r="F789" s="736"/>
      <c r="G789" s="735"/>
      <c r="H789" s="735"/>
      <c r="I789" s="735"/>
      <c r="J789" s="735"/>
      <c r="K789" s="735"/>
      <c r="L789" s="735"/>
      <c r="M789" s="735"/>
      <c r="N789" s="735"/>
      <c r="O789" s="19"/>
      <c r="P789" s="19"/>
      <c r="Q789" s="19"/>
      <c r="R789" s="19"/>
      <c r="S789" s="19"/>
      <c r="T789" s="19"/>
      <c r="U789" s="19"/>
      <c r="V789" s="19"/>
      <c r="W789" s="19"/>
      <c r="X789" s="19"/>
      <c r="Y789" s="19"/>
      <c r="Z789" s="19"/>
      <c r="AA789" s="19"/>
      <c r="AB789" s="19"/>
      <c r="FE789" s="54"/>
    </row>
    <row r="790" spans="1:161" s="18" customFormat="1">
      <c r="A790" s="51"/>
      <c r="B790" s="735"/>
      <c r="C790" s="735"/>
      <c r="D790" s="735"/>
      <c r="E790" s="735"/>
      <c r="F790" s="736"/>
      <c r="G790" s="735"/>
      <c r="H790" s="735"/>
      <c r="I790" s="735"/>
      <c r="J790" s="735"/>
      <c r="K790" s="735"/>
      <c r="L790" s="735"/>
      <c r="M790" s="735"/>
      <c r="N790" s="735"/>
      <c r="O790" s="19"/>
      <c r="P790" s="19"/>
      <c r="Q790" s="19"/>
      <c r="R790" s="19"/>
      <c r="S790" s="19"/>
      <c r="T790" s="19"/>
      <c r="U790" s="19"/>
      <c r="V790" s="19"/>
      <c r="W790" s="19"/>
      <c r="X790" s="19"/>
      <c r="Y790" s="19"/>
      <c r="Z790" s="19"/>
      <c r="AA790" s="19"/>
      <c r="AB790" s="19"/>
      <c r="FE790" s="54"/>
    </row>
    <row r="791" spans="1:161" s="18" customFormat="1">
      <c r="A791" s="51"/>
      <c r="B791" s="735"/>
      <c r="C791" s="735"/>
      <c r="D791" s="735"/>
      <c r="E791" s="735"/>
      <c r="F791" s="736"/>
      <c r="G791" s="735"/>
      <c r="H791" s="735"/>
      <c r="I791" s="735"/>
      <c r="J791" s="735"/>
      <c r="K791" s="735"/>
      <c r="L791" s="735"/>
      <c r="M791" s="735"/>
      <c r="N791" s="735"/>
      <c r="O791" s="19"/>
      <c r="P791" s="19"/>
      <c r="Q791" s="19"/>
      <c r="R791" s="19"/>
      <c r="S791" s="19"/>
      <c r="T791" s="19"/>
      <c r="U791" s="19"/>
      <c r="V791" s="19"/>
      <c r="W791" s="19"/>
      <c r="X791" s="19"/>
      <c r="Y791" s="19"/>
      <c r="Z791" s="19"/>
      <c r="AA791" s="19"/>
      <c r="AB791" s="19"/>
      <c r="FE791" s="54"/>
    </row>
    <row r="792" spans="1:161" s="18" customFormat="1">
      <c r="A792" s="51"/>
      <c r="B792" s="735"/>
      <c r="C792" s="735"/>
      <c r="D792" s="735"/>
      <c r="E792" s="735"/>
      <c r="F792" s="736"/>
      <c r="G792" s="735"/>
      <c r="H792" s="735"/>
      <c r="I792" s="735"/>
      <c r="J792" s="735"/>
      <c r="K792" s="735"/>
      <c r="L792" s="735"/>
      <c r="M792" s="735"/>
      <c r="N792" s="735"/>
      <c r="O792" s="19"/>
      <c r="P792" s="19"/>
      <c r="Q792" s="19"/>
      <c r="R792" s="19"/>
      <c r="S792" s="19"/>
      <c r="T792" s="19"/>
      <c r="U792" s="19"/>
      <c r="V792" s="19"/>
      <c r="W792" s="19"/>
      <c r="X792" s="19"/>
      <c r="Y792" s="19"/>
      <c r="Z792" s="19"/>
      <c r="AA792" s="19"/>
      <c r="AB792" s="19"/>
      <c r="FE792" s="54"/>
    </row>
    <row r="793" spans="1:161" s="18" customFormat="1">
      <c r="A793" s="51"/>
      <c r="B793" s="735"/>
      <c r="C793" s="735"/>
      <c r="D793" s="735"/>
      <c r="E793" s="735"/>
      <c r="F793" s="736"/>
      <c r="G793" s="735"/>
      <c r="H793" s="735"/>
      <c r="I793" s="735"/>
      <c r="J793" s="735"/>
      <c r="K793" s="735"/>
      <c r="L793" s="735"/>
      <c r="M793" s="735"/>
      <c r="N793" s="735"/>
      <c r="O793" s="19"/>
      <c r="P793" s="19"/>
      <c r="Q793" s="19"/>
      <c r="R793" s="19"/>
      <c r="S793" s="19"/>
      <c r="T793" s="19"/>
      <c r="U793" s="19"/>
      <c r="V793" s="19"/>
      <c r="W793" s="19"/>
      <c r="X793" s="19"/>
      <c r="Y793" s="19"/>
      <c r="Z793" s="19"/>
      <c r="AA793" s="19"/>
      <c r="AB793" s="19"/>
      <c r="FE793" s="54"/>
    </row>
    <row r="794" spans="1:161" s="18" customFormat="1">
      <c r="A794" s="51"/>
      <c r="B794" s="735"/>
      <c r="C794" s="735"/>
      <c r="D794" s="735"/>
      <c r="E794" s="735"/>
      <c r="F794" s="736"/>
      <c r="G794" s="735"/>
      <c r="H794" s="735"/>
      <c r="I794" s="735"/>
      <c r="J794" s="735"/>
      <c r="K794" s="735"/>
      <c r="L794" s="735"/>
      <c r="M794" s="735"/>
      <c r="N794" s="735"/>
      <c r="O794" s="19"/>
      <c r="P794" s="19"/>
      <c r="Q794" s="19"/>
      <c r="R794" s="19"/>
      <c r="S794" s="19"/>
      <c r="T794" s="19"/>
      <c r="U794" s="19"/>
      <c r="V794" s="19"/>
      <c r="W794" s="19"/>
      <c r="X794" s="19"/>
      <c r="Y794" s="19"/>
      <c r="Z794" s="19"/>
      <c r="AA794" s="19"/>
      <c r="AB794" s="19"/>
      <c r="FE794" s="54"/>
    </row>
    <row r="795" spans="1:161" s="18" customFormat="1">
      <c r="A795" s="51"/>
      <c r="B795" s="735"/>
      <c r="C795" s="735"/>
      <c r="D795" s="735"/>
      <c r="E795" s="735"/>
      <c r="F795" s="736"/>
      <c r="G795" s="735"/>
      <c r="H795" s="735"/>
      <c r="I795" s="735"/>
      <c r="J795" s="735"/>
      <c r="K795" s="735"/>
      <c r="L795" s="735"/>
      <c r="M795" s="735"/>
      <c r="N795" s="735"/>
      <c r="O795" s="19"/>
      <c r="P795" s="19"/>
      <c r="Q795" s="19"/>
      <c r="R795" s="19"/>
      <c r="S795" s="19"/>
      <c r="T795" s="19"/>
      <c r="U795" s="19"/>
      <c r="V795" s="19"/>
      <c r="W795" s="19"/>
      <c r="X795" s="19"/>
      <c r="Y795" s="19"/>
      <c r="Z795" s="19"/>
      <c r="AA795" s="19"/>
      <c r="AB795" s="19"/>
      <c r="FE795" s="54"/>
    </row>
    <row r="796" spans="1:161" s="18" customFormat="1">
      <c r="A796" s="51"/>
      <c r="B796" s="735"/>
      <c r="C796" s="735"/>
      <c r="D796" s="735"/>
      <c r="E796" s="735"/>
      <c r="F796" s="736"/>
      <c r="G796" s="735"/>
      <c r="H796" s="735"/>
      <c r="I796" s="735"/>
      <c r="J796" s="735"/>
      <c r="K796" s="735"/>
      <c r="L796" s="735"/>
      <c r="M796" s="735"/>
      <c r="N796" s="735"/>
      <c r="O796" s="19"/>
      <c r="P796" s="19"/>
      <c r="Q796" s="19"/>
      <c r="R796" s="19"/>
      <c r="S796" s="19"/>
      <c r="T796" s="19"/>
      <c r="U796" s="19"/>
      <c r="V796" s="19"/>
      <c r="W796" s="19"/>
      <c r="X796" s="19"/>
      <c r="Y796" s="19"/>
      <c r="Z796" s="19"/>
      <c r="AA796" s="19"/>
      <c r="AB796" s="19"/>
      <c r="FE796" s="54"/>
    </row>
    <row r="797" spans="1:161" s="18" customFormat="1">
      <c r="A797" s="51"/>
      <c r="B797" s="735"/>
      <c r="C797" s="735"/>
      <c r="D797" s="735"/>
      <c r="E797" s="735"/>
      <c r="F797" s="736"/>
      <c r="G797" s="735"/>
      <c r="H797" s="735"/>
      <c r="I797" s="735"/>
      <c r="J797" s="735"/>
      <c r="K797" s="735"/>
      <c r="L797" s="735"/>
      <c r="M797" s="735"/>
      <c r="N797" s="735"/>
      <c r="O797" s="19"/>
      <c r="P797" s="19"/>
      <c r="Q797" s="19"/>
      <c r="R797" s="19"/>
      <c r="S797" s="19"/>
      <c r="T797" s="19"/>
      <c r="U797" s="19"/>
      <c r="V797" s="19"/>
      <c r="W797" s="19"/>
      <c r="X797" s="19"/>
      <c r="Y797" s="19"/>
      <c r="Z797" s="19"/>
      <c r="AA797" s="19"/>
      <c r="AB797" s="19"/>
      <c r="FE797" s="54"/>
    </row>
    <row r="798" spans="1:161" s="18" customFormat="1">
      <c r="A798" s="51"/>
      <c r="B798" s="735"/>
      <c r="C798" s="735"/>
      <c r="D798" s="735"/>
      <c r="E798" s="735"/>
      <c r="F798" s="736"/>
      <c r="G798" s="735"/>
      <c r="H798" s="735"/>
      <c r="I798" s="735"/>
      <c r="J798" s="735"/>
      <c r="K798" s="735"/>
      <c r="L798" s="735"/>
      <c r="M798" s="735"/>
      <c r="N798" s="735"/>
      <c r="O798" s="19"/>
      <c r="P798" s="19"/>
      <c r="Q798" s="19"/>
      <c r="R798" s="19"/>
      <c r="S798" s="19"/>
      <c r="T798" s="19"/>
      <c r="U798" s="19"/>
      <c r="V798" s="19"/>
      <c r="W798" s="19"/>
      <c r="X798" s="19"/>
      <c r="Y798" s="19"/>
      <c r="Z798" s="19"/>
      <c r="AA798" s="19"/>
      <c r="AB798" s="19"/>
      <c r="FE798" s="54"/>
    </row>
    <row r="799" spans="1:161" s="18" customFormat="1">
      <c r="A799" s="51"/>
      <c r="B799" s="735"/>
      <c r="C799" s="735"/>
      <c r="D799" s="735"/>
      <c r="E799" s="735"/>
      <c r="F799" s="736"/>
      <c r="G799" s="735"/>
      <c r="H799" s="735"/>
      <c r="I799" s="735"/>
      <c r="J799" s="735"/>
      <c r="K799" s="735"/>
      <c r="L799" s="735"/>
      <c r="M799" s="735"/>
      <c r="N799" s="735"/>
      <c r="O799" s="19"/>
      <c r="P799" s="19"/>
      <c r="Q799" s="19"/>
      <c r="R799" s="19"/>
      <c r="S799" s="19"/>
      <c r="T799" s="19"/>
      <c r="U799" s="19"/>
      <c r="V799" s="19"/>
      <c r="W799" s="19"/>
      <c r="X799" s="19"/>
      <c r="Y799" s="19"/>
      <c r="Z799" s="19"/>
      <c r="AA799" s="19"/>
      <c r="AB799" s="19"/>
      <c r="FE799" s="54"/>
    </row>
    <row r="800" spans="1:161" s="18" customFormat="1">
      <c r="A800" s="51"/>
      <c r="B800" s="735"/>
      <c r="C800" s="735"/>
      <c r="D800" s="735"/>
      <c r="E800" s="735"/>
      <c r="F800" s="736"/>
      <c r="G800" s="735"/>
      <c r="H800" s="735"/>
      <c r="I800" s="735"/>
      <c r="J800" s="735"/>
      <c r="K800" s="735"/>
      <c r="L800" s="735"/>
      <c r="M800" s="735"/>
      <c r="N800" s="735"/>
      <c r="O800" s="19"/>
      <c r="P800" s="19"/>
      <c r="Q800" s="19"/>
      <c r="R800" s="19"/>
      <c r="S800" s="19"/>
      <c r="T800" s="19"/>
      <c r="U800" s="19"/>
      <c r="V800" s="19"/>
      <c r="W800" s="19"/>
      <c r="X800" s="19"/>
      <c r="Y800" s="19"/>
      <c r="Z800" s="19"/>
      <c r="AA800" s="19"/>
      <c r="AB800" s="19"/>
      <c r="FE800" s="54"/>
    </row>
    <row r="801" spans="1:161" s="18" customFormat="1">
      <c r="A801" s="51"/>
      <c r="B801" s="735"/>
      <c r="C801" s="735"/>
      <c r="D801" s="735"/>
      <c r="E801" s="735"/>
      <c r="F801" s="736"/>
      <c r="G801" s="735"/>
      <c r="H801" s="735"/>
      <c r="I801" s="735"/>
      <c r="J801" s="735"/>
      <c r="K801" s="735"/>
      <c r="L801" s="735"/>
      <c r="M801" s="735"/>
      <c r="N801" s="735"/>
      <c r="O801" s="19"/>
      <c r="P801" s="19"/>
      <c r="Q801" s="19"/>
      <c r="R801" s="19"/>
      <c r="S801" s="19"/>
      <c r="T801" s="19"/>
      <c r="U801" s="19"/>
      <c r="V801" s="19"/>
      <c r="W801" s="19"/>
      <c r="X801" s="19"/>
      <c r="Y801" s="19"/>
      <c r="Z801" s="19"/>
      <c r="AA801" s="19"/>
      <c r="AB801" s="19"/>
      <c r="FE801" s="54"/>
    </row>
    <row r="802" spans="1:161" s="18" customFormat="1">
      <c r="A802" s="51"/>
      <c r="B802" s="735"/>
      <c r="C802" s="735"/>
      <c r="D802" s="735"/>
      <c r="E802" s="735"/>
      <c r="F802" s="736"/>
      <c r="G802" s="735"/>
      <c r="H802" s="735"/>
      <c r="I802" s="735"/>
      <c r="J802" s="735"/>
      <c r="K802" s="735"/>
      <c r="L802" s="735"/>
      <c r="M802" s="735"/>
      <c r="N802" s="735"/>
      <c r="O802" s="19"/>
      <c r="P802" s="19"/>
      <c r="Q802" s="19"/>
      <c r="R802" s="19"/>
      <c r="S802" s="19"/>
      <c r="T802" s="19"/>
      <c r="U802" s="19"/>
      <c r="V802" s="19"/>
      <c r="W802" s="19"/>
      <c r="X802" s="19"/>
      <c r="Y802" s="19"/>
      <c r="Z802" s="19"/>
      <c r="AA802" s="19"/>
      <c r="AB802" s="19"/>
      <c r="FE802" s="54"/>
    </row>
    <row r="803" spans="1:161" s="18" customFormat="1">
      <c r="A803" s="51"/>
      <c r="B803" s="735"/>
      <c r="C803" s="735"/>
      <c r="D803" s="735"/>
      <c r="E803" s="735"/>
      <c r="F803" s="736"/>
      <c r="G803" s="735"/>
      <c r="H803" s="735"/>
      <c r="I803" s="735"/>
      <c r="J803" s="735"/>
      <c r="K803" s="735"/>
      <c r="L803" s="735"/>
      <c r="M803" s="735"/>
      <c r="N803" s="735"/>
      <c r="O803" s="19"/>
      <c r="P803" s="19"/>
      <c r="Q803" s="19"/>
      <c r="R803" s="19"/>
      <c r="S803" s="19"/>
      <c r="T803" s="19"/>
      <c r="U803" s="19"/>
      <c r="V803" s="19"/>
      <c r="W803" s="19"/>
      <c r="X803" s="19"/>
      <c r="Y803" s="19"/>
      <c r="Z803" s="19"/>
      <c r="AA803" s="19"/>
      <c r="AB803" s="19"/>
      <c r="FE803" s="54"/>
    </row>
    <row r="804" spans="1:161" s="18" customFormat="1">
      <c r="A804" s="51"/>
      <c r="B804" s="735"/>
      <c r="C804" s="735"/>
      <c r="D804" s="735"/>
      <c r="E804" s="735"/>
      <c r="F804" s="736"/>
      <c r="G804" s="735"/>
      <c r="H804" s="735"/>
      <c r="I804" s="735"/>
      <c r="J804" s="735"/>
      <c r="K804" s="735"/>
      <c r="L804" s="735"/>
      <c r="M804" s="735"/>
      <c r="N804" s="735"/>
      <c r="O804" s="19"/>
      <c r="P804" s="19"/>
      <c r="Q804" s="19"/>
      <c r="R804" s="19"/>
      <c r="S804" s="19"/>
      <c r="T804" s="19"/>
      <c r="U804" s="19"/>
      <c r="V804" s="19"/>
      <c r="W804" s="19"/>
      <c r="X804" s="19"/>
      <c r="Y804" s="19"/>
      <c r="Z804" s="19"/>
      <c r="AA804" s="19"/>
      <c r="AB804" s="19"/>
      <c r="FE804" s="54"/>
    </row>
    <row r="805" spans="1:161" s="18" customFormat="1">
      <c r="A805" s="51"/>
      <c r="B805" s="735"/>
      <c r="C805" s="735"/>
      <c r="D805" s="735"/>
      <c r="E805" s="735"/>
      <c r="F805" s="736"/>
      <c r="G805" s="735"/>
      <c r="H805" s="735"/>
      <c r="I805" s="735"/>
      <c r="J805" s="735"/>
      <c r="K805" s="735"/>
      <c r="L805" s="735"/>
      <c r="M805" s="735"/>
      <c r="N805" s="735"/>
      <c r="O805" s="19"/>
      <c r="P805" s="19"/>
      <c r="Q805" s="19"/>
      <c r="R805" s="19"/>
      <c r="S805" s="19"/>
      <c r="T805" s="19"/>
      <c r="U805" s="19"/>
      <c r="V805" s="19"/>
      <c r="W805" s="19"/>
      <c r="X805" s="19"/>
      <c r="Y805" s="19"/>
      <c r="Z805" s="19"/>
      <c r="AA805" s="19"/>
      <c r="AB805" s="19"/>
      <c r="FE805" s="54"/>
    </row>
    <row r="806" spans="1:161" s="18" customFormat="1">
      <c r="A806" s="51"/>
      <c r="B806" s="735"/>
      <c r="C806" s="735"/>
      <c r="D806" s="735"/>
      <c r="E806" s="735"/>
      <c r="F806" s="736"/>
      <c r="G806" s="735"/>
      <c r="H806" s="735"/>
      <c r="I806" s="735"/>
      <c r="J806" s="735"/>
      <c r="K806" s="735"/>
      <c r="L806" s="735"/>
      <c r="M806" s="735"/>
      <c r="N806" s="735"/>
      <c r="O806" s="19"/>
      <c r="P806" s="19"/>
      <c r="Q806" s="19"/>
      <c r="R806" s="19"/>
      <c r="S806" s="19"/>
      <c r="T806" s="19"/>
      <c r="U806" s="19"/>
      <c r="V806" s="19"/>
      <c r="W806" s="19"/>
      <c r="X806" s="19"/>
      <c r="Y806" s="19"/>
      <c r="Z806" s="19"/>
      <c r="AA806" s="19"/>
      <c r="AB806" s="19"/>
      <c r="FE806" s="54"/>
    </row>
    <row r="807" spans="1:161" s="18" customFormat="1">
      <c r="A807" s="51"/>
      <c r="B807" s="735"/>
      <c r="C807" s="735"/>
      <c r="D807" s="735"/>
      <c r="E807" s="735"/>
      <c r="F807" s="736"/>
      <c r="G807" s="735"/>
      <c r="H807" s="735"/>
      <c r="I807" s="735"/>
      <c r="J807" s="735"/>
      <c r="K807" s="735"/>
      <c r="L807" s="735"/>
      <c r="M807" s="735"/>
      <c r="N807" s="735"/>
      <c r="O807" s="19"/>
      <c r="P807" s="19"/>
      <c r="Q807" s="19"/>
      <c r="R807" s="19"/>
      <c r="S807" s="19"/>
      <c r="T807" s="19"/>
      <c r="U807" s="19"/>
      <c r="V807" s="19"/>
      <c r="W807" s="19"/>
      <c r="X807" s="19"/>
      <c r="Y807" s="19"/>
      <c r="Z807" s="19"/>
      <c r="AA807" s="19"/>
      <c r="AB807" s="19"/>
      <c r="FE807" s="54"/>
    </row>
    <row r="808" spans="1:161" s="18" customFormat="1">
      <c r="A808" s="51"/>
      <c r="B808" s="735"/>
      <c r="C808" s="735"/>
      <c r="D808" s="735"/>
      <c r="E808" s="735"/>
      <c r="F808" s="736"/>
      <c r="G808" s="735"/>
      <c r="H808" s="735"/>
      <c r="I808" s="735"/>
      <c r="J808" s="735"/>
      <c r="K808" s="735"/>
      <c r="L808" s="735"/>
      <c r="M808" s="735"/>
      <c r="N808" s="735"/>
      <c r="O808" s="19"/>
      <c r="P808" s="19"/>
      <c r="Q808" s="19"/>
      <c r="R808" s="19"/>
      <c r="S808" s="19"/>
      <c r="T808" s="19"/>
      <c r="U808" s="19"/>
      <c r="V808" s="19"/>
      <c r="W808" s="19"/>
      <c r="X808" s="19"/>
      <c r="Y808" s="19"/>
      <c r="Z808" s="19"/>
      <c r="AA808" s="19"/>
      <c r="AB808" s="19"/>
      <c r="FE808" s="54"/>
    </row>
    <row r="809" spans="1:161" s="18" customFormat="1">
      <c r="A809" s="51"/>
      <c r="B809" s="735"/>
      <c r="C809" s="735"/>
      <c r="D809" s="735"/>
      <c r="E809" s="735"/>
      <c r="F809" s="736"/>
      <c r="G809" s="735"/>
      <c r="H809" s="735"/>
      <c r="I809" s="735"/>
      <c r="J809" s="735"/>
      <c r="K809" s="735"/>
      <c r="L809" s="735"/>
      <c r="M809" s="735"/>
      <c r="N809" s="735"/>
      <c r="O809" s="19"/>
      <c r="P809" s="19"/>
      <c r="Q809" s="19"/>
      <c r="R809" s="19"/>
      <c r="S809" s="19"/>
      <c r="T809" s="19"/>
      <c r="U809" s="19"/>
      <c r="V809" s="19"/>
      <c r="W809" s="19"/>
      <c r="X809" s="19"/>
      <c r="Y809" s="19"/>
      <c r="Z809" s="19"/>
      <c r="AA809" s="19"/>
      <c r="AB809" s="19"/>
      <c r="FE809" s="54"/>
    </row>
    <row r="810" spans="1:161" s="18" customFormat="1">
      <c r="A810" s="51"/>
      <c r="B810" s="735"/>
      <c r="C810" s="735"/>
      <c r="D810" s="735"/>
      <c r="E810" s="735"/>
      <c r="F810" s="736"/>
      <c r="G810" s="735"/>
      <c r="H810" s="735"/>
      <c r="I810" s="735"/>
      <c r="J810" s="735"/>
      <c r="K810" s="735"/>
      <c r="L810" s="735"/>
      <c r="M810" s="735"/>
      <c r="N810" s="735"/>
      <c r="O810" s="19"/>
      <c r="P810" s="19"/>
      <c r="Q810" s="19"/>
      <c r="R810" s="19"/>
      <c r="S810" s="19"/>
      <c r="T810" s="19"/>
      <c r="U810" s="19"/>
      <c r="V810" s="19"/>
      <c r="W810" s="19"/>
      <c r="X810" s="19"/>
      <c r="Y810" s="19"/>
      <c r="Z810" s="19"/>
      <c r="AA810" s="19"/>
      <c r="AB810" s="19"/>
      <c r="FE810" s="54"/>
    </row>
    <row r="811" spans="1:161" s="18" customFormat="1">
      <c r="A811" s="51"/>
      <c r="B811" s="735"/>
      <c r="C811" s="735"/>
      <c r="D811" s="735"/>
      <c r="E811" s="735"/>
      <c r="F811" s="736"/>
      <c r="G811" s="735"/>
      <c r="H811" s="735"/>
      <c r="I811" s="735"/>
      <c r="J811" s="735"/>
      <c r="K811" s="735"/>
      <c r="L811" s="735"/>
      <c r="M811" s="735"/>
      <c r="N811" s="735"/>
      <c r="O811" s="19"/>
      <c r="P811" s="19"/>
      <c r="Q811" s="19"/>
      <c r="R811" s="19"/>
      <c r="S811" s="19"/>
      <c r="T811" s="19"/>
      <c r="U811" s="19"/>
      <c r="V811" s="19"/>
      <c r="W811" s="19"/>
      <c r="X811" s="19"/>
      <c r="Y811" s="19"/>
      <c r="Z811" s="19"/>
      <c r="AA811" s="19"/>
      <c r="AB811" s="19"/>
      <c r="FE811" s="54"/>
    </row>
    <row r="812" spans="1:161" s="18" customFormat="1">
      <c r="A812" s="51"/>
      <c r="B812" s="735"/>
      <c r="C812" s="735"/>
      <c r="D812" s="735"/>
      <c r="E812" s="735"/>
      <c r="F812" s="736"/>
      <c r="G812" s="735"/>
      <c r="H812" s="735"/>
      <c r="I812" s="735"/>
      <c r="J812" s="735"/>
      <c r="K812" s="735"/>
      <c r="L812" s="735"/>
      <c r="M812" s="735"/>
      <c r="N812" s="735"/>
      <c r="O812" s="19"/>
      <c r="P812" s="19"/>
      <c r="Q812" s="19"/>
      <c r="R812" s="19"/>
      <c r="S812" s="19"/>
      <c r="T812" s="19"/>
      <c r="U812" s="19"/>
      <c r="V812" s="19"/>
      <c r="W812" s="19"/>
      <c r="X812" s="19"/>
      <c r="Y812" s="19"/>
      <c r="Z812" s="19"/>
      <c r="AA812" s="19"/>
      <c r="AB812" s="19"/>
      <c r="FE812" s="54"/>
    </row>
    <row r="813" spans="1:161" s="18" customFormat="1">
      <c r="A813" s="51"/>
      <c r="B813" s="735"/>
      <c r="C813" s="735"/>
      <c r="D813" s="735"/>
      <c r="E813" s="735"/>
      <c r="F813" s="736"/>
      <c r="G813" s="735"/>
      <c r="H813" s="735"/>
      <c r="I813" s="735"/>
      <c r="J813" s="735"/>
      <c r="K813" s="735"/>
      <c r="L813" s="735"/>
      <c r="M813" s="735"/>
      <c r="N813" s="735"/>
      <c r="O813" s="19"/>
      <c r="P813" s="19"/>
      <c r="Q813" s="19"/>
      <c r="R813" s="19"/>
      <c r="S813" s="19"/>
      <c r="T813" s="19"/>
      <c r="U813" s="19"/>
      <c r="V813" s="19"/>
      <c r="W813" s="19"/>
      <c r="X813" s="19"/>
      <c r="Y813" s="19"/>
      <c r="Z813" s="19"/>
      <c r="AA813" s="19"/>
      <c r="AB813" s="19"/>
      <c r="FE813" s="54"/>
    </row>
    <row r="814" spans="1:161" s="18" customFormat="1">
      <c r="A814" s="51"/>
      <c r="B814" s="735"/>
      <c r="C814" s="735"/>
      <c r="D814" s="735"/>
      <c r="E814" s="735"/>
      <c r="F814" s="736"/>
      <c r="G814" s="735"/>
      <c r="H814" s="735"/>
      <c r="I814" s="735"/>
      <c r="J814" s="735"/>
      <c r="K814" s="735"/>
      <c r="L814" s="735"/>
      <c r="M814" s="735"/>
      <c r="N814" s="735"/>
      <c r="O814" s="19"/>
      <c r="P814" s="19"/>
      <c r="Q814" s="19"/>
      <c r="R814" s="19"/>
      <c r="S814" s="19"/>
      <c r="T814" s="19"/>
      <c r="U814" s="19"/>
      <c r="V814" s="19"/>
      <c r="W814" s="19"/>
      <c r="X814" s="19"/>
      <c r="Y814" s="19"/>
      <c r="Z814" s="19"/>
      <c r="AA814" s="19"/>
      <c r="AB814" s="19"/>
      <c r="FE814" s="54"/>
    </row>
    <row r="815" spans="1:161" s="18" customFormat="1">
      <c r="A815" s="51"/>
      <c r="B815" s="735"/>
      <c r="C815" s="735"/>
      <c r="D815" s="735"/>
      <c r="E815" s="735"/>
      <c r="F815" s="736"/>
      <c r="G815" s="735"/>
      <c r="H815" s="735"/>
      <c r="I815" s="735"/>
      <c r="J815" s="735"/>
      <c r="K815" s="735"/>
      <c r="L815" s="735"/>
      <c r="M815" s="735"/>
      <c r="N815" s="735"/>
      <c r="O815" s="19"/>
      <c r="P815" s="19"/>
      <c r="Q815" s="19"/>
      <c r="R815" s="19"/>
      <c r="S815" s="19"/>
      <c r="T815" s="19"/>
      <c r="U815" s="19"/>
      <c r="V815" s="19"/>
      <c r="W815" s="19"/>
      <c r="X815" s="19"/>
      <c r="Y815" s="19"/>
      <c r="Z815" s="19"/>
      <c r="AA815" s="19"/>
      <c r="AB815" s="19"/>
      <c r="FE815" s="54"/>
    </row>
    <row r="816" spans="1:161" s="18" customFormat="1">
      <c r="A816" s="51"/>
      <c r="B816" s="735"/>
      <c r="C816" s="735"/>
      <c r="D816" s="735"/>
      <c r="E816" s="735"/>
      <c r="F816" s="736"/>
      <c r="G816" s="735"/>
      <c r="H816" s="735"/>
      <c r="I816" s="735"/>
      <c r="J816" s="735"/>
      <c r="K816" s="735"/>
      <c r="L816" s="735"/>
      <c r="M816" s="735"/>
      <c r="N816" s="735"/>
      <c r="O816" s="19"/>
      <c r="P816" s="19"/>
      <c r="Q816" s="19"/>
      <c r="R816" s="19"/>
      <c r="S816" s="19"/>
      <c r="T816" s="19"/>
      <c r="U816" s="19"/>
      <c r="V816" s="19"/>
      <c r="W816" s="19"/>
      <c r="X816" s="19"/>
      <c r="Y816" s="19"/>
      <c r="Z816" s="19"/>
      <c r="AA816" s="19"/>
      <c r="AB816" s="19"/>
      <c r="FE816" s="54"/>
    </row>
    <row r="817" spans="1:161" s="18" customFormat="1">
      <c r="A817" s="51"/>
      <c r="B817" s="735"/>
      <c r="C817" s="735"/>
      <c r="D817" s="735"/>
      <c r="E817" s="735"/>
      <c r="F817" s="736"/>
      <c r="G817" s="735"/>
      <c r="H817" s="735"/>
      <c r="I817" s="735"/>
      <c r="J817" s="735"/>
      <c r="K817" s="735"/>
      <c r="L817" s="735"/>
      <c r="M817" s="735"/>
      <c r="N817" s="735"/>
      <c r="O817" s="19"/>
      <c r="P817" s="19"/>
      <c r="Q817" s="19"/>
      <c r="R817" s="19"/>
      <c r="S817" s="19"/>
      <c r="T817" s="19"/>
      <c r="U817" s="19"/>
      <c r="V817" s="19"/>
      <c r="W817" s="19"/>
      <c r="X817" s="19"/>
      <c r="Y817" s="19"/>
      <c r="Z817" s="19"/>
      <c r="AA817" s="19"/>
      <c r="AB817" s="19"/>
      <c r="FE817" s="54"/>
    </row>
    <row r="818" spans="1:161" s="18" customFormat="1">
      <c r="A818" s="51"/>
      <c r="B818" s="735"/>
      <c r="C818" s="735"/>
      <c r="D818" s="735"/>
      <c r="E818" s="735"/>
      <c r="F818" s="736"/>
      <c r="G818" s="735"/>
      <c r="H818" s="735"/>
      <c r="I818" s="735"/>
      <c r="J818" s="735"/>
      <c r="K818" s="735"/>
      <c r="L818" s="735"/>
      <c r="M818" s="735"/>
      <c r="N818" s="735"/>
      <c r="O818" s="19"/>
      <c r="P818" s="19"/>
      <c r="Q818" s="19"/>
      <c r="R818" s="19"/>
      <c r="S818" s="19"/>
      <c r="T818" s="19"/>
      <c r="U818" s="19"/>
      <c r="V818" s="19"/>
      <c r="W818" s="19"/>
      <c r="X818" s="19"/>
      <c r="Y818" s="19"/>
      <c r="Z818" s="19"/>
      <c r="AA818" s="19"/>
      <c r="AB818" s="19"/>
      <c r="FE818" s="54"/>
    </row>
    <row r="819" spans="1:161" s="18" customFormat="1">
      <c r="A819" s="51"/>
      <c r="B819" s="735"/>
      <c r="C819" s="735"/>
      <c r="D819" s="735"/>
      <c r="E819" s="735"/>
      <c r="F819" s="736"/>
      <c r="G819" s="735"/>
      <c r="H819" s="735"/>
      <c r="I819" s="735"/>
      <c r="J819" s="735"/>
      <c r="K819" s="735"/>
      <c r="L819" s="735"/>
      <c r="M819" s="735"/>
      <c r="N819" s="735"/>
      <c r="O819" s="19"/>
      <c r="P819" s="19"/>
      <c r="Q819" s="19"/>
      <c r="R819" s="19"/>
      <c r="S819" s="19"/>
      <c r="T819" s="19"/>
      <c r="U819" s="19"/>
      <c r="V819" s="19"/>
      <c r="W819" s="19"/>
      <c r="X819" s="19"/>
      <c r="Y819" s="19"/>
      <c r="Z819" s="19"/>
      <c r="AA819" s="19"/>
      <c r="AB819" s="19"/>
      <c r="FE819" s="54"/>
    </row>
    <row r="820" spans="1:161" s="18" customFormat="1">
      <c r="A820" s="51"/>
      <c r="B820" s="735"/>
      <c r="C820" s="735"/>
      <c r="D820" s="735"/>
      <c r="E820" s="735"/>
      <c r="F820" s="736"/>
      <c r="G820" s="735"/>
      <c r="H820" s="735"/>
      <c r="I820" s="735"/>
      <c r="J820" s="735"/>
      <c r="K820" s="735"/>
      <c r="L820" s="735"/>
      <c r="M820" s="735"/>
      <c r="N820" s="735"/>
      <c r="O820" s="19"/>
      <c r="P820" s="19"/>
      <c r="Q820" s="19"/>
      <c r="R820" s="19"/>
      <c r="S820" s="19"/>
      <c r="T820" s="19"/>
      <c r="U820" s="19"/>
      <c r="V820" s="19"/>
      <c r="W820" s="19"/>
      <c r="X820" s="19"/>
      <c r="Y820" s="19"/>
      <c r="Z820" s="19"/>
      <c r="AA820" s="19"/>
      <c r="AB820" s="19"/>
      <c r="FE820" s="54"/>
    </row>
    <row r="821" spans="1:161" s="18" customFormat="1">
      <c r="A821" s="51"/>
      <c r="B821" s="735"/>
      <c r="C821" s="735"/>
      <c r="D821" s="735"/>
      <c r="E821" s="735"/>
      <c r="F821" s="736"/>
      <c r="G821" s="735"/>
      <c r="H821" s="735"/>
      <c r="I821" s="735"/>
      <c r="J821" s="735"/>
      <c r="K821" s="735"/>
      <c r="L821" s="735"/>
      <c r="M821" s="735"/>
      <c r="N821" s="735"/>
      <c r="O821" s="19"/>
      <c r="P821" s="19"/>
      <c r="Q821" s="19"/>
      <c r="R821" s="19"/>
      <c r="S821" s="19"/>
      <c r="T821" s="19"/>
      <c r="U821" s="19"/>
      <c r="V821" s="19"/>
      <c r="W821" s="19"/>
      <c r="X821" s="19"/>
      <c r="Y821" s="19"/>
      <c r="Z821" s="19"/>
      <c r="AA821" s="19"/>
      <c r="AB821" s="19"/>
      <c r="FE821" s="54"/>
    </row>
    <row r="822" spans="1:161" s="18" customFormat="1">
      <c r="A822" s="51"/>
      <c r="B822" s="735"/>
      <c r="C822" s="735"/>
      <c r="D822" s="735"/>
      <c r="E822" s="735"/>
      <c r="F822" s="736"/>
      <c r="G822" s="735"/>
      <c r="H822" s="735"/>
      <c r="I822" s="735"/>
      <c r="J822" s="735"/>
      <c r="K822" s="735"/>
      <c r="L822" s="735"/>
      <c r="M822" s="735"/>
      <c r="N822" s="735"/>
      <c r="O822" s="19"/>
      <c r="P822" s="19"/>
      <c r="Q822" s="19"/>
      <c r="R822" s="19"/>
      <c r="S822" s="19"/>
      <c r="T822" s="19"/>
      <c r="U822" s="19"/>
      <c r="V822" s="19"/>
      <c r="W822" s="19"/>
      <c r="X822" s="19"/>
      <c r="Y822" s="19"/>
      <c r="Z822" s="19"/>
      <c r="AA822" s="19"/>
      <c r="AB822" s="19"/>
      <c r="FE822" s="54"/>
    </row>
    <row r="823" spans="1:161" s="18" customFormat="1">
      <c r="A823" s="51"/>
      <c r="B823" s="735"/>
      <c r="C823" s="735"/>
      <c r="D823" s="735"/>
      <c r="E823" s="735"/>
      <c r="F823" s="736"/>
      <c r="G823" s="735"/>
      <c r="H823" s="735"/>
      <c r="I823" s="735"/>
      <c r="J823" s="735"/>
      <c r="K823" s="735"/>
      <c r="L823" s="735"/>
      <c r="M823" s="735"/>
      <c r="N823" s="735"/>
      <c r="O823" s="19"/>
      <c r="P823" s="19"/>
      <c r="Q823" s="19"/>
      <c r="R823" s="19"/>
      <c r="S823" s="19"/>
      <c r="T823" s="19"/>
      <c r="U823" s="19"/>
      <c r="V823" s="19"/>
      <c r="W823" s="19"/>
      <c r="X823" s="19"/>
      <c r="Y823" s="19"/>
      <c r="Z823" s="19"/>
      <c r="AA823" s="19"/>
      <c r="AB823" s="19"/>
      <c r="FE823" s="54"/>
    </row>
    <row r="824" spans="1:161" s="18" customFormat="1">
      <c r="A824" s="51"/>
      <c r="B824" s="735"/>
      <c r="C824" s="735"/>
      <c r="D824" s="735"/>
      <c r="E824" s="735"/>
      <c r="F824" s="736"/>
      <c r="G824" s="735"/>
      <c r="H824" s="735"/>
      <c r="I824" s="735"/>
      <c r="J824" s="735"/>
      <c r="K824" s="735"/>
      <c r="L824" s="735"/>
      <c r="M824" s="735"/>
      <c r="N824" s="735"/>
      <c r="O824" s="19"/>
      <c r="P824" s="19"/>
      <c r="Q824" s="19"/>
      <c r="R824" s="19"/>
      <c r="S824" s="19"/>
      <c r="T824" s="19"/>
      <c r="U824" s="19"/>
      <c r="V824" s="19"/>
      <c r="W824" s="19"/>
      <c r="X824" s="19"/>
      <c r="Y824" s="19"/>
      <c r="Z824" s="19"/>
      <c r="AA824" s="19"/>
      <c r="AB824" s="19"/>
      <c r="FE824" s="54"/>
    </row>
    <row r="825" spans="1:161" s="18" customFormat="1">
      <c r="A825" s="51"/>
      <c r="B825" s="735"/>
      <c r="C825" s="735"/>
      <c r="D825" s="735"/>
      <c r="E825" s="735"/>
      <c r="F825" s="736"/>
      <c r="G825" s="735"/>
      <c r="H825" s="735"/>
      <c r="I825" s="735"/>
      <c r="J825" s="735"/>
      <c r="K825" s="735"/>
      <c r="L825" s="735"/>
      <c r="M825" s="735"/>
      <c r="N825" s="735"/>
      <c r="O825" s="19"/>
      <c r="P825" s="19"/>
      <c r="Q825" s="19"/>
      <c r="R825" s="19"/>
      <c r="S825" s="19"/>
      <c r="T825" s="19"/>
      <c r="U825" s="19"/>
      <c r="V825" s="19"/>
      <c r="W825" s="19"/>
      <c r="X825" s="19"/>
      <c r="Y825" s="19"/>
      <c r="Z825" s="19"/>
      <c r="AA825" s="19"/>
      <c r="AB825" s="19"/>
      <c r="FE825" s="54"/>
    </row>
    <row r="826" spans="1:161" s="18" customFormat="1">
      <c r="A826" s="51"/>
      <c r="B826" s="735"/>
      <c r="C826" s="735"/>
      <c r="D826" s="735"/>
      <c r="E826" s="735"/>
      <c r="F826" s="736"/>
      <c r="G826" s="735"/>
      <c r="H826" s="735"/>
      <c r="I826" s="735"/>
      <c r="J826" s="735"/>
      <c r="K826" s="735"/>
      <c r="L826" s="735"/>
      <c r="M826" s="735"/>
      <c r="N826" s="735"/>
      <c r="O826" s="19"/>
      <c r="P826" s="19"/>
      <c r="Q826" s="19"/>
      <c r="R826" s="19"/>
      <c r="S826" s="19"/>
      <c r="T826" s="19"/>
      <c r="U826" s="19"/>
      <c r="V826" s="19"/>
      <c r="W826" s="19"/>
      <c r="X826" s="19"/>
      <c r="Y826" s="19"/>
      <c r="Z826" s="19"/>
      <c r="AA826" s="19"/>
      <c r="AB826" s="19"/>
      <c r="FE826" s="54"/>
    </row>
    <row r="827" spans="1:161" s="18" customFormat="1">
      <c r="A827" s="51"/>
      <c r="B827" s="735"/>
      <c r="C827" s="735"/>
      <c r="D827" s="735"/>
      <c r="E827" s="735"/>
      <c r="F827" s="736"/>
      <c r="G827" s="735"/>
      <c r="H827" s="735"/>
      <c r="I827" s="735"/>
      <c r="J827" s="735"/>
      <c r="K827" s="735"/>
      <c r="L827" s="735"/>
      <c r="M827" s="735"/>
      <c r="N827" s="735"/>
      <c r="O827" s="19"/>
      <c r="P827" s="19"/>
      <c r="Q827" s="19"/>
      <c r="R827" s="19"/>
      <c r="S827" s="19"/>
      <c r="T827" s="19"/>
      <c r="U827" s="19"/>
      <c r="V827" s="19"/>
      <c r="W827" s="19"/>
      <c r="X827" s="19"/>
      <c r="Y827" s="19"/>
      <c r="Z827" s="19"/>
      <c r="AA827" s="19"/>
      <c r="AB827" s="19"/>
      <c r="FE827" s="54"/>
    </row>
    <row r="828" spans="1:161" s="18" customFormat="1">
      <c r="A828" s="51"/>
      <c r="B828" s="735"/>
      <c r="C828" s="735"/>
      <c r="D828" s="735"/>
      <c r="E828" s="735"/>
      <c r="F828" s="736"/>
      <c r="G828" s="735"/>
      <c r="H828" s="735"/>
      <c r="I828" s="735"/>
      <c r="J828" s="735"/>
      <c r="K828" s="735"/>
      <c r="L828" s="735"/>
      <c r="M828" s="735"/>
      <c r="N828" s="735"/>
      <c r="O828" s="19"/>
      <c r="P828" s="19"/>
      <c r="Q828" s="19"/>
      <c r="R828" s="19"/>
      <c r="S828" s="19"/>
      <c r="T828" s="19"/>
      <c r="U828" s="19"/>
      <c r="V828" s="19"/>
      <c r="W828" s="19"/>
      <c r="X828" s="19"/>
      <c r="Y828" s="19"/>
      <c r="Z828" s="19"/>
      <c r="AA828" s="19"/>
      <c r="AB828" s="19"/>
      <c r="FE828" s="54"/>
    </row>
    <row r="829" spans="1:161" s="18" customFormat="1">
      <c r="A829" s="51"/>
      <c r="B829" s="735"/>
      <c r="C829" s="735"/>
      <c r="D829" s="735"/>
      <c r="E829" s="735"/>
      <c r="F829" s="736"/>
      <c r="G829" s="735"/>
      <c r="H829" s="735"/>
      <c r="I829" s="735"/>
      <c r="J829" s="735"/>
      <c r="K829" s="735"/>
      <c r="L829" s="735"/>
      <c r="M829" s="735"/>
      <c r="N829" s="735"/>
      <c r="O829" s="19"/>
      <c r="P829" s="19"/>
      <c r="Q829" s="19"/>
      <c r="R829" s="19"/>
      <c r="S829" s="19"/>
      <c r="T829" s="19"/>
      <c r="U829" s="19"/>
      <c r="V829" s="19"/>
      <c r="W829" s="19"/>
      <c r="X829" s="19"/>
      <c r="Y829" s="19"/>
      <c r="Z829" s="19"/>
      <c r="AA829" s="19"/>
      <c r="AB829" s="19"/>
      <c r="FE829" s="54"/>
    </row>
    <row r="830" spans="1:161" s="18" customFormat="1">
      <c r="A830" s="51"/>
      <c r="B830" s="735"/>
      <c r="C830" s="735"/>
      <c r="D830" s="735"/>
      <c r="E830" s="735"/>
      <c r="F830" s="736"/>
      <c r="G830" s="735"/>
      <c r="H830" s="735"/>
      <c r="I830" s="735"/>
      <c r="J830" s="735"/>
      <c r="K830" s="735"/>
      <c r="L830" s="735"/>
      <c r="M830" s="735"/>
      <c r="N830" s="735"/>
      <c r="O830" s="19"/>
      <c r="P830" s="19"/>
      <c r="Q830" s="19"/>
      <c r="R830" s="19"/>
      <c r="S830" s="19"/>
      <c r="T830" s="19"/>
      <c r="U830" s="19"/>
      <c r="V830" s="19"/>
      <c r="W830" s="19"/>
      <c r="X830" s="19"/>
      <c r="Y830" s="19"/>
      <c r="Z830" s="19"/>
      <c r="AA830" s="19"/>
      <c r="AB830" s="19"/>
      <c r="FE830" s="54"/>
    </row>
    <row r="831" spans="1:161" s="18" customFormat="1">
      <c r="A831" s="51"/>
      <c r="B831" s="735"/>
      <c r="C831" s="735"/>
      <c r="D831" s="735"/>
      <c r="E831" s="735"/>
      <c r="F831" s="736"/>
      <c r="G831" s="735"/>
      <c r="H831" s="735"/>
      <c r="I831" s="735"/>
      <c r="J831" s="735"/>
      <c r="K831" s="735"/>
      <c r="L831" s="735"/>
      <c r="M831" s="735"/>
      <c r="N831" s="735"/>
      <c r="O831" s="19"/>
      <c r="P831" s="19"/>
      <c r="Q831" s="19"/>
      <c r="R831" s="19"/>
      <c r="S831" s="19"/>
      <c r="T831" s="19"/>
      <c r="U831" s="19"/>
      <c r="V831" s="19"/>
      <c r="W831" s="19"/>
      <c r="X831" s="19"/>
      <c r="Y831" s="19"/>
      <c r="Z831" s="19"/>
      <c r="AA831" s="19"/>
      <c r="AB831" s="19"/>
      <c r="FE831" s="54"/>
    </row>
    <row r="832" spans="1:161" s="18" customFormat="1">
      <c r="A832" s="51"/>
      <c r="B832" s="735"/>
      <c r="C832" s="735"/>
      <c r="D832" s="735"/>
      <c r="E832" s="735"/>
      <c r="F832" s="736"/>
      <c r="G832" s="735"/>
      <c r="H832" s="735"/>
      <c r="I832" s="735"/>
      <c r="J832" s="735"/>
      <c r="K832" s="735"/>
      <c r="L832" s="735"/>
      <c r="M832" s="735"/>
      <c r="N832" s="735"/>
      <c r="O832" s="19"/>
      <c r="P832" s="19"/>
      <c r="Q832" s="19"/>
      <c r="R832" s="19"/>
      <c r="S832" s="19"/>
      <c r="T832" s="19"/>
      <c r="U832" s="19"/>
      <c r="V832" s="19"/>
      <c r="W832" s="19"/>
      <c r="X832" s="19"/>
      <c r="Y832" s="19"/>
      <c r="Z832" s="19"/>
      <c r="AA832" s="19"/>
      <c r="AB832" s="19"/>
      <c r="FE832" s="54"/>
    </row>
    <row r="833" spans="1:161" s="18" customFormat="1">
      <c r="A833" s="51"/>
      <c r="B833" s="735"/>
      <c r="C833" s="735"/>
      <c r="D833" s="735"/>
      <c r="E833" s="735"/>
      <c r="F833" s="736"/>
      <c r="G833" s="735"/>
      <c r="H833" s="735"/>
      <c r="I833" s="735"/>
      <c r="J833" s="735"/>
      <c r="K833" s="735"/>
      <c r="L833" s="735"/>
      <c r="M833" s="735"/>
      <c r="N833" s="735"/>
      <c r="O833" s="19"/>
      <c r="P833" s="19"/>
      <c r="Q833" s="19"/>
      <c r="R833" s="19"/>
      <c r="S833" s="19"/>
      <c r="T833" s="19"/>
      <c r="U833" s="19"/>
      <c r="V833" s="19"/>
      <c r="W833" s="19"/>
      <c r="X833" s="19"/>
      <c r="Y833" s="19"/>
      <c r="Z833" s="19"/>
      <c r="AA833" s="19"/>
      <c r="AB833" s="19"/>
      <c r="FE833" s="54"/>
    </row>
    <row r="834" spans="1:161" s="18" customFormat="1">
      <c r="A834" s="51"/>
      <c r="B834" s="735"/>
      <c r="C834" s="735"/>
      <c r="D834" s="735"/>
      <c r="E834" s="735"/>
      <c r="F834" s="736"/>
      <c r="G834" s="735"/>
      <c r="H834" s="735"/>
      <c r="I834" s="735"/>
      <c r="J834" s="735"/>
      <c r="K834" s="735"/>
      <c r="L834" s="735"/>
      <c r="M834" s="735"/>
      <c r="N834" s="735"/>
      <c r="O834" s="19"/>
      <c r="P834" s="19"/>
      <c r="Q834" s="19"/>
      <c r="R834" s="19"/>
      <c r="S834" s="19"/>
      <c r="T834" s="19"/>
      <c r="U834" s="19"/>
      <c r="V834" s="19"/>
      <c r="W834" s="19"/>
      <c r="X834" s="19"/>
      <c r="Y834" s="19"/>
      <c r="Z834" s="19"/>
      <c r="AA834" s="19"/>
      <c r="AB834" s="19"/>
      <c r="FE834" s="54"/>
    </row>
    <row r="835" spans="1:161" s="18" customFormat="1">
      <c r="A835" s="51"/>
      <c r="B835" s="735"/>
      <c r="C835" s="735"/>
      <c r="D835" s="735"/>
      <c r="E835" s="735"/>
      <c r="F835" s="736"/>
      <c r="G835" s="735"/>
      <c r="H835" s="735"/>
      <c r="I835" s="735"/>
      <c r="J835" s="735"/>
      <c r="K835" s="735"/>
      <c r="L835" s="735"/>
      <c r="M835" s="735"/>
      <c r="N835" s="735"/>
      <c r="O835" s="19"/>
      <c r="P835" s="19"/>
      <c r="Q835" s="19"/>
      <c r="R835" s="19"/>
      <c r="S835" s="19"/>
      <c r="T835" s="19"/>
      <c r="U835" s="19"/>
      <c r="V835" s="19"/>
      <c r="W835" s="19"/>
      <c r="X835" s="19"/>
      <c r="Y835" s="19"/>
      <c r="Z835" s="19"/>
      <c r="AA835" s="19"/>
      <c r="AB835" s="19"/>
      <c r="FE835" s="54"/>
    </row>
    <row r="836" spans="1:161" s="18" customFormat="1">
      <c r="A836" s="51"/>
      <c r="B836" s="735"/>
      <c r="C836" s="735"/>
      <c r="D836" s="735"/>
      <c r="E836" s="735"/>
      <c r="F836" s="736"/>
      <c r="G836" s="735"/>
      <c r="H836" s="735"/>
      <c r="I836" s="735"/>
      <c r="J836" s="735"/>
      <c r="K836" s="735"/>
      <c r="L836" s="735"/>
      <c r="M836" s="735"/>
      <c r="N836" s="735"/>
      <c r="O836" s="19"/>
      <c r="P836" s="19"/>
      <c r="Q836" s="19"/>
      <c r="R836" s="19"/>
      <c r="S836" s="19"/>
      <c r="T836" s="19"/>
      <c r="U836" s="19"/>
      <c r="V836" s="19"/>
      <c r="W836" s="19"/>
      <c r="X836" s="19"/>
      <c r="Y836" s="19"/>
      <c r="Z836" s="19"/>
      <c r="AA836" s="19"/>
      <c r="AB836" s="19"/>
      <c r="FE836" s="54"/>
    </row>
    <row r="837" spans="1:161" s="18" customFormat="1">
      <c r="A837" s="51"/>
      <c r="B837" s="735"/>
      <c r="C837" s="735"/>
      <c r="D837" s="735"/>
      <c r="E837" s="735"/>
      <c r="F837" s="736"/>
      <c r="G837" s="735"/>
      <c r="H837" s="735"/>
      <c r="I837" s="735"/>
      <c r="J837" s="735"/>
      <c r="K837" s="735"/>
      <c r="L837" s="735"/>
      <c r="M837" s="735"/>
      <c r="N837" s="735"/>
      <c r="O837" s="19"/>
      <c r="P837" s="19"/>
      <c r="Q837" s="19"/>
      <c r="R837" s="19"/>
      <c r="S837" s="19"/>
      <c r="T837" s="19"/>
      <c r="U837" s="19"/>
      <c r="V837" s="19"/>
      <c r="W837" s="19"/>
      <c r="X837" s="19"/>
      <c r="Y837" s="19"/>
      <c r="Z837" s="19"/>
      <c r="AA837" s="19"/>
      <c r="AB837" s="19"/>
      <c r="FE837" s="54"/>
    </row>
    <row r="838" spans="1:161" s="18" customFormat="1">
      <c r="A838" s="51"/>
      <c r="B838" s="735"/>
      <c r="C838" s="735"/>
      <c r="D838" s="735"/>
      <c r="E838" s="735"/>
      <c r="F838" s="736"/>
      <c r="G838" s="735"/>
      <c r="H838" s="735"/>
      <c r="I838" s="735"/>
      <c r="J838" s="735"/>
      <c r="K838" s="735"/>
      <c r="L838" s="735"/>
      <c r="M838" s="735"/>
      <c r="N838" s="735"/>
      <c r="O838" s="19"/>
      <c r="P838" s="19"/>
      <c r="Q838" s="19"/>
      <c r="R838" s="19"/>
      <c r="S838" s="19"/>
      <c r="T838" s="19"/>
      <c r="U838" s="19"/>
      <c r="V838" s="19"/>
      <c r="W838" s="19"/>
      <c r="X838" s="19"/>
      <c r="Y838" s="19"/>
      <c r="Z838" s="19"/>
      <c r="AA838" s="19"/>
      <c r="AB838" s="19"/>
      <c r="FE838" s="54"/>
    </row>
    <row r="839" spans="1:161" s="18" customFormat="1">
      <c r="A839" s="51"/>
      <c r="B839" s="735"/>
      <c r="C839" s="735"/>
      <c r="D839" s="735"/>
      <c r="E839" s="735"/>
      <c r="F839" s="736"/>
      <c r="G839" s="735"/>
      <c r="H839" s="735"/>
      <c r="I839" s="735"/>
      <c r="J839" s="735"/>
      <c r="K839" s="735"/>
      <c r="L839" s="735"/>
      <c r="M839" s="735"/>
      <c r="N839" s="735"/>
      <c r="O839" s="19"/>
      <c r="P839" s="19"/>
      <c r="Q839" s="19"/>
      <c r="R839" s="19"/>
      <c r="S839" s="19"/>
      <c r="T839" s="19"/>
      <c r="U839" s="19"/>
      <c r="V839" s="19"/>
      <c r="W839" s="19"/>
      <c r="X839" s="19"/>
      <c r="Y839" s="19"/>
      <c r="Z839" s="19"/>
      <c r="AA839" s="19"/>
      <c r="AB839" s="19"/>
      <c r="FE839" s="54"/>
    </row>
    <row r="840" spans="1:161" s="18" customFormat="1">
      <c r="A840" s="51"/>
      <c r="B840" s="735"/>
      <c r="C840" s="735"/>
      <c r="D840" s="735"/>
      <c r="E840" s="735"/>
      <c r="F840" s="736"/>
      <c r="G840" s="735"/>
      <c r="H840" s="735"/>
      <c r="I840" s="735"/>
      <c r="J840" s="735"/>
      <c r="K840" s="735"/>
      <c r="L840" s="735"/>
      <c r="M840" s="735"/>
      <c r="N840" s="735"/>
      <c r="O840" s="19"/>
      <c r="P840" s="19"/>
      <c r="Q840" s="19"/>
      <c r="R840" s="19"/>
      <c r="S840" s="19"/>
      <c r="T840" s="19"/>
      <c r="U840" s="19"/>
      <c r="V840" s="19"/>
      <c r="W840" s="19"/>
      <c r="X840" s="19"/>
      <c r="Y840" s="19"/>
      <c r="Z840" s="19"/>
      <c r="AA840" s="19"/>
      <c r="AB840" s="19"/>
      <c r="FE840" s="54"/>
    </row>
    <row r="841" spans="1:161" s="18" customFormat="1">
      <c r="A841" s="51"/>
      <c r="B841" s="735"/>
      <c r="C841" s="735"/>
      <c r="D841" s="735"/>
      <c r="E841" s="735"/>
      <c r="F841" s="736"/>
      <c r="G841" s="735"/>
      <c r="H841" s="735"/>
      <c r="I841" s="735"/>
      <c r="J841" s="735"/>
      <c r="K841" s="735"/>
      <c r="L841" s="735"/>
      <c r="M841" s="735"/>
      <c r="N841" s="735"/>
      <c r="O841" s="19"/>
      <c r="P841" s="19"/>
      <c r="Q841" s="19"/>
      <c r="R841" s="19"/>
      <c r="S841" s="19"/>
      <c r="T841" s="19"/>
      <c r="U841" s="19"/>
      <c r="V841" s="19"/>
      <c r="W841" s="19"/>
      <c r="X841" s="19"/>
      <c r="Y841" s="19"/>
      <c r="Z841" s="19"/>
      <c r="AA841" s="19"/>
      <c r="AB841" s="19"/>
      <c r="FE841" s="54"/>
    </row>
    <row r="842" spans="1:161" s="18" customFormat="1">
      <c r="A842" s="51"/>
      <c r="B842" s="735"/>
      <c r="C842" s="735"/>
      <c r="D842" s="735"/>
      <c r="E842" s="735"/>
      <c r="F842" s="736"/>
      <c r="G842" s="735"/>
      <c r="H842" s="735"/>
      <c r="I842" s="735"/>
      <c r="J842" s="735"/>
      <c r="K842" s="735"/>
      <c r="L842" s="735"/>
      <c r="M842" s="735"/>
      <c r="N842" s="735"/>
      <c r="O842" s="19"/>
      <c r="P842" s="19"/>
      <c r="Q842" s="19"/>
      <c r="R842" s="19"/>
      <c r="S842" s="19"/>
      <c r="T842" s="19"/>
      <c r="U842" s="19"/>
      <c r="V842" s="19"/>
      <c r="W842" s="19"/>
      <c r="X842" s="19"/>
      <c r="Y842" s="19"/>
      <c r="Z842" s="19"/>
      <c r="AA842" s="19"/>
      <c r="AB842" s="19"/>
      <c r="FE842" s="54"/>
    </row>
    <row r="843" spans="1:161" s="18" customFormat="1">
      <c r="A843" s="51"/>
      <c r="B843" s="735"/>
      <c r="C843" s="735"/>
      <c r="D843" s="735"/>
      <c r="E843" s="735"/>
      <c r="F843" s="736"/>
      <c r="G843" s="735"/>
      <c r="H843" s="735"/>
      <c r="I843" s="735"/>
      <c r="J843" s="735"/>
      <c r="K843" s="735"/>
      <c r="L843" s="735"/>
      <c r="M843" s="735"/>
      <c r="N843" s="735"/>
      <c r="O843" s="19"/>
      <c r="P843" s="19"/>
      <c r="Q843" s="19"/>
      <c r="R843" s="19"/>
      <c r="S843" s="19"/>
      <c r="T843" s="19"/>
      <c r="U843" s="19"/>
      <c r="V843" s="19"/>
      <c r="W843" s="19"/>
      <c r="X843" s="19"/>
      <c r="Y843" s="19"/>
      <c r="Z843" s="19"/>
      <c r="AA843" s="19"/>
      <c r="AB843" s="19"/>
      <c r="FE843" s="54"/>
    </row>
    <row r="844" spans="1:161" s="18" customFormat="1">
      <c r="A844" s="51"/>
      <c r="B844" s="735"/>
      <c r="C844" s="735"/>
      <c r="D844" s="735"/>
      <c r="E844" s="735"/>
      <c r="F844" s="736"/>
      <c r="G844" s="735"/>
      <c r="H844" s="735"/>
      <c r="I844" s="735"/>
      <c r="J844" s="735"/>
      <c r="K844" s="735"/>
      <c r="L844" s="735"/>
      <c r="M844" s="735"/>
      <c r="N844" s="735"/>
      <c r="O844" s="19"/>
      <c r="P844" s="19"/>
      <c r="Q844" s="19"/>
      <c r="R844" s="19"/>
      <c r="S844" s="19"/>
      <c r="T844" s="19"/>
      <c r="U844" s="19"/>
      <c r="V844" s="19"/>
      <c r="W844" s="19"/>
      <c r="X844" s="19"/>
      <c r="Y844" s="19"/>
      <c r="Z844" s="19"/>
      <c r="AA844" s="19"/>
      <c r="AB844" s="19"/>
      <c r="FE844" s="54"/>
    </row>
    <row r="845" spans="1:161" s="18" customFormat="1">
      <c r="A845" s="51"/>
      <c r="B845" s="735"/>
      <c r="C845" s="735"/>
      <c r="D845" s="735"/>
      <c r="E845" s="735"/>
      <c r="F845" s="736"/>
      <c r="G845" s="735"/>
      <c r="H845" s="735"/>
      <c r="I845" s="735"/>
      <c r="J845" s="735"/>
      <c r="K845" s="735"/>
      <c r="L845" s="735"/>
      <c r="M845" s="735"/>
      <c r="N845" s="735"/>
      <c r="O845" s="19"/>
      <c r="P845" s="19"/>
      <c r="Q845" s="19"/>
      <c r="R845" s="19"/>
      <c r="S845" s="19"/>
      <c r="T845" s="19"/>
      <c r="U845" s="19"/>
      <c r="V845" s="19"/>
      <c r="W845" s="19"/>
      <c r="X845" s="19"/>
      <c r="Y845" s="19"/>
      <c r="Z845" s="19"/>
      <c r="AA845" s="19"/>
      <c r="AB845" s="19"/>
      <c r="FE845" s="54"/>
    </row>
    <row r="846" spans="1:161" s="18" customFormat="1">
      <c r="A846" s="51"/>
      <c r="B846" s="735"/>
      <c r="C846" s="735"/>
      <c r="D846" s="735"/>
      <c r="E846" s="735"/>
      <c r="F846" s="736"/>
      <c r="G846" s="735"/>
      <c r="H846" s="735"/>
      <c r="I846" s="735"/>
      <c r="J846" s="735"/>
      <c r="K846" s="735"/>
      <c r="L846" s="735"/>
      <c r="M846" s="735"/>
      <c r="N846" s="735"/>
      <c r="O846" s="19"/>
      <c r="P846" s="19"/>
      <c r="Q846" s="19"/>
      <c r="R846" s="19"/>
      <c r="S846" s="19"/>
      <c r="T846" s="19"/>
      <c r="U846" s="19"/>
      <c r="V846" s="19"/>
      <c r="W846" s="19"/>
      <c r="X846" s="19"/>
      <c r="Y846" s="19"/>
      <c r="Z846" s="19"/>
      <c r="AA846" s="19"/>
      <c r="AB846" s="19"/>
      <c r="FE846" s="54"/>
    </row>
    <row r="847" spans="1:161" s="18" customFormat="1">
      <c r="A847" s="51"/>
      <c r="B847" s="735"/>
      <c r="C847" s="735"/>
      <c r="D847" s="735"/>
      <c r="E847" s="735"/>
      <c r="F847" s="736"/>
      <c r="G847" s="735"/>
      <c r="H847" s="735"/>
      <c r="I847" s="735"/>
      <c r="J847" s="735"/>
      <c r="K847" s="735"/>
      <c r="L847" s="735"/>
      <c r="M847" s="735"/>
      <c r="N847" s="735"/>
      <c r="O847" s="19"/>
      <c r="P847" s="19"/>
      <c r="Q847" s="19"/>
      <c r="R847" s="19"/>
      <c r="S847" s="19"/>
      <c r="T847" s="19"/>
      <c r="U847" s="19"/>
      <c r="V847" s="19"/>
      <c r="W847" s="19"/>
      <c r="X847" s="19"/>
      <c r="Y847" s="19"/>
      <c r="Z847" s="19"/>
      <c r="AA847" s="19"/>
      <c r="AB847" s="19"/>
      <c r="FE847" s="54"/>
    </row>
    <row r="848" spans="1:161" s="18" customFormat="1">
      <c r="A848" s="51"/>
      <c r="B848" s="735"/>
      <c r="C848" s="735"/>
      <c r="D848" s="735"/>
      <c r="E848" s="735"/>
      <c r="F848" s="736"/>
      <c r="G848" s="735"/>
      <c r="H848" s="735"/>
      <c r="I848" s="735"/>
      <c r="J848" s="735"/>
      <c r="K848" s="735"/>
      <c r="L848" s="735"/>
      <c r="M848" s="735"/>
      <c r="N848" s="735"/>
      <c r="O848" s="19"/>
      <c r="P848" s="19"/>
      <c r="Q848" s="19"/>
      <c r="R848" s="19"/>
      <c r="S848" s="19"/>
      <c r="T848" s="19"/>
      <c r="U848" s="19"/>
      <c r="V848" s="19"/>
      <c r="W848" s="19"/>
      <c r="X848" s="19"/>
      <c r="Y848" s="19"/>
      <c r="Z848" s="19"/>
      <c r="AA848" s="19"/>
      <c r="AB848" s="19"/>
      <c r="FE848" s="54"/>
    </row>
    <row r="849" spans="1:161" s="18" customFormat="1">
      <c r="A849" s="51"/>
      <c r="B849" s="735"/>
      <c r="C849" s="735"/>
      <c r="D849" s="735"/>
      <c r="E849" s="735"/>
      <c r="F849" s="736"/>
      <c r="G849" s="735"/>
      <c r="H849" s="735"/>
      <c r="I849" s="735"/>
      <c r="J849" s="735"/>
      <c r="K849" s="735"/>
      <c r="L849" s="735"/>
      <c r="M849" s="735"/>
      <c r="N849" s="735"/>
      <c r="O849" s="19"/>
      <c r="P849" s="19"/>
      <c r="Q849" s="19"/>
      <c r="R849" s="19"/>
      <c r="S849" s="19"/>
      <c r="T849" s="19"/>
      <c r="U849" s="19"/>
      <c r="V849" s="19"/>
      <c r="W849" s="19"/>
      <c r="X849" s="19"/>
      <c r="Y849" s="19"/>
      <c r="Z849" s="19"/>
      <c r="AA849" s="19"/>
      <c r="AB849" s="19"/>
      <c r="FE849" s="54"/>
    </row>
    <row r="850" spans="1:161" s="18" customFormat="1">
      <c r="A850" s="51"/>
      <c r="B850" s="735"/>
      <c r="C850" s="735"/>
      <c r="D850" s="735"/>
      <c r="E850" s="735"/>
      <c r="F850" s="736"/>
      <c r="G850" s="735"/>
      <c r="H850" s="735"/>
      <c r="I850" s="735"/>
      <c r="J850" s="735"/>
      <c r="K850" s="735"/>
      <c r="L850" s="735"/>
      <c r="M850" s="735"/>
      <c r="N850" s="735"/>
      <c r="O850" s="19"/>
      <c r="P850" s="19"/>
      <c r="Q850" s="19"/>
      <c r="R850" s="19"/>
      <c r="S850" s="19"/>
      <c r="T850" s="19"/>
      <c r="U850" s="19"/>
      <c r="V850" s="19"/>
      <c r="W850" s="19"/>
      <c r="X850" s="19"/>
      <c r="Y850" s="19"/>
      <c r="Z850" s="19"/>
      <c r="AA850" s="19"/>
      <c r="AB850" s="19"/>
      <c r="FE850" s="54"/>
    </row>
    <row r="851" spans="1:161" s="18" customFormat="1">
      <c r="A851" s="51"/>
      <c r="B851" s="735"/>
      <c r="C851" s="735"/>
      <c r="D851" s="735"/>
      <c r="E851" s="735"/>
      <c r="F851" s="736"/>
      <c r="G851" s="735"/>
      <c r="H851" s="735"/>
      <c r="I851" s="735"/>
      <c r="J851" s="735"/>
      <c r="K851" s="735"/>
      <c r="L851" s="735"/>
      <c r="M851" s="735"/>
      <c r="N851" s="735"/>
      <c r="O851" s="19"/>
      <c r="P851" s="19"/>
      <c r="Q851" s="19"/>
      <c r="R851" s="19"/>
      <c r="S851" s="19"/>
      <c r="T851" s="19"/>
      <c r="U851" s="19"/>
      <c r="V851" s="19"/>
      <c r="W851" s="19"/>
      <c r="X851" s="19"/>
      <c r="Y851" s="19"/>
      <c r="Z851" s="19"/>
      <c r="AA851" s="19"/>
      <c r="AB851" s="19"/>
      <c r="FE851" s="54"/>
    </row>
    <row r="852" spans="1:161" s="18" customFormat="1">
      <c r="A852" s="51"/>
      <c r="B852" s="735"/>
      <c r="C852" s="735"/>
      <c r="D852" s="735"/>
      <c r="E852" s="735"/>
      <c r="F852" s="736"/>
      <c r="G852" s="735"/>
      <c r="H852" s="735"/>
      <c r="I852" s="735"/>
      <c r="J852" s="735"/>
      <c r="K852" s="735"/>
      <c r="L852" s="735"/>
      <c r="M852" s="735"/>
      <c r="N852" s="735"/>
      <c r="O852" s="19"/>
      <c r="P852" s="19"/>
      <c r="Q852" s="19"/>
      <c r="R852" s="19"/>
      <c r="S852" s="19"/>
      <c r="T852" s="19"/>
      <c r="U852" s="19"/>
      <c r="V852" s="19"/>
      <c r="W852" s="19"/>
      <c r="X852" s="19"/>
      <c r="Y852" s="19"/>
      <c r="Z852" s="19"/>
      <c r="AA852" s="19"/>
      <c r="AB852" s="19"/>
      <c r="FE852" s="54"/>
    </row>
    <row r="853" spans="1:161" s="18" customFormat="1">
      <c r="A853" s="51"/>
      <c r="B853" s="735"/>
      <c r="C853" s="735"/>
      <c r="D853" s="735"/>
      <c r="E853" s="735"/>
      <c r="F853" s="736"/>
      <c r="G853" s="735"/>
      <c r="H853" s="735"/>
      <c r="I853" s="735"/>
      <c r="J853" s="735"/>
      <c r="K853" s="735"/>
      <c r="L853" s="735"/>
      <c r="M853" s="735"/>
      <c r="N853" s="735"/>
      <c r="O853" s="19"/>
      <c r="P853" s="19"/>
      <c r="Q853" s="19"/>
      <c r="R853" s="19"/>
      <c r="S853" s="19"/>
      <c r="T853" s="19"/>
      <c r="U853" s="19"/>
      <c r="V853" s="19"/>
      <c r="W853" s="19"/>
      <c r="X853" s="19"/>
      <c r="Y853" s="19"/>
      <c r="Z853" s="19"/>
      <c r="AA853" s="19"/>
      <c r="AB853" s="19"/>
      <c r="FE853" s="54"/>
    </row>
    <row r="854" spans="1:161" s="18" customFormat="1">
      <c r="A854" s="51"/>
      <c r="B854" s="735"/>
      <c r="C854" s="735"/>
      <c r="D854" s="735"/>
      <c r="E854" s="735"/>
      <c r="F854" s="736"/>
      <c r="G854" s="735"/>
      <c r="H854" s="735"/>
      <c r="I854" s="735"/>
      <c r="J854" s="735"/>
      <c r="K854" s="735"/>
      <c r="L854" s="735"/>
      <c r="M854" s="735"/>
      <c r="N854" s="735"/>
      <c r="O854" s="19"/>
      <c r="P854" s="19"/>
      <c r="Q854" s="19"/>
      <c r="R854" s="19"/>
      <c r="S854" s="19"/>
      <c r="T854" s="19"/>
      <c r="U854" s="19"/>
      <c r="V854" s="19"/>
      <c r="W854" s="19"/>
      <c r="X854" s="19"/>
      <c r="Y854" s="19"/>
      <c r="Z854" s="19"/>
      <c r="AA854" s="19"/>
      <c r="AB854" s="19"/>
      <c r="FE854" s="54"/>
    </row>
    <row r="855" spans="1:161" s="18" customFormat="1">
      <c r="A855" s="51"/>
      <c r="B855" s="735"/>
      <c r="C855" s="735"/>
      <c r="D855" s="735"/>
      <c r="E855" s="735"/>
      <c r="F855" s="736"/>
      <c r="G855" s="735"/>
      <c r="H855" s="735"/>
      <c r="I855" s="735"/>
      <c r="J855" s="735"/>
      <c r="K855" s="735"/>
      <c r="L855" s="735"/>
      <c r="M855" s="735"/>
      <c r="N855" s="735"/>
      <c r="O855" s="19"/>
      <c r="P855" s="19"/>
      <c r="Q855" s="19"/>
      <c r="R855" s="19"/>
      <c r="S855" s="19"/>
      <c r="T855" s="19"/>
      <c r="U855" s="19"/>
      <c r="V855" s="19"/>
      <c r="W855" s="19"/>
      <c r="X855" s="19"/>
      <c r="Y855" s="19"/>
      <c r="Z855" s="19"/>
      <c r="AA855" s="19"/>
      <c r="AB855" s="19"/>
      <c r="FE855" s="54"/>
    </row>
    <row r="856" spans="1:161" s="18" customFormat="1">
      <c r="A856" s="51"/>
      <c r="B856" s="735"/>
      <c r="C856" s="735"/>
      <c r="D856" s="735"/>
      <c r="E856" s="735"/>
      <c r="F856" s="736"/>
      <c r="G856" s="735"/>
      <c r="H856" s="735"/>
      <c r="I856" s="735"/>
      <c r="J856" s="735"/>
      <c r="K856" s="735"/>
      <c r="L856" s="735"/>
      <c r="M856" s="735"/>
      <c r="N856" s="735"/>
      <c r="O856" s="19"/>
      <c r="P856" s="19"/>
      <c r="Q856" s="19"/>
      <c r="R856" s="19"/>
      <c r="S856" s="19"/>
      <c r="T856" s="19"/>
      <c r="U856" s="19"/>
      <c r="V856" s="19"/>
      <c r="W856" s="19"/>
      <c r="X856" s="19"/>
      <c r="Y856" s="19"/>
      <c r="Z856" s="19"/>
      <c r="AA856" s="19"/>
      <c r="AB856" s="19"/>
      <c r="FE856" s="54"/>
    </row>
    <row r="857" spans="1:161" s="18" customFormat="1">
      <c r="A857" s="51"/>
      <c r="B857" s="735"/>
      <c r="C857" s="735"/>
      <c r="D857" s="735"/>
      <c r="E857" s="735"/>
      <c r="F857" s="736"/>
      <c r="G857" s="735"/>
      <c r="H857" s="735"/>
      <c r="I857" s="735"/>
      <c r="J857" s="735"/>
      <c r="K857" s="735"/>
      <c r="L857" s="735"/>
      <c r="M857" s="735"/>
      <c r="N857" s="735"/>
      <c r="O857" s="19"/>
      <c r="P857" s="19"/>
      <c r="Q857" s="19"/>
      <c r="R857" s="19"/>
      <c r="S857" s="19"/>
      <c r="T857" s="19"/>
      <c r="U857" s="19"/>
      <c r="V857" s="19"/>
      <c r="W857" s="19"/>
      <c r="X857" s="19"/>
      <c r="Y857" s="19"/>
      <c r="Z857" s="19"/>
      <c r="AA857" s="19"/>
      <c r="AB857" s="19"/>
      <c r="FE857" s="54"/>
    </row>
    <row r="858" spans="1:161" s="18" customFormat="1">
      <c r="A858" s="51"/>
      <c r="B858" s="735"/>
      <c r="C858" s="735"/>
      <c r="D858" s="735"/>
      <c r="E858" s="735"/>
      <c r="F858" s="736"/>
      <c r="G858" s="735"/>
      <c r="H858" s="735"/>
      <c r="I858" s="735"/>
      <c r="J858" s="735"/>
      <c r="K858" s="735"/>
      <c r="L858" s="735"/>
      <c r="M858" s="735"/>
      <c r="N858" s="735"/>
      <c r="O858" s="19"/>
      <c r="P858" s="19"/>
      <c r="Q858" s="19"/>
      <c r="R858" s="19"/>
      <c r="S858" s="19"/>
      <c r="T858" s="19"/>
      <c r="U858" s="19"/>
      <c r="V858" s="19"/>
      <c r="W858" s="19"/>
      <c r="X858" s="19"/>
      <c r="Y858" s="19"/>
      <c r="Z858" s="19"/>
      <c r="AA858" s="19"/>
      <c r="AB858" s="19"/>
      <c r="FE858" s="54"/>
    </row>
    <row r="859" spans="1:161" s="18" customFormat="1">
      <c r="A859" s="51"/>
      <c r="B859" s="735"/>
      <c r="C859" s="735"/>
      <c r="D859" s="735"/>
      <c r="E859" s="735"/>
      <c r="F859" s="736"/>
      <c r="G859" s="735"/>
      <c r="H859" s="735"/>
      <c r="I859" s="735"/>
      <c r="J859" s="735"/>
      <c r="K859" s="735"/>
      <c r="L859" s="735"/>
      <c r="M859" s="735"/>
      <c r="N859" s="735"/>
      <c r="O859" s="19"/>
      <c r="P859" s="19"/>
      <c r="Q859" s="19"/>
      <c r="R859" s="19"/>
      <c r="S859" s="19"/>
      <c r="T859" s="19"/>
      <c r="U859" s="19"/>
      <c r="V859" s="19"/>
      <c r="W859" s="19"/>
      <c r="X859" s="19"/>
      <c r="Y859" s="19"/>
      <c r="Z859" s="19"/>
      <c r="AA859" s="19"/>
      <c r="AB859" s="19"/>
      <c r="FE859" s="54"/>
    </row>
    <row r="860" spans="1:161" s="18" customFormat="1">
      <c r="A860" s="51"/>
      <c r="B860" s="735"/>
      <c r="C860" s="735"/>
      <c r="D860" s="735"/>
      <c r="E860" s="735"/>
      <c r="F860" s="736"/>
      <c r="G860" s="735"/>
      <c r="H860" s="735"/>
      <c r="I860" s="735"/>
      <c r="J860" s="735"/>
      <c r="K860" s="735"/>
      <c r="L860" s="735"/>
      <c r="M860" s="735"/>
      <c r="N860" s="735"/>
      <c r="O860" s="19"/>
      <c r="P860" s="19"/>
      <c r="Q860" s="19"/>
      <c r="R860" s="19"/>
      <c r="S860" s="19"/>
      <c r="T860" s="19"/>
      <c r="U860" s="19"/>
      <c r="V860" s="19"/>
      <c r="W860" s="19"/>
      <c r="X860" s="19"/>
      <c r="Y860" s="19"/>
      <c r="Z860" s="19"/>
      <c r="AA860" s="19"/>
      <c r="AB860" s="19"/>
      <c r="FE860" s="54"/>
    </row>
    <row r="861" spans="1:161" s="18" customFormat="1">
      <c r="A861" s="51"/>
      <c r="B861" s="735"/>
      <c r="C861" s="735"/>
      <c r="D861" s="735"/>
      <c r="E861" s="735"/>
      <c r="F861" s="736"/>
      <c r="G861" s="735"/>
      <c r="H861" s="735"/>
      <c r="I861" s="735"/>
      <c r="J861" s="735"/>
      <c r="K861" s="735"/>
      <c r="L861" s="735"/>
      <c r="M861" s="735"/>
      <c r="N861" s="735"/>
      <c r="O861" s="19"/>
      <c r="P861" s="19"/>
      <c r="Q861" s="19"/>
      <c r="R861" s="19"/>
      <c r="S861" s="19"/>
      <c r="T861" s="19"/>
      <c r="U861" s="19"/>
      <c r="V861" s="19"/>
      <c r="W861" s="19"/>
      <c r="X861" s="19"/>
      <c r="Y861" s="19"/>
      <c r="Z861" s="19"/>
      <c r="AA861" s="19"/>
      <c r="AB861" s="19"/>
      <c r="FE861" s="54"/>
    </row>
    <row r="862" spans="1:161" s="18" customFormat="1">
      <c r="A862" s="51"/>
      <c r="B862" s="735"/>
      <c r="C862" s="735"/>
      <c r="D862" s="735"/>
      <c r="E862" s="735"/>
      <c r="F862" s="736"/>
      <c r="G862" s="735"/>
      <c r="H862" s="735"/>
      <c r="I862" s="735"/>
      <c r="J862" s="735"/>
      <c r="K862" s="735"/>
      <c r="L862" s="735"/>
      <c r="M862" s="735"/>
      <c r="N862" s="735"/>
      <c r="O862" s="19"/>
      <c r="P862" s="19"/>
      <c r="Q862" s="19"/>
      <c r="R862" s="19"/>
      <c r="S862" s="19"/>
      <c r="T862" s="19"/>
      <c r="U862" s="19"/>
      <c r="V862" s="19"/>
      <c r="W862" s="19"/>
      <c r="X862" s="19"/>
      <c r="Y862" s="19"/>
      <c r="Z862" s="19"/>
      <c r="AA862" s="19"/>
      <c r="AB862" s="19"/>
      <c r="FE862" s="54"/>
    </row>
    <row r="863" spans="1:161" s="18" customFormat="1">
      <c r="A863" s="51"/>
      <c r="B863" s="735"/>
      <c r="C863" s="735"/>
      <c r="D863" s="735"/>
      <c r="E863" s="735"/>
      <c r="F863" s="736"/>
      <c r="G863" s="735"/>
      <c r="H863" s="735"/>
      <c r="I863" s="735"/>
      <c r="J863" s="735"/>
      <c r="K863" s="735"/>
      <c r="L863" s="735"/>
      <c r="M863" s="735"/>
      <c r="N863" s="735"/>
      <c r="O863" s="19"/>
      <c r="P863" s="19"/>
      <c r="Q863" s="19"/>
      <c r="R863" s="19"/>
      <c r="S863" s="19"/>
      <c r="T863" s="19"/>
      <c r="U863" s="19"/>
      <c r="V863" s="19"/>
      <c r="W863" s="19"/>
      <c r="X863" s="19"/>
      <c r="Y863" s="19"/>
      <c r="Z863" s="19"/>
      <c r="AA863" s="19"/>
      <c r="AB863" s="19"/>
      <c r="FE863" s="54"/>
    </row>
    <row r="864" spans="1:161" s="18" customFormat="1">
      <c r="A864" s="51"/>
      <c r="B864" s="735"/>
      <c r="C864" s="735"/>
      <c r="D864" s="735"/>
      <c r="E864" s="735"/>
      <c r="F864" s="736"/>
      <c r="G864" s="735"/>
      <c r="H864" s="735"/>
      <c r="I864" s="735"/>
      <c r="J864" s="735"/>
      <c r="K864" s="735"/>
      <c r="L864" s="735"/>
      <c r="M864" s="735"/>
      <c r="N864" s="735"/>
      <c r="O864" s="19"/>
      <c r="P864" s="19"/>
      <c r="Q864" s="19"/>
      <c r="R864" s="19"/>
      <c r="S864" s="19"/>
      <c r="T864" s="19"/>
      <c r="U864" s="19"/>
      <c r="V864" s="19"/>
      <c r="W864" s="19"/>
      <c r="X864" s="19"/>
      <c r="Y864" s="19"/>
      <c r="Z864" s="19"/>
      <c r="AA864" s="19"/>
      <c r="AB864" s="19"/>
      <c r="FE864" s="54"/>
    </row>
    <row r="865" spans="1:161" s="18" customFormat="1">
      <c r="A865" s="51"/>
      <c r="B865" s="735"/>
      <c r="C865" s="735"/>
      <c r="D865" s="735"/>
      <c r="E865" s="735"/>
      <c r="F865" s="736"/>
      <c r="G865" s="735"/>
      <c r="H865" s="735"/>
      <c r="I865" s="735"/>
      <c r="J865" s="735"/>
      <c r="K865" s="735"/>
      <c r="L865" s="735"/>
      <c r="M865" s="735"/>
      <c r="N865" s="735"/>
      <c r="O865" s="19"/>
      <c r="P865" s="19"/>
      <c r="Q865" s="19"/>
      <c r="R865" s="19"/>
      <c r="S865" s="19"/>
      <c r="T865" s="19"/>
      <c r="U865" s="19"/>
      <c r="V865" s="19"/>
      <c r="W865" s="19"/>
      <c r="X865" s="19"/>
      <c r="Y865" s="19"/>
      <c r="Z865" s="19"/>
      <c r="AA865" s="19"/>
      <c r="AB865" s="19"/>
      <c r="FE865" s="54"/>
    </row>
    <row r="866" spans="1:161" s="18" customFormat="1">
      <c r="A866" s="51"/>
      <c r="B866" s="735"/>
      <c r="C866" s="735"/>
      <c r="D866" s="735"/>
      <c r="E866" s="735"/>
      <c r="F866" s="736"/>
      <c r="G866" s="735"/>
      <c r="H866" s="735"/>
      <c r="I866" s="735"/>
      <c r="J866" s="735"/>
      <c r="K866" s="735"/>
      <c r="L866" s="735"/>
      <c r="M866" s="735"/>
      <c r="N866" s="735"/>
      <c r="O866" s="19"/>
      <c r="P866" s="19"/>
      <c r="Q866" s="19"/>
      <c r="R866" s="19"/>
      <c r="S866" s="19"/>
      <c r="T866" s="19"/>
      <c r="U866" s="19"/>
      <c r="V866" s="19"/>
      <c r="W866" s="19"/>
      <c r="X866" s="19"/>
      <c r="Y866" s="19"/>
      <c r="Z866" s="19"/>
      <c r="AA866" s="19"/>
      <c r="AB866" s="19"/>
      <c r="FE866" s="54"/>
    </row>
    <row r="867" spans="1:161" s="18" customFormat="1">
      <c r="A867" s="51"/>
      <c r="B867" s="735"/>
      <c r="C867" s="735"/>
      <c r="D867" s="735"/>
      <c r="E867" s="735"/>
      <c r="F867" s="736"/>
      <c r="G867" s="735"/>
      <c r="H867" s="735"/>
      <c r="I867" s="735"/>
      <c r="J867" s="735"/>
      <c r="K867" s="735"/>
      <c r="L867" s="735"/>
      <c r="M867" s="735"/>
      <c r="N867" s="735"/>
      <c r="O867" s="19"/>
      <c r="P867" s="19"/>
      <c r="Q867" s="19"/>
      <c r="R867" s="19"/>
      <c r="S867" s="19"/>
      <c r="T867" s="19"/>
      <c r="U867" s="19"/>
      <c r="V867" s="19"/>
      <c r="W867" s="19"/>
      <c r="X867" s="19"/>
      <c r="Y867" s="19"/>
      <c r="Z867" s="19"/>
      <c r="AA867" s="19"/>
      <c r="AB867" s="19"/>
      <c r="FE867" s="54"/>
    </row>
    <row r="868" spans="1:161" s="18" customFormat="1">
      <c r="A868" s="51"/>
      <c r="B868" s="735"/>
      <c r="C868" s="735"/>
      <c r="D868" s="735"/>
      <c r="E868" s="735"/>
      <c r="F868" s="736"/>
      <c r="G868" s="735"/>
      <c r="H868" s="735"/>
      <c r="I868" s="735"/>
      <c r="J868" s="735"/>
      <c r="K868" s="735"/>
      <c r="L868" s="735"/>
      <c r="M868" s="735"/>
      <c r="N868" s="735"/>
      <c r="O868" s="19"/>
      <c r="P868" s="19"/>
      <c r="Q868" s="19"/>
      <c r="R868" s="19"/>
      <c r="S868" s="19"/>
      <c r="T868" s="19"/>
      <c r="U868" s="19"/>
      <c r="V868" s="19"/>
      <c r="W868" s="19"/>
      <c r="X868" s="19"/>
      <c r="Y868" s="19"/>
      <c r="Z868" s="19"/>
      <c r="AA868" s="19"/>
      <c r="AB868" s="19"/>
      <c r="FE868" s="54"/>
    </row>
    <row r="869" spans="1:161" s="18" customFormat="1">
      <c r="A869" s="51"/>
      <c r="B869" s="735"/>
      <c r="C869" s="735"/>
      <c r="D869" s="735"/>
      <c r="E869" s="735"/>
      <c r="F869" s="736"/>
      <c r="G869" s="735"/>
      <c r="H869" s="735"/>
      <c r="I869" s="735"/>
      <c r="J869" s="735"/>
      <c r="K869" s="735"/>
      <c r="L869" s="735"/>
      <c r="M869" s="735"/>
      <c r="N869" s="735"/>
      <c r="O869" s="19"/>
      <c r="P869" s="19"/>
      <c r="Q869" s="19"/>
      <c r="R869" s="19"/>
      <c r="S869" s="19"/>
      <c r="T869" s="19"/>
      <c r="U869" s="19"/>
      <c r="V869" s="19"/>
      <c r="W869" s="19"/>
      <c r="X869" s="19"/>
      <c r="Y869" s="19"/>
      <c r="Z869" s="19"/>
      <c r="AA869" s="19"/>
      <c r="AB869" s="19"/>
      <c r="FE869" s="54"/>
    </row>
    <row r="870" spans="1:161" s="18" customFormat="1">
      <c r="A870" s="51"/>
      <c r="B870" s="735"/>
      <c r="C870" s="735"/>
      <c r="D870" s="735"/>
      <c r="E870" s="735"/>
      <c r="F870" s="736"/>
      <c r="G870" s="735"/>
      <c r="H870" s="735"/>
      <c r="I870" s="735"/>
      <c r="J870" s="735"/>
      <c r="K870" s="735"/>
      <c r="L870" s="735"/>
      <c r="M870" s="735"/>
      <c r="N870" s="735"/>
      <c r="O870" s="19"/>
      <c r="P870" s="19"/>
      <c r="Q870" s="19"/>
      <c r="R870" s="19"/>
      <c r="S870" s="19"/>
      <c r="T870" s="19"/>
      <c r="U870" s="19"/>
      <c r="V870" s="19"/>
      <c r="W870" s="19"/>
      <c r="X870" s="19"/>
      <c r="Y870" s="19"/>
      <c r="Z870" s="19"/>
      <c r="AA870" s="19"/>
      <c r="AB870" s="19"/>
      <c r="FE870" s="54"/>
    </row>
    <row r="871" spans="1:161" s="18" customFormat="1">
      <c r="A871" s="51"/>
      <c r="B871" s="735"/>
      <c r="C871" s="735"/>
      <c r="D871" s="735"/>
      <c r="E871" s="735"/>
      <c r="F871" s="736"/>
      <c r="G871" s="735"/>
      <c r="H871" s="735"/>
      <c r="I871" s="735"/>
      <c r="J871" s="735"/>
      <c r="K871" s="735"/>
      <c r="L871" s="735"/>
      <c r="M871" s="735"/>
      <c r="N871" s="735"/>
      <c r="O871" s="19"/>
      <c r="P871" s="19"/>
      <c r="Q871" s="19"/>
      <c r="R871" s="19"/>
      <c r="S871" s="19"/>
      <c r="T871" s="19"/>
      <c r="U871" s="19"/>
      <c r="V871" s="19"/>
      <c r="W871" s="19"/>
      <c r="X871" s="19"/>
      <c r="Y871" s="19"/>
      <c r="Z871" s="19"/>
      <c r="AA871" s="19"/>
      <c r="AB871" s="19"/>
      <c r="FE871" s="54"/>
    </row>
    <row r="872" spans="1:161" s="18" customFormat="1">
      <c r="A872" s="51"/>
      <c r="B872" s="735"/>
      <c r="C872" s="735"/>
      <c r="D872" s="735"/>
      <c r="E872" s="735"/>
      <c r="F872" s="736"/>
      <c r="G872" s="735"/>
      <c r="H872" s="735"/>
      <c r="I872" s="735"/>
      <c r="J872" s="735"/>
      <c r="K872" s="735"/>
      <c r="L872" s="735"/>
      <c r="M872" s="735"/>
      <c r="N872" s="735"/>
      <c r="O872" s="19"/>
      <c r="P872" s="19"/>
      <c r="Q872" s="19"/>
      <c r="R872" s="19"/>
      <c r="S872" s="19"/>
      <c r="T872" s="19"/>
      <c r="U872" s="19"/>
      <c r="V872" s="19"/>
      <c r="W872" s="19"/>
      <c r="X872" s="19"/>
      <c r="Y872" s="19"/>
      <c r="Z872" s="19"/>
      <c r="AA872" s="19"/>
      <c r="AB872" s="19"/>
      <c r="FE872" s="54"/>
    </row>
    <row r="873" spans="1:161" s="18" customFormat="1">
      <c r="A873" s="51"/>
      <c r="B873" s="735"/>
      <c r="C873" s="735"/>
      <c r="D873" s="735"/>
      <c r="E873" s="735"/>
      <c r="F873" s="736"/>
      <c r="G873" s="735"/>
      <c r="H873" s="735"/>
      <c r="I873" s="735"/>
      <c r="J873" s="735"/>
      <c r="K873" s="735"/>
      <c r="L873" s="735"/>
      <c r="M873" s="735"/>
      <c r="N873" s="735"/>
      <c r="O873" s="19"/>
      <c r="P873" s="19"/>
      <c r="Q873" s="19"/>
      <c r="R873" s="19"/>
      <c r="S873" s="19"/>
      <c r="T873" s="19"/>
      <c r="U873" s="19"/>
      <c r="V873" s="19"/>
      <c r="W873" s="19"/>
      <c r="X873" s="19"/>
      <c r="Y873" s="19"/>
      <c r="Z873" s="19"/>
      <c r="AA873" s="19"/>
      <c r="AB873" s="19"/>
      <c r="FE873" s="54"/>
    </row>
    <row r="874" spans="1:161" s="18" customFormat="1">
      <c r="A874" s="51"/>
      <c r="B874" s="735"/>
      <c r="C874" s="735"/>
      <c r="D874" s="735"/>
      <c r="E874" s="735"/>
      <c r="F874" s="736"/>
      <c r="G874" s="735"/>
      <c r="H874" s="735"/>
      <c r="I874" s="735"/>
      <c r="J874" s="735"/>
      <c r="K874" s="735"/>
      <c r="L874" s="735"/>
      <c r="M874" s="735"/>
      <c r="N874" s="735"/>
      <c r="O874" s="19"/>
      <c r="P874" s="19"/>
      <c r="Q874" s="19"/>
      <c r="R874" s="19"/>
      <c r="S874" s="19"/>
      <c r="T874" s="19"/>
      <c r="U874" s="19"/>
      <c r="V874" s="19"/>
      <c r="W874" s="19"/>
      <c r="X874" s="19"/>
      <c r="Y874" s="19"/>
      <c r="Z874" s="19"/>
      <c r="AA874" s="19"/>
      <c r="AB874" s="19"/>
      <c r="FE874" s="54"/>
    </row>
    <row r="875" spans="1:161" s="18" customFormat="1">
      <c r="A875" s="51"/>
      <c r="B875" s="735"/>
      <c r="C875" s="735"/>
      <c r="D875" s="735"/>
      <c r="E875" s="735"/>
      <c r="F875" s="736"/>
      <c r="G875" s="735"/>
      <c r="H875" s="735"/>
      <c r="I875" s="735"/>
      <c r="J875" s="735"/>
      <c r="K875" s="735"/>
      <c r="L875" s="735"/>
      <c r="M875" s="735"/>
      <c r="N875" s="735"/>
      <c r="O875" s="19"/>
      <c r="P875" s="19"/>
      <c r="Q875" s="19"/>
      <c r="R875" s="19"/>
      <c r="S875" s="19"/>
      <c r="T875" s="19"/>
      <c r="U875" s="19"/>
      <c r="V875" s="19"/>
      <c r="W875" s="19"/>
      <c r="X875" s="19"/>
      <c r="Y875" s="19"/>
      <c r="Z875" s="19"/>
      <c r="AA875" s="19"/>
      <c r="AB875" s="19"/>
      <c r="FE875" s="54"/>
    </row>
    <row r="876" spans="1:161" s="18" customFormat="1">
      <c r="A876" s="51"/>
      <c r="B876" s="735"/>
      <c r="C876" s="735"/>
      <c r="D876" s="735"/>
      <c r="E876" s="735"/>
      <c r="F876" s="736"/>
      <c r="G876" s="735"/>
      <c r="H876" s="735"/>
      <c r="I876" s="735"/>
      <c r="J876" s="735"/>
      <c r="K876" s="735"/>
      <c r="L876" s="735"/>
      <c r="M876" s="735"/>
      <c r="N876" s="735"/>
      <c r="O876" s="19"/>
      <c r="P876" s="19"/>
      <c r="Q876" s="19"/>
      <c r="R876" s="19"/>
      <c r="S876" s="19"/>
      <c r="T876" s="19"/>
      <c r="U876" s="19"/>
      <c r="V876" s="19"/>
      <c r="W876" s="19"/>
      <c r="X876" s="19"/>
      <c r="Y876" s="19"/>
      <c r="Z876" s="19"/>
      <c r="AA876" s="19"/>
      <c r="AB876" s="19"/>
      <c r="FE876" s="54"/>
    </row>
    <row r="877" spans="1:161" s="18" customFormat="1">
      <c r="A877" s="51"/>
      <c r="B877" s="735"/>
      <c r="C877" s="735"/>
      <c r="D877" s="735"/>
      <c r="E877" s="735"/>
      <c r="F877" s="736"/>
      <c r="G877" s="735"/>
      <c r="H877" s="735"/>
      <c r="I877" s="735"/>
      <c r="J877" s="735"/>
      <c r="K877" s="735"/>
      <c r="L877" s="735"/>
      <c r="M877" s="735"/>
      <c r="N877" s="735"/>
      <c r="O877" s="19"/>
      <c r="P877" s="19"/>
      <c r="Q877" s="19"/>
      <c r="R877" s="19"/>
      <c r="S877" s="19"/>
      <c r="T877" s="19"/>
      <c r="U877" s="19"/>
      <c r="V877" s="19"/>
      <c r="W877" s="19"/>
      <c r="X877" s="19"/>
      <c r="Y877" s="19"/>
      <c r="Z877" s="19"/>
      <c r="AA877" s="19"/>
      <c r="AB877" s="19"/>
      <c r="FE877" s="54"/>
    </row>
    <row r="878" spans="1:161" s="18" customFormat="1">
      <c r="A878" s="51"/>
      <c r="B878" s="735"/>
      <c r="C878" s="735"/>
      <c r="D878" s="735"/>
      <c r="E878" s="735"/>
      <c r="F878" s="736"/>
      <c r="G878" s="735"/>
      <c r="H878" s="735"/>
      <c r="I878" s="735"/>
      <c r="J878" s="735"/>
      <c r="K878" s="735"/>
      <c r="L878" s="735"/>
      <c r="M878" s="735"/>
      <c r="N878" s="735"/>
      <c r="O878" s="19"/>
      <c r="P878" s="19"/>
      <c r="Q878" s="19"/>
      <c r="R878" s="19"/>
      <c r="S878" s="19"/>
      <c r="T878" s="19"/>
      <c r="U878" s="19"/>
      <c r="V878" s="19"/>
      <c r="W878" s="19"/>
      <c r="X878" s="19"/>
      <c r="Y878" s="19"/>
      <c r="Z878" s="19"/>
      <c r="AA878" s="19"/>
      <c r="AB878" s="19"/>
      <c r="FE878" s="54"/>
    </row>
    <row r="879" spans="1:161" s="18" customFormat="1">
      <c r="A879" s="51"/>
      <c r="B879" s="735"/>
      <c r="C879" s="735"/>
      <c r="D879" s="735"/>
      <c r="E879" s="735"/>
      <c r="F879" s="736"/>
      <c r="G879" s="735"/>
      <c r="H879" s="735"/>
      <c r="I879" s="735"/>
      <c r="J879" s="735"/>
      <c r="K879" s="735"/>
      <c r="L879" s="735"/>
      <c r="M879" s="735"/>
      <c r="N879" s="735"/>
      <c r="O879" s="19"/>
      <c r="P879" s="19"/>
      <c r="Q879" s="19"/>
      <c r="R879" s="19"/>
      <c r="S879" s="19"/>
      <c r="T879" s="19"/>
      <c r="U879" s="19"/>
      <c r="V879" s="19"/>
      <c r="W879" s="19"/>
      <c r="X879" s="19"/>
      <c r="Y879" s="19"/>
      <c r="Z879" s="19"/>
      <c r="AA879" s="19"/>
      <c r="AB879" s="19"/>
      <c r="FE879" s="54"/>
    </row>
    <row r="880" spans="1:161" s="18" customFormat="1">
      <c r="A880" s="51"/>
      <c r="B880" s="735"/>
      <c r="C880" s="735"/>
      <c r="D880" s="735"/>
      <c r="E880" s="735"/>
      <c r="F880" s="736"/>
      <c r="G880" s="735"/>
      <c r="H880" s="735"/>
      <c r="I880" s="735"/>
      <c r="J880" s="735"/>
      <c r="K880" s="735"/>
      <c r="L880" s="735"/>
      <c r="M880" s="735"/>
      <c r="N880" s="735"/>
      <c r="O880" s="19"/>
      <c r="P880" s="19"/>
      <c r="Q880" s="19"/>
      <c r="R880" s="19"/>
      <c r="S880" s="19"/>
      <c r="T880" s="19"/>
      <c r="U880" s="19"/>
      <c r="V880" s="19"/>
      <c r="W880" s="19"/>
      <c r="X880" s="19"/>
      <c r="Y880" s="19"/>
      <c r="Z880" s="19"/>
      <c r="AA880" s="19"/>
      <c r="AB880" s="19"/>
      <c r="FE880" s="54"/>
    </row>
    <row r="881" spans="1:161" s="18" customFormat="1">
      <c r="A881" s="51"/>
      <c r="B881" s="735"/>
      <c r="C881" s="735"/>
      <c r="D881" s="735"/>
      <c r="E881" s="735"/>
      <c r="F881" s="736"/>
      <c r="G881" s="735"/>
      <c r="H881" s="735"/>
      <c r="I881" s="735"/>
      <c r="J881" s="735"/>
      <c r="K881" s="735"/>
      <c r="L881" s="735"/>
      <c r="M881" s="735"/>
      <c r="N881" s="735"/>
      <c r="O881" s="19"/>
      <c r="P881" s="19"/>
      <c r="Q881" s="19"/>
      <c r="R881" s="19"/>
      <c r="S881" s="19"/>
      <c r="T881" s="19"/>
      <c r="U881" s="19"/>
      <c r="V881" s="19"/>
      <c r="W881" s="19"/>
      <c r="X881" s="19"/>
      <c r="Y881" s="19"/>
      <c r="Z881" s="19"/>
      <c r="AA881" s="19"/>
      <c r="AB881" s="19"/>
      <c r="FE881" s="54"/>
    </row>
    <row r="882" spans="1:161" s="18" customFormat="1">
      <c r="A882" s="51"/>
      <c r="B882" s="735"/>
      <c r="C882" s="735"/>
      <c r="D882" s="735"/>
      <c r="E882" s="735"/>
      <c r="F882" s="736"/>
      <c r="G882" s="735"/>
      <c r="H882" s="735"/>
      <c r="I882" s="735"/>
      <c r="J882" s="735"/>
      <c r="K882" s="735"/>
      <c r="L882" s="735"/>
      <c r="M882" s="735"/>
      <c r="N882" s="735"/>
      <c r="O882" s="19"/>
      <c r="P882" s="19"/>
      <c r="Q882" s="19"/>
      <c r="R882" s="19"/>
      <c r="S882" s="19"/>
      <c r="T882" s="19"/>
      <c r="U882" s="19"/>
      <c r="V882" s="19"/>
      <c r="W882" s="19"/>
      <c r="X882" s="19"/>
      <c r="Y882" s="19"/>
      <c r="Z882" s="19"/>
      <c r="AA882" s="19"/>
      <c r="AB882" s="19"/>
      <c r="FE882" s="54"/>
    </row>
    <row r="883" spans="1:161" s="18" customFormat="1">
      <c r="A883" s="51"/>
      <c r="B883" s="735"/>
      <c r="C883" s="735"/>
      <c r="D883" s="735"/>
      <c r="E883" s="735"/>
      <c r="F883" s="736"/>
      <c r="G883" s="735"/>
      <c r="H883" s="735"/>
      <c r="I883" s="735"/>
      <c r="J883" s="735"/>
      <c r="K883" s="735"/>
      <c r="L883" s="735"/>
      <c r="M883" s="735"/>
      <c r="N883" s="735"/>
      <c r="O883" s="19"/>
      <c r="P883" s="19"/>
      <c r="Q883" s="19"/>
      <c r="R883" s="19"/>
      <c r="S883" s="19"/>
      <c r="T883" s="19"/>
      <c r="U883" s="19"/>
      <c r="V883" s="19"/>
      <c r="W883" s="19"/>
      <c r="X883" s="19"/>
      <c r="Y883" s="19"/>
      <c r="Z883" s="19"/>
      <c r="AA883" s="19"/>
      <c r="AB883" s="19"/>
      <c r="FE883" s="54"/>
    </row>
    <row r="884" spans="1:161" s="18" customFormat="1">
      <c r="A884" s="51"/>
      <c r="B884" s="735"/>
      <c r="C884" s="735"/>
      <c r="D884" s="735"/>
      <c r="E884" s="735"/>
      <c r="F884" s="736"/>
      <c r="G884" s="735"/>
      <c r="H884" s="735"/>
      <c r="I884" s="735"/>
      <c r="J884" s="735"/>
      <c r="K884" s="735"/>
      <c r="L884" s="735"/>
      <c r="M884" s="735"/>
      <c r="N884" s="735"/>
      <c r="O884" s="19"/>
      <c r="P884" s="19"/>
      <c r="Q884" s="19"/>
      <c r="R884" s="19"/>
      <c r="S884" s="19"/>
      <c r="T884" s="19"/>
      <c r="U884" s="19"/>
      <c r="V884" s="19"/>
      <c r="W884" s="19"/>
      <c r="X884" s="19"/>
      <c r="Y884" s="19"/>
      <c r="Z884" s="19"/>
      <c r="AA884" s="19"/>
      <c r="AB884" s="19"/>
      <c r="FE884" s="54"/>
    </row>
    <row r="885" spans="1:161" s="18" customFormat="1">
      <c r="A885" s="51"/>
      <c r="B885" s="735"/>
      <c r="C885" s="735"/>
      <c r="D885" s="735"/>
      <c r="E885" s="735"/>
      <c r="F885" s="736"/>
      <c r="G885" s="735"/>
      <c r="H885" s="735"/>
      <c r="I885" s="735"/>
      <c r="J885" s="735"/>
      <c r="K885" s="735"/>
      <c r="L885" s="735"/>
      <c r="M885" s="735"/>
      <c r="N885" s="735"/>
      <c r="O885" s="19"/>
      <c r="P885" s="19"/>
      <c r="Q885" s="19"/>
      <c r="R885" s="19"/>
      <c r="S885" s="19"/>
      <c r="T885" s="19"/>
      <c r="U885" s="19"/>
      <c r="V885" s="19"/>
      <c r="W885" s="19"/>
      <c r="X885" s="19"/>
      <c r="Y885" s="19"/>
      <c r="Z885" s="19"/>
      <c r="AA885" s="19"/>
      <c r="AB885" s="19"/>
      <c r="FE885" s="54"/>
    </row>
    <row r="886" spans="1:161" s="18" customFormat="1">
      <c r="A886" s="51"/>
      <c r="B886" s="735"/>
      <c r="C886" s="735"/>
      <c r="D886" s="735"/>
      <c r="E886" s="735"/>
      <c r="F886" s="736"/>
      <c r="G886" s="735"/>
      <c r="H886" s="735"/>
      <c r="I886" s="735"/>
      <c r="J886" s="735"/>
      <c r="K886" s="735"/>
      <c r="L886" s="735"/>
      <c r="M886" s="735"/>
      <c r="N886" s="735"/>
      <c r="O886" s="19"/>
      <c r="P886" s="19"/>
      <c r="Q886" s="19"/>
      <c r="R886" s="19"/>
      <c r="S886" s="19"/>
      <c r="T886" s="19"/>
      <c r="U886" s="19"/>
      <c r="V886" s="19"/>
      <c r="W886" s="19"/>
      <c r="X886" s="19"/>
      <c r="Y886" s="19"/>
      <c r="Z886" s="19"/>
      <c r="AA886" s="19"/>
      <c r="AB886" s="19"/>
      <c r="FE886" s="54"/>
    </row>
    <row r="887" spans="1:161" s="18" customFormat="1">
      <c r="A887" s="51"/>
      <c r="B887" s="735"/>
      <c r="C887" s="735"/>
      <c r="D887" s="735"/>
      <c r="E887" s="735"/>
      <c r="F887" s="736"/>
      <c r="G887" s="735"/>
      <c r="H887" s="735"/>
      <c r="I887" s="735"/>
      <c r="J887" s="735"/>
      <c r="K887" s="735"/>
      <c r="L887" s="735"/>
      <c r="M887" s="735"/>
      <c r="N887" s="735"/>
      <c r="O887" s="19"/>
      <c r="P887" s="19"/>
      <c r="Q887" s="19"/>
      <c r="R887" s="19"/>
      <c r="S887" s="19"/>
      <c r="T887" s="19"/>
      <c r="U887" s="19"/>
      <c r="V887" s="19"/>
      <c r="W887" s="19"/>
      <c r="X887" s="19"/>
      <c r="Y887" s="19"/>
      <c r="Z887" s="19"/>
      <c r="AA887" s="19"/>
      <c r="AB887" s="19"/>
      <c r="FE887" s="54"/>
    </row>
    <row r="888" spans="1:161" s="18" customFormat="1">
      <c r="A888" s="51"/>
      <c r="B888" s="735"/>
      <c r="C888" s="735"/>
      <c r="D888" s="735"/>
      <c r="E888" s="735"/>
      <c r="F888" s="736"/>
      <c r="G888" s="735"/>
      <c r="H888" s="735"/>
      <c r="I888" s="735"/>
      <c r="J888" s="735"/>
      <c r="K888" s="735"/>
      <c r="L888" s="735"/>
      <c r="M888" s="735"/>
      <c r="N888" s="735"/>
      <c r="O888" s="19"/>
      <c r="P888" s="19"/>
      <c r="Q888" s="19"/>
      <c r="R888" s="19"/>
      <c r="S888" s="19"/>
      <c r="T888" s="19"/>
      <c r="U888" s="19"/>
      <c r="V888" s="19"/>
      <c r="W888" s="19"/>
      <c r="X888" s="19"/>
      <c r="Y888" s="19"/>
      <c r="Z888" s="19"/>
      <c r="AA888" s="19"/>
      <c r="AB888" s="19"/>
      <c r="FE888" s="54"/>
    </row>
    <row r="889" spans="1:161" s="18" customFormat="1">
      <c r="A889" s="51"/>
      <c r="B889" s="735"/>
      <c r="C889" s="735"/>
      <c r="D889" s="735"/>
      <c r="E889" s="735"/>
      <c r="F889" s="736"/>
      <c r="G889" s="735"/>
      <c r="H889" s="735"/>
      <c r="I889" s="735"/>
      <c r="J889" s="735"/>
      <c r="K889" s="735"/>
      <c r="L889" s="735"/>
      <c r="M889" s="735"/>
      <c r="N889" s="735"/>
      <c r="O889" s="19"/>
      <c r="P889" s="19"/>
      <c r="Q889" s="19"/>
      <c r="R889" s="19"/>
      <c r="S889" s="19"/>
      <c r="T889" s="19"/>
      <c r="U889" s="19"/>
      <c r="V889" s="19"/>
      <c r="W889" s="19"/>
      <c r="X889" s="19"/>
      <c r="Y889" s="19"/>
      <c r="Z889" s="19"/>
      <c r="AA889" s="19"/>
      <c r="AB889" s="19"/>
      <c r="FE889" s="54"/>
    </row>
    <row r="890" spans="1:161" s="18" customFormat="1">
      <c r="A890" s="51"/>
      <c r="B890" s="735"/>
      <c r="C890" s="735"/>
      <c r="D890" s="735"/>
      <c r="E890" s="735"/>
      <c r="F890" s="736"/>
      <c r="G890" s="735"/>
      <c r="H890" s="735"/>
      <c r="I890" s="735"/>
      <c r="J890" s="735"/>
      <c r="K890" s="735"/>
      <c r="L890" s="735"/>
      <c r="M890" s="735"/>
      <c r="N890" s="735"/>
      <c r="O890" s="19"/>
      <c r="P890" s="19"/>
      <c r="Q890" s="19"/>
      <c r="R890" s="19"/>
      <c r="S890" s="19"/>
      <c r="T890" s="19"/>
      <c r="U890" s="19"/>
      <c r="V890" s="19"/>
      <c r="W890" s="19"/>
      <c r="X890" s="19"/>
      <c r="Y890" s="19"/>
      <c r="Z890" s="19"/>
      <c r="AA890" s="19"/>
      <c r="AB890" s="19"/>
      <c r="FE890" s="54"/>
    </row>
    <row r="891" spans="1:161" s="18" customFormat="1">
      <c r="A891" s="51"/>
      <c r="B891" s="735"/>
      <c r="C891" s="735"/>
      <c r="D891" s="735"/>
      <c r="E891" s="735"/>
      <c r="F891" s="736"/>
      <c r="G891" s="735"/>
      <c r="H891" s="735"/>
      <c r="I891" s="735"/>
      <c r="J891" s="735"/>
      <c r="K891" s="735"/>
      <c r="L891" s="735"/>
      <c r="M891" s="735"/>
      <c r="N891" s="735"/>
      <c r="O891" s="19"/>
      <c r="P891" s="19"/>
      <c r="Q891" s="19"/>
      <c r="R891" s="19"/>
      <c r="S891" s="19"/>
      <c r="T891" s="19"/>
      <c r="U891" s="19"/>
      <c r="V891" s="19"/>
      <c r="W891" s="19"/>
      <c r="X891" s="19"/>
      <c r="Y891" s="19"/>
      <c r="Z891" s="19"/>
      <c r="AA891" s="19"/>
      <c r="AB891" s="19"/>
      <c r="FE891" s="54"/>
    </row>
    <row r="892" spans="1:161" s="18" customFormat="1">
      <c r="A892" s="51"/>
      <c r="B892" s="735"/>
      <c r="C892" s="735"/>
      <c r="D892" s="735"/>
      <c r="E892" s="735"/>
      <c r="F892" s="736"/>
      <c r="G892" s="735"/>
      <c r="H892" s="735"/>
      <c r="I892" s="735"/>
      <c r="J892" s="735"/>
      <c r="K892" s="735"/>
      <c r="L892" s="735"/>
      <c r="M892" s="735"/>
      <c r="N892" s="735"/>
      <c r="O892" s="19"/>
      <c r="P892" s="19"/>
      <c r="Q892" s="19"/>
      <c r="R892" s="19"/>
      <c r="S892" s="19"/>
      <c r="T892" s="19"/>
      <c r="U892" s="19"/>
      <c r="V892" s="19"/>
      <c r="W892" s="19"/>
      <c r="X892" s="19"/>
      <c r="Y892" s="19"/>
      <c r="Z892" s="19"/>
      <c r="AA892" s="19"/>
      <c r="AB892" s="19"/>
      <c r="FE892" s="54"/>
    </row>
    <row r="893" spans="1:161" s="18" customFormat="1">
      <c r="A893" s="51"/>
      <c r="B893" s="735"/>
      <c r="C893" s="735"/>
      <c r="D893" s="735"/>
      <c r="E893" s="735"/>
      <c r="F893" s="736"/>
      <c r="G893" s="735"/>
      <c r="H893" s="735"/>
      <c r="I893" s="735"/>
      <c r="J893" s="735"/>
      <c r="K893" s="735"/>
      <c r="L893" s="735"/>
      <c r="M893" s="735"/>
      <c r="N893" s="735"/>
      <c r="O893" s="19"/>
      <c r="P893" s="19"/>
      <c r="Q893" s="19"/>
      <c r="R893" s="19"/>
      <c r="S893" s="19"/>
      <c r="T893" s="19"/>
      <c r="U893" s="19"/>
      <c r="V893" s="19"/>
      <c r="W893" s="19"/>
      <c r="X893" s="19"/>
      <c r="Y893" s="19"/>
      <c r="Z893" s="19"/>
      <c r="AA893" s="19"/>
      <c r="AB893" s="19"/>
      <c r="FE893" s="54"/>
    </row>
    <row r="894" spans="1:161" s="18" customFormat="1">
      <c r="A894" s="51"/>
      <c r="B894" s="735"/>
      <c r="C894" s="735"/>
      <c r="D894" s="735"/>
      <c r="E894" s="735"/>
      <c r="F894" s="736"/>
      <c r="G894" s="735"/>
      <c r="H894" s="735"/>
      <c r="I894" s="735"/>
      <c r="J894" s="735"/>
      <c r="K894" s="735"/>
      <c r="L894" s="735"/>
      <c r="M894" s="735"/>
      <c r="N894" s="735"/>
      <c r="O894" s="19"/>
      <c r="P894" s="19"/>
      <c r="Q894" s="19"/>
      <c r="R894" s="19"/>
      <c r="S894" s="19"/>
      <c r="T894" s="19"/>
      <c r="U894" s="19"/>
      <c r="V894" s="19"/>
      <c r="W894" s="19"/>
      <c r="X894" s="19"/>
      <c r="Y894" s="19"/>
      <c r="Z894" s="19"/>
      <c r="AA894" s="19"/>
      <c r="AB894" s="19"/>
      <c r="FE894" s="54"/>
    </row>
    <row r="895" spans="1:161" s="18" customFormat="1">
      <c r="A895" s="51"/>
      <c r="B895" s="735"/>
      <c r="C895" s="735"/>
      <c r="D895" s="735"/>
      <c r="E895" s="735"/>
      <c r="F895" s="736"/>
      <c r="G895" s="735"/>
      <c r="H895" s="735"/>
      <c r="I895" s="735"/>
      <c r="J895" s="735"/>
      <c r="K895" s="735"/>
      <c r="L895" s="735"/>
      <c r="M895" s="735"/>
      <c r="N895" s="735"/>
      <c r="O895" s="19"/>
      <c r="P895" s="19"/>
      <c r="Q895" s="19"/>
      <c r="R895" s="19"/>
      <c r="S895" s="19"/>
      <c r="T895" s="19"/>
      <c r="U895" s="19"/>
      <c r="V895" s="19"/>
      <c r="W895" s="19"/>
      <c r="X895" s="19"/>
      <c r="Y895" s="19"/>
      <c r="Z895" s="19"/>
      <c r="AA895" s="19"/>
      <c r="AB895" s="19"/>
      <c r="FE895" s="54"/>
    </row>
    <row r="896" spans="1:161" s="18" customFormat="1">
      <c r="A896" s="51"/>
      <c r="B896" s="735"/>
      <c r="C896" s="735"/>
      <c r="D896" s="735"/>
      <c r="E896" s="735"/>
      <c r="F896" s="736"/>
      <c r="G896" s="735"/>
      <c r="H896" s="735"/>
      <c r="I896" s="735"/>
      <c r="J896" s="735"/>
      <c r="K896" s="735"/>
      <c r="L896" s="735"/>
      <c r="M896" s="735"/>
      <c r="N896" s="735"/>
      <c r="O896" s="19"/>
      <c r="P896" s="19"/>
      <c r="Q896" s="19"/>
      <c r="R896" s="19"/>
      <c r="S896" s="19"/>
      <c r="T896" s="19"/>
      <c r="U896" s="19"/>
      <c r="V896" s="19"/>
      <c r="W896" s="19"/>
      <c r="X896" s="19"/>
      <c r="Y896" s="19"/>
      <c r="Z896" s="19"/>
      <c r="AA896" s="19"/>
      <c r="AB896" s="19"/>
      <c r="FE896" s="54"/>
    </row>
    <row r="897" spans="1:161" s="18" customFormat="1">
      <c r="A897" s="51"/>
      <c r="B897" s="735"/>
      <c r="C897" s="735"/>
      <c r="D897" s="735"/>
      <c r="E897" s="735"/>
      <c r="F897" s="736"/>
      <c r="G897" s="735"/>
      <c r="H897" s="735"/>
      <c r="I897" s="735"/>
      <c r="J897" s="735"/>
      <c r="K897" s="735"/>
      <c r="L897" s="735"/>
      <c r="M897" s="735"/>
      <c r="N897" s="735"/>
      <c r="O897" s="19"/>
      <c r="P897" s="19"/>
      <c r="Q897" s="19"/>
      <c r="R897" s="19"/>
      <c r="S897" s="19"/>
      <c r="T897" s="19"/>
      <c r="U897" s="19"/>
      <c r="V897" s="19"/>
      <c r="W897" s="19"/>
      <c r="X897" s="19"/>
      <c r="Y897" s="19"/>
      <c r="Z897" s="19"/>
      <c r="AA897" s="19"/>
      <c r="AB897" s="19"/>
      <c r="FE897" s="54"/>
    </row>
    <row r="898" spans="1:161" s="18" customFormat="1">
      <c r="A898" s="51"/>
      <c r="B898" s="735"/>
      <c r="C898" s="735"/>
      <c r="D898" s="735"/>
      <c r="E898" s="735"/>
      <c r="F898" s="736"/>
      <c r="G898" s="735"/>
      <c r="H898" s="735"/>
      <c r="I898" s="735"/>
      <c r="J898" s="735"/>
      <c r="K898" s="735"/>
      <c r="L898" s="735"/>
      <c r="M898" s="735"/>
      <c r="N898" s="735"/>
      <c r="O898" s="19"/>
      <c r="P898" s="19"/>
      <c r="Q898" s="19"/>
      <c r="R898" s="19"/>
      <c r="S898" s="19"/>
      <c r="T898" s="19"/>
      <c r="U898" s="19"/>
      <c r="V898" s="19"/>
      <c r="W898" s="19"/>
      <c r="X898" s="19"/>
      <c r="Y898" s="19"/>
      <c r="Z898" s="19"/>
      <c r="AA898" s="19"/>
      <c r="AB898" s="19"/>
      <c r="FE898" s="54"/>
    </row>
    <row r="899" spans="1:161" s="18" customFormat="1">
      <c r="A899" s="51"/>
      <c r="B899" s="735"/>
      <c r="C899" s="735"/>
      <c r="D899" s="735"/>
      <c r="E899" s="735"/>
      <c r="F899" s="736"/>
      <c r="G899" s="735"/>
      <c r="H899" s="735"/>
      <c r="I899" s="735"/>
      <c r="J899" s="735"/>
      <c r="K899" s="735"/>
      <c r="L899" s="735"/>
      <c r="M899" s="735"/>
      <c r="N899" s="735"/>
      <c r="O899" s="19"/>
      <c r="P899" s="19"/>
      <c r="Q899" s="19"/>
      <c r="R899" s="19"/>
      <c r="S899" s="19"/>
      <c r="T899" s="19"/>
      <c r="U899" s="19"/>
      <c r="V899" s="19"/>
      <c r="W899" s="19"/>
      <c r="X899" s="19"/>
      <c r="Y899" s="19"/>
      <c r="Z899" s="19"/>
      <c r="AA899" s="19"/>
      <c r="AB899" s="19"/>
      <c r="FE899" s="54"/>
    </row>
    <row r="900" spans="1:161" s="18" customFormat="1">
      <c r="A900" s="51"/>
      <c r="B900" s="735"/>
      <c r="C900" s="735"/>
      <c r="D900" s="735"/>
      <c r="E900" s="735"/>
      <c r="F900" s="736"/>
      <c r="G900" s="735"/>
      <c r="H900" s="735"/>
      <c r="I900" s="735"/>
      <c r="J900" s="735"/>
      <c r="K900" s="735"/>
      <c r="L900" s="735"/>
      <c r="M900" s="735"/>
      <c r="N900" s="735"/>
      <c r="O900" s="19"/>
      <c r="P900" s="19"/>
      <c r="Q900" s="19"/>
      <c r="R900" s="19"/>
      <c r="S900" s="19"/>
      <c r="T900" s="19"/>
      <c r="U900" s="19"/>
      <c r="V900" s="19"/>
      <c r="W900" s="19"/>
      <c r="X900" s="19"/>
      <c r="Y900" s="19"/>
      <c r="Z900" s="19"/>
      <c r="AA900" s="19"/>
      <c r="AB900" s="19"/>
      <c r="FE900" s="54"/>
    </row>
    <row r="901" spans="1:161" s="18" customFormat="1">
      <c r="A901" s="51"/>
      <c r="B901" s="735"/>
      <c r="C901" s="735"/>
      <c r="D901" s="735"/>
      <c r="E901" s="735"/>
      <c r="F901" s="736"/>
      <c r="G901" s="735"/>
      <c r="H901" s="735"/>
      <c r="I901" s="735"/>
      <c r="J901" s="735"/>
      <c r="K901" s="735"/>
      <c r="L901" s="735"/>
      <c r="M901" s="735"/>
      <c r="N901" s="735"/>
      <c r="O901" s="19"/>
      <c r="P901" s="19"/>
      <c r="Q901" s="19"/>
      <c r="R901" s="19"/>
      <c r="S901" s="19"/>
      <c r="T901" s="19"/>
      <c r="U901" s="19"/>
      <c r="V901" s="19"/>
      <c r="W901" s="19"/>
      <c r="X901" s="19"/>
      <c r="Y901" s="19"/>
      <c r="Z901" s="19"/>
      <c r="AA901" s="19"/>
      <c r="AB901" s="19"/>
      <c r="FE901" s="54"/>
    </row>
    <row r="902" spans="1:161" s="18" customFormat="1">
      <c r="A902" s="51"/>
      <c r="B902" s="735"/>
      <c r="C902" s="735"/>
      <c r="D902" s="735"/>
      <c r="E902" s="735"/>
      <c r="F902" s="736"/>
      <c r="G902" s="735"/>
      <c r="H902" s="735"/>
      <c r="I902" s="735"/>
      <c r="J902" s="735"/>
      <c r="K902" s="735"/>
      <c r="L902" s="735"/>
      <c r="M902" s="735"/>
      <c r="N902" s="735"/>
      <c r="O902" s="19"/>
      <c r="P902" s="19"/>
      <c r="Q902" s="19"/>
      <c r="R902" s="19"/>
      <c r="S902" s="19"/>
      <c r="T902" s="19"/>
      <c r="U902" s="19"/>
      <c r="V902" s="19"/>
      <c r="W902" s="19"/>
      <c r="X902" s="19"/>
      <c r="Y902" s="19"/>
      <c r="Z902" s="19"/>
      <c r="AA902" s="19"/>
      <c r="AB902" s="19"/>
      <c r="FE902" s="54"/>
    </row>
    <row r="903" spans="1:161" s="18" customFormat="1">
      <c r="A903" s="51"/>
      <c r="B903" s="735"/>
      <c r="C903" s="735"/>
      <c r="D903" s="735"/>
      <c r="E903" s="735"/>
      <c r="F903" s="736"/>
      <c r="G903" s="735"/>
      <c r="H903" s="735"/>
      <c r="I903" s="735"/>
      <c r="J903" s="735"/>
      <c r="K903" s="735"/>
      <c r="L903" s="735"/>
      <c r="M903" s="735"/>
      <c r="N903" s="735"/>
      <c r="O903" s="19"/>
      <c r="P903" s="19"/>
      <c r="Q903" s="19"/>
      <c r="R903" s="19"/>
      <c r="S903" s="19"/>
      <c r="T903" s="19"/>
      <c r="U903" s="19"/>
      <c r="V903" s="19"/>
      <c r="W903" s="19"/>
      <c r="X903" s="19"/>
      <c r="Y903" s="19"/>
      <c r="Z903" s="19"/>
      <c r="AA903" s="19"/>
      <c r="AB903" s="19"/>
      <c r="FE903" s="54"/>
    </row>
    <row r="904" spans="1:161" s="18" customFormat="1">
      <c r="A904" s="51"/>
      <c r="B904" s="735"/>
      <c r="C904" s="735"/>
      <c r="D904" s="735"/>
      <c r="E904" s="735"/>
      <c r="F904" s="736"/>
      <c r="G904" s="735"/>
      <c r="H904" s="735"/>
      <c r="I904" s="735"/>
      <c r="J904" s="735"/>
      <c r="K904" s="735"/>
      <c r="L904" s="735"/>
      <c r="M904" s="735"/>
      <c r="N904" s="735"/>
      <c r="O904" s="19"/>
      <c r="P904" s="19"/>
      <c r="Q904" s="19"/>
      <c r="R904" s="19"/>
      <c r="S904" s="19"/>
      <c r="T904" s="19"/>
      <c r="U904" s="19"/>
      <c r="V904" s="19"/>
      <c r="W904" s="19"/>
      <c r="X904" s="19"/>
      <c r="Y904" s="19"/>
      <c r="Z904" s="19"/>
      <c r="AA904" s="19"/>
      <c r="AB904" s="19"/>
      <c r="FE904" s="54"/>
    </row>
    <row r="905" spans="1:161" s="18" customFormat="1">
      <c r="A905" s="51"/>
      <c r="B905" s="735"/>
      <c r="C905" s="735"/>
      <c r="D905" s="735"/>
      <c r="E905" s="735"/>
      <c r="F905" s="736"/>
      <c r="G905" s="735"/>
      <c r="H905" s="735"/>
      <c r="I905" s="735"/>
      <c r="J905" s="735"/>
      <c r="K905" s="735"/>
      <c r="L905" s="735"/>
      <c r="M905" s="735"/>
      <c r="N905" s="735"/>
      <c r="O905" s="19"/>
      <c r="P905" s="19"/>
      <c r="Q905" s="19"/>
      <c r="R905" s="19"/>
      <c r="S905" s="19"/>
      <c r="T905" s="19"/>
      <c r="U905" s="19"/>
      <c r="V905" s="19"/>
      <c r="W905" s="19"/>
      <c r="X905" s="19"/>
      <c r="Y905" s="19"/>
      <c r="Z905" s="19"/>
      <c r="AA905" s="19"/>
      <c r="AB905" s="19"/>
      <c r="FE905" s="54"/>
    </row>
    <row r="906" spans="1:161" s="18" customFormat="1">
      <c r="A906" s="51"/>
      <c r="B906" s="735"/>
      <c r="C906" s="735"/>
      <c r="D906" s="735"/>
      <c r="E906" s="735"/>
      <c r="F906" s="736"/>
      <c r="G906" s="735"/>
      <c r="H906" s="735"/>
      <c r="I906" s="735"/>
      <c r="J906" s="735"/>
      <c r="K906" s="735"/>
      <c r="L906" s="735"/>
      <c r="M906" s="735"/>
      <c r="N906" s="735"/>
      <c r="O906" s="19"/>
      <c r="P906" s="19"/>
      <c r="Q906" s="19"/>
      <c r="R906" s="19"/>
      <c r="S906" s="19"/>
      <c r="T906" s="19"/>
      <c r="U906" s="19"/>
      <c r="V906" s="19"/>
      <c r="W906" s="19"/>
      <c r="X906" s="19"/>
      <c r="Y906" s="19"/>
      <c r="Z906" s="19"/>
      <c r="AA906" s="19"/>
      <c r="AB906" s="19"/>
      <c r="FE906" s="54"/>
    </row>
    <row r="907" spans="1:161" s="18" customFormat="1">
      <c r="A907" s="51"/>
      <c r="B907" s="735"/>
      <c r="C907" s="735"/>
      <c r="D907" s="735"/>
      <c r="E907" s="735"/>
      <c r="F907" s="736"/>
      <c r="G907" s="735"/>
      <c r="H907" s="735"/>
      <c r="I907" s="735"/>
      <c r="J907" s="735"/>
      <c r="K907" s="735"/>
      <c r="L907" s="735"/>
      <c r="M907" s="735"/>
      <c r="N907" s="735"/>
      <c r="O907" s="19"/>
      <c r="P907" s="19"/>
      <c r="Q907" s="19"/>
      <c r="R907" s="19"/>
      <c r="S907" s="19"/>
      <c r="T907" s="19"/>
      <c r="U907" s="19"/>
      <c r="V907" s="19"/>
      <c r="W907" s="19"/>
      <c r="X907" s="19"/>
      <c r="Y907" s="19"/>
      <c r="Z907" s="19"/>
      <c r="AA907" s="19"/>
      <c r="AB907" s="19"/>
      <c r="FE907" s="54"/>
    </row>
    <row r="908" spans="1:161" s="18" customFormat="1">
      <c r="A908" s="51"/>
      <c r="B908" s="735"/>
      <c r="C908" s="735"/>
      <c r="D908" s="735"/>
      <c r="E908" s="735"/>
      <c r="F908" s="736"/>
      <c r="G908" s="735"/>
      <c r="H908" s="735"/>
      <c r="I908" s="735"/>
      <c r="J908" s="735"/>
      <c r="K908" s="735"/>
      <c r="L908" s="735"/>
      <c r="M908" s="735"/>
      <c r="N908" s="735"/>
      <c r="O908" s="19"/>
      <c r="P908" s="19"/>
      <c r="Q908" s="19"/>
      <c r="R908" s="19"/>
      <c r="S908" s="19"/>
      <c r="T908" s="19"/>
      <c r="U908" s="19"/>
      <c r="V908" s="19"/>
      <c r="W908" s="19"/>
      <c r="X908" s="19"/>
      <c r="Y908" s="19"/>
      <c r="Z908" s="19"/>
      <c r="AA908" s="19"/>
      <c r="AB908" s="19"/>
      <c r="FE908" s="54"/>
    </row>
    <row r="909" spans="1:161" s="18" customFormat="1">
      <c r="A909" s="51"/>
      <c r="B909" s="735"/>
      <c r="C909" s="735"/>
      <c r="D909" s="735"/>
      <c r="E909" s="735"/>
      <c r="F909" s="736"/>
      <c r="G909" s="735"/>
      <c r="H909" s="735"/>
      <c r="I909" s="735"/>
      <c r="J909" s="735"/>
      <c r="K909" s="735"/>
      <c r="L909" s="735"/>
      <c r="M909" s="735"/>
      <c r="N909" s="735"/>
      <c r="O909" s="19"/>
      <c r="P909" s="19"/>
      <c r="Q909" s="19"/>
      <c r="R909" s="19"/>
      <c r="S909" s="19"/>
      <c r="T909" s="19"/>
      <c r="U909" s="19"/>
      <c r="V909" s="19"/>
      <c r="W909" s="19"/>
      <c r="X909" s="19"/>
      <c r="Y909" s="19"/>
      <c r="Z909" s="19"/>
      <c r="AA909" s="19"/>
      <c r="AB909" s="19"/>
      <c r="FE909" s="54"/>
    </row>
    <row r="910" spans="1:161" s="18" customFormat="1">
      <c r="A910" s="51"/>
      <c r="B910" s="735"/>
      <c r="C910" s="735"/>
      <c r="D910" s="735"/>
      <c r="E910" s="735"/>
      <c r="F910" s="736"/>
      <c r="G910" s="735"/>
      <c r="H910" s="735"/>
      <c r="I910" s="735"/>
      <c r="J910" s="735"/>
      <c r="K910" s="735"/>
      <c r="L910" s="735"/>
      <c r="M910" s="735"/>
      <c r="N910" s="735"/>
      <c r="O910" s="19"/>
      <c r="P910" s="19"/>
      <c r="Q910" s="19"/>
      <c r="R910" s="19"/>
      <c r="S910" s="19"/>
      <c r="T910" s="19"/>
      <c r="U910" s="19"/>
      <c r="V910" s="19"/>
      <c r="W910" s="19"/>
      <c r="X910" s="19"/>
      <c r="Y910" s="19"/>
      <c r="Z910" s="19"/>
      <c r="AA910" s="19"/>
      <c r="AB910" s="19"/>
      <c r="FE910" s="54"/>
    </row>
    <row r="911" spans="1:161" s="18" customFormat="1">
      <c r="A911" s="51"/>
      <c r="B911" s="735"/>
      <c r="C911" s="735"/>
      <c r="D911" s="735"/>
      <c r="E911" s="735"/>
      <c r="F911" s="736"/>
      <c r="G911" s="735"/>
      <c r="H911" s="735"/>
      <c r="I911" s="735"/>
      <c r="J911" s="735"/>
      <c r="K911" s="735"/>
      <c r="L911" s="735"/>
      <c r="M911" s="735"/>
      <c r="N911" s="735"/>
      <c r="O911" s="19"/>
      <c r="P911" s="19"/>
      <c r="Q911" s="19"/>
      <c r="R911" s="19"/>
      <c r="S911" s="19"/>
      <c r="T911" s="19"/>
      <c r="U911" s="19"/>
      <c r="V911" s="19"/>
      <c r="W911" s="19"/>
      <c r="X911" s="19"/>
      <c r="Y911" s="19"/>
      <c r="Z911" s="19"/>
      <c r="AA911" s="19"/>
      <c r="AB911" s="19"/>
      <c r="FE911" s="54"/>
    </row>
    <row r="912" spans="1:161" s="18" customFormat="1">
      <c r="A912" s="51"/>
      <c r="B912" s="735"/>
      <c r="C912" s="735"/>
      <c r="D912" s="735"/>
      <c r="E912" s="735"/>
      <c r="F912" s="736"/>
      <c r="G912" s="735"/>
      <c r="H912" s="735"/>
      <c r="I912" s="735"/>
      <c r="J912" s="735"/>
      <c r="K912" s="735"/>
      <c r="L912" s="735"/>
      <c r="M912" s="735"/>
      <c r="N912" s="735"/>
      <c r="O912" s="19"/>
      <c r="P912" s="19"/>
      <c r="Q912" s="19"/>
      <c r="R912" s="19"/>
      <c r="S912" s="19"/>
      <c r="T912" s="19"/>
      <c r="U912" s="19"/>
      <c r="V912" s="19"/>
      <c r="W912" s="19"/>
      <c r="X912" s="19"/>
      <c r="Y912" s="19"/>
      <c r="Z912" s="19"/>
      <c r="AA912" s="19"/>
      <c r="AB912" s="19"/>
      <c r="FE912" s="54"/>
    </row>
    <row r="913" spans="1:161" s="18" customFormat="1">
      <c r="A913" s="51"/>
      <c r="B913" s="735"/>
      <c r="C913" s="735"/>
      <c r="D913" s="735"/>
      <c r="E913" s="735"/>
      <c r="F913" s="736"/>
      <c r="G913" s="735"/>
      <c r="H913" s="735"/>
      <c r="I913" s="735"/>
      <c r="J913" s="735"/>
      <c r="K913" s="735"/>
      <c r="L913" s="735"/>
      <c r="M913" s="735"/>
      <c r="N913" s="735"/>
      <c r="O913" s="19"/>
      <c r="P913" s="19"/>
      <c r="Q913" s="19"/>
      <c r="R913" s="19"/>
      <c r="S913" s="19"/>
      <c r="T913" s="19"/>
      <c r="U913" s="19"/>
      <c r="V913" s="19"/>
      <c r="W913" s="19"/>
      <c r="X913" s="19"/>
      <c r="Y913" s="19"/>
      <c r="Z913" s="19"/>
      <c r="AA913" s="19"/>
      <c r="AB913" s="19"/>
      <c r="FE913" s="54"/>
    </row>
    <row r="914" spans="1:161" s="18" customFormat="1">
      <c r="A914" s="51"/>
      <c r="B914" s="735"/>
      <c r="C914" s="735"/>
      <c r="D914" s="735"/>
      <c r="E914" s="735"/>
      <c r="F914" s="736"/>
      <c r="G914" s="735"/>
      <c r="H914" s="735"/>
      <c r="I914" s="735"/>
      <c r="J914" s="735"/>
      <c r="K914" s="735"/>
      <c r="L914" s="735"/>
      <c r="M914" s="735"/>
      <c r="N914" s="735"/>
      <c r="O914" s="19"/>
      <c r="P914" s="19"/>
      <c r="Q914" s="19"/>
      <c r="R914" s="19"/>
      <c r="S914" s="19"/>
      <c r="T914" s="19"/>
      <c r="U914" s="19"/>
      <c r="V914" s="19"/>
      <c r="W914" s="19"/>
      <c r="X914" s="19"/>
      <c r="Y914" s="19"/>
      <c r="Z914" s="19"/>
      <c r="AA914" s="19"/>
      <c r="AB914" s="19"/>
      <c r="FE914" s="54"/>
    </row>
    <row r="915" spans="1:161" s="18" customFormat="1">
      <c r="A915" s="51"/>
      <c r="B915" s="735"/>
      <c r="C915" s="735"/>
      <c r="D915" s="735"/>
      <c r="E915" s="735"/>
      <c r="F915" s="736"/>
      <c r="G915" s="735"/>
      <c r="H915" s="735"/>
      <c r="I915" s="735"/>
      <c r="J915" s="735"/>
      <c r="K915" s="735"/>
      <c r="L915" s="735"/>
      <c r="M915" s="735"/>
      <c r="N915" s="735"/>
      <c r="O915" s="19"/>
      <c r="P915" s="19"/>
      <c r="Q915" s="19"/>
      <c r="R915" s="19"/>
      <c r="S915" s="19"/>
      <c r="T915" s="19"/>
      <c r="U915" s="19"/>
      <c r="V915" s="19"/>
      <c r="W915" s="19"/>
      <c r="X915" s="19"/>
      <c r="Y915" s="19"/>
      <c r="Z915" s="19"/>
      <c r="AA915" s="19"/>
      <c r="AB915" s="19"/>
      <c r="FE915" s="54"/>
    </row>
    <row r="916" spans="1:161" s="18" customFormat="1">
      <c r="A916" s="51"/>
      <c r="B916" s="735"/>
      <c r="C916" s="735"/>
      <c r="D916" s="735"/>
      <c r="E916" s="735"/>
      <c r="F916" s="736"/>
      <c r="G916" s="735"/>
      <c r="H916" s="735"/>
      <c r="I916" s="735"/>
      <c r="J916" s="735"/>
      <c r="K916" s="735"/>
      <c r="L916" s="735"/>
      <c r="M916" s="735"/>
      <c r="N916" s="735"/>
      <c r="O916" s="19"/>
      <c r="P916" s="19"/>
      <c r="Q916" s="19"/>
      <c r="R916" s="19"/>
      <c r="S916" s="19"/>
      <c r="T916" s="19"/>
      <c r="U916" s="19"/>
      <c r="V916" s="19"/>
      <c r="W916" s="19"/>
      <c r="X916" s="19"/>
      <c r="Y916" s="19"/>
      <c r="Z916" s="19"/>
      <c r="AA916" s="19"/>
      <c r="AB916" s="19"/>
      <c r="FE916" s="54"/>
    </row>
    <row r="917" spans="1:161" s="18" customFormat="1">
      <c r="A917" s="51"/>
      <c r="B917" s="735"/>
      <c r="C917" s="735"/>
      <c r="D917" s="735"/>
      <c r="E917" s="735"/>
      <c r="F917" s="736"/>
      <c r="G917" s="735"/>
      <c r="H917" s="735"/>
      <c r="I917" s="735"/>
      <c r="J917" s="735"/>
      <c r="K917" s="735"/>
      <c r="L917" s="735"/>
      <c r="M917" s="735"/>
      <c r="N917" s="735"/>
      <c r="O917" s="19"/>
      <c r="P917" s="19"/>
      <c r="Q917" s="19"/>
      <c r="R917" s="19"/>
      <c r="S917" s="19"/>
      <c r="T917" s="19"/>
      <c r="U917" s="19"/>
      <c r="V917" s="19"/>
      <c r="W917" s="19"/>
      <c r="X917" s="19"/>
      <c r="Y917" s="19"/>
      <c r="Z917" s="19"/>
      <c r="AA917" s="19"/>
      <c r="AB917" s="19"/>
      <c r="FE917" s="54"/>
    </row>
    <row r="918" spans="1:161" s="18" customFormat="1">
      <c r="A918" s="51"/>
      <c r="B918" s="735"/>
      <c r="C918" s="735"/>
      <c r="D918" s="735"/>
      <c r="E918" s="735"/>
      <c r="F918" s="736"/>
      <c r="G918" s="735"/>
      <c r="H918" s="735"/>
      <c r="I918" s="735"/>
      <c r="J918" s="735"/>
      <c r="K918" s="735"/>
      <c r="L918" s="735"/>
      <c r="M918" s="735"/>
      <c r="N918" s="735"/>
      <c r="O918" s="19"/>
      <c r="P918" s="19"/>
      <c r="Q918" s="19"/>
      <c r="R918" s="19"/>
      <c r="S918" s="19"/>
      <c r="T918" s="19"/>
      <c r="U918" s="19"/>
      <c r="V918" s="19"/>
      <c r="W918" s="19"/>
      <c r="X918" s="19"/>
      <c r="Y918" s="19"/>
      <c r="Z918" s="19"/>
      <c r="AA918" s="19"/>
      <c r="AB918" s="19"/>
      <c r="FE918" s="54"/>
    </row>
    <row r="919" spans="1:161" s="18" customFormat="1">
      <c r="A919" s="51"/>
      <c r="B919" s="735"/>
      <c r="C919" s="735"/>
      <c r="D919" s="735"/>
      <c r="E919" s="735"/>
      <c r="F919" s="736"/>
      <c r="G919" s="735"/>
      <c r="H919" s="735"/>
      <c r="I919" s="735"/>
      <c r="J919" s="735"/>
      <c r="K919" s="735"/>
      <c r="L919" s="735"/>
      <c r="M919" s="735"/>
      <c r="N919" s="735"/>
      <c r="O919" s="19"/>
      <c r="P919" s="19"/>
      <c r="Q919" s="19"/>
      <c r="R919" s="19"/>
      <c r="S919" s="19"/>
      <c r="T919" s="19"/>
      <c r="U919" s="19"/>
      <c r="V919" s="19"/>
      <c r="W919" s="19"/>
      <c r="X919" s="19"/>
      <c r="Y919" s="19"/>
      <c r="Z919" s="19"/>
      <c r="AA919" s="19"/>
      <c r="AB919" s="19"/>
      <c r="FE919" s="54"/>
    </row>
    <row r="920" spans="1:161" s="18" customFormat="1">
      <c r="A920" s="51"/>
      <c r="B920" s="735"/>
      <c r="C920" s="735"/>
      <c r="D920" s="735"/>
      <c r="E920" s="735"/>
      <c r="F920" s="736"/>
      <c r="G920" s="735"/>
      <c r="H920" s="735"/>
      <c r="I920" s="735"/>
      <c r="J920" s="735"/>
      <c r="K920" s="735"/>
      <c r="L920" s="735"/>
      <c r="M920" s="735"/>
      <c r="N920" s="735"/>
      <c r="O920" s="19"/>
      <c r="P920" s="19"/>
      <c r="Q920" s="19"/>
      <c r="R920" s="19"/>
      <c r="S920" s="19"/>
      <c r="T920" s="19"/>
      <c r="U920" s="19"/>
      <c r="V920" s="19"/>
      <c r="W920" s="19"/>
      <c r="X920" s="19"/>
      <c r="Y920" s="19"/>
      <c r="Z920" s="19"/>
      <c r="AA920" s="19"/>
      <c r="AB920" s="19"/>
      <c r="FE920" s="54"/>
    </row>
    <row r="921" spans="1:161" s="18" customFormat="1">
      <c r="A921" s="51"/>
      <c r="B921" s="735"/>
      <c r="C921" s="735"/>
      <c r="D921" s="735"/>
      <c r="E921" s="735"/>
      <c r="F921" s="736"/>
      <c r="G921" s="735"/>
      <c r="H921" s="735"/>
      <c r="I921" s="735"/>
      <c r="J921" s="735"/>
      <c r="K921" s="735"/>
      <c r="L921" s="735"/>
      <c r="M921" s="735"/>
      <c r="N921" s="735"/>
      <c r="O921" s="19"/>
      <c r="P921" s="19"/>
      <c r="Q921" s="19"/>
      <c r="R921" s="19"/>
      <c r="S921" s="19"/>
      <c r="T921" s="19"/>
      <c r="U921" s="19"/>
      <c r="V921" s="19"/>
      <c r="W921" s="19"/>
      <c r="X921" s="19"/>
      <c r="Y921" s="19"/>
      <c r="Z921" s="19"/>
      <c r="AA921" s="19"/>
      <c r="AB921" s="19"/>
      <c r="FE921" s="54"/>
    </row>
    <row r="922" spans="1:161" s="18" customFormat="1">
      <c r="A922" s="51"/>
      <c r="B922" s="735"/>
      <c r="C922" s="735"/>
      <c r="D922" s="735"/>
      <c r="E922" s="735"/>
      <c r="F922" s="736"/>
      <c r="G922" s="735"/>
      <c r="H922" s="735"/>
      <c r="I922" s="735"/>
      <c r="J922" s="735"/>
      <c r="K922" s="735"/>
      <c r="L922" s="735"/>
      <c r="M922" s="735"/>
      <c r="N922" s="735"/>
      <c r="O922" s="19"/>
      <c r="P922" s="19"/>
      <c r="Q922" s="19"/>
      <c r="R922" s="19"/>
      <c r="S922" s="19"/>
      <c r="T922" s="19"/>
      <c r="U922" s="19"/>
      <c r="V922" s="19"/>
      <c r="W922" s="19"/>
      <c r="X922" s="19"/>
      <c r="Y922" s="19"/>
      <c r="Z922" s="19"/>
      <c r="AA922" s="19"/>
      <c r="AB922" s="19"/>
      <c r="FE922" s="54"/>
    </row>
    <row r="923" spans="1:161" s="18" customFormat="1">
      <c r="A923" s="51"/>
      <c r="B923" s="735"/>
      <c r="C923" s="735"/>
      <c r="D923" s="735"/>
      <c r="E923" s="735"/>
      <c r="F923" s="736"/>
      <c r="G923" s="735"/>
      <c r="H923" s="735"/>
      <c r="I923" s="735"/>
      <c r="J923" s="735"/>
      <c r="K923" s="735"/>
      <c r="L923" s="735"/>
      <c r="M923" s="735"/>
      <c r="N923" s="735"/>
      <c r="O923" s="19"/>
      <c r="P923" s="19"/>
      <c r="Q923" s="19"/>
      <c r="R923" s="19"/>
      <c r="S923" s="19"/>
      <c r="T923" s="19"/>
      <c r="U923" s="19"/>
      <c r="V923" s="19"/>
      <c r="W923" s="19"/>
      <c r="X923" s="19"/>
      <c r="Y923" s="19"/>
      <c r="Z923" s="19"/>
      <c r="AA923" s="19"/>
      <c r="AB923" s="19"/>
      <c r="FE923" s="54"/>
    </row>
    <row r="924" spans="1:161" s="18" customFormat="1">
      <c r="A924" s="51"/>
      <c r="B924" s="735"/>
      <c r="C924" s="735"/>
      <c r="D924" s="735"/>
      <c r="E924" s="735"/>
      <c r="F924" s="736"/>
      <c r="G924" s="735"/>
      <c r="H924" s="735"/>
      <c r="I924" s="735"/>
      <c r="J924" s="735"/>
      <c r="K924" s="735"/>
      <c r="L924" s="735"/>
      <c r="M924" s="735"/>
      <c r="N924" s="735"/>
      <c r="O924" s="19"/>
      <c r="P924" s="19"/>
      <c r="Q924" s="19"/>
      <c r="R924" s="19"/>
      <c r="S924" s="19"/>
      <c r="T924" s="19"/>
      <c r="U924" s="19"/>
      <c r="V924" s="19"/>
      <c r="W924" s="19"/>
      <c r="X924" s="19"/>
      <c r="Y924" s="19"/>
      <c r="Z924" s="19"/>
      <c r="AA924" s="19"/>
      <c r="AB924" s="19"/>
      <c r="FE924" s="54"/>
    </row>
    <row r="925" spans="1:161" s="18" customFormat="1">
      <c r="A925" s="51"/>
      <c r="B925" s="735"/>
      <c r="C925" s="735"/>
      <c r="D925" s="735"/>
      <c r="E925" s="735"/>
      <c r="F925" s="736"/>
      <c r="G925" s="735"/>
      <c r="H925" s="735"/>
      <c r="I925" s="735"/>
      <c r="J925" s="735"/>
      <c r="K925" s="735"/>
      <c r="L925" s="735"/>
      <c r="M925" s="735"/>
      <c r="N925" s="735"/>
      <c r="O925" s="19"/>
      <c r="P925" s="19"/>
      <c r="Q925" s="19"/>
      <c r="R925" s="19"/>
      <c r="S925" s="19"/>
      <c r="T925" s="19"/>
      <c r="U925" s="19"/>
      <c r="V925" s="19"/>
      <c r="W925" s="19"/>
      <c r="X925" s="19"/>
      <c r="Y925" s="19"/>
      <c r="Z925" s="19"/>
      <c r="AA925" s="19"/>
      <c r="AB925" s="19"/>
      <c r="FE925" s="54"/>
    </row>
    <row r="926" spans="1:161" s="18" customFormat="1">
      <c r="A926" s="51"/>
      <c r="B926" s="735"/>
      <c r="C926" s="735"/>
      <c r="D926" s="735"/>
      <c r="E926" s="735"/>
      <c r="F926" s="736"/>
      <c r="G926" s="735"/>
      <c r="H926" s="735"/>
      <c r="I926" s="735"/>
      <c r="J926" s="735"/>
      <c r="K926" s="735"/>
      <c r="L926" s="735"/>
      <c r="M926" s="735"/>
      <c r="N926" s="735"/>
      <c r="O926" s="19"/>
      <c r="P926" s="19"/>
      <c r="Q926" s="19"/>
      <c r="R926" s="19"/>
      <c r="S926" s="19"/>
      <c r="T926" s="19"/>
      <c r="U926" s="19"/>
      <c r="V926" s="19"/>
      <c r="W926" s="19"/>
      <c r="X926" s="19"/>
      <c r="Y926" s="19"/>
      <c r="Z926" s="19"/>
      <c r="AA926" s="19"/>
      <c r="AB926" s="19"/>
      <c r="FE926" s="54"/>
    </row>
    <row r="927" spans="1:161" s="18" customFormat="1">
      <c r="A927" s="51"/>
      <c r="B927" s="735"/>
      <c r="C927" s="735"/>
      <c r="D927" s="735"/>
      <c r="E927" s="735"/>
      <c r="F927" s="736"/>
      <c r="G927" s="735"/>
      <c r="H927" s="735"/>
      <c r="I927" s="735"/>
      <c r="J927" s="735"/>
      <c r="K927" s="735"/>
      <c r="L927" s="735"/>
      <c r="M927" s="735"/>
      <c r="N927" s="735"/>
      <c r="O927" s="19"/>
      <c r="P927" s="19"/>
      <c r="Q927" s="19"/>
      <c r="R927" s="19"/>
      <c r="S927" s="19"/>
      <c r="T927" s="19"/>
      <c r="U927" s="19"/>
      <c r="V927" s="19"/>
      <c r="W927" s="19"/>
      <c r="X927" s="19"/>
      <c r="Y927" s="19"/>
      <c r="Z927" s="19"/>
      <c r="AA927" s="19"/>
      <c r="AB927" s="19"/>
      <c r="FE927" s="54"/>
    </row>
    <row r="928" spans="1:161" s="18" customFormat="1">
      <c r="A928" s="51"/>
      <c r="B928" s="735"/>
      <c r="C928" s="735"/>
      <c r="D928" s="735"/>
      <c r="E928" s="735"/>
      <c r="F928" s="736"/>
      <c r="G928" s="735"/>
      <c r="H928" s="735"/>
      <c r="I928" s="735"/>
      <c r="J928" s="735"/>
      <c r="K928" s="735"/>
      <c r="L928" s="735"/>
      <c r="M928" s="735"/>
      <c r="N928" s="735"/>
      <c r="O928" s="19"/>
      <c r="P928" s="19"/>
      <c r="Q928" s="19"/>
      <c r="R928" s="19"/>
      <c r="S928" s="19"/>
      <c r="T928" s="19"/>
      <c r="U928" s="19"/>
      <c r="V928" s="19"/>
      <c r="W928" s="19"/>
      <c r="X928" s="19"/>
      <c r="Y928" s="19"/>
      <c r="Z928" s="19"/>
      <c r="AA928" s="19"/>
      <c r="AB928" s="19"/>
      <c r="FE928" s="54"/>
    </row>
    <row r="929" spans="1:161" s="18" customFormat="1">
      <c r="A929" s="51"/>
      <c r="B929" s="735"/>
      <c r="C929" s="735"/>
      <c r="D929" s="735"/>
      <c r="E929" s="735"/>
      <c r="F929" s="736"/>
      <c r="G929" s="735"/>
      <c r="H929" s="735"/>
      <c r="I929" s="735"/>
      <c r="J929" s="735"/>
      <c r="K929" s="735"/>
      <c r="L929" s="735"/>
      <c r="M929" s="735"/>
      <c r="N929" s="735"/>
      <c r="O929" s="19"/>
      <c r="P929" s="19"/>
      <c r="Q929" s="19"/>
      <c r="R929" s="19"/>
      <c r="S929" s="19"/>
      <c r="T929" s="19"/>
      <c r="U929" s="19"/>
      <c r="V929" s="19"/>
      <c r="W929" s="19"/>
      <c r="X929" s="19"/>
      <c r="Y929" s="19"/>
      <c r="Z929" s="19"/>
      <c r="AA929" s="19"/>
      <c r="AB929" s="19"/>
      <c r="FE929" s="54"/>
    </row>
    <row r="930" spans="1:161" s="18" customFormat="1">
      <c r="A930" s="51"/>
      <c r="B930" s="735"/>
      <c r="C930" s="735"/>
      <c r="D930" s="735"/>
      <c r="E930" s="735"/>
      <c r="F930" s="736"/>
      <c r="G930" s="735"/>
      <c r="H930" s="735"/>
      <c r="I930" s="735"/>
      <c r="J930" s="735"/>
      <c r="K930" s="735"/>
      <c r="L930" s="735"/>
      <c r="M930" s="735"/>
      <c r="N930" s="735"/>
      <c r="O930" s="19"/>
      <c r="P930" s="19"/>
      <c r="Q930" s="19"/>
      <c r="R930" s="19"/>
      <c r="S930" s="19"/>
      <c r="T930" s="19"/>
      <c r="U930" s="19"/>
      <c r="V930" s="19"/>
      <c r="W930" s="19"/>
      <c r="X930" s="19"/>
      <c r="Y930" s="19"/>
      <c r="Z930" s="19"/>
      <c r="AA930" s="19"/>
      <c r="AB930" s="19"/>
      <c r="FE930" s="54"/>
    </row>
    <row r="931" spans="1:161" s="18" customFormat="1">
      <c r="A931" s="51"/>
      <c r="B931" s="735"/>
      <c r="C931" s="735"/>
      <c r="D931" s="735"/>
      <c r="E931" s="735"/>
      <c r="F931" s="736"/>
      <c r="G931" s="735"/>
      <c r="H931" s="735"/>
      <c r="I931" s="735"/>
      <c r="J931" s="735"/>
      <c r="K931" s="735"/>
      <c r="L931" s="735"/>
      <c r="M931" s="735"/>
      <c r="N931" s="735"/>
      <c r="O931" s="19"/>
      <c r="P931" s="19"/>
      <c r="Q931" s="19"/>
      <c r="R931" s="19"/>
      <c r="S931" s="19"/>
      <c r="T931" s="19"/>
      <c r="U931" s="19"/>
      <c r="V931" s="19"/>
      <c r="W931" s="19"/>
      <c r="X931" s="19"/>
      <c r="Y931" s="19"/>
      <c r="Z931" s="19"/>
      <c r="AA931" s="19"/>
      <c r="AB931" s="19"/>
      <c r="FE931" s="54"/>
    </row>
    <row r="932" spans="1:161" s="18" customFormat="1">
      <c r="A932" s="51"/>
      <c r="B932" s="735"/>
      <c r="C932" s="735"/>
      <c r="D932" s="735"/>
      <c r="E932" s="735"/>
      <c r="F932" s="736"/>
      <c r="G932" s="735"/>
      <c r="H932" s="735"/>
      <c r="I932" s="735"/>
      <c r="J932" s="735"/>
      <c r="K932" s="735"/>
      <c r="L932" s="735"/>
      <c r="M932" s="735"/>
      <c r="N932" s="735"/>
      <c r="O932" s="19"/>
      <c r="P932" s="19"/>
      <c r="Q932" s="19"/>
      <c r="R932" s="19"/>
      <c r="S932" s="19"/>
      <c r="T932" s="19"/>
      <c r="U932" s="19"/>
      <c r="V932" s="19"/>
      <c r="W932" s="19"/>
      <c r="X932" s="19"/>
      <c r="Y932" s="19"/>
      <c r="Z932" s="19"/>
      <c r="AA932" s="19"/>
      <c r="AB932" s="19"/>
      <c r="FE932" s="54"/>
    </row>
    <row r="933" spans="1:161" s="18" customFormat="1">
      <c r="A933" s="51"/>
      <c r="B933" s="735"/>
      <c r="C933" s="735"/>
      <c r="D933" s="735"/>
      <c r="E933" s="735"/>
      <c r="F933" s="736"/>
      <c r="G933" s="735"/>
      <c r="H933" s="735"/>
      <c r="I933" s="735"/>
      <c r="J933" s="735"/>
      <c r="K933" s="735"/>
      <c r="L933" s="735"/>
      <c r="M933" s="735"/>
      <c r="N933" s="735"/>
      <c r="O933" s="19"/>
      <c r="P933" s="19"/>
      <c r="Q933" s="19"/>
      <c r="R933" s="19"/>
      <c r="S933" s="19"/>
      <c r="T933" s="19"/>
      <c r="U933" s="19"/>
      <c r="V933" s="19"/>
      <c r="W933" s="19"/>
      <c r="X933" s="19"/>
      <c r="Y933" s="19"/>
      <c r="Z933" s="19"/>
      <c r="AA933" s="19"/>
      <c r="AB933" s="19"/>
      <c r="FE933" s="54"/>
    </row>
    <row r="934" spans="1:161" s="18" customFormat="1">
      <c r="A934" s="51"/>
      <c r="B934" s="735"/>
      <c r="C934" s="735"/>
      <c r="D934" s="735"/>
      <c r="E934" s="735"/>
      <c r="F934" s="736"/>
      <c r="G934" s="735"/>
      <c r="H934" s="735"/>
      <c r="I934" s="735"/>
      <c r="J934" s="735"/>
      <c r="K934" s="735"/>
      <c r="L934" s="735"/>
      <c r="M934" s="735"/>
      <c r="N934" s="735"/>
      <c r="O934" s="19"/>
      <c r="P934" s="19"/>
      <c r="Q934" s="19"/>
      <c r="R934" s="19"/>
      <c r="S934" s="19"/>
      <c r="T934" s="19"/>
      <c r="U934" s="19"/>
      <c r="V934" s="19"/>
      <c r="W934" s="19"/>
      <c r="X934" s="19"/>
      <c r="Y934" s="19"/>
      <c r="Z934" s="19"/>
      <c r="AA934" s="19"/>
      <c r="AB934" s="19"/>
      <c r="FE934" s="54"/>
    </row>
    <row r="935" spans="1:161" s="18" customFormat="1">
      <c r="A935" s="51"/>
      <c r="B935" s="735"/>
      <c r="C935" s="735"/>
      <c r="D935" s="735"/>
      <c r="E935" s="735"/>
      <c r="F935" s="736"/>
      <c r="G935" s="735"/>
      <c r="H935" s="735"/>
      <c r="I935" s="735"/>
      <c r="J935" s="735"/>
      <c r="K935" s="735"/>
      <c r="L935" s="735"/>
      <c r="M935" s="735"/>
      <c r="N935" s="735"/>
      <c r="O935" s="19"/>
      <c r="P935" s="19"/>
      <c r="Q935" s="19"/>
      <c r="R935" s="19"/>
      <c r="S935" s="19"/>
      <c r="T935" s="19"/>
      <c r="U935" s="19"/>
      <c r="V935" s="19"/>
      <c r="W935" s="19"/>
      <c r="X935" s="19"/>
      <c r="Y935" s="19"/>
      <c r="Z935" s="19"/>
      <c r="AA935" s="19"/>
      <c r="AB935" s="19"/>
      <c r="FE935" s="54"/>
    </row>
    <row r="936" spans="1:161" s="18" customFormat="1">
      <c r="A936" s="51"/>
      <c r="B936" s="735"/>
      <c r="C936" s="735"/>
      <c r="D936" s="735"/>
      <c r="E936" s="735"/>
      <c r="F936" s="736"/>
      <c r="G936" s="735"/>
      <c r="H936" s="735"/>
      <c r="I936" s="735"/>
      <c r="J936" s="735"/>
      <c r="K936" s="735"/>
      <c r="L936" s="735"/>
      <c r="M936" s="735"/>
      <c r="N936" s="735"/>
      <c r="O936" s="19"/>
      <c r="P936" s="19"/>
      <c r="Q936" s="19"/>
      <c r="R936" s="19"/>
      <c r="S936" s="19"/>
      <c r="T936" s="19"/>
      <c r="U936" s="19"/>
      <c r="V936" s="19"/>
      <c r="W936" s="19"/>
      <c r="X936" s="19"/>
      <c r="Y936" s="19"/>
      <c r="Z936" s="19"/>
      <c r="AA936" s="19"/>
      <c r="AB936" s="19"/>
      <c r="FE936" s="54"/>
    </row>
    <row r="937" spans="1:161" s="18" customFormat="1">
      <c r="A937" s="51"/>
      <c r="B937" s="735"/>
      <c r="C937" s="735"/>
      <c r="D937" s="735"/>
      <c r="E937" s="735"/>
      <c r="F937" s="736"/>
      <c r="G937" s="735"/>
      <c r="H937" s="735"/>
      <c r="I937" s="735"/>
      <c r="J937" s="735"/>
      <c r="K937" s="735"/>
      <c r="L937" s="735"/>
      <c r="M937" s="735"/>
      <c r="N937" s="735"/>
      <c r="O937" s="19"/>
      <c r="P937" s="19"/>
      <c r="Q937" s="19"/>
      <c r="R937" s="19"/>
      <c r="S937" s="19"/>
      <c r="T937" s="19"/>
      <c r="U937" s="19"/>
      <c r="V937" s="19"/>
      <c r="W937" s="19"/>
      <c r="X937" s="19"/>
      <c r="Y937" s="19"/>
      <c r="Z937" s="19"/>
      <c r="AA937" s="19"/>
      <c r="AB937" s="19"/>
      <c r="FE937" s="54"/>
    </row>
    <row r="938" spans="1:161" s="18" customFormat="1">
      <c r="A938" s="51"/>
      <c r="B938" s="735"/>
      <c r="C938" s="735"/>
      <c r="D938" s="735"/>
      <c r="E938" s="735"/>
      <c r="F938" s="736"/>
      <c r="G938" s="735"/>
      <c r="H938" s="735"/>
      <c r="I938" s="735"/>
      <c r="J938" s="735"/>
      <c r="K938" s="735"/>
      <c r="L938" s="735"/>
      <c r="M938" s="735"/>
      <c r="N938" s="735"/>
      <c r="O938" s="19"/>
      <c r="P938" s="19"/>
      <c r="Q938" s="19"/>
      <c r="R938" s="19"/>
      <c r="S938" s="19"/>
      <c r="T938" s="19"/>
      <c r="U938" s="19"/>
      <c r="V938" s="19"/>
      <c r="W938" s="19"/>
      <c r="X938" s="19"/>
      <c r="Y938" s="19"/>
      <c r="Z938" s="19"/>
      <c r="AA938" s="19"/>
      <c r="AB938" s="19"/>
      <c r="FE938" s="54"/>
    </row>
    <row r="939" spans="1:161" s="18" customFormat="1">
      <c r="A939" s="51"/>
      <c r="B939" s="735"/>
      <c r="C939" s="735"/>
      <c r="D939" s="735"/>
      <c r="E939" s="735"/>
      <c r="F939" s="736"/>
      <c r="G939" s="735"/>
      <c r="H939" s="735"/>
      <c r="I939" s="735"/>
      <c r="J939" s="735"/>
      <c r="K939" s="735"/>
      <c r="L939" s="735"/>
      <c r="M939" s="735"/>
      <c r="N939" s="735"/>
      <c r="O939" s="19"/>
      <c r="P939" s="19"/>
      <c r="Q939" s="19"/>
      <c r="R939" s="19"/>
      <c r="S939" s="19"/>
      <c r="T939" s="19"/>
      <c r="U939" s="19"/>
      <c r="V939" s="19"/>
      <c r="W939" s="19"/>
      <c r="X939" s="19"/>
      <c r="Y939" s="19"/>
      <c r="Z939" s="19"/>
      <c r="AA939" s="19"/>
      <c r="AB939" s="19"/>
      <c r="FE939" s="54"/>
    </row>
    <row r="940" spans="1:161" s="18" customFormat="1">
      <c r="A940" s="51"/>
      <c r="B940" s="735"/>
      <c r="C940" s="735"/>
      <c r="D940" s="735"/>
      <c r="E940" s="735"/>
      <c r="F940" s="736"/>
      <c r="G940" s="735"/>
      <c r="H940" s="735"/>
      <c r="I940" s="735"/>
      <c r="J940" s="735"/>
      <c r="K940" s="735"/>
      <c r="L940" s="735"/>
      <c r="M940" s="735"/>
      <c r="N940" s="735"/>
      <c r="O940" s="19"/>
      <c r="P940" s="19"/>
      <c r="Q940" s="19"/>
      <c r="R940" s="19"/>
      <c r="S940" s="19"/>
      <c r="T940" s="19"/>
      <c r="U940" s="19"/>
      <c r="V940" s="19"/>
      <c r="W940" s="19"/>
      <c r="X940" s="19"/>
      <c r="Y940" s="19"/>
      <c r="Z940" s="19"/>
      <c r="AA940" s="19"/>
      <c r="AB940" s="19"/>
      <c r="FE940" s="54"/>
    </row>
    <row r="941" spans="1:161" s="18" customFormat="1">
      <c r="A941" s="51"/>
      <c r="B941" s="735"/>
      <c r="C941" s="735"/>
      <c r="D941" s="735"/>
      <c r="E941" s="735"/>
      <c r="F941" s="736"/>
      <c r="G941" s="735"/>
      <c r="H941" s="735"/>
      <c r="I941" s="735"/>
      <c r="J941" s="735"/>
      <c r="K941" s="735"/>
      <c r="L941" s="735"/>
      <c r="M941" s="735"/>
      <c r="N941" s="735"/>
      <c r="O941" s="19"/>
      <c r="P941" s="19"/>
      <c r="Q941" s="19"/>
      <c r="R941" s="19"/>
      <c r="S941" s="19"/>
      <c r="T941" s="19"/>
      <c r="U941" s="19"/>
      <c r="V941" s="19"/>
      <c r="W941" s="19"/>
      <c r="X941" s="19"/>
      <c r="Y941" s="19"/>
      <c r="Z941" s="19"/>
      <c r="AA941" s="19"/>
      <c r="AB941" s="19"/>
      <c r="FE941" s="54"/>
    </row>
    <row r="942" spans="1:161" s="18" customFormat="1">
      <c r="A942" s="51"/>
      <c r="B942" s="735"/>
      <c r="C942" s="735"/>
      <c r="D942" s="735"/>
      <c r="E942" s="735"/>
      <c r="F942" s="736"/>
      <c r="G942" s="735"/>
      <c r="H942" s="735"/>
      <c r="I942" s="735"/>
      <c r="J942" s="735"/>
      <c r="K942" s="735"/>
      <c r="L942" s="735"/>
      <c r="M942" s="735"/>
      <c r="N942" s="735"/>
      <c r="O942" s="19"/>
      <c r="P942" s="19"/>
      <c r="Q942" s="19"/>
      <c r="R942" s="19"/>
      <c r="S942" s="19"/>
      <c r="T942" s="19"/>
      <c r="U942" s="19"/>
      <c r="V942" s="19"/>
      <c r="W942" s="19"/>
      <c r="X942" s="19"/>
      <c r="Y942" s="19"/>
      <c r="Z942" s="19"/>
      <c r="AA942" s="19"/>
      <c r="AB942" s="19"/>
      <c r="FE942" s="54"/>
    </row>
    <row r="943" spans="1:161" s="18" customFormat="1">
      <c r="A943" s="51"/>
      <c r="B943" s="735"/>
      <c r="C943" s="735"/>
      <c r="D943" s="735"/>
      <c r="E943" s="735"/>
      <c r="F943" s="736"/>
      <c r="G943" s="735"/>
      <c r="H943" s="735"/>
      <c r="I943" s="735"/>
      <c r="J943" s="735"/>
      <c r="K943" s="735"/>
      <c r="L943" s="735"/>
      <c r="M943" s="735"/>
      <c r="N943" s="735"/>
      <c r="O943" s="19"/>
      <c r="P943" s="19"/>
      <c r="Q943" s="19"/>
      <c r="R943" s="19"/>
      <c r="S943" s="19"/>
      <c r="T943" s="19"/>
      <c r="U943" s="19"/>
      <c r="V943" s="19"/>
      <c r="W943" s="19"/>
      <c r="X943" s="19"/>
      <c r="Y943" s="19"/>
      <c r="Z943" s="19"/>
      <c r="AA943" s="19"/>
      <c r="AB943" s="19"/>
      <c r="FE943" s="54"/>
    </row>
    <row r="944" spans="1:161" s="18" customFormat="1">
      <c r="A944" s="51"/>
      <c r="B944" s="735"/>
      <c r="C944" s="735"/>
      <c r="D944" s="735"/>
      <c r="E944" s="735"/>
      <c r="F944" s="736"/>
      <c r="G944" s="735"/>
      <c r="H944" s="735"/>
      <c r="I944" s="735"/>
      <c r="J944" s="735"/>
      <c r="K944" s="735"/>
      <c r="L944" s="735"/>
      <c r="M944" s="735"/>
      <c r="N944" s="735"/>
      <c r="O944" s="19"/>
      <c r="P944" s="19"/>
      <c r="Q944" s="19"/>
      <c r="R944" s="19"/>
      <c r="S944" s="19"/>
      <c r="T944" s="19"/>
      <c r="U944" s="19"/>
      <c r="V944" s="19"/>
      <c r="W944" s="19"/>
      <c r="X944" s="19"/>
      <c r="Y944" s="19"/>
      <c r="Z944" s="19"/>
      <c r="AA944" s="19"/>
      <c r="AB944" s="19"/>
      <c r="FE944" s="54"/>
    </row>
    <row r="945" spans="1:161" s="18" customFormat="1">
      <c r="A945" s="51"/>
      <c r="B945" s="735"/>
      <c r="C945" s="735"/>
      <c r="D945" s="735"/>
      <c r="E945" s="735"/>
      <c r="F945" s="736"/>
      <c r="G945" s="735"/>
      <c r="H945" s="735"/>
      <c r="I945" s="735"/>
      <c r="J945" s="735"/>
      <c r="K945" s="735"/>
      <c r="L945" s="735"/>
      <c r="M945" s="735"/>
      <c r="N945" s="735"/>
      <c r="O945" s="19"/>
      <c r="P945" s="19"/>
      <c r="Q945" s="19"/>
      <c r="R945" s="19"/>
      <c r="S945" s="19"/>
      <c r="T945" s="19"/>
      <c r="U945" s="19"/>
      <c r="V945" s="19"/>
      <c r="W945" s="19"/>
      <c r="X945" s="19"/>
      <c r="Y945" s="19"/>
      <c r="Z945" s="19"/>
      <c r="AA945" s="19"/>
      <c r="AB945" s="19"/>
      <c r="FE945" s="54"/>
    </row>
    <row r="946" spans="1:161" s="18" customFormat="1">
      <c r="A946" s="51"/>
      <c r="B946" s="735"/>
      <c r="C946" s="735"/>
      <c r="D946" s="735"/>
      <c r="E946" s="735"/>
      <c r="F946" s="736"/>
      <c r="G946" s="735"/>
      <c r="H946" s="735"/>
      <c r="I946" s="735"/>
      <c r="J946" s="735"/>
      <c r="K946" s="735"/>
      <c r="L946" s="735"/>
      <c r="M946" s="735"/>
      <c r="N946" s="735"/>
      <c r="O946" s="19"/>
      <c r="P946" s="19"/>
      <c r="Q946" s="19"/>
      <c r="R946" s="19"/>
      <c r="S946" s="19"/>
      <c r="T946" s="19"/>
      <c r="U946" s="19"/>
      <c r="V946" s="19"/>
      <c r="W946" s="19"/>
      <c r="X946" s="19"/>
      <c r="Y946" s="19"/>
      <c r="Z946" s="19"/>
      <c r="AA946" s="19"/>
      <c r="AB946" s="19"/>
      <c r="FE946" s="54"/>
    </row>
    <row r="947" spans="1:161" s="18" customFormat="1">
      <c r="A947" s="51"/>
      <c r="B947" s="735"/>
      <c r="C947" s="735"/>
      <c r="D947" s="735"/>
      <c r="E947" s="735"/>
      <c r="F947" s="736"/>
      <c r="G947" s="735"/>
      <c r="H947" s="735"/>
      <c r="I947" s="735"/>
      <c r="J947" s="735"/>
      <c r="K947" s="735"/>
      <c r="L947" s="735"/>
      <c r="M947" s="735"/>
      <c r="N947" s="735"/>
      <c r="O947" s="19"/>
      <c r="P947" s="19"/>
      <c r="Q947" s="19"/>
      <c r="R947" s="19"/>
      <c r="S947" s="19"/>
      <c r="T947" s="19"/>
      <c r="U947" s="19"/>
      <c r="V947" s="19"/>
      <c r="W947" s="19"/>
      <c r="X947" s="19"/>
      <c r="Y947" s="19"/>
      <c r="Z947" s="19"/>
      <c r="AA947" s="19"/>
      <c r="AB947" s="19"/>
      <c r="FE947" s="54"/>
    </row>
    <row r="948" spans="1:161" s="18" customFormat="1">
      <c r="A948" s="51"/>
      <c r="B948" s="735"/>
      <c r="C948" s="735"/>
      <c r="D948" s="735"/>
      <c r="E948" s="735"/>
      <c r="F948" s="736"/>
      <c r="G948" s="735"/>
      <c r="H948" s="735"/>
      <c r="I948" s="735"/>
      <c r="J948" s="735"/>
      <c r="K948" s="735"/>
      <c r="L948" s="735"/>
      <c r="M948" s="735"/>
      <c r="N948" s="735"/>
      <c r="O948" s="19"/>
      <c r="P948" s="19"/>
      <c r="Q948" s="19"/>
      <c r="R948" s="19"/>
      <c r="S948" s="19"/>
      <c r="T948" s="19"/>
      <c r="U948" s="19"/>
      <c r="V948" s="19"/>
      <c r="W948" s="19"/>
      <c r="X948" s="19"/>
      <c r="Y948" s="19"/>
      <c r="Z948" s="19"/>
      <c r="AA948" s="19"/>
      <c r="AB948" s="19"/>
      <c r="FE948" s="54"/>
    </row>
    <row r="949" spans="1:161" s="18" customFormat="1">
      <c r="A949" s="51"/>
      <c r="B949" s="735"/>
      <c r="C949" s="735"/>
      <c r="D949" s="735"/>
      <c r="E949" s="735"/>
      <c r="F949" s="736"/>
      <c r="G949" s="735"/>
      <c r="H949" s="735"/>
      <c r="I949" s="735"/>
      <c r="J949" s="735"/>
      <c r="K949" s="735"/>
      <c r="L949" s="735"/>
      <c r="M949" s="735"/>
      <c r="N949" s="735"/>
      <c r="O949" s="19"/>
      <c r="P949" s="19"/>
      <c r="Q949" s="19"/>
      <c r="R949" s="19"/>
      <c r="S949" s="19"/>
      <c r="T949" s="19"/>
      <c r="U949" s="19"/>
      <c r="V949" s="19"/>
      <c r="W949" s="19"/>
      <c r="X949" s="19"/>
      <c r="Y949" s="19"/>
      <c r="Z949" s="19"/>
      <c r="AA949" s="19"/>
      <c r="AB949" s="19"/>
      <c r="FE949" s="54"/>
    </row>
    <row r="950" spans="1:161" s="18" customFormat="1">
      <c r="A950" s="51"/>
      <c r="B950" s="735"/>
      <c r="C950" s="735"/>
      <c r="D950" s="735"/>
      <c r="E950" s="735"/>
      <c r="F950" s="736"/>
      <c r="G950" s="735"/>
      <c r="H950" s="735"/>
      <c r="I950" s="735"/>
      <c r="J950" s="735"/>
      <c r="K950" s="735"/>
      <c r="L950" s="735"/>
      <c r="M950" s="735"/>
      <c r="N950" s="735"/>
      <c r="O950" s="19"/>
      <c r="P950" s="19"/>
      <c r="Q950" s="19"/>
      <c r="R950" s="19"/>
      <c r="S950" s="19"/>
      <c r="T950" s="19"/>
      <c r="U950" s="19"/>
      <c r="V950" s="19"/>
      <c r="W950" s="19"/>
      <c r="X950" s="19"/>
      <c r="Y950" s="19"/>
      <c r="Z950" s="19"/>
      <c r="AA950" s="19"/>
      <c r="AB950" s="19"/>
      <c r="FE950" s="54"/>
    </row>
    <row r="951" spans="1:161" s="18" customFormat="1">
      <c r="A951" s="51"/>
      <c r="B951" s="735"/>
      <c r="C951" s="735"/>
      <c r="D951" s="735"/>
      <c r="E951" s="735"/>
      <c r="F951" s="736"/>
      <c r="G951" s="735"/>
      <c r="H951" s="735"/>
      <c r="I951" s="735"/>
      <c r="J951" s="735"/>
      <c r="K951" s="735"/>
      <c r="L951" s="735"/>
      <c r="M951" s="735"/>
      <c r="N951" s="735"/>
      <c r="O951" s="19"/>
      <c r="P951" s="19"/>
      <c r="Q951" s="19"/>
      <c r="R951" s="19"/>
      <c r="S951" s="19"/>
      <c r="T951" s="19"/>
      <c r="U951" s="19"/>
      <c r="V951" s="19"/>
      <c r="W951" s="19"/>
      <c r="X951" s="19"/>
      <c r="Y951" s="19"/>
      <c r="Z951" s="19"/>
      <c r="AA951" s="19"/>
      <c r="AB951" s="19"/>
      <c r="FE951" s="54"/>
    </row>
    <row r="952" spans="1:161" s="18" customFormat="1">
      <c r="A952" s="51"/>
      <c r="B952" s="735"/>
      <c r="C952" s="735"/>
      <c r="D952" s="735"/>
      <c r="E952" s="735"/>
      <c r="F952" s="736"/>
      <c r="G952" s="735"/>
      <c r="H952" s="735"/>
      <c r="I952" s="735"/>
      <c r="J952" s="735"/>
      <c r="K952" s="735"/>
      <c r="L952" s="735"/>
      <c r="M952" s="735"/>
      <c r="N952" s="735"/>
      <c r="O952" s="19"/>
      <c r="P952" s="19"/>
      <c r="Q952" s="19"/>
      <c r="R952" s="19"/>
      <c r="S952" s="19"/>
      <c r="T952" s="19"/>
      <c r="U952" s="19"/>
      <c r="V952" s="19"/>
      <c r="W952" s="19"/>
      <c r="X952" s="19"/>
      <c r="Y952" s="19"/>
      <c r="Z952" s="19"/>
      <c r="AA952" s="19"/>
      <c r="AB952" s="19"/>
      <c r="FE952" s="54"/>
    </row>
    <row r="953" spans="1:161" s="18" customFormat="1">
      <c r="A953" s="51"/>
      <c r="B953" s="735"/>
      <c r="C953" s="735"/>
      <c r="D953" s="735"/>
      <c r="E953" s="735"/>
      <c r="F953" s="736"/>
      <c r="G953" s="735"/>
      <c r="H953" s="735"/>
      <c r="I953" s="735"/>
      <c r="J953" s="735"/>
      <c r="K953" s="735"/>
      <c r="L953" s="735"/>
      <c r="M953" s="735"/>
      <c r="N953" s="735"/>
      <c r="O953" s="19"/>
      <c r="P953" s="19"/>
      <c r="Q953" s="19"/>
      <c r="R953" s="19"/>
      <c r="S953" s="19"/>
      <c r="T953" s="19"/>
      <c r="U953" s="19"/>
      <c r="V953" s="19"/>
      <c r="W953" s="19"/>
      <c r="X953" s="19"/>
      <c r="Y953" s="19"/>
      <c r="Z953" s="19"/>
      <c r="AA953" s="19"/>
      <c r="AB953" s="19"/>
      <c r="FE953" s="54"/>
    </row>
    <row r="954" spans="1:161" s="18" customFormat="1">
      <c r="A954" s="51"/>
      <c r="B954" s="735"/>
      <c r="C954" s="735"/>
      <c r="D954" s="735"/>
      <c r="E954" s="735"/>
      <c r="F954" s="736"/>
      <c r="G954" s="735"/>
      <c r="H954" s="735"/>
      <c r="I954" s="735"/>
      <c r="J954" s="735"/>
      <c r="K954" s="735"/>
      <c r="L954" s="735"/>
      <c r="M954" s="735"/>
      <c r="N954" s="735"/>
      <c r="O954" s="19"/>
      <c r="P954" s="19"/>
      <c r="Q954" s="19"/>
      <c r="R954" s="19"/>
      <c r="S954" s="19"/>
      <c r="T954" s="19"/>
      <c r="U954" s="19"/>
      <c r="V954" s="19"/>
      <c r="W954" s="19"/>
      <c r="X954" s="19"/>
      <c r="Y954" s="19"/>
      <c r="Z954" s="19"/>
      <c r="AA954" s="19"/>
      <c r="AB954" s="19"/>
      <c r="FE954" s="54"/>
    </row>
    <row r="955" spans="1:161" s="18" customFormat="1">
      <c r="A955" s="51"/>
      <c r="B955" s="735"/>
      <c r="C955" s="735"/>
      <c r="D955" s="735"/>
      <c r="E955" s="735"/>
      <c r="F955" s="736"/>
      <c r="G955" s="735"/>
      <c r="H955" s="735"/>
      <c r="I955" s="735"/>
      <c r="J955" s="735"/>
      <c r="K955" s="735"/>
      <c r="L955" s="735"/>
      <c r="M955" s="735"/>
      <c r="N955" s="735"/>
      <c r="O955" s="19"/>
      <c r="P955" s="19"/>
      <c r="Q955" s="19"/>
      <c r="R955" s="19"/>
      <c r="S955" s="19"/>
      <c r="T955" s="19"/>
      <c r="U955" s="19"/>
      <c r="V955" s="19"/>
      <c r="W955" s="19"/>
      <c r="X955" s="19"/>
      <c r="Y955" s="19"/>
      <c r="Z955" s="19"/>
      <c r="AA955" s="19"/>
      <c r="AB955" s="19"/>
      <c r="FE955" s="54"/>
    </row>
    <row r="956" spans="1:161" s="18" customFormat="1">
      <c r="A956" s="51"/>
      <c r="B956" s="735"/>
      <c r="C956" s="735"/>
      <c r="D956" s="735"/>
      <c r="E956" s="735"/>
      <c r="F956" s="736"/>
      <c r="G956" s="735"/>
      <c r="H956" s="735"/>
      <c r="I956" s="735"/>
      <c r="J956" s="735"/>
      <c r="K956" s="735"/>
      <c r="L956" s="735"/>
      <c r="M956" s="735"/>
      <c r="N956" s="735"/>
      <c r="O956" s="19"/>
      <c r="P956" s="19"/>
      <c r="Q956" s="19"/>
      <c r="R956" s="19"/>
      <c r="S956" s="19"/>
      <c r="T956" s="19"/>
      <c r="U956" s="19"/>
      <c r="V956" s="19"/>
      <c r="W956" s="19"/>
      <c r="X956" s="19"/>
      <c r="Y956" s="19"/>
      <c r="Z956" s="19"/>
      <c r="AA956" s="19"/>
      <c r="AB956" s="19"/>
      <c r="FE956" s="54"/>
    </row>
    <row r="957" spans="1:161" s="18" customFormat="1">
      <c r="A957" s="51"/>
      <c r="B957" s="735"/>
      <c r="C957" s="735"/>
      <c r="D957" s="735"/>
      <c r="E957" s="735"/>
      <c r="F957" s="736"/>
      <c r="G957" s="735"/>
      <c r="H957" s="735"/>
      <c r="I957" s="735"/>
      <c r="J957" s="735"/>
      <c r="K957" s="735"/>
      <c r="L957" s="735"/>
      <c r="M957" s="735"/>
      <c r="N957" s="735"/>
      <c r="O957" s="19"/>
      <c r="P957" s="19"/>
      <c r="Q957" s="19"/>
      <c r="R957" s="19"/>
      <c r="S957" s="19"/>
      <c r="T957" s="19"/>
      <c r="U957" s="19"/>
      <c r="V957" s="19"/>
      <c r="W957" s="19"/>
      <c r="X957" s="19"/>
      <c r="Y957" s="19"/>
      <c r="Z957" s="19"/>
      <c r="AA957" s="19"/>
      <c r="AB957" s="19"/>
      <c r="FE957" s="54"/>
    </row>
    <row r="958" spans="1:161" s="18" customFormat="1">
      <c r="A958" s="51"/>
      <c r="B958" s="735"/>
      <c r="C958" s="735"/>
      <c r="D958" s="735"/>
      <c r="E958" s="735"/>
      <c r="F958" s="736"/>
      <c r="G958" s="735"/>
      <c r="H958" s="735"/>
      <c r="I958" s="735"/>
      <c r="J958" s="735"/>
      <c r="K958" s="735"/>
      <c r="L958" s="735"/>
      <c r="M958" s="735"/>
      <c r="N958" s="735"/>
      <c r="O958" s="19"/>
      <c r="P958" s="19"/>
      <c r="Q958" s="19"/>
      <c r="R958" s="19"/>
      <c r="S958" s="19"/>
      <c r="T958" s="19"/>
      <c r="U958" s="19"/>
      <c r="V958" s="19"/>
      <c r="W958" s="19"/>
      <c r="X958" s="19"/>
      <c r="Y958" s="19"/>
      <c r="Z958" s="19"/>
      <c r="AA958" s="19"/>
      <c r="AB958" s="19"/>
      <c r="FE958" s="54"/>
    </row>
    <row r="959" spans="1:161" s="18" customFormat="1">
      <c r="A959" s="51"/>
      <c r="B959" s="735"/>
      <c r="C959" s="735"/>
      <c r="D959" s="735"/>
      <c r="E959" s="735"/>
      <c r="F959" s="736"/>
      <c r="G959" s="735"/>
      <c r="H959" s="735"/>
      <c r="I959" s="735"/>
      <c r="J959" s="735"/>
      <c r="K959" s="735"/>
      <c r="L959" s="735"/>
      <c r="M959" s="735"/>
      <c r="N959" s="735"/>
      <c r="O959" s="19"/>
      <c r="P959" s="19"/>
      <c r="Q959" s="19"/>
      <c r="R959" s="19"/>
      <c r="S959" s="19"/>
      <c r="T959" s="19"/>
      <c r="U959" s="19"/>
      <c r="V959" s="19"/>
      <c r="W959" s="19"/>
      <c r="X959" s="19"/>
      <c r="Y959" s="19"/>
      <c r="Z959" s="19"/>
      <c r="AA959" s="19"/>
      <c r="AB959" s="19"/>
      <c r="FE959" s="54"/>
    </row>
    <row r="960" spans="1:161" s="18" customFormat="1">
      <c r="A960" s="51"/>
      <c r="B960" s="735"/>
      <c r="C960" s="735"/>
      <c r="D960" s="735"/>
      <c r="E960" s="735"/>
      <c r="F960" s="736"/>
      <c r="G960" s="735"/>
      <c r="H960" s="735"/>
      <c r="I960" s="735"/>
      <c r="J960" s="735"/>
      <c r="K960" s="735"/>
      <c r="L960" s="735"/>
      <c r="M960" s="735"/>
      <c r="N960" s="735"/>
      <c r="O960" s="19"/>
      <c r="P960" s="19"/>
      <c r="Q960" s="19"/>
      <c r="R960" s="19"/>
      <c r="S960" s="19"/>
      <c r="T960" s="19"/>
      <c r="U960" s="19"/>
      <c r="V960" s="19"/>
      <c r="W960" s="19"/>
      <c r="X960" s="19"/>
      <c r="Y960" s="19"/>
      <c r="Z960" s="19"/>
      <c r="AA960" s="19"/>
      <c r="AB960" s="19"/>
      <c r="FE960" s="54"/>
    </row>
    <row r="961" spans="1:161" s="18" customFormat="1">
      <c r="A961" s="51"/>
      <c r="B961" s="735"/>
      <c r="C961" s="735"/>
      <c r="D961" s="735"/>
      <c r="E961" s="735"/>
      <c r="F961" s="736"/>
      <c r="G961" s="735"/>
      <c r="H961" s="735"/>
      <c r="I961" s="735"/>
      <c r="J961" s="735"/>
      <c r="K961" s="735"/>
      <c r="L961" s="735"/>
      <c r="M961" s="735"/>
      <c r="N961" s="735"/>
      <c r="O961" s="19"/>
      <c r="P961" s="19"/>
      <c r="Q961" s="19"/>
      <c r="R961" s="19"/>
      <c r="S961" s="19"/>
      <c r="T961" s="19"/>
      <c r="U961" s="19"/>
      <c r="V961" s="19"/>
      <c r="W961" s="19"/>
      <c r="X961" s="19"/>
      <c r="Y961" s="19"/>
      <c r="Z961" s="19"/>
      <c r="AA961" s="19"/>
      <c r="AB961" s="19"/>
      <c r="FE961" s="54"/>
    </row>
    <row r="962" spans="1:161" s="18" customFormat="1">
      <c r="A962" s="51"/>
      <c r="B962" s="735"/>
      <c r="C962" s="735"/>
      <c r="D962" s="735"/>
      <c r="E962" s="735"/>
      <c r="F962" s="736"/>
      <c r="G962" s="735"/>
      <c r="H962" s="735"/>
      <c r="I962" s="735"/>
      <c r="J962" s="735"/>
      <c r="K962" s="735"/>
      <c r="L962" s="735"/>
      <c r="M962" s="735"/>
      <c r="N962" s="735"/>
      <c r="O962" s="19"/>
      <c r="P962" s="19"/>
      <c r="Q962" s="19"/>
      <c r="R962" s="19"/>
      <c r="S962" s="19"/>
      <c r="T962" s="19"/>
      <c r="U962" s="19"/>
      <c r="V962" s="19"/>
      <c r="W962" s="19"/>
      <c r="X962" s="19"/>
      <c r="Y962" s="19"/>
      <c r="Z962" s="19"/>
      <c r="AA962" s="19"/>
      <c r="AB962" s="19"/>
      <c r="FE962" s="54"/>
    </row>
    <row r="963" spans="1:161" s="18" customFormat="1">
      <c r="A963" s="51"/>
      <c r="B963" s="735"/>
      <c r="C963" s="735"/>
      <c r="D963" s="735"/>
      <c r="E963" s="735"/>
      <c r="F963" s="736"/>
      <c r="G963" s="735"/>
      <c r="H963" s="735"/>
      <c r="I963" s="735"/>
      <c r="J963" s="735"/>
      <c r="K963" s="735"/>
      <c r="L963" s="735"/>
      <c r="M963" s="735"/>
      <c r="N963" s="735"/>
      <c r="O963" s="19"/>
      <c r="P963" s="19"/>
      <c r="Q963" s="19"/>
      <c r="R963" s="19"/>
      <c r="S963" s="19"/>
      <c r="T963" s="19"/>
      <c r="U963" s="19"/>
      <c r="V963" s="19"/>
      <c r="W963" s="19"/>
      <c r="X963" s="19"/>
      <c r="Y963" s="19"/>
      <c r="Z963" s="19"/>
      <c r="AA963" s="19"/>
      <c r="AB963" s="19"/>
      <c r="FE963" s="54"/>
    </row>
    <row r="964" spans="1:161" s="18" customFormat="1">
      <c r="A964" s="51"/>
      <c r="B964" s="735"/>
      <c r="C964" s="735"/>
      <c r="D964" s="735"/>
      <c r="E964" s="735"/>
      <c r="F964" s="736"/>
      <c r="G964" s="735"/>
      <c r="H964" s="735"/>
      <c r="I964" s="735"/>
      <c r="J964" s="735"/>
      <c r="K964" s="735"/>
      <c r="L964" s="735"/>
      <c r="M964" s="735"/>
      <c r="N964" s="735"/>
      <c r="O964" s="19"/>
      <c r="P964" s="19"/>
      <c r="Q964" s="19"/>
      <c r="R964" s="19"/>
      <c r="S964" s="19"/>
      <c r="T964" s="19"/>
      <c r="U964" s="19"/>
      <c r="V964" s="19"/>
      <c r="W964" s="19"/>
      <c r="X964" s="19"/>
      <c r="Y964" s="19"/>
      <c r="Z964" s="19"/>
      <c r="AA964" s="19"/>
      <c r="AB964" s="19"/>
      <c r="FE964" s="54"/>
    </row>
    <row r="965" spans="1:161" s="18" customFormat="1">
      <c r="A965" s="51"/>
      <c r="B965" s="735"/>
      <c r="C965" s="735"/>
      <c r="D965" s="735"/>
      <c r="E965" s="735"/>
      <c r="F965" s="736"/>
      <c r="G965" s="735"/>
      <c r="H965" s="735"/>
      <c r="I965" s="735"/>
      <c r="J965" s="735"/>
      <c r="K965" s="735"/>
      <c r="L965" s="735"/>
      <c r="M965" s="735"/>
      <c r="N965" s="735"/>
      <c r="O965" s="19"/>
      <c r="P965" s="19"/>
      <c r="Q965" s="19"/>
      <c r="R965" s="19"/>
      <c r="S965" s="19"/>
      <c r="T965" s="19"/>
      <c r="U965" s="19"/>
      <c r="V965" s="19"/>
      <c r="W965" s="19"/>
      <c r="X965" s="19"/>
      <c r="Y965" s="19"/>
      <c r="Z965" s="19"/>
      <c r="AA965" s="19"/>
      <c r="AB965" s="19"/>
      <c r="FE965" s="54"/>
    </row>
    <row r="966" spans="1:161" s="18" customFormat="1">
      <c r="A966" s="51"/>
      <c r="B966" s="735"/>
      <c r="C966" s="735"/>
      <c r="D966" s="735"/>
      <c r="E966" s="735"/>
      <c r="F966" s="736"/>
      <c r="G966" s="735"/>
      <c r="H966" s="735"/>
      <c r="I966" s="735"/>
      <c r="J966" s="735"/>
      <c r="K966" s="735"/>
      <c r="L966" s="735"/>
      <c r="M966" s="735"/>
      <c r="N966" s="735"/>
      <c r="O966" s="19"/>
      <c r="P966" s="19"/>
      <c r="Q966" s="19"/>
      <c r="R966" s="19"/>
      <c r="S966" s="19"/>
      <c r="T966" s="19"/>
      <c r="U966" s="19"/>
      <c r="V966" s="19"/>
      <c r="W966" s="19"/>
      <c r="X966" s="19"/>
      <c r="Y966" s="19"/>
      <c r="Z966" s="19"/>
      <c r="AA966" s="19"/>
      <c r="AB966" s="19"/>
      <c r="FE966" s="54"/>
    </row>
    <row r="967" spans="1:161" s="18" customFormat="1">
      <c r="A967" s="51"/>
      <c r="B967" s="735"/>
      <c r="C967" s="735"/>
      <c r="D967" s="735"/>
      <c r="E967" s="735"/>
      <c r="F967" s="736"/>
      <c r="G967" s="735"/>
      <c r="H967" s="735"/>
      <c r="I967" s="735"/>
      <c r="J967" s="735"/>
      <c r="K967" s="735"/>
      <c r="L967" s="735"/>
      <c r="M967" s="735"/>
      <c r="N967" s="735"/>
      <c r="O967" s="19"/>
      <c r="P967" s="19"/>
      <c r="Q967" s="19"/>
      <c r="R967" s="19"/>
      <c r="S967" s="19"/>
      <c r="T967" s="19"/>
      <c r="U967" s="19"/>
      <c r="V967" s="19"/>
      <c r="W967" s="19"/>
      <c r="X967" s="19"/>
      <c r="Y967" s="19"/>
      <c r="Z967" s="19"/>
      <c r="AA967" s="19"/>
      <c r="AB967" s="19"/>
      <c r="FE967" s="54"/>
    </row>
    <row r="968" spans="1:161" s="18" customFormat="1">
      <c r="A968" s="51"/>
      <c r="B968" s="735"/>
      <c r="C968" s="735"/>
      <c r="D968" s="735"/>
      <c r="E968" s="735"/>
      <c r="F968" s="736"/>
      <c r="G968" s="735"/>
      <c r="H968" s="735"/>
      <c r="I968" s="735"/>
      <c r="J968" s="735"/>
      <c r="K968" s="735"/>
      <c r="L968" s="735"/>
      <c r="M968" s="735"/>
      <c r="N968" s="735"/>
      <c r="O968" s="19"/>
      <c r="P968" s="19"/>
      <c r="Q968" s="19"/>
      <c r="R968" s="19"/>
      <c r="S968" s="19"/>
      <c r="T968" s="19"/>
      <c r="U968" s="19"/>
      <c r="V968" s="19"/>
      <c r="W968" s="19"/>
      <c r="X968" s="19"/>
      <c r="Y968" s="19"/>
      <c r="Z968" s="19"/>
      <c r="AA968" s="19"/>
      <c r="AB968" s="19"/>
      <c r="FE968" s="54"/>
    </row>
    <row r="969" spans="1:161" s="18" customFormat="1">
      <c r="A969" s="51"/>
      <c r="B969" s="735"/>
      <c r="C969" s="735"/>
      <c r="D969" s="735"/>
      <c r="E969" s="735"/>
      <c r="F969" s="736"/>
      <c r="G969" s="735"/>
      <c r="H969" s="735"/>
      <c r="I969" s="735"/>
      <c r="J969" s="735"/>
      <c r="K969" s="735"/>
      <c r="L969" s="735"/>
      <c r="M969" s="735"/>
      <c r="N969" s="735"/>
      <c r="O969" s="19"/>
      <c r="P969" s="19"/>
      <c r="Q969" s="19"/>
      <c r="R969" s="19"/>
      <c r="S969" s="19"/>
      <c r="T969" s="19"/>
      <c r="U969" s="19"/>
      <c r="V969" s="19"/>
      <c r="W969" s="19"/>
      <c r="X969" s="19"/>
      <c r="Y969" s="19"/>
      <c r="Z969" s="19"/>
      <c r="AA969" s="19"/>
      <c r="AB969" s="19"/>
      <c r="FE969" s="54"/>
    </row>
    <row r="970" spans="1:161" s="18" customFormat="1">
      <c r="A970" s="51"/>
      <c r="B970" s="735"/>
      <c r="C970" s="735"/>
      <c r="D970" s="735"/>
      <c r="E970" s="735"/>
      <c r="F970" s="736"/>
      <c r="G970" s="735"/>
      <c r="H970" s="735"/>
      <c r="I970" s="735"/>
      <c r="J970" s="735"/>
      <c r="K970" s="735"/>
      <c r="L970" s="735"/>
      <c r="M970" s="735"/>
      <c r="N970" s="735"/>
      <c r="O970" s="19"/>
      <c r="P970" s="19"/>
      <c r="Q970" s="19"/>
      <c r="R970" s="19"/>
      <c r="S970" s="19"/>
      <c r="T970" s="19"/>
      <c r="U970" s="19"/>
      <c r="V970" s="19"/>
      <c r="W970" s="19"/>
      <c r="X970" s="19"/>
      <c r="Y970" s="19"/>
      <c r="Z970" s="19"/>
      <c r="AA970" s="19"/>
      <c r="AB970" s="19"/>
      <c r="FE970" s="54"/>
    </row>
    <row r="971" spans="1:161" s="18" customFormat="1">
      <c r="A971" s="51"/>
      <c r="B971" s="735"/>
      <c r="C971" s="735"/>
      <c r="D971" s="735"/>
      <c r="E971" s="735"/>
      <c r="F971" s="736"/>
      <c r="G971" s="735"/>
      <c r="H971" s="735"/>
      <c r="I971" s="735"/>
      <c r="J971" s="735"/>
      <c r="K971" s="735"/>
      <c r="L971" s="735"/>
      <c r="M971" s="735"/>
      <c r="N971" s="735"/>
      <c r="O971" s="19"/>
      <c r="P971" s="19"/>
      <c r="Q971" s="19"/>
      <c r="R971" s="19"/>
      <c r="S971" s="19"/>
      <c r="T971" s="19"/>
      <c r="U971" s="19"/>
      <c r="V971" s="19"/>
      <c r="W971" s="19"/>
      <c r="X971" s="19"/>
      <c r="Y971" s="19"/>
      <c r="Z971" s="19"/>
      <c r="AA971" s="19"/>
      <c r="AB971" s="19"/>
      <c r="FE971" s="54"/>
    </row>
    <row r="972" spans="1:161" s="18" customFormat="1">
      <c r="A972" s="51"/>
      <c r="B972" s="735"/>
      <c r="C972" s="735"/>
      <c r="D972" s="735"/>
      <c r="E972" s="735"/>
      <c r="F972" s="736"/>
      <c r="G972" s="735"/>
      <c r="H972" s="735"/>
      <c r="I972" s="735"/>
      <c r="J972" s="735"/>
      <c r="K972" s="735"/>
      <c r="L972" s="735"/>
      <c r="M972" s="735"/>
      <c r="N972" s="735"/>
      <c r="O972" s="19"/>
      <c r="P972" s="19"/>
      <c r="Q972" s="19"/>
      <c r="R972" s="19"/>
      <c r="S972" s="19"/>
      <c r="T972" s="19"/>
      <c r="U972" s="19"/>
      <c r="V972" s="19"/>
      <c r="W972" s="19"/>
      <c r="X972" s="19"/>
      <c r="Y972" s="19"/>
      <c r="Z972" s="19"/>
      <c r="AA972" s="19"/>
      <c r="AB972" s="19"/>
      <c r="FE972" s="54"/>
    </row>
    <row r="973" spans="1:161" s="18" customFormat="1">
      <c r="A973" s="51"/>
      <c r="B973" s="735"/>
      <c r="C973" s="735"/>
      <c r="D973" s="735"/>
      <c r="E973" s="735"/>
      <c r="F973" s="736"/>
      <c r="G973" s="735"/>
      <c r="H973" s="735"/>
      <c r="I973" s="735"/>
      <c r="J973" s="735"/>
      <c r="K973" s="735"/>
      <c r="L973" s="735"/>
      <c r="M973" s="735"/>
      <c r="N973" s="735"/>
      <c r="O973" s="19"/>
      <c r="P973" s="19"/>
      <c r="Q973" s="19"/>
      <c r="R973" s="19"/>
      <c r="S973" s="19"/>
      <c r="T973" s="19"/>
      <c r="U973" s="19"/>
      <c r="V973" s="19"/>
      <c r="W973" s="19"/>
      <c r="X973" s="19"/>
      <c r="Y973" s="19"/>
      <c r="Z973" s="19"/>
      <c r="AA973" s="19"/>
      <c r="AB973" s="19"/>
      <c r="FE973" s="54"/>
    </row>
    <row r="974" spans="1:161" s="18" customFormat="1">
      <c r="A974" s="51"/>
      <c r="B974" s="735"/>
      <c r="C974" s="735"/>
      <c r="D974" s="735"/>
      <c r="E974" s="735"/>
      <c r="F974" s="736"/>
      <c r="G974" s="735"/>
      <c r="H974" s="735"/>
      <c r="I974" s="735"/>
      <c r="J974" s="735"/>
      <c r="K974" s="735"/>
      <c r="L974" s="735"/>
      <c r="M974" s="735"/>
      <c r="N974" s="735"/>
      <c r="O974" s="19"/>
      <c r="P974" s="19"/>
      <c r="Q974" s="19"/>
      <c r="R974" s="19"/>
      <c r="S974" s="19"/>
      <c r="T974" s="19"/>
      <c r="U974" s="19"/>
      <c r="V974" s="19"/>
      <c r="W974" s="19"/>
      <c r="X974" s="19"/>
      <c r="Y974" s="19"/>
      <c r="Z974" s="19"/>
      <c r="AA974" s="19"/>
      <c r="AB974" s="19"/>
      <c r="FE974" s="54"/>
    </row>
    <row r="975" spans="1:161" s="18" customFormat="1">
      <c r="A975" s="51"/>
      <c r="B975" s="735"/>
      <c r="C975" s="735"/>
      <c r="D975" s="735"/>
      <c r="E975" s="735"/>
      <c r="F975" s="736"/>
      <c r="G975" s="735"/>
      <c r="H975" s="735"/>
      <c r="I975" s="735"/>
      <c r="J975" s="735"/>
      <c r="K975" s="735"/>
      <c r="L975" s="735"/>
      <c r="M975" s="735"/>
      <c r="N975" s="735"/>
      <c r="O975" s="19"/>
      <c r="P975" s="19"/>
      <c r="Q975" s="19"/>
      <c r="R975" s="19"/>
      <c r="S975" s="19"/>
      <c r="T975" s="19"/>
      <c r="U975" s="19"/>
      <c r="V975" s="19"/>
      <c r="W975" s="19"/>
      <c r="X975" s="19"/>
      <c r="Y975" s="19"/>
      <c r="Z975" s="19"/>
      <c r="AA975" s="19"/>
      <c r="AB975" s="19"/>
      <c r="FE975" s="54"/>
    </row>
    <row r="976" spans="1:161" s="18" customFormat="1">
      <c r="A976" s="51"/>
      <c r="B976" s="735"/>
      <c r="C976" s="735"/>
      <c r="D976" s="735"/>
      <c r="E976" s="735"/>
      <c r="F976" s="736"/>
      <c r="G976" s="735"/>
      <c r="H976" s="735"/>
      <c r="I976" s="735"/>
      <c r="J976" s="735"/>
      <c r="K976" s="735"/>
      <c r="L976" s="735"/>
      <c r="M976" s="735"/>
      <c r="N976" s="735"/>
      <c r="O976" s="19"/>
      <c r="P976" s="19"/>
      <c r="Q976" s="19"/>
      <c r="R976" s="19"/>
      <c r="S976" s="19"/>
      <c r="T976" s="19"/>
      <c r="U976" s="19"/>
      <c r="V976" s="19"/>
      <c r="W976" s="19"/>
      <c r="X976" s="19"/>
      <c r="Y976" s="19"/>
      <c r="Z976" s="19"/>
      <c r="AA976" s="19"/>
      <c r="AB976" s="19"/>
      <c r="FE976" s="54"/>
    </row>
    <row r="977" spans="1:161" s="18" customFormat="1">
      <c r="A977" s="51"/>
      <c r="B977" s="735"/>
      <c r="C977" s="735"/>
      <c r="D977" s="735"/>
      <c r="E977" s="735"/>
      <c r="F977" s="736"/>
      <c r="G977" s="735"/>
      <c r="H977" s="735"/>
      <c r="I977" s="735"/>
      <c r="J977" s="735"/>
      <c r="K977" s="735"/>
      <c r="L977" s="735"/>
      <c r="M977" s="735"/>
      <c r="N977" s="735"/>
      <c r="O977" s="19"/>
      <c r="P977" s="19"/>
      <c r="Q977" s="19"/>
      <c r="R977" s="19"/>
      <c r="S977" s="19"/>
      <c r="T977" s="19"/>
      <c r="U977" s="19"/>
      <c r="V977" s="19"/>
      <c r="W977" s="19"/>
      <c r="X977" s="19"/>
      <c r="Y977" s="19"/>
      <c r="Z977" s="19"/>
      <c r="AA977" s="19"/>
      <c r="AB977" s="19"/>
      <c r="FE977" s="54"/>
    </row>
    <row r="978" spans="1:161" s="18" customFormat="1">
      <c r="A978" s="51"/>
      <c r="B978" s="735"/>
      <c r="C978" s="735"/>
      <c r="D978" s="735"/>
      <c r="E978" s="735"/>
      <c r="F978" s="736"/>
      <c r="G978" s="735"/>
      <c r="H978" s="735"/>
      <c r="I978" s="735"/>
      <c r="J978" s="735"/>
      <c r="K978" s="735"/>
      <c r="L978" s="735"/>
      <c r="M978" s="735"/>
      <c r="N978" s="735"/>
      <c r="O978" s="19"/>
      <c r="P978" s="19"/>
      <c r="Q978" s="19"/>
      <c r="R978" s="19"/>
      <c r="S978" s="19"/>
      <c r="T978" s="19"/>
      <c r="U978" s="19"/>
      <c r="V978" s="19"/>
      <c r="W978" s="19"/>
      <c r="X978" s="19"/>
      <c r="Y978" s="19"/>
      <c r="Z978" s="19"/>
      <c r="AA978" s="19"/>
      <c r="AB978" s="19"/>
      <c r="FE978" s="54"/>
    </row>
    <row r="979" spans="1:161" s="18" customFormat="1">
      <c r="A979" s="51"/>
      <c r="B979" s="735"/>
      <c r="C979" s="735"/>
      <c r="D979" s="735"/>
      <c r="E979" s="735"/>
      <c r="F979" s="736"/>
      <c r="G979" s="735"/>
      <c r="H979" s="735"/>
      <c r="I979" s="735"/>
      <c r="J979" s="735"/>
      <c r="K979" s="735"/>
      <c r="L979" s="735"/>
      <c r="M979" s="735"/>
      <c r="N979" s="735"/>
      <c r="O979" s="19"/>
      <c r="P979" s="19"/>
      <c r="Q979" s="19"/>
      <c r="R979" s="19"/>
      <c r="S979" s="19"/>
      <c r="T979" s="19"/>
      <c r="U979" s="19"/>
      <c r="V979" s="19"/>
      <c r="W979" s="19"/>
      <c r="X979" s="19"/>
      <c r="Y979" s="19"/>
      <c r="Z979" s="19"/>
      <c r="AA979" s="19"/>
      <c r="AB979" s="19"/>
      <c r="FE979" s="54"/>
    </row>
    <row r="980" spans="1:161" s="18" customFormat="1">
      <c r="A980" s="51"/>
      <c r="B980" s="735"/>
      <c r="C980" s="735"/>
      <c r="D980" s="735"/>
      <c r="E980" s="735"/>
      <c r="F980" s="736"/>
      <c r="G980" s="735"/>
      <c r="H980" s="735"/>
      <c r="I980" s="735"/>
      <c r="J980" s="735"/>
      <c r="K980" s="735"/>
      <c r="L980" s="735"/>
      <c r="M980" s="735"/>
      <c r="N980" s="735"/>
      <c r="O980" s="19"/>
      <c r="P980" s="19"/>
      <c r="Q980" s="19"/>
      <c r="R980" s="19"/>
      <c r="S980" s="19"/>
      <c r="T980" s="19"/>
      <c r="U980" s="19"/>
      <c r="V980" s="19"/>
      <c r="W980" s="19"/>
      <c r="X980" s="19"/>
      <c r="Y980" s="19"/>
      <c r="Z980" s="19"/>
      <c r="AA980" s="19"/>
      <c r="AB980" s="19"/>
      <c r="FE980" s="54"/>
    </row>
    <row r="981" spans="1:161" s="18" customFormat="1">
      <c r="A981" s="51"/>
      <c r="B981" s="735"/>
      <c r="C981" s="735"/>
      <c r="D981" s="735"/>
      <c r="E981" s="735"/>
      <c r="F981" s="736"/>
      <c r="G981" s="735"/>
      <c r="H981" s="735"/>
      <c r="I981" s="735"/>
      <c r="J981" s="735"/>
      <c r="K981" s="735"/>
      <c r="L981" s="735"/>
      <c r="M981" s="735"/>
      <c r="N981" s="735"/>
      <c r="O981" s="19"/>
      <c r="P981" s="19"/>
      <c r="Q981" s="19"/>
      <c r="R981" s="19"/>
      <c r="S981" s="19"/>
      <c r="T981" s="19"/>
      <c r="U981" s="19"/>
      <c r="V981" s="19"/>
      <c r="W981" s="19"/>
      <c r="X981" s="19"/>
      <c r="Y981" s="19"/>
      <c r="Z981" s="19"/>
      <c r="AA981" s="19"/>
      <c r="AB981" s="19"/>
      <c r="FE981" s="54"/>
    </row>
    <row r="982" spans="1:161" s="18" customFormat="1">
      <c r="A982" s="51"/>
      <c r="B982" s="735"/>
      <c r="C982" s="735"/>
      <c r="D982" s="735"/>
      <c r="E982" s="735"/>
      <c r="F982" s="736"/>
      <c r="G982" s="735"/>
      <c r="H982" s="735"/>
      <c r="I982" s="735"/>
      <c r="J982" s="735"/>
      <c r="K982" s="735"/>
      <c r="L982" s="735"/>
      <c r="M982" s="735"/>
      <c r="N982" s="735"/>
      <c r="O982" s="19"/>
      <c r="P982" s="19"/>
      <c r="Q982" s="19"/>
      <c r="R982" s="19"/>
      <c r="S982" s="19"/>
      <c r="T982" s="19"/>
      <c r="U982" s="19"/>
      <c r="V982" s="19"/>
      <c r="W982" s="19"/>
      <c r="X982" s="19"/>
      <c r="Y982" s="19"/>
      <c r="Z982" s="19"/>
      <c r="AA982" s="19"/>
      <c r="AB982" s="19"/>
      <c r="FE982" s="54"/>
    </row>
    <row r="983" spans="1:161" s="18" customFormat="1">
      <c r="A983" s="51"/>
      <c r="B983" s="735"/>
      <c r="C983" s="735"/>
      <c r="D983" s="735"/>
      <c r="E983" s="735"/>
      <c r="F983" s="736"/>
      <c r="G983" s="735"/>
      <c r="H983" s="735"/>
      <c r="I983" s="735"/>
      <c r="J983" s="735"/>
      <c r="K983" s="735"/>
      <c r="L983" s="735"/>
      <c r="M983" s="735"/>
      <c r="N983" s="735"/>
      <c r="O983" s="19"/>
      <c r="P983" s="19"/>
      <c r="Q983" s="19"/>
      <c r="R983" s="19"/>
      <c r="S983" s="19"/>
      <c r="T983" s="19"/>
      <c r="U983" s="19"/>
      <c r="V983" s="19"/>
      <c r="W983" s="19"/>
      <c r="X983" s="19"/>
      <c r="Y983" s="19"/>
      <c r="Z983" s="19"/>
      <c r="AA983" s="19"/>
      <c r="AB983" s="19"/>
      <c r="FE983" s="54"/>
    </row>
    <row r="984" spans="1:161" s="18" customFormat="1">
      <c r="A984" s="51"/>
      <c r="B984" s="735"/>
      <c r="C984" s="735"/>
      <c r="D984" s="735"/>
      <c r="E984" s="735"/>
      <c r="F984" s="736"/>
      <c r="G984" s="735"/>
      <c r="H984" s="735"/>
      <c r="I984" s="735"/>
      <c r="J984" s="735"/>
      <c r="K984" s="735"/>
      <c r="L984" s="735"/>
      <c r="M984" s="735"/>
      <c r="N984" s="735"/>
      <c r="O984" s="19"/>
      <c r="P984" s="19"/>
      <c r="Q984" s="19"/>
      <c r="R984" s="19"/>
      <c r="S984" s="19"/>
      <c r="T984" s="19"/>
      <c r="U984" s="19"/>
      <c r="V984" s="19"/>
      <c r="W984" s="19"/>
      <c r="X984" s="19"/>
      <c r="Y984" s="19"/>
      <c r="Z984" s="19"/>
      <c r="AA984" s="19"/>
      <c r="AB984" s="19"/>
      <c r="FE984" s="54"/>
    </row>
    <row r="985" spans="1:161" s="18" customFormat="1">
      <c r="A985" s="51"/>
      <c r="B985" s="735"/>
      <c r="C985" s="735"/>
      <c r="D985" s="735"/>
      <c r="E985" s="735"/>
      <c r="F985" s="736"/>
      <c r="G985" s="735"/>
      <c r="H985" s="735"/>
      <c r="I985" s="735"/>
      <c r="J985" s="735"/>
      <c r="K985" s="735"/>
      <c r="L985" s="735"/>
      <c r="M985" s="735"/>
      <c r="N985" s="735"/>
      <c r="O985" s="19"/>
      <c r="P985" s="19"/>
      <c r="Q985" s="19"/>
      <c r="R985" s="19"/>
      <c r="S985" s="19"/>
      <c r="T985" s="19"/>
      <c r="U985" s="19"/>
      <c r="V985" s="19"/>
      <c r="W985" s="19"/>
      <c r="X985" s="19"/>
      <c r="Y985" s="19"/>
      <c r="Z985" s="19"/>
      <c r="AA985" s="19"/>
      <c r="AB985" s="19"/>
      <c r="FE985" s="54"/>
    </row>
    <row r="986" spans="1:161" s="18" customFormat="1">
      <c r="A986" s="51"/>
      <c r="B986" s="735"/>
      <c r="C986" s="735"/>
      <c r="D986" s="735"/>
      <c r="E986" s="735"/>
      <c r="F986" s="736"/>
      <c r="G986" s="735"/>
      <c r="H986" s="735"/>
      <c r="I986" s="735"/>
      <c r="J986" s="735"/>
      <c r="K986" s="735"/>
      <c r="L986" s="735"/>
      <c r="M986" s="735"/>
      <c r="N986" s="735"/>
      <c r="O986" s="19"/>
      <c r="P986" s="19"/>
      <c r="Q986" s="19"/>
      <c r="R986" s="19"/>
      <c r="S986" s="19"/>
      <c r="T986" s="19"/>
      <c r="U986" s="19"/>
      <c r="V986" s="19"/>
      <c r="W986" s="19"/>
      <c r="X986" s="19"/>
      <c r="Y986" s="19"/>
      <c r="Z986" s="19"/>
      <c r="AA986" s="19"/>
      <c r="AB986" s="19"/>
      <c r="FE986" s="54"/>
    </row>
    <row r="987" spans="1:161" s="18" customFormat="1">
      <c r="A987" s="51"/>
      <c r="B987" s="735"/>
      <c r="C987" s="735"/>
      <c r="D987" s="735"/>
      <c r="E987" s="735"/>
      <c r="F987" s="736"/>
      <c r="G987" s="735"/>
      <c r="H987" s="735"/>
      <c r="I987" s="735"/>
      <c r="J987" s="735"/>
      <c r="K987" s="735"/>
      <c r="L987" s="735"/>
      <c r="M987" s="735"/>
      <c r="N987" s="735"/>
      <c r="O987" s="19"/>
      <c r="P987" s="19"/>
      <c r="Q987" s="19"/>
      <c r="R987" s="19"/>
      <c r="S987" s="19"/>
      <c r="T987" s="19"/>
      <c r="U987" s="19"/>
      <c r="V987" s="19"/>
      <c r="W987" s="19"/>
      <c r="X987" s="19"/>
      <c r="Y987" s="19"/>
      <c r="Z987" s="19"/>
      <c r="AA987" s="19"/>
      <c r="AB987" s="19"/>
      <c r="FE987" s="54"/>
    </row>
    <row r="988" spans="1:161" s="18" customFormat="1">
      <c r="A988" s="51"/>
      <c r="B988" s="735"/>
      <c r="C988" s="735"/>
      <c r="D988" s="735"/>
      <c r="E988" s="735"/>
      <c r="F988" s="736"/>
      <c r="G988" s="735"/>
      <c r="H988" s="735"/>
      <c r="I988" s="735"/>
      <c r="J988" s="735"/>
      <c r="K988" s="735"/>
      <c r="L988" s="735"/>
      <c r="M988" s="735"/>
      <c r="N988" s="735"/>
      <c r="O988" s="19"/>
      <c r="P988" s="19"/>
      <c r="Q988" s="19"/>
      <c r="R988" s="19"/>
      <c r="S988" s="19"/>
      <c r="T988" s="19"/>
      <c r="U988" s="19"/>
      <c r="V988" s="19"/>
      <c r="W988" s="19"/>
      <c r="X988" s="19"/>
      <c r="Y988" s="19"/>
      <c r="Z988" s="19"/>
      <c r="AA988" s="19"/>
      <c r="AB988" s="19"/>
      <c r="FE988" s="54"/>
    </row>
    <row r="989" spans="1:161" s="18" customFormat="1">
      <c r="A989" s="51"/>
      <c r="B989" s="735"/>
      <c r="C989" s="735"/>
      <c r="D989" s="735"/>
      <c r="E989" s="735"/>
      <c r="F989" s="736"/>
      <c r="G989" s="735"/>
      <c r="H989" s="735"/>
      <c r="I989" s="735"/>
      <c r="J989" s="735"/>
      <c r="K989" s="735"/>
      <c r="L989" s="735"/>
      <c r="M989" s="735"/>
      <c r="N989" s="735"/>
      <c r="O989" s="19"/>
      <c r="P989" s="19"/>
      <c r="Q989" s="19"/>
      <c r="R989" s="19"/>
      <c r="S989" s="19"/>
      <c r="T989" s="19"/>
      <c r="U989" s="19"/>
      <c r="V989" s="19"/>
      <c r="W989" s="19"/>
      <c r="X989" s="19"/>
      <c r="Y989" s="19"/>
      <c r="Z989" s="19"/>
      <c r="AA989" s="19"/>
      <c r="AB989" s="19"/>
      <c r="FE989" s="54"/>
    </row>
    <row r="990" spans="1:161" s="18" customFormat="1">
      <c r="A990" s="51"/>
      <c r="B990" s="735"/>
      <c r="C990" s="735"/>
      <c r="D990" s="735"/>
      <c r="E990" s="735"/>
      <c r="F990" s="736"/>
      <c r="G990" s="735"/>
      <c r="H990" s="735"/>
      <c r="I990" s="735"/>
      <c r="J990" s="735"/>
      <c r="K990" s="735"/>
      <c r="L990" s="735"/>
      <c r="M990" s="735"/>
      <c r="N990" s="735"/>
      <c r="O990" s="19"/>
      <c r="P990" s="19"/>
      <c r="Q990" s="19"/>
      <c r="R990" s="19"/>
      <c r="S990" s="19"/>
      <c r="T990" s="19"/>
      <c r="U990" s="19"/>
      <c r="V990" s="19"/>
      <c r="W990" s="19"/>
      <c r="X990" s="19"/>
      <c r="Y990" s="19"/>
      <c r="Z990" s="19"/>
      <c r="AA990" s="19"/>
      <c r="AB990" s="19"/>
      <c r="FE990" s="54"/>
    </row>
    <row r="991" spans="1:161" s="18" customFormat="1">
      <c r="A991" s="51"/>
      <c r="B991" s="735"/>
      <c r="C991" s="735"/>
      <c r="D991" s="735"/>
      <c r="E991" s="735"/>
      <c r="F991" s="736"/>
      <c r="G991" s="735"/>
      <c r="H991" s="735"/>
      <c r="I991" s="735"/>
      <c r="J991" s="735"/>
      <c r="K991" s="735"/>
      <c r="L991" s="735"/>
      <c r="M991" s="735"/>
      <c r="N991" s="735"/>
      <c r="O991" s="19"/>
      <c r="P991" s="19"/>
      <c r="Q991" s="19"/>
      <c r="R991" s="19"/>
      <c r="S991" s="19"/>
      <c r="T991" s="19"/>
      <c r="U991" s="19"/>
      <c r="V991" s="19"/>
      <c r="W991" s="19"/>
      <c r="X991" s="19"/>
      <c r="Y991" s="19"/>
      <c r="Z991" s="19"/>
      <c r="AA991" s="19"/>
      <c r="AB991" s="19"/>
      <c r="FE991" s="54"/>
    </row>
    <row r="992" spans="1:161" s="18" customFormat="1">
      <c r="A992" s="51"/>
      <c r="B992" s="735"/>
      <c r="C992" s="735"/>
      <c r="D992" s="735"/>
      <c r="E992" s="735"/>
      <c r="F992" s="736"/>
      <c r="G992" s="735"/>
      <c r="H992" s="735"/>
      <c r="I992" s="735"/>
      <c r="J992" s="735"/>
      <c r="K992" s="735"/>
      <c r="L992" s="735"/>
      <c r="M992" s="735"/>
      <c r="N992" s="735"/>
      <c r="O992" s="19"/>
      <c r="P992" s="19"/>
      <c r="Q992" s="19"/>
      <c r="R992" s="19"/>
      <c r="S992" s="19"/>
      <c r="T992" s="19"/>
      <c r="U992" s="19"/>
      <c r="V992" s="19"/>
      <c r="W992" s="19"/>
      <c r="X992" s="19"/>
      <c r="Y992" s="19"/>
      <c r="Z992" s="19"/>
      <c r="AA992" s="19"/>
      <c r="AB992" s="19"/>
      <c r="FE992" s="54"/>
    </row>
    <row r="993" spans="1:161" s="18" customFormat="1">
      <c r="A993" s="51"/>
      <c r="B993" s="735"/>
      <c r="C993" s="735"/>
      <c r="D993" s="735"/>
      <c r="E993" s="735"/>
      <c r="F993" s="736"/>
      <c r="G993" s="735"/>
      <c r="H993" s="735"/>
      <c r="I993" s="735"/>
      <c r="J993" s="735"/>
      <c r="K993" s="735"/>
      <c r="L993" s="735"/>
      <c r="M993" s="735"/>
      <c r="N993" s="735"/>
      <c r="O993" s="19"/>
      <c r="P993" s="19"/>
      <c r="Q993" s="19"/>
      <c r="R993" s="19"/>
      <c r="S993" s="19"/>
      <c r="T993" s="19"/>
      <c r="U993" s="19"/>
      <c r="V993" s="19"/>
      <c r="W993" s="19"/>
      <c r="X993" s="19"/>
      <c r="Y993" s="19"/>
      <c r="Z993" s="19"/>
      <c r="AA993" s="19"/>
      <c r="AB993" s="19"/>
      <c r="FE993" s="54"/>
    </row>
    <row r="994" spans="1:161" s="18" customFormat="1">
      <c r="A994" s="51"/>
      <c r="B994" s="735"/>
      <c r="C994" s="735"/>
      <c r="D994" s="735"/>
      <c r="E994" s="735"/>
      <c r="F994" s="736"/>
      <c r="G994" s="735"/>
      <c r="H994" s="735"/>
      <c r="I994" s="735"/>
      <c r="J994" s="735"/>
      <c r="K994" s="735"/>
      <c r="L994" s="735"/>
      <c r="M994" s="735"/>
      <c r="N994" s="735"/>
      <c r="O994" s="19"/>
      <c r="P994" s="19"/>
      <c r="Q994" s="19"/>
      <c r="R994" s="19"/>
      <c r="S994" s="19"/>
      <c r="T994" s="19"/>
      <c r="U994" s="19"/>
      <c r="V994" s="19"/>
      <c r="W994" s="19"/>
      <c r="X994" s="19"/>
      <c r="Y994" s="19"/>
      <c r="Z994" s="19"/>
      <c r="AA994" s="19"/>
      <c r="AB994" s="19"/>
      <c r="FE994" s="54"/>
    </row>
    <row r="995" spans="1:161" s="18" customFormat="1">
      <c r="A995" s="51"/>
      <c r="B995" s="735"/>
      <c r="C995" s="735"/>
      <c r="D995" s="735"/>
      <c r="E995" s="735"/>
      <c r="F995" s="736"/>
      <c r="G995" s="735"/>
      <c r="H995" s="735"/>
      <c r="I995" s="735"/>
      <c r="J995" s="735"/>
      <c r="K995" s="735"/>
      <c r="L995" s="735"/>
      <c r="M995" s="735"/>
      <c r="N995" s="735"/>
      <c r="O995" s="19"/>
      <c r="P995" s="19"/>
      <c r="Q995" s="19"/>
      <c r="R995" s="19"/>
      <c r="S995" s="19"/>
      <c r="T995" s="19"/>
      <c r="U995" s="19"/>
      <c r="V995" s="19"/>
      <c r="W995" s="19"/>
      <c r="X995" s="19"/>
      <c r="Y995" s="19"/>
      <c r="Z995" s="19"/>
      <c r="AA995" s="19"/>
      <c r="AB995" s="19"/>
      <c r="FE995" s="54"/>
    </row>
    <row r="996" spans="1:161" s="18" customFormat="1">
      <c r="A996" s="51"/>
      <c r="B996" s="735"/>
      <c r="C996" s="735"/>
      <c r="D996" s="735"/>
      <c r="E996" s="735"/>
      <c r="F996" s="736"/>
      <c r="G996" s="735"/>
      <c r="H996" s="735"/>
      <c r="I996" s="735"/>
      <c r="J996" s="735"/>
      <c r="K996" s="735"/>
      <c r="L996" s="735"/>
      <c r="M996" s="735"/>
      <c r="N996" s="735"/>
      <c r="O996" s="19"/>
      <c r="P996" s="19"/>
      <c r="Q996" s="19"/>
      <c r="R996" s="19"/>
      <c r="S996" s="19"/>
      <c r="T996" s="19"/>
      <c r="U996" s="19"/>
      <c r="V996" s="19"/>
      <c r="W996" s="19"/>
      <c r="X996" s="19"/>
      <c r="Y996" s="19"/>
      <c r="Z996" s="19"/>
      <c r="AA996" s="19"/>
      <c r="AB996" s="19"/>
      <c r="FE996" s="54"/>
    </row>
    <row r="997" spans="1:161" s="18" customFormat="1">
      <c r="A997" s="51"/>
      <c r="B997" s="735"/>
      <c r="C997" s="735"/>
      <c r="D997" s="735"/>
      <c r="E997" s="735"/>
      <c r="F997" s="736"/>
      <c r="G997" s="735"/>
      <c r="H997" s="735"/>
      <c r="I997" s="735"/>
      <c r="J997" s="735"/>
      <c r="K997" s="735"/>
      <c r="L997" s="735"/>
      <c r="M997" s="735"/>
      <c r="N997" s="735"/>
      <c r="O997" s="19"/>
      <c r="P997" s="19"/>
      <c r="Q997" s="19"/>
      <c r="R997" s="19"/>
      <c r="S997" s="19"/>
      <c r="T997" s="19"/>
      <c r="U997" s="19"/>
      <c r="V997" s="19"/>
      <c r="W997" s="19"/>
      <c r="X997" s="19"/>
      <c r="Y997" s="19"/>
      <c r="Z997" s="19"/>
      <c r="AA997" s="19"/>
      <c r="AB997" s="19"/>
      <c r="FE997" s="54"/>
    </row>
    <row r="998" spans="1:161" s="18" customFormat="1">
      <c r="A998" s="51"/>
      <c r="B998" s="735"/>
      <c r="C998" s="735"/>
      <c r="D998" s="735"/>
      <c r="E998" s="735"/>
      <c r="F998" s="736"/>
      <c r="G998" s="735"/>
      <c r="H998" s="735"/>
      <c r="I998" s="735"/>
      <c r="J998" s="735"/>
      <c r="K998" s="735"/>
      <c r="L998" s="735"/>
      <c r="M998" s="735"/>
      <c r="N998" s="735"/>
      <c r="O998" s="19"/>
      <c r="P998" s="19"/>
      <c r="Q998" s="19"/>
      <c r="R998" s="19"/>
      <c r="S998" s="19"/>
      <c r="T998" s="19"/>
      <c r="U998" s="19"/>
      <c r="V998" s="19"/>
      <c r="W998" s="19"/>
      <c r="X998" s="19"/>
      <c r="Y998" s="19"/>
      <c r="Z998" s="19"/>
      <c r="AA998" s="19"/>
      <c r="AB998" s="19"/>
      <c r="FE998" s="54"/>
    </row>
    <row r="999" spans="1:161" s="18" customFormat="1">
      <c r="A999" s="51"/>
      <c r="B999" s="735"/>
      <c r="C999" s="735"/>
      <c r="D999" s="735"/>
      <c r="E999" s="735"/>
      <c r="F999" s="736"/>
      <c r="G999" s="735"/>
      <c r="H999" s="735"/>
      <c r="I999" s="735"/>
      <c r="J999" s="735"/>
      <c r="K999" s="735"/>
      <c r="L999" s="735"/>
      <c r="M999" s="735"/>
      <c r="N999" s="735"/>
      <c r="O999" s="19"/>
      <c r="P999" s="19"/>
      <c r="Q999" s="19"/>
      <c r="R999" s="19"/>
      <c r="S999" s="19"/>
      <c r="T999" s="19"/>
      <c r="U999" s="19"/>
      <c r="V999" s="19"/>
      <c r="W999" s="19"/>
      <c r="X999" s="19"/>
      <c r="Y999" s="19"/>
      <c r="Z999" s="19"/>
      <c r="AA999" s="19"/>
      <c r="AB999" s="19"/>
      <c r="FE999" s="54"/>
    </row>
    <row r="1000" spans="1:161" s="18" customFormat="1">
      <c r="A1000" s="51"/>
      <c r="B1000" s="735"/>
      <c r="C1000" s="735"/>
      <c r="D1000" s="735"/>
      <c r="E1000" s="735"/>
      <c r="F1000" s="736"/>
      <c r="G1000" s="735"/>
      <c r="H1000" s="735"/>
      <c r="I1000" s="735"/>
      <c r="J1000" s="735"/>
      <c r="K1000" s="735"/>
      <c r="L1000" s="735"/>
      <c r="M1000" s="735"/>
      <c r="N1000" s="735"/>
      <c r="O1000" s="19"/>
      <c r="P1000" s="19"/>
      <c r="Q1000" s="19"/>
      <c r="R1000" s="19"/>
      <c r="S1000" s="19"/>
      <c r="T1000" s="19"/>
      <c r="U1000" s="19"/>
      <c r="V1000" s="19"/>
      <c r="W1000" s="19"/>
      <c r="X1000" s="19"/>
      <c r="Y1000" s="19"/>
      <c r="Z1000" s="19"/>
      <c r="AA1000" s="19"/>
      <c r="AB1000" s="19"/>
      <c r="FE1000" s="54"/>
    </row>
    <row r="1001" spans="1:161" s="18" customFormat="1">
      <c r="A1001" s="51"/>
      <c r="B1001" s="735"/>
      <c r="C1001" s="735"/>
      <c r="D1001" s="735"/>
      <c r="E1001" s="735"/>
      <c r="F1001" s="736"/>
      <c r="G1001" s="735"/>
      <c r="H1001" s="735"/>
      <c r="I1001" s="735"/>
      <c r="J1001" s="735"/>
      <c r="K1001" s="735"/>
      <c r="L1001" s="735"/>
      <c r="M1001" s="735"/>
      <c r="N1001" s="735"/>
      <c r="O1001" s="19"/>
      <c r="P1001" s="19"/>
      <c r="Q1001" s="19"/>
      <c r="R1001" s="19"/>
      <c r="S1001" s="19"/>
      <c r="T1001" s="19"/>
      <c r="U1001" s="19"/>
      <c r="V1001" s="19"/>
      <c r="W1001" s="19"/>
      <c r="X1001" s="19"/>
      <c r="Y1001" s="19"/>
      <c r="Z1001" s="19"/>
      <c r="AA1001" s="19"/>
      <c r="AB1001" s="19"/>
      <c r="FE1001" s="54"/>
    </row>
    <row r="1002" spans="1:161" s="18" customFormat="1">
      <c r="A1002" s="51"/>
      <c r="B1002" s="735"/>
      <c r="C1002" s="735"/>
      <c r="D1002" s="735"/>
      <c r="E1002" s="735"/>
      <c r="F1002" s="736"/>
      <c r="G1002" s="735"/>
      <c r="H1002" s="735"/>
      <c r="I1002" s="735"/>
      <c r="J1002" s="735"/>
      <c r="K1002" s="735"/>
      <c r="L1002" s="735"/>
      <c r="M1002" s="735"/>
      <c r="N1002" s="735"/>
      <c r="O1002" s="19"/>
      <c r="P1002" s="19"/>
      <c r="Q1002" s="19"/>
      <c r="R1002" s="19"/>
      <c r="S1002" s="19"/>
      <c r="T1002" s="19"/>
      <c r="U1002" s="19"/>
      <c r="V1002" s="19"/>
      <c r="W1002" s="19"/>
      <c r="X1002" s="19"/>
      <c r="Y1002" s="19"/>
      <c r="Z1002" s="19"/>
      <c r="AA1002" s="19"/>
      <c r="AB1002" s="19"/>
      <c r="FE1002" s="54"/>
    </row>
    <row r="1003" spans="1:161" s="18" customFormat="1">
      <c r="A1003" s="51"/>
      <c r="B1003" s="735"/>
      <c r="C1003" s="735"/>
      <c r="D1003" s="735"/>
      <c r="E1003" s="735"/>
      <c r="F1003" s="736"/>
      <c r="G1003" s="735"/>
      <c r="H1003" s="735"/>
      <c r="I1003" s="735"/>
      <c r="J1003" s="735"/>
      <c r="K1003" s="735"/>
      <c r="L1003" s="735"/>
      <c r="M1003" s="735"/>
      <c r="N1003" s="735"/>
      <c r="O1003" s="19"/>
      <c r="P1003" s="19"/>
      <c r="Q1003" s="19"/>
      <c r="R1003" s="19"/>
      <c r="S1003" s="19"/>
      <c r="T1003" s="19"/>
      <c r="U1003" s="19"/>
      <c r="V1003" s="19"/>
      <c r="W1003" s="19"/>
      <c r="X1003" s="19"/>
      <c r="Y1003" s="19"/>
      <c r="Z1003" s="19"/>
      <c r="AA1003" s="19"/>
      <c r="AB1003" s="19"/>
      <c r="FE1003" s="54"/>
    </row>
    <row r="1004" spans="1:161" s="18" customFormat="1">
      <c r="A1004" s="51"/>
      <c r="B1004" s="735"/>
      <c r="C1004" s="735"/>
      <c r="D1004" s="735"/>
      <c r="E1004" s="735"/>
      <c r="F1004" s="736"/>
      <c r="G1004" s="735"/>
      <c r="H1004" s="735"/>
      <c r="I1004" s="735"/>
      <c r="J1004" s="735"/>
      <c r="K1004" s="735"/>
      <c r="L1004" s="735"/>
      <c r="M1004" s="735"/>
      <c r="N1004" s="735"/>
      <c r="O1004" s="19"/>
      <c r="P1004" s="19"/>
      <c r="Q1004" s="19"/>
      <c r="R1004" s="19"/>
      <c r="S1004" s="19"/>
      <c r="T1004" s="19"/>
      <c r="U1004" s="19"/>
      <c r="V1004" s="19"/>
      <c r="W1004" s="19"/>
      <c r="X1004" s="19"/>
      <c r="Y1004" s="19"/>
      <c r="Z1004" s="19"/>
      <c r="AA1004" s="19"/>
      <c r="AB1004" s="19"/>
      <c r="FE1004" s="54"/>
    </row>
    <row r="1005" spans="1:161" s="18" customFormat="1">
      <c r="A1005" s="51"/>
      <c r="B1005" s="735"/>
      <c r="C1005" s="735"/>
      <c r="D1005" s="735"/>
      <c r="E1005" s="735"/>
      <c r="F1005" s="736"/>
      <c r="G1005" s="735"/>
      <c r="H1005" s="735"/>
      <c r="I1005" s="735"/>
      <c r="J1005" s="735"/>
      <c r="K1005" s="735"/>
      <c r="L1005" s="735"/>
      <c r="M1005" s="735"/>
      <c r="N1005" s="735"/>
      <c r="O1005" s="19"/>
      <c r="P1005" s="19"/>
      <c r="Q1005" s="19"/>
      <c r="R1005" s="19"/>
      <c r="S1005" s="19"/>
      <c r="T1005" s="19"/>
      <c r="U1005" s="19"/>
      <c r="V1005" s="19"/>
      <c r="W1005" s="19"/>
      <c r="X1005" s="19"/>
      <c r="Y1005" s="19"/>
      <c r="Z1005" s="19"/>
      <c r="AA1005" s="19"/>
      <c r="AB1005" s="19"/>
      <c r="FE1005" s="54"/>
    </row>
    <row r="1006" spans="1:161" s="18" customFormat="1">
      <c r="A1006" s="51"/>
      <c r="B1006" s="735"/>
      <c r="C1006" s="735"/>
      <c r="D1006" s="735"/>
      <c r="E1006" s="735"/>
      <c r="F1006" s="736"/>
      <c r="G1006" s="735"/>
      <c r="H1006" s="735"/>
      <c r="I1006" s="735"/>
      <c r="J1006" s="735"/>
      <c r="K1006" s="735"/>
      <c r="L1006" s="735"/>
      <c r="M1006" s="735"/>
      <c r="N1006" s="735"/>
      <c r="O1006" s="19"/>
      <c r="P1006" s="19"/>
      <c r="Q1006" s="19"/>
      <c r="R1006" s="19"/>
      <c r="S1006" s="19"/>
      <c r="T1006" s="19"/>
      <c r="U1006" s="19"/>
      <c r="V1006" s="19"/>
      <c r="W1006" s="19"/>
      <c r="X1006" s="19"/>
      <c r="Y1006" s="19"/>
      <c r="Z1006" s="19"/>
      <c r="AA1006" s="19"/>
      <c r="AB1006" s="19"/>
      <c r="FE1006" s="54"/>
    </row>
    <row r="1007" spans="1:161" s="18" customFormat="1">
      <c r="A1007" s="51"/>
      <c r="B1007" s="735"/>
      <c r="C1007" s="735"/>
      <c r="D1007" s="735"/>
      <c r="E1007" s="735"/>
      <c r="F1007" s="736"/>
      <c r="G1007" s="735"/>
      <c r="H1007" s="735"/>
      <c r="I1007" s="735"/>
      <c r="J1007" s="735"/>
      <c r="K1007" s="735"/>
      <c r="L1007" s="735"/>
      <c r="M1007" s="735"/>
      <c r="N1007" s="735"/>
      <c r="O1007" s="19"/>
      <c r="P1007" s="19"/>
      <c r="Q1007" s="19"/>
      <c r="R1007" s="19"/>
      <c r="S1007" s="19"/>
      <c r="T1007" s="19"/>
      <c r="U1007" s="19"/>
      <c r="V1007" s="19"/>
      <c r="W1007" s="19"/>
      <c r="X1007" s="19"/>
      <c r="Y1007" s="19"/>
      <c r="Z1007" s="19"/>
      <c r="AA1007" s="19"/>
      <c r="AB1007" s="19"/>
      <c r="FE1007" s="54"/>
    </row>
    <row r="1008" spans="1:161" s="18" customFormat="1">
      <c r="A1008" s="51"/>
      <c r="B1008" s="735"/>
      <c r="C1008" s="735"/>
      <c r="D1008" s="735"/>
      <c r="E1008" s="735"/>
      <c r="F1008" s="736"/>
      <c r="G1008" s="735"/>
      <c r="H1008" s="735"/>
      <c r="I1008" s="735"/>
      <c r="J1008" s="735"/>
      <c r="K1008" s="735"/>
      <c r="L1008" s="735"/>
      <c r="M1008" s="735"/>
      <c r="N1008" s="735"/>
      <c r="O1008" s="19"/>
      <c r="P1008" s="19"/>
      <c r="Q1008" s="19"/>
      <c r="R1008" s="19"/>
      <c r="S1008" s="19"/>
      <c r="T1008" s="19"/>
      <c r="U1008" s="19"/>
      <c r="V1008" s="19"/>
      <c r="W1008" s="19"/>
      <c r="X1008" s="19"/>
      <c r="Y1008" s="19"/>
      <c r="Z1008" s="19"/>
      <c r="AA1008" s="19"/>
      <c r="AB1008" s="19"/>
      <c r="FE1008" s="54"/>
    </row>
    <row r="1009" spans="1:161" s="18" customFormat="1">
      <c r="A1009" s="51"/>
      <c r="B1009" s="735"/>
      <c r="C1009" s="735"/>
      <c r="D1009" s="735"/>
      <c r="E1009" s="735"/>
      <c r="F1009" s="736"/>
      <c r="G1009" s="735"/>
      <c r="H1009" s="735"/>
      <c r="I1009" s="735"/>
      <c r="J1009" s="735"/>
      <c r="K1009" s="735"/>
      <c r="L1009" s="735"/>
      <c r="M1009" s="735"/>
      <c r="N1009" s="735"/>
      <c r="O1009" s="19"/>
      <c r="P1009" s="19"/>
      <c r="Q1009" s="19"/>
      <c r="R1009" s="19"/>
      <c r="S1009" s="19"/>
      <c r="T1009" s="19"/>
      <c r="U1009" s="19"/>
      <c r="V1009" s="19"/>
      <c r="W1009" s="19"/>
      <c r="X1009" s="19"/>
      <c r="Y1009" s="19"/>
      <c r="Z1009" s="19"/>
      <c r="AA1009" s="19"/>
      <c r="AB1009" s="19"/>
      <c r="FE1009" s="54"/>
    </row>
    <row r="1010" spans="1:161" s="18" customFormat="1">
      <c r="A1010" s="51"/>
      <c r="B1010" s="735"/>
      <c r="C1010" s="735"/>
      <c r="D1010" s="735"/>
      <c r="E1010" s="735"/>
      <c r="F1010" s="736"/>
      <c r="G1010" s="735"/>
      <c r="H1010" s="735"/>
      <c r="I1010" s="735"/>
      <c r="J1010" s="735"/>
      <c r="K1010" s="735"/>
      <c r="L1010" s="735"/>
      <c r="M1010" s="735"/>
      <c r="N1010" s="735"/>
      <c r="O1010" s="19"/>
      <c r="P1010" s="19"/>
      <c r="Q1010" s="19"/>
      <c r="R1010" s="19"/>
      <c r="S1010" s="19"/>
      <c r="T1010" s="19"/>
      <c r="U1010" s="19"/>
      <c r="V1010" s="19"/>
      <c r="W1010" s="19"/>
      <c r="X1010" s="19"/>
      <c r="Y1010" s="19"/>
      <c r="Z1010" s="19"/>
      <c r="AA1010" s="19"/>
      <c r="AB1010" s="19"/>
      <c r="FE1010" s="54"/>
    </row>
    <row r="1011" spans="1:161" s="18" customFormat="1">
      <c r="A1011" s="51"/>
      <c r="B1011" s="735"/>
      <c r="C1011" s="735"/>
      <c r="D1011" s="735"/>
      <c r="E1011" s="735"/>
      <c r="F1011" s="736"/>
      <c r="G1011" s="735"/>
      <c r="H1011" s="735"/>
      <c r="I1011" s="735"/>
      <c r="J1011" s="735"/>
      <c r="K1011" s="735"/>
      <c r="L1011" s="735"/>
      <c r="M1011" s="735"/>
      <c r="N1011" s="735"/>
      <c r="O1011" s="19"/>
      <c r="P1011" s="19"/>
      <c r="Q1011" s="19"/>
      <c r="R1011" s="19"/>
      <c r="S1011" s="19"/>
      <c r="T1011" s="19"/>
      <c r="U1011" s="19"/>
      <c r="V1011" s="19"/>
      <c r="W1011" s="19"/>
      <c r="X1011" s="19"/>
      <c r="Y1011" s="19"/>
      <c r="Z1011" s="19"/>
      <c r="AA1011" s="19"/>
      <c r="AB1011" s="19"/>
      <c r="FE1011" s="54"/>
    </row>
    <row r="1012" spans="1:161" s="18" customFormat="1">
      <c r="A1012" s="51"/>
      <c r="B1012" s="735"/>
      <c r="C1012" s="735"/>
      <c r="D1012" s="735"/>
      <c r="E1012" s="735"/>
      <c r="F1012" s="736"/>
      <c r="G1012" s="735"/>
      <c r="H1012" s="735"/>
      <c r="I1012" s="735"/>
      <c r="J1012" s="735"/>
      <c r="K1012" s="735"/>
      <c r="L1012" s="735"/>
      <c r="M1012" s="735"/>
      <c r="N1012" s="735"/>
      <c r="O1012" s="19"/>
      <c r="P1012" s="19"/>
      <c r="Q1012" s="19"/>
      <c r="R1012" s="19"/>
      <c r="S1012" s="19"/>
      <c r="T1012" s="19"/>
      <c r="U1012" s="19"/>
      <c r="V1012" s="19"/>
      <c r="W1012" s="19"/>
      <c r="X1012" s="19"/>
      <c r="Y1012" s="19"/>
      <c r="Z1012" s="19"/>
      <c r="AA1012" s="19"/>
      <c r="AB1012" s="19"/>
      <c r="FE1012" s="54"/>
    </row>
    <row r="1013" spans="1:161" s="18" customFormat="1">
      <c r="A1013" s="51"/>
      <c r="B1013" s="735"/>
      <c r="C1013" s="735"/>
      <c r="D1013" s="735"/>
      <c r="E1013" s="735"/>
      <c r="F1013" s="736"/>
      <c r="G1013" s="735"/>
      <c r="H1013" s="735"/>
      <c r="I1013" s="735"/>
      <c r="J1013" s="735"/>
      <c r="K1013" s="735"/>
      <c r="L1013" s="735"/>
      <c r="M1013" s="735"/>
      <c r="N1013" s="735"/>
      <c r="O1013" s="19"/>
      <c r="P1013" s="19"/>
      <c r="Q1013" s="19"/>
      <c r="R1013" s="19"/>
      <c r="S1013" s="19"/>
      <c r="T1013" s="19"/>
      <c r="U1013" s="19"/>
      <c r="V1013" s="19"/>
      <c r="W1013" s="19"/>
      <c r="X1013" s="19"/>
      <c r="Y1013" s="19"/>
      <c r="Z1013" s="19"/>
      <c r="AA1013" s="19"/>
      <c r="AB1013" s="19"/>
      <c r="FE1013" s="54"/>
    </row>
    <row r="1014" spans="1:161" s="18" customFormat="1">
      <c r="A1014" s="51"/>
      <c r="B1014" s="735"/>
      <c r="C1014" s="735"/>
      <c r="D1014" s="735"/>
      <c r="E1014" s="735"/>
      <c r="F1014" s="736"/>
      <c r="G1014" s="735"/>
      <c r="H1014" s="735"/>
      <c r="I1014" s="735"/>
      <c r="J1014" s="735"/>
      <c r="K1014" s="735"/>
      <c r="L1014" s="735"/>
      <c r="M1014" s="735"/>
      <c r="N1014" s="735"/>
      <c r="O1014" s="19"/>
      <c r="P1014" s="19"/>
      <c r="Q1014" s="19"/>
      <c r="R1014" s="19"/>
      <c r="S1014" s="19"/>
      <c r="T1014" s="19"/>
      <c r="U1014" s="19"/>
      <c r="V1014" s="19"/>
      <c r="W1014" s="19"/>
      <c r="X1014" s="19"/>
      <c r="Y1014" s="19"/>
      <c r="Z1014" s="19"/>
      <c r="AA1014" s="19"/>
      <c r="AB1014" s="19"/>
      <c r="FE1014" s="54"/>
    </row>
    <row r="1015" spans="1:161" s="18" customFormat="1">
      <c r="A1015" s="51"/>
      <c r="B1015" s="735"/>
      <c r="C1015" s="735"/>
      <c r="D1015" s="735"/>
      <c r="E1015" s="735"/>
      <c r="F1015" s="736"/>
      <c r="G1015" s="735"/>
      <c r="H1015" s="735"/>
      <c r="I1015" s="735"/>
      <c r="J1015" s="735"/>
      <c r="K1015" s="735"/>
      <c r="L1015" s="735"/>
      <c r="M1015" s="735"/>
      <c r="N1015" s="735"/>
      <c r="O1015" s="19"/>
      <c r="P1015" s="19"/>
      <c r="Q1015" s="19"/>
      <c r="R1015" s="19"/>
      <c r="S1015" s="19"/>
      <c r="T1015" s="19"/>
      <c r="U1015" s="19"/>
      <c r="V1015" s="19"/>
      <c r="W1015" s="19"/>
      <c r="X1015" s="19"/>
      <c r="Y1015" s="19"/>
      <c r="Z1015" s="19"/>
      <c r="AA1015" s="19"/>
      <c r="AB1015" s="19"/>
      <c r="FE1015" s="54"/>
    </row>
    <row r="1016" spans="1:161" s="18" customFormat="1">
      <c r="A1016" s="51"/>
      <c r="B1016" s="735"/>
      <c r="C1016" s="735"/>
      <c r="D1016" s="735"/>
      <c r="E1016" s="735"/>
      <c r="F1016" s="736"/>
      <c r="G1016" s="735"/>
      <c r="H1016" s="735"/>
      <c r="I1016" s="735"/>
      <c r="J1016" s="735"/>
      <c r="K1016" s="735"/>
      <c r="L1016" s="735"/>
      <c r="M1016" s="735"/>
      <c r="N1016" s="735"/>
      <c r="O1016" s="19"/>
      <c r="P1016" s="19"/>
      <c r="Q1016" s="19"/>
      <c r="R1016" s="19"/>
      <c r="S1016" s="19"/>
      <c r="T1016" s="19"/>
      <c r="U1016" s="19"/>
      <c r="V1016" s="19"/>
      <c r="W1016" s="19"/>
      <c r="X1016" s="19"/>
      <c r="Y1016" s="19"/>
      <c r="Z1016" s="19"/>
      <c r="AA1016" s="19"/>
      <c r="AB1016" s="19"/>
      <c r="FE1016" s="54"/>
    </row>
    <row r="1017" spans="1:161" s="18" customFormat="1">
      <c r="A1017" s="51"/>
      <c r="B1017" s="735"/>
      <c r="C1017" s="735"/>
      <c r="D1017" s="735"/>
      <c r="E1017" s="735"/>
      <c r="F1017" s="736"/>
      <c r="G1017" s="735"/>
      <c r="H1017" s="735"/>
      <c r="I1017" s="735"/>
      <c r="J1017" s="735"/>
      <c r="K1017" s="735"/>
      <c r="L1017" s="735"/>
      <c r="M1017" s="735"/>
      <c r="N1017" s="735"/>
      <c r="O1017" s="19"/>
      <c r="P1017" s="19"/>
      <c r="Q1017" s="19"/>
      <c r="R1017" s="19"/>
      <c r="S1017" s="19"/>
      <c r="T1017" s="19"/>
      <c r="U1017" s="19"/>
      <c r="V1017" s="19"/>
      <c r="W1017" s="19"/>
      <c r="X1017" s="19"/>
      <c r="Y1017" s="19"/>
      <c r="Z1017" s="19"/>
      <c r="AA1017" s="19"/>
      <c r="AB1017" s="19"/>
      <c r="FE1017" s="54"/>
    </row>
    <row r="1018" spans="1:161" s="18" customFormat="1">
      <c r="A1018" s="51"/>
      <c r="B1018" s="735"/>
      <c r="C1018" s="735"/>
      <c r="D1018" s="735"/>
      <c r="E1018" s="735"/>
      <c r="F1018" s="736"/>
      <c r="G1018" s="735"/>
      <c r="H1018" s="735"/>
      <c r="I1018" s="735"/>
      <c r="J1018" s="735"/>
      <c r="K1018" s="735"/>
      <c r="L1018" s="735"/>
      <c r="M1018" s="735"/>
      <c r="N1018" s="735"/>
      <c r="O1018" s="19"/>
      <c r="P1018" s="19"/>
      <c r="Q1018" s="19"/>
      <c r="R1018" s="19"/>
      <c r="S1018" s="19"/>
      <c r="T1018" s="19"/>
      <c r="U1018" s="19"/>
      <c r="V1018" s="19"/>
      <c r="W1018" s="19"/>
      <c r="X1018" s="19"/>
      <c r="Y1018" s="19"/>
      <c r="Z1018" s="19"/>
      <c r="AA1018" s="19"/>
      <c r="AB1018" s="19"/>
      <c r="FE1018" s="54"/>
    </row>
    <row r="1019" spans="1:161" s="18" customFormat="1">
      <c r="A1019" s="51"/>
      <c r="B1019" s="735"/>
      <c r="C1019" s="735"/>
      <c r="D1019" s="735"/>
      <c r="E1019" s="735"/>
      <c r="F1019" s="736"/>
      <c r="G1019" s="735"/>
      <c r="H1019" s="735"/>
      <c r="I1019" s="735"/>
      <c r="J1019" s="735"/>
      <c r="K1019" s="735"/>
      <c r="L1019" s="735"/>
      <c r="M1019" s="735"/>
      <c r="N1019" s="735"/>
      <c r="O1019" s="19"/>
      <c r="P1019" s="19"/>
      <c r="Q1019" s="19"/>
      <c r="R1019" s="19"/>
      <c r="S1019" s="19"/>
      <c r="T1019" s="19"/>
      <c r="U1019" s="19"/>
      <c r="V1019" s="19"/>
      <c r="W1019" s="19"/>
      <c r="X1019" s="19"/>
      <c r="Y1019" s="19"/>
      <c r="Z1019" s="19"/>
      <c r="AA1019" s="19"/>
      <c r="AB1019" s="19"/>
      <c r="FE1019" s="54"/>
    </row>
    <row r="1020" spans="1:161" s="18" customFormat="1">
      <c r="A1020" s="51"/>
      <c r="B1020" s="735"/>
      <c r="C1020" s="735"/>
      <c r="D1020" s="735"/>
      <c r="E1020" s="735"/>
      <c r="F1020" s="736"/>
      <c r="G1020" s="735"/>
      <c r="H1020" s="735"/>
      <c r="I1020" s="735"/>
      <c r="J1020" s="735"/>
      <c r="K1020" s="735"/>
      <c r="L1020" s="735"/>
      <c r="M1020" s="735"/>
      <c r="N1020" s="735"/>
      <c r="O1020" s="19"/>
      <c r="P1020" s="19"/>
      <c r="Q1020" s="19"/>
      <c r="R1020" s="19"/>
      <c r="S1020" s="19"/>
      <c r="T1020" s="19"/>
      <c r="U1020" s="19"/>
      <c r="V1020" s="19"/>
      <c r="W1020" s="19"/>
      <c r="X1020" s="19"/>
      <c r="Y1020" s="19"/>
      <c r="Z1020" s="19"/>
      <c r="AA1020" s="19"/>
      <c r="AB1020" s="19"/>
      <c r="FE1020" s="54"/>
    </row>
    <row r="1021" spans="1:161" s="18" customFormat="1">
      <c r="A1021" s="51"/>
      <c r="B1021" s="735"/>
      <c r="C1021" s="735"/>
      <c r="D1021" s="735"/>
      <c r="E1021" s="735"/>
      <c r="F1021" s="736"/>
      <c r="G1021" s="735"/>
      <c r="H1021" s="735"/>
      <c r="I1021" s="735"/>
      <c r="J1021" s="735"/>
      <c r="K1021" s="735"/>
      <c r="L1021" s="735"/>
      <c r="M1021" s="735"/>
      <c r="N1021" s="735"/>
      <c r="O1021" s="19"/>
      <c r="P1021" s="19"/>
      <c r="Q1021" s="19"/>
      <c r="R1021" s="19"/>
      <c r="S1021" s="19"/>
      <c r="T1021" s="19"/>
      <c r="U1021" s="19"/>
      <c r="V1021" s="19"/>
      <c r="W1021" s="19"/>
      <c r="X1021" s="19"/>
      <c r="Y1021" s="19"/>
      <c r="Z1021" s="19"/>
      <c r="AA1021" s="19"/>
      <c r="AB1021" s="19"/>
      <c r="FE1021" s="54"/>
    </row>
    <row r="1022" spans="1:161" s="18" customFormat="1">
      <c r="A1022" s="51"/>
      <c r="B1022" s="735"/>
      <c r="C1022" s="735"/>
      <c r="D1022" s="735"/>
      <c r="E1022" s="735"/>
      <c r="F1022" s="736"/>
      <c r="G1022" s="735"/>
      <c r="H1022" s="735"/>
      <c r="I1022" s="735"/>
      <c r="J1022" s="735"/>
      <c r="K1022" s="735"/>
      <c r="L1022" s="735"/>
      <c r="M1022" s="735"/>
      <c r="N1022" s="735"/>
      <c r="O1022" s="19"/>
      <c r="P1022" s="19"/>
      <c r="Q1022" s="19"/>
      <c r="R1022" s="19"/>
      <c r="S1022" s="19"/>
      <c r="T1022" s="19"/>
      <c r="U1022" s="19"/>
      <c r="V1022" s="19"/>
      <c r="W1022" s="19"/>
      <c r="X1022" s="19"/>
      <c r="Y1022" s="19"/>
      <c r="Z1022" s="19"/>
      <c r="AA1022" s="19"/>
      <c r="AB1022" s="19"/>
      <c r="FE1022" s="54"/>
    </row>
    <row r="1023" spans="1:161" s="18" customFormat="1">
      <c r="A1023" s="51"/>
      <c r="B1023" s="735"/>
      <c r="C1023" s="735"/>
      <c r="D1023" s="735"/>
      <c r="E1023" s="735"/>
      <c r="F1023" s="736"/>
      <c r="G1023" s="735"/>
      <c r="H1023" s="735"/>
      <c r="I1023" s="735"/>
      <c r="J1023" s="735"/>
      <c r="K1023" s="735"/>
      <c r="L1023" s="735"/>
      <c r="M1023" s="735"/>
      <c r="N1023" s="735"/>
      <c r="O1023" s="19"/>
      <c r="P1023" s="19"/>
      <c r="Q1023" s="19"/>
      <c r="R1023" s="19"/>
      <c r="S1023" s="19"/>
      <c r="T1023" s="19"/>
      <c r="U1023" s="19"/>
      <c r="V1023" s="19"/>
      <c r="W1023" s="19"/>
      <c r="X1023" s="19"/>
      <c r="Y1023" s="19"/>
      <c r="Z1023" s="19"/>
      <c r="AA1023" s="19"/>
      <c r="AB1023" s="19"/>
      <c r="FE1023" s="54"/>
    </row>
    <row r="1024" spans="1:161" s="18" customFormat="1">
      <c r="A1024" s="51"/>
      <c r="B1024" s="735"/>
      <c r="C1024" s="735"/>
      <c r="D1024" s="735"/>
      <c r="E1024" s="735"/>
      <c r="F1024" s="736"/>
      <c r="G1024" s="735"/>
      <c r="H1024" s="735"/>
      <c r="I1024" s="735"/>
      <c r="J1024" s="735"/>
      <c r="K1024" s="735"/>
      <c r="L1024" s="735"/>
      <c r="M1024" s="735"/>
      <c r="N1024" s="735"/>
      <c r="O1024" s="19"/>
      <c r="P1024" s="19"/>
      <c r="Q1024" s="19"/>
      <c r="R1024" s="19"/>
      <c r="S1024" s="19"/>
      <c r="T1024" s="19"/>
      <c r="U1024" s="19"/>
      <c r="V1024" s="19"/>
      <c r="W1024" s="19"/>
      <c r="X1024" s="19"/>
      <c r="Y1024" s="19"/>
      <c r="Z1024" s="19"/>
      <c r="AA1024" s="19"/>
      <c r="AB1024" s="19"/>
      <c r="FE1024" s="54"/>
    </row>
    <row r="1025" spans="1:161" s="18" customFormat="1">
      <c r="A1025" s="51"/>
      <c r="B1025" s="735"/>
      <c r="C1025" s="735"/>
      <c r="D1025" s="735"/>
      <c r="E1025" s="735"/>
      <c r="F1025" s="736"/>
      <c r="G1025" s="735"/>
      <c r="H1025" s="735"/>
      <c r="I1025" s="735"/>
      <c r="J1025" s="735"/>
      <c r="K1025" s="735"/>
      <c r="L1025" s="735"/>
      <c r="M1025" s="735"/>
      <c r="N1025" s="735"/>
      <c r="O1025" s="19"/>
      <c r="P1025" s="19"/>
      <c r="Q1025" s="19"/>
      <c r="R1025" s="19"/>
      <c r="S1025" s="19"/>
      <c r="T1025" s="19"/>
      <c r="U1025" s="19"/>
      <c r="V1025" s="19"/>
      <c r="W1025" s="19"/>
      <c r="X1025" s="19"/>
      <c r="Y1025" s="19"/>
      <c r="Z1025" s="19"/>
      <c r="AA1025" s="19"/>
      <c r="AB1025" s="19"/>
      <c r="FE1025" s="54"/>
    </row>
    <row r="1026" spans="1:161" s="18" customFormat="1">
      <c r="A1026" s="51"/>
      <c r="B1026" s="735"/>
      <c r="C1026" s="735"/>
      <c r="D1026" s="735"/>
      <c r="E1026" s="735"/>
      <c r="F1026" s="736"/>
      <c r="G1026" s="735"/>
      <c r="H1026" s="735"/>
      <c r="I1026" s="735"/>
      <c r="J1026" s="735"/>
      <c r="K1026" s="735"/>
      <c r="L1026" s="735"/>
      <c r="M1026" s="735"/>
      <c r="N1026" s="735"/>
      <c r="O1026" s="19"/>
      <c r="P1026" s="19"/>
      <c r="Q1026" s="19"/>
      <c r="R1026" s="19"/>
      <c r="S1026" s="19"/>
      <c r="T1026" s="19"/>
      <c r="U1026" s="19"/>
      <c r="V1026" s="19"/>
      <c r="W1026" s="19"/>
      <c r="X1026" s="19"/>
      <c r="Y1026" s="19"/>
      <c r="Z1026" s="19"/>
      <c r="AA1026" s="19"/>
      <c r="AB1026" s="19"/>
      <c r="FE1026" s="54"/>
    </row>
    <row r="1027" spans="1:161" s="18" customFormat="1">
      <c r="A1027" s="51"/>
      <c r="B1027" s="735"/>
      <c r="C1027" s="735"/>
      <c r="D1027" s="735"/>
      <c r="E1027" s="735"/>
      <c r="F1027" s="736"/>
      <c r="G1027" s="735"/>
      <c r="H1027" s="735"/>
      <c r="I1027" s="735"/>
      <c r="J1027" s="735"/>
      <c r="K1027" s="735"/>
      <c r="L1027" s="735"/>
      <c r="M1027" s="735"/>
      <c r="N1027" s="735"/>
      <c r="O1027" s="19"/>
      <c r="P1027" s="19"/>
      <c r="Q1027" s="19"/>
      <c r="R1027" s="19"/>
      <c r="S1027" s="19"/>
      <c r="T1027" s="19"/>
      <c r="U1027" s="19"/>
      <c r="V1027" s="19"/>
      <c r="W1027" s="19"/>
      <c r="X1027" s="19"/>
      <c r="Y1027" s="19"/>
      <c r="Z1027" s="19"/>
      <c r="AA1027" s="19"/>
      <c r="AB1027" s="19"/>
      <c r="FE1027" s="54"/>
    </row>
    <row r="1028" spans="1:161" s="18" customFormat="1">
      <c r="A1028" s="51"/>
      <c r="B1028" s="735"/>
      <c r="C1028" s="735"/>
      <c r="D1028" s="735"/>
      <c r="E1028" s="735"/>
      <c r="F1028" s="736"/>
      <c r="G1028" s="735"/>
      <c r="H1028" s="735"/>
      <c r="I1028" s="735"/>
      <c r="J1028" s="735"/>
      <c r="K1028" s="735"/>
      <c r="L1028" s="735"/>
      <c r="M1028" s="735"/>
      <c r="N1028" s="735"/>
      <c r="O1028" s="19"/>
      <c r="P1028" s="19"/>
      <c r="Q1028" s="19"/>
      <c r="R1028" s="19"/>
      <c r="S1028" s="19"/>
      <c r="T1028" s="19"/>
      <c r="U1028" s="19"/>
      <c r="V1028" s="19"/>
      <c r="W1028" s="19"/>
      <c r="X1028" s="19"/>
      <c r="Y1028" s="19"/>
      <c r="Z1028" s="19"/>
      <c r="AA1028" s="19"/>
      <c r="AB1028" s="19"/>
      <c r="FE1028" s="54"/>
    </row>
    <row r="1029" spans="1:161" s="18" customFormat="1">
      <c r="A1029" s="51"/>
      <c r="B1029" s="735"/>
      <c r="C1029" s="735"/>
      <c r="D1029" s="735"/>
      <c r="E1029" s="735"/>
      <c r="F1029" s="736"/>
      <c r="G1029" s="735"/>
      <c r="H1029" s="735"/>
      <c r="I1029" s="735"/>
      <c r="J1029" s="735"/>
      <c r="K1029" s="735"/>
      <c r="L1029" s="735"/>
      <c r="M1029" s="735"/>
      <c r="N1029" s="735"/>
      <c r="O1029" s="19"/>
      <c r="P1029" s="19"/>
      <c r="Q1029" s="19"/>
      <c r="R1029" s="19"/>
      <c r="S1029" s="19"/>
      <c r="T1029" s="19"/>
      <c r="U1029" s="19"/>
      <c r="V1029" s="19"/>
      <c r="W1029" s="19"/>
      <c r="X1029" s="19"/>
      <c r="Y1029" s="19"/>
      <c r="Z1029" s="19"/>
      <c r="AA1029" s="19"/>
      <c r="AB1029" s="19"/>
      <c r="FE1029" s="54"/>
    </row>
    <row r="1030" spans="1:161" s="18" customFormat="1">
      <c r="A1030" s="51"/>
      <c r="B1030" s="735"/>
      <c r="C1030" s="735"/>
      <c r="D1030" s="735"/>
      <c r="E1030" s="735"/>
      <c r="F1030" s="736"/>
      <c r="G1030" s="735"/>
      <c r="H1030" s="735"/>
      <c r="I1030" s="735"/>
      <c r="J1030" s="735"/>
      <c r="K1030" s="735"/>
      <c r="L1030" s="735"/>
      <c r="M1030" s="735"/>
      <c r="N1030" s="735"/>
      <c r="O1030" s="19"/>
      <c r="P1030" s="19"/>
      <c r="Q1030" s="19"/>
      <c r="R1030" s="19"/>
      <c r="S1030" s="19"/>
      <c r="T1030" s="19"/>
      <c r="U1030" s="19"/>
      <c r="V1030" s="19"/>
      <c r="W1030" s="19"/>
      <c r="X1030" s="19"/>
      <c r="Y1030" s="19"/>
      <c r="Z1030" s="19"/>
      <c r="AA1030" s="19"/>
      <c r="AB1030" s="19"/>
      <c r="FE1030" s="54"/>
    </row>
    <row r="1031" spans="1:161" s="18" customFormat="1">
      <c r="A1031" s="51"/>
      <c r="B1031" s="735"/>
      <c r="C1031" s="735"/>
      <c r="D1031" s="735"/>
      <c r="E1031" s="735"/>
      <c r="F1031" s="736"/>
      <c r="G1031" s="735"/>
      <c r="H1031" s="735"/>
      <c r="I1031" s="735"/>
      <c r="J1031" s="735"/>
      <c r="K1031" s="735"/>
      <c r="L1031" s="735"/>
      <c r="M1031" s="735"/>
      <c r="N1031" s="735"/>
      <c r="O1031" s="19"/>
      <c r="P1031" s="19"/>
      <c r="Q1031" s="19"/>
      <c r="R1031" s="19"/>
      <c r="S1031" s="19"/>
      <c r="T1031" s="19"/>
      <c r="U1031" s="19"/>
      <c r="V1031" s="19"/>
      <c r="W1031" s="19"/>
      <c r="X1031" s="19"/>
      <c r="Y1031" s="19"/>
      <c r="Z1031" s="19"/>
      <c r="AA1031" s="19"/>
      <c r="AB1031" s="19"/>
      <c r="FE1031" s="54"/>
    </row>
    <row r="1032" spans="1:161" s="18" customFormat="1">
      <c r="A1032" s="51"/>
      <c r="B1032" s="735"/>
      <c r="C1032" s="735"/>
      <c r="D1032" s="735"/>
      <c r="E1032" s="735"/>
      <c r="F1032" s="736"/>
      <c r="G1032" s="735"/>
      <c r="H1032" s="735"/>
      <c r="I1032" s="735"/>
      <c r="J1032" s="735"/>
      <c r="K1032" s="735"/>
      <c r="L1032" s="735"/>
      <c r="M1032" s="735"/>
      <c r="N1032" s="735"/>
      <c r="O1032" s="19"/>
      <c r="P1032" s="19"/>
      <c r="Q1032" s="19"/>
      <c r="R1032" s="19"/>
      <c r="S1032" s="19"/>
      <c r="T1032" s="19"/>
      <c r="U1032" s="19"/>
      <c r="V1032" s="19"/>
      <c r="W1032" s="19"/>
      <c r="X1032" s="19"/>
      <c r="Y1032" s="19"/>
      <c r="Z1032" s="19"/>
      <c r="AA1032" s="19"/>
      <c r="AB1032" s="19"/>
      <c r="FE1032" s="54"/>
    </row>
    <row r="1033" spans="1:161" s="18" customFormat="1">
      <c r="A1033" s="51"/>
      <c r="B1033" s="735"/>
      <c r="C1033" s="735"/>
      <c r="D1033" s="735"/>
      <c r="E1033" s="735"/>
      <c r="F1033" s="736"/>
      <c r="G1033" s="735"/>
      <c r="H1033" s="735"/>
      <c r="I1033" s="735"/>
      <c r="J1033" s="735"/>
      <c r="K1033" s="735"/>
      <c r="L1033" s="735"/>
      <c r="M1033" s="735"/>
      <c r="N1033" s="735"/>
      <c r="O1033" s="19"/>
      <c r="P1033" s="19"/>
      <c r="Q1033" s="19"/>
      <c r="R1033" s="19"/>
      <c r="S1033" s="19"/>
      <c r="T1033" s="19"/>
      <c r="U1033" s="19"/>
      <c r="V1033" s="19"/>
      <c r="W1033" s="19"/>
      <c r="X1033" s="19"/>
      <c r="Y1033" s="19"/>
      <c r="Z1033" s="19"/>
      <c r="AA1033" s="19"/>
      <c r="AB1033" s="19"/>
      <c r="FE1033" s="54"/>
    </row>
    <row r="1034" spans="1:161" s="18" customFormat="1">
      <c r="A1034" s="51"/>
      <c r="B1034" s="735"/>
      <c r="C1034" s="735"/>
      <c r="D1034" s="735"/>
      <c r="E1034" s="735"/>
      <c r="F1034" s="736"/>
      <c r="G1034" s="735"/>
      <c r="H1034" s="735"/>
      <c r="I1034" s="735"/>
      <c r="J1034" s="735"/>
      <c r="K1034" s="735"/>
      <c r="L1034" s="735"/>
      <c r="M1034" s="735"/>
      <c r="N1034" s="735"/>
      <c r="O1034" s="19"/>
      <c r="P1034" s="19"/>
      <c r="Q1034" s="19"/>
      <c r="R1034" s="19"/>
      <c r="S1034" s="19"/>
      <c r="T1034" s="19"/>
      <c r="U1034" s="19"/>
      <c r="V1034" s="19"/>
      <c r="W1034" s="19"/>
      <c r="X1034" s="19"/>
      <c r="Y1034" s="19"/>
      <c r="Z1034" s="19"/>
      <c r="AA1034" s="19"/>
      <c r="AB1034" s="19"/>
      <c r="FE1034" s="54"/>
    </row>
    <row r="1035" spans="1:161" s="18" customFormat="1">
      <c r="A1035" s="51"/>
      <c r="B1035" s="735"/>
      <c r="C1035" s="735"/>
      <c r="D1035" s="735"/>
      <c r="E1035" s="735"/>
      <c r="F1035" s="736"/>
      <c r="G1035" s="735"/>
      <c r="H1035" s="735"/>
      <c r="I1035" s="735"/>
      <c r="J1035" s="735"/>
      <c r="K1035" s="735"/>
      <c r="L1035" s="735"/>
      <c r="M1035" s="735"/>
      <c r="N1035" s="735"/>
      <c r="O1035" s="19"/>
      <c r="P1035" s="19"/>
      <c r="Q1035" s="19"/>
      <c r="R1035" s="19"/>
      <c r="S1035" s="19"/>
      <c r="T1035" s="19"/>
      <c r="U1035" s="19"/>
      <c r="V1035" s="19"/>
      <c r="W1035" s="19"/>
      <c r="X1035" s="19"/>
      <c r="Y1035" s="19"/>
      <c r="Z1035" s="19"/>
      <c r="AA1035" s="19"/>
      <c r="AB1035" s="19"/>
      <c r="FE1035" s="54"/>
    </row>
    <row r="1036" spans="1:161" s="18" customFormat="1">
      <c r="A1036" s="51"/>
      <c r="B1036" s="735"/>
      <c r="C1036" s="735"/>
      <c r="D1036" s="735"/>
      <c r="E1036" s="735"/>
      <c r="F1036" s="736"/>
      <c r="G1036" s="735"/>
      <c r="H1036" s="735"/>
      <c r="I1036" s="735"/>
      <c r="J1036" s="735"/>
      <c r="K1036" s="735"/>
      <c r="L1036" s="735"/>
      <c r="M1036" s="735"/>
      <c r="N1036" s="735"/>
      <c r="O1036" s="19"/>
      <c r="P1036" s="19"/>
      <c r="Q1036" s="19"/>
      <c r="R1036" s="19"/>
      <c r="S1036" s="19"/>
      <c r="T1036" s="19"/>
      <c r="U1036" s="19"/>
      <c r="V1036" s="19"/>
      <c r="W1036" s="19"/>
      <c r="X1036" s="19"/>
      <c r="Y1036" s="19"/>
      <c r="Z1036" s="19"/>
      <c r="AA1036" s="19"/>
      <c r="AB1036" s="19"/>
      <c r="FE1036" s="54"/>
    </row>
    <row r="1037" spans="1:161" s="18" customFormat="1">
      <c r="A1037" s="51"/>
      <c r="B1037" s="735"/>
      <c r="C1037" s="735"/>
      <c r="D1037" s="735"/>
      <c r="E1037" s="735"/>
      <c r="F1037" s="736"/>
      <c r="G1037" s="735"/>
      <c r="H1037" s="735"/>
      <c r="I1037" s="735"/>
      <c r="J1037" s="735"/>
      <c r="K1037" s="735"/>
      <c r="L1037" s="735"/>
      <c r="M1037" s="735"/>
      <c r="N1037" s="735"/>
      <c r="O1037" s="19"/>
      <c r="P1037" s="19"/>
      <c r="Q1037" s="19"/>
      <c r="R1037" s="19"/>
      <c r="S1037" s="19"/>
      <c r="T1037" s="19"/>
      <c r="U1037" s="19"/>
      <c r="V1037" s="19"/>
      <c r="W1037" s="19"/>
      <c r="X1037" s="19"/>
      <c r="Y1037" s="19"/>
      <c r="Z1037" s="19"/>
      <c r="AA1037" s="19"/>
      <c r="AB1037" s="19"/>
      <c r="FE1037" s="54"/>
    </row>
    <row r="1038" spans="1:161" s="18" customFormat="1">
      <c r="A1038" s="51"/>
      <c r="B1038" s="735"/>
      <c r="C1038" s="735"/>
      <c r="D1038" s="735"/>
      <c r="E1038" s="735"/>
      <c r="F1038" s="736"/>
      <c r="G1038" s="735"/>
      <c r="H1038" s="735"/>
      <c r="I1038" s="735"/>
      <c r="J1038" s="735"/>
      <c r="K1038" s="735"/>
      <c r="L1038" s="735"/>
      <c r="M1038" s="735"/>
      <c r="N1038" s="735"/>
      <c r="O1038" s="19"/>
      <c r="P1038" s="19"/>
      <c r="Q1038" s="19"/>
      <c r="R1038" s="19"/>
      <c r="S1038" s="19"/>
      <c r="T1038" s="19"/>
      <c r="U1038" s="19"/>
      <c r="V1038" s="19"/>
      <c r="W1038" s="19"/>
      <c r="X1038" s="19"/>
      <c r="Y1038" s="19"/>
      <c r="Z1038" s="19"/>
      <c r="AA1038" s="19"/>
      <c r="AB1038" s="19"/>
      <c r="FE1038" s="54"/>
    </row>
    <row r="1039" spans="1:161" s="18" customFormat="1">
      <c r="A1039" s="51"/>
      <c r="B1039" s="735"/>
      <c r="C1039" s="735"/>
      <c r="D1039" s="735"/>
      <c r="E1039" s="735"/>
      <c r="F1039" s="736"/>
      <c r="G1039" s="735"/>
      <c r="H1039" s="735"/>
      <c r="I1039" s="735"/>
      <c r="J1039" s="735"/>
      <c r="K1039" s="735"/>
      <c r="L1039" s="735"/>
      <c r="M1039" s="735"/>
      <c r="N1039" s="735"/>
      <c r="O1039" s="19"/>
      <c r="P1039" s="19"/>
      <c r="Q1039" s="19"/>
      <c r="R1039" s="19"/>
      <c r="S1039" s="19"/>
      <c r="T1039" s="19"/>
      <c r="U1039" s="19"/>
      <c r="V1039" s="19"/>
      <c r="W1039" s="19"/>
      <c r="X1039" s="19"/>
      <c r="Y1039" s="19"/>
      <c r="Z1039" s="19"/>
      <c r="AA1039" s="19"/>
      <c r="AB1039" s="19"/>
      <c r="FE1039" s="54"/>
    </row>
    <row r="1040" spans="1:161" s="18" customFormat="1">
      <c r="A1040" s="51"/>
      <c r="B1040" s="735"/>
      <c r="C1040" s="735"/>
      <c r="D1040" s="735"/>
      <c r="E1040" s="735"/>
      <c r="F1040" s="736"/>
      <c r="G1040" s="735"/>
      <c r="H1040" s="735"/>
      <c r="I1040" s="735"/>
      <c r="J1040" s="735"/>
      <c r="K1040" s="735"/>
      <c r="L1040" s="735"/>
      <c r="M1040" s="735"/>
      <c r="N1040" s="735"/>
      <c r="O1040" s="19"/>
      <c r="P1040" s="19"/>
      <c r="Q1040" s="19"/>
      <c r="R1040" s="19"/>
      <c r="S1040" s="19"/>
      <c r="T1040" s="19"/>
      <c r="U1040" s="19"/>
      <c r="V1040" s="19"/>
      <c r="W1040" s="19"/>
      <c r="X1040" s="19"/>
      <c r="Y1040" s="19"/>
      <c r="Z1040" s="19"/>
      <c r="AA1040" s="19"/>
      <c r="AB1040" s="19"/>
      <c r="FE1040" s="54"/>
    </row>
    <row r="1041" spans="1:161" s="18" customFormat="1">
      <c r="A1041" s="51"/>
      <c r="B1041" s="735"/>
      <c r="C1041" s="735"/>
      <c r="D1041" s="735"/>
      <c r="E1041" s="735"/>
      <c r="F1041" s="736"/>
      <c r="G1041" s="735"/>
      <c r="H1041" s="735"/>
      <c r="I1041" s="735"/>
      <c r="J1041" s="735"/>
      <c r="K1041" s="735"/>
      <c r="L1041" s="735"/>
      <c r="M1041" s="735"/>
      <c r="N1041" s="735"/>
      <c r="O1041" s="19"/>
      <c r="P1041" s="19"/>
      <c r="Q1041" s="19"/>
      <c r="R1041" s="19"/>
      <c r="S1041" s="19"/>
      <c r="T1041" s="19"/>
      <c r="U1041" s="19"/>
      <c r="V1041" s="19"/>
      <c r="W1041" s="19"/>
      <c r="X1041" s="19"/>
      <c r="Y1041" s="19"/>
      <c r="Z1041" s="19"/>
      <c r="AA1041" s="19"/>
      <c r="AB1041" s="19"/>
      <c r="FE1041" s="54"/>
    </row>
    <row r="1042" spans="1:161" s="18" customFormat="1">
      <c r="A1042" s="51"/>
      <c r="B1042" s="735"/>
      <c r="C1042" s="735"/>
      <c r="D1042" s="735"/>
      <c r="E1042" s="735"/>
      <c r="F1042" s="736"/>
      <c r="G1042" s="735"/>
      <c r="H1042" s="735"/>
      <c r="I1042" s="735"/>
      <c r="J1042" s="735"/>
      <c r="K1042" s="735"/>
      <c r="L1042" s="735"/>
      <c r="M1042" s="735"/>
      <c r="N1042" s="735"/>
      <c r="O1042" s="19"/>
      <c r="P1042" s="19"/>
      <c r="Q1042" s="19"/>
      <c r="R1042" s="19"/>
      <c r="S1042" s="19"/>
      <c r="T1042" s="19"/>
      <c r="U1042" s="19"/>
      <c r="V1042" s="19"/>
      <c r="W1042" s="19"/>
      <c r="X1042" s="19"/>
      <c r="Y1042" s="19"/>
      <c r="Z1042" s="19"/>
      <c r="AA1042" s="19"/>
      <c r="AB1042" s="19"/>
      <c r="FE1042" s="54"/>
    </row>
    <row r="1043" spans="1:161" s="18" customFormat="1">
      <c r="A1043" s="51"/>
      <c r="B1043" s="735"/>
      <c r="C1043" s="735"/>
      <c r="D1043" s="735"/>
      <c r="E1043" s="735"/>
      <c r="F1043" s="736"/>
      <c r="G1043" s="735"/>
      <c r="H1043" s="735"/>
      <c r="I1043" s="735"/>
      <c r="J1043" s="735"/>
      <c r="K1043" s="735"/>
      <c r="L1043" s="735"/>
      <c r="M1043" s="735"/>
      <c r="N1043" s="735"/>
      <c r="O1043" s="19"/>
      <c r="P1043" s="19"/>
      <c r="Q1043" s="19"/>
      <c r="R1043" s="19"/>
      <c r="S1043" s="19"/>
      <c r="T1043" s="19"/>
      <c r="U1043" s="19"/>
      <c r="V1043" s="19"/>
      <c r="W1043" s="19"/>
      <c r="X1043" s="19"/>
      <c r="Y1043" s="19"/>
      <c r="Z1043" s="19"/>
      <c r="AA1043" s="19"/>
      <c r="AB1043" s="19"/>
      <c r="FE1043" s="54"/>
    </row>
    <row r="1044" spans="1:161" s="18" customFormat="1">
      <c r="A1044" s="51"/>
      <c r="B1044" s="735"/>
      <c r="C1044" s="735"/>
      <c r="D1044" s="735"/>
      <c r="E1044" s="735"/>
      <c r="F1044" s="736"/>
      <c r="G1044" s="735"/>
      <c r="H1044" s="735"/>
      <c r="I1044" s="735"/>
      <c r="J1044" s="735"/>
      <c r="K1044" s="735"/>
      <c r="L1044" s="735"/>
      <c r="M1044" s="735"/>
      <c r="N1044" s="735"/>
      <c r="O1044" s="19"/>
      <c r="P1044" s="19"/>
      <c r="Q1044" s="19"/>
      <c r="R1044" s="19"/>
      <c r="S1044" s="19"/>
      <c r="T1044" s="19"/>
      <c r="U1044" s="19"/>
      <c r="V1044" s="19"/>
      <c r="W1044" s="19"/>
      <c r="X1044" s="19"/>
      <c r="Y1044" s="19"/>
      <c r="Z1044" s="19"/>
      <c r="AA1044" s="19"/>
      <c r="AB1044" s="19"/>
      <c r="FE1044" s="54"/>
    </row>
    <row r="1045" spans="1:161" s="18" customFormat="1">
      <c r="A1045" s="51"/>
      <c r="B1045" s="735"/>
      <c r="C1045" s="735"/>
      <c r="D1045" s="735"/>
      <c r="E1045" s="735"/>
      <c r="F1045" s="736"/>
      <c r="G1045" s="735"/>
      <c r="H1045" s="735"/>
      <c r="I1045" s="735"/>
      <c r="J1045" s="735"/>
      <c r="K1045" s="735"/>
      <c r="L1045" s="735"/>
      <c r="M1045" s="735"/>
      <c r="N1045" s="735"/>
      <c r="O1045" s="19"/>
      <c r="P1045" s="19"/>
      <c r="Q1045" s="19"/>
      <c r="R1045" s="19"/>
      <c r="S1045" s="19"/>
      <c r="T1045" s="19"/>
      <c r="U1045" s="19"/>
      <c r="V1045" s="19"/>
      <c r="W1045" s="19"/>
      <c r="X1045" s="19"/>
      <c r="Y1045" s="19"/>
      <c r="Z1045" s="19"/>
      <c r="AA1045" s="19"/>
      <c r="AB1045" s="19"/>
      <c r="FE1045" s="54"/>
    </row>
    <row r="1046" spans="1:161" s="18" customFormat="1">
      <c r="A1046" s="51"/>
      <c r="B1046" s="735"/>
      <c r="C1046" s="735"/>
      <c r="D1046" s="735"/>
      <c r="E1046" s="735"/>
      <c r="F1046" s="736"/>
      <c r="G1046" s="735"/>
      <c r="H1046" s="735"/>
      <c r="I1046" s="735"/>
      <c r="J1046" s="735"/>
      <c r="K1046" s="735"/>
      <c r="L1046" s="735"/>
      <c r="M1046" s="735"/>
      <c r="N1046" s="735"/>
      <c r="O1046" s="19"/>
      <c r="P1046" s="19"/>
      <c r="Q1046" s="19"/>
      <c r="R1046" s="19"/>
      <c r="S1046" s="19"/>
      <c r="T1046" s="19"/>
      <c r="U1046" s="19"/>
      <c r="V1046" s="19"/>
      <c r="W1046" s="19"/>
      <c r="X1046" s="19"/>
      <c r="Y1046" s="19"/>
      <c r="Z1046" s="19"/>
      <c r="AA1046" s="19"/>
      <c r="AB1046" s="19"/>
      <c r="FE1046" s="54"/>
    </row>
    <row r="1047" spans="1:161" s="18" customFormat="1">
      <c r="A1047" s="51"/>
      <c r="B1047" s="735"/>
      <c r="C1047" s="735"/>
      <c r="D1047" s="735"/>
      <c r="E1047" s="735"/>
      <c r="F1047" s="736"/>
      <c r="G1047" s="735"/>
      <c r="H1047" s="735"/>
      <c r="I1047" s="735"/>
      <c r="J1047" s="735"/>
      <c r="K1047" s="735"/>
      <c r="L1047" s="735"/>
      <c r="M1047" s="735"/>
      <c r="N1047" s="735"/>
      <c r="O1047" s="19"/>
      <c r="P1047" s="19"/>
      <c r="Q1047" s="19"/>
      <c r="R1047" s="19"/>
      <c r="S1047" s="19"/>
      <c r="T1047" s="19"/>
      <c r="U1047" s="19"/>
      <c r="V1047" s="19"/>
      <c r="W1047" s="19"/>
      <c r="X1047" s="19"/>
      <c r="Y1047" s="19"/>
      <c r="Z1047" s="19"/>
      <c r="AA1047" s="19"/>
      <c r="AB1047" s="19"/>
      <c r="FE1047" s="54"/>
    </row>
    <row r="1048" spans="1:161" s="18" customFormat="1">
      <c r="A1048" s="51"/>
      <c r="B1048" s="735"/>
      <c r="C1048" s="735"/>
      <c r="D1048" s="735"/>
      <c r="E1048" s="735"/>
      <c r="F1048" s="736"/>
      <c r="G1048" s="735"/>
      <c r="H1048" s="735"/>
      <c r="I1048" s="735"/>
      <c r="J1048" s="735"/>
      <c r="K1048" s="735"/>
      <c r="L1048" s="735"/>
      <c r="M1048" s="735"/>
      <c r="N1048" s="735"/>
      <c r="O1048" s="19"/>
      <c r="P1048" s="19"/>
      <c r="Q1048" s="19"/>
      <c r="R1048" s="19"/>
      <c r="S1048" s="19"/>
      <c r="T1048" s="19"/>
      <c r="U1048" s="19"/>
      <c r="V1048" s="19"/>
      <c r="W1048" s="19"/>
      <c r="X1048" s="19"/>
      <c r="Y1048" s="19"/>
      <c r="Z1048" s="19"/>
      <c r="AA1048" s="19"/>
      <c r="AB1048" s="19"/>
      <c r="FE1048" s="54"/>
    </row>
    <row r="1049" spans="1:161" s="18" customFormat="1">
      <c r="A1049" s="51"/>
      <c r="B1049" s="735"/>
      <c r="C1049" s="735"/>
      <c r="D1049" s="735"/>
      <c r="E1049" s="735"/>
      <c r="F1049" s="736"/>
      <c r="G1049" s="735"/>
      <c r="H1049" s="735"/>
      <c r="I1049" s="735"/>
      <c r="J1049" s="735"/>
      <c r="K1049" s="735"/>
      <c r="L1049" s="735"/>
      <c r="M1049" s="735"/>
      <c r="N1049" s="735"/>
      <c r="O1049" s="19"/>
      <c r="P1049" s="19"/>
      <c r="Q1049" s="19"/>
      <c r="R1049" s="19"/>
      <c r="S1049" s="19"/>
      <c r="T1049" s="19"/>
      <c r="U1049" s="19"/>
      <c r="V1049" s="19"/>
      <c r="W1049" s="19"/>
      <c r="X1049" s="19"/>
      <c r="Y1049" s="19"/>
      <c r="Z1049" s="19"/>
      <c r="AA1049" s="19"/>
      <c r="AB1049" s="19"/>
      <c r="FE1049" s="54"/>
    </row>
    <row r="1050" spans="1:161" s="18" customFormat="1">
      <c r="A1050" s="51"/>
      <c r="B1050" s="735"/>
      <c r="C1050" s="735"/>
      <c r="D1050" s="735"/>
      <c r="E1050" s="735"/>
      <c r="F1050" s="736"/>
      <c r="G1050" s="735"/>
      <c r="H1050" s="735"/>
      <c r="I1050" s="735"/>
      <c r="J1050" s="735"/>
      <c r="K1050" s="735"/>
      <c r="L1050" s="735"/>
      <c r="M1050" s="735"/>
      <c r="N1050" s="735"/>
      <c r="O1050" s="19"/>
      <c r="P1050" s="19"/>
      <c r="Q1050" s="19"/>
      <c r="R1050" s="19"/>
      <c r="S1050" s="19"/>
      <c r="T1050" s="19"/>
      <c r="U1050" s="19"/>
      <c r="V1050" s="19"/>
      <c r="W1050" s="19"/>
      <c r="X1050" s="19"/>
      <c r="Y1050" s="19"/>
      <c r="Z1050" s="19"/>
      <c r="AA1050" s="19"/>
      <c r="AB1050" s="19"/>
      <c r="FE1050" s="54"/>
    </row>
    <row r="1051" spans="1:161" s="18" customFormat="1">
      <c r="A1051" s="51"/>
      <c r="B1051" s="735"/>
      <c r="C1051" s="735"/>
      <c r="D1051" s="735"/>
      <c r="E1051" s="735"/>
      <c r="F1051" s="736"/>
      <c r="G1051" s="735"/>
      <c r="H1051" s="735"/>
      <c r="I1051" s="735"/>
      <c r="J1051" s="735"/>
      <c r="K1051" s="735"/>
      <c r="L1051" s="735"/>
      <c r="M1051" s="735"/>
      <c r="N1051" s="735"/>
      <c r="O1051" s="19"/>
      <c r="P1051" s="19"/>
      <c r="Q1051" s="19"/>
      <c r="R1051" s="19"/>
      <c r="S1051" s="19"/>
      <c r="T1051" s="19"/>
      <c r="U1051" s="19"/>
      <c r="V1051" s="19"/>
      <c r="W1051" s="19"/>
      <c r="X1051" s="19"/>
      <c r="Y1051" s="19"/>
      <c r="Z1051" s="19"/>
      <c r="AA1051" s="19"/>
      <c r="AB1051" s="19"/>
      <c r="FE1051" s="54"/>
    </row>
    <row r="1052" spans="1:161" s="18" customFormat="1">
      <c r="A1052" s="51"/>
      <c r="B1052" s="735"/>
      <c r="C1052" s="735"/>
      <c r="D1052" s="735"/>
      <c r="E1052" s="735"/>
      <c r="F1052" s="736"/>
      <c r="G1052" s="735"/>
      <c r="H1052" s="735"/>
      <c r="I1052" s="735"/>
      <c r="J1052" s="735"/>
      <c r="K1052" s="735"/>
      <c r="L1052" s="735"/>
      <c r="M1052" s="735"/>
      <c r="N1052" s="735"/>
      <c r="O1052" s="19"/>
      <c r="P1052" s="19"/>
      <c r="Q1052" s="19"/>
      <c r="R1052" s="19"/>
      <c r="S1052" s="19"/>
      <c r="T1052" s="19"/>
      <c r="U1052" s="19"/>
      <c r="V1052" s="19"/>
      <c r="W1052" s="19"/>
      <c r="X1052" s="19"/>
      <c r="Y1052" s="19"/>
      <c r="Z1052" s="19"/>
      <c r="AA1052" s="19"/>
      <c r="AB1052" s="19"/>
      <c r="FE1052" s="54"/>
    </row>
    <row r="1053" spans="1:161" s="18" customFormat="1">
      <c r="A1053" s="51"/>
      <c r="B1053" s="735"/>
      <c r="C1053" s="735"/>
      <c r="D1053" s="735"/>
      <c r="E1053" s="735"/>
      <c r="F1053" s="736"/>
      <c r="G1053" s="735"/>
      <c r="H1053" s="735"/>
      <c r="I1053" s="735"/>
      <c r="J1053" s="735"/>
      <c r="K1053" s="735"/>
      <c r="L1053" s="735"/>
      <c r="M1053" s="735"/>
      <c r="N1053" s="735"/>
      <c r="O1053" s="19"/>
      <c r="P1053" s="19"/>
      <c r="Q1053" s="19"/>
      <c r="R1053" s="19"/>
      <c r="S1053" s="19"/>
      <c r="T1053" s="19"/>
      <c r="U1053" s="19"/>
      <c r="V1053" s="19"/>
      <c r="W1053" s="19"/>
      <c r="X1053" s="19"/>
      <c r="Y1053" s="19"/>
      <c r="Z1053" s="19"/>
      <c r="AA1053" s="19"/>
      <c r="AB1053" s="19"/>
      <c r="FE1053" s="54"/>
    </row>
    <row r="1054" spans="1:161" s="18" customFormat="1">
      <c r="A1054" s="51"/>
      <c r="B1054" s="735"/>
      <c r="C1054" s="735"/>
      <c r="D1054" s="735"/>
      <c r="E1054" s="735"/>
      <c r="F1054" s="736"/>
      <c r="G1054" s="735"/>
      <c r="H1054" s="735"/>
      <c r="I1054" s="735"/>
      <c r="J1054" s="735"/>
      <c r="K1054" s="735"/>
      <c r="L1054" s="735"/>
      <c r="M1054" s="735"/>
      <c r="N1054" s="735"/>
      <c r="O1054" s="19"/>
      <c r="P1054" s="19"/>
      <c r="Q1054" s="19"/>
      <c r="R1054" s="19"/>
      <c r="S1054" s="19"/>
      <c r="T1054" s="19"/>
      <c r="U1054" s="19"/>
      <c r="V1054" s="19"/>
      <c r="W1054" s="19"/>
      <c r="X1054" s="19"/>
      <c r="Y1054" s="19"/>
      <c r="Z1054" s="19"/>
      <c r="AA1054" s="19"/>
      <c r="AB1054" s="19"/>
      <c r="FE1054" s="54"/>
    </row>
    <row r="1055" spans="1:161" s="18" customFormat="1">
      <c r="A1055" s="51"/>
      <c r="B1055" s="735"/>
      <c r="C1055" s="735"/>
      <c r="D1055" s="735"/>
      <c r="E1055" s="735"/>
      <c r="F1055" s="736"/>
      <c r="G1055" s="735"/>
      <c r="H1055" s="735"/>
      <c r="I1055" s="735"/>
      <c r="J1055" s="735"/>
      <c r="K1055" s="735"/>
      <c r="L1055" s="735"/>
      <c r="M1055" s="735"/>
      <c r="N1055" s="735"/>
      <c r="O1055" s="19"/>
      <c r="P1055" s="19"/>
      <c r="Q1055" s="19"/>
      <c r="R1055" s="19"/>
      <c r="S1055" s="19"/>
      <c r="T1055" s="19"/>
      <c r="U1055" s="19"/>
      <c r="V1055" s="19"/>
      <c r="W1055" s="19"/>
      <c r="X1055" s="19"/>
      <c r="Y1055" s="19"/>
      <c r="Z1055" s="19"/>
      <c r="AA1055" s="19"/>
      <c r="AB1055" s="19"/>
      <c r="FE1055" s="54"/>
    </row>
    <row r="1056" spans="1:161" s="18" customFormat="1">
      <c r="A1056" s="51"/>
      <c r="B1056" s="735"/>
      <c r="C1056" s="735"/>
      <c r="D1056" s="735"/>
      <c r="E1056" s="735"/>
      <c r="F1056" s="736"/>
      <c r="G1056" s="735"/>
      <c r="H1056" s="735"/>
      <c r="I1056" s="735"/>
      <c r="J1056" s="735"/>
      <c r="K1056" s="735"/>
      <c r="L1056" s="735"/>
      <c r="M1056" s="735"/>
      <c r="N1056" s="735"/>
      <c r="O1056" s="19"/>
      <c r="P1056" s="19"/>
      <c r="Q1056" s="19"/>
      <c r="R1056" s="19"/>
      <c r="S1056" s="19"/>
      <c r="T1056" s="19"/>
      <c r="U1056" s="19"/>
      <c r="V1056" s="19"/>
      <c r="W1056" s="19"/>
      <c r="X1056" s="19"/>
      <c r="Y1056" s="19"/>
      <c r="Z1056" s="19"/>
      <c r="AA1056" s="19"/>
      <c r="AB1056" s="19"/>
      <c r="FE1056" s="54"/>
    </row>
    <row r="1057" spans="1:161" s="18" customFormat="1">
      <c r="A1057" s="51"/>
      <c r="B1057" s="735"/>
      <c r="C1057" s="735"/>
      <c r="D1057" s="735"/>
      <c r="E1057" s="735"/>
      <c r="F1057" s="736"/>
      <c r="G1057" s="735"/>
      <c r="H1057" s="735"/>
      <c r="I1057" s="735"/>
      <c r="J1057" s="735"/>
      <c r="K1057" s="735"/>
      <c r="L1057" s="735"/>
      <c r="M1057" s="735"/>
      <c r="N1057" s="735"/>
      <c r="O1057" s="19"/>
      <c r="P1057" s="19"/>
      <c r="Q1057" s="19"/>
      <c r="R1057" s="19"/>
      <c r="S1057" s="19"/>
      <c r="T1057" s="19"/>
      <c r="U1057" s="19"/>
      <c r="V1057" s="19"/>
      <c r="W1057" s="19"/>
      <c r="X1057" s="19"/>
      <c r="Y1057" s="19"/>
      <c r="Z1057" s="19"/>
      <c r="AA1057" s="19"/>
      <c r="AB1057" s="19"/>
      <c r="FE1057" s="54"/>
    </row>
    <row r="1058" spans="1:161" s="18" customFormat="1">
      <c r="A1058" s="51"/>
      <c r="B1058" s="735"/>
      <c r="C1058" s="735"/>
      <c r="D1058" s="735"/>
      <c r="E1058" s="735"/>
      <c r="F1058" s="736"/>
      <c r="G1058" s="735"/>
      <c r="H1058" s="735"/>
      <c r="I1058" s="735"/>
      <c r="J1058" s="735"/>
      <c r="K1058" s="735"/>
      <c r="L1058" s="735"/>
      <c r="M1058" s="735"/>
      <c r="N1058" s="735"/>
      <c r="O1058" s="19"/>
      <c r="P1058" s="19"/>
      <c r="Q1058" s="19"/>
      <c r="R1058" s="19"/>
      <c r="S1058" s="19"/>
      <c r="T1058" s="19"/>
      <c r="U1058" s="19"/>
      <c r="V1058" s="19"/>
      <c r="W1058" s="19"/>
      <c r="X1058" s="19"/>
      <c r="Y1058" s="19"/>
      <c r="Z1058" s="19"/>
      <c r="AA1058" s="19"/>
      <c r="AB1058" s="19"/>
      <c r="FE1058" s="54"/>
    </row>
    <row r="1059" spans="1:161" s="18" customFormat="1">
      <c r="A1059" s="51"/>
      <c r="B1059" s="735"/>
      <c r="C1059" s="735"/>
      <c r="D1059" s="735"/>
      <c r="E1059" s="735"/>
      <c r="F1059" s="736"/>
      <c r="G1059" s="735"/>
      <c r="H1059" s="735"/>
      <c r="I1059" s="735"/>
      <c r="J1059" s="735"/>
      <c r="K1059" s="735"/>
      <c r="L1059" s="735"/>
      <c r="M1059" s="735"/>
      <c r="N1059" s="735"/>
      <c r="O1059" s="19"/>
      <c r="P1059" s="19"/>
      <c r="Q1059" s="19"/>
      <c r="R1059" s="19"/>
      <c r="S1059" s="19"/>
      <c r="T1059" s="19"/>
      <c r="U1059" s="19"/>
      <c r="V1059" s="19"/>
      <c r="W1059" s="19"/>
      <c r="X1059" s="19"/>
      <c r="Y1059" s="19"/>
      <c r="Z1059" s="19"/>
      <c r="AA1059" s="19"/>
      <c r="AB1059" s="19"/>
      <c r="FE1059" s="54"/>
    </row>
    <row r="1060" spans="1:161" s="18" customFormat="1">
      <c r="A1060" s="51"/>
      <c r="B1060" s="735"/>
      <c r="C1060" s="735"/>
      <c r="D1060" s="735"/>
      <c r="E1060" s="735"/>
      <c r="F1060" s="736"/>
      <c r="G1060" s="735"/>
      <c r="H1060" s="735"/>
      <c r="I1060" s="735"/>
      <c r="J1060" s="735"/>
      <c r="K1060" s="735"/>
      <c r="L1060" s="735"/>
      <c r="M1060" s="735"/>
      <c r="N1060" s="735"/>
      <c r="O1060" s="19"/>
      <c r="P1060" s="19"/>
      <c r="Q1060" s="19"/>
      <c r="R1060" s="19"/>
      <c r="S1060" s="19"/>
      <c r="T1060" s="19"/>
      <c r="U1060" s="19"/>
      <c r="V1060" s="19"/>
      <c r="W1060" s="19"/>
      <c r="X1060" s="19"/>
      <c r="Y1060" s="19"/>
      <c r="Z1060" s="19"/>
      <c r="AA1060" s="19"/>
      <c r="AB1060" s="19"/>
      <c r="FE1060" s="54"/>
    </row>
    <row r="1061" spans="1:161" s="18" customFormat="1">
      <c r="A1061" s="51"/>
      <c r="B1061" s="735"/>
      <c r="C1061" s="735"/>
      <c r="D1061" s="735"/>
      <c r="E1061" s="735"/>
      <c r="F1061" s="736"/>
      <c r="G1061" s="735"/>
      <c r="H1061" s="735"/>
      <c r="I1061" s="735"/>
      <c r="J1061" s="735"/>
      <c r="K1061" s="735"/>
      <c r="L1061" s="735"/>
      <c r="M1061" s="735"/>
      <c r="N1061" s="735"/>
      <c r="O1061" s="19"/>
      <c r="P1061" s="19"/>
      <c r="Q1061" s="19"/>
      <c r="R1061" s="19"/>
      <c r="S1061" s="19"/>
      <c r="T1061" s="19"/>
      <c r="U1061" s="19"/>
      <c r="V1061" s="19"/>
      <c r="W1061" s="19"/>
      <c r="X1061" s="19"/>
      <c r="Y1061" s="19"/>
      <c r="Z1061" s="19"/>
      <c r="AA1061" s="19"/>
      <c r="AB1061" s="19"/>
      <c r="FE1061" s="54"/>
    </row>
    <row r="1062" spans="1:161" s="18" customFormat="1">
      <c r="A1062" s="51"/>
      <c r="B1062" s="735"/>
      <c r="C1062" s="735"/>
      <c r="D1062" s="735"/>
      <c r="E1062" s="735"/>
      <c r="F1062" s="736"/>
      <c r="G1062" s="735"/>
      <c r="H1062" s="735"/>
      <c r="I1062" s="735"/>
      <c r="J1062" s="735"/>
      <c r="K1062" s="735"/>
      <c r="L1062" s="735"/>
      <c r="M1062" s="735"/>
      <c r="N1062" s="735"/>
      <c r="O1062" s="19"/>
      <c r="P1062" s="19"/>
      <c r="Q1062" s="19"/>
      <c r="R1062" s="19"/>
      <c r="S1062" s="19"/>
      <c r="T1062" s="19"/>
      <c r="U1062" s="19"/>
      <c r="V1062" s="19"/>
      <c r="W1062" s="19"/>
      <c r="X1062" s="19"/>
      <c r="Y1062" s="19"/>
      <c r="Z1062" s="19"/>
      <c r="AA1062" s="19"/>
      <c r="AB1062" s="19"/>
      <c r="FE1062" s="54"/>
    </row>
    <row r="1063" spans="1:161" s="18" customFormat="1">
      <c r="A1063" s="51"/>
      <c r="B1063" s="735"/>
      <c r="C1063" s="735"/>
      <c r="D1063" s="735"/>
      <c r="E1063" s="735"/>
      <c r="F1063" s="736"/>
      <c r="G1063" s="735"/>
      <c r="H1063" s="735"/>
      <c r="I1063" s="735"/>
      <c r="J1063" s="735"/>
      <c r="K1063" s="735"/>
      <c r="L1063" s="735"/>
      <c r="M1063" s="735"/>
      <c r="N1063" s="735"/>
      <c r="O1063" s="19"/>
      <c r="P1063" s="19"/>
      <c r="Q1063" s="19"/>
      <c r="R1063" s="19"/>
      <c r="S1063" s="19"/>
      <c r="T1063" s="19"/>
      <c r="U1063" s="19"/>
      <c r="V1063" s="19"/>
      <c r="W1063" s="19"/>
      <c r="X1063" s="19"/>
      <c r="Y1063" s="19"/>
      <c r="Z1063" s="19"/>
      <c r="AA1063" s="19"/>
      <c r="AB1063" s="19"/>
      <c r="FE1063" s="54"/>
    </row>
    <row r="1064" spans="1:161" s="18" customFormat="1">
      <c r="A1064" s="51"/>
      <c r="B1064" s="735"/>
      <c r="C1064" s="735"/>
      <c r="D1064" s="735"/>
      <c r="E1064" s="735"/>
      <c r="F1064" s="736"/>
      <c r="G1064" s="735"/>
      <c r="H1064" s="735"/>
      <c r="I1064" s="735"/>
      <c r="J1064" s="735"/>
      <c r="K1064" s="735"/>
      <c r="L1064" s="735"/>
      <c r="M1064" s="735"/>
      <c r="N1064" s="735"/>
      <c r="O1064" s="19"/>
      <c r="P1064" s="19"/>
      <c r="Q1064" s="19"/>
      <c r="R1064" s="19"/>
      <c r="S1064" s="19"/>
      <c r="T1064" s="19"/>
      <c r="U1064" s="19"/>
      <c r="V1064" s="19"/>
      <c r="W1064" s="19"/>
      <c r="X1064" s="19"/>
      <c r="Y1064" s="19"/>
      <c r="Z1064" s="19"/>
      <c r="AA1064" s="19"/>
      <c r="AB1064" s="19"/>
      <c r="FE1064" s="54"/>
    </row>
    <row r="1065" spans="1:161" s="18" customFormat="1">
      <c r="A1065" s="51"/>
      <c r="B1065" s="735"/>
      <c r="C1065" s="735"/>
      <c r="D1065" s="735"/>
      <c r="E1065" s="735"/>
      <c r="F1065" s="736"/>
      <c r="G1065" s="735"/>
      <c r="H1065" s="735"/>
      <c r="I1065" s="735"/>
      <c r="J1065" s="735"/>
      <c r="K1065" s="735"/>
      <c r="L1065" s="735"/>
      <c r="M1065" s="735"/>
      <c r="N1065" s="735"/>
      <c r="O1065" s="19"/>
      <c r="P1065" s="19"/>
      <c r="Q1065" s="19"/>
      <c r="R1065" s="19"/>
      <c r="S1065" s="19"/>
      <c r="T1065" s="19"/>
      <c r="U1065" s="19"/>
      <c r="V1065" s="19"/>
      <c r="W1065" s="19"/>
      <c r="X1065" s="19"/>
      <c r="Y1065" s="19"/>
      <c r="Z1065" s="19"/>
      <c r="AA1065" s="19"/>
      <c r="AB1065" s="19"/>
      <c r="FE1065" s="54"/>
    </row>
    <row r="1066" spans="1:161" s="18" customFormat="1">
      <c r="A1066" s="51"/>
      <c r="B1066" s="735"/>
      <c r="C1066" s="735"/>
      <c r="D1066" s="735"/>
      <c r="E1066" s="735"/>
      <c r="F1066" s="736"/>
      <c r="G1066" s="735"/>
      <c r="H1066" s="735"/>
      <c r="I1066" s="735"/>
      <c r="J1066" s="735"/>
      <c r="K1066" s="735"/>
      <c r="L1066" s="735"/>
      <c r="M1066" s="735"/>
      <c r="N1066" s="735"/>
      <c r="O1066" s="19"/>
      <c r="P1066" s="19"/>
      <c r="Q1066" s="19"/>
      <c r="R1066" s="19"/>
      <c r="S1066" s="19"/>
      <c r="T1066" s="19"/>
      <c r="U1066" s="19"/>
      <c r="V1066" s="19"/>
      <c r="W1066" s="19"/>
      <c r="X1066" s="19"/>
      <c r="Y1066" s="19"/>
      <c r="Z1066" s="19"/>
      <c r="AA1066" s="19"/>
      <c r="AB1066" s="19"/>
      <c r="FE1066" s="54"/>
    </row>
    <row r="1067" spans="1:161" s="18" customFormat="1">
      <c r="A1067" s="51"/>
      <c r="B1067" s="735"/>
      <c r="C1067" s="735"/>
      <c r="D1067" s="735"/>
      <c r="E1067" s="735"/>
      <c r="F1067" s="736"/>
      <c r="G1067" s="735"/>
      <c r="H1067" s="735"/>
      <c r="I1067" s="735"/>
      <c r="J1067" s="735"/>
      <c r="K1067" s="735"/>
      <c r="L1067" s="735"/>
      <c r="M1067" s="735"/>
      <c r="N1067" s="735"/>
      <c r="O1067" s="19"/>
      <c r="P1067" s="19"/>
      <c r="Q1067" s="19"/>
      <c r="R1067" s="19"/>
      <c r="S1067" s="19"/>
      <c r="T1067" s="19"/>
      <c r="U1067" s="19"/>
      <c r="V1067" s="19"/>
      <c r="W1067" s="19"/>
      <c r="X1067" s="19"/>
      <c r="Y1067" s="19"/>
      <c r="Z1067" s="19"/>
      <c r="AA1067" s="19"/>
      <c r="AB1067" s="19"/>
      <c r="FE1067" s="54"/>
    </row>
    <row r="1068" spans="1:161" s="18" customFormat="1">
      <c r="A1068" s="51"/>
      <c r="B1068" s="735"/>
      <c r="C1068" s="735"/>
      <c r="D1068" s="735"/>
      <c r="E1068" s="735"/>
      <c r="F1068" s="736"/>
      <c r="G1068" s="735"/>
      <c r="H1068" s="735"/>
      <c r="I1068" s="735"/>
      <c r="J1068" s="735"/>
      <c r="K1068" s="735"/>
      <c r="L1068" s="735"/>
      <c r="M1068" s="735"/>
      <c r="N1068" s="735"/>
      <c r="O1068" s="19"/>
      <c r="P1068" s="19"/>
      <c r="Q1068" s="19"/>
      <c r="R1068" s="19"/>
      <c r="S1068" s="19"/>
      <c r="T1068" s="19"/>
      <c r="U1068" s="19"/>
      <c r="V1068" s="19"/>
      <c r="W1068" s="19"/>
      <c r="X1068" s="19"/>
      <c r="Y1068" s="19"/>
      <c r="Z1068" s="19"/>
      <c r="AA1068" s="19"/>
      <c r="AB1068" s="19"/>
      <c r="FE1068" s="54"/>
    </row>
    <row r="1069" spans="1:161" s="18" customFormat="1">
      <c r="A1069" s="51"/>
      <c r="B1069" s="735"/>
      <c r="C1069" s="735"/>
      <c r="D1069" s="735"/>
      <c r="E1069" s="735"/>
      <c r="F1069" s="736"/>
      <c r="G1069" s="735"/>
      <c r="H1069" s="735"/>
      <c r="I1069" s="735"/>
      <c r="J1069" s="735"/>
      <c r="K1069" s="735"/>
      <c r="L1069" s="735"/>
      <c r="M1069" s="735"/>
      <c r="N1069" s="735"/>
      <c r="O1069" s="19"/>
      <c r="P1069" s="19"/>
      <c r="Q1069" s="19"/>
      <c r="R1069" s="19"/>
      <c r="S1069" s="19"/>
      <c r="T1069" s="19"/>
      <c r="U1069" s="19"/>
      <c r="V1069" s="19"/>
      <c r="W1069" s="19"/>
      <c r="X1069" s="19"/>
      <c r="Y1069" s="19"/>
      <c r="Z1069" s="19"/>
      <c r="AA1069" s="19"/>
      <c r="AB1069" s="19"/>
      <c r="FE1069" s="54"/>
    </row>
    <row r="1070" spans="1:161" s="18" customFormat="1">
      <c r="A1070" s="51"/>
      <c r="B1070" s="735"/>
      <c r="C1070" s="735"/>
      <c r="D1070" s="735"/>
      <c r="E1070" s="735"/>
      <c r="F1070" s="736"/>
      <c r="G1070" s="735"/>
      <c r="H1070" s="735"/>
      <c r="I1070" s="735"/>
      <c r="J1070" s="735"/>
      <c r="K1070" s="735"/>
      <c r="L1070" s="735"/>
      <c r="M1070" s="735"/>
      <c r="N1070" s="735"/>
      <c r="O1070" s="19"/>
      <c r="P1070" s="19"/>
      <c r="Q1070" s="19"/>
      <c r="R1070" s="19"/>
      <c r="S1070" s="19"/>
      <c r="T1070" s="19"/>
      <c r="U1070" s="19"/>
      <c r="V1070" s="19"/>
      <c r="W1070" s="19"/>
      <c r="X1070" s="19"/>
      <c r="Y1070" s="19"/>
      <c r="Z1070" s="19"/>
      <c r="AA1070" s="19"/>
      <c r="AB1070" s="19"/>
      <c r="FE1070" s="54"/>
    </row>
    <row r="1071" spans="1:161" s="18" customFormat="1">
      <c r="A1071" s="51"/>
      <c r="B1071" s="735"/>
      <c r="C1071" s="735"/>
      <c r="D1071" s="735"/>
      <c r="E1071" s="735"/>
      <c r="F1071" s="736"/>
      <c r="G1071" s="735"/>
      <c r="H1071" s="735"/>
      <c r="I1071" s="735"/>
      <c r="J1071" s="735"/>
      <c r="K1071" s="735"/>
      <c r="L1071" s="735"/>
      <c r="M1071" s="735"/>
      <c r="N1071" s="735"/>
      <c r="O1071" s="19"/>
      <c r="P1071" s="19"/>
      <c r="Q1071" s="19"/>
      <c r="R1071" s="19"/>
      <c r="S1071" s="19"/>
      <c r="T1071" s="19"/>
      <c r="U1071" s="19"/>
      <c r="V1071" s="19"/>
      <c r="W1071" s="19"/>
      <c r="X1071" s="19"/>
      <c r="Y1071" s="19"/>
      <c r="Z1071" s="19"/>
      <c r="AA1071" s="19"/>
      <c r="AB1071" s="19"/>
      <c r="FE1071" s="54"/>
    </row>
    <row r="1072" spans="1:161" s="18" customFormat="1">
      <c r="A1072" s="51"/>
      <c r="B1072" s="735"/>
      <c r="C1072" s="735"/>
      <c r="D1072" s="735"/>
      <c r="E1072" s="735"/>
      <c r="F1072" s="736"/>
      <c r="G1072" s="735"/>
      <c r="H1072" s="735"/>
      <c r="I1072" s="735"/>
      <c r="J1072" s="735"/>
      <c r="K1072" s="735"/>
      <c r="L1072" s="735"/>
      <c r="M1072" s="735"/>
      <c r="N1072" s="735"/>
      <c r="O1072" s="19"/>
      <c r="P1072" s="19"/>
      <c r="Q1072" s="19"/>
      <c r="R1072" s="19"/>
      <c r="S1072" s="19"/>
      <c r="T1072" s="19"/>
      <c r="U1072" s="19"/>
      <c r="V1072" s="19"/>
      <c r="W1072" s="19"/>
      <c r="X1072" s="19"/>
      <c r="Y1072" s="19"/>
      <c r="Z1072" s="19"/>
      <c r="AA1072" s="19"/>
      <c r="AB1072" s="19"/>
      <c r="FE1072" s="54"/>
    </row>
    <row r="1073" spans="1:161" s="18" customFormat="1">
      <c r="A1073" s="51"/>
      <c r="B1073" s="735"/>
      <c r="C1073" s="735"/>
      <c r="D1073" s="735"/>
      <c r="E1073" s="735"/>
      <c r="F1073" s="736"/>
      <c r="G1073" s="735"/>
      <c r="H1073" s="735"/>
      <c r="I1073" s="735"/>
      <c r="J1073" s="735"/>
      <c r="K1073" s="735"/>
      <c r="L1073" s="735"/>
      <c r="M1073" s="735"/>
      <c r="N1073" s="735"/>
      <c r="O1073" s="19"/>
      <c r="P1073" s="19"/>
      <c r="Q1073" s="19"/>
      <c r="R1073" s="19"/>
      <c r="S1073" s="19"/>
      <c r="T1073" s="19"/>
      <c r="U1073" s="19"/>
      <c r="V1073" s="19"/>
      <c r="W1073" s="19"/>
      <c r="X1073" s="19"/>
      <c r="Y1073" s="19"/>
      <c r="Z1073" s="19"/>
      <c r="AA1073" s="19"/>
      <c r="AB1073" s="19"/>
      <c r="FE1073" s="54"/>
    </row>
    <row r="1074" spans="1:161" s="18" customFormat="1">
      <c r="A1074" s="51"/>
      <c r="B1074" s="735"/>
      <c r="C1074" s="735"/>
      <c r="D1074" s="735"/>
      <c r="E1074" s="735"/>
      <c r="F1074" s="736"/>
      <c r="G1074" s="735"/>
      <c r="H1074" s="735"/>
      <c r="I1074" s="735"/>
      <c r="J1074" s="735"/>
      <c r="K1074" s="735"/>
      <c r="L1074" s="735"/>
      <c r="M1074" s="735"/>
      <c r="N1074" s="735"/>
      <c r="O1074" s="19"/>
      <c r="P1074" s="19"/>
      <c r="Q1074" s="19"/>
      <c r="R1074" s="19"/>
      <c r="S1074" s="19"/>
      <c r="T1074" s="19"/>
      <c r="U1074" s="19"/>
      <c r="V1074" s="19"/>
      <c r="W1074" s="19"/>
      <c r="X1074" s="19"/>
      <c r="Y1074" s="19"/>
      <c r="Z1074" s="19"/>
      <c r="AA1074" s="19"/>
      <c r="AB1074" s="19"/>
      <c r="FE1074" s="54"/>
    </row>
    <row r="1075" spans="1:161" s="18" customFormat="1">
      <c r="A1075" s="51"/>
      <c r="B1075" s="735"/>
      <c r="C1075" s="735"/>
      <c r="D1075" s="735"/>
      <c r="E1075" s="735"/>
      <c r="F1075" s="736"/>
      <c r="G1075" s="735"/>
      <c r="H1075" s="735"/>
      <c r="I1075" s="735"/>
      <c r="J1075" s="735"/>
      <c r="K1075" s="735"/>
      <c r="L1075" s="735"/>
      <c r="M1075" s="735"/>
      <c r="N1075" s="735"/>
      <c r="O1075" s="19"/>
      <c r="P1075" s="19"/>
      <c r="Q1075" s="19"/>
      <c r="R1075" s="19"/>
      <c r="S1075" s="19"/>
      <c r="T1075" s="19"/>
      <c r="U1075" s="19"/>
      <c r="V1075" s="19"/>
      <c r="W1075" s="19"/>
      <c r="X1075" s="19"/>
      <c r="Y1075" s="19"/>
      <c r="Z1075" s="19"/>
      <c r="AA1075" s="19"/>
      <c r="AB1075" s="19"/>
      <c r="FE1075" s="54"/>
    </row>
    <row r="1076" spans="1:161" s="18" customFormat="1">
      <c r="A1076" s="51"/>
      <c r="B1076" s="735"/>
      <c r="C1076" s="735"/>
      <c r="D1076" s="735"/>
      <c r="E1076" s="735"/>
      <c r="F1076" s="736"/>
      <c r="G1076" s="735"/>
      <c r="H1076" s="735"/>
      <c r="I1076" s="735"/>
      <c r="J1076" s="735"/>
      <c r="K1076" s="735"/>
      <c r="L1076" s="735"/>
      <c r="M1076" s="735"/>
      <c r="N1076" s="735"/>
      <c r="O1076" s="19"/>
      <c r="P1076" s="19"/>
      <c r="Q1076" s="19"/>
      <c r="R1076" s="19"/>
      <c r="S1076" s="19"/>
      <c r="T1076" s="19"/>
      <c r="U1076" s="19"/>
      <c r="V1076" s="19"/>
      <c r="W1076" s="19"/>
      <c r="X1076" s="19"/>
      <c r="Y1076" s="19"/>
      <c r="Z1076" s="19"/>
      <c r="AA1076" s="19"/>
      <c r="AB1076" s="19"/>
      <c r="FE1076" s="54"/>
    </row>
    <row r="1077" spans="1:161" s="18" customFormat="1">
      <c r="A1077" s="51"/>
      <c r="B1077" s="735"/>
      <c r="C1077" s="735"/>
      <c r="D1077" s="735"/>
      <c r="E1077" s="735"/>
      <c r="F1077" s="736"/>
      <c r="G1077" s="735"/>
      <c r="H1077" s="735"/>
      <c r="I1077" s="735"/>
      <c r="J1077" s="735"/>
      <c r="K1077" s="735"/>
      <c r="L1077" s="735"/>
      <c r="M1077" s="735"/>
      <c r="N1077" s="735"/>
      <c r="O1077" s="19"/>
      <c r="P1077" s="19"/>
      <c r="Q1077" s="19"/>
      <c r="R1077" s="19"/>
      <c r="S1077" s="19"/>
      <c r="T1077" s="19"/>
      <c r="U1077" s="19"/>
      <c r="V1077" s="19"/>
      <c r="W1077" s="19"/>
      <c r="X1077" s="19"/>
      <c r="Y1077" s="19"/>
      <c r="Z1077" s="19"/>
      <c r="AA1077" s="19"/>
      <c r="AB1077" s="19"/>
      <c r="FE1077" s="54"/>
    </row>
    <row r="1078" spans="1:161" s="18" customFormat="1">
      <c r="A1078" s="51"/>
      <c r="B1078" s="735"/>
      <c r="C1078" s="735"/>
      <c r="D1078" s="735"/>
      <c r="E1078" s="735"/>
      <c r="F1078" s="736"/>
      <c r="G1078" s="735"/>
      <c r="H1078" s="735"/>
      <c r="I1078" s="735"/>
      <c r="J1078" s="735"/>
      <c r="K1078" s="735"/>
      <c r="L1078" s="735"/>
      <c r="M1078" s="735"/>
      <c r="N1078" s="735"/>
      <c r="O1078" s="19"/>
      <c r="P1078" s="19"/>
      <c r="Q1078" s="19"/>
      <c r="R1078" s="19"/>
      <c r="S1078" s="19"/>
      <c r="T1078" s="19"/>
      <c r="U1078" s="19"/>
      <c r="V1078" s="19"/>
      <c r="W1078" s="19"/>
      <c r="X1078" s="19"/>
      <c r="Y1078" s="19"/>
      <c r="Z1078" s="19"/>
      <c r="AA1078" s="19"/>
      <c r="AB1078" s="19"/>
      <c r="FE1078" s="54"/>
    </row>
    <row r="1079" spans="1:161" s="18" customFormat="1">
      <c r="A1079" s="51"/>
      <c r="B1079" s="735"/>
      <c r="C1079" s="735"/>
      <c r="D1079" s="735"/>
      <c r="E1079" s="735"/>
      <c r="F1079" s="736"/>
      <c r="G1079" s="735"/>
      <c r="H1079" s="735"/>
      <c r="I1079" s="735"/>
      <c r="J1079" s="735"/>
      <c r="K1079" s="735"/>
      <c r="L1079" s="735"/>
      <c r="M1079" s="735"/>
      <c r="N1079" s="735"/>
      <c r="O1079" s="19"/>
      <c r="P1079" s="19"/>
      <c r="Q1079" s="19"/>
      <c r="R1079" s="19"/>
      <c r="S1079" s="19"/>
      <c r="T1079" s="19"/>
      <c r="U1079" s="19"/>
      <c r="V1079" s="19"/>
      <c r="W1079" s="19"/>
      <c r="X1079" s="19"/>
      <c r="Y1079" s="19"/>
      <c r="Z1079" s="19"/>
      <c r="AA1079" s="19"/>
      <c r="AB1079" s="19"/>
      <c r="FE1079" s="54"/>
    </row>
    <row r="1080" spans="1:161" s="18" customFormat="1">
      <c r="A1080" s="51"/>
      <c r="B1080" s="735"/>
      <c r="C1080" s="735"/>
      <c r="D1080" s="735"/>
      <c r="E1080" s="735"/>
      <c r="F1080" s="736"/>
      <c r="G1080" s="735"/>
      <c r="H1080" s="735"/>
      <c r="I1080" s="735"/>
      <c r="J1080" s="735"/>
      <c r="K1080" s="735"/>
      <c r="L1080" s="735"/>
      <c r="M1080" s="735"/>
      <c r="N1080" s="735"/>
      <c r="O1080" s="19"/>
      <c r="P1080" s="19"/>
      <c r="Q1080" s="19"/>
      <c r="R1080" s="19"/>
      <c r="S1080" s="19"/>
      <c r="T1080" s="19"/>
      <c r="U1080" s="19"/>
      <c r="V1080" s="19"/>
      <c r="W1080" s="19"/>
      <c r="X1080" s="19"/>
      <c r="Y1080" s="19"/>
      <c r="Z1080" s="19"/>
      <c r="AA1080" s="19"/>
      <c r="AB1080" s="19"/>
      <c r="FE1080" s="54"/>
    </row>
    <row r="1081" spans="1:161" s="18" customFormat="1">
      <c r="A1081" s="51"/>
      <c r="B1081" s="735"/>
      <c r="C1081" s="735"/>
      <c r="D1081" s="735"/>
      <c r="E1081" s="735"/>
      <c r="F1081" s="736"/>
      <c r="G1081" s="735"/>
      <c r="H1081" s="735"/>
      <c r="I1081" s="735"/>
      <c r="J1081" s="735"/>
      <c r="K1081" s="735"/>
      <c r="L1081" s="735"/>
      <c r="M1081" s="735"/>
      <c r="N1081" s="735"/>
      <c r="O1081" s="19"/>
      <c r="P1081" s="19"/>
      <c r="Q1081" s="19"/>
      <c r="R1081" s="19"/>
      <c r="S1081" s="19"/>
      <c r="T1081" s="19"/>
      <c r="U1081" s="19"/>
      <c r="V1081" s="19"/>
      <c r="W1081" s="19"/>
      <c r="X1081" s="19"/>
      <c r="Y1081" s="19"/>
      <c r="Z1081" s="19"/>
      <c r="AA1081" s="19"/>
      <c r="AB1081" s="19"/>
      <c r="FE1081" s="54"/>
    </row>
    <row r="1082" spans="1:161" s="18" customFormat="1">
      <c r="A1082" s="51"/>
      <c r="B1082" s="735"/>
      <c r="C1082" s="735"/>
      <c r="D1082" s="735"/>
      <c r="E1082" s="735"/>
      <c r="F1082" s="736"/>
      <c r="G1082" s="735"/>
      <c r="H1082" s="735"/>
      <c r="I1082" s="735"/>
      <c r="J1082" s="735"/>
      <c r="K1082" s="735"/>
      <c r="L1082" s="735"/>
      <c r="M1082" s="735"/>
      <c r="N1082" s="735"/>
      <c r="O1082" s="19"/>
      <c r="P1082" s="19"/>
      <c r="Q1082" s="19"/>
      <c r="R1082" s="19"/>
      <c r="S1082" s="19"/>
      <c r="T1082" s="19"/>
      <c r="U1082" s="19"/>
      <c r="V1082" s="19"/>
      <c r="W1082" s="19"/>
      <c r="X1082" s="19"/>
      <c r="Y1082" s="19"/>
      <c r="Z1082" s="19"/>
      <c r="AA1082" s="19"/>
      <c r="AB1082" s="19"/>
      <c r="FE1082" s="54"/>
    </row>
    <row r="1083" spans="1:161" s="18" customFormat="1">
      <c r="A1083" s="51"/>
      <c r="B1083" s="735"/>
      <c r="C1083" s="735"/>
      <c r="D1083" s="735"/>
      <c r="E1083" s="735"/>
      <c r="F1083" s="736"/>
      <c r="G1083" s="735"/>
      <c r="H1083" s="735"/>
      <c r="I1083" s="735"/>
      <c r="J1083" s="735"/>
      <c r="K1083" s="735"/>
      <c r="L1083" s="735"/>
      <c r="M1083" s="735"/>
      <c r="N1083" s="735"/>
      <c r="O1083" s="19"/>
      <c r="P1083" s="19"/>
      <c r="Q1083" s="19"/>
      <c r="R1083" s="19"/>
      <c r="S1083" s="19"/>
      <c r="T1083" s="19"/>
      <c r="U1083" s="19"/>
      <c r="V1083" s="19"/>
      <c r="W1083" s="19"/>
      <c r="X1083" s="19"/>
      <c r="Y1083" s="19"/>
      <c r="Z1083" s="19"/>
      <c r="AA1083" s="19"/>
      <c r="AB1083" s="19"/>
      <c r="FE1083" s="54"/>
    </row>
    <row r="1084" spans="1:161" s="18" customFormat="1">
      <c r="A1084" s="51"/>
      <c r="B1084" s="735"/>
      <c r="C1084" s="735"/>
      <c r="D1084" s="735"/>
      <c r="E1084" s="735"/>
      <c r="F1084" s="736"/>
      <c r="G1084" s="735"/>
      <c r="H1084" s="735"/>
      <c r="I1084" s="735"/>
      <c r="J1084" s="735"/>
      <c r="K1084" s="735"/>
      <c r="L1084" s="735"/>
      <c r="M1084" s="735"/>
      <c r="N1084" s="735"/>
      <c r="O1084" s="19"/>
      <c r="P1084" s="19"/>
      <c r="Q1084" s="19"/>
      <c r="R1084" s="19"/>
      <c r="S1084" s="19"/>
      <c r="T1084" s="19"/>
      <c r="U1084" s="19"/>
      <c r="V1084" s="19"/>
      <c r="W1084" s="19"/>
      <c r="X1084" s="19"/>
      <c r="Y1084" s="19"/>
      <c r="Z1084" s="19"/>
      <c r="AA1084" s="19"/>
      <c r="AB1084" s="19"/>
      <c r="FE1084" s="54"/>
    </row>
    <row r="1085" spans="1:161" s="18" customFormat="1">
      <c r="A1085" s="51"/>
      <c r="B1085" s="735"/>
      <c r="C1085" s="735"/>
      <c r="D1085" s="735"/>
      <c r="E1085" s="735"/>
      <c r="F1085" s="736"/>
      <c r="G1085" s="735"/>
      <c r="H1085" s="735"/>
      <c r="I1085" s="735"/>
      <c r="J1085" s="735"/>
      <c r="K1085" s="735"/>
      <c r="L1085" s="735"/>
      <c r="M1085" s="735"/>
      <c r="N1085" s="735"/>
      <c r="O1085" s="19"/>
      <c r="P1085" s="19"/>
      <c r="Q1085" s="19"/>
      <c r="R1085" s="19"/>
      <c r="S1085" s="19"/>
      <c r="T1085" s="19"/>
      <c r="U1085" s="19"/>
      <c r="V1085" s="19"/>
      <c r="W1085" s="19"/>
      <c r="X1085" s="19"/>
      <c r="Y1085" s="19"/>
      <c r="Z1085" s="19"/>
      <c r="AA1085" s="19"/>
      <c r="AB1085" s="19"/>
      <c r="FE1085" s="54"/>
    </row>
    <row r="1086" spans="1:161" s="18" customFormat="1">
      <c r="A1086" s="51"/>
      <c r="B1086" s="735"/>
      <c r="C1086" s="735"/>
      <c r="D1086" s="735"/>
      <c r="E1086" s="735"/>
      <c r="F1086" s="736"/>
      <c r="G1086" s="735"/>
      <c r="H1086" s="735"/>
      <c r="I1086" s="735"/>
      <c r="J1086" s="735"/>
      <c r="K1086" s="735"/>
      <c r="L1086" s="735"/>
      <c r="M1086" s="735"/>
      <c r="N1086" s="735"/>
      <c r="O1086" s="19"/>
      <c r="P1086" s="19"/>
      <c r="Q1086" s="19"/>
      <c r="R1086" s="19"/>
      <c r="S1086" s="19"/>
      <c r="T1086" s="19"/>
      <c r="U1086" s="19"/>
      <c r="V1086" s="19"/>
      <c r="W1086" s="19"/>
      <c r="X1086" s="19"/>
      <c r="Y1086" s="19"/>
      <c r="Z1086" s="19"/>
      <c r="AA1086" s="19"/>
      <c r="AB1086" s="19"/>
      <c r="FE1086" s="54"/>
    </row>
    <row r="1087" spans="1:161" s="18" customFormat="1">
      <c r="A1087" s="51"/>
      <c r="B1087" s="735"/>
      <c r="C1087" s="735"/>
      <c r="D1087" s="735"/>
      <c r="E1087" s="735"/>
      <c r="F1087" s="736"/>
      <c r="G1087" s="735"/>
      <c r="H1087" s="735"/>
      <c r="I1087" s="735"/>
      <c r="J1087" s="735"/>
      <c r="K1087" s="735"/>
      <c r="L1087" s="735"/>
      <c r="M1087" s="735"/>
      <c r="N1087" s="735"/>
      <c r="O1087" s="19"/>
      <c r="P1087" s="19"/>
      <c r="Q1087" s="19"/>
      <c r="R1087" s="19"/>
      <c r="S1087" s="19"/>
      <c r="T1087" s="19"/>
      <c r="U1087" s="19"/>
      <c r="V1087" s="19"/>
      <c r="W1087" s="19"/>
      <c r="X1087" s="19"/>
      <c r="Y1087" s="19"/>
      <c r="Z1087" s="19"/>
      <c r="AA1087" s="19"/>
      <c r="AB1087" s="19"/>
      <c r="FE1087" s="54"/>
    </row>
    <row r="1088" spans="1:161" s="18" customFormat="1">
      <c r="A1088" s="51"/>
      <c r="B1088" s="735"/>
      <c r="C1088" s="735"/>
      <c r="D1088" s="735"/>
      <c r="E1088" s="735"/>
      <c r="F1088" s="736"/>
      <c r="G1088" s="735"/>
      <c r="H1088" s="735"/>
      <c r="I1088" s="735"/>
      <c r="J1088" s="735"/>
      <c r="K1088" s="735"/>
      <c r="L1088" s="735"/>
      <c r="M1088" s="735"/>
      <c r="N1088" s="735"/>
      <c r="O1088" s="19"/>
      <c r="P1088" s="19"/>
      <c r="Q1088" s="19"/>
      <c r="R1088" s="19"/>
      <c r="S1088" s="19"/>
      <c r="T1088" s="19"/>
      <c r="U1088" s="19"/>
      <c r="V1088" s="19"/>
      <c r="W1088" s="19"/>
      <c r="X1088" s="19"/>
      <c r="Y1088" s="19"/>
      <c r="Z1088" s="19"/>
      <c r="AA1088" s="19"/>
      <c r="AB1088" s="19"/>
      <c r="FE1088" s="54"/>
    </row>
    <row r="1089" spans="1:161" s="18" customFormat="1">
      <c r="A1089" s="51"/>
      <c r="B1089" s="735"/>
      <c r="C1089" s="735"/>
      <c r="D1089" s="735"/>
      <c r="E1089" s="735"/>
      <c r="F1089" s="736"/>
      <c r="G1089" s="735"/>
      <c r="H1089" s="735"/>
      <c r="I1089" s="735"/>
      <c r="J1089" s="735"/>
      <c r="K1089" s="735"/>
      <c r="L1089" s="735"/>
      <c r="M1089" s="735"/>
      <c r="N1089" s="735"/>
      <c r="O1089" s="19"/>
      <c r="P1089" s="19"/>
      <c r="Q1089" s="19"/>
      <c r="R1089" s="19"/>
      <c r="S1089" s="19"/>
      <c r="T1089" s="19"/>
      <c r="U1089" s="19"/>
      <c r="V1089" s="19"/>
      <c r="W1089" s="19"/>
      <c r="X1089" s="19"/>
      <c r="Y1089" s="19"/>
      <c r="Z1089" s="19"/>
      <c r="AA1089" s="19"/>
      <c r="AB1089" s="19"/>
      <c r="FE1089" s="54"/>
    </row>
    <row r="1090" spans="1:161" s="18" customFormat="1">
      <c r="A1090" s="51"/>
      <c r="B1090" s="735"/>
      <c r="C1090" s="735"/>
      <c r="D1090" s="735"/>
      <c r="E1090" s="735"/>
      <c r="F1090" s="736"/>
      <c r="G1090" s="735"/>
      <c r="H1090" s="735"/>
      <c r="I1090" s="735"/>
      <c r="J1090" s="735"/>
      <c r="K1090" s="735"/>
      <c r="L1090" s="735"/>
      <c r="M1090" s="735"/>
      <c r="N1090" s="735"/>
      <c r="O1090" s="19"/>
      <c r="P1090" s="19"/>
      <c r="Q1090" s="19"/>
      <c r="R1090" s="19"/>
      <c r="S1090" s="19"/>
      <c r="T1090" s="19"/>
      <c r="U1090" s="19"/>
      <c r="V1090" s="19"/>
      <c r="W1090" s="19"/>
      <c r="X1090" s="19"/>
      <c r="Y1090" s="19"/>
      <c r="Z1090" s="19"/>
      <c r="AA1090" s="19"/>
      <c r="AB1090" s="19"/>
      <c r="FE1090" s="54"/>
    </row>
    <row r="1091" spans="1:161" s="18" customFormat="1">
      <c r="A1091" s="51"/>
      <c r="B1091" s="735"/>
      <c r="C1091" s="735"/>
      <c r="D1091" s="735"/>
      <c r="E1091" s="735"/>
      <c r="F1091" s="736"/>
      <c r="G1091" s="735"/>
      <c r="H1091" s="735"/>
      <c r="I1091" s="735"/>
      <c r="J1091" s="735"/>
      <c r="K1091" s="735"/>
      <c r="L1091" s="735"/>
      <c r="M1091" s="735"/>
      <c r="N1091" s="735"/>
      <c r="O1091" s="19"/>
      <c r="P1091" s="19"/>
      <c r="Q1091" s="19"/>
      <c r="R1091" s="19"/>
      <c r="S1091" s="19"/>
      <c r="T1091" s="19"/>
      <c r="U1091" s="19"/>
      <c r="V1091" s="19"/>
      <c r="W1091" s="19"/>
      <c r="X1091" s="19"/>
      <c r="Y1091" s="19"/>
      <c r="Z1091" s="19"/>
      <c r="AA1091" s="19"/>
      <c r="AB1091" s="19"/>
      <c r="FE1091" s="54"/>
    </row>
    <row r="1092" spans="1:161" s="18" customFormat="1">
      <c r="A1092" s="51"/>
      <c r="B1092" s="735"/>
      <c r="C1092" s="735"/>
      <c r="D1092" s="735"/>
      <c r="E1092" s="735"/>
      <c r="F1092" s="736"/>
      <c r="G1092" s="735"/>
      <c r="H1092" s="735"/>
      <c r="I1092" s="735"/>
      <c r="J1092" s="735"/>
      <c r="K1092" s="735"/>
      <c r="L1092" s="735"/>
      <c r="M1092" s="735"/>
      <c r="N1092" s="735"/>
      <c r="O1092" s="19"/>
      <c r="P1092" s="19"/>
      <c r="Q1092" s="19"/>
      <c r="R1092" s="19"/>
      <c r="S1092" s="19"/>
      <c r="T1092" s="19"/>
      <c r="U1092" s="19"/>
      <c r="V1092" s="19"/>
      <c r="W1092" s="19"/>
      <c r="X1092" s="19"/>
      <c r="Y1092" s="19"/>
      <c r="Z1092" s="19"/>
      <c r="AA1092" s="19"/>
      <c r="AB1092" s="19"/>
      <c r="FE1092" s="54"/>
    </row>
    <row r="1093" spans="1:161" s="18" customFormat="1">
      <c r="A1093" s="51"/>
      <c r="B1093" s="735"/>
      <c r="C1093" s="735"/>
      <c r="D1093" s="735"/>
      <c r="E1093" s="735"/>
      <c r="F1093" s="736"/>
      <c r="G1093" s="735"/>
      <c r="H1093" s="735"/>
      <c r="I1093" s="735"/>
      <c r="J1093" s="735"/>
      <c r="K1093" s="735"/>
      <c r="L1093" s="735"/>
      <c r="M1093" s="735"/>
      <c r="N1093" s="735"/>
      <c r="O1093" s="19"/>
      <c r="P1093" s="19"/>
      <c r="Q1093" s="19"/>
      <c r="R1093" s="19"/>
      <c r="S1093" s="19"/>
      <c r="T1093" s="19"/>
      <c r="U1093" s="19"/>
      <c r="V1093" s="19"/>
      <c r="W1093" s="19"/>
      <c r="X1093" s="19"/>
      <c r="Y1093" s="19"/>
      <c r="Z1093" s="19"/>
      <c r="AA1093" s="19"/>
      <c r="AB1093" s="19"/>
      <c r="FE1093" s="54"/>
    </row>
    <row r="1094" spans="1:161" s="18" customFormat="1">
      <c r="A1094" s="51"/>
      <c r="B1094" s="735"/>
      <c r="C1094" s="735"/>
      <c r="D1094" s="735"/>
      <c r="E1094" s="735"/>
      <c r="F1094" s="736"/>
      <c r="G1094" s="735"/>
      <c r="H1094" s="735"/>
      <c r="I1094" s="735"/>
      <c r="J1094" s="735"/>
      <c r="K1094" s="735"/>
      <c r="L1094" s="735"/>
      <c r="M1094" s="735"/>
      <c r="N1094" s="735"/>
      <c r="O1094" s="19"/>
      <c r="P1094" s="19"/>
      <c r="Q1094" s="19"/>
      <c r="R1094" s="19"/>
      <c r="S1094" s="19"/>
      <c r="T1094" s="19"/>
      <c r="U1094" s="19"/>
      <c r="V1094" s="19"/>
      <c r="W1094" s="19"/>
      <c r="X1094" s="19"/>
      <c r="Y1094" s="19"/>
      <c r="Z1094" s="19"/>
      <c r="AA1094" s="19"/>
      <c r="AB1094" s="19"/>
      <c r="FE1094" s="54"/>
    </row>
    <row r="1095" spans="1:161" s="18" customFormat="1">
      <c r="A1095" s="51"/>
      <c r="B1095" s="735"/>
      <c r="C1095" s="735"/>
      <c r="D1095" s="735"/>
      <c r="E1095" s="735"/>
      <c r="F1095" s="736"/>
      <c r="G1095" s="735"/>
      <c r="H1095" s="735"/>
      <c r="I1095" s="735"/>
      <c r="J1095" s="735"/>
      <c r="K1095" s="735"/>
      <c r="L1095" s="735"/>
      <c r="M1095" s="735"/>
      <c r="N1095" s="735"/>
      <c r="O1095" s="19"/>
      <c r="P1095" s="19"/>
      <c r="Q1095" s="19"/>
      <c r="R1095" s="19"/>
      <c r="S1095" s="19"/>
      <c r="T1095" s="19"/>
      <c r="U1095" s="19"/>
      <c r="V1095" s="19"/>
      <c r="W1095" s="19"/>
      <c r="X1095" s="19"/>
      <c r="Y1095" s="19"/>
      <c r="Z1095" s="19"/>
      <c r="AA1095" s="19"/>
      <c r="AB1095" s="19"/>
      <c r="FE1095" s="54"/>
    </row>
    <row r="1096" spans="1:161" s="18" customFormat="1">
      <c r="A1096" s="51"/>
      <c r="B1096" s="735"/>
      <c r="C1096" s="735"/>
      <c r="D1096" s="735"/>
      <c r="E1096" s="735"/>
      <c r="F1096" s="736"/>
      <c r="G1096" s="735"/>
      <c r="H1096" s="735"/>
      <c r="I1096" s="735"/>
      <c r="J1096" s="735"/>
      <c r="K1096" s="735"/>
      <c r="L1096" s="735"/>
      <c r="M1096" s="735"/>
      <c r="N1096" s="735"/>
      <c r="O1096" s="19"/>
      <c r="P1096" s="19"/>
      <c r="Q1096" s="19"/>
      <c r="R1096" s="19"/>
      <c r="S1096" s="19"/>
      <c r="T1096" s="19"/>
      <c r="U1096" s="19"/>
      <c r="V1096" s="19"/>
      <c r="W1096" s="19"/>
      <c r="X1096" s="19"/>
      <c r="Y1096" s="19"/>
      <c r="Z1096" s="19"/>
      <c r="AA1096" s="19"/>
      <c r="AB1096" s="19"/>
      <c r="FE1096" s="54"/>
    </row>
    <row r="1097" spans="1:161" s="18" customFormat="1">
      <c r="A1097" s="51"/>
      <c r="B1097" s="735"/>
      <c r="C1097" s="735"/>
      <c r="D1097" s="735"/>
      <c r="E1097" s="735"/>
      <c r="F1097" s="736"/>
      <c r="G1097" s="735"/>
      <c r="H1097" s="735"/>
      <c r="I1097" s="735"/>
      <c r="J1097" s="735"/>
      <c r="K1097" s="735"/>
      <c r="L1097" s="735"/>
      <c r="M1097" s="735"/>
      <c r="N1097" s="735"/>
      <c r="O1097" s="19"/>
      <c r="P1097" s="19"/>
      <c r="Q1097" s="19"/>
      <c r="R1097" s="19"/>
      <c r="S1097" s="19"/>
      <c r="T1097" s="19"/>
      <c r="U1097" s="19"/>
      <c r="V1097" s="19"/>
      <c r="W1097" s="19"/>
      <c r="X1097" s="19"/>
      <c r="Y1097" s="19"/>
      <c r="Z1097" s="19"/>
      <c r="AA1097" s="19"/>
      <c r="AB1097" s="19"/>
      <c r="FE1097" s="54"/>
    </row>
    <row r="1098" spans="1:161" s="18" customFormat="1">
      <c r="A1098" s="51"/>
      <c r="B1098" s="735"/>
      <c r="C1098" s="735"/>
      <c r="D1098" s="735"/>
      <c r="E1098" s="735"/>
      <c r="F1098" s="736"/>
      <c r="G1098" s="735"/>
      <c r="H1098" s="735"/>
      <c r="I1098" s="735"/>
      <c r="J1098" s="735"/>
      <c r="K1098" s="735"/>
      <c r="L1098" s="735"/>
      <c r="M1098" s="735"/>
      <c r="N1098" s="735"/>
      <c r="O1098" s="19"/>
      <c r="P1098" s="19"/>
      <c r="Q1098" s="19"/>
      <c r="R1098" s="19"/>
      <c r="S1098" s="19"/>
      <c r="T1098" s="19"/>
      <c r="U1098" s="19"/>
      <c r="V1098" s="19"/>
      <c r="W1098" s="19"/>
      <c r="X1098" s="19"/>
      <c r="Y1098" s="19"/>
      <c r="Z1098" s="19"/>
      <c r="AA1098" s="19"/>
      <c r="AB1098" s="19"/>
      <c r="FE1098" s="54"/>
    </row>
    <row r="1099" spans="1:161" s="18" customFormat="1">
      <c r="A1099" s="51"/>
      <c r="B1099" s="735"/>
      <c r="C1099" s="735"/>
      <c r="D1099" s="735"/>
      <c r="E1099" s="735"/>
      <c r="F1099" s="736"/>
      <c r="G1099" s="735"/>
      <c r="H1099" s="735"/>
      <c r="I1099" s="735"/>
      <c r="J1099" s="735"/>
      <c r="K1099" s="735"/>
      <c r="L1099" s="735"/>
      <c r="M1099" s="735"/>
      <c r="N1099" s="735"/>
      <c r="O1099" s="19"/>
      <c r="P1099" s="19"/>
      <c r="Q1099" s="19"/>
      <c r="R1099" s="19"/>
      <c r="S1099" s="19"/>
      <c r="T1099" s="19"/>
      <c r="U1099" s="19"/>
      <c r="V1099" s="19"/>
      <c r="W1099" s="19"/>
      <c r="X1099" s="19"/>
      <c r="Y1099" s="19"/>
      <c r="Z1099" s="19"/>
      <c r="AA1099" s="19"/>
      <c r="AB1099" s="19"/>
      <c r="FE1099" s="54"/>
    </row>
    <row r="1100" spans="1:161" s="18" customFormat="1">
      <c r="A1100" s="51"/>
      <c r="B1100" s="735"/>
      <c r="C1100" s="735"/>
      <c r="D1100" s="735"/>
      <c r="E1100" s="735"/>
      <c r="F1100" s="736"/>
      <c r="G1100" s="735"/>
      <c r="H1100" s="735"/>
      <c r="I1100" s="735"/>
      <c r="J1100" s="735"/>
      <c r="K1100" s="735"/>
      <c r="L1100" s="735"/>
      <c r="M1100" s="735"/>
      <c r="N1100" s="735"/>
      <c r="O1100" s="19"/>
      <c r="P1100" s="19"/>
      <c r="Q1100" s="19"/>
      <c r="R1100" s="19"/>
      <c r="S1100" s="19"/>
      <c r="T1100" s="19"/>
      <c r="U1100" s="19"/>
      <c r="V1100" s="19"/>
      <c r="W1100" s="19"/>
      <c r="X1100" s="19"/>
      <c r="Y1100" s="19"/>
      <c r="Z1100" s="19"/>
      <c r="AA1100" s="19"/>
      <c r="AB1100" s="19"/>
      <c r="FE1100" s="54"/>
    </row>
    <row r="1101" spans="1:161" s="18" customFormat="1">
      <c r="A1101" s="51"/>
      <c r="B1101" s="735"/>
      <c r="C1101" s="735"/>
      <c r="D1101" s="735"/>
      <c r="E1101" s="735"/>
      <c r="F1101" s="736"/>
      <c r="G1101" s="735"/>
      <c r="H1101" s="735"/>
      <c r="I1101" s="735"/>
      <c r="J1101" s="735"/>
      <c r="K1101" s="735"/>
      <c r="L1101" s="735"/>
      <c r="M1101" s="735"/>
      <c r="N1101" s="735"/>
      <c r="O1101" s="19"/>
      <c r="P1101" s="19"/>
      <c r="Q1101" s="19"/>
      <c r="R1101" s="19"/>
      <c r="S1101" s="19"/>
      <c r="T1101" s="19"/>
      <c r="U1101" s="19"/>
      <c r="V1101" s="19"/>
      <c r="W1101" s="19"/>
      <c r="X1101" s="19"/>
      <c r="Y1101" s="19"/>
      <c r="Z1101" s="19"/>
      <c r="AA1101" s="19"/>
      <c r="AB1101" s="19"/>
      <c r="FE1101" s="54"/>
    </row>
    <row r="1102" spans="1:161" s="18" customFormat="1">
      <c r="A1102" s="51"/>
      <c r="B1102" s="735"/>
      <c r="C1102" s="735"/>
      <c r="D1102" s="735"/>
      <c r="E1102" s="735"/>
      <c r="F1102" s="736"/>
      <c r="G1102" s="735"/>
      <c r="H1102" s="735"/>
      <c r="I1102" s="735"/>
      <c r="J1102" s="735"/>
      <c r="K1102" s="735"/>
      <c r="L1102" s="735"/>
      <c r="M1102" s="735"/>
      <c r="N1102" s="735"/>
      <c r="O1102" s="19"/>
      <c r="P1102" s="19"/>
      <c r="Q1102" s="19"/>
      <c r="R1102" s="19"/>
      <c r="S1102" s="19"/>
      <c r="T1102" s="19"/>
      <c r="U1102" s="19"/>
      <c r="V1102" s="19"/>
      <c r="W1102" s="19"/>
      <c r="X1102" s="19"/>
      <c r="Y1102" s="19"/>
      <c r="Z1102" s="19"/>
      <c r="AA1102" s="19"/>
      <c r="AB1102" s="19"/>
      <c r="FE1102" s="54"/>
    </row>
    <row r="1103" spans="1:161" s="18" customFormat="1">
      <c r="A1103" s="51"/>
      <c r="B1103" s="735"/>
      <c r="C1103" s="735"/>
      <c r="D1103" s="735"/>
      <c r="E1103" s="735"/>
      <c r="F1103" s="736"/>
      <c r="G1103" s="735"/>
      <c r="H1103" s="735"/>
      <c r="I1103" s="735"/>
      <c r="J1103" s="735"/>
      <c r="K1103" s="735"/>
      <c r="L1103" s="735"/>
      <c r="M1103" s="735"/>
      <c r="N1103" s="735"/>
      <c r="O1103" s="19"/>
      <c r="P1103" s="19"/>
      <c r="Q1103" s="19"/>
      <c r="R1103" s="19"/>
      <c r="S1103" s="19"/>
      <c r="T1103" s="19"/>
      <c r="U1103" s="19"/>
      <c r="V1103" s="19"/>
      <c r="W1103" s="19"/>
      <c r="X1103" s="19"/>
      <c r="Y1103" s="19"/>
      <c r="Z1103" s="19"/>
      <c r="AA1103" s="19"/>
      <c r="AB1103" s="19"/>
      <c r="FE1103" s="54"/>
    </row>
    <row r="1104" spans="1:161" s="18" customFormat="1">
      <c r="A1104" s="51"/>
      <c r="B1104" s="735"/>
      <c r="C1104" s="735"/>
      <c r="D1104" s="735"/>
      <c r="E1104" s="735"/>
      <c r="F1104" s="736"/>
      <c r="G1104" s="735"/>
      <c r="H1104" s="735"/>
      <c r="I1104" s="735"/>
      <c r="J1104" s="735"/>
      <c r="K1104" s="735"/>
      <c r="L1104" s="735"/>
      <c r="M1104" s="735"/>
      <c r="N1104" s="735"/>
      <c r="O1104" s="19"/>
      <c r="P1104" s="19"/>
      <c r="Q1104" s="19"/>
      <c r="R1104" s="19"/>
      <c r="S1104" s="19"/>
      <c r="T1104" s="19"/>
      <c r="U1104" s="19"/>
      <c r="V1104" s="19"/>
      <c r="W1104" s="19"/>
      <c r="X1104" s="19"/>
      <c r="Y1104" s="19"/>
      <c r="Z1104" s="19"/>
      <c r="AA1104" s="19"/>
      <c r="AB1104" s="19"/>
      <c r="FE1104" s="54"/>
    </row>
    <row r="1105" spans="1:161" s="18" customFormat="1">
      <c r="A1105" s="51"/>
      <c r="B1105" s="735"/>
      <c r="C1105" s="735"/>
      <c r="D1105" s="735"/>
      <c r="E1105" s="735"/>
      <c r="F1105" s="736"/>
      <c r="G1105" s="735"/>
      <c r="H1105" s="735"/>
      <c r="I1105" s="735"/>
      <c r="J1105" s="735"/>
      <c r="K1105" s="735"/>
      <c r="L1105" s="735"/>
      <c r="M1105" s="735"/>
      <c r="N1105" s="735"/>
      <c r="O1105" s="19"/>
      <c r="P1105" s="19"/>
      <c r="Q1105" s="19"/>
      <c r="R1105" s="19"/>
      <c r="S1105" s="19"/>
      <c r="T1105" s="19"/>
      <c r="U1105" s="19"/>
      <c r="V1105" s="19"/>
      <c r="W1105" s="19"/>
      <c r="X1105" s="19"/>
      <c r="Y1105" s="19"/>
      <c r="Z1105" s="19"/>
      <c r="AA1105" s="19"/>
      <c r="AB1105" s="19"/>
      <c r="FE1105" s="54"/>
    </row>
    <row r="1106" spans="1:161" s="18" customFormat="1">
      <c r="A1106" s="51"/>
      <c r="B1106" s="735"/>
      <c r="C1106" s="735"/>
      <c r="D1106" s="735"/>
      <c r="E1106" s="735"/>
      <c r="F1106" s="736"/>
      <c r="G1106" s="735"/>
      <c r="H1106" s="735"/>
      <c r="I1106" s="735"/>
      <c r="J1106" s="735"/>
      <c r="K1106" s="735"/>
      <c r="L1106" s="735"/>
      <c r="M1106" s="735"/>
      <c r="N1106" s="735"/>
      <c r="O1106" s="19"/>
      <c r="P1106" s="19"/>
      <c r="Q1106" s="19"/>
      <c r="R1106" s="19"/>
      <c r="S1106" s="19"/>
      <c r="T1106" s="19"/>
      <c r="U1106" s="19"/>
      <c r="V1106" s="19"/>
      <c r="W1106" s="19"/>
      <c r="X1106" s="19"/>
      <c r="Y1106" s="19"/>
      <c r="Z1106" s="19"/>
      <c r="AA1106" s="19"/>
      <c r="AB1106" s="19"/>
      <c r="FE1106" s="54"/>
    </row>
    <row r="1107" spans="1:161" s="18" customFormat="1">
      <c r="A1107" s="51"/>
      <c r="B1107" s="735"/>
      <c r="C1107" s="735"/>
      <c r="D1107" s="735"/>
      <c r="E1107" s="735"/>
      <c r="F1107" s="736"/>
      <c r="G1107" s="735"/>
      <c r="H1107" s="735"/>
      <c r="I1107" s="735"/>
      <c r="J1107" s="735"/>
      <c r="K1107" s="735"/>
      <c r="L1107" s="735"/>
      <c r="M1107" s="735"/>
      <c r="N1107" s="735"/>
      <c r="O1107" s="19"/>
      <c r="P1107" s="19"/>
      <c r="Q1107" s="19"/>
      <c r="R1107" s="19"/>
      <c r="S1107" s="19"/>
      <c r="T1107" s="19"/>
      <c r="U1107" s="19"/>
      <c r="V1107" s="19"/>
      <c r="W1107" s="19"/>
      <c r="X1107" s="19"/>
      <c r="Y1107" s="19"/>
      <c r="Z1107" s="19"/>
      <c r="AA1107" s="19"/>
      <c r="AB1107" s="19"/>
      <c r="FE1107" s="54"/>
    </row>
    <row r="1108" spans="1:161" s="18" customFormat="1">
      <c r="A1108" s="51"/>
      <c r="B1108" s="735"/>
      <c r="C1108" s="735"/>
      <c r="D1108" s="735"/>
      <c r="E1108" s="735"/>
      <c r="F1108" s="736"/>
      <c r="G1108" s="735"/>
      <c r="H1108" s="735"/>
      <c r="I1108" s="735"/>
      <c r="J1108" s="735"/>
      <c r="K1108" s="735"/>
      <c r="L1108" s="735"/>
      <c r="M1108" s="735"/>
      <c r="N1108" s="735"/>
      <c r="O1108" s="19"/>
      <c r="P1108" s="19"/>
      <c r="Q1108" s="19"/>
      <c r="R1108" s="19"/>
      <c r="S1108" s="19"/>
      <c r="T1108" s="19"/>
      <c r="U1108" s="19"/>
      <c r="V1108" s="19"/>
      <c r="W1108" s="19"/>
      <c r="X1108" s="19"/>
      <c r="Y1108" s="19"/>
      <c r="Z1108" s="19"/>
      <c r="AA1108" s="19"/>
      <c r="AB1108" s="19"/>
      <c r="FE1108" s="54"/>
    </row>
    <row r="1109" spans="1:161" s="18" customFormat="1">
      <c r="A1109" s="51"/>
      <c r="B1109" s="735"/>
      <c r="C1109" s="735"/>
      <c r="D1109" s="735"/>
      <c r="E1109" s="735"/>
      <c r="F1109" s="736"/>
      <c r="G1109" s="735"/>
      <c r="H1109" s="735"/>
      <c r="I1109" s="735"/>
      <c r="J1109" s="735"/>
      <c r="K1109" s="735"/>
      <c r="L1109" s="735"/>
      <c r="M1109" s="735"/>
      <c r="N1109" s="735"/>
      <c r="O1109" s="19"/>
      <c r="P1109" s="19"/>
      <c r="Q1109" s="19"/>
      <c r="R1109" s="19"/>
      <c r="S1109" s="19"/>
      <c r="T1109" s="19"/>
      <c r="U1109" s="19"/>
      <c r="V1109" s="19"/>
      <c r="W1109" s="19"/>
      <c r="X1109" s="19"/>
      <c r="Y1109" s="19"/>
      <c r="Z1109" s="19"/>
      <c r="AA1109" s="19"/>
      <c r="AB1109" s="19"/>
      <c r="FE1109" s="54"/>
    </row>
    <row r="1110" spans="1:161" s="18" customFormat="1">
      <c r="A1110" s="51"/>
      <c r="B1110" s="735"/>
      <c r="C1110" s="735"/>
      <c r="D1110" s="735"/>
      <c r="E1110" s="735"/>
      <c r="F1110" s="736"/>
      <c r="G1110" s="735"/>
      <c r="H1110" s="735"/>
      <c r="I1110" s="735"/>
      <c r="J1110" s="735"/>
      <c r="K1110" s="735"/>
      <c r="L1110" s="735"/>
      <c r="M1110" s="735"/>
      <c r="N1110" s="735"/>
      <c r="O1110" s="19"/>
      <c r="P1110" s="19"/>
      <c r="Q1110" s="19"/>
      <c r="R1110" s="19"/>
      <c r="S1110" s="19"/>
      <c r="T1110" s="19"/>
      <c r="U1110" s="19"/>
      <c r="V1110" s="19"/>
      <c r="W1110" s="19"/>
      <c r="X1110" s="19"/>
      <c r="Y1110" s="19"/>
      <c r="Z1110" s="19"/>
      <c r="AA1110" s="19"/>
      <c r="AB1110" s="19"/>
      <c r="FE1110" s="54"/>
    </row>
    <row r="1111" spans="1:161" s="18" customFormat="1">
      <c r="A1111" s="51"/>
      <c r="B1111" s="735"/>
      <c r="C1111" s="735"/>
      <c r="D1111" s="735"/>
      <c r="E1111" s="735"/>
      <c r="F1111" s="736"/>
      <c r="G1111" s="735"/>
      <c r="H1111" s="735"/>
      <c r="I1111" s="735"/>
      <c r="J1111" s="735"/>
      <c r="K1111" s="735"/>
      <c r="L1111" s="735"/>
      <c r="M1111" s="735"/>
      <c r="N1111" s="735"/>
      <c r="O1111" s="19"/>
      <c r="P1111" s="19"/>
      <c r="Q1111" s="19"/>
      <c r="R1111" s="19"/>
      <c r="S1111" s="19"/>
      <c r="T1111" s="19"/>
      <c r="U1111" s="19"/>
      <c r="V1111" s="19"/>
      <c r="W1111" s="19"/>
      <c r="X1111" s="19"/>
      <c r="Y1111" s="19"/>
      <c r="Z1111" s="19"/>
      <c r="AA1111" s="19"/>
      <c r="AB1111" s="19"/>
      <c r="FE1111" s="54"/>
    </row>
    <row r="1112" spans="1:161" s="18" customFormat="1">
      <c r="A1112" s="51"/>
      <c r="B1112" s="735"/>
      <c r="C1112" s="735"/>
      <c r="D1112" s="735"/>
      <c r="E1112" s="735"/>
      <c r="F1112" s="736"/>
      <c r="G1112" s="735"/>
      <c r="H1112" s="735"/>
      <c r="I1112" s="735"/>
      <c r="J1112" s="735"/>
      <c r="K1112" s="735"/>
      <c r="L1112" s="735"/>
      <c r="M1112" s="735"/>
      <c r="N1112" s="735"/>
      <c r="O1112" s="19"/>
      <c r="P1112" s="19"/>
      <c r="Q1112" s="19"/>
      <c r="R1112" s="19"/>
      <c r="S1112" s="19"/>
      <c r="T1112" s="19"/>
      <c r="U1112" s="19"/>
      <c r="V1112" s="19"/>
      <c r="W1112" s="19"/>
      <c r="X1112" s="19"/>
      <c r="Y1112" s="19"/>
      <c r="Z1112" s="19"/>
      <c r="AA1112" s="19"/>
      <c r="AB1112" s="19"/>
      <c r="FE1112" s="54"/>
    </row>
    <row r="1113" spans="1:161" s="18" customFormat="1">
      <c r="A1113" s="51"/>
      <c r="B1113" s="735"/>
      <c r="C1113" s="735"/>
      <c r="D1113" s="735"/>
      <c r="E1113" s="735"/>
      <c r="F1113" s="736"/>
      <c r="G1113" s="735"/>
      <c r="H1113" s="735"/>
      <c r="I1113" s="735"/>
      <c r="J1113" s="735"/>
      <c r="K1113" s="735"/>
      <c r="L1113" s="735"/>
      <c r="M1113" s="735"/>
      <c r="N1113" s="735"/>
      <c r="O1113" s="19"/>
      <c r="P1113" s="19"/>
      <c r="Q1113" s="19"/>
      <c r="R1113" s="19"/>
      <c r="S1113" s="19"/>
      <c r="T1113" s="19"/>
      <c r="U1113" s="19"/>
      <c r="V1113" s="19"/>
      <c r="W1113" s="19"/>
      <c r="X1113" s="19"/>
      <c r="Y1113" s="19"/>
      <c r="Z1113" s="19"/>
      <c r="AA1113" s="19"/>
      <c r="AB1113" s="19"/>
      <c r="FE1113" s="54"/>
    </row>
    <row r="1114" spans="1:161" s="18" customFormat="1">
      <c r="A1114" s="51"/>
      <c r="B1114" s="735"/>
      <c r="C1114" s="735"/>
      <c r="D1114" s="735"/>
      <c r="E1114" s="735"/>
      <c r="F1114" s="736"/>
      <c r="G1114" s="735"/>
      <c r="H1114" s="735"/>
      <c r="I1114" s="735"/>
      <c r="J1114" s="735"/>
      <c r="K1114" s="735"/>
      <c r="L1114" s="735"/>
      <c r="M1114" s="735"/>
      <c r="N1114" s="735"/>
      <c r="O1114" s="19"/>
      <c r="P1114" s="19"/>
      <c r="Q1114" s="19"/>
      <c r="R1114" s="19"/>
      <c r="S1114" s="19"/>
      <c r="T1114" s="19"/>
      <c r="U1114" s="19"/>
      <c r="V1114" s="19"/>
      <c r="W1114" s="19"/>
      <c r="X1114" s="19"/>
      <c r="Y1114" s="19"/>
      <c r="Z1114" s="19"/>
      <c r="AA1114" s="19"/>
      <c r="AB1114" s="19"/>
      <c r="FE1114" s="54"/>
    </row>
    <row r="1115" spans="1:161" s="18" customFormat="1">
      <c r="A1115" s="51"/>
      <c r="B1115" s="735"/>
      <c r="C1115" s="735"/>
      <c r="D1115" s="735"/>
      <c r="E1115" s="735"/>
      <c r="F1115" s="736"/>
      <c r="G1115" s="735"/>
      <c r="H1115" s="735"/>
      <c r="I1115" s="735"/>
      <c r="J1115" s="735"/>
      <c r="K1115" s="735"/>
      <c r="L1115" s="735"/>
      <c r="M1115" s="735"/>
      <c r="N1115" s="735"/>
      <c r="O1115" s="19"/>
      <c r="P1115" s="19"/>
      <c r="Q1115" s="19"/>
      <c r="R1115" s="19"/>
      <c r="S1115" s="19"/>
      <c r="T1115" s="19"/>
      <c r="U1115" s="19"/>
      <c r="V1115" s="19"/>
      <c r="W1115" s="19"/>
      <c r="X1115" s="19"/>
      <c r="Y1115" s="19"/>
      <c r="Z1115" s="19"/>
      <c r="AA1115" s="19"/>
      <c r="AB1115" s="19"/>
      <c r="FE1115" s="54"/>
    </row>
    <row r="1116" spans="1:161" s="18" customFormat="1">
      <c r="A1116" s="51"/>
      <c r="B1116" s="735"/>
      <c r="C1116" s="735"/>
      <c r="D1116" s="735"/>
      <c r="E1116" s="735"/>
      <c r="F1116" s="736"/>
      <c r="G1116" s="735"/>
      <c r="H1116" s="735"/>
      <c r="I1116" s="735"/>
      <c r="J1116" s="735"/>
      <c r="K1116" s="735"/>
      <c r="L1116" s="735"/>
      <c r="M1116" s="735"/>
      <c r="N1116" s="735"/>
      <c r="O1116" s="19"/>
      <c r="P1116" s="19"/>
      <c r="Q1116" s="19"/>
      <c r="R1116" s="19"/>
      <c r="S1116" s="19"/>
      <c r="T1116" s="19"/>
      <c r="U1116" s="19"/>
      <c r="V1116" s="19"/>
      <c r="W1116" s="19"/>
      <c r="X1116" s="19"/>
      <c r="Y1116" s="19"/>
      <c r="Z1116" s="19"/>
      <c r="AA1116" s="19"/>
      <c r="AB1116" s="19"/>
      <c r="FE1116" s="54"/>
    </row>
    <row r="1117" spans="1:161" s="18" customFormat="1">
      <c r="A1117" s="51"/>
      <c r="B1117" s="735"/>
      <c r="C1117" s="735"/>
      <c r="D1117" s="735"/>
      <c r="E1117" s="735"/>
      <c r="F1117" s="736"/>
      <c r="G1117" s="735"/>
      <c r="H1117" s="735"/>
      <c r="I1117" s="735"/>
      <c r="J1117" s="735"/>
      <c r="K1117" s="735"/>
      <c r="L1117" s="735"/>
      <c r="M1117" s="735"/>
      <c r="N1117" s="735"/>
      <c r="O1117" s="19"/>
      <c r="P1117" s="19"/>
      <c r="Q1117" s="19"/>
      <c r="R1117" s="19"/>
      <c r="S1117" s="19"/>
      <c r="T1117" s="19"/>
      <c r="U1117" s="19"/>
      <c r="V1117" s="19"/>
      <c r="W1117" s="19"/>
      <c r="X1117" s="19"/>
      <c r="Y1117" s="19"/>
      <c r="Z1117" s="19"/>
      <c r="AA1117" s="19"/>
      <c r="AB1117" s="19"/>
      <c r="FE1117" s="54"/>
    </row>
    <row r="1118" spans="1:161" s="18" customFormat="1">
      <c r="A1118" s="51"/>
      <c r="B1118" s="735"/>
      <c r="C1118" s="735"/>
      <c r="D1118" s="735"/>
      <c r="E1118" s="735"/>
      <c r="F1118" s="736"/>
      <c r="G1118" s="735"/>
      <c r="H1118" s="735"/>
      <c r="I1118" s="735"/>
      <c r="J1118" s="735"/>
      <c r="K1118" s="735"/>
      <c r="L1118" s="735"/>
      <c r="M1118" s="735"/>
      <c r="N1118" s="735"/>
      <c r="O1118" s="19"/>
      <c r="P1118" s="19"/>
      <c r="Q1118" s="19"/>
      <c r="R1118" s="19"/>
      <c r="S1118" s="19"/>
      <c r="T1118" s="19"/>
      <c r="U1118" s="19"/>
      <c r="V1118" s="19"/>
      <c r="W1118" s="19"/>
      <c r="X1118" s="19"/>
      <c r="Y1118" s="19"/>
      <c r="Z1118" s="19"/>
      <c r="AA1118" s="19"/>
      <c r="AB1118" s="19"/>
      <c r="FE1118" s="54"/>
    </row>
    <row r="1119" spans="1:161" s="18" customFormat="1">
      <c r="A1119" s="51"/>
      <c r="B1119" s="735"/>
      <c r="C1119" s="735"/>
      <c r="D1119" s="735"/>
      <c r="E1119" s="735"/>
      <c r="F1119" s="736"/>
      <c r="G1119" s="735"/>
      <c r="H1119" s="735"/>
      <c r="I1119" s="735"/>
      <c r="J1119" s="735"/>
      <c r="K1119" s="735"/>
      <c r="L1119" s="735"/>
      <c r="M1119" s="735"/>
      <c r="N1119" s="735"/>
      <c r="O1119" s="19"/>
      <c r="P1119" s="19"/>
      <c r="Q1119" s="19"/>
      <c r="R1119" s="19"/>
      <c r="S1119" s="19"/>
      <c r="T1119" s="19"/>
      <c r="U1119" s="19"/>
      <c r="V1119" s="19"/>
      <c r="W1119" s="19"/>
      <c r="X1119" s="19"/>
      <c r="Y1119" s="19"/>
      <c r="Z1119" s="19"/>
      <c r="AA1119" s="19"/>
      <c r="AB1119" s="19"/>
      <c r="FE1119" s="54"/>
    </row>
    <row r="1120" spans="1:161" s="18" customFormat="1">
      <c r="A1120" s="51"/>
      <c r="B1120" s="735"/>
      <c r="C1120" s="735"/>
      <c r="D1120" s="735"/>
      <c r="E1120" s="735"/>
      <c r="F1120" s="736"/>
      <c r="G1120" s="735"/>
      <c r="H1120" s="735"/>
      <c r="I1120" s="735"/>
      <c r="J1120" s="735"/>
      <c r="K1120" s="735"/>
      <c r="L1120" s="735"/>
      <c r="M1120" s="735"/>
      <c r="N1120" s="735"/>
      <c r="O1120" s="19"/>
      <c r="P1120" s="19"/>
      <c r="Q1120" s="19"/>
      <c r="R1120" s="19"/>
      <c r="S1120" s="19"/>
      <c r="T1120" s="19"/>
      <c r="U1120" s="19"/>
      <c r="V1120" s="19"/>
      <c r="W1120" s="19"/>
      <c r="X1120" s="19"/>
      <c r="Y1120" s="19"/>
      <c r="Z1120" s="19"/>
      <c r="AA1120" s="19"/>
      <c r="AB1120" s="19"/>
      <c r="FE1120" s="54"/>
    </row>
    <row r="1121" spans="1:161" s="18" customFormat="1">
      <c r="A1121" s="51"/>
      <c r="B1121" s="735"/>
      <c r="C1121" s="735"/>
      <c r="D1121" s="735"/>
      <c r="E1121" s="735"/>
      <c r="F1121" s="736"/>
      <c r="G1121" s="735"/>
      <c r="H1121" s="735"/>
      <c r="I1121" s="735"/>
      <c r="J1121" s="735"/>
      <c r="K1121" s="735"/>
      <c r="L1121" s="735"/>
      <c r="M1121" s="735"/>
      <c r="N1121" s="735"/>
      <c r="O1121" s="19"/>
      <c r="P1121" s="19"/>
      <c r="Q1121" s="19"/>
      <c r="R1121" s="19"/>
      <c r="S1121" s="19"/>
      <c r="T1121" s="19"/>
      <c r="U1121" s="19"/>
      <c r="V1121" s="19"/>
      <c r="W1121" s="19"/>
      <c r="X1121" s="19"/>
      <c r="Y1121" s="19"/>
      <c r="Z1121" s="19"/>
      <c r="AA1121" s="19"/>
      <c r="AB1121" s="19"/>
      <c r="FE1121" s="54"/>
    </row>
    <row r="1122" spans="1:161" s="18" customFormat="1">
      <c r="A1122" s="51"/>
      <c r="B1122" s="735"/>
      <c r="C1122" s="735"/>
      <c r="D1122" s="735"/>
      <c r="E1122" s="735"/>
      <c r="F1122" s="736"/>
      <c r="G1122" s="735"/>
      <c r="H1122" s="735"/>
      <c r="I1122" s="735"/>
      <c r="J1122" s="735"/>
      <c r="K1122" s="735"/>
      <c r="L1122" s="735"/>
      <c r="M1122" s="735"/>
      <c r="N1122" s="735"/>
      <c r="O1122" s="19"/>
      <c r="P1122" s="19"/>
      <c r="Q1122" s="19"/>
      <c r="R1122" s="19"/>
      <c r="S1122" s="19"/>
      <c r="T1122" s="19"/>
      <c r="U1122" s="19"/>
      <c r="V1122" s="19"/>
      <c r="W1122" s="19"/>
      <c r="X1122" s="19"/>
      <c r="Y1122" s="19"/>
      <c r="Z1122" s="19"/>
      <c r="AA1122" s="19"/>
      <c r="AB1122" s="19"/>
      <c r="FE1122" s="54"/>
    </row>
    <row r="1123" spans="1:161" s="18" customFormat="1">
      <c r="A1123" s="51"/>
      <c r="B1123" s="735"/>
      <c r="C1123" s="735"/>
      <c r="D1123" s="735"/>
      <c r="E1123" s="735"/>
      <c r="F1123" s="736"/>
      <c r="G1123" s="735"/>
      <c r="H1123" s="735"/>
      <c r="I1123" s="735"/>
      <c r="J1123" s="735"/>
      <c r="K1123" s="735"/>
      <c r="L1123" s="735"/>
      <c r="M1123" s="735"/>
      <c r="N1123" s="735"/>
      <c r="O1123" s="19"/>
      <c r="P1123" s="19"/>
      <c r="Q1123" s="19"/>
      <c r="R1123" s="19"/>
      <c r="S1123" s="19"/>
      <c r="T1123" s="19"/>
      <c r="U1123" s="19"/>
      <c r="V1123" s="19"/>
      <c r="W1123" s="19"/>
      <c r="X1123" s="19"/>
      <c r="Y1123" s="19"/>
      <c r="Z1123" s="19"/>
      <c r="AA1123" s="19"/>
      <c r="AB1123" s="19"/>
      <c r="FE1123" s="54"/>
    </row>
    <row r="1124" spans="1:161" s="18" customFormat="1">
      <c r="A1124" s="51"/>
      <c r="B1124" s="735"/>
      <c r="C1124" s="735"/>
      <c r="D1124" s="735"/>
      <c r="E1124" s="735"/>
      <c r="F1124" s="736"/>
      <c r="G1124" s="735"/>
      <c r="H1124" s="735"/>
      <c r="I1124" s="735"/>
      <c r="J1124" s="735"/>
      <c r="K1124" s="735"/>
      <c r="L1124" s="735"/>
      <c r="M1124" s="735"/>
      <c r="N1124" s="735"/>
      <c r="O1124" s="19"/>
      <c r="P1124" s="19"/>
      <c r="Q1124" s="19"/>
      <c r="R1124" s="19"/>
      <c r="S1124" s="19"/>
      <c r="T1124" s="19"/>
      <c r="U1124" s="19"/>
      <c r="V1124" s="19"/>
      <c r="W1124" s="19"/>
      <c r="X1124" s="19"/>
      <c r="Y1124" s="19"/>
      <c r="Z1124" s="19"/>
      <c r="AA1124" s="19"/>
      <c r="AB1124" s="19"/>
      <c r="FE1124" s="54"/>
    </row>
    <row r="1125" spans="1:161" s="18" customFormat="1">
      <c r="A1125" s="51"/>
      <c r="B1125" s="735"/>
      <c r="C1125" s="735"/>
      <c r="D1125" s="735"/>
      <c r="E1125" s="735"/>
      <c r="F1125" s="736"/>
      <c r="G1125" s="735"/>
      <c r="H1125" s="735"/>
      <c r="I1125" s="735"/>
      <c r="J1125" s="735"/>
      <c r="K1125" s="735"/>
      <c r="L1125" s="735"/>
      <c r="M1125" s="735"/>
      <c r="N1125" s="735"/>
      <c r="O1125" s="19"/>
      <c r="P1125" s="19"/>
      <c r="Q1125" s="19"/>
      <c r="R1125" s="19"/>
      <c r="S1125" s="19"/>
      <c r="T1125" s="19"/>
      <c r="U1125" s="19"/>
      <c r="V1125" s="19"/>
      <c r="W1125" s="19"/>
      <c r="X1125" s="19"/>
      <c r="Y1125" s="19"/>
      <c r="Z1125" s="19"/>
      <c r="AA1125" s="19"/>
      <c r="AB1125" s="19"/>
      <c r="FE1125" s="54"/>
    </row>
    <row r="1126" spans="1:161" s="18" customFormat="1">
      <c r="A1126" s="51"/>
      <c r="B1126" s="735"/>
      <c r="C1126" s="735"/>
      <c r="D1126" s="735"/>
      <c r="E1126" s="735"/>
      <c r="F1126" s="736"/>
      <c r="G1126" s="735"/>
      <c r="H1126" s="735"/>
      <c r="I1126" s="735"/>
      <c r="J1126" s="735"/>
      <c r="K1126" s="735"/>
      <c r="L1126" s="735"/>
      <c r="M1126" s="735"/>
      <c r="N1126" s="735"/>
      <c r="O1126" s="19"/>
      <c r="P1126" s="19"/>
      <c r="Q1126" s="19"/>
      <c r="R1126" s="19"/>
      <c r="S1126" s="19"/>
      <c r="T1126" s="19"/>
      <c r="U1126" s="19"/>
      <c r="V1126" s="19"/>
      <c r="W1126" s="19"/>
      <c r="X1126" s="19"/>
      <c r="Y1126" s="19"/>
      <c r="Z1126" s="19"/>
      <c r="AA1126" s="19"/>
      <c r="AB1126" s="19"/>
      <c r="FE1126" s="54"/>
    </row>
    <row r="1127" spans="1:161" s="18" customFormat="1">
      <c r="A1127" s="51"/>
      <c r="B1127" s="735"/>
      <c r="C1127" s="735"/>
      <c r="D1127" s="735"/>
      <c r="E1127" s="735"/>
      <c r="F1127" s="736"/>
      <c r="G1127" s="735"/>
      <c r="H1127" s="735"/>
      <c r="I1127" s="735"/>
      <c r="J1127" s="735"/>
      <c r="K1127" s="735"/>
      <c r="L1127" s="735"/>
      <c r="M1127" s="735"/>
      <c r="N1127" s="735"/>
      <c r="O1127" s="19"/>
      <c r="P1127" s="19"/>
      <c r="Q1127" s="19"/>
      <c r="R1127" s="19"/>
      <c r="S1127" s="19"/>
      <c r="T1127" s="19"/>
      <c r="U1127" s="19"/>
      <c r="V1127" s="19"/>
      <c r="W1127" s="19"/>
      <c r="X1127" s="19"/>
      <c r="Y1127" s="19"/>
      <c r="Z1127" s="19"/>
      <c r="AA1127" s="19"/>
      <c r="AB1127" s="19"/>
      <c r="FE1127" s="54"/>
    </row>
    <row r="1128" spans="1:161" s="18" customFormat="1">
      <c r="A1128" s="51"/>
      <c r="B1128" s="735"/>
      <c r="C1128" s="735"/>
      <c r="D1128" s="735"/>
      <c r="E1128" s="735"/>
      <c r="F1128" s="736"/>
      <c r="G1128" s="735"/>
      <c r="H1128" s="735"/>
      <c r="I1128" s="735"/>
      <c r="J1128" s="735"/>
      <c r="K1128" s="735"/>
      <c r="L1128" s="735"/>
      <c r="M1128" s="735"/>
      <c r="N1128" s="735"/>
      <c r="O1128" s="19"/>
      <c r="P1128" s="19"/>
      <c r="Q1128" s="19"/>
      <c r="R1128" s="19"/>
      <c r="S1128" s="19"/>
      <c r="T1128" s="19"/>
      <c r="U1128" s="19"/>
      <c r="V1128" s="19"/>
      <c r="W1128" s="19"/>
      <c r="X1128" s="19"/>
      <c r="Y1128" s="19"/>
      <c r="Z1128" s="19"/>
      <c r="AA1128" s="19"/>
      <c r="AB1128" s="19"/>
      <c r="FE1128" s="54"/>
    </row>
    <row r="1129" spans="1:161" s="18" customFormat="1">
      <c r="A1129" s="51"/>
      <c r="B1129" s="735"/>
      <c r="C1129" s="735"/>
      <c r="D1129" s="735"/>
      <c r="E1129" s="735"/>
      <c r="F1129" s="736"/>
      <c r="G1129" s="735"/>
      <c r="H1129" s="735"/>
      <c r="I1129" s="735"/>
      <c r="J1129" s="735"/>
      <c r="K1129" s="735"/>
      <c r="L1129" s="735"/>
      <c r="M1129" s="735"/>
      <c r="N1129" s="735"/>
      <c r="O1129" s="19"/>
      <c r="P1129" s="19"/>
      <c r="Q1129" s="19"/>
      <c r="R1129" s="19"/>
      <c r="S1129" s="19"/>
      <c r="T1129" s="19"/>
      <c r="U1129" s="19"/>
      <c r="V1129" s="19"/>
      <c r="W1129" s="19"/>
      <c r="X1129" s="19"/>
      <c r="Y1129" s="19"/>
      <c r="Z1129" s="19"/>
      <c r="AA1129" s="19"/>
      <c r="AB1129" s="19"/>
      <c r="FE1129" s="54"/>
    </row>
    <row r="1130" spans="1:161" s="18" customFormat="1">
      <c r="A1130" s="51"/>
      <c r="B1130" s="735"/>
      <c r="C1130" s="735"/>
      <c r="D1130" s="735"/>
      <c r="E1130" s="735"/>
      <c r="F1130" s="736"/>
      <c r="G1130" s="735"/>
      <c r="H1130" s="735"/>
      <c r="I1130" s="735"/>
      <c r="J1130" s="735"/>
      <c r="K1130" s="735"/>
      <c r="L1130" s="735"/>
      <c r="M1130" s="735"/>
      <c r="N1130" s="735"/>
      <c r="O1130" s="19"/>
      <c r="P1130" s="19"/>
      <c r="Q1130" s="19"/>
      <c r="R1130" s="19"/>
      <c r="S1130" s="19"/>
      <c r="T1130" s="19"/>
      <c r="U1130" s="19"/>
      <c r="V1130" s="19"/>
      <c r="W1130" s="19"/>
      <c r="X1130" s="19"/>
      <c r="Y1130" s="19"/>
      <c r="Z1130" s="19"/>
      <c r="AA1130" s="19"/>
      <c r="AB1130" s="19"/>
      <c r="FE1130" s="54"/>
    </row>
    <row r="1131" spans="1:161" s="18" customFormat="1">
      <c r="A1131" s="51"/>
      <c r="B1131" s="735"/>
      <c r="C1131" s="735"/>
      <c r="D1131" s="735"/>
      <c r="E1131" s="735"/>
      <c r="F1131" s="736"/>
      <c r="G1131" s="735"/>
      <c r="H1131" s="735"/>
      <c r="I1131" s="735"/>
      <c r="J1131" s="735"/>
      <c r="K1131" s="735"/>
      <c r="L1131" s="735"/>
      <c r="M1131" s="735"/>
      <c r="N1131" s="735"/>
      <c r="O1131" s="19"/>
      <c r="P1131" s="19"/>
      <c r="Q1131" s="19"/>
      <c r="R1131" s="19"/>
      <c r="S1131" s="19"/>
      <c r="T1131" s="19"/>
      <c r="U1131" s="19"/>
      <c r="V1131" s="19"/>
      <c r="W1131" s="19"/>
      <c r="X1131" s="19"/>
      <c r="Y1131" s="19"/>
      <c r="Z1131" s="19"/>
      <c r="AA1131" s="19"/>
      <c r="AB1131" s="19"/>
      <c r="FE1131" s="54"/>
    </row>
    <row r="1132" spans="1:161" s="18" customFormat="1">
      <c r="A1132" s="51"/>
      <c r="B1132" s="735"/>
      <c r="C1132" s="735"/>
      <c r="D1132" s="735"/>
      <c r="E1132" s="735"/>
      <c r="F1132" s="736"/>
      <c r="G1132" s="735"/>
      <c r="H1132" s="735"/>
      <c r="I1132" s="735"/>
      <c r="J1132" s="735"/>
      <c r="K1132" s="735"/>
      <c r="L1132" s="735"/>
      <c r="M1132" s="735"/>
      <c r="N1132" s="735"/>
      <c r="O1132" s="19"/>
      <c r="P1132" s="19"/>
      <c r="Q1132" s="19"/>
      <c r="R1132" s="19"/>
      <c r="S1132" s="19"/>
      <c r="T1132" s="19"/>
      <c r="U1132" s="19"/>
      <c r="V1132" s="19"/>
      <c r="W1132" s="19"/>
      <c r="X1132" s="19"/>
      <c r="Y1132" s="19"/>
      <c r="Z1132" s="19"/>
      <c r="AA1132" s="19"/>
      <c r="AB1132" s="19"/>
      <c r="FE1132" s="54"/>
    </row>
    <row r="1133" spans="1:161" s="18" customFormat="1">
      <c r="A1133" s="51"/>
      <c r="B1133" s="735"/>
      <c r="C1133" s="735"/>
      <c r="D1133" s="735"/>
      <c r="E1133" s="735"/>
      <c r="F1133" s="736"/>
      <c r="G1133" s="735"/>
      <c r="H1133" s="735"/>
      <c r="I1133" s="735"/>
      <c r="J1133" s="735"/>
      <c r="K1133" s="735"/>
      <c r="L1133" s="735"/>
      <c r="M1133" s="735"/>
      <c r="N1133" s="735"/>
      <c r="O1133" s="19"/>
      <c r="P1133" s="19"/>
      <c r="Q1133" s="19"/>
      <c r="R1133" s="19"/>
      <c r="S1133" s="19"/>
      <c r="T1133" s="19"/>
      <c r="U1133" s="19"/>
      <c r="V1133" s="19"/>
      <c r="W1133" s="19"/>
      <c r="X1133" s="19"/>
      <c r="Y1133" s="19"/>
      <c r="Z1133" s="19"/>
      <c r="AA1133" s="19"/>
      <c r="AB1133" s="19"/>
      <c r="FE1133" s="54"/>
    </row>
    <row r="1134" spans="1:161" s="18" customFormat="1">
      <c r="A1134" s="51"/>
      <c r="B1134" s="735"/>
      <c r="C1134" s="735"/>
      <c r="D1134" s="735"/>
      <c r="E1134" s="735"/>
      <c r="F1134" s="736"/>
      <c r="G1134" s="735"/>
      <c r="H1134" s="735"/>
      <c r="I1134" s="735"/>
      <c r="J1134" s="735"/>
      <c r="K1134" s="735"/>
      <c r="L1134" s="735"/>
      <c r="M1134" s="735"/>
      <c r="N1134" s="735"/>
      <c r="O1134" s="19"/>
      <c r="P1134" s="19"/>
      <c r="Q1134" s="19"/>
      <c r="R1134" s="19"/>
      <c r="S1134" s="19"/>
      <c r="T1134" s="19"/>
      <c r="U1134" s="19"/>
      <c r="V1134" s="19"/>
      <c r="W1134" s="19"/>
      <c r="X1134" s="19"/>
      <c r="Y1134" s="19"/>
      <c r="Z1134" s="19"/>
      <c r="AA1134" s="19"/>
      <c r="AB1134" s="19"/>
      <c r="FE1134" s="54"/>
    </row>
    <row r="1135" spans="1:161" s="18" customFormat="1">
      <c r="A1135" s="51"/>
      <c r="B1135" s="735"/>
      <c r="C1135" s="735"/>
      <c r="D1135" s="735"/>
      <c r="E1135" s="735"/>
      <c r="F1135" s="736"/>
      <c r="G1135" s="735"/>
      <c r="H1135" s="735"/>
      <c r="I1135" s="735"/>
      <c r="J1135" s="735"/>
      <c r="K1135" s="735"/>
      <c r="L1135" s="735"/>
      <c r="M1135" s="735"/>
      <c r="N1135" s="735"/>
      <c r="O1135" s="19"/>
      <c r="P1135" s="19"/>
      <c r="Q1135" s="19"/>
      <c r="R1135" s="19"/>
      <c r="S1135" s="19"/>
      <c r="T1135" s="19"/>
      <c r="U1135" s="19"/>
      <c r="V1135" s="19"/>
      <c r="W1135" s="19"/>
      <c r="X1135" s="19"/>
      <c r="Y1135" s="19"/>
      <c r="Z1135" s="19"/>
      <c r="AA1135" s="19"/>
      <c r="AB1135" s="19"/>
      <c r="FE1135" s="54"/>
    </row>
    <row r="1136" spans="1:161" s="18" customFormat="1">
      <c r="A1136" s="51"/>
      <c r="B1136" s="735"/>
      <c r="C1136" s="735"/>
      <c r="D1136" s="735"/>
      <c r="E1136" s="735"/>
      <c r="F1136" s="736"/>
      <c r="G1136" s="735"/>
      <c r="H1136" s="735"/>
      <c r="I1136" s="735"/>
      <c r="J1136" s="735"/>
      <c r="K1136" s="735"/>
      <c r="L1136" s="735"/>
      <c r="M1136" s="735"/>
      <c r="N1136" s="735"/>
      <c r="O1136" s="19"/>
      <c r="P1136" s="19"/>
      <c r="Q1136" s="19"/>
      <c r="R1136" s="19"/>
      <c r="S1136" s="19"/>
      <c r="T1136" s="19"/>
      <c r="U1136" s="19"/>
      <c r="V1136" s="19"/>
      <c r="W1136" s="19"/>
      <c r="X1136" s="19"/>
      <c r="Y1136" s="19"/>
      <c r="Z1136" s="19"/>
      <c r="AA1136" s="19"/>
      <c r="AB1136" s="19"/>
      <c r="FE1136" s="54"/>
    </row>
    <row r="1137" spans="1:161" s="18" customFormat="1">
      <c r="A1137" s="51"/>
      <c r="B1137" s="735"/>
      <c r="C1137" s="735"/>
      <c r="D1137" s="735"/>
      <c r="E1137" s="735"/>
      <c r="F1137" s="736"/>
      <c r="G1137" s="735"/>
      <c r="H1137" s="735"/>
      <c r="I1137" s="735"/>
      <c r="J1137" s="735"/>
      <c r="K1137" s="735"/>
      <c r="L1137" s="735"/>
      <c r="M1137" s="735"/>
      <c r="N1137" s="735"/>
      <c r="O1137" s="19"/>
      <c r="P1137" s="19"/>
      <c r="Q1137" s="19"/>
      <c r="R1137" s="19"/>
      <c r="S1137" s="19"/>
      <c r="T1137" s="19"/>
      <c r="U1137" s="19"/>
      <c r="V1137" s="19"/>
      <c r="W1137" s="19"/>
      <c r="X1137" s="19"/>
      <c r="Y1137" s="19"/>
      <c r="Z1137" s="19"/>
      <c r="AA1137" s="19"/>
      <c r="AB1137" s="19"/>
      <c r="FE1137" s="54"/>
    </row>
    <row r="1138" spans="1:161" s="18" customFormat="1">
      <c r="A1138" s="51"/>
      <c r="B1138" s="735"/>
      <c r="C1138" s="735"/>
      <c r="D1138" s="735"/>
      <c r="E1138" s="735"/>
      <c r="F1138" s="736"/>
      <c r="G1138" s="735"/>
      <c r="H1138" s="735"/>
      <c r="I1138" s="735"/>
      <c r="J1138" s="735"/>
      <c r="K1138" s="735"/>
      <c r="L1138" s="735"/>
      <c r="M1138" s="735"/>
      <c r="N1138" s="735"/>
      <c r="O1138" s="19"/>
      <c r="P1138" s="19"/>
      <c r="Q1138" s="19"/>
      <c r="R1138" s="19"/>
      <c r="S1138" s="19"/>
      <c r="T1138" s="19"/>
      <c r="U1138" s="19"/>
      <c r="V1138" s="19"/>
      <c r="W1138" s="19"/>
      <c r="X1138" s="19"/>
      <c r="Y1138" s="19"/>
      <c r="Z1138" s="19"/>
      <c r="AA1138" s="19"/>
      <c r="AB1138" s="19"/>
      <c r="FE1138" s="54"/>
    </row>
    <row r="1139" spans="1:161" s="18" customFormat="1">
      <c r="A1139" s="51"/>
      <c r="B1139" s="735"/>
      <c r="C1139" s="735"/>
      <c r="D1139" s="735"/>
      <c r="E1139" s="735"/>
      <c r="F1139" s="736"/>
      <c r="G1139" s="735"/>
      <c r="H1139" s="735"/>
      <c r="I1139" s="735"/>
      <c r="J1139" s="735"/>
      <c r="K1139" s="735"/>
      <c r="L1139" s="735"/>
      <c r="M1139" s="735"/>
      <c r="N1139" s="735"/>
      <c r="O1139" s="19"/>
      <c r="P1139" s="19"/>
      <c r="Q1139" s="19"/>
      <c r="R1139" s="19"/>
      <c r="S1139" s="19"/>
      <c r="T1139" s="19"/>
      <c r="U1139" s="19"/>
      <c r="V1139" s="19"/>
      <c r="W1139" s="19"/>
      <c r="X1139" s="19"/>
      <c r="Y1139" s="19"/>
      <c r="Z1139" s="19"/>
      <c r="AA1139" s="19"/>
      <c r="AB1139" s="19"/>
      <c r="FE1139" s="54"/>
    </row>
    <row r="1140" spans="1:161" s="18" customFormat="1">
      <c r="A1140" s="51"/>
      <c r="B1140" s="735"/>
      <c r="C1140" s="735"/>
      <c r="D1140" s="735"/>
      <c r="E1140" s="735"/>
      <c r="F1140" s="736"/>
      <c r="G1140" s="735"/>
      <c r="H1140" s="735"/>
      <c r="I1140" s="735"/>
      <c r="J1140" s="735"/>
      <c r="K1140" s="735"/>
      <c r="L1140" s="735"/>
      <c r="M1140" s="735"/>
      <c r="N1140" s="735"/>
      <c r="O1140" s="19"/>
      <c r="P1140" s="19"/>
      <c r="Q1140" s="19"/>
      <c r="R1140" s="19"/>
      <c r="S1140" s="19"/>
      <c r="T1140" s="19"/>
      <c r="U1140" s="19"/>
      <c r="V1140" s="19"/>
      <c r="W1140" s="19"/>
      <c r="X1140" s="19"/>
      <c r="Y1140" s="19"/>
      <c r="Z1140" s="19"/>
      <c r="AA1140" s="19"/>
      <c r="AB1140" s="19"/>
      <c r="FE1140" s="54"/>
    </row>
    <row r="1141" spans="1:161" s="18" customFormat="1">
      <c r="A1141" s="51"/>
      <c r="B1141" s="735"/>
      <c r="C1141" s="735"/>
      <c r="D1141" s="735"/>
      <c r="E1141" s="735"/>
      <c r="F1141" s="736"/>
      <c r="G1141" s="735"/>
      <c r="H1141" s="735"/>
      <c r="I1141" s="735"/>
      <c r="J1141" s="735"/>
      <c r="K1141" s="735"/>
      <c r="L1141" s="735"/>
      <c r="M1141" s="735"/>
      <c r="N1141" s="735"/>
      <c r="O1141" s="19"/>
      <c r="P1141" s="19"/>
      <c r="Q1141" s="19"/>
      <c r="R1141" s="19"/>
      <c r="S1141" s="19"/>
      <c r="T1141" s="19"/>
      <c r="U1141" s="19"/>
      <c r="V1141" s="19"/>
      <c r="W1141" s="19"/>
      <c r="X1141" s="19"/>
      <c r="Y1141" s="19"/>
      <c r="Z1141" s="19"/>
      <c r="AA1141" s="19"/>
      <c r="AB1141" s="19"/>
      <c r="FE1141" s="54"/>
    </row>
    <row r="1142" spans="1:161" s="18" customFormat="1">
      <c r="A1142" s="51"/>
      <c r="B1142" s="735"/>
      <c r="C1142" s="735"/>
      <c r="D1142" s="735"/>
      <c r="E1142" s="735"/>
      <c r="F1142" s="736"/>
      <c r="G1142" s="735"/>
      <c r="H1142" s="735"/>
      <c r="I1142" s="735"/>
      <c r="J1142" s="735"/>
      <c r="K1142" s="735"/>
      <c r="L1142" s="735"/>
      <c r="M1142" s="735"/>
      <c r="N1142" s="735"/>
      <c r="O1142" s="19"/>
      <c r="P1142" s="19"/>
      <c r="Q1142" s="19"/>
      <c r="R1142" s="19"/>
      <c r="S1142" s="19"/>
      <c r="T1142" s="19"/>
      <c r="U1142" s="19"/>
      <c r="V1142" s="19"/>
      <c r="W1142" s="19"/>
      <c r="X1142" s="19"/>
      <c r="Y1142" s="19"/>
      <c r="Z1142" s="19"/>
      <c r="AA1142" s="19"/>
      <c r="AB1142" s="19"/>
      <c r="FE1142" s="54"/>
    </row>
    <row r="1143" spans="1:161" s="18" customFormat="1">
      <c r="A1143" s="51"/>
      <c r="B1143" s="735"/>
      <c r="C1143" s="735"/>
      <c r="D1143" s="735"/>
      <c r="E1143" s="735"/>
      <c r="F1143" s="736"/>
      <c r="G1143" s="735"/>
      <c r="H1143" s="735"/>
      <c r="I1143" s="735"/>
      <c r="J1143" s="735"/>
      <c r="K1143" s="735"/>
      <c r="L1143" s="735"/>
      <c r="M1143" s="735"/>
      <c r="N1143" s="735"/>
      <c r="O1143" s="19"/>
      <c r="P1143" s="19"/>
      <c r="Q1143" s="19"/>
      <c r="R1143" s="19"/>
      <c r="S1143" s="19"/>
      <c r="T1143" s="19"/>
      <c r="U1143" s="19"/>
      <c r="V1143" s="19"/>
      <c r="W1143" s="19"/>
      <c r="X1143" s="19"/>
      <c r="Y1143" s="19"/>
      <c r="Z1143" s="19"/>
      <c r="AA1143" s="19"/>
      <c r="AB1143" s="19"/>
      <c r="FE1143" s="54"/>
    </row>
    <row r="1144" spans="1:161" s="18" customFormat="1">
      <c r="A1144" s="51"/>
      <c r="B1144" s="735"/>
      <c r="C1144" s="735"/>
      <c r="D1144" s="735"/>
      <c r="E1144" s="735"/>
      <c r="F1144" s="736"/>
      <c r="G1144" s="735"/>
      <c r="H1144" s="735"/>
      <c r="I1144" s="735"/>
      <c r="J1144" s="735"/>
      <c r="K1144" s="735"/>
      <c r="L1144" s="735"/>
      <c r="M1144" s="735"/>
      <c r="N1144" s="735"/>
      <c r="O1144" s="19"/>
      <c r="P1144" s="19"/>
      <c r="Q1144" s="19"/>
      <c r="R1144" s="19"/>
      <c r="S1144" s="19"/>
      <c r="T1144" s="19"/>
      <c r="U1144" s="19"/>
      <c r="V1144" s="19"/>
      <c r="W1144" s="19"/>
      <c r="X1144" s="19"/>
      <c r="Y1144" s="19"/>
      <c r="Z1144" s="19"/>
      <c r="AA1144" s="19"/>
      <c r="AB1144" s="19"/>
      <c r="FE1144" s="54"/>
    </row>
    <row r="1145" spans="1:161" s="18" customFormat="1">
      <c r="A1145" s="51"/>
      <c r="B1145" s="735"/>
      <c r="C1145" s="735"/>
      <c r="D1145" s="735"/>
      <c r="E1145" s="735"/>
      <c r="F1145" s="736"/>
      <c r="G1145" s="735"/>
      <c r="H1145" s="735"/>
      <c r="I1145" s="735"/>
      <c r="J1145" s="735"/>
      <c r="K1145" s="735"/>
      <c r="L1145" s="735"/>
      <c r="M1145" s="735"/>
      <c r="N1145" s="735"/>
      <c r="O1145" s="19"/>
      <c r="P1145" s="19"/>
      <c r="Q1145" s="19"/>
      <c r="R1145" s="19"/>
      <c r="S1145" s="19"/>
      <c r="T1145" s="19"/>
      <c r="U1145" s="19"/>
      <c r="V1145" s="19"/>
      <c r="W1145" s="19"/>
      <c r="X1145" s="19"/>
      <c r="Y1145" s="19"/>
      <c r="Z1145" s="19"/>
      <c r="AA1145" s="19"/>
      <c r="AB1145" s="19"/>
      <c r="FE1145" s="54"/>
    </row>
    <row r="1146" spans="1:161" s="18" customFormat="1">
      <c r="A1146" s="51"/>
      <c r="B1146" s="735"/>
      <c r="C1146" s="735"/>
      <c r="D1146" s="735"/>
      <c r="E1146" s="735"/>
      <c r="F1146" s="736"/>
      <c r="G1146" s="735"/>
      <c r="H1146" s="735"/>
      <c r="I1146" s="735"/>
      <c r="J1146" s="735"/>
      <c r="K1146" s="735"/>
      <c r="L1146" s="735"/>
      <c r="M1146" s="735"/>
      <c r="N1146" s="735"/>
      <c r="O1146" s="19"/>
      <c r="P1146" s="19"/>
      <c r="Q1146" s="19"/>
      <c r="R1146" s="19"/>
      <c r="S1146" s="19"/>
      <c r="T1146" s="19"/>
      <c r="U1146" s="19"/>
      <c r="V1146" s="19"/>
      <c r="W1146" s="19"/>
      <c r="X1146" s="19"/>
      <c r="Y1146" s="19"/>
      <c r="Z1146" s="19"/>
      <c r="AA1146" s="19"/>
      <c r="AB1146" s="19"/>
      <c r="FE1146" s="54"/>
    </row>
    <row r="1147" spans="1:161" s="18" customFormat="1">
      <c r="A1147" s="51"/>
      <c r="B1147" s="735"/>
      <c r="C1147" s="735"/>
      <c r="D1147" s="735"/>
      <c r="E1147" s="735"/>
      <c r="F1147" s="736"/>
      <c r="G1147" s="735"/>
      <c r="H1147" s="735"/>
      <c r="I1147" s="735"/>
      <c r="J1147" s="735"/>
      <c r="K1147" s="735"/>
      <c r="L1147" s="735"/>
      <c r="M1147" s="735"/>
      <c r="N1147" s="735"/>
      <c r="O1147" s="19"/>
      <c r="P1147" s="19"/>
      <c r="Q1147" s="19"/>
      <c r="R1147" s="19"/>
      <c r="S1147" s="19"/>
      <c r="T1147" s="19"/>
      <c r="U1147" s="19"/>
      <c r="V1147" s="19"/>
      <c r="W1147" s="19"/>
      <c r="X1147" s="19"/>
      <c r="Y1147" s="19"/>
      <c r="Z1147" s="19"/>
      <c r="AA1147" s="19"/>
      <c r="AB1147" s="19"/>
      <c r="FE1147" s="54"/>
    </row>
    <row r="1148" spans="1:161" s="18" customFormat="1">
      <c r="A1148" s="51"/>
      <c r="B1148" s="735"/>
      <c r="C1148" s="735"/>
      <c r="D1148" s="735"/>
      <c r="E1148" s="735"/>
      <c r="F1148" s="736"/>
      <c r="G1148" s="735"/>
      <c r="H1148" s="735"/>
      <c r="I1148" s="735"/>
      <c r="J1148" s="735"/>
      <c r="K1148" s="735"/>
      <c r="L1148" s="735"/>
      <c r="M1148" s="735"/>
      <c r="N1148" s="735"/>
      <c r="O1148" s="19"/>
      <c r="P1148" s="19"/>
      <c r="Q1148" s="19"/>
      <c r="R1148" s="19"/>
      <c r="S1148" s="19"/>
      <c r="T1148" s="19"/>
      <c r="U1148" s="19"/>
      <c r="V1148" s="19"/>
      <c r="W1148" s="19"/>
      <c r="X1148" s="19"/>
      <c r="Y1148" s="19"/>
      <c r="Z1148" s="19"/>
      <c r="AA1148" s="19"/>
      <c r="AB1148" s="19"/>
      <c r="FE1148" s="54"/>
    </row>
    <row r="1149" spans="1:161" s="18" customFormat="1">
      <c r="A1149" s="51"/>
      <c r="B1149" s="735"/>
      <c r="C1149" s="735"/>
      <c r="D1149" s="735"/>
      <c r="E1149" s="735"/>
      <c r="F1149" s="736"/>
      <c r="G1149" s="735"/>
      <c r="H1149" s="735"/>
      <c r="I1149" s="735"/>
      <c r="J1149" s="735"/>
      <c r="K1149" s="735"/>
      <c r="L1149" s="735"/>
      <c r="M1149" s="735"/>
      <c r="N1149" s="735"/>
      <c r="O1149" s="19"/>
      <c r="P1149" s="19"/>
      <c r="Q1149" s="19"/>
      <c r="R1149" s="19"/>
      <c r="S1149" s="19"/>
      <c r="T1149" s="19"/>
      <c r="U1149" s="19"/>
      <c r="V1149" s="19"/>
      <c r="W1149" s="19"/>
      <c r="X1149" s="19"/>
      <c r="Y1149" s="19"/>
      <c r="Z1149" s="19"/>
      <c r="AA1149" s="19"/>
      <c r="AB1149" s="19"/>
      <c r="FE1149" s="54"/>
    </row>
    <row r="1150" spans="1:161" s="18" customFormat="1">
      <c r="A1150" s="51"/>
      <c r="B1150" s="735"/>
      <c r="C1150" s="735"/>
      <c r="D1150" s="735"/>
      <c r="E1150" s="735"/>
      <c r="F1150" s="736"/>
      <c r="G1150" s="735"/>
      <c r="H1150" s="735"/>
      <c r="I1150" s="735"/>
      <c r="J1150" s="735"/>
      <c r="K1150" s="735"/>
      <c r="L1150" s="735"/>
      <c r="M1150" s="735"/>
      <c r="N1150" s="735"/>
      <c r="O1150" s="19"/>
      <c r="P1150" s="19"/>
      <c r="Q1150" s="19"/>
      <c r="R1150" s="19"/>
      <c r="S1150" s="19"/>
      <c r="T1150" s="19"/>
      <c r="U1150" s="19"/>
      <c r="V1150" s="19"/>
      <c r="W1150" s="19"/>
      <c r="X1150" s="19"/>
      <c r="Y1150" s="19"/>
      <c r="Z1150" s="19"/>
      <c r="AA1150" s="19"/>
      <c r="AB1150" s="19"/>
      <c r="FE1150" s="54"/>
    </row>
    <row r="1151" spans="1:161" s="18" customFormat="1">
      <c r="A1151" s="51"/>
      <c r="B1151" s="735"/>
      <c r="C1151" s="735"/>
      <c r="D1151" s="735"/>
      <c r="E1151" s="735"/>
      <c r="F1151" s="736"/>
      <c r="G1151" s="735"/>
      <c r="H1151" s="735"/>
      <c r="I1151" s="735"/>
      <c r="J1151" s="735"/>
      <c r="K1151" s="735"/>
      <c r="L1151" s="735"/>
      <c r="M1151" s="735"/>
      <c r="N1151" s="735"/>
      <c r="O1151" s="19"/>
      <c r="P1151" s="19"/>
      <c r="Q1151" s="19"/>
      <c r="R1151" s="19"/>
      <c r="S1151" s="19"/>
      <c r="T1151" s="19"/>
      <c r="U1151" s="19"/>
      <c r="V1151" s="19"/>
      <c r="W1151" s="19"/>
      <c r="X1151" s="19"/>
      <c r="Y1151" s="19"/>
      <c r="Z1151" s="19"/>
      <c r="AA1151" s="19"/>
      <c r="AB1151" s="19"/>
      <c r="FE1151" s="54"/>
    </row>
    <row r="1152" spans="1:161" s="18" customFormat="1">
      <c r="A1152" s="51"/>
      <c r="B1152" s="735"/>
      <c r="C1152" s="735"/>
      <c r="D1152" s="735"/>
      <c r="E1152" s="735"/>
      <c r="F1152" s="736"/>
      <c r="G1152" s="735"/>
      <c r="H1152" s="735"/>
      <c r="I1152" s="735"/>
      <c r="J1152" s="735"/>
      <c r="K1152" s="735"/>
      <c r="L1152" s="735"/>
      <c r="M1152" s="735"/>
      <c r="N1152" s="735"/>
      <c r="O1152" s="19"/>
      <c r="P1152" s="19"/>
      <c r="Q1152" s="19"/>
      <c r="R1152" s="19"/>
      <c r="S1152" s="19"/>
      <c r="T1152" s="19"/>
      <c r="U1152" s="19"/>
      <c r="V1152" s="19"/>
      <c r="W1152" s="19"/>
      <c r="X1152" s="19"/>
      <c r="Y1152" s="19"/>
      <c r="Z1152" s="19"/>
      <c r="AA1152" s="19"/>
      <c r="AB1152" s="19"/>
      <c r="FE1152" s="54"/>
    </row>
    <row r="1153" spans="1:161" s="18" customFormat="1">
      <c r="A1153" s="51"/>
      <c r="B1153" s="735"/>
      <c r="C1153" s="735"/>
      <c r="D1153" s="735"/>
      <c r="E1153" s="735"/>
      <c r="F1153" s="736"/>
      <c r="G1153" s="735"/>
      <c r="H1153" s="735"/>
      <c r="I1153" s="735"/>
      <c r="J1153" s="735"/>
      <c r="K1153" s="735"/>
      <c r="L1153" s="735"/>
      <c r="M1153" s="735"/>
      <c r="N1153" s="735"/>
      <c r="O1153" s="19"/>
      <c r="P1153" s="19"/>
      <c r="Q1153" s="19"/>
      <c r="R1153" s="19"/>
      <c r="S1153" s="19"/>
      <c r="T1153" s="19"/>
      <c r="U1153" s="19"/>
      <c r="V1153" s="19"/>
      <c r="W1153" s="19"/>
      <c r="X1153" s="19"/>
      <c r="Y1153" s="19"/>
      <c r="Z1153" s="19"/>
      <c r="AA1153" s="19"/>
      <c r="AB1153" s="19"/>
      <c r="FE1153" s="54"/>
    </row>
    <row r="1154" spans="1:161" s="18" customFormat="1">
      <c r="A1154" s="51"/>
      <c r="B1154" s="735"/>
      <c r="C1154" s="735"/>
      <c r="D1154" s="735"/>
      <c r="E1154" s="735"/>
      <c r="F1154" s="736"/>
      <c r="G1154" s="735"/>
      <c r="H1154" s="735"/>
      <c r="I1154" s="735"/>
      <c r="J1154" s="735"/>
      <c r="K1154" s="735"/>
      <c r="L1154" s="735"/>
      <c r="M1154" s="735"/>
      <c r="N1154" s="735"/>
      <c r="O1154" s="19"/>
      <c r="P1154" s="19"/>
      <c r="Q1154" s="19"/>
      <c r="R1154" s="19"/>
      <c r="S1154" s="19"/>
      <c r="T1154" s="19"/>
      <c r="U1154" s="19"/>
      <c r="V1154" s="19"/>
      <c r="W1154" s="19"/>
      <c r="X1154" s="19"/>
      <c r="Y1154" s="19"/>
      <c r="Z1154" s="19"/>
      <c r="AA1154" s="19"/>
      <c r="AB1154" s="19"/>
      <c r="FE1154" s="54"/>
    </row>
    <row r="1155" spans="1:161" s="18" customFormat="1">
      <c r="A1155" s="51"/>
      <c r="B1155" s="735"/>
      <c r="C1155" s="735"/>
      <c r="D1155" s="735"/>
      <c r="E1155" s="735"/>
      <c r="F1155" s="736"/>
      <c r="G1155" s="735"/>
      <c r="H1155" s="735"/>
      <c r="I1155" s="735"/>
      <c r="J1155" s="735"/>
      <c r="K1155" s="735"/>
      <c r="L1155" s="735"/>
      <c r="M1155" s="735"/>
      <c r="N1155" s="735"/>
      <c r="O1155" s="19"/>
      <c r="P1155" s="19"/>
      <c r="Q1155" s="19"/>
      <c r="R1155" s="19"/>
      <c r="S1155" s="19"/>
      <c r="T1155" s="19"/>
      <c r="U1155" s="19"/>
      <c r="V1155" s="19"/>
      <c r="W1155" s="19"/>
      <c r="X1155" s="19"/>
      <c r="Y1155" s="19"/>
      <c r="Z1155" s="19"/>
      <c r="AA1155" s="19"/>
      <c r="AB1155" s="19"/>
      <c r="FE1155" s="54"/>
    </row>
    <row r="1156" spans="1:161" s="18" customFormat="1">
      <c r="A1156" s="51"/>
      <c r="B1156" s="735"/>
      <c r="C1156" s="735"/>
      <c r="D1156" s="735"/>
      <c r="E1156" s="735"/>
      <c r="F1156" s="736"/>
      <c r="G1156" s="735"/>
      <c r="H1156" s="735"/>
      <c r="I1156" s="735"/>
      <c r="J1156" s="735"/>
      <c r="K1156" s="735"/>
      <c r="L1156" s="735"/>
      <c r="M1156" s="735"/>
      <c r="N1156" s="735"/>
      <c r="O1156" s="19"/>
      <c r="P1156" s="19"/>
      <c r="Q1156" s="19"/>
      <c r="R1156" s="19"/>
      <c r="S1156" s="19"/>
      <c r="T1156" s="19"/>
      <c r="U1156" s="19"/>
      <c r="V1156" s="19"/>
      <c r="W1156" s="19"/>
      <c r="X1156" s="19"/>
      <c r="Y1156" s="19"/>
      <c r="Z1156" s="19"/>
      <c r="AA1156" s="19"/>
      <c r="AB1156" s="19"/>
      <c r="FE1156" s="54"/>
    </row>
    <row r="1157" spans="1:161" s="18" customFormat="1">
      <c r="A1157" s="51"/>
      <c r="B1157" s="735"/>
      <c r="C1157" s="735"/>
      <c r="D1157" s="735"/>
      <c r="E1157" s="735"/>
      <c r="F1157" s="736"/>
      <c r="G1157" s="735"/>
      <c r="H1157" s="735"/>
      <c r="I1157" s="735"/>
      <c r="J1157" s="735"/>
      <c r="K1157" s="735"/>
      <c r="L1157" s="735"/>
      <c r="M1157" s="735"/>
      <c r="N1157" s="735"/>
      <c r="O1157" s="19"/>
      <c r="P1157" s="19"/>
      <c r="Q1157" s="19"/>
      <c r="R1157" s="19"/>
      <c r="S1157" s="19"/>
      <c r="T1157" s="19"/>
      <c r="U1157" s="19"/>
      <c r="V1157" s="19"/>
      <c r="W1157" s="19"/>
      <c r="X1157" s="19"/>
      <c r="Y1157" s="19"/>
      <c r="Z1157" s="19"/>
      <c r="AA1157" s="19"/>
      <c r="AB1157" s="19"/>
      <c r="FE1157" s="54"/>
    </row>
    <row r="1158" spans="1:161" s="18" customFormat="1">
      <c r="A1158" s="51"/>
      <c r="B1158" s="735"/>
      <c r="C1158" s="735"/>
      <c r="D1158" s="735"/>
      <c r="E1158" s="735"/>
      <c r="F1158" s="736"/>
      <c r="G1158" s="735"/>
      <c r="H1158" s="735"/>
      <c r="I1158" s="735"/>
      <c r="J1158" s="735"/>
      <c r="K1158" s="735"/>
      <c r="L1158" s="735"/>
      <c r="M1158" s="735"/>
      <c r="N1158" s="735"/>
      <c r="O1158" s="19"/>
      <c r="P1158" s="19"/>
      <c r="Q1158" s="19"/>
      <c r="R1158" s="19"/>
      <c r="S1158" s="19"/>
      <c r="T1158" s="19"/>
      <c r="U1158" s="19"/>
      <c r="V1158" s="19"/>
      <c r="W1158" s="19"/>
      <c r="X1158" s="19"/>
      <c r="Y1158" s="19"/>
      <c r="Z1158" s="19"/>
      <c r="AA1158" s="19"/>
      <c r="AB1158" s="19"/>
      <c r="FE1158" s="54"/>
    </row>
    <row r="1159" spans="1:161" s="18" customFormat="1">
      <c r="A1159" s="51"/>
      <c r="B1159" s="735"/>
      <c r="C1159" s="735"/>
      <c r="D1159" s="735"/>
      <c r="E1159" s="735"/>
      <c r="F1159" s="736"/>
      <c r="G1159" s="735"/>
      <c r="H1159" s="735"/>
      <c r="I1159" s="735"/>
      <c r="J1159" s="735"/>
      <c r="K1159" s="735"/>
      <c r="L1159" s="735"/>
      <c r="M1159" s="735"/>
      <c r="N1159" s="735"/>
      <c r="O1159" s="19"/>
      <c r="P1159" s="19"/>
      <c r="Q1159" s="19"/>
      <c r="R1159" s="19"/>
      <c r="S1159" s="19"/>
      <c r="T1159" s="19"/>
      <c r="U1159" s="19"/>
      <c r="V1159" s="19"/>
      <c r="W1159" s="19"/>
      <c r="X1159" s="19"/>
      <c r="Y1159" s="19"/>
      <c r="Z1159" s="19"/>
      <c r="AA1159" s="19"/>
      <c r="AB1159" s="19"/>
      <c r="FE1159" s="54"/>
    </row>
    <row r="1160" spans="1:161" s="18" customFormat="1">
      <c r="A1160" s="51"/>
      <c r="B1160" s="735"/>
      <c r="C1160" s="735"/>
      <c r="D1160" s="735"/>
      <c r="E1160" s="735"/>
      <c r="F1160" s="736"/>
      <c r="G1160" s="735"/>
      <c r="H1160" s="735"/>
      <c r="I1160" s="735"/>
      <c r="J1160" s="735"/>
      <c r="K1160" s="735"/>
      <c r="L1160" s="735"/>
      <c r="M1160" s="735"/>
      <c r="N1160" s="735"/>
      <c r="O1160" s="19"/>
      <c r="P1160" s="19"/>
      <c r="Q1160" s="19"/>
      <c r="R1160" s="19"/>
      <c r="S1160" s="19"/>
      <c r="T1160" s="19"/>
      <c r="U1160" s="19"/>
      <c r="V1160" s="19"/>
      <c r="W1160" s="19"/>
      <c r="X1160" s="19"/>
      <c r="Y1160" s="19"/>
      <c r="Z1160" s="19"/>
      <c r="AA1160" s="19"/>
      <c r="AB1160" s="19"/>
      <c r="FE1160" s="54"/>
    </row>
    <row r="1161" spans="1:161" s="18" customFormat="1">
      <c r="A1161" s="51"/>
      <c r="B1161" s="735"/>
      <c r="C1161" s="735"/>
      <c r="D1161" s="735"/>
      <c r="E1161" s="735"/>
      <c r="F1161" s="736"/>
      <c r="G1161" s="735"/>
      <c r="H1161" s="735"/>
      <c r="I1161" s="735"/>
      <c r="J1161" s="735"/>
      <c r="K1161" s="735"/>
      <c r="L1161" s="735"/>
      <c r="M1161" s="735"/>
      <c r="N1161" s="735"/>
      <c r="O1161" s="19"/>
      <c r="P1161" s="19"/>
      <c r="Q1161" s="19"/>
      <c r="R1161" s="19"/>
      <c r="S1161" s="19"/>
      <c r="T1161" s="19"/>
      <c r="U1161" s="19"/>
      <c r="V1161" s="19"/>
      <c r="W1161" s="19"/>
      <c r="X1161" s="19"/>
      <c r="Y1161" s="19"/>
      <c r="Z1161" s="19"/>
      <c r="AA1161" s="19"/>
      <c r="AB1161" s="19"/>
      <c r="FE1161" s="54"/>
    </row>
    <row r="1162" spans="1:161" s="18" customFormat="1">
      <c r="A1162" s="51"/>
      <c r="B1162" s="735"/>
      <c r="C1162" s="735"/>
      <c r="D1162" s="735"/>
      <c r="E1162" s="735"/>
      <c r="F1162" s="736"/>
      <c r="G1162" s="735"/>
      <c r="H1162" s="735"/>
      <c r="I1162" s="735"/>
      <c r="J1162" s="735"/>
      <c r="K1162" s="735"/>
      <c r="L1162" s="735"/>
      <c r="M1162" s="735"/>
      <c r="N1162" s="735"/>
      <c r="O1162" s="19"/>
      <c r="P1162" s="19"/>
      <c r="Q1162" s="19"/>
      <c r="R1162" s="19"/>
      <c r="S1162" s="19"/>
      <c r="T1162" s="19"/>
      <c r="U1162" s="19"/>
      <c r="V1162" s="19"/>
      <c r="W1162" s="19"/>
      <c r="X1162" s="19"/>
      <c r="Y1162" s="19"/>
      <c r="Z1162" s="19"/>
      <c r="AA1162" s="19"/>
      <c r="AB1162" s="19"/>
      <c r="FE1162" s="54"/>
    </row>
    <row r="1163" spans="1:161" s="18" customFormat="1">
      <c r="A1163" s="51"/>
      <c r="B1163" s="735"/>
      <c r="C1163" s="735"/>
      <c r="D1163" s="735"/>
      <c r="E1163" s="735"/>
      <c r="F1163" s="736"/>
      <c r="G1163" s="735"/>
      <c r="H1163" s="735"/>
      <c r="I1163" s="735"/>
      <c r="J1163" s="735"/>
      <c r="K1163" s="735"/>
      <c r="L1163" s="735"/>
      <c r="M1163" s="735"/>
      <c r="N1163" s="735"/>
      <c r="O1163" s="19"/>
      <c r="P1163" s="19"/>
      <c r="Q1163" s="19"/>
      <c r="R1163" s="19"/>
      <c r="S1163" s="19"/>
      <c r="T1163" s="19"/>
      <c r="U1163" s="19"/>
      <c r="V1163" s="19"/>
      <c r="W1163" s="19"/>
      <c r="X1163" s="19"/>
      <c r="Y1163" s="19"/>
      <c r="Z1163" s="19"/>
      <c r="AA1163" s="19"/>
      <c r="AB1163" s="19"/>
      <c r="FE1163" s="54"/>
    </row>
    <row r="1164" spans="1:161" s="18" customFormat="1">
      <c r="A1164" s="51"/>
      <c r="B1164" s="735"/>
      <c r="C1164" s="735"/>
      <c r="D1164" s="735"/>
      <c r="E1164" s="735"/>
      <c r="F1164" s="736"/>
      <c r="G1164" s="735"/>
      <c r="H1164" s="735"/>
      <c r="I1164" s="735"/>
      <c r="J1164" s="735"/>
      <c r="K1164" s="735"/>
      <c r="L1164" s="735"/>
      <c r="M1164" s="735"/>
      <c r="N1164" s="735"/>
      <c r="O1164" s="19"/>
      <c r="P1164" s="19"/>
      <c r="Q1164" s="19"/>
      <c r="R1164" s="19"/>
      <c r="S1164" s="19"/>
      <c r="T1164" s="19"/>
      <c r="U1164" s="19"/>
      <c r="V1164" s="19"/>
      <c r="W1164" s="19"/>
      <c r="X1164" s="19"/>
      <c r="Y1164" s="19"/>
      <c r="Z1164" s="19"/>
      <c r="AA1164" s="19"/>
      <c r="AB1164" s="19"/>
      <c r="FE1164" s="54"/>
    </row>
    <row r="1165" spans="1:161" s="18" customFormat="1">
      <c r="A1165" s="51"/>
      <c r="B1165" s="735"/>
      <c r="C1165" s="735"/>
      <c r="D1165" s="735"/>
      <c r="E1165" s="735"/>
      <c r="F1165" s="736"/>
      <c r="G1165" s="735"/>
      <c r="H1165" s="735"/>
      <c r="I1165" s="735"/>
      <c r="J1165" s="735"/>
      <c r="K1165" s="735"/>
      <c r="L1165" s="735"/>
      <c r="M1165" s="735"/>
      <c r="N1165" s="735"/>
      <c r="O1165" s="19"/>
      <c r="P1165" s="19"/>
      <c r="Q1165" s="19"/>
      <c r="R1165" s="19"/>
      <c r="S1165" s="19"/>
      <c r="T1165" s="19"/>
      <c r="U1165" s="19"/>
      <c r="V1165" s="19"/>
      <c r="W1165" s="19"/>
      <c r="X1165" s="19"/>
      <c r="Y1165" s="19"/>
      <c r="Z1165" s="19"/>
      <c r="AA1165" s="19"/>
      <c r="AB1165" s="19"/>
      <c r="FE1165" s="54"/>
    </row>
    <row r="1166" spans="1:161" s="18" customFormat="1">
      <c r="A1166" s="51"/>
      <c r="B1166" s="735"/>
      <c r="C1166" s="735"/>
      <c r="D1166" s="735"/>
      <c r="E1166" s="735"/>
      <c r="F1166" s="736"/>
      <c r="G1166" s="735"/>
      <c r="H1166" s="735"/>
      <c r="I1166" s="735"/>
      <c r="J1166" s="735"/>
      <c r="K1166" s="735"/>
      <c r="L1166" s="735"/>
      <c r="M1166" s="735"/>
      <c r="N1166" s="735"/>
      <c r="O1166" s="19"/>
      <c r="P1166" s="19"/>
      <c r="Q1166" s="19"/>
      <c r="R1166" s="19"/>
      <c r="S1166" s="19"/>
      <c r="T1166" s="19"/>
      <c r="U1166" s="19"/>
      <c r="V1166" s="19"/>
      <c r="W1166" s="19"/>
      <c r="X1166" s="19"/>
      <c r="Y1166" s="19"/>
      <c r="Z1166" s="19"/>
      <c r="AA1166" s="19"/>
      <c r="AB1166" s="19"/>
      <c r="FE1166" s="54"/>
    </row>
    <row r="1167" spans="1:161" s="18" customFormat="1">
      <c r="A1167" s="51"/>
      <c r="B1167" s="735"/>
      <c r="C1167" s="735"/>
      <c r="D1167" s="735"/>
      <c r="E1167" s="735"/>
      <c r="F1167" s="736"/>
      <c r="G1167" s="735"/>
      <c r="H1167" s="735"/>
      <c r="I1167" s="735"/>
      <c r="J1167" s="735"/>
      <c r="K1167" s="735"/>
      <c r="L1167" s="735"/>
      <c r="M1167" s="735"/>
      <c r="N1167" s="735"/>
      <c r="O1167" s="19"/>
      <c r="P1167" s="19"/>
      <c r="Q1167" s="19"/>
      <c r="R1167" s="19"/>
      <c r="S1167" s="19"/>
      <c r="T1167" s="19"/>
      <c r="U1167" s="19"/>
      <c r="V1167" s="19"/>
      <c r="W1167" s="19"/>
      <c r="X1167" s="19"/>
      <c r="Y1167" s="19"/>
      <c r="Z1167" s="19"/>
      <c r="AA1167" s="19"/>
      <c r="AB1167" s="19"/>
      <c r="FE1167" s="54"/>
    </row>
    <row r="1168" spans="1:161" s="18" customFormat="1">
      <c r="A1168" s="51"/>
      <c r="B1168" s="735"/>
      <c r="C1168" s="735"/>
      <c r="D1168" s="735"/>
      <c r="E1168" s="735"/>
      <c r="F1168" s="736"/>
      <c r="G1168" s="735"/>
      <c r="H1168" s="735"/>
      <c r="I1168" s="735"/>
      <c r="J1168" s="735"/>
      <c r="K1168" s="735"/>
      <c r="L1168" s="735"/>
      <c r="M1168" s="735"/>
      <c r="N1168" s="735"/>
      <c r="O1168" s="19"/>
      <c r="P1168" s="19"/>
      <c r="Q1168" s="19"/>
      <c r="R1168" s="19"/>
      <c r="S1168" s="19"/>
      <c r="T1168" s="19"/>
      <c r="U1168" s="19"/>
      <c r="V1168" s="19"/>
      <c r="W1168" s="19"/>
      <c r="X1168" s="19"/>
      <c r="Y1168" s="19"/>
      <c r="Z1168" s="19"/>
      <c r="AA1168" s="19"/>
      <c r="AB1168" s="19"/>
      <c r="FE1168" s="54"/>
    </row>
    <row r="1169" spans="1:161" s="18" customFormat="1">
      <c r="A1169" s="51"/>
      <c r="B1169" s="735"/>
      <c r="C1169" s="735"/>
      <c r="D1169" s="735"/>
      <c r="E1169" s="735"/>
      <c r="F1169" s="736"/>
      <c r="G1169" s="735"/>
      <c r="H1169" s="735"/>
      <c r="I1169" s="735"/>
      <c r="J1169" s="735"/>
      <c r="K1169" s="735"/>
      <c r="L1169" s="735"/>
      <c r="M1169" s="735"/>
      <c r="N1169" s="735"/>
      <c r="O1169" s="19"/>
      <c r="P1169" s="19"/>
      <c r="Q1169" s="19"/>
      <c r="R1169" s="19"/>
      <c r="S1169" s="19"/>
      <c r="T1169" s="19"/>
      <c r="U1169" s="19"/>
      <c r="V1169" s="19"/>
      <c r="W1169" s="19"/>
      <c r="X1169" s="19"/>
      <c r="Y1169" s="19"/>
      <c r="Z1169" s="19"/>
      <c r="AA1169" s="19"/>
      <c r="AB1169" s="19"/>
      <c r="FE1169" s="54"/>
    </row>
    <row r="1170" spans="1:161" s="18" customFormat="1">
      <c r="A1170" s="51"/>
      <c r="B1170" s="735"/>
      <c r="C1170" s="735"/>
      <c r="D1170" s="735"/>
      <c r="E1170" s="735"/>
      <c r="F1170" s="736"/>
      <c r="G1170" s="735"/>
      <c r="H1170" s="735"/>
      <c r="I1170" s="735"/>
      <c r="J1170" s="735"/>
      <c r="K1170" s="735"/>
      <c r="L1170" s="735"/>
      <c r="M1170" s="735"/>
      <c r="N1170" s="735"/>
      <c r="O1170" s="19"/>
      <c r="P1170" s="19"/>
      <c r="Q1170" s="19"/>
      <c r="R1170" s="19"/>
      <c r="S1170" s="19"/>
      <c r="T1170" s="19"/>
      <c r="U1170" s="19"/>
      <c r="V1170" s="19"/>
      <c r="W1170" s="19"/>
      <c r="X1170" s="19"/>
      <c r="Y1170" s="19"/>
      <c r="Z1170" s="19"/>
      <c r="AA1170" s="19"/>
      <c r="AB1170" s="19"/>
      <c r="FE1170" s="54"/>
    </row>
    <row r="1171" spans="1:161" s="18" customFormat="1">
      <c r="A1171" s="51"/>
      <c r="B1171" s="735"/>
      <c r="C1171" s="735"/>
      <c r="D1171" s="735"/>
      <c r="E1171" s="735"/>
      <c r="F1171" s="736"/>
      <c r="G1171" s="735"/>
      <c r="H1171" s="735"/>
      <c r="I1171" s="735"/>
      <c r="J1171" s="735"/>
      <c r="K1171" s="735"/>
      <c r="L1171" s="735"/>
      <c r="M1171" s="735"/>
      <c r="N1171" s="735"/>
      <c r="O1171" s="19"/>
      <c r="P1171" s="19"/>
      <c r="Q1171" s="19"/>
      <c r="R1171" s="19"/>
      <c r="S1171" s="19"/>
      <c r="T1171" s="19"/>
      <c r="U1171" s="19"/>
      <c r="V1171" s="19"/>
      <c r="W1171" s="19"/>
      <c r="X1171" s="19"/>
      <c r="Y1171" s="19"/>
      <c r="Z1171" s="19"/>
      <c r="AA1171" s="19"/>
      <c r="AB1171" s="19"/>
      <c r="FE1171" s="54"/>
    </row>
    <row r="1172" spans="1:161" s="18" customFormat="1">
      <c r="A1172" s="51"/>
      <c r="B1172" s="735"/>
      <c r="C1172" s="735"/>
      <c r="D1172" s="735"/>
      <c r="E1172" s="735"/>
      <c r="F1172" s="736"/>
      <c r="G1172" s="735"/>
      <c r="H1172" s="735"/>
      <c r="I1172" s="735"/>
      <c r="J1172" s="735"/>
      <c r="K1172" s="735"/>
      <c r="L1172" s="735"/>
      <c r="M1172" s="735"/>
      <c r="N1172" s="735"/>
      <c r="O1172" s="19"/>
      <c r="P1172" s="19"/>
      <c r="Q1172" s="19"/>
      <c r="R1172" s="19"/>
      <c r="S1172" s="19"/>
      <c r="T1172" s="19"/>
      <c r="U1172" s="19"/>
      <c r="V1172" s="19"/>
      <c r="W1172" s="19"/>
      <c r="X1172" s="19"/>
      <c r="Y1172" s="19"/>
      <c r="Z1172" s="19"/>
      <c r="AA1172" s="19"/>
      <c r="AB1172" s="19"/>
      <c r="FE1172" s="54"/>
    </row>
    <row r="1173" spans="1:161" s="18" customFormat="1">
      <c r="A1173" s="51"/>
      <c r="B1173" s="735"/>
      <c r="C1173" s="735"/>
      <c r="D1173" s="735"/>
      <c r="E1173" s="735"/>
      <c r="F1173" s="736"/>
      <c r="G1173" s="735"/>
      <c r="H1173" s="735"/>
      <c r="I1173" s="735"/>
      <c r="J1173" s="735"/>
      <c r="K1173" s="735"/>
      <c r="L1173" s="735"/>
      <c r="M1173" s="735"/>
      <c r="N1173" s="735"/>
      <c r="O1173" s="19"/>
      <c r="P1173" s="19"/>
      <c r="Q1173" s="19"/>
      <c r="R1173" s="19"/>
      <c r="S1173" s="19"/>
      <c r="T1173" s="19"/>
      <c r="U1173" s="19"/>
      <c r="V1173" s="19"/>
      <c r="W1173" s="19"/>
      <c r="X1173" s="19"/>
      <c r="Y1173" s="19"/>
      <c r="Z1173" s="19"/>
      <c r="AA1173" s="19"/>
      <c r="AB1173" s="19"/>
      <c r="FE1173" s="54"/>
    </row>
    <row r="1174" spans="1:161" s="18" customFormat="1">
      <c r="A1174" s="51"/>
      <c r="B1174" s="735"/>
      <c r="C1174" s="735"/>
      <c r="D1174" s="735"/>
      <c r="E1174" s="735"/>
      <c r="F1174" s="736"/>
      <c r="G1174" s="735"/>
      <c r="H1174" s="735"/>
      <c r="I1174" s="735"/>
      <c r="J1174" s="735"/>
      <c r="K1174" s="735"/>
      <c r="L1174" s="735"/>
      <c r="M1174" s="735"/>
      <c r="N1174" s="735"/>
      <c r="O1174" s="19"/>
      <c r="P1174" s="19"/>
      <c r="Q1174" s="19"/>
      <c r="R1174" s="19"/>
      <c r="S1174" s="19"/>
      <c r="T1174" s="19"/>
      <c r="U1174" s="19"/>
      <c r="V1174" s="19"/>
      <c r="W1174" s="19"/>
      <c r="X1174" s="19"/>
      <c r="Y1174" s="19"/>
      <c r="Z1174" s="19"/>
      <c r="AA1174" s="19"/>
      <c r="AB1174" s="19"/>
      <c r="FE1174" s="54"/>
    </row>
    <row r="1175" spans="1:161" s="18" customFormat="1">
      <c r="A1175" s="51"/>
      <c r="B1175" s="735"/>
      <c r="C1175" s="735"/>
      <c r="D1175" s="735"/>
      <c r="E1175" s="735"/>
      <c r="F1175" s="736"/>
      <c r="G1175" s="735"/>
      <c r="H1175" s="735"/>
      <c r="I1175" s="735"/>
      <c r="J1175" s="735"/>
      <c r="K1175" s="735"/>
      <c r="L1175" s="735"/>
      <c r="M1175" s="735"/>
      <c r="N1175" s="735"/>
      <c r="O1175" s="19"/>
      <c r="P1175" s="19"/>
      <c r="Q1175" s="19"/>
      <c r="R1175" s="19"/>
      <c r="S1175" s="19"/>
      <c r="T1175" s="19"/>
      <c r="U1175" s="19"/>
      <c r="V1175" s="19"/>
      <c r="W1175" s="19"/>
      <c r="X1175" s="19"/>
      <c r="Y1175" s="19"/>
      <c r="Z1175" s="19"/>
      <c r="AA1175" s="19"/>
      <c r="AB1175" s="19"/>
      <c r="FE1175" s="54"/>
    </row>
    <row r="1176" spans="1:161" s="18" customFormat="1">
      <c r="A1176" s="51"/>
      <c r="B1176" s="735"/>
      <c r="C1176" s="735"/>
      <c r="D1176" s="735"/>
      <c r="E1176" s="735"/>
      <c r="F1176" s="736"/>
      <c r="G1176" s="735"/>
      <c r="H1176" s="735"/>
      <c r="I1176" s="735"/>
      <c r="J1176" s="735"/>
      <c r="K1176" s="735"/>
      <c r="L1176" s="735"/>
      <c r="M1176" s="735"/>
      <c r="N1176" s="735"/>
      <c r="O1176" s="19"/>
      <c r="P1176" s="19"/>
      <c r="Q1176" s="19"/>
      <c r="R1176" s="19"/>
      <c r="S1176" s="19"/>
      <c r="T1176" s="19"/>
      <c r="U1176" s="19"/>
      <c r="V1176" s="19"/>
      <c r="W1176" s="19"/>
      <c r="X1176" s="19"/>
      <c r="Y1176" s="19"/>
      <c r="Z1176" s="19"/>
      <c r="AA1176" s="19"/>
      <c r="AB1176" s="19"/>
      <c r="FE1176" s="54"/>
    </row>
    <row r="1177" spans="1:161" s="18" customFormat="1">
      <c r="A1177" s="51"/>
      <c r="B1177" s="735"/>
      <c r="C1177" s="735"/>
      <c r="D1177" s="735"/>
      <c r="E1177" s="735"/>
      <c r="F1177" s="736"/>
      <c r="G1177" s="735"/>
      <c r="H1177" s="735"/>
      <c r="I1177" s="735"/>
      <c r="J1177" s="735"/>
      <c r="K1177" s="735"/>
      <c r="L1177" s="735"/>
      <c r="M1177" s="735"/>
      <c r="N1177" s="735"/>
      <c r="O1177" s="19"/>
      <c r="P1177" s="19"/>
      <c r="Q1177" s="19"/>
      <c r="R1177" s="19"/>
      <c r="S1177" s="19"/>
      <c r="T1177" s="19"/>
      <c r="U1177" s="19"/>
      <c r="V1177" s="19"/>
      <c r="W1177" s="19"/>
      <c r="X1177" s="19"/>
      <c r="Y1177" s="19"/>
      <c r="Z1177" s="19"/>
      <c r="AA1177" s="19"/>
      <c r="AB1177" s="19"/>
      <c r="FE1177" s="54"/>
    </row>
    <row r="1178" spans="1:161" s="18" customFormat="1">
      <c r="A1178" s="51"/>
      <c r="B1178" s="735"/>
      <c r="C1178" s="735"/>
      <c r="D1178" s="735"/>
      <c r="E1178" s="735"/>
      <c r="F1178" s="736"/>
      <c r="G1178" s="735"/>
      <c r="H1178" s="735"/>
      <c r="I1178" s="735"/>
      <c r="J1178" s="735"/>
      <c r="K1178" s="735"/>
      <c r="L1178" s="735"/>
      <c r="M1178" s="735"/>
      <c r="N1178" s="735"/>
      <c r="O1178" s="19"/>
      <c r="P1178" s="19"/>
      <c r="Q1178" s="19"/>
      <c r="R1178" s="19"/>
      <c r="S1178" s="19"/>
      <c r="T1178" s="19"/>
      <c r="U1178" s="19"/>
      <c r="V1178" s="19"/>
      <c r="W1178" s="19"/>
      <c r="X1178" s="19"/>
      <c r="Y1178" s="19"/>
      <c r="Z1178" s="19"/>
      <c r="AA1178" s="19"/>
      <c r="AB1178" s="19"/>
      <c r="FE1178" s="54"/>
    </row>
    <row r="1179" spans="1:161" s="18" customFormat="1">
      <c r="A1179" s="51"/>
      <c r="B1179" s="735"/>
      <c r="C1179" s="735"/>
      <c r="D1179" s="735"/>
      <c r="E1179" s="735"/>
      <c r="F1179" s="736"/>
      <c r="G1179" s="735"/>
      <c r="H1179" s="735"/>
      <c r="I1179" s="735"/>
      <c r="J1179" s="735"/>
      <c r="K1179" s="735"/>
      <c r="L1179" s="735"/>
      <c r="M1179" s="735"/>
      <c r="N1179" s="735"/>
      <c r="O1179" s="19"/>
      <c r="P1179" s="19"/>
      <c r="Q1179" s="19"/>
      <c r="R1179" s="19"/>
      <c r="S1179" s="19"/>
      <c r="T1179" s="19"/>
      <c r="U1179" s="19"/>
      <c r="V1179" s="19"/>
      <c r="W1179" s="19"/>
      <c r="X1179" s="19"/>
      <c r="Y1179" s="19"/>
      <c r="Z1179" s="19"/>
      <c r="AA1179" s="19"/>
      <c r="AB1179" s="19"/>
      <c r="FE1179" s="54"/>
    </row>
    <row r="1180" spans="1:161" s="18" customFormat="1">
      <c r="A1180" s="51"/>
      <c r="B1180" s="735"/>
      <c r="C1180" s="735"/>
      <c r="D1180" s="735"/>
      <c r="E1180" s="735"/>
      <c r="F1180" s="736"/>
      <c r="G1180" s="735"/>
      <c r="H1180" s="735"/>
      <c r="I1180" s="735"/>
      <c r="J1180" s="735"/>
      <c r="K1180" s="735"/>
      <c r="L1180" s="735"/>
      <c r="M1180" s="735"/>
      <c r="N1180" s="735"/>
      <c r="O1180" s="19"/>
      <c r="P1180" s="19"/>
      <c r="Q1180" s="19"/>
      <c r="R1180" s="19"/>
      <c r="S1180" s="19"/>
      <c r="T1180" s="19"/>
      <c r="U1180" s="19"/>
      <c r="V1180" s="19"/>
      <c r="W1180" s="19"/>
      <c r="X1180" s="19"/>
      <c r="Y1180" s="19"/>
      <c r="Z1180" s="19"/>
      <c r="AA1180" s="19"/>
      <c r="AB1180" s="19"/>
      <c r="FE1180" s="54"/>
    </row>
    <row r="1181" spans="1:161" s="18" customFormat="1">
      <c r="A1181" s="51"/>
      <c r="B1181" s="735"/>
      <c r="C1181" s="735"/>
      <c r="D1181" s="735"/>
      <c r="E1181" s="735"/>
      <c r="F1181" s="736"/>
      <c r="G1181" s="735"/>
      <c r="H1181" s="735"/>
      <c r="I1181" s="735"/>
      <c r="J1181" s="735"/>
      <c r="K1181" s="735"/>
      <c r="L1181" s="735"/>
      <c r="M1181" s="735"/>
      <c r="N1181" s="735"/>
      <c r="O1181" s="19"/>
      <c r="P1181" s="19"/>
      <c r="Q1181" s="19"/>
      <c r="R1181" s="19"/>
      <c r="S1181" s="19"/>
      <c r="T1181" s="19"/>
      <c r="U1181" s="19"/>
      <c r="V1181" s="19"/>
      <c r="W1181" s="19"/>
      <c r="X1181" s="19"/>
      <c r="Y1181" s="19"/>
      <c r="Z1181" s="19"/>
      <c r="AA1181" s="19"/>
      <c r="AB1181" s="19"/>
      <c r="FE1181" s="54"/>
    </row>
    <row r="1182" spans="1:161" s="18" customFormat="1">
      <c r="A1182" s="51"/>
      <c r="B1182" s="735"/>
      <c r="C1182" s="735"/>
      <c r="D1182" s="735"/>
      <c r="E1182" s="735"/>
      <c r="F1182" s="736"/>
      <c r="G1182" s="735"/>
      <c r="H1182" s="735"/>
      <c r="I1182" s="735"/>
      <c r="J1182" s="735"/>
      <c r="K1182" s="735"/>
      <c r="L1182" s="735"/>
      <c r="M1182" s="735"/>
      <c r="N1182" s="735"/>
      <c r="O1182" s="19"/>
      <c r="P1182" s="19"/>
      <c r="Q1182" s="19"/>
      <c r="R1182" s="19"/>
      <c r="S1182" s="19"/>
      <c r="T1182" s="19"/>
      <c r="U1182" s="19"/>
      <c r="V1182" s="19"/>
      <c r="W1182" s="19"/>
      <c r="X1182" s="19"/>
      <c r="Y1182" s="19"/>
      <c r="Z1182" s="19"/>
      <c r="AA1182" s="19"/>
      <c r="AB1182" s="19"/>
      <c r="FE1182" s="54"/>
    </row>
    <row r="1183" spans="1:161" s="18" customFormat="1">
      <c r="A1183" s="51"/>
      <c r="B1183" s="735"/>
      <c r="C1183" s="735"/>
      <c r="D1183" s="735"/>
      <c r="E1183" s="735"/>
      <c r="F1183" s="736"/>
      <c r="G1183" s="735"/>
      <c r="H1183" s="735"/>
      <c r="I1183" s="735"/>
      <c r="J1183" s="735"/>
      <c r="K1183" s="735"/>
      <c r="L1183" s="735"/>
      <c r="M1183" s="735"/>
      <c r="N1183" s="735"/>
      <c r="O1183" s="19"/>
      <c r="P1183" s="19"/>
      <c r="Q1183" s="19"/>
      <c r="R1183" s="19"/>
      <c r="S1183" s="19"/>
      <c r="T1183" s="19"/>
      <c r="U1183" s="19"/>
      <c r="V1183" s="19"/>
      <c r="W1183" s="19"/>
      <c r="X1183" s="19"/>
      <c r="Y1183" s="19"/>
      <c r="Z1183" s="19"/>
      <c r="AA1183" s="19"/>
      <c r="AB1183" s="19"/>
      <c r="FE1183" s="54"/>
    </row>
    <row r="1184" spans="1:161" s="18" customFormat="1">
      <c r="A1184" s="51"/>
      <c r="B1184" s="735"/>
      <c r="C1184" s="735"/>
      <c r="D1184" s="735"/>
      <c r="E1184" s="735"/>
      <c r="F1184" s="736"/>
      <c r="G1184" s="735"/>
      <c r="H1184" s="735"/>
      <c r="I1184" s="735"/>
      <c r="J1184" s="735"/>
      <c r="K1184" s="735"/>
      <c r="L1184" s="735"/>
      <c r="M1184" s="735"/>
      <c r="N1184" s="735"/>
      <c r="O1184" s="19"/>
      <c r="P1184" s="19"/>
      <c r="Q1184" s="19"/>
      <c r="R1184" s="19"/>
      <c r="S1184" s="19"/>
      <c r="T1184" s="19"/>
      <c r="U1184" s="19"/>
      <c r="V1184" s="19"/>
      <c r="W1184" s="19"/>
      <c r="X1184" s="19"/>
      <c r="Y1184" s="19"/>
      <c r="Z1184" s="19"/>
      <c r="AA1184" s="19"/>
      <c r="AB1184" s="19"/>
      <c r="FE1184" s="54"/>
    </row>
    <row r="1185" spans="1:161" s="18" customFormat="1">
      <c r="A1185" s="51"/>
      <c r="B1185" s="735"/>
      <c r="C1185" s="735"/>
      <c r="D1185" s="735"/>
      <c r="E1185" s="735"/>
      <c r="F1185" s="736"/>
      <c r="G1185" s="735"/>
      <c r="H1185" s="735"/>
      <c r="I1185" s="735"/>
      <c r="J1185" s="735"/>
      <c r="K1185" s="735"/>
      <c r="L1185" s="735"/>
      <c r="M1185" s="735"/>
      <c r="N1185" s="735"/>
      <c r="O1185" s="19"/>
      <c r="P1185" s="19"/>
      <c r="Q1185" s="19"/>
      <c r="R1185" s="19"/>
      <c r="S1185" s="19"/>
      <c r="T1185" s="19"/>
      <c r="U1185" s="19"/>
      <c r="V1185" s="19"/>
      <c r="W1185" s="19"/>
      <c r="X1185" s="19"/>
      <c r="Y1185" s="19"/>
      <c r="Z1185" s="19"/>
      <c r="AA1185" s="19"/>
      <c r="AB1185" s="19"/>
      <c r="FE1185" s="54"/>
    </row>
    <row r="1186" spans="1:161" s="18" customFormat="1">
      <c r="A1186" s="51"/>
      <c r="B1186" s="735"/>
      <c r="C1186" s="735"/>
      <c r="D1186" s="735"/>
      <c r="E1186" s="735"/>
      <c r="F1186" s="736"/>
      <c r="G1186" s="735"/>
      <c r="H1186" s="735"/>
      <c r="I1186" s="735"/>
      <c r="J1186" s="735"/>
      <c r="K1186" s="735"/>
      <c r="L1186" s="735"/>
      <c r="M1186" s="735"/>
      <c r="N1186" s="735"/>
      <c r="O1186" s="19"/>
      <c r="P1186" s="19"/>
      <c r="Q1186" s="19"/>
      <c r="R1186" s="19"/>
      <c r="S1186" s="19"/>
      <c r="T1186" s="19"/>
      <c r="U1186" s="19"/>
      <c r="V1186" s="19"/>
      <c r="W1186" s="19"/>
      <c r="X1186" s="19"/>
      <c r="Y1186" s="19"/>
      <c r="Z1186" s="19"/>
      <c r="AA1186" s="19"/>
      <c r="AB1186" s="19"/>
      <c r="FE1186" s="54"/>
    </row>
    <row r="1187" spans="1:161" s="18" customFormat="1">
      <c r="A1187" s="51"/>
      <c r="B1187" s="735"/>
      <c r="C1187" s="735"/>
      <c r="D1187" s="735"/>
      <c r="E1187" s="735"/>
      <c r="F1187" s="736"/>
      <c r="G1187" s="735"/>
      <c r="H1187" s="735"/>
      <c r="I1187" s="735"/>
      <c r="J1187" s="735"/>
      <c r="K1187" s="735"/>
      <c r="L1187" s="735"/>
      <c r="M1187" s="735"/>
      <c r="N1187" s="735"/>
      <c r="O1187" s="19"/>
      <c r="P1187" s="19"/>
      <c r="Q1187" s="19"/>
      <c r="R1187" s="19"/>
      <c r="S1187" s="19"/>
      <c r="T1187" s="19"/>
      <c r="U1187" s="19"/>
      <c r="V1187" s="19"/>
      <c r="W1187" s="19"/>
      <c r="X1187" s="19"/>
      <c r="Y1187" s="19"/>
      <c r="Z1187" s="19"/>
      <c r="AA1187" s="19"/>
      <c r="AB1187" s="19"/>
      <c r="FE1187" s="54"/>
    </row>
    <row r="1188" spans="1:161" s="18" customFormat="1">
      <c r="A1188" s="51"/>
      <c r="B1188" s="735"/>
      <c r="C1188" s="735"/>
      <c r="D1188" s="735"/>
      <c r="E1188" s="735"/>
      <c r="F1188" s="736"/>
      <c r="G1188" s="735"/>
      <c r="H1188" s="735"/>
      <c r="I1188" s="735"/>
      <c r="J1188" s="735"/>
      <c r="K1188" s="735"/>
      <c r="L1188" s="735"/>
      <c r="M1188" s="735"/>
      <c r="N1188" s="735"/>
      <c r="O1188" s="19"/>
      <c r="P1188" s="19"/>
      <c r="Q1188" s="19"/>
      <c r="R1188" s="19"/>
      <c r="S1188" s="19"/>
      <c r="T1188" s="19"/>
      <c r="U1188" s="19"/>
      <c r="V1188" s="19"/>
      <c r="W1188" s="19"/>
      <c r="X1188" s="19"/>
      <c r="Y1188" s="19"/>
      <c r="Z1188" s="19"/>
      <c r="AA1188" s="19"/>
      <c r="AB1188" s="19"/>
      <c r="FE1188" s="54"/>
    </row>
    <row r="1189" spans="1:161" s="18" customFormat="1">
      <c r="A1189" s="51"/>
      <c r="B1189" s="735"/>
      <c r="C1189" s="735"/>
      <c r="D1189" s="735"/>
      <c r="E1189" s="735"/>
      <c r="F1189" s="736"/>
      <c r="G1189" s="735"/>
      <c r="H1189" s="735"/>
      <c r="I1189" s="735"/>
      <c r="J1189" s="735"/>
      <c r="K1189" s="735"/>
      <c r="L1189" s="735"/>
      <c r="M1189" s="735"/>
      <c r="N1189" s="735"/>
      <c r="O1189" s="19"/>
      <c r="P1189" s="19"/>
      <c r="Q1189" s="19"/>
      <c r="R1189" s="19"/>
      <c r="S1189" s="19"/>
      <c r="T1189" s="19"/>
      <c r="U1189" s="19"/>
      <c r="V1189" s="19"/>
      <c r="W1189" s="19"/>
      <c r="X1189" s="19"/>
      <c r="Y1189" s="19"/>
      <c r="Z1189" s="19"/>
      <c r="AA1189" s="19"/>
      <c r="AB1189" s="19"/>
      <c r="FE1189" s="54"/>
    </row>
    <row r="1190" spans="1:161" s="18" customFormat="1">
      <c r="A1190" s="51"/>
      <c r="B1190" s="735"/>
      <c r="C1190" s="735"/>
      <c r="D1190" s="735"/>
      <c r="E1190" s="735"/>
      <c r="F1190" s="736"/>
      <c r="G1190" s="735"/>
      <c r="H1190" s="735"/>
      <c r="I1190" s="735"/>
      <c r="J1190" s="735"/>
      <c r="K1190" s="735"/>
      <c r="L1190" s="735"/>
      <c r="M1190" s="735"/>
      <c r="N1190" s="735"/>
      <c r="O1190" s="19"/>
      <c r="P1190" s="19"/>
      <c r="Q1190" s="19"/>
      <c r="R1190" s="19"/>
      <c r="S1190" s="19"/>
      <c r="T1190" s="19"/>
      <c r="U1190" s="19"/>
      <c r="V1190" s="19"/>
      <c r="W1190" s="19"/>
      <c r="X1190" s="19"/>
      <c r="Y1190" s="19"/>
      <c r="Z1190" s="19"/>
      <c r="AA1190" s="19"/>
      <c r="AB1190" s="19"/>
      <c r="FE1190" s="54"/>
    </row>
    <row r="1191" spans="1:161" s="18" customFormat="1">
      <c r="A1191" s="51"/>
      <c r="B1191" s="735"/>
      <c r="C1191" s="735"/>
      <c r="D1191" s="735"/>
      <c r="E1191" s="735"/>
      <c r="F1191" s="736"/>
      <c r="G1191" s="735"/>
      <c r="H1191" s="735"/>
      <c r="I1191" s="735"/>
      <c r="J1191" s="735"/>
      <c r="K1191" s="735"/>
      <c r="L1191" s="735"/>
      <c r="M1191" s="735"/>
      <c r="N1191" s="735"/>
      <c r="O1191" s="19"/>
      <c r="P1191" s="19"/>
      <c r="Q1191" s="19"/>
      <c r="R1191" s="19"/>
      <c r="S1191" s="19"/>
      <c r="T1191" s="19"/>
      <c r="U1191" s="19"/>
      <c r="V1191" s="19"/>
      <c r="W1191" s="19"/>
      <c r="X1191" s="19"/>
      <c r="Y1191" s="19"/>
      <c r="Z1191" s="19"/>
      <c r="AA1191" s="19"/>
      <c r="AB1191" s="19"/>
      <c r="FE1191" s="54"/>
    </row>
    <row r="1192" spans="1:161" s="18" customFormat="1">
      <c r="A1192" s="51"/>
      <c r="B1192" s="735"/>
      <c r="C1192" s="735"/>
      <c r="D1192" s="735"/>
      <c r="E1192" s="735"/>
      <c r="F1192" s="736"/>
      <c r="G1192" s="735"/>
      <c r="H1192" s="735"/>
      <c r="I1192" s="735"/>
      <c r="J1192" s="735"/>
      <c r="K1192" s="735"/>
      <c r="L1192" s="735"/>
      <c r="M1192" s="735"/>
      <c r="N1192" s="735"/>
      <c r="O1192" s="19"/>
      <c r="P1192" s="19"/>
      <c r="Q1192" s="19"/>
      <c r="R1192" s="19"/>
      <c r="S1192" s="19"/>
      <c r="T1192" s="19"/>
      <c r="U1192" s="19"/>
      <c r="V1192" s="19"/>
      <c r="W1192" s="19"/>
      <c r="X1192" s="19"/>
      <c r="Y1192" s="19"/>
      <c r="Z1192" s="19"/>
      <c r="AA1192" s="19"/>
      <c r="AB1192" s="19"/>
      <c r="FE1192" s="54"/>
    </row>
    <row r="1193" spans="1:161" s="18" customFormat="1">
      <c r="A1193" s="51"/>
      <c r="B1193" s="735"/>
      <c r="C1193" s="735"/>
      <c r="D1193" s="735"/>
      <c r="E1193" s="735"/>
      <c r="F1193" s="736"/>
      <c r="G1193" s="735"/>
      <c r="H1193" s="735"/>
      <c r="I1193" s="735"/>
      <c r="J1193" s="735"/>
      <c r="K1193" s="735"/>
      <c r="L1193" s="735"/>
      <c r="M1193" s="735"/>
      <c r="N1193" s="735"/>
      <c r="O1193" s="19"/>
      <c r="P1193" s="19"/>
      <c r="Q1193" s="19"/>
      <c r="R1193" s="19"/>
      <c r="S1193" s="19"/>
      <c r="T1193" s="19"/>
      <c r="U1193" s="19"/>
      <c r="V1193" s="19"/>
      <c r="W1193" s="19"/>
      <c r="X1193" s="19"/>
      <c r="Y1193" s="19"/>
      <c r="Z1193" s="19"/>
      <c r="AA1193" s="19"/>
      <c r="AB1193" s="19"/>
      <c r="FE1193" s="54"/>
    </row>
    <row r="1194" spans="1:161" s="18" customFormat="1">
      <c r="A1194" s="51"/>
      <c r="B1194" s="735"/>
      <c r="C1194" s="735"/>
      <c r="D1194" s="735"/>
      <c r="E1194" s="735"/>
      <c r="F1194" s="736"/>
      <c r="G1194" s="735"/>
      <c r="H1194" s="735"/>
      <c r="I1194" s="735"/>
      <c r="J1194" s="735"/>
      <c r="K1194" s="735"/>
      <c r="L1194" s="735"/>
      <c r="M1194" s="735"/>
      <c r="N1194" s="735"/>
      <c r="O1194" s="19"/>
      <c r="P1194" s="19"/>
      <c r="Q1194" s="19"/>
      <c r="R1194" s="19"/>
      <c r="S1194" s="19"/>
      <c r="T1194" s="19"/>
      <c r="U1194" s="19"/>
      <c r="V1194" s="19"/>
      <c r="W1194" s="19"/>
      <c r="X1194" s="19"/>
      <c r="Y1194" s="19"/>
      <c r="Z1194" s="19"/>
      <c r="AA1194" s="19"/>
      <c r="AB1194" s="19"/>
      <c r="FE1194" s="54"/>
    </row>
    <row r="1195" spans="1:161" s="18" customFormat="1">
      <c r="A1195" s="51"/>
      <c r="B1195" s="735"/>
      <c r="C1195" s="735"/>
      <c r="D1195" s="735"/>
      <c r="E1195" s="735"/>
      <c r="F1195" s="736"/>
      <c r="G1195" s="735"/>
      <c r="H1195" s="735"/>
      <c r="I1195" s="735"/>
      <c r="J1195" s="735"/>
      <c r="K1195" s="735"/>
      <c r="L1195" s="735"/>
      <c r="M1195" s="735"/>
      <c r="N1195" s="735"/>
      <c r="O1195" s="19"/>
      <c r="P1195" s="19"/>
      <c r="Q1195" s="19"/>
      <c r="R1195" s="19"/>
      <c r="S1195" s="19"/>
      <c r="T1195" s="19"/>
      <c r="U1195" s="19"/>
      <c r="V1195" s="19"/>
      <c r="W1195" s="19"/>
      <c r="X1195" s="19"/>
      <c r="Y1195" s="19"/>
      <c r="Z1195" s="19"/>
      <c r="AA1195" s="19"/>
      <c r="AB1195" s="19"/>
      <c r="FE1195" s="54"/>
    </row>
    <row r="1196" spans="1:161" s="18" customFormat="1">
      <c r="A1196" s="51"/>
      <c r="B1196" s="735"/>
      <c r="C1196" s="735"/>
      <c r="D1196" s="735"/>
      <c r="E1196" s="735"/>
      <c r="F1196" s="736"/>
      <c r="G1196" s="735"/>
      <c r="H1196" s="735"/>
      <c r="I1196" s="735"/>
      <c r="J1196" s="735"/>
      <c r="K1196" s="735"/>
      <c r="L1196" s="735"/>
      <c r="M1196" s="735"/>
      <c r="N1196" s="735"/>
      <c r="O1196" s="19"/>
      <c r="P1196" s="19"/>
      <c r="Q1196" s="19"/>
      <c r="R1196" s="19"/>
      <c r="S1196" s="19"/>
      <c r="T1196" s="19"/>
      <c r="U1196" s="19"/>
      <c r="V1196" s="19"/>
      <c r="W1196" s="19"/>
      <c r="X1196" s="19"/>
      <c r="Y1196" s="19"/>
      <c r="Z1196" s="19"/>
      <c r="AA1196" s="19"/>
      <c r="AB1196" s="19"/>
      <c r="FE1196" s="54"/>
    </row>
    <row r="1197" spans="1:161" s="18" customFormat="1">
      <c r="A1197" s="51"/>
      <c r="B1197" s="735"/>
      <c r="C1197" s="735"/>
      <c r="D1197" s="735"/>
      <c r="E1197" s="735"/>
      <c r="F1197" s="736"/>
      <c r="G1197" s="735"/>
      <c r="H1197" s="735"/>
      <c r="I1197" s="735"/>
      <c r="J1197" s="735"/>
      <c r="K1197" s="735"/>
      <c r="L1197" s="735"/>
      <c r="M1197" s="735"/>
      <c r="N1197" s="735"/>
      <c r="O1197" s="19"/>
      <c r="P1197" s="19"/>
      <c r="Q1197" s="19"/>
      <c r="R1197" s="19"/>
      <c r="S1197" s="19"/>
      <c r="T1197" s="19"/>
      <c r="U1197" s="19"/>
      <c r="V1197" s="19"/>
      <c r="W1197" s="19"/>
      <c r="X1197" s="19"/>
      <c r="Y1197" s="19"/>
      <c r="Z1197" s="19"/>
      <c r="AA1197" s="19"/>
      <c r="AB1197" s="19"/>
      <c r="FE1197" s="54"/>
    </row>
    <row r="1198" spans="1:161" s="18" customFormat="1">
      <c r="A1198" s="51"/>
      <c r="B1198" s="735"/>
      <c r="C1198" s="735"/>
      <c r="D1198" s="735"/>
      <c r="E1198" s="735"/>
      <c r="F1198" s="736"/>
      <c r="G1198" s="735"/>
      <c r="H1198" s="735"/>
      <c r="I1198" s="735"/>
      <c r="J1198" s="735"/>
      <c r="K1198" s="735"/>
      <c r="L1198" s="735"/>
      <c r="M1198" s="735"/>
      <c r="N1198" s="735"/>
      <c r="O1198" s="19"/>
      <c r="P1198" s="19"/>
      <c r="Q1198" s="19"/>
      <c r="R1198" s="19"/>
      <c r="S1198" s="19"/>
      <c r="T1198" s="19"/>
      <c r="U1198" s="19"/>
      <c r="V1198" s="19"/>
      <c r="W1198" s="19"/>
      <c r="X1198" s="19"/>
      <c r="Y1198" s="19"/>
      <c r="Z1198" s="19"/>
      <c r="AA1198" s="19"/>
      <c r="AB1198" s="19"/>
      <c r="FE1198" s="54"/>
    </row>
    <row r="1199" spans="1:161" s="18" customFormat="1">
      <c r="A1199" s="51"/>
      <c r="B1199" s="735"/>
      <c r="C1199" s="735"/>
      <c r="D1199" s="735"/>
      <c r="E1199" s="735"/>
      <c r="F1199" s="736"/>
      <c r="G1199" s="735"/>
      <c r="H1199" s="735"/>
      <c r="I1199" s="735"/>
      <c r="J1199" s="735"/>
      <c r="K1199" s="735"/>
      <c r="L1199" s="735"/>
      <c r="M1199" s="735"/>
      <c r="N1199" s="735"/>
      <c r="O1199" s="19"/>
      <c r="P1199" s="19"/>
      <c r="Q1199" s="19"/>
      <c r="R1199" s="19"/>
      <c r="S1199" s="19"/>
      <c r="T1199" s="19"/>
      <c r="U1199" s="19"/>
      <c r="V1199" s="19"/>
      <c r="W1199" s="19"/>
      <c r="X1199" s="19"/>
      <c r="Y1199" s="19"/>
      <c r="Z1199" s="19"/>
      <c r="AA1199" s="19"/>
      <c r="AB1199" s="19"/>
      <c r="FE1199" s="54"/>
    </row>
    <row r="1200" spans="1:161" s="18" customFormat="1">
      <c r="A1200" s="51"/>
      <c r="B1200" s="735"/>
      <c r="C1200" s="735"/>
      <c r="D1200" s="735"/>
      <c r="E1200" s="735"/>
      <c r="F1200" s="736"/>
      <c r="G1200" s="735"/>
      <c r="H1200" s="735"/>
      <c r="I1200" s="735"/>
      <c r="J1200" s="735"/>
      <c r="K1200" s="735"/>
      <c r="L1200" s="735"/>
      <c r="M1200" s="735"/>
      <c r="N1200" s="735"/>
      <c r="O1200" s="19"/>
      <c r="P1200" s="19"/>
      <c r="Q1200" s="19"/>
      <c r="R1200" s="19"/>
      <c r="S1200" s="19"/>
      <c r="T1200" s="19"/>
      <c r="U1200" s="19"/>
      <c r="V1200" s="19"/>
      <c r="W1200" s="19"/>
      <c r="X1200" s="19"/>
      <c r="Y1200" s="19"/>
      <c r="Z1200" s="19"/>
      <c r="AA1200" s="19"/>
      <c r="AB1200" s="19"/>
      <c r="FE1200" s="54"/>
    </row>
    <row r="1201" spans="1:161" s="18" customFormat="1">
      <c r="A1201" s="51"/>
      <c r="B1201" s="735"/>
      <c r="C1201" s="735"/>
      <c r="D1201" s="735"/>
      <c r="E1201" s="735"/>
      <c r="F1201" s="736"/>
      <c r="G1201" s="735"/>
      <c r="H1201" s="735"/>
      <c r="I1201" s="735"/>
      <c r="J1201" s="735"/>
      <c r="K1201" s="735"/>
      <c r="L1201" s="735"/>
      <c r="M1201" s="735"/>
      <c r="N1201" s="735"/>
      <c r="O1201" s="19"/>
      <c r="P1201" s="19"/>
      <c r="Q1201" s="19"/>
      <c r="R1201" s="19"/>
      <c r="S1201" s="19"/>
      <c r="T1201" s="19"/>
      <c r="U1201" s="19"/>
      <c r="V1201" s="19"/>
      <c r="W1201" s="19"/>
      <c r="X1201" s="19"/>
      <c r="Y1201" s="19"/>
      <c r="Z1201" s="19"/>
      <c r="AA1201" s="19"/>
      <c r="AB1201" s="19"/>
      <c r="FE1201" s="54"/>
    </row>
    <row r="1202" spans="1:161" s="18" customFormat="1">
      <c r="A1202" s="51"/>
      <c r="B1202" s="735"/>
      <c r="C1202" s="735"/>
      <c r="D1202" s="735"/>
      <c r="E1202" s="735"/>
      <c r="F1202" s="736"/>
      <c r="G1202" s="735"/>
      <c r="H1202" s="735"/>
      <c r="I1202" s="735"/>
      <c r="J1202" s="735"/>
      <c r="K1202" s="735"/>
      <c r="L1202" s="735"/>
      <c r="M1202" s="735"/>
      <c r="N1202" s="735"/>
      <c r="O1202" s="19"/>
      <c r="P1202" s="19"/>
      <c r="Q1202" s="19"/>
      <c r="R1202" s="19"/>
      <c r="S1202" s="19"/>
      <c r="T1202" s="19"/>
      <c r="U1202" s="19"/>
      <c r="V1202" s="19"/>
      <c r="W1202" s="19"/>
      <c r="X1202" s="19"/>
      <c r="Y1202" s="19"/>
      <c r="Z1202" s="19"/>
      <c r="AA1202" s="19"/>
      <c r="AB1202" s="19"/>
      <c r="FE1202" s="54"/>
    </row>
    <row r="1203" spans="1:161" s="18" customFormat="1">
      <c r="A1203" s="51"/>
      <c r="B1203" s="735"/>
      <c r="C1203" s="735"/>
      <c r="D1203" s="735"/>
      <c r="E1203" s="735"/>
      <c r="F1203" s="736"/>
      <c r="G1203" s="735"/>
      <c r="H1203" s="735"/>
      <c r="I1203" s="735"/>
      <c r="J1203" s="735"/>
      <c r="K1203" s="735"/>
      <c r="L1203" s="735"/>
      <c r="M1203" s="735"/>
      <c r="N1203" s="735"/>
      <c r="O1203" s="19"/>
      <c r="P1203" s="19"/>
      <c r="Q1203" s="19"/>
      <c r="R1203" s="19"/>
      <c r="S1203" s="19"/>
      <c r="T1203" s="19"/>
      <c r="U1203" s="19"/>
      <c r="V1203" s="19"/>
      <c r="W1203" s="19"/>
      <c r="X1203" s="19"/>
      <c r="Y1203" s="19"/>
      <c r="Z1203" s="19"/>
      <c r="AA1203" s="19"/>
      <c r="AB1203" s="19"/>
      <c r="FE1203" s="54"/>
    </row>
    <row r="1204" spans="1:161" s="18" customFormat="1">
      <c r="A1204" s="51"/>
      <c r="B1204" s="735"/>
      <c r="C1204" s="735"/>
      <c r="D1204" s="735"/>
      <c r="E1204" s="735"/>
      <c r="F1204" s="736"/>
      <c r="G1204" s="735"/>
      <c r="H1204" s="735"/>
      <c r="I1204" s="735"/>
      <c r="J1204" s="735"/>
      <c r="K1204" s="735"/>
      <c r="L1204" s="735"/>
      <c r="M1204" s="735"/>
      <c r="N1204" s="735"/>
      <c r="O1204" s="19"/>
      <c r="P1204" s="19"/>
      <c r="Q1204" s="19"/>
      <c r="R1204" s="19"/>
      <c r="S1204" s="19"/>
      <c r="T1204" s="19"/>
      <c r="U1204" s="19"/>
      <c r="V1204" s="19"/>
      <c r="W1204" s="19"/>
      <c r="X1204" s="19"/>
      <c r="Y1204" s="19"/>
      <c r="Z1204" s="19"/>
      <c r="AA1204" s="19"/>
      <c r="AB1204" s="19"/>
      <c r="FE1204" s="54"/>
    </row>
    <row r="1205" spans="1:161" s="18" customFormat="1">
      <c r="A1205" s="51"/>
      <c r="B1205" s="735"/>
      <c r="C1205" s="735"/>
      <c r="D1205" s="735"/>
      <c r="E1205" s="735"/>
      <c r="F1205" s="736"/>
      <c r="G1205" s="735"/>
      <c r="H1205" s="735"/>
      <c r="I1205" s="735"/>
      <c r="J1205" s="735"/>
      <c r="K1205" s="735"/>
      <c r="L1205" s="735"/>
      <c r="M1205" s="735"/>
      <c r="N1205" s="735"/>
      <c r="O1205" s="19"/>
      <c r="P1205" s="19"/>
      <c r="Q1205" s="19"/>
      <c r="R1205" s="19"/>
      <c r="S1205" s="19"/>
      <c r="T1205" s="19"/>
      <c r="U1205" s="19"/>
      <c r="V1205" s="19"/>
      <c r="W1205" s="19"/>
      <c r="X1205" s="19"/>
      <c r="Y1205" s="19"/>
      <c r="Z1205" s="19"/>
      <c r="AA1205" s="19"/>
      <c r="AB1205" s="19"/>
      <c r="FE1205" s="54"/>
    </row>
    <row r="1206" spans="1:161" s="18" customFormat="1">
      <c r="A1206" s="51"/>
      <c r="B1206" s="735"/>
      <c r="C1206" s="735"/>
      <c r="D1206" s="735"/>
      <c r="E1206" s="735"/>
      <c r="F1206" s="736"/>
      <c r="G1206" s="735"/>
      <c r="H1206" s="735"/>
      <c r="I1206" s="735"/>
      <c r="J1206" s="735"/>
      <c r="K1206" s="735"/>
      <c r="L1206" s="735"/>
      <c r="M1206" s="735"/>
      <c r="N1206" s="735"/>
      <c r="O1206" s="19"/>
      <c r="P1206" s="19"/>
      <c r="Q1206" s="19"/>
      <c r="R1206" s="19"/>
      <c r="S1206" s="19"/>
      <c r="T1206" s="19"/>
      <c r="U1206" s="19"/>
      <c r="V1206" s="19"/>
      <c r="W1206" s="19"/>
      <c r="X1206" s="19"/>
      <c r="Y1206" s="19"/>
      <c r="Z1206" s="19"/>
      <c r="AA1206" s="19"/>
      <c r="AB1206" s="19"/>
      <c r="FE1206" s="54"/>
    </row>
    <row r="1207" spans="1:161" s="18" customFormat="1">
      <c r="A1207" s="51"/>
      <c r="B1207" s="735"/>
      <c r="C1207" s="735"/>
      <c r="D1207" s="735"/>
      <c r="E1207" s="735"/>
      <c r="F1207" s="736"/>
      <c r="G1207" s="735"/>
      <c r="H1207" s="735"/>
      <c r="I1207" s="735"/>
      <c r="J1207" s="735"/>
      <c r="K1207" s="735"/>
      <c r="L1207" s="735"/>
      <c r="M1207" s="735"/>
      <c r="N1207" s="735"/>
      <c r="O1207" s="19"/>
      <c r="P1207" s="19"/>
      <c r="Q1207" s="19"/>
      <c r="R1207" s="19"/>
      <c r="S1207" s="19"/>
      <c r="T1207" s="19"/>
      <c r="U1207" s="19"/>
      <c r="V1207" s="19"/>
      <c r="W1207" s="19"/>
      <c r="X1207" s="19"/>
      <c r="Y1207" s="19"/>
      <c r="Z1207" s="19"/>
      <c r="AA1207" s="19"/>
      <c r="AB1207" s="19"/>
      <c r="FE1207" s="54"/>
    </row>
    <row r="1208" spans="1:161" s="18" customFormat="1">
      <c r="A1208" s="51"/>
      <c r="B1208" s="735"/>
      <c r="C1208" s="735"/>
      <c r="D1208" s="735"/>
      <c r="E1208" s="735"/>
      <c r="F1208" s="736"/>
      <c r="G1208" s="735"/>
      <c r="H1208" s="735"/>
      <c r="I1208" s="735"/>
      <c r="J1208" s="735"/>
      <c r="K1208" s="735"/>
      <c r="L1208" s="735"/>
      <c r="M1208" s="735"/>
      <c r="N1208" s="735"/>
      <c r="O1208" s="19"/>
      <c r="P1208" s="19"/>
      <c r="Q1208" s="19"/>
      <c r="R1208" s="19"/>
      <c r="S1208" s="19"/>
      <c r="T1208" s="19"/>
      <c r="U1208" s="19"/>
      <c r="V1208" s="19"/>
      <c r="W1208" s="19"/>
      <c r="X1208" s="19"/>
      <c r="Y1208" s="19"/>
      <c r="Z1208" s="19"/>
      <c r="AA1208" s="19"/>
      <c r="AB1208" s="19"/>
      <c r="FE1208" s="54"/>
    </row>
    <row r="1209" spans="1:161" s="18" customFormat="1">
      <c r="A1209" s="51"/>
      <c r="B1209" s="735"/>
      <c r="C1209" s="735"/>
      <c r="D1209" s="735"/>
      <c r="E1209" s="735"/>
      <c r="F1209" s="736"/>
      <c r="G1209" s="735"/>
      <c r="H1209" s="735"/>
      <c r="I1209" s="735"/>
      <c r="J1209" s="735"/>
      <c r="K1209" s="735"/>
      <c r="L1209" s="735"/>
      <c r="M1209" s="735"/>
      <c r="N1209" s="735"/>
      <c r="O1209" s="19"/>
      <c r="P1209" s="19"/>
      <c r="Q1209" s="19"/>
      <c r="R1209" s="19"/>
      <c r="S1209" s="19"/>
      <c r="T1209" s="19"/>
      <c r="U1209" s="19"/>
      <c r="V1209" s="19"/>
      <c r="W1209" s="19"/>
      <c r="X1209" s="19"/>
      <c r="Y1209" s="19"/>
      <c r="Z1209" s="19"/>
      <c r="AA1209" s="19"/>
      <c r="AB1209" s="19"/>
      <c r="FE1209" s="54"/>
    </row>
    <row r="1210" spans="1:161" s="18" customFormat="1">
      <c r="A1210" s="51"/>
      <c r="B1210" s="735"/>
      <c r="C1210" s="735"/>
      <c r="D1210" s="735"/>
      <c r="E1210" s="735"/>
      <c r="F1210" s="736"/>
      <c r="G1210" s="735"/>
      <c r="H1210" s="735"/>
      <c r="I1210" s="735"/>
      <c r="J1210" s="735"/>
      <c r="K1210" s="735"/>
      <c r="L1210" s="735"/>
      <c r="M1210" s="735"/>
      <c r="N1210" s="735"/>
      <c r="O1210" s="19"/>
      <c r="P1210" s="19"/>
      <c r="Q1210" s="19"/>
      <c r="R1210" s="19"/>
      <c r="S1210" s="19"/>
      <c r="T1210" s="19"/>
      <c r="U1210" s="19"/>
      <c r="V1210" s="19"/>
      <c r="W1210" s="19"/>
      <c r="X1210" s="19"/>
      <c r="Y1210" s="19"/>
      <c r="Z1210" s="19"/>
      <c r="AA1210" s="19"/>
      <c r="AB1210" s="19"/>
      <c r="FE1210" s="54"/>
    </row>
    <row r="1211" spans="1:161" s="18" customFormat="1">
      <c r="A1211" s="51"/>
      <c r="B1211" s="735"/>
      <c r="C1211" s="735"/>
      <c r="D1211" s="735"/>
      <c r="E1211" s="735"/>
      <c r="F1211" s="736"/>
      <c r="G1211" s="735"/>
      <c r="H1211" s="735"/>
      <c r="I1211" s="735"/>
      <c r="J1211" s="735"/>
      <c r="K1211" s="735"/>
      <c r="L1211" s="735"/>
      <c r="M1211" s="735"/>
      <c r="N1211" s="735"/>
      <c r="O1211" s="19"/>
      <c r="P1211" s="19"/>
      <c r="Q1211" s="19"/>
      <c r="R1211" s="19"/>
      <c r="S1211" s="19"/>
      <c r="T1211" s="19"/>
      <c r="U1211" s="19"/>
      <c r="V1211" s="19"/>
      <c r="W1211" s="19"/>
      <c r="X1211" s="19"/>
      <c r="Y1211" s="19"/>
      <c r="Z1211" s="19"/>
      <c r="AA1211" s="19"/>
      <c r="AB1211" s="19"/>
      <c r="FE1211" s="54"/>
    </row>
    <row r="1212" spans="1:161" s="18" customFormat="1">
      <c r="A1212" s="51"/>
      <c r="B1212" s="735"/>
      <c r="C1212" s="735"/>
      <c r="D1212" s="735"/>
      <c r="E1212" s="735"/>
      <c r="F1212" s="736"/>
      <c r="G1212" s="735"/>
      <c r="H1212" s="735"/>
      <c r="I1212" s="735"/>
      <c r="J1212" s="735"/>
      <c r="K1212" s="735"/>
      <c r="L1212" s="735"/>
      <c r="M1212" s="735"/>
      <c r="N1212" s="735"/>
      <c r="O1212" s="19"/>
      <c r="P1212" s="19"/>
      <c r="Q1212" s="19"/>
      <c r="R1212" s="19"/>
      <c r="S1212" s="19"/>
      <c r="T1212" s="19"/>
      <c r="U1212" s="19"/>
      <c r="V1212" s="19"/>
      <c r="W1212" s="19"/>
      <c r="X1212" s="19"/>
      <c r="Y1212" s="19"/>
      <c r="Z1212" s="19"/>
      <c r="AA1212" s="19"/>
      <c r="AB1212" s="19"/>
      <c r="FE1212" s="54"/>
    </row>
    <row r="1213" spans="1:161" s="18" customFormat="1">
      <c r="A1213" s="51"/>
      <c r="B1213" s="735"/>
      <c r="C1213" s="735"/>
      <c r="D1213" s="735"/>
      <c r="E1213" s="735"/>
      <c r="F1213" s="736"/>
      <c r="G1213" s="735"/>
      <c r="H1213" s="735"/>
      <c r="I1213" s="735"/>
      <c r="J1213" s="735"/>
      <c r="K1213" s="735"/>
      <c r="L1213" s="735"/>
      <c r="M1213" s="735"/>
      <c r="N1213" s="735"/>
      <c r="O1213" s="19"/>
      <c r="P1213" s="19"/>
      <c r="Q1213" s="19"/>
      <c r="R1213" s="19"/>
      <c r="S1213" s="19"/>
      <c r="T1213" s="19"/>
      <c r="U1213" s="19"/>
      <c r="V1213" s="19"/>
      <c r="W1213" s="19"/>
      <c r="X1213" s="19"/>
      <c r="Y1213" s="19"/>
      <c r="Z1213" s="19"/>
      <c r="AA1213" s="19"/>
      <c r="AB1213" s="19"/>
      <c r="FE1213" s="54"/>
    </row>
    <row r="1214" spans="1:161" s="18" customFormat="1">
      <c r="A1214" s="51"/>
      <c r="B1214" s="735"/>
      <c r="C1214" s="735"/>
      <c r="D1214" s="735"/>
      <c r="E1214" s="735"/>
      <c r="F1214" s="736"/>
      <c r="G1214" s="735"/>
      <c r="H1214" s="735"/>
      <c r="I1214" s="735"/>
      <c r="J1214" s="735"/>
      <c r="K1214" s="735"/>
      <c r="L1214" s="735"/>
      <c r="M1214" s="735"/>
      <c r="N1214" s="735"/>
      <c r="O1214" s="19"/>
      <c r="P1214" s="19"/>
      <c r="Q1214" s="19"/>
      <c r="R1214" s="19"/>
      <c r="S1214" s="19"/>
      <c r="T1214" s="19"/>
      <c r="U1214" s="19"/>
      <c r="V1214" s="19"/>
      <c r="W1214" s="19"/>
      <c r="X1214" s="19"/>
      <c r="Y1214" s="19"/>
      <c r="Z1214" s="19"/>
      <c r="AA1214" s="19"/>
      <c r="AB1214" s="19"/>
      <c r="FE1214" s="54"/>
    </row>
    <row r="1215" spans="1:161" s="18" customFormat="1">
      <c r="A1215" s="51"/>
      <c r="B1215" s="735"/>
      <c r="C1215" s="735"/>
      <c r="D1215" s="735"/>
      <c r="E1215" s="735"/>
      <c r="F1215" s="736"/>
      <c r="G1215" s="735"/>
      <c r="H1215" s="735"/>
      <c r="I1215" s="735"/>
      <c r="J1215" s="735"/>
      <c r="K1215" s="735"/>
      <c r="L1215" s="735"/>
      <c r="M1215" s="735"/>
      <c r="N1215" s="735"/>
      <c r="O1215" s="19"/>
      <c r="P1215" s="19"/>
      <c r="Q1215" s="19"/>
      <c r="R1215" s="19"/>
      <c r="S1215" s="19"/>
      <c r="T1215" s="19"/>
      <c r="U1215" s="19"/>
      <c r="V1215" s="19"/>
      <c r="W1215" s="19"/>
      <c r="X1215" s="19"/>
      <c r="Y1215" s="19"/>
      <c r="Z1215" s="19"/>
      <c r="AA1215" s="19"/>
      <c r="AB1215" s="19"/>
      <c r="FE1215" s="54"/>
    </row>
    <row r="1216" spans="1:161" s="18" customFormat="1">
      <c r="A1216" s="51"/>
      <c r="B1216" s="735"/>
      <c r="C1216" s="735"/>
      <c r="D1216" s="735"/>
      <c r="E1216" s="735"/>
      <c r="F1216" s="736"/>
      <c r="G1216" s="735"/>
      <c r="H1216" s="735"/>
      <c r="I1216" s="735"/>
      <c r="J1216" s="735"/>
      <c r="K1216" s="735"/>
      <c r="L1216" s="735"/>
      <c r="M1216" s="735"/>
      <c r="N1216" s="735"/>
      <c r="O1216" s="19"/>
      <c r="P1216" s="19"/>
      <c r="Q1216" s="19"/>
      <c r="R1216" s="19"/>
      <c r="S1216" s="19"/>
      <c r="T1216" s="19"/>
      <c r="U1216" s="19"/>
      <c r="V1216" s="19"/>
      <c r="W1216" s="19"/>
      <c r="X1216" s="19"/>
      <c r="Y1216" s="19"/>
      <c r="Z1216" s="19"/>
      <c r="AA1216" s="19"/>
      <c r="AB1216" s="19"/>
      <c r="FE1216" s="54"/>
    </row>
    <row r="1217" spans="1:161" s="18" customFormat="1">
      <c r="A1217" s="51"/>
      <c r="B1217" s="735"/>
      <c r="C1217" s="735"/>
      <c r="D1217" s="735"/>
      <c r="E1217" s="735"/>
      <c r="F1217" s="736"/>
      <c r="G1217" s="735"/>
      <c r="H1217" s="735"/>
      <c r="I1217" s="735"/>
      <c r="J1217" s="735"/>
      <c r="K1217" s="735"/>
      <c r="L1217" s="735"/>
      <c r="M1217" s="735"/>
      <c r="N1217" s="735"/>
      <c r="O1217" s="19"/>
      <c r="P1217" s="19"/>
      <c r="Q1217" s="19"/>
      <c r="R1217" s="19"/>
      <c r="S1217" s="19"/>
      <c r="T1217" s="19"/>
      <c r="U1217" s="19"/>
      <c r="V1217" s="19"/>
      <c r="W1217" s="19"/>
      <c r="X1217" s="19"/>
      <c r="Y1217" s="19"/>
      <c r="Z1217" s="19"/>
      <c r="AA1217" s="19"/>
      <c r="AB1217" s="19"/>
      <c r="FE1217" s="54"/>
    </row>
    <row r="1218" spans="1:161" s="18" customFormat="1">
      <c r="A1218" s="51"/>
      <c r="B1218" s="735"/>
      <c r="C1218" s="735"/>
      <c r="D1218" s="735"/>
      <c r="E1218" s="735"/>
      <c r="F1218" s="736"/>
      <c r="G1218" s="735"/>
      <c r="H1218" s="735"/>
      <c r="I1218" s="735"/>
      <c r="J1218" s="735"/>
      <c r="K1218" s="735"/>
      <c r="L1218" s="735"/>
      <c r="M1218" s="735"/>
      <c r="N1218" s="735"/>
      <c r="O1218" s="19"/>
      <c r="P1218" s="19"/>
      <c r="Q1218" s="19"/>
      <c r="R1218" s="19"/>
      <c r="S1218" s="19"/>
      <c r="T1218" s="19"/>
      <c r="U1218" s="19"/>
      <c r="V1218" s="19"/>
      <c r="W1218" s="19"/>
      <c r="X1218" s="19"/>
      <c r="Y1218" s="19"/>
      <c r="Z1218" s="19"/>
      <c r="AA1218" s="19"/>
      <c r="AB1218" s="19"/>
      <c r="FE1218" s="54"/>
    </row>
    <row r="1219" spans="1:161" s="18" customFormat="1">
      <c r="A1219" s="51"/>
      <c r="B1219" s="735"/>
      <c r="C1219" s="735"/>
      <c r="D1219" s="735"/>
      <c r="E1219" s="735"/>
      <c r="F1219" s="736"/>
      <c r="G1219" s="735"/>
      <c r="H1219" s="735"/>
      <c r="I1219" s="735"/>
      <c r="J1219" s="735"/>
      <c r="K1219" s="735"/>
      <c r="L1219" s="735"/>
      <c r="M1219" s="735"/>
      <c r="N1219" s="735"/>
      <c r="O1219" s="19"/>
      <c r="P1219" s="19"/>
      <c r="Q1219" s="19"/>
      <c r="R1219" s="19"/>
      <c r="S1219" s="19"/>
      <c r="T1219" s="19"/>
      <c r="U1219" s="19"/>
      <c r="V1219" s="19"/>
      <c r="W1219" s="19"/>
      <c r="X1219" s="19"/>
      <c r="Y1219" s="19"/>
      <c r="Z1219" s="19"/>
      <c r="AA1219" s="19"/>
      <c r="AB1219" s="19"/>
      <c r="FE1219" s="54"/>
    </row>
    <row r="1220" spans="1:161" s="18" customFormat="1">
      <c r="A1220" s="51"/>
      <c r="B1220" s="735"/>
      <c r="C1220" s="735"/>
      <c r="D1220" s="735"/>
      <c r="E1220" s="735"/>
      <c r="F1220" s="736"/>
      <c r="G1220" s="735"/>
      <c r="H1220" s="735"/>
      <c r="I1220" s="735"/>
      <c r="J1220" s="735"/>
      <c r="K1220" s="735"/>
      <c r="L1220" s="735"/>
      <c r="M1220" s="735"/>
      <c r="N1220" s="735"/>
      <c r="O1220" s="19"/>
      <c r="P1220" s="19"/>
      <c r="Q1220" s="19"/>
      <c r="R1220" s="19"/>
      <c r="S1220" s="19"/>
      <c r="T1220" s="19"/>
      <c r="U1220" s="19"/>
      <c r="V1220" s="19"/>
      <c r="W1220" s="19"/>
      <c r="X1220" s="19"/>
      <c r="Y1220" s="19"/>
      <c r="Z1220" s="19"/>
      <c r="AA1220" s="19"/>
      <c r="AB1220" s="19"/>
      <c r="FE1220" s="54"/>
    </row>
    <row r="1221" spans="1:161" s="18" customFormat="1">
      <c r="A1221" s="51"/>
      <c r="B1221" s="735"/>
      <c r="C1221" s="735"/>
      <c r="D1221" s="735"/>
      <c r="E1221" s="735"/>
      <c r="F1221" s="736"/>
      <c r="G1221" s="735"/>
      <c r="H1221" s="735"/>
      <c r="I1221" s="735"/>
      <c r="J1221" s="735"/>
      <c r="K1221" s="735"/>
      <c r="L1221" s="735"/>
      <c r="M1221" s="735"/>
      <c r="N1221" s="735"/>
      <c r="O1221" s="19"/>
      <c r="P1221" s="19"/>
      <c r="Q1221" s="19"/>
      <c r="R1221" s="19"/>
      <c r="S1221" s="19"/>
      <c r="T1221" s="19"/>
      <c r="U1221" s="19"/>
      <c r="V1221" s="19"/>
      <c r="W1221" s="19"/>
      <c r="X1221" s="19"/>
      <c r="Y1221" s="19"/>
      <c r="Z1221" s="19"/>
      <c r="AA1221" s="19"/>
      <c r="AB1221" s="19"/>
      <c r="FE1221" s="54"/>
    </row>
    <row r="1222" spans="1:161" s="18" customFormat="1">
      <c r="A1222" s="51"/>
      <c r="B1222" s="735"/>
      <c r="C1222" s="735"/>
      <c r="D1222" s="735"/>
      <c r="E1222" s="735"/>
      <c r="F1222" s="736"/>
      <c r="G1222" s="735"/>
      <c r="H1222" s="735"/>
      <c r="I1222" s="735"/>
      <c r="J1222" s="735"/>
      <c r="K1222" s="735"/>
      <c r="L1222" s="735"/>
      <c r="M1222" s="735"/>
      <c r="N1222" s="735"/>
      <c r="O1222" s="19"/>
      <c r="P1222" s="19"/>
      <c r="Q1222" s="19"/>
      <c r="R1222" s="19"/>
      <c r="S1222" s="19"/>
      <c r="T1222" s="19"/>
      <c r="U1222" s="19"/>
      <c r="V1222" s="19"/>
      <c r="W1222" s="19"/>
      <c r="X1222" s="19"/>
      <c r="Y1222" s="19"/>
      <c r="Z1222" s="19"/>
      <c r="AA1222" s="19"/>
      <c r="AB1222" s="19"/>
      <c r="FE1222" s="54"/>
    </row>
    <row r="1223" spans="1:161" s="18" customFormat="1">
      <c r="A1223" s="51"/>
      <c r="B1223" s="735"/>
      <c r="C1223" s="735"/>
      <c r="D1223" s="735"/>
      <c r="E1223" s="735"/>
      <c r="F1223" s="736"/>
      <c r="G1223" s="735"/>
      <c r="H1223" s="735"/>
      <c r="I1223" s="735"/>
      <c r="J1223" s="735"/>
      <c r="K1223" s="735"/>
      <c r="L1223" s="735"/>
      <c r="M1223" s="735"/>
      <c r="N1223" s="735"/>
      <c r="O1223" s="19"/>
      <c r="P1223" s="19"/>
      <c r="Q1223" s="19"/>
      <c r="R1223" s="19"/>
      <c r="S1223" s="19"/>
      <c r="T1223" s="19"/>
      <c r="U1223" s="19"/>
      <c r="V1223" s="19"/>
      <c r="W1223" s="19"/>
      <c r="X1223" s="19"/>
      <c r="Y1223" s="19"/>
      <c r="Z1223" s="19"/>
      <c r="AA1223" s="19"/>
      <c r="AB1223" s="19"/>
      <c r="FE1223" s="54"/>
    </row>
    <row r="1224" spans="1:161" s="18" customFormat="1">
      <c r="A1224" s="51"/>
      <c r="B1224" s="735"/>
      <c r="C1224" s="735"/>
      <c r="D1224" s="735"/>
      <c r="E1224" s="735"/>
      <c r="F1224" s="736"/>
      <c r="G1224" s="735"/>
      <c r="H1224" s="735"/>
      <c r="I1224" s="735"/>
      <c r="J1224" s="735"/>
      <c r="K1224" s="735"/>
      <c r="L1224" s="735"/>
      <c r="M1224" s="735"/>
      <c r="N1224" s="735"/>
      <c r="O1224" s="19"/>
      <c r="P1224" s="19"/>
      <c r="Q1224" s="19"/>
      <c r="R1224" s="19"/>
      <c r="S1224" s="19"/>
      <c r="T1224" s="19"/>
      <c r="U1224" s="19"/>
      <c r="V1224" s="19"/>
      <c r="W1224" s="19"/>
      <c r="X1224" s="19"/>
      <c r="Y1224" s="19"/>
      <c r="Z1224" s="19"/>
      <c r="AA1224" s="19"/>
      <c r="AB1224" s="19"/>
      <c r="FE1224" s="54"/>
    </row>
    <row r="1225" spans="1:161" s="18" customFormat="1">
      <c r="A1225" s="51"/>
      <c r="B1225" s="735"/>
      <c r="C1225" s="735"/>
      <c r="D1225" s="735"/>
      <c r="E1225" s="735"/>
      <c r="F1225" s="736"/>
      <c r="G1225" s="735"/>
      <c r="H1225" s="735"/>
      <c r="I1225" s="735"/>
      <c r="J1225" s="735"/>
      <c r="K1225" s="735"/>
      <c r="L1225" s="735"/>
      <c r="M1225" s="735"/>
      <c r="N1225" s="735"/>
      <c r="O1225" s="19"/>
      <c r="P1225" s="19"/>
      <c r="Q1225" s="19"/>
      <c r="R1225" s="19"/>
      <c r="S1225" s="19"/>
      <c r="T1225" s="19"/>
      <c r="U1225" s="19"/>
      <c r="V1225" s="19"/>
      <c r="W1225" s="19"/>
      <c r="X1225" s="19"/>
      <c r="Y1225" s="19"/>
      <c r="Z1225" s="19"/>
      <c r="AA1225" s="19"/>
      <c r="AB1225" s="19"/>
      <c r="FE1225" s="54"/>
    </row>
    <row r="1226" spans="1:161" s="18" customFormat="1">
      <c r="A1226" s="51"/>
      <c r="B1226" s="735"/>
      <c r="C1226" s="735"/>
      <c r="D1226" s="735"/>
      <c r="E1226" s="735"/>
      <c r="F1226" s="736"/>
      <c r="G1226" s="735"/>
      <c r="H1226" s="735"/>
      <c r="I1226" s="735"/>
      <c r="J1226" s="735"/>
      <c r="K1226" s="735"/>
      <c r="L1226" s="735"/>
      <c r="M1226" s="735"/>
      <c r="N1226" s="735"/>
      <c r="O1226" s="19"/>
      <c r="P1226" s="19"/>
      <c r="Q1226" s="19"/>
      <c r="R1226" s="19"/>
      <c r="S1226" s="19"/>
      <c r="T1226" s="19"/>
      <c r="U1226" s="19"/>
      <c r="V1226" s="19"/>
      <c r="W1226" s="19"/>
      <c r="X1226" s="19"/>
      <c r="Y1226" s="19"/>
      <c r="Z1226" s="19"/>
      <c r="AA1226" s="19"/>
      <c r="AB1226" s="19"/>
      <c r="FE1226" s="54"/>
    </row>
    <row r="1227" spans="1:161" s="18" customFormat="1">
      <c r="A1227" s="51"/>
      <c r="B1227" s="735"/>
      <c r="C1227" s="735"/>
      <c r="D1227" s="735"/>
      <c r="E1227" s="735"/>
      <c r="F1227" s="736"/>
      <c r="G1227" s="735"/>
      <c r="H1227" s="735"/>
      <c r="I1227" s="735"/>
      <c r="J1227" s="735"/>
      <c r="K1227" s="735"/>
      <c r="L1227" s="735"/>
      <c r="M1227" s="735"/>
      <c r="N1227" s="735"/>
      <c r="O1227" s="19"/>
      <c r="P1227" s="19"/>
      <c r="Q1227" s="19"/>
      <c r="R1227" s="19"/>
      <c r="S1227" s="19"/>
      <c r="T1227" s="19"/>
      <c r="U1227" s="19"/>
      <c r="V1227" s="19"/>
      <c r="W1227" s="19"/>
      <c r="X1227" s="19"/>
      <c r="Y1227" s="19"/>
      <c r="Z1227" s="19"/>
      <c r="AA1227" s="19"/>
      <c r="AB1227" s="19"/>
      <c r="FE1227" s="54"/>
    </row>
    <row r="1228" spans="1:161" s="18" customFormat="1">
      <c r="A1228" s="51"/>
      <c r="B1228" s="735"/>
      <c r="C1228" s="735"/>
      <c r="D1228" s="735"/>
      <c r="E1228" s="735"/>
      <c r="F1228" s="736"/>
      <c r="G1228" s="735"/>
      <c r="H1228" s="735"/>
      <c r="I1228" s="735"/>
      <c r="J1228" s="735"/>
      <c r="K1228" s="735"/>
      <c r="L1228" s="735"/>
      <c r="M1228" s="735"/>
      <c r="N1228" s="735"/>
      <c r="O1228" s="19"/>
      <c r="P1228" s="19"/>
      <c r="Q1228" s="19"/>
      <c r="R1228" s="19"/>
      <c r="S1228" s="19"/>
      <c r="T1228" s="19"/>
      <c r="U1228" s="19"/>
      <c r="V1228" s="19"/>
      <c r="W1228" s="19"/>
      <c r="X1228" s="19"/>
      <c r="Y1228" s="19"/>
      <c r="Z1228" s="19"/>
      <c r="AA1228" s="19"/>
      <c r="AB1228" s="19"/>
      <c r="FE1228" s="54"/>
    </row>
    <row r="1229" spans="1:161" s="18" customFormat="1">
      <c r="A1229" s="51"/>
      <c r="B1229" s="735"/>
      <c r="C1229" s="735"/>
      <c r="D1229" s="735"/>
      <c r="E1229" s="735"/>
      <c r="F1229" s="736"/>
      <c r="G1229" s="735"/>
      <c r="H1229" s="735"/>
      <c r="I1229" s="735"/>
      <c r="J1229" s="735"/>
      <c r="K1229" s="735"/>
      <c r="L1229" s="735"/>
      <c r="M1229" s="735"/>
      <c r="N1229" s="735"/>
      <c r="O1229" s="19"/>
      <c r="P1229" s="19"/>
      <c r="Q1229" s="19"/>
      <c r="R1229" s="19"/>
      <c r="S1229" s="19"/>
      <c r="T1229" s="19"/>
      <c r="U1229" s="19"/>
      <c r="V1229" s="19"/>
      <c r="W1229" s="19"/>
      <c r="X1229" s="19"/>
      <c r="Y1229" s="19"/>
      <c r="Z1229" s="19"/>
      <c r="AA1229" s="19"/>
      <c r="AB1229" s="19"/>
      <c r="FE1229" s="54"/>
    </row>
    <row r="1230" spans="1:161" s="18" customFormat="1">
      <c r="A1230" s="51"/>
      <c r="B1230" s="735"/>
      <c r="C1230" s="735"/>
      <c r="D1230" s="735"/>
      <c r="E1230" s="735"/>
      <c r="F1230" s="736"/>
      <c r="G1230" s="735"/>
      <c r="H1230" s="735"/>
      <c r="I1230" s="735"/>
      <c r="J1230" s="735"/>
      <c r="K1230" s="735"/>
      <c r="L1230" s="735"/>
      <c r="M1230" s="735"/>
      <c r="N1230" s="735"/>
      <c r="O1230" s="19"/>
      <c r="P1230" s="19"/>
      <c r="Q1230" s="19"/>
      <c r="R1230" s="19"/>
      <c r="S1230" s="19"/>
      <c r="T1230" s="19"/>
      <c r="U1230" s="19"/>
      <c r="V1230" s="19"/>
      <c r="W1230" s="19"/>
      <c r="X1230" s="19"/>
      <c r="Y1230" s="19"/>
      <c r="Z1230" s="19"/>
      <c r="AA1230" s="19"/>
      <c r="AB1230" s="19"/>
      <c r="FE1230" s="54"/>
    </row>
    <row r="1231" spans="1:161" s="18" customFormat="1">
      <c r="A1231" s="51"/>
      <c r="B1231" s="735"/>
      <c r="C1231" s="735"/>
      <c r="D1231" s="735"/>
      <c r="E1231" s="735"/>
      <c r="F1231" s="736"/>
      <c r="G1231" s="735"/>
      <c r="H1231" s="735"/>
      <c r="I1231" s="735"/>
      <c r="J1231" s="735"/>
      <c r="K1231" s="735"/>
      <c r="L1231" s="735"/>
      <c r="M1231" s="735"/>
      <c r="N1231" s="735"/>
      <c r="O1231" s="19"/>
      <c r="P1231" s="19"/>
      <c r="Q1231" s="19"/>
      <c r="R1231" s="19"/>
      <c r="S1231" s="19"/>
      <c r="T1231" s="19"/>
      <c r="U1231" s="19"/>
      <c r="V1231" s="19"/>
      <c r="W1231" s="19"/>
      <c r="X1231" s="19"/>
      <c r="Y1231" s="19"/>
      <c r="Z1231" s="19"/>
      <c r="AA1231" s="19"/>
      <c r="AB1231" s="19"/>
      <c r="FE1231" s="54"/>
    </row>
    <row r="1232" spans="1:161" s="18" customFormat="1">
      <c r="A1232" s="51"/>
      <c r="B1232" s="735"/>
      <c r="C1232" s="735"/>
      <c r="D1232" s="735"/>
      <c r="E1232" s="735"/>
      <c r="F1232" s="736"/>
      <c r="G1232" s="735"/>
      <c r="H1232" s="735"/>
      <c r="I1232" s="735"/>
      <c r="J1232" s="735"/>
      <c r="K1232" s="735"/>
      <c r="L1232" s="735"/>
      <c r="M1232" s="735"/>
      <c r="N1232" s="735"/>
      <c r="O1232" s="19"/>
      <c r="P1232" s="19"/>
      <c r="Q1232" s="19"/>
      <c r="R1232" s="19"/>
      <c r="S1232" s="19"/>
      <c r="T1232" s="19"/>
      <c r="U1232" s="19"/>
      <c r="V1232" s="19"/>
      <c r="W1232" s="19"/>
      <c r="X1232" s="19"/>
      <c r="Y1232" s="19"/>
      <c r="Z1232" s="19"/>
      <c r="AA1232" s="19"/>
      <c r="AB1232" s="19"/>
      <c r="FE1232" s="54"/>
    </row>
    <row r="1233" spans="1:161" s="18" customFormat="1">
      <c r="A1233" s="51"/>
      <c r="B1233" s="735"/>
      <c r="C1233" s="735"/>
      <c r="D1233" s="735"/>
      <c r="E1233" s="735"/>
      <c r="F1233" s="736"/>
      <c r="G1233" s="735"/>
      <c r="H1233" s="735"/>
      <c r="I1233" s="735"/>
      <c r="J1233" s="735"/>
      <c r="K1233" s="735"/>
      <c r="L1233" s="735"/>
      <c r="M1233" s="735"/>
      <c r="N1233" s="735"/>
      <c r="O1233" s="19"/>
      <c r="P1233" s="19"/>
      <c r="Q1233" s="19"/>
      <c r="R1233" s="19"/>
      <c r="S1233" s="19"/>
      <c r="T1233" s="19"/>
      <c r="U1233" s="19"/>
      <c r="V1233" s="19"/>
      <c r="W1233" s="19"/>
      <c r="X1233" s="19"/>
      <c r="Y1233" s="19"/>
      <c r="Z1233" s="19"/>
      <c r="AA1233" s="19"/>
      <c r="AB1233" s="19"/>
      <c r="FE1233" s="54"/>
    </row>
    <row r="1234" spans="1:161" s="18" customFormat="1">
      <c r="A1234" s="51"/>
      <c r="B1234" s="735"/>
      <c r="C1234" s="735"/>
      <c r="D1234" s="735"/>
      <c r="E1234" s="735"/>
      <c r="F1234" s="736"/>
      <c r="G1234" s="735"/>
      <c r="H1234" s="735"/>
      <c r="I1234" s="735"/>
      <c r="J1234" s="735"/>
      <c r="K1234" s="735"/>
      <c r="L1234" s="735"/>
      <c r="M1234" s="735"/>
      <c r="N1234" s="735"/>
      <c r="O1234" s="19"/>
      <c r="P1234" s="19"/>
      <c r="Q1234" s="19"/>
      <c r="R1234" s="19"/>
      <c r="S1234" s="19"/>
      <c r="T1234" s="19"/>
      <c r="U1234" s="19"/>
      <c r="V1234" s="19"/>
      <c r="W1234" s="19"/>
      <c r="X1234" s="19"/>
      <c r="Y1234" s="19"/>
      <c r="Z1234" s="19"/>
      <c r="AA1234" s="19"/>
      <c r="AB1234" s="19"/>
      <c r="FE1234" s="54"/>
    </row>
    <row r="1235" spans="1:161" s="18" customFormat="1">
      <c r="A1235" s="51"/>
      <c r="B1235" s="735"/>
      <c r="C1235" s="735"/>
      <c r="D1235" s="735"/>
      <c r="E1235" s="735"/>
      <c r="F1235" s="736"/>
      <c r="G1235" s="735"/>
      <c r="H1235" s="735"/>
      <c r="I1235" s="735"/>
      <c r="J1235" s="735"/>
      <c r="K1235" s="735"/>
      <c r="L1235" s="735"/>
      <c r="M1235" s="735"/>
      <c r="N1235" s="735"/>
      <c r="O1235" s="19"/>
      <c r="P1235" s="19"/>
      <c r="Q1235" s="19"/>
      <c r="R1235" s="19"/>
      <c r="S1235" s="19"/>
      <c r="T1235" s="19"/>
      <c r="U1235" s="19"/>
      <c r="V1235" s="19"/>
      <c r="W1235" s="19"/>
      <c r="X1235" s="19"/>
      <c r="Y1235" s="19"/>
      <c r="Z1235" s="19"/>
      <c r="AA1235" s="19"/>
      <c r="AB1235" s="19"/>
      <c r="FE1235" s="54"/>
    </row>
    <row r="1236" spans="1:161" s="18" customFormat="1">
      <c r="A1236" s="51"/>
      <c r="B1236" s="735"/>
      <c r="C1236" s="735"/>
      <c r="D1236" s="735"/>
      <c r="E1236" s="735"/>
      <c r="F1236" s="736"/>
      <c r="G1236" s="735"/>
      <c r="H1236" s="735"/>
      <c r="I1236" s="735"/>
      <c r="J1236" s="735"/>
      <c r="K1236" s="735"/>
      <c r="L1236" s="735"/>
      <c r="M1236" s="735"/>
      <c r="N1236" s="735"/>
      <c r="O1236" s="19"/>
      <c r="P1236" s="19"/>
      <c r="Q1236" s="19"/>
      <c r="R1236" s="19"/>
      <c r="S1236" s="19"/>
      <c r="T1236" s="19"/>
      <c r="U1236" s="19"/>
      <c r="V1236" s="19"/>
      <c r="W1236" s="19"/>
      <c r="X1236" s="19"/>
      <c r="Y1236" s="19"/>
      <c r="Z1236" s="19"/>
      <c r="AA1236" s="19"/>
      <c r="AB1236" s="19"/>
      <c r="FE1236" s="54"/>
    </row>
    <row r="1237" spans="1:161" s="18" customFormat="1">
      <c r="A1237" s="51"/>
      <c r="B1237" s="735"/>
      <c r="C1237" s="735"/>
      <c r="D1237" s="735"/>
      <c r="E1237" s="735"/>
      <c r="F1237" s="736"/>
      <c r="G1237" s="735"/>
      <c r="H1237" s="735"/>
      <c r="I1237" s="735"/>
      <c r="J1237" s="735"/>
      <c r="K1237" s="735"/>
      <c r="L1237" s="735"/>
      <c r="M1237" s="735"/>
      <c r="N1237" s="735"/>
      <c r="O1237" s="19"/>
      <c r="P1237" s="19"/>
      <c r="Q1237" s="19"/>
      <c r="R1237" s="19"/>
      <c r="S1237" s="19"/>
      <c r="T1237" s="19"/>
      <c r="U1237" s="19"/>
      <c r="V1237" s="19"/>
      <c r="W1237" s="19"/>
      <c r="X1237" s="19"/>
      <c r="Y1237" s="19"/>
      <c r="Z1237" s="19"/>
      <c r="AA1237" s="19"/>
      <c r="AB1237" s="19"/>
      <c r="FE1237" s="54"/>
    </row>
    <row r="1238" spans="1:161" s="18" customFormat="1">
      <c r="A1238" s="51"/>
      <c r="B1238" s="735"/>
      <c r="C1238" s="735"/>
      <c r="D1238" s="735"/>
      <c r="E1238" s="735"/>
      <c r="F1238" s="736"/>
      <c r="G1238" s="735"/>
      <c r="H1238" s="735"/>
      <c r="I1238" s="735"/>
      <c r="J1238" s="735"/>
      <c r="K1238" s="735"/>
      <c r="L1238" s="735"/>
      <c r="M1238" s="735"/>
      <c r="N1238" s="735"/>
      <c r="O1238" s="19"/>
      <c r="P1238" s="19"/>
      <c r="Q1238" s="19"/>
      <c r="R1238" s="19"/>
      <c r="S1238" s="19"/>
      <c r="T1238" s="19"/>
      <c r="U1238" s="19"/>
      <c r="V1238" s="19"/>
      <c r="W1238" s="19"/>
      <c r="X1238" s="19"/>
      <c r="Y1238" s="19"/>
      <c r="Z1238" s="19"/>
      <c r="AA1238" s="19"/>
      <c r="AB1238" s="19"/>
      <c r="FE1238" s="54"/>
    </row>
    <row r="1239" spans="1:161" s="18" customFormat="1">
      <c r="A1239" s="51"/>
      <c r="B1239" s="735"/>
      <c r="C1239" s="735"/>
      <c r="D1239" s="735"/>
      <c r="E1239" s="735"/>
      <c r="F1239" s="736"/>
      <c r="G1239" s="735"/>
      <c r="H1239" s="735"/>
      <c r="I1239" s="735"/>
      <c r="J1239" s="735"/>
      <c r="K1239" s="735"/>
      <c r="L1239" s="735"/>
      <c r="M1239" s="735"/>
      <c r="N1239" s="735"/>
      <c r="O1239" s="19"/>
      <c r="P1239" s="19"/>
      <c r="Q1239" s="19"/>
      <c r="R1239" s="19"/>
      <c r="S1239" s="19"/>
      <c r="T1239" s="19"/>
      <c r="U1239" s="19"/>
      <c r="V1239" s="19"/>
      <c r="W1239" s="19"/>
      <c r="X1239" s="19"/>
      <c r="Y1239" s="19"/>
      <c r="Z1239" s="19"/>
      <c r="AA1239" s="19"/>
      <c r="AB1239" s="19"/>
      <c r="FE1239" s="54"/>
    </row>
    <row r="1240" spans="1:161" s="18" customFormat="1">
      <c r="A1240" s="51"/>
      <c r="B1240" s="735"/>
      <c r="C1240" s="735"/>
      <c r="D1240" s="735"/>
      <c r="E1240" s="735"/>
      <c r="F1240" s="736"/>
      <c r="G1240" s="735"/>
      <c r="H1240" s="735"/>
      <c r="I1240" s="735"/>
      <c r="J1240" s="735"/>
      <c r="K1240" s="735"/>
      <c r="L1240" s="735"/>
      <c r="M1240" s="735"/>
      <c r="N1240" s="735"/>
      <c r="O1240" s="19"/>
      <c r="P1240" s="19"/>
      <c r="Q1240" s="19"/>
      <c r="R1240" s="19"/>
      <c r="S1240" s="19"/>
      <c r="T1240" s="19"/>
      <c r="U1240" s="19"/>
      <c r="V1240" s="19"/>
      <c r="W1240" s="19"/>
      <c r="X1240" s="19"/>
      <c r="Y1240" s="19"/>
      <c r="Z1240" s="19"/>
      <c r="AA1240" s="19"/>
      <c r="AB1240" s="19"/>
      <c r="FE1240" s="54"/>
    </row>
    <row r="1241" spans="1:161" s="18" customFormat="1">
      <c r="A1241" s="51"/>
      <c r="B1241" s="735"/>
      <c r="C1241" s="735"/>
      <c r="D1241" s="735"/>
      <c r="E1241" s="735"/>
      <c r="F1241" s="736"/>
      <c r="G1241" s="735"/>
      <c r="H1241" s="735"/>
      <c r="I1241" s="735"/>
      <c r="J1241" s="735"/>
      <c r="K1241" s="735"/>
      <c r="L1241" s="735"/>
      <c r="M1241" s="735"/>
      <c r="N1241" s="735"/>
      <c r="O1241" s="19"/>
      <c r="P1241" s="19"/>
      <c r="Q1241" s="19"/>
      <c r="R1241" s="19"/>
      <c r="S1241" s="19"/>
      <c r="T1241" s="19"/>
      <c r="U1241" s="19"/>
      <c r="V1241" s="19"/>
      <c r="W1241" s="19"/>
      <c r="X1241" s="19"/>
      <c r="Y1241" s="19"/>
      <c r="Z1241" s="19"/>
      <c r="AA1241" s="19"/>
      <c r="AB1241" s="19"/>
      <c r="FE1241" s="54"/>
    </row>
    <row r="1242" spans="1:161" s="18" customFormat="1">
      <c r="A1242" s="51"/>
      <c r="B1242" s="735"/>
      <c r="C1242" s="735"/>
      <c r="D1242" s="735"/>
      <c r="E1242" s="735"/>
      <c r="F1242" s="736"/>
      <c r="G1242" s="735"/>
      <c r="H1242" s="735"/>
      <c r="I1242" s="735"/>
      <c r="J1242" s="735"/>
      <c r="K1242" s="735"/>
      <c r="L1242" s="735"/>
      <c r="M1242" s="735"/>
      <c r="N1242" s="735"/>
      <c r="O1242" s="19"/>
      <c r="P1242" s="19"/>
      <c r="Q1242" s="19"/>
      <c r="R1242" s="19"/>
      <c r="S1242" s="19"/>
      <c r="T1242" s="19"/>
      <c r="U1242" s="19"/>
      <c r="V1242" s="19"/>
      <c r="W1242" s="19"/>
      <c r="X1242" s="19"/>
      <c r="Y1242" s="19"/>
      <c r="Z1242" s="19"/>
      <c r="AA1242" s="19"/>
      <c r="AB1242" s="19"/>
      <c r="FE1242" s="54"/>
    </row>
    <row r="1243" spans="1:161" s="18" customFormat="1">
      <c r="A1243" s="51"/>
      <c r="B1243" s="735"/>
      <c r="C1243" s="735"/>
      <c r="D1243" s="735"/>
      <c r="E1243" s="735"/>
      <c r="F1243" s="736"/>
      <c r="G1243" s="735"/>
      <c r="H1243" s="735"/>
      <c r="I1243" s="735"/>
      <c r="J1243" s="735"/>
      <c r="K1243" s="735"/>
      <c r="L1243" s="735"/>
      <c r="M1243" s="735"/>
      <c r="N1243" s="735"/>
      <c r="O1243" s="19"/>
      <c r="P1243" s="19"/>
      <c r="Q1243" s="19"/>
      <c r="R1243" s="19"/>
      <c r="S1243" s="19"/>
      <c r="T1243" s="19"/>
      <c r="U1243" s="19"/>
      <c r="V1243" s="19"/>
      <c r="W1243" s="19"/>
      <c r="X1243" s="19"/>
      <c r="Y1243" s="19"/>
      <c r="Z1243" s="19"/>
      <c r="AA1243" s="19"/>
      <c r="AB1243" s="19"/>
      <c r="FE1243" s="54"/>
    </row>
    <row r="1244" spans="1:161" s="18" customFormat="1">
      <c r="A1244" s="51"/>
      <c r="B1244" s="735"/>
      <c r="C1244" s="735"/>
      <c r="D1244" s="735"/>
      <c r="E1244" s="735"/>
      <c r="F1244" s="736"/>
      <c r="G1244" s="735"/>
      <c r="H1244" s="735"/>
      <c r="I1244" s="735"/>
      <c r="J1244" s="735"/>
      <c r="K1244" s="735"/>
      <c r="L1244" s="735"/>
      <c r="M1244" s="735"/>
      <c r="N1244" s="735"/>
      <c r="O1244" s="19"/>
      <c r="P1244" s="19"/>
      <c r="Q1244" s="19"/>
      <c r="R1244" s="19"/>
      <c r="S1244" s="19"/>
      <c r="T1244" s="19"/>
      <c r="U1244" s="19"/>
      <c r="V1244" s="19"/>
      <c r="W1244" s="19"/>
      <c r="X1244" s="19"/>
      <c r="Y1244" s="19"/>
      <c r="Z1244" s="19"/>
      <c r="AA1244" s="19"/>
      <c r="AB1244" s="19"/>
      <c r="FE1244" s="54"/>
    </row>
    <row r="1245" spans="1:161" s="18" customFormat="1">
      <c r="A1245" s="51"/>
      <c r="B1245" s="735"/>
      <c r="C1245" s="735"/>
      <c r="D1245" s="735"/>
      <c r="E1245" s="735"/>
      <c r="F1245" s="736"/>
      <c r="G1245" s="735"/>
      <c r="H1245" s="735"/>
      <c r="I1245" s="735"/>
      <c r="J1245" s="735"/>
      <c r="K1245" s="735"/>
      <c r="L1245" s="735"/>
      <c r="M1245" s="735"/>
      <c r="N1245" s="735"/>
      <c r="O1245" s="19"/>
      <c r="P1245" s="19"/>
      <c r="Q1245" s="19"/>
      <c r="R1245" s="19"/>
      <c r="S1245" s="19"/>
      <c r="T1245" s="19"/>
      <c r="U1245" s="19"/>
      <c r="V1245" s="19"/>
      <c r="W1245" s="19"/>
      <c r="X1245" s="19"/>
      <c r="Y1245" s="19"/>
      <c r="Z1245" s="19"/>
      <c r="AA1245" s="19"/>
      <c r="AB1245" s="19"/>
      <c r="FE1245" s="54"/>
    </row>
    <row r="1246" spans="1:161" s="18" customFormat="1">
      <c r="A1246" s="51"/>
      <c r="B1246" s="735"/>
      <c r="C1246" s="735"/>
      <c r="D1246" s="735"/>
      <c r="E1246" s="735"/>
      <c r="F1246" s="736"/>
      <c r="G1246" s="735"/>
      <c r="H1246" s="735"/>
      <c r="I1246" s="735"/>
      <c r="J1246" s="735"/>
      <c r="K1246" s="735"/>
      <c r="L1246" s="735"/>
      <c r="M1246" s="735"/>
      <c r="N1246" s="735"/>
      <c r="O1246" s="19"/>
      <c r="P1246" s="19"/>
      <c r="Q1246" s="19"/>
      <c r="R1246" s="19"/>
      <c r="S1246" s="19"/>
      <c r="T1246" s="19"/>
      <c r="U1246" s="19"/>
      <c r="V1246" s="19"/>
      <c r="W1246" s="19"/>
      <c r="X1246" s="19"/>
      <c r="Y1246" s="19"/>
      <c r="Z1246" s="19"/>
      <c r="AA1246" s="19"/>
      <c r="AB1246" s="19"/>
      <c r="FE1246" s="54"/>
    </row>
    <row r="1247" spans="1:161" s="18" customFormat="1">
      <c r="A1247" s="51"/>
      <c r="B1247" s="735"/>
      <c r="C1247" s="735"/>
      <c r="D1247" s="735"/>
      <c r="E1247" s="735"/>
      <c r="F1247" s="736"/>
      <c r="G1247" s="735"/>
      <c r="H1247" s="735"/>
      <c r="I1247" s="735"/>
      <c r="J1247" s="735"/>
      <c r="K1247" s="735"/>
      <c r="L1247" s="735"/>
      <c r="M1247" s="735"/>
      <c r="N1247" s="735"/>
      <c r="O1247" s="19"/>
      <c r="P1247" s="19"/>
      <c r="Q1247" s="19"/>
      <c r="R1247" s="19"/>
      <c r="S1247" s="19"/>
      <c r="T1247" s="19"/>
      <c r="U1247" s="19"/>
      <c r="V1247" s="19"/>
      <c r="W1247" s="19"/>
      <c r="X1247" s="19"/>
      <c r="Y1247" s="19"/>
      <c r="Z1247" s="19"/>
      <c r="AA1247" s="19"/>
      <c r="AB1247" s="19"/>
      <c r="FE1247" s="54"/>
    </row>
    <row r="1248" spans="1:161" s="18" customFormat="1">
      <c r="A1248" s="51"/>
      <c r="B1248" s="735"/>
      <c r="C1248" s="735"/>
      <c r="D1248" s="735"/>
      <c r="E1248" s="735"/>
      <c r="F1248" s="736"/>
      <c r="G1248" s="735"/>
      <c r="H1248" s="735"/>
      <c r="I1248" s="735"/>
      <c r="J1248" s="735"/>
      <c r="K1248" s="735"/>
      <c r="L1248" s="735"/>
      <c r="M1248" s="735"/>
      <c r="N1248" s="735"/>
      <c r="O1248" s="19"/>
      <c r="P1248" s="19"/>
      <c r="Q1248" s="19"/>
      <c r="R1248" s="19"/>
      <c r="S1248" s="19"/>
      <c r="T1248" s="19"/>
      <c r="U1248" s="19"/>
      <c r="V1248" s="19"/>
      <c r="W1248" s="19"/>
      <c r="X1248" s="19"/>
      <c r="Y1248" s="19"/>
      <c r="Z1248" s="19"/>
      <c r="AA1248" s="19"/>
      <c r="AB1248" s="19"/>
      <c r="FE1248" s="54"/>
    </row>
    <row r="1249" spans="1:161" s="18" customFormat="1">
      <c r="A1249" s="51"/>
      <c r="B1249" s="735"/>
      <c r="C1249" s="735"/>
      <c r="D1249" s="735"/>
      <c r="E1249" s="735"/>
      <c r="F1249" s="736"/>
      <c r="G1249" s="735"/>
      <c r="H1249" s="735"/>
      <c r="I1249" s="735"/>
      <c r="J1249" s="735"/>
      <c r="K1249" s="735"/>
      <c r="L1249" s="735"/>
      <c r="M1249" s="735"/>
      <c r="N1249" s="735"/>
      <c r="O1249" s="19"/>
      <c r="P1249" s="19"/>
      <c r="Q1249" s="19"/>
      <c r="R1249" s="19"/>
      <c r="S1249" s="19"/>
      <c r="T1249" s="19"/>
      <c r="U1249" s="19"/>
      <c r="V1249" s="19"/>
      <c r="W1249" s="19"/>
      <c r="X1249" s="19"/>
      <c r="Y1249" s="19"/>
      <c r="Z1249" s="19"/>
      <c r="AA1249" s="19"/>
      <c r="AB1249" s="19"/>
      <c r="FE1249" s="54"/>
    </row>
    <row r="1250" spans="1:161" s="18" customFormat="1">
      <c r="A1250" s="51"/>
      <c r="B1250" s="735"/>
      <c r="C1250" s="735"/>
      <c r="D1250" s="735"/>
      <c r="E1250" s="735"/>
      <c r="F1250" s="736"/>
      <c r="G1250" s="735"/>
      <c r="H1250" s="735"/>
      <c r="I1250" s="735"/>
      <c r="J1250" s="735"/>
      <c r="K1250" s="735"/>
      <c r="L1250" s="735"/>
      <c r="M1250" s="735"/>
      <c r="N1250" s="735"/>
      <c r="O1250" s="19"/>
      <c r="P1250" s="19"/>
      <c r="Q1250" s="19"/>
      <c r="R1250" s="19"/>
      <c r="S1250" s="19"/>
      <c r="T1250" s="19"/>
      <c r="U1250" s="19"/>
      <c r="V1250" s="19"/>
      <c r="W1250" s="19"/>
      <c r="X1250" s="19"/>
      <c r="Y1250" s="19"/>
      <c r="Z1250" s="19"/>
      <c r="AA1250" s="19"/>
      <c r="AB1250" s="19"/>
      <c r="FE1250" s="54"/>
    </row>
    <row r="1251" spans="1:161" s="18" customFormat="1">
      <c r="A1251" s="51"/>
      <c r="B1251" s="735"/>
      <c r="C1251" s="735"/>
      <c r="D1251" s="735"/>
      <c r="E1251" s="735"/>
      <c r="F1251" s="736"/>
      <c r="G1251" s="735"/>
      <c r="H1251" s="735"/>
      <c r="I1251" s="735"/>
      <c r="J1251" s="735"/>
      <c r="K1251" s="735"/>
      <c r="L1251" s="735"/>
      <c r="M1251" s="735"/>
      <c r="N1251" s="735"/>
      <c r="O1251" s="19"/>
      <c r="P1251" s="19"/>
      <c r="Q1251" s="19"/>
      <c r="R1251" s="19"/>
      <c r="S1251" s="19"/>
      <c r="T1251" s="19"/>
      <c r="U1251" s="19"/>
      <c r="V1251" s="19"/>
      <c r="W1251" s="19"/>
      <c r="X1251" s="19"/>
      <c r="Y1251" s="19"/>
      <c r="Z1251" s="19"/>
      <c r="AA1251" s="19"/>
      <c r="AB1251" s="19"/>
      <c r="FE1251" s="54"/>
    </row>
    <row r="1252" spans="1:161" s="18" customFormat="1">
      <c r="A1252" s="51"/>
      <c r="B1252" s="735"/>
      <c r="C1252" s="735"/>
      <c r="D1252" s="735"/>
      <c r="E1252" s="735"/>
      <c r="F1252" s="736"/>
      <c r="G1252" s="735"/>
      <c r="H1252" s="735"/>
      <c r="I1252" s="735"/>
      <c r="J1252" s="735"/>
      <c r="K1252" s="735"/>
      <c r="L1252" s="735"/>
      <c r="M1252" s="735"/>
      <c r="N1252" s="735"/>
      <c r="O1252" s="19"/>
      <c r="P1252" s="19"/>
      <c r="Q1252" s="19"/>
      <c r="R1252" s="19"/>
      <c r="S1252" s="19"/>
      <c r="T1252" s="19"/>
      <c r="U1252" s="19"/>
      <c r="V1252" s="19"/>
      <c r="W1252" s="19"/>
      <c r="X1252" s="19"/>
      <c r="Y1252" s="19"/>
      <c r="Z1252" s="19"/>
      <c r="AA1252" s="19"/>
      <c r="AB1252" s="19"/>
      <c r="FE1252" s="54"/>
    </row>
    <row r="1253" spans="1:161" s="18" customFormat="1">
      <c r="A1253" s="51"/>
      <c r="B1253" s="735"/>
      <c r="C1253" s="735"/>
      <c r="D1253" s="735"/>
      <c r="E1253" s="735"/>
      <c r="F1253" s="736"/>
      <c r="G1253" s="735"/>
      <c r="H1253" s="735"/>
      <c r="I1253" s="735"/>
      <c r="J1253" s="735"/>
      <c r="K1253" s="735"/>
      <c r="L1253" s="735"/>
      <c r="M1253" s="735"/>
      <c r="N1253" s="735"/>
      <c r="O1253" s="19"/>
      <c r="P1253" s="19"/>
      <c r="Q1253" s="19"/>
      <c r="R1253" s="19"/>
      <c r="S1253" s="19"/>
      <c r="T1253" s="19"/>
      <c r="U1253" s="19"/>
      <c r="V1253" s="19"/>
      <c r="W1253" s="19"/>
      <c r="X1253" s="19"/>
      <c r="Y1253" s="19"/>
      <c r="Z1253" s="19"/>
      <c r="AA1253" s="19"/>
      <c r="AB1253" s="19"/>
      <c r="FE1253" s="54"/>
    </row>
    <row r="1254" spans="1:161" s="18" customFormat="1">
      <c r="A1254" s="51"/>
      <c r="B1254" s="735"/>
      <c r="C1254" s="735"/>
      <c r="D1254" s="735"/>
      <c r="E1254" s="735"/>
      <c r="F1254" s="736"/>
      <c r="G1254" s="735"/>
      <c r="H1254" s="735"/>
      <c r="I1254" s="735"/>
      <c r="J1254" s="735"/>
      <c r="K1254" s="735"/>
      <c r="L1254" s="735"/>
      <c r="M1254" s="735"/>
      <c r="N1254" s="735"/>
      <c r="O1254" s="19"/>
      <c r="P1254" s="19"/>
      <c r="Q1254" s="19"/>
      <c r="R1254" s="19"/>
      <c r="S1254" s="19"/>
      <c r="T1254" s="19"/>
      <c r="U1254" s="19"/>
      <c r="V1254" s="19"/>
      <c r="W1254" s="19"/>
      <c r="X1254" s="19"/>
      <c r="Y1254" s="19"/>
      <c r="Z1254" s="19"/>
      <c r="AA1254" s="19"/>
      <c r="AB1254" s="19"/>
      <c r="FE1254" s="54"/>
    </row>
    <row r="1255" spans="1:161" s="18" customFormat="1">
      <c r="A1255" s="51"/>
      <c r="B1255" s="735"/>
      <c r="C1255" s="735"/>
      <c r="D1255" s="735"/>
      <c r="E1255" s="735"/>
      <c r="F1255" s="736"/>
      <c r="G1255" s="735"/>
      <c r="H1255" s="735"/>
      <c r="I1255" s="735"/>
      <c r="J1255" s="735"/>
      <c r="K1255" s="735"/>
      <c r="L1255" s="735"/>
      <c r="M1255" s="735"/>
      <c r="N1255" s="735"/>
      <c r="O1255" s="19"/>
      <c r="P1255" s="19"/>
      <c r="Q1255" s="19"/>
      <c r="R1255" s="19"/>
      <c r="S1255" s="19"/>
      <c r="T1255" s="19"/>
      <c r="U1255" s="19"/>
      <c r="V1255" s="19"/>
      <c r="W1255" s="19"/>
      <c r="X1255" s="19"/>
      <c r="Y1255" s="19"/>
      <c r="Z1255" s="19"/>
      <c r="AA1255" s="19"/>
      <c r="AB1255" s="19"/>
      <c r="FE1255" s="54"/>
    </row>
    <row r="1256" spans="1:161" s="18" customFormat="1">
      <c r="A1256" s="51"/>
      <c r="B1256" s="735"/>
      <c r="C1256" s="735"/>
      <c r="D1256" s="735"/>
      <c r="E1256" s="735"/>
      <c r="F1256" s="736"/>
      <c r="G1256" s="735"/>
      <c r="H1256" s="735"/>
      <c r="I1256" s="735"/>
      <c r="J1256" s="735"/>
      <c r="K1256" s="735"/>
      <c r="L1256" s="735"/>
      <c r="M1256" s="735"/>
      <c r="N1256" s="735"/>
      <c r="O1256" s="19"/>
      <c r="P1256" s="19"/>
      <c r="Q1256" s="19"/>
      <c r="R1256" s="19"/>
      <c r="S1256" s="19"/>
      <c r="T1256" s="19"/>
      <c r="U1256" s="19"/>
      <c r="V1256" s="19"/>
      <c r="W1256" s="19"/>
      <c r="X1256" s="19"/>
      <c r="Y1256" s="19"/>
      <c r="Z1256" s="19"/>
      <c r="AA1256" s="19"/>
      <c r="AB1256" s="19"/>
      <c r="FE1256" s="54"/>
    </row>
    <row r="1257" spans="1:161" s="18" customFormat="1">
      <c r="A1257" s="51"/>
      <c r="B1257" s="735"/>
      <c r="C1257" s="735"/>
      <c r="D1257" s="735"/>
      <c r="E1257" s="735"/>
      <c r="F1257" s="736"/>
      <c r="G1257" s="735"/>
      <c r="H1257" s="735"/>
      <c r="I1257" s="735"/>
      <c r="J1257" s="735"/>
      <c r="K1257" s="735"/>
      <c r="L1257" s="735"/>
      <c r="M1257" s="735"/>
      <c r="N1257" s="735"/>
      <c r="O1257" s="19"/>
      <c r="P1257" s="19"/>
      <c r="Q1257" s="19"/>
      <c r="R1257" s="19"/>
      <c r="S1257" s="19"/>
      <c r="T1257" s="19"/>
      <c r="U1257" s="19"/>
      <c r="V1257" s="19"/>
      <c r="W1257" s="19"/>
      <c r="X1257" s="19"/>
      <c r="Y1257" s="19"/>
      <c r="Z1257" s="19"/>
      <c r="AA1257" s="19"/>
      <c r="AB1257" s="19"/>
      <c r="FE1257" s="54"/>
    </row>
    <row r="1258" spans="1:161" s="18" customFormat="1">
      <c r="A1258" s="51"/>
      <c r="B1258" s="735"/>
      <c r="C1258" s="735"/>
      <c r="D1258" s="735"/>
      <c r="E1258" s="735"/>
      <c r="F1258" s="736"/>
      <c r="G1258" s="735"/>
      <c r="H1258" s="735"/>
      <c r="I1258" s="735"/>
      <c r="J1258" s="735"/>
      <c r="K1258" s="735"/>
      <c r="L1258" s="735"/>
      <c r="M1258" s="735"/>
      <c r="N1258" s="735"/>
      <c r="O1258" s="19"/>
      <c r="P1258" s="19"/>
      <c r="Q1258" s="19"/>
      <c r="R1258" s="19"/>
      <c r="S1258" s="19"/>
      <c r="T1258" s="19"/>
      <c r="U1258" s="19"/>
      <c r="V1258" s="19"/>
      <c r="W1258" s="19"/>
      <c r="X1258" s="19"/>
      <c r="Y1258" s="19"/>
      <c r="Z1258" s="19"/>
      <c r="AA1258" s="19"/>
      <c r="AB1258" s="19"/>
      <c r="FE1258" s="54"/>
    </row>
    <row r="1259" spans="1:161" s="18" customFormat="1">
      <c r="A1259" s="51"/>
      <c r="B1259" s="735"/>
      <c r="C1259" s="735"/>
      <c r="D1259" s="735"/>
      <c r="E1259" s="735"/>
      <c r="F1259" s="736"/>
      <c r="G1259" s="735"/>
      <c r="H1259" s="735"/>
      <c r="I1259" s="735"/>
      <c r="J1259" s="735"/>
      <c r="K1259" s="735"/>
      <c r="L1259" s="735"/>
      <c r="M1259" s="735"/>
      <c r="N1259" s="735"/>
      <c r="O1259" s="19"/>
      <c r="P1259" s="19"/>
      <c r="Q1259" s="19"/>
      <c r="R1259" s="19"/>
      <c r="S1259" s="19"/>
      <c r="T1259" s="19"/>
      <c r="U1259" s="19"/>
      <c r="V1259" s="19"/>
      <c r="W1259" s="19"/>
      <c r="X1259" s="19"/>
      <c r="Y1259" s="19"/>
      <c r="Z1259" s="19"/>
      <c r="AA1259" s="19"/>
      <c r="AB1259" s="19"/>
      <c r="FE1259" s="54"/>
    </row>
    <row r="1260" spans="1:161" s="18" customFormat="1">
      <c r="A1260" s="51"/>
      <c r="B1260" s="735"/>
      <c r="C1260" s="735"/>
      <c r="D1260" s="735"/>
      <c r="E1260" s="735"/>
      <c r="F1260" s="736"/>
      <c r="G1260" s="735"/>
      <c r="H1260" s="735"/>
      <c r="I1260" s="735"/>
      <c r="J1260" s="735"/>
      <c r="K1260" s="735"/>
      <c r="L1260" s="735"/>
      <c r="M1260" s="735"/>
      <c r="N1260" s="735"/>
      <c r="O1260" s="19"/>
      <c r="P1260" s="19"/>
      <c r="Q1260" s="19"/>
      <c r="R1260" s="19"/>
      <c r="S1260" s="19"/>
      <c r="T1260" s="19"/>
      <c r="U1260" s="19"/>
      <c r="V1260" s="19"/>
      <c r="W1260" s="19"/>
      <c r="X1260" s="19"/>
      <c r="Y1260" s="19"/>
      <c r="Z1260" s="19"/>
      <c r="AA1260" s="19"/>
      <c r="AB1260" s="19"/>
      <c r="FE1260" s="54"/>
    </row>
    <row r="1261" spans="1:161" s="18" customFormat="1">
      <c r="A1261" s="51"/>
      <c r="B1261" s="735"/>
      <c r="C1261" s="735"/>
      <c r="D1261" s="735"/>
      <c r="E1261" s="735"/>
      <c r="F1261" s="736"/>
      <c r="G1261" s="735"/>
      <c r="H1261" s="735"/>
      <c r="I1261" s="735"/>
      <c r="J1261" s="735"/>
      <c r="K1261" s="735"/>
      <c r="L1261" s="735"/>
      <c r="M1261" s="735"/>
      <c r="N1261" s="735"/>
      <c r="O1261" s="19"/>
      <c r="P1261" s="19"/>
      <c r="Q1261" s="19"/>
      <c r="R1261" s="19"/>
      <c r="S1261" s="19"/>
      <c r="T1261" s="19"/>
      <c r="U1261" s="19"/>
      <c r="V1261" s="19"/>
      <c r="W1261" s="19"/>
      <c r="X1261" s="19"/>
      <c r="Y1261" s="19"/>
      <c r="Z1261" s="19"/>
      <c r="AA1261" s="19"/>
      <c r="AB1261" s="19"/>
      <c r="FE1261" s="54"/>
    </row>
    <row r="1262" spans="1:161" s="18" customFormat="1">
      <c r="A1262" s="51"/>
      <c r="B1262" s="735"/>
      <c r="C1262" s="735"/>
      <c r="D1262" s="735"/>
      <c r="E1262" s="735"/>
      <c r="F1262" s="736"/>
      <c r="G1262" s="735"/>
      <c r="H1262" s="735"/>
      <c r="I1262" s="735"/>
      <c r="J1262" s="735"/>
      <c r="K1262" s="735"/>
      <c r="L1262" s="735"/>
      <c r="M1262" s="735"/>
      <c r="N1262" s="735"/>
      <c r="O1262" s="19"/>
      <c r="P1262" s="19"/>
      <c r="Q1262" s="19"/>
      <c r="R1262" s="19"/>
      <c r="S1262" s="19"/>
      <c r="T1262" s="19"/>
      <c r="U1262" s="19"/>
      <c r="V1262" s="19"/>
      <c r="W1262" s="19"/>
      <c r="X1262" s="19"/>
      <c r="Y1262" s="19"/>
      <c r="Z1262" s="19"/>
      <c r="AA1262" s="19"/>
      <c r="AB1262" s="19"/>
      <c r="FE1262" s="54"/>
    </row>
    <row r="1263" spans="1:161" s="18" customFormat="1">
      <c r="A1263" s="51"/>
      <c r="B1263" s="735"/>
      <c r="C1263" s="735"/>
      <c r="D1263" s="735"/>
      <c r="E1263" s="735"/>
      <c r="F1263" s="736"/>
      <c r="G1263" s="735"/>
      <c r="H1263" s="735"/>
      <c r="I1263" s="735"/>
      <c r="J1263" s="735"/>
      <c r="K1263" s="735"/>
      <c r="L1263" s="735"/>
      <c r="M1263" s="735"/>
      <c r="N1263" s="735"/>
      <c r="O1263" s="19"/>
      <c r="P1263" s="19"/>
      <c r="Q1263" s="19"/>
      <c r="R1263" s="19"/>
      <c r="S1263" s="19"/>
      <c r="T1263" s="19"/>
      <c r="U1263" s="19"/>
      <c r="V1263" s="19"/>
      <c r="W1263" s="19"/>
      <c r="X1263" s="19"/>
      <c r="Y1263" s="19"/>
      <c r="Z1263" s="19"/>
      <c r="AA1263" s="19"/>
      <c r="AB1263" s="19"/>
      <c r="FE1263" s="54"/>
    </row>
    <row r="1264" spans="1:161" s="18" customFormat="1">
      <c r="A1264" s="51"/>
      <c r="B1264" s="735"/>
      <c r="C1264" s="735"/>
      <c r="D1264" s="735"/>
      <c r="E1264" s="735"/>
      <c r="F1264" s="736"/>
      <c r="G1264" s="735"/>
      <c r="H1264" s="735"/>
      <c r="I1264" s="735"/>
      <c r="J1264" s="735"/>
      <c r="K1264" s="735"/>
      <c r="L1264" s="735"/>
      <c r="M1264" s="735"/>
      <c r="N1264" s="735"/>
      <c r="O1264" s="19"/>
      <c r="P1264" s="19"/>
      <c r="Q1264" s="19"/>
      <c r="R1264" s="19"/>
      <c r="S1264" s="19"/>
      <c r="T1264" s="19"/>
      <c r="U1264" s="19"/>
      <c r="V1264" s="19"/>
      <c r="W1264" s="19"/>
      <c r="X1264" s="19"/>
      <c r="Y1264" s="19"/>
      <c r="Z1264" s="19"/>
      <c r="AA1264" s="19"/>
      <c r="AB1264" s="19"/>
      <c r="FE1264" s="54"/>
    </row>
    <row r="1265" spans="1:161" s="18" customFormat="1">
      <c r="A1265" s="51"/>
      <c r="B1265" s="735"/>
      <c r="C1265" s="735"/>
      <c r="D1265" s="735"/>
      <c r="E1265" s="735"/>
      <c r="F1265" s="736"/>
      <c r="G1265" s="735"/>
      <c r="H1265" s="735"/>
      <c r="I1265" s="735"/>
      <c r="J1265" s="735"/>
      <c r="K1265" s="735"/>
      <c r="L1265" s="735"/>
      <c r="M1265" s="735"/>
      <c r="N1265" s="735"/>
      <c r="O1265" s="19"/>
      <c r="P1265" s="19"/>
      <c r="Q1265" s="19"/>
      <c r="R1265" s="19"/>
      <c r="S1265" s="19"/>
      <c r="T1265" s="19"/>
      <c r="U1265" s="19"/>
      <c r="V1265" s="19"/>
      <c r="W1265" s="19"/>
      <c r="X1265" s="19"/>
      <c r="Y1265" s="19"/>
      <c r="Z1265" s="19"/>
      <c r="AA1265" s="19"/>
      <c r="AB1265" s="19"/>
      <c r="FE1265" s="54"/>
    </row>
    <row r="1266" spans="1:161" s="18" customFormat="1">
      <c r="A1266" s="51"/>
      <c r="B1266" s="735"/>
      <c r="C1266" s="735"/>
      <c r="D1266" s="735"/>
      <c r="E1266" s="735"/>
      <c r="F1266" s="736"/>
      <c r="G1266" s="735"/>
      <c r="H1266" s="735"/>
      <c r="I1266" s="735"/>
      <c r="J1266" s="735"/>
      <c r="K1266" s="735"/>
      <c r="L1266" s="735"/>
      <c r="M1266" s="735"/>
      <c r="N1266" s="735"/>
      <c r="O1266" s="19"/>
      <c r="P1266" s="19"/>
      <c r="Q1266" s="19"/>
      <c r="R1266" s="19"/>
      <c r="S1266" s="19"/>
      <c r="T1266" s="19"/>
      <c r="U1266" s="19"/>
      <c r="V1266" s="19"/>
      <c r="W1266" s="19"/>
      <c r="X1266" s="19"/>
      <c r="Y1266" s="19"/>
      <c r="Z1266" s="19"/>
      <c r="AA1266" s="19"/>
      <c r="AB1266" s="19"/>
      <c r="FE1266" s="54"/>
    </row>
    <row r="1267" spans="1:161" s="18" customFormat="1">
      <c r="A1267" s="51"/>
      <c r="B1267" s="735"/>
      <c r="C1267" s="735"/>
      <c r="D1267" s="735"/>
      <c r="E1267" s="735"/>
      <c r="F1267" s="736"/>
      <c r="G1267" s="735"/>
      <c r="H1267" s="735"/>
      <c r="I1267" s="735"/>
      <c r="J1267" s="735"/>
      <c r="K1267" s="735"/>
      <c r="L1267" s="735"/>
      <c r="M1267" s="735"/>
      <c r="N1267" s="735"/>
      <c r="O1267" s="19"/>
      <c r="P1267" s="19"/>
      <c r="Q1267" s="19"/>
      <c r="R1267" s="19"/>
      <c r="S1267" s="19"/>
      <c r="T1267" s="19"/>
      <c r="U1267" s="19"/>
      <c r="V1267" s="19"/>
      <c r="W1267" s="19"/>
      <c r="X1267" s="19"/>
      <c r="Y1267" s="19"/>
      <c r="Z1267" s="19"/>
      <c r="AA1267" s="19"/>
      <c r="AB1267" s="19"/>
      <c r="FE1267" s="54"/>
    </row>
    <row r="1268" spans="1:161" s="18" customFormat="1">
      <c r="A1268" s="51"/>
      <c r="B1268" s="735"/>
      <c r="C1268" s="735"/>
      <c r="D1268" s="735"/>
      <c r="E1268" s="735"/>
      <c r="F1268" s="736"/>
      <c r="G1268" s="735"/>
      <c r="H1268" s="735"/>
      <c r="I1268" s="735"/>
      <c r="J1268" s="735"/>
      <c r="K1268" s="735"/>
      <c r="L1268" s="735"/>
      <c r="M1268" s="735"/>
      <c r="N1268" s="735"/>
      <c r="O1268" s="19"/>
      <c r="P1268" s="19"/>
      <c r="Q1268" s="19"/>
      <c r="R1268" s="19"/>
      <c r="S1268" s="19"/>
      <c r="T1268" s="19"/>
      <c r="U1268" s="19"/>
      <c r="V1268" s="19"/>
      <c r="W1268" s="19"/>
      <c r="X1268" s="19"/>
      <c r="Y1268" s="19"/>
      <c r="Z1268" s="19"/>
      <c r="AA1268" s="19"/>
      <c r="AB1268" s="19"/>
      <c r="FE1268" s="54"/>
    </row>
    <row r="1269" spans="1:161" s="18" customFormat="1">
      <c r="A1269" s="51"/>
      <c r="B1269" s="735"/>
      <c r="C1269" s="735"/>
      <c r="D1269" s="735"/>
      <c r="E1269" s="735"/>
      <c r="F1269" s="736"/>
      <c r="G1269" s="735"/>
      <c r="H1269" s="735"/>
      <c r="I1269" s="735"/>
      <c r="J1269" s="735"/>
      <c r="K1269" s="735"/>
      <c r="L1269" s="735"/>
      <c r="M1269" s="735"/>
      <c r="N1269" s="735"/>
      <c r="O1269" s="19"/>
      <c r="P1269" s="19"/>
      <c r="Q1269" s="19"/>
      <c r="R1269" s="19"/>
      <c r="S1269" s="19"/>
      <c r="T1269" s="19"/>
      <c r="U1269" s="19"/>
      <c r="V1269" s="19"/>
      <c r="W1269" s="19"/>
      <c r="X1269" s="19"/>
      <c r="Y1269" s="19"/>
      <c r="Z1269" s="19"/>
      <c r="AA1269" s="19"/>
      <c r="AB1269" s="19"/>
      <c r="FE1269" s="54"/>
    </row>
    <row r="1270" spans="1:161" s="18" customFormat="1">
      <c r="A1270" s="51"/>
      <c r="B1270" s="735"/>
      <c r="C1270" s="735"/>
      <c r="D1270" s="735"/>
      <c r="E1270" s="735"/>
      <c r="F1270" s="736"/>
      <c r="G1270" s="735"/>
      <c r="H1270" s="735"/>
      <c r="I1270" s="735"/>
      <c r="J1270" s="735"/>
      <c r="K1270" s="735"/>
      <c r="L1270" s="735"/>
      <c r="M1270" s="735"/>
      <c r="N1270" s="735"/>
      <c r="O1270" s="19"/>
      <c r="P1270" s="19"/>
      <c r="Q1270" s="19"/>
      <c r="R1270" s="19"/>
      <c r="S1270" s="19"/>
      <c r="T1270" s="19"/>
      <c r="U1270" s="19"/>
      <c r="V1270" s="19"/>
      <c r="W1270" s="19"/>
      <c r="X1270" s="19"/>
      <c r="Y1270" s="19"/>
      <c r="Z1270" s="19"/>
      <c r="AA1270" s="19"/>
      <c r="AB1270" s="19"/>
      <c r="FE1270" s="54"/>
    </row>
    <row r="1271" spans="1:161" s="18" customFormat="1">
      <c r="A1271" s="51"/>
      <c r="B1271" s="735"/>
      <c r="C1271" s="735"/>
      <c r="D1271" s="735"/>
      <c r="E1271" s="735"/>
      <c r="F1271" s="736"/>
      <c r="G1271" s="735"/>
      <c r="H1271" s="735"/>
      <c r="I1271" s="735"/>
      <c r="J1271" s="735"/>
      <c r="K1271" s="735"/>
      <c r="L1271" s="735"/>
      <c r="M1271" s="735"/>
      <c r="N1271" s="735"/>
      <c r="O1271" s="19"/>
      <c r="P1271" s="19"/>
      <c r="Q1271" s="19"/>
      <c r="R1271" s="19"/>
      <c r="S1271" s="19"/>
      <c r="T1271" s="19"/>
      <c r="U1271" s="19"/>
      <c r="V1271" s="19"/>
      <c r="W1271" s="19"/>
      <c r="X1271" s="19"/>
      <c r="Y1271" s="19"/>
      <c r="Z1271" s="19"/>
      <c r="AA1271" s="19"/>
      <c r="AB1271" s="19"/>
      <c r="FE1271" s="54"/>
    </row>
    <row r="1272" spans="1:161" s="18" customFormat="1">
      <c r="A1272" s="51"/>
      <c r="B1272" s="735"/>
      <c r="C1272" s="735"/>
      <c r="D1272" s="735"/>
      <c r="E1272" s="735"/>
      <c r="F1272" s="736"/>
      <c r="G1272" s="735"/>
      <c r="H1272" s="735"/>
      <c r="I1272" s="735"/>
      <c r="J1272" s="735"/>
      <c r="K1272" s="735"/>
      <c r="L1272" s="735"/>
      <c r="M1272" s="735"/>
      <c r="N1272" s="735"/>
      <c r="O1272" s="19"/>
      <c r="P1272" s="19"/>
      <c r="Q1272" s="19"/>
      <c r="R1272" s="19"/>
      <c r="S1272" s="19"/>
      <c r="T1272" s="19"/>
      <c r="U1272" s="19"/>
      <c r="V1272" s="19"/>
      <c r="W1272" s="19"/>
      <c r="X1272" s="19"/>
      <c r="Y1272" s="19"/>
      <c r="Z1272" s="19"/>
      <c r="AA1272" s="19"/>
      <c r="AB1272" s="19"/>
      <c r="FE1272" s="54"/>
    </row>
    <row r="1273" spans="1:161" s="18" customFormat="1">
      <c r="A1273" s="51"/>
      <c r="B1273" s="735"/>
      <c r="C1273" s="735"/>
      <c r="D1273" s="735"/>
      <c r="E1273" s="735"/>
      <c r="F1273" s="736"/>
      <c r="G1273" s="735"/>
      <c r="H1273" s="735"/>
      <c r="I1273" s="735"/>
      <c r="J1273" s="735"/>
      <c r="K1273" s="735"/>
      <c r="L1273" s="735"/>
      <c r="M1273" s="735"/>
      <c r="N1273" s="735"/>
      <c r="O1273" s="19"/>
      <c r="P1273" s="19"/>
      <c r="Q1273" s="19"/>
      <c r="R1273" s="19"/>
      <c r="S1273" s="19"/>
      <c r="T1273" s="19"/>
      <c r="U1273" s="19"/>
      <c r="V1273" s="19"/>
      <c r="W1273" s="19"/>
      <c r="X1273" s="19"/>
      <c r="Y1273" s="19"/>
      <c r="Z1273" s="19"/>
      <c r="AA1273" s="19"/>
      <c r="AB1273" s="19"/>
      <c r="FE1273" s="54"/>
    </row>
    <row r="1274" spans="1:161" s="18" customFormat="1">
      <c r="A1274" s="51"/>
      <c r="B1274" s="735"/>
      <c r="C1274" s="735"/>
      <c r="D1274" s="735"/>
      <c r="E1274" s="735"/>
      <c r="F1274" s="736"/>
      <c r="G1274" s="735"/>
      <c r="H1274" s="735"/>
      <c r="I1274" s="735"/>
      <c r="J1274" s="735"/>
      <c r="K1274" s="735"/>
      <c r="L1274" s="735"/>
      <c r="M1274" s="735"/>
      <c r="N1274" s="735"/>
      <c r="O1274" s="19"/>
      <c r="P1274" s="19"/>
      <c r="Q1274" s="19"/>
      <c r="R1274" s="19"/>
      <c r="S1274" s="19"/>
      <c r="T1274" s="19"/>
      <c r="U1274" s="19"/>
      <c r="V1274" s="19"/>
      <c r="W1274" s="19"/>
      <c r="X1274" s="19"/>
      <c r="Y1274" s="19"/>
      <c r="Z1274" s="19"/>
      <c r="AA1274" s="19"/>
      <c r="AB1274" s="19"/>
      <c r="FE1274" s="54"/>
    </row>
    <row r="1275" spans="1:161" s="18" customFormat="1">
      <c r="A1275" s="51"/>
      <c r="B1275" s="735"/>
      <c r="C1275" s="735"/>
      <c r="D1275" s="735"/>
      <c r="E1275" s="735"/>
      <c r="F1275" s="736"/>
      <c r="G1275" s="735"/>
      <c r="H1275" s="735"/>
      <c r="I1275" s="735"/>
      <c r="J1275" s="735"/>
      <c r="K1275" s="735"/>
      <c r="L1275" s="735"/>
      <c r="M1275" s="735"/>
      <c r="N1275" s="735"/>
      <c r="O1275" s="19"/>
      <c r="P1275" s="19"/>
      <c r="Q1275" s="19"/>
      <c r="R1275" s="19"/>
      <c r="S1275" s="19"/>
      <c r="T1275" s="19"/>
      <c r="U1275" s="19"/>
      <c r="V1275" s="19"/>
      <c r="W1275" s="19"/>
      <c r="X1275" s="19"/>
      <c r="Y1275" s="19"/>
      <c r="Z1275" s="19"/>
      <c r="AA1275" s="19"/>
      <c r="AB1275" s="19"/>
      <c r="FE1275" s="54"/>
    </row>
    <row r="1276" spans="1:161" s="18" customFormat="1">
      <c r="A1276" s="51"/>
      <c r="B1276" s="735"/>
      <c r="C1276" s="735"/>
      <c r="D1276" s="735"/>
      <c r="E1276" s="735"/>
      <c r="F1276" s="736"/>
      <c r="G1276" s="735"/>
      <c r="H1276" s="735"/>
      <c r="I1276" s="735"/>
      <c r="J1276" s="735"/>
      <c r="K1276" s="735"/>
      <c r="L1276" s="735"/>
      <c r="M1276" s="735"/>
      <c r="N1276" s="735"/>
      <c r="O1276" s="19"/>
      <c r="P1276" s="19"/>
      <c r="Q1276" s="19"/>
      <c r="R1276" s="19"/>
      <c r="S1276" s="19"/>
      <c r="T1276" s="19"/>
      <c r="U1276" s="19"/>
      <c r="V1276" s="19"/>
      <c r="W1276" s="19"/>
      <c r="X1276" s="19"/>
      <c r="Y1276" s="19"/>
      <c r="Z1276" s="19"/>
      <c r="AA1276" s="19"/>
      <c r="AB1276" s="19"/>
      <c r="FE1276" s="54"/>
    </row>
    <row r="1277" spans="1:161" s="18" customFormat="1">
      <c r="A1277" s="51"/>
      <c r="B1277" s="735"/>
      <c r="C1277" s="735"/>
      <c r="D1277" s="735"/>
      <c r="E1277" s="735"/>
      <c r="F1277" s="736"/>
      <c r="G1277" s="735"/>
      <c r="H1277" s="735"/>
      <c r="I1277" s="735"/>
      <c r="J1277" s="735"/>
      <c r="K1277" s="735"/>
      <c r="L1277" s="735"/>
      <c r="M1277" s="735"/>
      <c r="N1277" s="735"/>
      <c r="O1277" s="19"/>
      <c r="P1277" s="19"/>
      <c r="Q1277" s="19"/>
      <c r="R1277" s="19"/>
      <c r="S1277" s="19"/>
      <c r="T1277" s="19"/>
      <c r="U1277" s="19"/>
      <c r="V1277" s="19"/>
      <c r="W1277" s="19"/>
      <c r="X1277" s="19"/>
      <c r="Y1277" s="19"/>
      <c r="Z1277" s="19"/>
      <c r="AA1277" s="19"/>
      <c r="AB1277" s="19"/>
      <c r="FE1277" s="54"/>
    </row>
    <row r="1278" spans="1:161" s="18" customFormat="1">
      <c r="A1278" s="51"/>
      <c r="B1278" s="735"/>
      <c r="C1278" s="735"/>
      <c r="D1278" s="735"/>
      <c r="E1278" s="735"/>
      <c r="F1278" s="736"/>
      <c r="G1278" s="735"/>
      <c r="H1278" s="735"/>
      <c r="I1278" s="735"/>
      <c r="J1278" s="735"/>
      <c r="K1278" s="735"/>
      <c r="L1278" s="735"/>
      <c r="M1278" s="735"/>
      <c r="N1278" s="735"/>
      <c r="O1278" s="19"/>
      <c r="P1278" s="19"/>
      <c r="Q1278" s="19"/>
      <c r="R1278" s="19"/>
      <c r="S1278" s="19"/>
      <c r="T1278" s="19"/>
      <c r="U1278" s="19"/>
      <c r="V1278" s="19"/>
      <c r="W1278" s="19"/>
      <c r="X1278" s="19"/>
      <c r="Y1278" s="19"/>
      <c r="Z1278" s="19"/>
      <c r="AA1278" s="19"/>
      <c r="AB1278" s="19"/>
      <c r="FE1278" s="54"/>
    </row>
    <row r="1279" spans="1:161" s="18" customFormat="1">
      <c r="A1279" s="51"/>
      <c r="B1279" s="735"/>
      <c r="C1279" s="735"/>
      <c r="D1279" s="735"/>
      <c r="E1279" s="735"/>
      <c r="F1279" s="736"/>
      <c r="G1279" s="735"/>
      <c r="H1279" s="735"/>
      <c r="I1279" s="735"/>
      <c r="J1279" s="735"/>
      <c r="K1279" s="735"/>
      <c r="L1279" s="735"/>
      <c r="M1279" s="735"/>
      <c r="N1279" s="735"/>
      <c r="O1279" s="19"/>
      <c r="P1279" s="19"/>
      <c r="Q1279" s="19"/>
      <c r="R1279" s="19"/>
      <c r="S1279" s="19"/>
      <c r="T1279" s="19"/>
      <c r="U1279" s="19"/>
      <c r="V1279" s="19"/>
      <c r="W1279" s="19"/>
      <c r="X1279" s="19"/>
      <c r="Y1279" s="19"/>
      <c r="Z1279" s="19"/>
      <c r="AA1279" s="19"/>
      <c r="AB1279" s="19"/>
      <c r="FE1279" s="54"/>
    </row>
    <row r="1280" spans="1:161" s="18" customFormat="1">
      <c r="A1280" s="51"/>
      <c r="B1280" s="735"/>
      <c r="C1280" s="735"/>
      <c r="D1280" s="735"/>
      <c r="E1280" s="735"/>
      <c r="F1280" s="736"/>
      <c r="G1280" s="735"/>
      <c r="H1280" s="735"/>
      <c r="I1280" s="735"/>
      <c r="J1280" s="735"/>
      <c r="K1280" s="735"/>
      <c r="L1280" s="735"/>
      <c r="M1280" s="735"/>
      <c r="N1280" s="735"/>
      <c r="O1280" s="19"/>
      <c r="P1280" s="19"/>
      <c r="Q1280" s="19"/>
      <c r="R1280" s="19"/>
      <c r="S1280" s="19"/>
      <c r="T1280" s="19"/>
      <c r="U1280" s="19"/>
      <c r="V1280" s="19"/>
      <c r="W1280" s="19"/>
      <c r="X1280" s="19"/>
      <c r="Y1280" s="19"/>
      <c r="Z1280" s="19"/>
      <c r="AA1280" s="19"/>
      <c r="AB1280" s="19"/>
      <c r="FE1280" s="54"/>
    </row>
    <row r="1281" spans="1:161" s="18" customFormat="1">
      <c r="A1281" s="51"/>
      <c r="B1281" s="735"/>
      <c r="C1281" s="735"/>
      <c r="D1281" s="735"/>
      <c r="E1281" s="735"/>
      <c r="F1281" s="736"/>
      <c r="G1281" s="735"/>
      <c r="H1281" s="735"/>
      <c r="I1281" s="735"/>
      <c r="J1281" s="735"/>
      <c r="K1281" s="735"/>
      <c r="L1281" s="735"/>
      <c r="M1281" s="735"/>
      <c r="N1281" s="735"/>
      <c r="O1281" s="19"/>
      <c r="P1281" s="19"/>
      <c r="Q1281" s="19"/>
      <c r="R1281" s="19"/>
      <c r="S1281" s="19"/>
      <c r="T1281" s="19"/>
      <c r="U1281" s="19"/>
      <c r="V1281" s="19"/>
      <c r="W1281" s="19"/>
      <c r="X1281" s="19"/>
      <c r="Y1281" s="19"/>
      <c r="Z1281" s="19"/>
      <c r="AA1281" s="19"/>
      <c r="AB1281" s="19"/>
      <c r="FE1281" s="54"/>
    </row>
    <row r="1282" spans="1:161" s="18" customFormat="1">
      <c r="A1282" s="51"/>
      <c r="B1282" s="735"/>
      <c r="C1282" s="735"/>
      <c r="D1282" s="735"/>
      <c r="E1282" s="735"/>
      <c r="F1282" s="736"/>
      <c r="G1282" s="735"/>
      <c r="H1282" s="735"/>
      <c r="I1282" s="735"/>
      <c r="J1282" s="735"/>
      <c r="K1282" s="735"/>
      <c r="L1282" s="735"/>
      <c r="M1282" s="735"/>
      <c r="N1282" s="735"/>
      <c r="O1282" s="19"/>
      <c r="P1282" s="19"/>
      <c r="Q1282" s="19"/>
      <c r="R1282" s="19"/>
      <c r="S1282" s="19"/>
      <c r="T1282" s="19"/>
      <c r="U1282" s="19"/>
      <c r="V1282" s="19"/>
      <c r="W1282" s="19"/>
      <c r="X1282" s="19"/>
      <c r="Y1282" s="19"/>
      <c r="Z1282" s="19"/>
      <c r="AA1282" s="19"/>
      <c r="AB1282" s="19"/>
      <c r="FE1282" s="54"/>
    </row>
    <row r="1283" spans="1:161" s="18" customFormat="1">
      <c r="A1283" s="51"/>
      <c r="B1283" s="735"/>
      <c r="C1283" s="735"/>
      <c r="D1283" s="735"/>
      <c r="E1283" s="735"/>
      <c r="F1283" s="736"/>
      <c r="G1283" s="735"/>
      <c r="H1283" s="735"/>
      <c r="I1283" s="735"/>
      <c r="J1283" s="735"/>
      <c r="K1283" s="735"/>
      <c r="L1283" s="735"/>
      <c r="M1283" s="735"/>
      <c r="N1283" s="735"/>
      <c r="O1283" s="19"/>
      <c r="P1283" s="19"/>
      <c r="Q1283" s="19"/>
      <c r="R1283" s="19"/>
      <c r="S1283" s="19"/>
      <c r="T1283" s="19"/>
      <c r="U1283" s="19"/>
      <c r="V1283" s="19"/>
      <c r="W1283" s="19"/>
      <c r="X1283" s="19"/>
      <c r="Y1283" s="19"/>
      <c r="Z1283" s="19"/>
      <c r="AA1283" s="19"/>
      <c r="AB1283" s="19"/>
      <c r="FE1283" s="54"/>
    </row>
    <row r="1284" spans="1:161" s="18" customFormat="1">
      <c r="A1284" s="51"/>
      <c r="B1284" s="735"/>
      <c r="C1284" s="735"/>
      <c r="D1284" s="735"/>
      <c r="E1284" s="735"/>
      <c r="F1284" s="736"/>
      <c r="G1284" s="735"/>
      <c r="H1284" s="735"/>
      <c r="I1284" s="735"/>
      <c r="J1284" s="735"/>
      <c r="K1284" s="735"/>
      <c r="L1284" s="735"/>
      <c r="M1284" s="735"/>
      <c r="N1284" s="735"/>
      <c r="O1284" s="19"/>
      <c r="P1284" s="19"/>
      <c r="Q1284" s="19"/>
      <c r="R1284" s="19"/>
      <c r="S1284" s="19"/>
      <c r="T1284" s="19"/>
      <c r="U1284" s="19"/>
      <c r="V1284" s="19"/>
      <c r="W1284" s="19"/>
      <c r="X1284" s="19"/>
      <c r="Y1284" s="19"/>
      <c r="Z1284" s="19"/>
      <c r="AA1284" s="19"/>
      <c r="AB1284" s="19"/>
      <c r="FE1284" s="54"/>
    </row>
    <row r="1285" spans="1:161" s="18" customFormat="1">
      <c r="A1285" s="51"/>
      <c r="B1285" s="735"/>
      <c r="C1285" s="735"/>
      <c r="D1285" s="735"/>
      <c r="E1285" s="735"/>
      <c r="F1285" s="736"/>
      <c r="G1285" s="735"/>
      <c r="H1285" s="735"/>
      <c r="I1285" s="735"/>
      <c r="J1285" s="735"/>
      <c r="K1285" s="735"/>
      <c r="L1285" s="735"/>
      <c r="M1285" s="735"/>
      <c r="N1285" s="735"/>
      <c r="O1285" s="19"/>
      <c r="P1285" s="19"/>
      <c r="Q1285" s="19"/>
      <c r="R1285" s="19"/>
      <c r="S1285" s="19"/>
      <c r="T1285" s="19"/>
      <c r="U1285" s="19"/>
      <c r="V1285" s="19"/>
      <c r="W1285" s="19"/>
      <c r="X1285" s="19"/>
      <c r="Y1285" s="19"/>
      <c r="Z1285" s="19"/>
      <c r="AA1285" s="19"/>
      <c r="AB1285" s="19"/>
      <c r="FE1285" s="54"/>
    </row>
    <row r="1286" spans="1:161" s="18" customFormat="1">
      <c r="A1286" s="51"/>
      <c r="B1286" s="735"/>
      <c r="C1286" s="735"/>
      <c r="D1286" s="735"/>
      <c r="E1286" s="735"/>
      <c r="F1286" s="736"/>
      <c r="G1286" s="735"/>
      <c r="H1286" s="735"/>
      <c r="I1286" s="735"/>
      <c r="J1286" s="735"/>
      <c r="K1286" s="735"/>
      <c r="L1286" s="735"/>
      <c r="M1286" s="735"/>
      <c r="N1286" s="735"/>
      <c r="O1286" s="19"/>
      <c r="P1286" s="19"/>
      <c r="Q1286" s="19"/>
      <c r="R1286" s="19"/>
      <c r="S1286" s="19"/>
      <c r="T1286" s="19"/>
      <c r="U1286" s="19"/>
      <c r="V1286" s="19"/>
      <c r="W1286" s="19"/>
      <c r="X1286" s="19"/>
      <c r="Y1286" s="19"/>
      <c r="Z1286" s="19"/>
      <c r="AA1286" s="19"/>
      <c r="AB1286" s="19"/>
      <c r="FE1286" s="54"/>
    </row>
    <row r="1287" spans="1:161" s="18" customFormat="1">
      <c r="A1287" s="51"/>
      <c r="B1287" s="735"/>
      <c r="C1287" s="735"/>
      <c r="D1287" s="735"/>
      <c r="E1287" s="735"/>
      <c r="F1287" s="736"/>
      <c r="G1287" s="735"/>
      <c r="H1287" s="735"/>
      <c r="I1287" s="735"/>
      <c r="J1287" s="735"/>
      <c r="K1287" s="735"/>
      <c r="L1287" s="735"/>
      <c r="M1287" s="735"/>
      <c r="N1287" s="735"/>
      <c r="O1287" s="19"/>
      <c r="P1287" s="19"/>
      <c r="Q1287" s="19"/>
      <c r="R1287" s="19"/>
      <c r="S1287" s="19"/>
      <c r="T1287" s="19"/>
      <c r="U1287" s="19"/>
      <c r="V1287" s="19"/>
      <c r="W1287" s="19"/>
      <c r="X1287" s="19"/>
      <c r="Y1287" s="19"/>
      <c r="Z1287" s="19"/>
      <c r="AA1287" s="19"/>
      <c r="AB1287" s="19"/>
      <c r="FE1287" s="54"/>
    </row>
    <row r="1288" spans="1:161" s="18" customFormat="1">
      <c r="A1288" s="51"/>
      <c r="B1288" s="735"/>
      <c r="C1288" s="735"/>
      <c r="D1288" s="735"/>
      <c r="E1288" s="735"/>
      <c r="F1288" s="736"/>
      <c r="G1288" s="735"/>
      <c r="H1288" s="735"/>
      <c r="I1288" s="735"/>
      <c r="J1288" s="735"/>
      <c r="K1288" s="735"/>
      <c r="L1288" s="735"/>
      <c r="M1288" s="735"/>
      <c r="N1288" s="735"/>
      <c r="O1288" s="19"/>
      <c r="P1288" s="19"/>
      <c r="Q1288" s="19"/>
      <c r="R1288" s="19"/>
      <c r="S1288" s="19"/>
      <c r="T1288" s="19"/>
      <c r="U1288" s="19"/>
      <c r="V1288" s="19"/>
      <c r="W1288" s="19"/>
      <c r="X1288" s="19"/>
      <c r="Y1288" s="19"/>
      <c r="Z1288" s="19"/>
      <c r="AA1288" s="19"/>
      <c r="AB1288" s="19"/>
      <c r="FE1288" s="54"/>
    </row>
    <row r="1289" spans="1:161" s="18" customFormat="1">
      <c r="A1289" s="51"/>
      <c r="B1289" s="735"/>
      <c r="C1289" s="735"/>
      <c r="D1289" s="735"/>
      <c r="E1289" s="735"/>
      <c r="F1289" s="736"/>
      <c r="G1289" s="735"/>
      <c r="H1289" s="735"/>
      <c r="I1289" s="735"/>
      <c r="J1289" s="735"/>
      <c r="K1289" s="735"/>
      <c r="L1289" s="735"/>
      <c r="M1289" s="735"/>
      <c r="N1289" s="735"/>
      <c r="O1289" s="19"/>
      <c r="P1289" s="19"/>
      <c r="Q1289" s="19"/>
      <c r="R1289" s="19"/>
      <c r="S1289" s="19"/>
      <c r="T1289" s="19"/>
      <c r="U1289" s="19"/>
      <c r="V1289" s="19"/>
      <c r="W1289" s="19"/>
      <c r="X1289" s="19"/>
      <c r="Y1289" s="19"/>
      <c r="Z1289" s="19"/>
      <c r="AA1289" s="19"/>
      <c r="AB1289" s="19"/>
      <c r="FE1289" s="54"/>
    </row>
    <row r="1290" spans="1:161" s="18" customFormat="1">
      <c r="A1290" s="51"/>
      <c r="B1290" s="735"/>
      <c r="C1290" s="735"/>
      <c r="D1290" s="735"/>
      <c r="E1290" s="735"/>
      <c r="F1290" s="736"/>
      <c r="G1290" s="735"/>
      <c r="H1290" s="735"/>
      <c r="I1290" s="735"/>
      <c r="J1290" s="735"/>
      <c r="K1290" s="735"/>
      <c r="L1290" s="735"/>
      <c r="M1290" s="735"/>
      <c r="N1290" s="735"/>
      <c r="O1290" s="19"/>
      <c r="P1290" s="19"/>
      <c r="Q1290" s="19"/>
      <c r="R1290" s="19"/>
      <c r="S1290" s="19"/>
      <c r="T1290" s="19"/>
      <c r="U1290" s="19"/>
      <c r="V1290" s="19"/>
      <c r="W1290" s="19"/>
      <c r="X1290" s="19"/>
      <c r="Y1290" s="19"/>
      <c r="Z1290" s="19"/>
      <c r="AA1290" s="19"/>
      <c r="AB1290" s="19"/>
      <c r="FE1290" s="54"/>
    </row>
    <row r="1291" spans="1:161" s="18" customFormat="1">
      <c r="A1291" s="51"/>
      <c r="B1291" s="735"/>
      <c r="C1291" s="735"/>
      <c r="D1291" s="735"/>
      <c r="E1291" s="735"/>
      <c r="F1291" s="736"/>
      <c r="G1291" s="735"/>
      <c r="H1291" s="735"/>
      <c r="I1291" s="735"/>
      <c r="J1291" s="735"/>
      <c r="K1291" s="735"/>
      <c r="L1291" s="735"/>
      <c r="M1291" s="735"/>
      <c r="N1291" s="735"/>
      <c r="O1291" s="19"/>
      <c r="P1291" s="19"/>
      <c r="Q1291" s="19"/>
      <c r="R1291" s="19"/>
      <c r="S1291" s="19"/>
      <c r="T1291" s="19"/>
      <c r="U1291" s="19"/>
      <c r="V1291" s="19"/>
      <c r="W1291" s="19"/>
      <c r="X1291" s="19"/>
      <c r="Y1291" s="19"/>
      <c r="Z1291" s="19"/>
      <c r="AA1291" s="19"/>
      <c r="AB1291" s="19"/>
      <c r="FE1291" s="54"/>
    </row>
    <row r="1292" spans="1:161" s="18" customFormat="1">
      <c r="A1292" s="51"/>
      <c r="B1292" s="735"/>
      <c r="C1292" s="735"/>
      <c r="D1292" s="735"/>
      <c r="E1292" s="735"/>
      <c r="F1292" s="736"/>
      <c r="G1292" s="735"/>
      <c r="H1292" s="735"/>
      <c r="I1292" s="735"/>
      <c r="J1292" s="735"/>
      <c r="K1292" s="735"/>
      <c r="L1292" s="735"/>
      <c r="M1292" s="735"/>
      <c r="N1292" s="735"/>
      <c r="O1292" s="19"/>
      <c r="P1292" s="19"/>
      <c r="Q1292" s="19"/>
      <c r="R1292" s="19"/>
      <c r="S1292" s="19"/>
      <c r="T1292" s="19"/>
      <c r="U1292" s="19"/>
      <c r="V1292" s="19"/>
      <c r="W1292" s="19"/>
      <c r="X1292" s="19"/>
      <c r="Y1292" s="19"/>
      <c r="Z1292" s="19"/>
      <c r="AA1292" s="19"/>
      <c r="AB1292" s="19"/>
      <c r="FE1292" s="54"/>
    </row>
    <row r="1293" spans="1:161" s="18" customFormat="1">
      <c r="A1293" s="51"/>
      <c r="B1293" s="735"/>
      <c r="C1293" s="735"/>
      <c r="D1293" s="735"/>
      <c r="E1293" s="735"/>
      <c r="F1293" s="736"/>
      <c r="G1293" s="735"/>
      <c r="H1293" s="735"/>
      <c r="I1293" s="735"/>
      <c r="J1293" s="735"/>
      <c r="K1293" s="735"/>
      <c r="L1293" s="735"/>
      <c r="M1293" s="735"/>
      <c r="N1293" s="735"/>
      <c r="O1293" s="19"/>
      <c r="P1293" s="19"/>
      <c r="Q1293" s="19"/>
      <c r="R1293" s="19"/>
      <c r="S1293" s="19"/>
      <c r="T1293" s="19"/>
      <c r="U1293" s="19"/>
      <c r="V1293" s="19"/>
      <c r="W1293" s="19"/>
      <c r="X1293" s="19"/>
      <c r="Y1293" s="19"/>
      <c r="Z1293" s="19"/>
      <c r="AA1293" s="19"/>
      <c r="AB1293" s="19"/>
      <c r="FE1293" s="54"/>
    </row>
    <row r="1294" spans="1:161" s="18" customFormat="1">
      <c r="A1294" s="51"/>
      <c r="B1294" s="735"/>
      <c r="C1294" s="735"/>
      <c r="D1294" s="735"/>
      <c r="E1294" s="735"/>
      <c r="F1294" s="736"/>
      <c r="G1294" s="735"/>
      <c r="H1294" s="735"/>
      <c r="I1294" s="735"/>
      <c r="J1294" s="735"/>
      <c r="K1294" s="735"/>
      <c r="L1294" s="735"/>
      <c r="M1294" s="735"/>
      <c r="N1294" s="735"/>
      <c r="O1294" s="19"/>
      <c r="P1294" s="19"/>
      <c r="Q1294" s="19"/>
      <c r="R1294" s="19"/>
      <c r="S1294" s="19"/>
      <c r="T1294" s="19"/>
      <c r="U1294" s="19"/>
      <c r="V1294" s="19"/>
      <c r="W1294" s="19"/>
      <c r="X1294" s="19"/>
      <c r="Y1294" s="19"/>
      <c r="Z1294" s="19"/>
      <c r="AA1294" s="19"/>
      <c r="AB1294" s="19"/>
      <c r="FE1294" s="54"/>
    </row>
    <row r="1295" spans="1:161" s="18" customFormat="1">
      <c r="A1295" s="51"/>
      <c r="B1295" s="735"/>
      <c r="C1295" s="735"/>
      <c r="D1295" s="735"/>
      <c r="E1295" s="735"/>
      <c r="F1295" s="736"/>
      <c r="G1295" s="735"/>
      <c r="H1295" s="735"/>
      <c r="I1295" s="735"/>
      <c r="J1295" s="735"/>
      <c r="K1295" s="735"/>
      <c r="L1295" s="735"/>
      <c r="M1295" s="735"/>
      <c r="N1295" s="735"/>
      <c r="O1295" s="19"/>
      <c r="P1295" s="19"/>
      <c r="Q1295" s="19"/>
      <c r="R1295" s="19"/>
      <c r="S1295" s="19"/>
      <c r="T1295" s="19"/>
      <c r="U1295" s="19"/>
      <c r="V1295" s="19"/>
      <c r="W1295" s="19"/>
      <c r="X1295" s="19"/>
      <c r="Y1295" s="19"/>
      <c r="Z1295" s="19"/>
      <c r="AA1295" s="19"/>
      <c r="AB1295" s="19"/>
      <c r="FE1295" s="54"/>
    </row>
    <row r="1296" spans="1:161" s="18" customFormat="1">
      <c r="A1296" s="51"/>
      <c r="B1296" s="735"/>
      <c r="C1296" s="735"/>
      <c r="D1296" s="735"/>
      <c r="E1296" s="735"/>
      <c r="F1296" s="736"/>
      <c r="G1296" s="735"/>
      <c r="H1296" s="735"/>
      <c r="I1296" s="735"/>
      <c r="J1296" s="735"/>
      <c r="K1296" s="735"/>
      <c r="L1296" s="735"/>
      <c r="M1296" s="735"/>
      <c r="N1296" s="735"/>
      <c r="O1296" s="19"/>
      <c r="P1296" s="19"/>
      <c r="Q1296" s="19"/>
      <c r="R1296" s="19"/>
      <c r="S1296" s="19"/>
      <c r="T1296" s="19"/>
      <c r="U1296" s="19"/>
      <c r="V1296" s="19"/>
      <c r="W1296" s="19"/>
      <c r="X1296" s="19"/>
      <c r="Y1296" s="19"/>
      <c r="Z1296" s="19"/>
      <c r="AA1296" s="19"/>
      <c r="AB1296" s="19"/>
      <c r="FE1296" s="54"/>
    </row>
    <row r="1297" spans="1:161" s="18" customFormat="1">
      <c r="A1297" s="51"/>
      <c r="B1297" s="735"/>
      <c r="C1297" s="735"/>
      <c r="D1297" s="735"/>
      <c r="E1297" s="735"/>
      <c r="F1297" s="736"/>
      <c r="G1297" s="735"/>
      <c r="H1297" s="735"/>
      <c r="I1297" s="735"/>
      <c r="J1297" s="735"/>
      <c r="K1297" s="735"/>
      <c r="L1297" s="735"/>
      <c r="M1297" s="735"/>
      <c r="N1297" s="735"/>
      <c r="O1297" s="19"/>
      <c r="P1297" s="19"/>
      <c r="Q1297" s="19"/>
      <c r="R1297" s="19"/>
      <c r="S1297" s="19"/>
      <c r="T1297" s="19"/>
      <c r="U1297" s="19"/>
      <c r="V1297" s="19"/>
      <c r="W1297" s="19"/>
      <c r="X1297" s="19"/>
      <c r="Y1297" s="19"/>
      <c r="Z1297" s="19"/>
      <c r="AA1297" s="19"/>
      <c r="AB1297" s="19"/>
      <c r="FE1297" s="54"/>
    </row>
    <row r="1298" spans="1:161" s="18" customFormat="1">
      <c r="A1298" s="51"/>
      <c r="B1298" s="735"/>
      <c r="C1298" s="735"/>
      <c r="D1298" s="735"/>
      <c r="E1298" s="735"/>
      <c r="F1298" s="736"/>
      <c r="G1298" s="735"/>
      <c r="H1298" s="735"/>
      <c r="I1298" s="735"/>
      <c r="J1298" s="735"/>
      <c r="K1298" s="735"/>
      <c r="L1298" s="735"/>
      <c r="M1298" s="735"/>
      <c r="N1298" s="735"/>
      <c r="O1298" s="19"/>
      <c r="P1298" s="19"/>
      <c r="Q1298" s="19"/>
      <c r="R1298" s="19"/>
      <c r="S1298" s="19"/>
      <c r="T1298" s="19"/>
      <c r="U1298" s="19"/>
      <c r="V1298" s="19"/>
      <c r="W1298" s="19"/>
      <c r="X1298" s="19"/>
      <c r="Y1298" s="19"/>
      <c r="Z1298" s="19"/>
      <c r="AA1298" s="19"/>
      <c r="AB1298" s="19"/>
      <c r="FE1298" s="54"/>
    </row>
    <row r="1299" spans="1:161" s="18" customFormat="1">
      <c r="A1299" s="51"/>
      <c r="B1299" s="735"/>
      <c r="C1299" s="735"/>
      <c r="D1299" s="735"/>
      <c r="E1299" s="735"/>
      <c r="F1299" s="736"/>
      <c r="G1299" s="735"/>
      <c r="H1299" s="735"/>
      <c r="I1299" s="735"/>
      <c r="J1299" s="735"/>
      <c r="K1299" s="735"/>
      <c r="L1299" s="735"/>
      <c r="M1299" s="735"/>
      <c r="N1299" s="735"/>
      <c r="O1299" s="19"/>
      <c r="P1299" s="19"/>
      <c r="Q1299" s="19"/>
      <c r="R1299" s="19"/>
      <c r="S1299" s="19"/>
      <c r="T1299" s="19"/>
      <c r="U1299" s="19"/>
      <c r="V1299" s="19"/>
      <c r="W1299" s="19"/>
      <c r="X1299" s="19"/>
      <c r="Y1299" s="19"/>
      <c r="Z1299" s="19"/>
      <c r="AA1299" s="19"/>
      <c r="AB1299" s="19"/>
      <c r="FE1299" s="54"/>
    </row>
    <row r="1300" spans="1:161" s="18" customFormat="1">
      <c r="A1300" s="51"/>
      <c r="B1300" s="735"/>
      <c r="C1300" s="735"/>
      <c r="D1300" s="735"/>
      <c r="E1300" s="735"/>
      <c r="F1300" s="736"/>
      <c r="G1300" s="735"/>
      <c r="H1300" s="735"/>
      <c r="I1300" s="735"/>
      <c r="J1300" s="735"/>
      <c r="K1300" s="735"/>
      <c r="L1300" s="735"/>
      <c r="M1300" s="735"/>
      <c r="N1300" s="735"/>
      <c r="O1300" s="19"/>
      <c r="P1300" s="19"/>
      <c r="Q1300" s="19"/>
      <c r="R1300" s="19"/>
      <c r="S1300" s="19"/>
      <c r="T1300" s="19"/>
      <c r="U1300" s="19"/>
      <c r="V1300" s="19"/>
      <c r="W1300" s="19"/>
      <c r="X1300" s="19"/>
      <c r="Y1300" s="19"/>
      <c r="Z1300" s="19"/>
      <c r="AA1300" s="19"/>
      <c r="AB1300" s="19"/>
      <c r="FE1300" s="54"/>
    </row>
    <row r="1301" spans="1:161" s="18" customFormat="1">
      <c r="A1301" s="51"/>
      <c r="B1301" s="735"/>
      <c r="C1301" s="735"/>
      <c r="D1301" s="735"/>
      <c r="E1301" s="735"/>
      <c r="F1301" s="736"/>
      <c r="G1301" s="735"/>
      <c r="H1301" s="735"/>
      <c r="I1301" s="735"/>
      <c r="J1301" s="735"/>
      <c r="K1301" s="735"/>
      <c r="L1301" s="735"/>
      <c r="M1301" s="735"/>
      <c r="N1301" s="735"/>
      <c r="O1301" s="19"/>
      <c r="P1301" s="19"/>
      <c r="Q1301" s="19"/>
      <c r="R1301" s="19"/>
      <c r="S1301" s="19"/>
      <c r="T1301" s="19"/>
      <c r="U1301" s="19"/>
      <c r="V1301" s="19"/>
      <c r="W1301" s="19"/>
      <c r="X1301" s="19"/>
      <c r="Y1301" s="19"/>
      <c r="Z1301" s="19"/>
      <c r="AA1301" s="19"/>
      <c r="AB1301" s="19"/>
      <c r="FE1301" s="54"/>
    </row>
    <row r="1302" spans="1:161" s="18" customFormat="1">
      <c r="A1302" s="51"/>
      <c r="B1302" s="735"/>
      <c r="C1302" s="735"/>
      <c r="D1302" s="735"/>
      <c r="E1302" s="735"/>
      <c r="F1302" s="736"/>
      <c r="G1302" s="735"/>
      <c r="H1302" s="735"/>
      <c r="I1302" s="735"/>
      <c r="J1302" s="735"/>
      <c r="K1302" s="735"/>
      <c r="L1302" s="735"/>
      <c r="M1302" s="735"/>
      <c r="N1302" s="735"/>
      <c r="O1302" s="19"/>
      <c r="P1302" s="19"/>
      <c r="Q1302" s="19"/>
      <c r="R1302" s="19"/>
      <c r="S1302" s="19"/>
      <c r="T1302" s="19"/>
      <c r="U1302" s="19"/>
      <c r="V1302" s="19"/>
      <c r="W1302" s="19"/>
      <c r="X1302" s="19"/>
      <c r="Y1302" s="19"/>
      <c r="Z1302" s="19"/>
      <c r="AA1302" s="19"/>
      <c r="AB1302" s="19"/>
      <c r="FE1302" s="54"/>
    </row>
    <row r="1303" spans="1:161" s="18" customFormat="1">
      <c r="A1303" s="51"/>
      <c r="B1303" s="735"/>
      <c r="C1303" s="735"/>
      <c r="D1303" s="735"/>
      <c r="E1303" s="735"/>
      <c r="F1303" s="736"/>
      <c r="G1303" s="735"/>
      <c r="H1303" s="735"/>
      <c r="I1303" s="735"/>
      <c r="J1303" s="735"/>
      <c r="K1303" s="735"/>
      <c r="L1303" s="735"/>
      <c r="M1303" s="735"/>
      <c r="N1303" s="735"/>
      <c r="O1303" s="19"/>
      <c r="P1303" s="19"/>
      <c r="Q1303" s="19"/>
      <c r="R1303" s="19"/>
      <c r="S1303" s="19"/>
      <c r="T1303" s="19"/>
      <c r="U1303" s="19"/>
      <c r="V1303" s="19"/>
      <c r="W1303" s="19"/>
      <c r="X1303" s="19"/>
      <c r="Y1303" s="19"/>
      <c r="Z1303" s="19"/>
      <c r="AA1303" s="19"/>
      <c r="AB1303" s="19"/>
      <c r="FE1303" s="54"/>
    </row>
    <row r="1304" spans="1:161" s="18" customFormat="1">
      <c r="A1304" s="51"/>
      <c r="B1304" s="735"/>
      <c r="C1304" s="735"/>
      <c r="D1304" s="735"/>
      <c r="E1304" s="735"/>
      <c r="F1304" s="736"/>
      <c r="G1304" s="735"/>
      <c r="H1304" s="735"/>
      <c r="I1304" s="735"/>
      <c r="J1304" s="735"/>
      <c r="K1304" s="735"/>
      <c r="L1304" s="735"/>
      <c r="M1304" s="735"/>
      <c r="N1304" s="735"/>
      <c r="O1304" s="19"/>
      <c r="P1304" s="19"/>
      <c r="Q1304" s="19"/>
      <c r="R1304" s="19"/>
      <c r="S1304" s="19"/>
      <c r="T1304" s="19"/>
      <c r="U1304" s="19"/>
      <c r="V1304" s="19"/>
      <c r="W1304" s="19"/>
      <c r="X1304" s="19"/>
      <c r="Y1304" s="19"/>
      <c r="Z1304" s="19"/>
      <c r="AA1304" s="19"/>
      <c r="AB1304" s="19"/>
      <c r="FE1304" s="54"/>
    </row>
    <row r="1305" spans="1:161" s="18" customFormat="1">
      <c r="A1305" s="51"/>
      <c r="B1305" s="735"/>
      <c r="C1305" s="735"/>
      <c r="D1305" s="735"/>
      <c r="E1305" s="735"/>
      <c r="F1305" s="736"/>
      <c r="G1305" s="735"/>
      <c r="H1305" s="735"/>
      <c r="I1305" s="735"/>
      <c r="J1305" s="735"/>
      <c r="K1305" s="735"/>
      <c r="L1305" s="735"/>
      <c r="M1305" s="735"/>
      <c r="N1305" s="735"/>
      <c r="O1305" s="19"/>
      <c r="P1305" s="19"/>
      <c r="Q1305" s="19"/>
      <c r="R1305" s="19"/>
      <c r="S1305" s="19"/>
      <c r="T1305" s="19"/>
      <c r="U1305" s="19"/>
      <c r="V1305" s="19"/>
      <c r="W1305" s="19"/>
      <c r="X1305" s="19"/>
      <c r="Y1305" s="19"/>
      <c r="Z1305" s="19"/>
      <c r="AA1305" s="19"/>
      <c r="AB1305" s="19"/>
      <c r="FE1305" s="54"/>
    </row>
    <row r="1306" spans="1:161" s="18" customFormat="1">
      <c r="A1306" s="51"/>
      <c r="B1306" s="735"/>
      <c r="C1306" s="735"/>
      <c r="D1306" s="735"/>
      <c r="E1306" s="735"/>
      <c r="F1306" s="736"/>
      <c r="G1306" s="735"/>
      <c r="H1306" s="735"/>
      <c r="I1306" s="735"/>
      <c r="J1306" s="735"/>
      <c r="K1306" s="735"/>
      <c r="L1306" s="735"/>
      <c r="M1306" s="735"/>
      <c r="N1306" s="735"/>
      <c r="O1306" s="19"/>
      <c r="P1306" s="19"/>
      <c r="Q1306" s="19"/>
      <c r="R1306" s="19"/>
      <c r="S1306" s="19"/>
      <c r="T1306" s="19"/>
      <c r="U1306" s="19"/>
      <c r="V1306" s="19"/>
      <c r="W1306" s="19"/>
      <c r="X1306" s="19"/>
      <c r="Y1306" s="19"/>
      <c r="Z1306" s="19"/>
      <c r="AA1306" s="19"/>
      <c r="AB1306" s="19"/>
      <c r="FE1306" s="54"/>
    </row>
    <row r="1307" spans="1:161" s="18" customFormat="1">
      <c r="A1307" s="51"/>
      <c r="B1307" s="735"/>
      <c r="C1307" s="735"/>
      <c r="D1307" s="735"/>
      <c r="E1307" s="735"/>
      <c r="F1307" s="736"/>
      <c r="G1307" s="735"/>
      <c r="H1307" s="735"/>
      <c r="I1307" s="735"/>
      <c r="J1307" s="735"/>
      <c r="K1307" s="735"/>
      <c r="L1307" s="735"/>
      <c r="M1307" s="735"/>
      <c r="N1307" s="735"/>
      <c r="O1307" s="19"/>
      <c r="P1307" s="19"/>
      <c r="Q1307" s="19"/>
      <c r="R1307" s="19"/>
      <c r="S1307" s="19"/>
      <c r="T1307" s="19"/>
      <c r="U1307" s="19"/>
      <c r="V1307" s="19"/>
      <c r="W1307" s="19"/>
      <c r="X1307" s="19"/>
      <c r="Y1307" s="19"/>
      <c r="Z1307" s="19"/>
      <c r="AA1307" s="19"/>
      <c r="AB1307" s="19"/>
      <c r="FE1307" s="54"/>
    </row>
    <row r="1308" spans="1:161" s="18" customFormat="1">
      <c r="A1308" s="51"/>
      <c r="B1308" s="735"/>
      <c r="C1308" s="735"/>
      <c r="D1308" s="735"/>
      <c r="E1308" s="735"/>
      <c r="F1308" s="736"/>
      <c r="G1308" s="735"/>
      <c r="H1308" s="735"/>
      <c r="I1308" s="735"/>
      <c r="J1308" s="735"/>
      <c r="K1308" s="735"/>
      <c r="L1308" s="735"/>
      <c r="M1308" s="735"/>
      <c r="N1308" s="735"/>
      <c r="O1308" s="19"/>
      <c r="P1308" s="19"/>
      <c r="Q1308" s="19"/>
      <c r="R1308" s="19"/>
      <c r="S1308" s="19"/>
      <c r="T1308" s="19"/>
      <c r="U1308" s="19"/>
      <c r="V1308" s="19"/>
      <c r="W1308" s="19"/>
      <c r="X1308" s="19"/>
      <c r="Y1308" s="19"/>
      <c r="Z1308" s="19"/>
      <c r="AA1308" s="19"/>
      <c r="AB1308" s="19"/>
      <c r="FE1308" s="54"/>
    </row>
    <row r="1309" spans="1:161" s="18" customFormat="1">
      <c r="A1309" s="51"/>
      <c r="B1309" s="735"/>
      <c r="C1309" s="735"/>
      <c r="D1309" s="735"/>
      <c r="E1309" s="735"/>
      <c r="F1309" s="736"/>
      <c r="G1309" s="735"/>
      <c r="H1309" s="735"/>
      <c r="I1309" s="735"/>
      <c r="J1309" s="735"/>
      <c r="K1309" s="735"/>
      <c r="L1309" s="735"/>
      <c r="M1309" s="735"/>
      <c r="N1309" s="735"/>
      <c r="O1309" s="19"/>
      <c r="P1309" s="19"/>
      <c r="Q1309" s="19"/>
      <c r="R1309" s="19"/>
      <c r="S1309" s="19"/>
      <c r="T1309" s="19"/>
      <c r="U1309" s="19"/>
      <c r="V1309" s="19"/>
      <c r="W1309" s="19"/>
      <c r="X1309" s="19"/>
      <c r="Y1309" s="19"/>
      <c r="Z1309" s="19"/>
      <c r="AA1309" s="19"/>
      <c r="AB1309" s="19"/>
      <c r="FE1309" s="54"/>
    </row>
    <row r="1310" spans="1:161" s="18" customFormat="1">
      <c r="A1310" s="51"/>
      <c r="B1310" s="735"/>
      <c r="C1310" s="735"/>
      <c r="D1310" s="735"/>
      <c r="E1310" s="735"/>
      <c r="F1310" s="736"/>
      <c r="G1310" s="735"/>
      <c r="H1310" s="735"/>
      <c r="I1310" s="735"/>
      <c r="J1310" s="735"/>
      <c r="K1310" s="735"/>
      <c r="L1310" s="735"/>
      <c r="M1310" s="735"/>
      <c r="N1310" s="735"/>
      <c r="O1310" s="19"/>
      <c r="P1310" s="19"/>
      <c r="Q1310" s="19"/>
      <c r="R1310" s="19"/>
      <c r="S1310" s="19"/>
      <c r="T1310" s="19"/>
      <c r="U1310" s="19"/>
      <c r="V1310" s="19"/>
      <c r="W1310" s="19"/>
      <c r="X1310" s="19"/>
      <c r="Y1310" s="19"/>
      <c r="Z1310" s="19"/>
      <c r="AA1310" s="19"/>
      <c r="AB1310" s="19"/>
      <c r="FE1310" s="54"/>
    </row>
    <row r="1311" spans="1:161" s="18" customFormat="1">
      <c r="A1311" s="51"/>
      <c r="B1311" s="735"/>
      <c r="C1311" s="735"/>
      <c r="D1311" s="735"/>
      <c r="E1311" s="735"/>
      <c r="F1311" s="736"/>
      <c r="G1311" s="735"/>
      <c r="H1311" s="735"/>
      <c r="I1311" s="735"/>
      <c r="J1311" s="735"/>
      <c r="K1311" s="735"/>
      <c r="L1311" s="735"/>
      <c r="M1311" s="735"/>
      <c r="N1311" s="735"/>
      <c r="O1311" s="19"/>
      <c r="P1311" s="19"/>
      <c r="Q1311" s="19"/>
      <c r="R1311" s="19"/>
      <c r="S1311" s="19"/>
      <c r="T1311" s="19"/>
      <c r="U1311" s="19"/>
      <c r="V1311" s="19"/>
      <c r="W1311" s="19"/>
      <c r="X1311" s="19"/>
      <c r="Y1311" s="19"/>
      <c r="Z1311" s="19"/>
      <c r="AA1311" s="19"/>
      <c r="AB1311" s="19"/>
      <c r="FE1311" s="54"/>
    </row>
    <row r="1312" spans="1:161" s="18" customFormat="1">
      <c r="A1312" s="51"/>
      <c r="B1312" s="735"/>
      <c r="C1312" s="735"/>
      <c r="D1312" s="735"/>
      <c r="E1312" s="735"/>
      <c r="F1312" s="736"/>
      <c r="G1312" s="735"/>
      <c r="H1312" s="735"/>
      <c r="I1312" s="735"/>
      <c r="J1312" s="735"/>
      <c r="K1312" s="735"/>
      <c r="L1312" s="735"/>
      <c r="M1312" s="735"/>
      <c r="N1312" s="735"/>
      <c r="O1312" s="19"/>
      <c r="P1312" s="19"/>
      <c r="Q1312" s="19"/>
      <c r="R1312" s="19"/>
      <c r="S1312" s="19"/>
      <c r="T1312" s="19"/>
      <c r="U1312" s="19"/>
      <c r="V1312" s="19"/>
      <c r="W1312" s="19"/>
      <c r="X1312" s="19"/>
      <c r="Y1312" s="19"/>
      <c r="Z1312" s="19"/>
      <c r="AA1312" s="19"/>
      <c r="AB1312" s="19"/>
      <c r="FE1312" s="54"/>
    </row>
    <row r="1313" spans="1:161" s="18" customFormat="1">
      <c r="A1313" s="51"/>
      <c r="B1313" s="735"/>
      <c r="C1313" s="735"/>
      <c r="D1313" s="735"/>
      <c r="E1313" s="735"/>
      <c r="F1313" s="736"/>
      <c r="G1313" s="735"/>
      <c r="H1313" s="735"/>
      <c r="I1313" s="735"/>
      <c r="J1313" s="735"/>
      <c r="K1313" s="735"/>
      <c r="L1313" s="735"/>
      <c r="M1313" s="735"/>
      <c r="N1313" s="735"/>
      <c r="O1313" s="19"/>
      <c r="P1313" s="19"/>
      <c r="Q1313" s="19"/>
      <c r="R1313" s="19"/>
      <c r="S1313" s="19"/>
      <c r="T1313" s="19"/>
      <c r="U1313" s="19"/>
      <c r="V1313" s="19"/>
      <c r="W1313" s="19"/>
      <c r="X1313" s="19"/>
      <c r="Y1313" s="19"/>
      <c r="Z1313" s="19"/>
      <c r="AA1313" s="19"/>
      <c r="AB1313" s="19"/>
      <c r="FE1313" s="54"/>
    </row>
    <row r="1314" spans="1:161" s="18" customFormat="1">
      <c r="A1314" s="51"/>
      <c r="B1314" s="735"/>
      <c r="C1314" s="735"/>
      <c r="D1314" s="735"/>
      <c r="E1314" s="735"/>
      <c r="F1314" s="736"/>
      <c r="G1314" s="735"/>
      <c r="H1314" s="735"/>
      <c r="I1314" s="735"/>
      <c r="J1314" s="735"/>
      <c r="K1314" s="735"/>
      <c r="L1314" s="735"/>
      <c r="M1314" s="735"/>
      <c r="N1314" s="735"/>
      <c r="O1314" s="19"/>
      <c r="P1314" s="19"/>
      <c r="Q1314" s="19"/>
      <c r="R1314" s="19"/>
      <c r="S1314" s="19"/>
      <c r="T1314" s="19"/>
      <c r="U1314" s="19"/>
      <c r="V1314" s="19"/>
      <c r="W1314" s="19"/>
      <c r="X1314" s="19"/>
      <c r="Y1314" s="19"/>
      <c r="Z1314" s="19"/>
      <c r="AA1314" s="19"/>
      <c r="AB1314" s="19"/>
      <c r="FE1314" s="54"/>
    </row>
    <row r="1315" spans="1:161" s="18" customFormat="1">
      <c r="A1315" s="51"/>
      <c r="B1315" s="735"/>
      <c r="C1315" s="735"/>
      <c r="D1315" s="735"/>
      <c r="E1315" s="735"/>
      <c r="F1315" s="736"/>
      <c r="G1315" s="735"/>
      <c r="H1315" s="735"/>
      <c r="I1315" s="735"/>
      <c r="J1315" s="735"/>
      <c r="K1315" s="735"/>
      <c r="L1315" s="735"/>
      <c r="M1315" s="735"/>
      <c r="N1315" s="735"/>
      <c r="O1315" s="19"/>
      <c r="P1315" s="19"/>
      <c r="Q1315" s="19"/>
      <c r="R1315" s="19"/>
      <c r="S1315" s="19"/>
      <c r="T1315" s="19"/>
      <c r="U1315" s="19"/>
      <c r="V1315" s="19"/>
      <c r="W1315" s="19"/>
      <c r="X1315" s="19"/>
      <c r="Y1315" s="19"/>
      <c r="Z1315" s="19"/>
      <c r="AA1315" s="19"/>
      <c r="AB1315" s="19"/>
      <c r="FE1315" s="54"/>
    </row>
    <row r="1316" spans="1:161" s="18" customFormat="1">
      <c r="A1316" s="51"/>
      <c r="B1316" s="735"/>
      <c r="C1316" s="735"/>
      <c r="D1316" s="735"/>
      <c r="E1316" s="735"/>
      <c r="F1316" s="736"/>
      <c r="G1316" s="735"/>
      <c r="H1316" s="735"/>
      <c r="I1316" s="735"/>
      <c r="J1316" s="735"/>
      <c r="K1316" s="735"/>
      <c r="L1316" s="735"/>
      <c r="M1316" s="735"/>
      <c r="N1316" s="735"/>
      <c r="O1316" s="19"/>
      <c r="P1316" s="19"/>
      <c r="Q1316" s="19"/>
      <c r="R1316" s="19"/>
      <c r="S1316" s="19"/>
      <c r="T1316" s="19"/>
      <c r="U1316" s="19"/>
      <c r="V1316" s="19"/>
      <c r="W1316" s="19"/>
      <c r="X1316" s="19"/>
      <c r="Y1316" s="19"/>
      <c r="Z1316" s="19"/>
      <c r="AA1316" s="19"/>
      <c r="AB1316" s="19"/>
      <c r="FE1316" s="54"/>
    </row>
    <row r="1317" spans="1:161" s="18" customFormat="1">
      <c r="A1317" s="51"/>
      <c r="B1317" s="735"/>
      <c r="C1317" s="735"/>
      <c r="D1317" s="735"/>
      <c r="E1317" s="735"/>
      <c r="F1317" s="736"/>
      <c r="G1317" s="735"/>
      <c r="H1317" s="735"/>
      <c r="I1317" s="735"/>
      <c r="J1317" s="735"/>
      <c r="K1317" s="735"/>
      <c r="L1317" s="735"/>
      <c r="M1317" s="735"/>
      <c r="N1317" s="735"/>
      <c r="O1317" s="19"/>
      <c r="P1317" s="19"/>
      <c r="Q1317" s="19"/>
      <c r="R1317" s="19"/>
      <c r="S1317" s="19"/>
      <c r="T1317" s="19"/>
      <c r="U1317" s="19"/>
      <c r="V1317" s="19"/>
      <c r="W1317" s="19"/>
      <c r="X1317" s="19"/>
      <c r="Y1317" s="19"/>
      <c r="Z1317" s="19"/>
      <c r="AA1317" s="19"/>
      <c r="AB1317" s="19"/>
      <c r="FE1317" s="54"/>
    </row>
    <row r="1318" spans="1:161" s="18" customFormat="1">
      <c r="A1318" s="51"/>
      <c r="B1318" s="735"/>
      <c r="C1318" s="735"/>
      <c r="D1318" s="735"/>
      <c r="E1318" s="735"/>
      <c r="F1318" s="736"/>
      <c r="G1318" s="735"/>
      <c r="H1318" s="735"/>
      <c r="I1318" s="735"/>
      <c r="J1318" s="735"/>
      <c r="K1318" s="735"/>
      <c r="L1318" s="735"/>
      <c r="M1318" s="735"/>
      <c r="N1318" s="735"/>
      <c r="O1318" s="19"/>
      <c r="P1318" s="19"/>
      <c r="Q1318" s="19"/>
      <c r="R1318" s="19"/>
      <c r="S1318" s="19"/>
      <c r="T1318" s="19"/>
      <c r="U1318" s="19"/>
      <c r="V1318" s="19"/>
      <c r="W1318" s="19"/>
      <c r="X1318" s="19"/>
      <c r="Y1318" s="19"/>
      <c r="Z1318" s="19"/>
      <c r="AA1318" s="19"/>
      <c r="AB1318" s="19"/>
      <c r="FE1318" s="54"/>
    </row>
    <row r="1319" spans="1:161" s="18" customFormat="1">
      <c r="A1319" s="51"/>
      <c r="B1319" s="735"/>
      <c r="C1319" s="735"/>
      <c r="D1319" s="735"/>
      <c r="E1319" s="735"/>
      <c r="F1319" s="736"/>
      <c r="G1319" s="735"/>
      <c r="H1319" s="735"/>
      <c r="I1319" s="735"/>
      <c r="J1319" s="735"/>
      <c r="K1319" s="735"/>
      <c r="L1319" s="735"/>
      <c r="M1319" s="735"/>
      <c r="N1319" s="735"/>
      <c r="O1319" s="19"/>
      <c r="P1319" s="19"/>
      <c r="Q1319" s="19"/>
      <c r="R1319" s="19"/>
      <c r="S1319" s="19"/>
      <c r="T1319" s="19"/>
      <c r="U1319" s="19"/>
      <c r="V1319" s="19"/>
      <c r="W1319" s="19"/>
      <c r="X1319" s="19"/>
      <c r="Y1319" s="19"/>
      <c r="Z1319" s="19"/>
      <c r="AA1319" s="19"/>
      <c r="AB1319" s="19"/>
      <c r="FE1319" s="54"/>
    </row>
    <row r="1320" spans="1:161" s="18" customFormat="1">
      <c r="A1320" s="51"/>
      <c r="B1320" s="735"/>
      <c r="C1320" s="735"/>
      <c r="D1320" s="735"/>
      <c r="E1320" s="735"/>
      <c r="F1320" s="736"/>
      <c r="G1320" s="735"/>
      <c r="H1320" s="735"/>
      <c r="I1320" s="735"/>
      <c r="J1320" s="735"/>
      <c r="K1320" s="735"/>
      <c r="L1320" s="735"/>
      <c r="M1320" s="735"/>
      <c r="N1320" s="735"/>
      <c r="O1320" s="19"/>
      <c r="P1320" s="19"/>
      <c r="Q1320" s="19"/>
      <c r="R1320" s="19"/>
      <c r="S1320" s="19"/>
      <c r="T1320" s="19"/>
      <c r="U1320" s="19"/>
      <c r="V1320" s="19"/>
      <c r="W1320" s="19"/>
      <c r="X1320" s="19"/>
      <c r="Y1320" s="19"/>
      <c r="Z1320" s="19"/>
      <c r="AA1320" s="19"/>
      <c r="AB1320" s="19"/>
      <c r="FE1320" s="54"/>
    </row>
    <row r="1321" spans="1:161" s="18" customFormat="1">
      <c r="A1321" s="51"/>
      <c r="B1321" s="735"/>
      <c r="C1321" s="735"/>
      <c r="D1321" s="735"/>
      <c r="E1321" s="735"/>
      <c r="F1321" s="736"/>
      <c r="G1321" s="735"/>
      <c r="H1321" s="735"/>
      <c r="I1321" s="735"/>
      <c r="J1321" s="735"/>
      <c r="K1321" s="735"/>
      <c r="L1321" s="735"/>
      <c r="M1321" s="735"/>
      <c r="N1321" s="735"/>
      <c r="O1321" s="19"/>
      <c r="P1321" s="19"/>
      <c r="Q1321" s="19"/>
      <c r="R1321" s="19"/>
      <c r="S1321" s="19"/>
      <c r="T1321" s="19"/>
      <c r="U1321" s="19"/>
      <c r="V1321" s="19"/>
      <c r="W1321" s="19"/>
      <c r="X1321" s="19"/>
      <c r="Y1321" s="19"/>
      <c r="Z1321" s="19"/>
      <c r="AA1321" s="19"/>
      <c r="AB1321" s="19"/>
      <c r="FE1321" s="54"/>
    </row>
    <row r="1322" spans="1:161" s="18" customFormat="1">
      <c r="A1322" s="51"/>
      <c r="B1322" s="735"/>
      <c r="C1322" s="735"/>
      <c r="D1322" s="735"/>
      <c r="E1322" s="735"/>
      <c r="F1322" s="736"/>
      <c r="G1322" s="735"/>
      <c r="H1322" s="735"/>
      <c r="I1322" s="735"/>
      <c r="J1322" s="735"/>
      <c r="K1322" s="735"/>
      <c r="L1322" s="735"/>
      <c r="M1322" s="735"/>
      <c r="N1322" s="735"/>
      <c r="O1322" s="19"/>
      <c r="P1322" s="19"/>
      <c r="Q1322" s="19"/>
      <c r="R1322" s="19"/>
      <c r="S1322" s="19"/>
      <c r="T1322" s="19"/>
      <c r="U1322" s="19"/>
      <c r="V1322" s="19"/>
      <c r="W1322" s="19"/>
      <c r="X1322" s="19"/>
      <c r="Y1322" s="19"/>
      <c r="Z1322" s="19"/>
      <c r="AA1322" s="19"/>
      <c r="AB1322" s="19"/>
      <c r="FE1322" s="54"/>
    </row>
    <row r="1323" spans="1:161" s="18" customFormat="1">
      <c r="A1323" s="51"/>
      <c r="B1323" s="735"/>
      <c r="C1323" s="735"/>
      <c r="D1323" s="735"/>
      <c r="E1323" s="735"/>
      <c r="F1323" s="736"/>
      <c r="G1323" s="735"/>
      <c r="H1323" s="735"/>
      <c r="I1323" s="735"/>
      <c r="J1323" s="735"/>
      <c r="K1323" s="735"/>
      <c r="L1323" s="735"/>
      <c r="M1323" s="735"/>
      <c r="N1323" s="735"/>
      <c r="O1323" s="19"/>
      <c r="P1323" s="19"/>
      <c r="Q1323" s="19"/>
      <c r="R1323" s="19"/>
      <c r="S1323" s="19"/>
      <c r="T1323" s="19"/>
      <c r="U1323" s="19"/>
      <c r="V1323" s="19"/>
      <c r="W1323" s="19"/>
      <c r="X1323" s="19"/>
      <c r="Y1323" s="19"/>
      <c r="Z1323" s="19"/>
      <c r="AA1323" s="19"/>
      <c r="AB1323" s="19"/>
      <c r="FE1323" s="54"/>
    </row>
    <row r="1324" spans="1:161" s="18" customFormat="1">
      <c r="A1324" s="51"/>
      <c r="B1324" s="735"/>
      <c r="C1324" s="735"/>
      <c r="D1324" s="735"/>
      <c r="E1324" s="735"/>
      <c r="F1324" s="736"/>
      <c r="G1324" s="735"/>
      <c r="H1324" s="735"/>
      <c r="I1324" s="735"/>
      <c r="J1324" s="735"/>
      <c r="K1324" s="735"/>
      <c r="L1324" s="735"/>
      <c r="M1324" s="735"/>
      <c r="N1324" s="735"/>
      <c r="O1324" s="19"/>
      <c r="P1324" s="19"/>
      <c r="Q1324" s="19"/>
      <c r="R1324" s="19"/>
      <c r="S1324" s="19"/>
      <c r="T1324" s="19"/>
      <c r="U1324" s="19"/>
      <c r="V1324" s="19"/>
      <c r="W1324" s="19"/>
      <c r="X1324" s="19"/>
      <c r="Y1324" s="19"/>
      <c r="Z1324" s="19"/>
      <c r="AA1324" s="19"/>
      <c r="AB1324" s="19"/>
      <c r="FE1324" s="54"/>
    </row>
    <row r="1325" spans="1:161" s="18" customFormat="1">
      <c r="A1325" s="51"/>
      <c r="B1325" s="735"/>
      <c r="C1325" s="735"/>
      <c r="D1325" s="735"/>
      <c r="E1325" s="735"/>
      <c r="F1325" s="736"/>
      <c r="G1325" s="735"/>
      <c r="H1325" s="735"/>
      <c r="I1325" s="735"/>
      <c r="J1325" s="735"/>
      <c r="K1325" s="735"/>
      <c r="L1325" s="735"/>
      <c r="M1325" s="735"/>
      <c r="N1325" s="735"/>
      <c r="O1325" s="19"/>
      <c r="P1325" s="19"/>
      <c r="Q1325" s="19"/>
      <c r="R1325" s="19"/>
      <c r="S1325" s="19"/>
      <c r="T1325" s="19"/>
      <c r="U1325" s="19"/>
      <c r="V1325" s="19"/>
      <c r="W1325" s="19"/>
      <c r="X1325" s="19"/>
      <c r="Y1325" s="19"/>
      <c r="Z1325" s="19"/>
      <c r="AA1325" s="19"/>
      <c r="AB1325" s="19"/>
      <c r="FE1325" s="54"/>
    </row>
    <row r="1326" spans="1:161" s="18" customFormat="1">
      <c r="A1326" s="51"/>
      <c r="B1326" s="735"/>
      <c r="C1326" s="735"/>
      <c r="D1326" s="735"/>
      <c r="E1326" s="735"/>
      <c r="F1326" s="736"/>
      <c r="G1326" s="735"/>
      <c r="H1326" s="735"/>
      <c r="I1326" s="735"/>
      <c r="J1326" s="735"/>
      <c r="K1326" s="735"/>
      <c r="L1326" s="735"/>
      <c r="M1326" s="735"/>
      <c r="N1326" s="735"/>
      <c r="O1326" s="19"/>
      <c r="P1326" s="19"/>
      <c r="Q1326" s="19"/>
      <c r="R1326" s="19"/>
      <c r="S1326" s="19"/>
      <c r="T1326" s="19"/>
      <c r="U1326" s="19"/>
      <c r="V1326" s="19"/>
      <c r="W1326" s="19"/>
      <c r="X1326" s="19"/>
      <c r="Y1326" s="19"/>
      <c r="Z1326" s="19"/>
      <c r="AA1326" s="19"/>
      <c r="AB1326" s="19"/>
      <c r="FE1326" s="54"/>
    </row>
    <row r="1327" spans="1:161" s="18" customFormat="1">
      <c r="A1327" s="51"/>
      <c r="B1327" s="735"/>
      <c r="C1327" s="735"/>
      <c r="D1327" s="735"/>
      <c r="E1327" s="735"/>
      <c r="F1327" s="736"/>
      <c r="G1327" s="735"/>
      <c r="H1327" s="735"/>
      <c r="I1327" s="735"/>
      <c r="J1327" s="735"/>
      <c r="K1327" s="735"/>
      <c r="L1327" s="735"/>
      <c r="M1327" s="735"/>
      <c r="N1327" s="735"/>
      <c r="O1327" s="19"/>
      <c r="P1327" s="19"/>
      <c r="Q1327" s="19"/>
      <c r="R1327" s="19"/>
      <c r="S1327" s="19"/>
      <c r="T1327" s="19"/>
      <c r="U1327" s="19"/>
      <c r="V1327" s="19"/>
      <c r="W1327" s="19"/>
      <c r="X1327" s="19"/>
      <c r="Y1327" s="19"/>
      <c r="Z1327" s="19"/>
      <c r="AA1327" s="19"/>
      <c r="AB1327" s="19"/>
      <c r="FE1327" s="54"/>
    </row>
    <row r="1328" spans="1:161" s="18" customFormat="1">
      <c r="A1328" s="51"/>
      <c r="B1328" s="735"/>
      <c r="C1328" s="735"/>
      <c r="D1328" s="735"/>
      <c r="E1328" s="735"/>
      <c r="F1328" s="736"/>
      <c r="G1328" s="735"/>
      <c r="H1328" s="735"/>
      <c r="I1328" s="735"/>
      <c r="J1328" s="735"/>
      <c r="K1328" s="735"/>
      <c r="L1328" s="735"/>
      <c r="M1328" s="735"/>
      <c r="N1328" s="735"/>
      <c r="O1328" s="19"/>
      <c r="P1328" s="19"/>
      <c r="Q1328" s="19"/>
      <c r="R1328" s="19"/>
      <c r="S1328" s="19"/>
      <c r="T1328" s="19"/>
      <c r="U1328" s="19"/>
      <c r="V1328" s="19"/>
      <c r="W1328" s="19"/>
      <c r="X1328" s="19"/>
      <c r="Y1328" s="19"/>
      <c r="Z1328" s="19"/>
      <c r="AA1328" s="19"/>
      <c r="AB1328" s="19"/>
      <c r="FE1328" s="54"/>
    </row>
    <row r="1329" spans="1:161" s="18" customFormat="1">
      <c r="A1329" s="51"/>
      <c r="B1329" s="735"/>
      <c r="C1329" s="735"/>
      <c r="D1329" s="735"/>
      <c r="E1329" s="735"/>
      <c r="F1329" s="736"/>
      <c r="G1329" s="735"/>
      <c r="H1329" s="735"/>
      <c r="I1329" s="735"/>
      <c r="J1329" s="735"/>
      <c r="K1329" s="735"/>
      <c r="L1329" s="735"/>
      <c r="M1329" s="735"/>
      <c r="N1329" s="735"/>
      <c r="O1329" s="19"/>
      <c r="P1329" s="19"/>
      <c r="Q1329" s="19"/>
      <c r="R1329" s="19"/>
      <c r="S1329" s="19"/>
      <c r="T1329" s="19"/>
      <c r="U1329" s="19"/>
      <c r="V1329" s="19"/>
      <c r="W1329" s="19"/>
      <c r="X1329" s="19"/>
      <c r="Y1329" s="19"/>
      <c r="Z1329" s="19"/>
      <c r="AA1329" s="19"/>
      <c r="AB1329" s="19"/>
      <c r="FE1329" s="54"/>
    </row>
    <row r="1330" spans="1:161" s="18" customFormat="1">
      <c r="A1330" s="51"/>
      <c r="B1330" s="735"/>
      <c r="C1330" s="735"/>
      <c r="D1330" s="735"/>
      <c r="E1330" s="735"/>
      <c r="F1330" s="736"/>
      <c r="G1330" s="735"/>
      <c r="H1330" s="735"/>
      <c r="I1330" s="735"/>
      <c r="J1330" s="735"/>
      <c r="K1330" s="735"/>
      <c r="L1330" s="735"/>
      <c r="M1330" s="735"/>
      <c r="N1330" s="735"/>
      <c r="O1330" s="19"/>
      <c r="P1330" s="19"/>
      <c r="Q1330" s="19"/>
      <c r="R1330" s="19"/>
      <c r="S1330" s="19"/>
      <c r="T1330" s="19"/>
      <c r="U1330" s="19"/>
      <c r="V1330" s="19"/>
      <c r="W1330" s="19"/>
      <c r="X1330" s="19"/>
      <c r="Y1330" s="19"/>
      <c r="Z1330" s="19"/>
      <c r="AA1330" s="19"/>
      <c r="AB1330" s="19"/>
      <c r="FE1330" s="54"/>
    </row>
    <row r="1331" spans="1:161" s="18" customFormat="1">
      <c r="A1331" s="51"/>
      <c r="B1331" s="735"/>
      <c r="C1331" s="735"/>
      <c r="D1331" s="735"/>
      <c r="E1331" s="735"/>
      <c r="F1331" s="736"/>
      <c r="G1331" s="735"/>
      <c r="H1331" s="735"/>
      <c r="I1331" s="735"/>
      <c r="J1331" s="735"/>
      <c r="K1331" s="735"/>
      <c r="L1331" s="735"/>
      <c r="M1331" s="735"/>
      <c r="N1331" s="735"/>
      <c r="O1331" s="19"/>
      <c r="P1331" s="19"/>
      <c r="Q1331" s="19"/>
      <c r="R1331" s="19"/>
      <c r="S1331" s="19"/>
      <c r="T1331" s="19"/>
      <c r="U1331" s="19"/>
      <c r="V1331" s="19"/>
      <c r="W1331" s="19"/>
      <c r="X1331" s="19"/>
      <c r="Y1331" s="19"/>
      <c r="Z1331" s="19"/>
      <c r="AA1331" s="19"/>
      <c r="AB1331" s="19"/>
      <c r="FE1331" s="54"/>
    </row>
    <row r="1332" spans="1:161" s="18" customFormat="1">
      <c r="A1332" s="51"/>
      <c r="B1332" s="735"/>
      <c r="C1332" s="735"/>
      <c r="D1332" s="735"/>
      <c r="E1332" s="735"/>
      <c r="F1332" s="736"/>
      <c r="G1332" s="735"/>
      <c r="H1332" s="735"/>
      <c r="I1332" s="735"/>
      <c r="J1332" s="735"/>
      <c r="K1332" s="735"/>
      <c r="L1332" s="735"/>
      <c r="M1332" s="735"/>
      <c r="N1332" s="735"/>
      <c r="O1332" s="19"/>
      <c r="P1332" s="19"/>
      <c r="Q1332" s="19"/>
      <c r="R1332" s="19"/>
      <c r="S1332" s="19"/>
      <c r="T1332" s="19"/>
      <c r="U1332" s="19"/>
      <c r="V1332" s="19"/>
      <c r="W1332" s="19"/>
      <c r="X1332" s="19"/>
      <c r="Y1332" s="19"/>
      <c r="Z1332" s="19"/>
      <c r="AA1332" s="19"/>
      <c r="AB1332" s="19"/>
      <c r="FE1332" s="54"/>
    </row>
    <row r="1333" spans="1:161" s="18" customFormat="1">
      <c r="A1333" s="51"/>
      <c r="B1333" s="735"/>
      <c r="C1333" s="735"/>
      <c r="D1333" s="735"/>
      <c r="E1333" s="735"/>
      <c r="F1333" s="736"/>
      <c r="G1333" s="735"/>
      <c r="H1333" s="735"/>
      <c r="I1333" s="735"/>
      <c r="J1333" s="735"/>
      <c r="K1333" s="735"/>
      <c r="L1333" s="735"/>
      <c r="M1333" s="735"/>
      <c r="N1333" s="735"/>
      <c r="O1333" s="19"/>
      <c r="P1333" s="19"/>
      <c r="Q1333" s="19"/>
      <c r="R1333" s="19"/>
      <c r="S1333" s="19"/>
      <c r="T1333" s="19"/>
      <c r="U1333" s="19"/>
      <c r="V1333" s="19"/>
      <c r="W1333" s="19"/>
      <c r="X1333" s="19"/>
      <c r="Y1333" s="19"/>
      <c r="Z1333" s="19"/>
      <c r="AA1333" s="19"/>
      <c r="AB1333" s="19"/>
      <c r="FE1333" s="54"/>
    </row>
    <row r="1334" spans="1:161" s="18" customFormat="1">
      <c r="A1334" s="51"/>
      <c r="B1334" s="735"/>
      <c r="C1334" s="735"/>
      <c r="D1334" s="735"/>
      <c r="E1334" s="735"/>
      <c r="F1334" s="736"/>
      <c r="G1334" s="735"/>
      <c r="H1334" s="735"/>
      <c r="I1334" s="735"/>
      <c r="J1334" s="735"/>
      <c r="K1334" s="735"/>
      <c r="L1334" s="735"/>
      <c r="M1334" s="735"/>
      <c r="N1334" s="735"/>
      <c r="O1334" s="19"/>
      <c r="P1334" s="19"/>
      <c r="Q1334" s="19"/>
      <c r="R1334" s="19"/>
      <c r="S1334" s="19"/>
      <c r="T1334" s="19"/>
      <c r="U1334" s="19"/>
      <c r="V1334" s="19"/>
      <c r="W1334" s="19"/>
      <c r="X1334" s="19"/>
      <c r="Y1334" s="19"/>
      <c r="Z1334" s="19"/>
      <c r="AA1334" s="19"/>
      <c r="AB1334" s="19"/>
      <c r="FE1334" s="54"/>
    </row>
    <row r="1335" spans="1:161" s="18" customFormat="1">
      <c r="A1335" s="51"/>
      <c r="B1335" s="735"/>
      <c r="C1335" s="735"/>
      <c r="D1335" s="735"/>
      <c r="E1335" s="735"/>
      <c r="F1335" s="736"/>
      <c r="G1335" s="735"/>
      <c r="H1335" s="735"/>
      <c r="I1335" s="735"/>
      <c r="J1335" s="735"/>
      <c r="K1335" s="735"/>
      <c r="L1335" s="735"/>
      <c r="M1335" s="735"/>
      <c r="N1335" s="735"/>
      <c r="O1335" s="19"/>
      <c r="P1335" s="19"/>
      <c r="Q1335" s="19"/>
      <c r="R1335" s="19"/>
      <c r="S1335" s="19"/>
      <c r="T1335" s="19"/>
      <c r="U1335" s="19"/>
      <c r="V1335" s="19"/>
      <c r="W1335" s="19"/>
      <c r="X1335" s="19"/>
      <c r="Y1335" s="19"/>
      <c r="Z1335" s="19"/>
      <c r="AA1335" s="19"/>
      <c r="AB1335" s="19"/>
      <c r="FE1335" s="54"/>
    </row>
    <row r="1336" spans="1:161" s="18" customFormat="1">
      <c r="A1336" s="51"/>
      <c r="B1336" s="735"/>
      <c r="C1336" s="735"/>
      <c r="D1336" s="735"/>
      <c r="E1336" s="735"/>
      <c r="F1336" s="736"/>
      <c r="G1336" s="735"/>
      <c r="H1336" s="735"/>
      <c r="I1336" s="735"/>
      <c r="J1336" s="735"/>
      <c r="K1336" s="735"/>
      <c r="L1336" s="735"/>
      <c r="M1336" s="735"/>
      <c r="N1336" s="735"/>
      <c r="O1336" s="19"/>
      <c r="P1336" s="19"/>
      <c r="Q1336" s="19"/>
      <c r="R1336" s="19"/>
      <c r="S1336" s="19"/>
      <c r="T1336" s="19"/>
      <c r="U1336" s="19"/>
      <c r="V1336" s="19"/>
      <c r="W1336" s="19"/>
      <c r="X1336" s="19"/>
      <c r="Y1336" s="19"/>
      <c r="Z1336" s="19"/>
      <c r="AA1336" s="19"/>
      <c r="AB1336" s="19"/>
      <c r="FE1336" s="54"/>
    </row>
    <row r="1337" spans="1:161" s="18" customFormat="1">
      <c r="A1337" s="51"/>
      <c r="B1337" s="735"/>
      <c r="C1337" s="735"/>
      <c r="D1337" s="735"/>
      <c r="E1337" s="735"/>
      <c r="F1337" s="736"/>
      <c r="G1337" s="735"/>
      <c r="H1337" s="735"/>
      <c r="I1337" s="735"/>
      <c r="J1337" s="735"/>
      <c r="K1337" s="735"/>
      <c r="L1337" s="735"/>
      <c r="M1337" s="735"/>
      <c r="N1337" s="735"/>
      <c r="O1337" s="19"/>
      <c r="P1337" s="19"/>
      <c r="Q1337" s="19"/>
      <c r="R1337" s="19"/>
      <c r="S1337" s="19"/>
      <c r="T1337" s="19"/>
      <c r="U1337" s="19"/>
      <c r="V1337" s="19"/>
      <c r="W1337" s="19"/>
      <c r="X1337" s="19"/>
      <c r="Y1337" s="19"/>
      <c r="Z1337" s="19"/>
      <c r="AA1337" s="19"/>
      <c r="AB1337" s="19"/>
      <c r="FE1337" s="54"/>
    </row>
    <row r="1338" spans="1:161" s="18" customFormat="1">
      <c r="A1338" s="51"/>
      <c r="B1338" s="735"/>
      <c r="C1338" s="735"/>
      <c r="D1338" s="735"/>
      <c r="E1338" s="735"/>
      <c r="F1338" s="736"/>
      <c r="G1338" s="735"/>
      <c r="H1338" s="735"/>
      <c r="I1338" s="735"/>
      <c r="J1338" s="735"/>
      <c r="K1338" s="735"/>
      <c r="L1338" s="735"/>
      <c r="M1338" s="735"/>
      <c r="N1338" s="735"/>
      <c r="O1338" s="19"/>
      <c r="P1338" s="19"/>
      <c r="Q1338" s="19"/>
      <c r="R1338" s="19"/>
      <c r="S1338" s="19"/>
      <c r="T1338" s="19"/>
      <c r="U1338" s="19"/>
      <c r="V1338" s="19"/>
      <c r="W1338" s="19"/>
      <c r="X1338" s="19"/>
      <c r="Y1338" s="19"/>
      <c r="Z1338" s="19"/>
      <c r="AA1338" s="19"/>
      <c r="AB1338" s="19"/>
      <c r="FE1338" s="54"/>
    </row>
    <row r="1339" spans="1:161" s="18" customFormat="1">
      <c r="A1339" s="51"/>
      <c r="B1339" s="735"/>
      <c r="C1339" s="735"/>
      <c r="D1339" s="735"/>
      <c r="E1339" s="735"/>
      <c r="F1339" s="736"/>
      <c r="G1339" s="735"/>
      <c r="H1339" s="735"/>
      <c r="I1339" s="735"/>
      <c r="J1339" s="735"/>
      <c r="K1339" s="735"/>
      <c r="L1339" s="735"/>
      <c r="M1339" s="735"/>
      <c r="N1339" s="735"/>
      <c r="O1339" s="19"/>
      <c r="P1339" s="19"/>
      <c r="Q1339" s="19"/>
      <c r="R1339" s="19"/>
      <c r="S1339" s="19"/>
      <c r="T1339" s="19"/>
      <c r="U1339" s="19"/>
      <c r="V1339" s="19"/>
      <c r="W1339" s="19"/>
      <c r="X1339" s="19"/>
      <c r="Y1339" s="19"/>
      <c r="Z1339" s="19"/>
      <c r="AA1339" s="19"/>
      <c r="AB1339" s="19"/>
      <c r="FE1339" s="54"/>
    </row>
    <row r="1340" spans="1:161" s="18" customFormat="1">
      <c r="A1340" s="51"/>
      <c r="B1340" s="735"/>
      <c r="C1340" s="735"/>
      <c r="D1340" s="735"/>
      <c r="E1340" s="735"/>
      <c r="F1340" s="736"/>
      <c r="G1340" s="735"/>
      <c r="H1340" s="735"/>
      <c r="I1340" s="735"/>
      <c r="J1340" s="735"/>
      <c r="K1340" s="735"/>
      <c r="L1340" s="735"/>
      <c r="M1340" s="735"/>
      <c r="N1340" s="735"/>
      <c r="O1340" s="19"/>
      <c r="P1340" s="19"/>
      <c r="Q1340" s="19"/>
      <c r="R1340" s="19"/>
      <c r="S1340" s="19"/>
      <c r="T1340" s="19"/>
      <c r="U1340" s="19"/>
      <c r="V1340" s="19"/>
      <c r="W1340" s="19"/>
      <c r="X1340" s="19"/>
      <c r="Y1340" s="19"/>
      <c r="Z1340" s="19"/>
      <c r="AA1340" s="19"/>
      <c r="AB1340" s="19"/>
      <c r="FE1340" s="54"/>
    </row>
    <row r="1341" spans="1:161" s="18" customFormat="1">
      <c r="A1341" s="51"/>
      <c r="B1341" s="735"/>
      <c r="C1341" s="735"/>
      <c r="D1341" s="735"/>
      <c r="E1341" s="735"/>
      <c r="F1341" s="736"/>
      <c r="G1341" s="735"/>
      <c r="H1341" s="735"/>
      <c r="I1341" s="735"/>
      <c r="J1341" s="735"/>
      <c r="K1341" s="735"/>
      <c r="L1341" s="735"/>
      <c r="M1341" s="735"/>
      <c r="N1341" s="735"/>
      <c r="O1341" s="19"/>
      <c r="P1341" s="19"/>
      <c r="Q1341" s="19"/>
      <c r="R1341" s="19"/>
      <c r="S1341" s="19"/>
      <c r="T1341" s="19"/>
      <c r="U1341" s="19"/>
      <c r="V1341" s="19"/>
      <c r="W1341" s="19"/>
      <c r="X1341" s="19"/>
      <c r="Y1341" s="19"/>
      <c r="Z1341" s="19"/>
      <c r="AA1341" s="19"/>
      <c r="AB1341" s="19"/>
      <c r="FE1341" s="54"/>
    </row>
    <row r="1342" spans="1:161" s="18" customFormat="1">
      <c r="A1342" s="51"/>
      <c r="B1342" s="735"/>
      <c r="C1342" s="735"/>
      <c r="D1342" s="735"/>
      <c r="E1342" s="735"/>
      <c r="F1342" s="736"/>
      <c r="G1342" s="735"/>
      <c r="H1342" s="735"/>
      <c r="I1342" s="735"/>
      <c r="J1342" s="735"/>
      <c r="K1342" s="735"/>
      <c r="L1342" s="735"/>
      <c r="M1342" s="735"/>
      <c r="N1342" s="735"/>
      <c r="O1342" s="19"/>
      <c r="P1342" s="19"/>
      <c r="Q1342" s="19"/>
      <c r="R1342" s="19"/>
      <c r="S1342" s="19"/>
      <c r="T1342" s="19"/>
      <c r="U1342" s="19"/>
      <c r="V1342" s="19"/>
      <c r="W1342" s="19"/>
      <c r="X1342" s="19"/>
      <c r="Y1342" s="19"/>
      <c r="Z1342" s="19"/>
      <c r="AA1342" s="19"/>
      <c r="AB1342" s="19"/>
      <c r="FE1342" s="54"/>
    </row>
    <row r="1343" spans="1:161" s="18" customFormat="1">
      <c r="A1343" s="51"/>
      <c r="B1343" s="735"/>
      <c r="C1343" s="735"/>
      <c r="D1343" s="735"/>
      <c r="E1343" s="735"/>
      <c r="F1343" s="736"/>
      <c r="G1343" s="735"/>
      <c r="H1343" s="735"/>
      <c r="I1343" s="735"/>
      <c r="J1343" s="735"/>
      <c r="K1343" s="735"/>
      <c r="L1343" s="735"/>
      <c r="M1343" s="735"/>
      <c r="N1343" s="735"/>
      <c r="O1343" s="19"/>
      <c r="P1343" s="19"/>
      <c r="Q1343" s="19"/>
      <c r="R1343" s="19"/>
      <c r="S1343" s="19"/>
      <c r="T1343" s="19"/>
      <c r="U1343" s="19"/>
      <c r="V1343" s="19"/>
      <c r="W1343" s="19"/>
      <c r="X1343" s="19"/>
      <c r="Y1343" s="19"/>
      <c r="Z1343" s="19"/>
      <c r="AA1343" s="19"/>
      <c r="AB1343" s="19"/>
      <c r="FE1343" s="54"/>
    </row>
    <row r="1344" spans="1:161" s="18" customFormat="1">
      <c r="A1344" s="51"/>
      <c r="B1344" s="735"/>
      <c r="C1344" s="735"/>
      <c r="D1344" s="735"/>
      <c r="E1344" s="735"/>
      <c r="F1344" s="736"/>
      <c r="G1344" s="735"/>
      <c r="H1344" s="735"/>
      <c r="I1344" s="735"/>
      <c r="J1344" s="735"/>
      <c r="K1344" s="735"/>
      <c r="L1344" s="735"/>
      <c r="M1344" s="735"/>
      <c r="N1344" s="735"/>
      <c r="O1344" s="19"/>
      <c r="P1344" s="19"/>
      <c r="Q1344" s="19"/>
      <c r="R1344" s="19"/>
      <c r="S1344" s="19"/>
      <c r="T1344" s="19"/>
      <c r="U1344" s="19"/>
      <c r="V1344" s="19"/>
      <c r="W1344" s="19"/>
      <c r="X1344" s="19"/>
      <c r="Y1344" s="19"/>
      <c r="Z1344" s="19"/>
      <c r="AA1344" s="19"/>
      <c r="AB1344" s="19"/>
      <c r="FE1344" s="54"/>
    </row>
    <row r="1345" spans="1:161" s="18" customFormat="1">
      <c r="A1345" s="51"/>
      <c r="B1345" s="735"/>
      <c r="C1345" s="735"/>
      <c r="D1345" s="735"/>
      <c r="E1345" s="735"/>
      <c r="F1345" s="736"/>
      <c r="G1345" s="735"/>
      <c r="H1345" s="735"/>
      <c r="I1345" s="735"/>
      <c r="J1345" s="735"/>
      <c r="K1345" s="735"/>
      <c r="L1345" s="735"/>
      <c r="M1345" s="735"/>
      <c r="N1345" s="735"/>
      <c r="O1345" s="19"/>
      <c r="P1345" s="19"/>
      <c r="Q1345" s="19"/>
      <c r="R1345" s="19"/>
      <c r="S1345" s="19"/>
      <c r="T1345" s="19"/>
      <c r="U1345" s="19"/>
      <c r="V1345" s="19"/>
      <c r="W1345" s="19"/>
      <c r="X1345" s="19"/>
      <c r="Y1345" s="19"/>
      <c r="Z1345" s="19"/>
      <c r="AA1345" s="19"/>
      <c r="AB1345" s="19"/>
      <c r="FE1345" s="54"/>
    </row>
    <row r="1346" spans="1:161" s="18" customFormat="1">
      <c r="A1346" s="51"/>
      <c r="B1346" s="735"/>
      <c r="C1346" s="735"/>
      <c r="D1346" s="735"/>
      <c r="E1346" s="735"/>
      <c r="F1346" s="736"/>
      <c r="G1346" s="735"/>
      <c r="H1346" s="735"/>
      <c r="I1346" s="735"/>
      <c r="J1346" s="735"/>
      <c r="K1346" s="735"/>
      <c r="L1346" s="735"/>
      <c r="M1346" s="735"/>
      <c r="N1346" s="735"/>
      <c r="O1346" s="19"/>
      <c r="P1346" s="19"/>
      <c r="Q1346" s="19"/>
      <c r="R1346" s="19"/>
      <c r="S1346" s="19"/>
      <c r="T1346" s="19"/>
      <c r="U1346" s="19"/>
      <c r="V1346" s="19"/>
      <c r="W1346" s="19"/>
      <c r="X1346" s="19"/>
      <c r="Y1346" s="19"/>
      <c r="Z1346" s="19"/>
      <c r="AA1346" s="19"/>
      <c r="AB1346" s="19"/>
      <c r="FE1346" s="54"/>
    </row>
    <row r="1347" spans="1:161" s="18" customFormat="1">
      <c r="A1347" s="51"/>
      <c r="B1347" s="735"/>
      <c r="C1347" s="735"/>
      <c r="D1347" s="735"/>
      <c r="E1347" s="735"/>
      <c r="F1347" s="736"/>
      <c r="G1347" s="735"/>
      <c r="H1347" s="735"/>
      <c r="I1347" s="735"/>
      <c r="J1347" s="735"/>
      <c r="K1347" s="735"/>
      <c r="L1347" s="735"/>
      <c r="M1347" s="735"/>
      <c r="N1347" s="735"/>
      <c r="O1347" s="19"/>
      <c r="P1347" s="19"/>
      <c r="Q1347" s="19"/>
      <c r="R1347" s="19"/>
      <c r="S1347" s="19"/>
      <c r="T1347" s="19"/>
      <c r="U1347" s="19"/>
      <c r="V1347" s="19"/>
      <c r="W1347" s="19"/>
      <c r="X1347" s="19"/>
      <c r="Y1347" s="19"/>
      <c r="Z1347" s="19"/>
      <c r="AA1347" s="19"/>
      <c r="AB1347" s="19"/>
      <c r="FE1347" s="54"/>
    </row>
    <row r="1348" spans="1:161" s="18" customFormat="1">
      <c r="A1348" s="51"/>
      <c r="B1348" s="735"/>
      <c r="C1348" s="735"/>
      <c r="D1348" s="735"/>
      <c r="E1348" s="735"/>
      <c r="F1348" s="736"/>
      <c r="G1348" s="735"/>
      <c r="H1348" s="735"/>
      <c r="I1348" s="735"/>
      <c r="J1348" s="735"/>
      <c r="K1348" s="735"/>
      <c r="L1348" s="735"/>
      <c r="M1348" s="735"/>
      <c r="N1348" s="735"/>
      <c r="O1348" s="19"/>
      <c r="P1348" s="19"/>
      <c r="Q1348" s="19"/>
      <c r="R1348" s="19"/>
      <c r="S1348" s="19"/>
      <c r="T1348" s="19"/>
      <c r="U1348" s="19"/>
      <c r="V1348" s="19"/>
      <c r="W1348" s="19"/>
      <c r="X1348" s="19"/>
      <c r="Y1348" s="19"/>
      <c r="Z1348" s="19"/>
      <c r="AA1348" s="19"/>
      <c r="AB1348" s="19"/>
      <c r="FE1348" s="54"/>
    </row>
    <row r="1349" spans="1:161" s="18" customFormat="1">
      <c r="A1349" s="51"/>
      <c r="B1349" s="735"/>
      <c r="C1349" s="735"/>
      <c r="D1349" s="735"/>
      <c r="E1349" s="735"/>
      <c r="F1349" s="736"/>
      <c r="G1349" s="735"/>
      <c r="H1349" s="735"/>
      <c r="I1349" s="735"/>
      <c r="J1349" s="735"/>
      <c r="K1349" s="735"/>
      <c r="L1349" s="735"/>
      <c r="M1349" s="735"/>
      <c r="N1349" s="735"/>
      <c r="O1349" s="19"/>
      <c r="P1349" s="19"/>
      <c r="Q1349" s="19"/>
      <c r="R1349" s="19"/>
      <c r="S1349" s="19"/>
      <c r="T1349" s="19"/>
      <c r="U1349" s="19"/>
      <c r="V1349" s="19"/>
      <c r="W1349" s="19"/>
      <c r="X1349" s="19"/>
      <c r="Y1349" s="19"/>
      <c r="Z1349" s="19"/>
      <c r="AA1349" s="19"/>
      <c r="AB1349" s="19"/>
      <c r="FE1349" s="54"/>
    </row>
    <row r="1350" spans="1:161" s="18" customFormat="1">
      <c r="A1350" s="51"/>
      <c r="B1350" s="735"/>
      <c r="C1350" s="735"/>
      <c r="D1350" s="735"/>
      <c r="E1350" s="735"/>
      <c r="F1350" s="736"/>
      <c r="G1350" s="735"/>
      <c r="H1350" s="735"/>
      <c r="I1350" s="735"/>
      <c r="J1350" s="735"/>
      <c r="K1350" s="735"/>
      <c r="L1350" s="735"/>
      <c r="M1350" s="735"/>
      <c r="N1350" s="735"/>
      <c r="O1350" s="19"/>
      <c r="P1350" s="19"/>
      <c r="Q1350" s="19"/>
      <c r="R1350" s="19"/>
      <c r="S1350" s="19"/>
      <c r="T1350" s="19"/>
      <c r="U1350" s="19"/>
      <c r="V1350" s="19"/>
      <c r="W1350" s="19"/>
      <c r="X1350" s="19"/>
      <c r="Y1350" s="19"/>
      <c r="Z1350" s="19"/>
      <c r="AA1350" s="19"/>
      <c r="AB1350" s="19"/>
      <c r="FE1350" s="54"/>
    </row>
    <row r="1351" spans="1:161" s="18" customFormat="1">
      <c r="A1351" s="51"/>
      <c r="B1351" s="735"/>
      <c r="C1351" s="735"/>
      <c r="D1351" s="735"/>
      <c r="E1351" s="735"/>
      <c r="F1351" s="736"/>
      <c r="G1351" s="735"/>
      <c r="H1351" s="735"/>
      <c r="I1351" s="735"/>
      <c r="J1351" s="735"/>
      <c r="K1351" s="735"/>
      <c r="L1351" s="735"/>
      <c r="M1351" s="735"/>
      <c r="N1351" s="735"/>
      <c r="O1351" s="19"/>
      <c r="P1351" s="19"/>
      <c r="Q1351" s="19"/>
      <c r="R1351" s="19"/>
      <c r="S1351" s="19"/>
      <c r="T1351" s="19"/>
      <c r="U1351" s="19"/>
      <c r="V1351" s="19"/>
      <c r="W1351" s="19"/>
      <c r="X1351" s="19"/>
      <c r="Y1351" s="19"/>
      <c r="Z1351" s="19"/>
      <c r="AA1351" s="19"/>
      <c r="AB1351" s="19"/>
      <c r="FE1351" s="54"/>
    </row>
    <row r="1352" spans="1:161" s="18" customFormat="1">
      <c r="A1352" s="51"/>
      <c r="B1352" s="735"/>
      <c r="C1352" s="735"/>
      <c r="D1352" s="735"/>
      <c r="E1352" s="735"/>
      <c r="F1352" s="736"/>
      <c r="G1352" s="735"/>
      <c r="H1352" s="735"/>
      <c r="I1352" s="735"/>
      <c r="J1352" s="735"/>
      <c r="K1352" s="735"/>
      <c r="L1352" s="735"/>
      <c r="M1352" s="735"/>
      <c r="N1352" s="735"/>
      <c r="O1352" s="19"/>
      <c r="P1352" s="19"/>
      <c r="Q1352" s="19"/>
      <c r="R1352" s="19"/>
      <c r="S1352" s="19"/>
      <c r="T1352" s="19"/>
      <c r="U1352" s="19"/>
      <c r="V1352" s="19"/>
      <c r="W1352" s="19"/>
      <c r="X1352" s="19"/>
      <c r="Y1352" s="19"/>
      <c r="Z1352" s="19"/>
      <c r="AA1352" s="19"/>
      <c r="AB1352" s="19"/>
      <c r="FE1352" s="54"/>
    </row>
    <row r="1353" spans="1:161" s="18" customFormat="1">
      <c r="A1353" s="51"/>
      <c r="B1353" s="735"/>
      <c r="C1353" s="735"/>
      <c r="D1353" s="735"/>
      <c r="E1353" s="735"/>
      <c r="F1353" s="736"/>
      <c r="G1353" s="735"/>
      <c r="H1353" s="735"/>
      <c r="I1353" s="735"/>
      <c r="J1353" s="735"/>
      <c r="K1353" s="735"/>
      <c r="L1353" s="735"/>
      <c r="M1353" s="735"/>
      <c r="N1353" s="735"/>
      <c r="O1353" s="19"/>
      <c r="P1353" s="19"/>
      <c r="Q1353" s="19"/>
      <c r="R1353" s="19"/>
      <c r="S1353" s="19"/>
      <c r="T1353" s="19"/>
      <c r="U1353" s="19"/>
      <c r="V1353" s="19"/>
      <c r="W1353" s="19"/>
      <c r="X1353" s="19"/>
      <c r="Y1353" s="19"/>
      <c r="Z1353" s="19"/>
      <c r="AA1353" s="19"/>
      <c r="AB1353" s="19"/>
      <c r="FE1353" s="54"/>
    </row>
    <row r="1354" spans="1:161" s="18" customFormat="1">
      <c r="A1354" s="51"/>
      <c r="B1354" s="735"/>
      <c r="C1354" s="735"/>
      <c r="D1354" s="735"/>
      <c r="E1354" s="735"/>
      <c r="F1354" s="736"/>
      <c r="G1354" s="735"/>
      <c r="H1354" s="735"/>
      <c r="I1354" s="735"/>
      <c r="J1354" s="735"/>
      <c r="K1354" s="735"/>
      <c r="L1354" s="735"/>
      <c r="M1354" s="735"/>
      <c r="N1354" s="735"/>
      <c r="O1354" s="19"/>
      <c r="P1354" s="19"/>
      <c r="Q1354" s="19"/>
      <c r="R1354" s="19"/>
      <c r="S1354" s="19"/>
      <c r="T1354" s="19"/>
      <c r="U1354" s="19"/>
      <c r="V1354" s="19"/>
      <c r="W1354" s="19"/>
      <c r="X1354" s="19"/>
      <c r="Y1354" s="19"/>
      <c r="Z1354" s="19"/>
      <c r="AA1354" s="19"/>
      <c r="AB1354" s="19"/>
      <c r="FE1354" s="54"/>
    </row>
    <row r="1355" spans="1:161" s="18" customFormat="1">
      <c r="A1355" s="51"/>
      <c r="B1355" s="735"/>
      <c r="C1355" s="735"/>
      <c r="D1355" s="735"/>
      <c r="E1355" s="735"/>
      <c r="F1355" s="736"/>
      <c r="G1355" s="735"/>
      <c r="H1355" s="735"/>
      <c r="I1355" s="735"/>
      <c r="J1355" s="735"/>
      <c r="K1355" s="735"/>
      <c r="L1355" s="735"/>
      <c r="M1355" s="735"/>
      <c r="N1355" s="735"/>
      <c r="O1355" s="19"/>
      <c r="P1355" s="19"/>
      <c r="Q1355" s="19"/>
      <c r="R1355" s="19"/>
      <c r="S1355" s="19"/>
      <c r="T1355" s="19"/>
      <c r="U1355" s="19"/>
      <c r="V1355" s="19"/>
      <c r="W1355" s="19"/>
      <c r="X1355" s="19"/>
      <c r="Y1355" s="19"/>
      <c r="Z1355" s="19"/>
      <c r="AA1355" s="19"/>
      <c r="AB1355" s="19"/>
      <c r="FE1355" s="54"/>
    </row>
    <row r="1356" spans="1:161" s="18" customFormat="1">
      <c r="A1356" s="51"/>
      <c r="B1356" s="735"/>
      <c r="C1356" s="735"/>
      <c r="D1356" s="735"/>
      <c r="E1356" s="735"/>
      <c r="F1356" s="736"/>
      <c r="G1356" s="735"/>
      <c r="H1356" s="735"/>
      <c r="I1356" s="735"/>
      <c r="J1356" s="735"/>
      <c r="K1356" s="735"/>
      <c r="L1356" s="735"/>
      <c r="M1356" s="735"/>
      <c r="N1356" s="735"/>
      <c r="O1356" s="19"/>
      <c r="P1356" s="19"/>
      <c r="Q1356" s="19"/>
      <c r="R1356" s="19"/>
      <c r="S1356" s="19"/>
      <c r="T1356" s="19"/>
      <c r="U1356" s="19"/>
      <c r="V1356" s="19"/>
      <c r="W1356" s="19"/>
      <c r="X1356" s="19"/>
      <c r="Y1356" s="19"/>
      <c r="Z1356" s="19"/>
      <c r="AA1356" s="19"/>
      <c r="AB1356" s="19"/>
      <c r="FE1356" s="54"/>
    </row>
    <row r="1357" spans="1:161" s="18" customFormat="1">
      <c r="A1357" s="51"/>
      <c r="B1357" s="735"/>
      <c r="C1357" s="735"/>
      <c r="D1357" s="735"/>
      <c r="E1357" s="735"/>
      <c r="F1357" s="736"/>
      <c r="G1357" s="735"/>
      <c r="H1357" s="735"/>
      <c r="I1357" s="735"/>
      <c r="J1357" s="735"/>
      <c r="K1357" s="735"/>
      <c r="L1357" s="735"/>
      <c r="M1357" s="735"/>
      <c r="N1357" s="735"/>
      <c r="O1357" s="19"/>
      <c r="P1357" s="19"/>
      <c r="Q1357" s="19"/>
      <c r="R1357" s="19"/>
      <c r="S1357" s="19"/>
      <c r="T1357" s="19"/>
      <c r="U1357" s="19"/>
      <c r="V1357" s="19"/>
      <c r="W1357" s="19"/>
      <c r="X1357" s="19"/>
      <c r="Y1357" s="19"/>
      <c r="Z1357" s="19"/>
      <c r="AA1357" s="19"/>
      <c r="AB1357" s="19"/>
      <c r="FE1357" s="54"/>
    </row>
    <row r="1358" spans="1:161" s="18" customFormat="1">
      <c r="A1358" s="51"/>
      <c r="B1358" s="735"/>
      <c r="C1358" s="735"/>
      <c r="D1358" s="735"/>
      <c r="E1358" s="735"/>
      <c r="F1358" s="736"/>
      <c r="G1358" s="735"/>
      <c r="H1358" s="735"/>
      <c r="I1358" s="735"/>
      <c r="J1358" s="735"/>
      <c r="K1358" s="735"/>
      <c r="L1358" s="735"/>
      <c r="M1358" s="735"/>
      <c r="N1358" s="735"/>
      <c r="O1358" s="19"/>
      <c r="P1358" s="19"/>
      <c r="Q1358" s="19"/>
      <c r="R1358" s="19"/>
      <c r="S1358" s="19"/>
      <c r="T1358" s="19"/>
      <c r="U1358" s="19"/>
      <c r="V1358" s="19"/>
      <c r="W1358" s="19"/>
      <c r="X1358" s="19"/>
      <c r="Y1358" s="19"/>
      <c r="Z1358" s="19"/>
      <c r="AA1358" s="19"/>
      <c r="AB1358" s="19"/>
      <c r="FE1358" s="54"/>
    </row>
    <row r="1359" spans="1:161" s="18" customFormat="1">
      <c r="A1359" s="51"/>
      <c r="B1359" s="735"/>
      <c r="C1359" s="735"/>
      <c r="D1359" s="735"/>
      <c r="E1359" s="735"/>
      <c r="F1359" s="736"/>
      <c r="G1359" s="735"/>
      <c r="H1359" s="735"/>
      <c r="I1359" s="735"/>
      <c r="J1359" s="735"/>
      <c r="K1359" s="735"/>
      <c r="L1359" s="735"/>
      <c r="M1359" s="735"/>
      <c r="N1359" s="735"/>
      <c r="O1359" s="19"/>
      <c r="P1359" s="19"/>
      <c r="Q1359" s="19"/>
      <c r="R1359" s="19"/>
      <c r="S1359" s="19"/>
      <c r="T1359" s="19"/>
      <c r="U1359" s="19"/>
      <c r="V1359" s="19"/>
      <c r="W1359" s="19"/>
      <c r="X1359" s="19"/>
      <c r="Y1359" s="19"/>
      <c r="Z1359" s="19"/>
      <c r="AA1359" s="19"/>
      <c r="AB1359" s="19"/>
      <c r="FE1359" s="54"/>
    </row>
    <row r="1360" spans="1:161" s="18" customFormat="1">
      <c r="A1360" s="51"/>
      <c r="B1360" s="735"/>
      <c r="C1360" s="735"/>
      <c r="D1360" s="735"/>
      <c r="E1360" s="735"/>
      <c r="F1360" s="736"/>
      <c r="G1360" s="735"/>
      <c r="H1360" s="735"/>
      <c r="I1360" s="735"/>
      <c r="J1360" s="735"/>
      <c r="K1360" s="735"/>
      <c r="L1360" s="735"/>
      <c r="M1360" s="735"/>
      <c r="N1360" s="735"/>
      <c r="O1360" s="19"/>
      <c r="P1360" s="19"/>
      <c r="Q1360" s="19"/>
      <c r="R1360" s="19"/>
      <c r="S1360" s="19"/>
      <c r="T1360" s="19"/>
      <c r="U1360" s="19"/>
      <c r="V1360" s="19"/>
      <c r="W1360" s="19"/>
      <c r="X1360" s="19"/>
      <c r="Y1360" s="19"/>
      <c r="Z1360" s="19"/>
      <c r="AA1360" s="19"/>
      <c r="AB1360" s="19"/>
      <c r="FE1360" s="54"/>
    </row>
    <row r="1361" spans="1:161" s="18" customFormat="1">
      <c r="A1361" s="51"/>
      <c r="B1361" s="735"/>
      <c r="C1361" s="735"/>
      <c r="D1361" s="735"/>
      <c r="E1361" s="735"/>
      <c r="F1361" s="736"/>
      <c r="G1361" s="735"/>
      <c r="H1361" s="735"/>
      <c r="I1361" s="735"/>
      <c r="J1361" s="735"/>
      <c r="K1361" s="735"/>
      <c r="L1361" s="735"/>
      <c r="M1361" s="735"/>
      <c r="N1361" s="735"/>
      <c r="O1361" s="19"/>
      <c r="P1361" s="19"/>
      <c r="Q1361" s="19"/>
      <c r="R1361" s="19"/>
      <c r="S1361" s="19"/>
      <c r="T1361" s="19"/>
      <c r="U1361" s="19"/>
      <c r="V1361" s="19"/>
      <c r="W1361" s="19"/>
      <c r="X1361" s="19"/>
      <c r="Y1361" s="19"/>
      <c r="Z1361" s="19"/>
      <c r="AA1361" s="19"/>
      <c r="AB1361" s="19"/>
      <c r="FE1361" s="54"/>
    </row>
    <row r="1362" spans="1:161" s="18" customFormat="1">
      <c r="A1362" s="51"/>
      <c r="B1362" s="735"/>
      <c r="C1362" s="735"/>
      <c r="D1362" s="735"/>
      <c r="E1362" s="735"/>
      <c r="F1362" s="736"/>
      <c r="G1362" s="735"/>
      <c r="H1362" s="735"/>
      <c r="I1362" s="735"/>
      <c r="J1362" s="735"/>
      <c r="K1362" s="735"/>
      <c r="L1362" s="735"/>
      <c r="M1362" s="735"/>
      <c r="N1362" s="735"/>
      <c r="O1362" s="19"/>
      <c r="P1362" s="19"/>
      <c r="Q1362" s="19"/>
      <c r="R1362" s="19"/>
      <c r="S1362" s="19"/>
      <c r="T1362" s="19"/>
      <c r="U1362" s="19"/>
      <c r="V1362" s="19"/>
      <c r="W1362" s="19"/>
      <c r="X1362" s="19"/>
      <c r="Y1362" s="19"/>
      <c r="Z1362" s="19"/>
      <c r="AA1362" s="19"/>
      <c r="AB1362" s="19"/>
      <c r="FE1362" s="54"/>
    </row>
    <row r="1363" spans="1:161" s="18" customFormat="1">
      <c r="A1363" s="51"/>
      <c r="B1363" s="735"/>
      <c r="C1363" s="735"/>
      <c r="D1363" s="735"/>
      <c r="E1363" s="735"/>
      <c r="F1363" s="736"/>
      <c r="G1363" s="735"/>
      <c r="H1363" s="735"/>
      <c r="I1363" s="735"/>
      <c r="J1363" s="735"/>
      <c r="K1363" s="735"/>
      <c r="L1363" s="735"/>
      <c r="M1363" s="735"/>
      <c r="N1363" s="735"/>
      <c r="O1363" s="19"/>
      <c r="P1363" s="19"/>
      <c r="Q1363" s="19"/>
      <c r="R1363" s="19"/>
      <c r="S1363" s="19"/>
      <c r="T1363" s="19"/>
      <c r="U1363" s="19"/>
      <c r="V1363" s="19"/>
      <c r="W1363" s="19"/>
      <c r="X1363" s="19"/>
      <c r="Y1363" s="19"/>
      <c r="Z1363" s="19"/>
      <c r="AA1363" s="19"/>
      <c r="AB1363" s="19"/>
      <c r="FE1363" s="54"/>
    </row>
    <row r="1364" spans="1:161" s="18" customFormat="1">
      <c r="A1364" s="51"/>
      <c r="B1364" s="735"/>
      <c r="C1364" s="735"/>
      <c r="D1364" s="735"/>
      <c r="E1364" s="735"/>
      <c r="F1364" s="736"/>
      <c r="G1364" s="735"/>
      <c r="H1364" s="735"/>
      <c r="I1364" s="735"/>
      <c r="J1364" s="735"/>
      <c r="K1364" s="735"/>
      <c r="L1364" s="735"/>
      <c r="M1364" s="735"/>
      <c r="N1364" s="735"/>
      <c r="O1364" s="19"/>
      <c r="P1364" s="19"/>
      <c r="Q1364" s="19"/>
      <c r="R1364" s="19"/>
      <c r="S1364" s="19"/>
      <c r="T1364" s="19"/>
      <c r="U1364" s="19"/>
      <c r="V1364" s="19"/>
      <c r="W1364" s="19"/>
      <c r="X1364" s="19"/>
      <c r="Y1364" s="19"/>
      <c r="Z1364" s="19"/>
      <c r="AA1364" s="19"/>
      <c r="AB1364" s="19"/>
      <c r="FE1364" s="54"/>
    </row>
    <row r="1365" spans="1:161" s="18" customFormat="1">
      <c r="A1365" s="51"/>
      <c r="B1365" s="735"/>
      <c r="C1365" s="735"/>
      <c r="D1365" s="735"/>
      <c r="E1365" s="735"/>
      <c r="F1365" s="736"/>
      <c r="G1365" s="735"/>
      <c r="H1365" s="735"/>
      <c r="I1365" s="735"/>
      <c r="J1365" s="735"/>
      <c r="K1365" s="735"/>
      <c r="L1365" s="735"/>
      <c r="M1365" s="735"/>
      <c r="N1365" s="735"/>
      <c r="O1365" s="19"/>
      <c r="P1365" s="19"/>
      <c r="Q1365" s="19"/>
      <c r="R1365" s="19"/>
      <c r="S1365" s="19"/>
      <c r="T1365" s="19"/>
      <c r="U1365" s="19"/>
      <c r="V1365" s="19"/>
      <c r="W1365" s="19"/>
      <c r="X1365" s="19"/>
      <c r="Y1365" s="19"/>
      <c r="Z1365" s="19"/>
      <c r="AA1365" s="19"/>
      <c r="AB1365" s="19"/>
      <c r="FE1365" s="54"/>
    </row>
    <row r="1366" spans="1:161" s="18" customFormat="1">
      <c r="A1366" s="51"/>
      <c r="B1366" s="735"/>
      <c r="C1366" s="735"/>
      <c r="D1366" s="735"/>
      <c r="E1366" s="735"/>
      <c r="F1366" s="736"/>
      <c r="G1366" s="735"/>
      <c r="H1366" s="735"/>
      <c r="I1366" s="735"/>
      <c r="J1366" s="735"/>
      <c r="K1366" s="735"/>
      <c r="L1366" s="735"/>
      <c r="M1366" s="735"/>
      <c r="N1366" s="735"/>
      <c r="O1366" s="19"/>
      <c r="P1366" s="19"/>
      <c r="Q1366" s="19"/>
      <c r="R1366" s="19"/>
      <c r="S1366" s="19"/>
      <c r="T1366" s="19"/>
      <c r="U1366" s="19"/>
      <c r="V1366" s="19"/>
      <c r="W1366" s="19"/>
      <c r="X1366" s="19"/>
      <c r="Y1366" s="19"/>
      <c r="Z1366" s="19"/>
      <c r="AA1366" s="19"/>
      <c r="AB1366" s="19"/>
      <c r="FE1366" s="54"/>
    </row>
    <row r="1367" spans="1:161" s="18" customFormat="1">
      <c r="A1367" s="51"/>
      <c r="B1367" s="735"/>
      <c r="C1367" s="735"/>
      <c r="D1367" s="735"/>
      <c r="E1367" s="735"/>
      <c r="F1367" s="736"/>
      <c r="G1367" s="735"/>
      <c r="H1367" s="735"/>
      <c r="I1367" s="735"/>
      <c r="J1367" s="735"/>
      <c r="K1367" s="735"/>
      <c r="L1367" s="735"/>
      <c r="M1367" s="735"/>
      <c r="N1367" s="735"/>
      <c r="O1367" s="19"/>
      <c r="P1367" s="19"/>
      <c r="Q1367" s="19"/>
      <c r="R1367" s="19"/>
      <c r="S1367" s="19"/>
      <c r="T1367" s="19"/>
      <c r="U1367" s="19"/>
      <c r="V1367" s="19"/>
      <c r="W1367" s="19"/>
      <c r="X1367" s="19"/>
      <c r="Y1367" s="19"/>
      <c r="Z1367" s="19"/>
      <c r="AA1367" s="19"/>
      <c r="AB1367" s="19"/>
      <c r="FE1367" s="54"/>
    </row>
    <row r="1368" spans="1:161" s="18" customFormat="1">
      <c r="A1368" s="51"/>
      <c r="B1368" s="735"/>
      <c r="C1368" s="735"/>
      <c r="D1368" s="735"/>
      <c r="E1368" s="735"/>
      <c r="F1368" s="736"/>
      <c r="G1368" s="735"/>
      <c r="H1368" s="735"/>
      <c r="I1368" s="735"/>
      <c r="J1368" s="735"/>
      <c r="K1368" s="735"/>
      <c r="L1368" s="735"/>
      <c r="M1368" s="735"/>
      <c r="N1368" s="735"/>
      <c r="O1368" s="19"/>
      <c r="P1368" s="19"/>
      <c r="Q1368" s="19"/>
      <c r="R1368" s="19"/>
      <c r="S1368" s="19"/>
      <c r="T1368" s="19"/>
      <c r="U1368" s="19"/>
      <c r="V1368" s="19"/>
      <c r="W1368" s="19"/>
      <c r="X1368" s="19"/>
      <c r="Y1368" s="19"/>
      <c r="Z1368" s="19"/>
      <c r="AA1368" s="19"/>
      <c r="AB1368" s="19"/>
      <c r="FE1368" s="54"/>
    </row>
    <row r="1369" spans="1:161" s="18" customFormat="1">
      <c r="A1369" s="51"/>
      <c r="B1369" s="735"/>
      <c r="C1369" s="735"/>
      <c r="D1369" s="735"/>
      <c r="E1369" s="735"/>
      <c r="F1369" s="736"/>
      <c r="G1369" s="735"/>
      <c r="H1369" s="735"/>
      <c r="I1369" s="735"/>
      <c r="J1369" s="735"/>
      <c r="K1369" s="735"/>
      <c r="L1369" s="735"/>
      <c r="M1369" s="735"/>
      <c r="N1369" s="735"/>
      <c r="O1369" s="19"/>
      <c r="P1369" s="19"/>
      <c r="Q1369" s="19"/>
      <c r="R1369" s="19"/>
      <c r="S1369" s="19"/>
      <c r="T1369" s="19"/>
      <c r="U1369" s="19"/>
      <c r="V1369" s="19"/>
      <c r="W1369" s="19"/>
      <c r="X1369" s="19"/>
      <c r="Y1369" s="19"/>
      <c r="Z1369" s="19"/>
      <c r="AA1369" s="19"/>
      <c r="AB1369" s="19"/>
      <c r="FE1369" s="54"/>
    </row>
    <row r="1370" spans="1:161" s="18" customFormat="1">
      <c r="A1370" s="51"/>
      <c r="B1370" s="735"/>
      <c r="C1370" s="735"/>
      <c r="D1370" s="735"/>
      <c r="E1370" s="735"/>
      <c r="F1370" s="736"/>
      <c r="G1370" s="735"/>
      <c r="H1370" s="735"/>
      <c r="I1370" s="735"/>
      <c r="J1370" s="735"/>
      <c r="K1370" s="735"/>
      <c r="L1370" s="735"/>
      <c r="M1370" s="735"/>
      <c r="N1370" s="735"/>
      <c r="O1370" s="19"/>
      <c r="P1370" s="19"/>
      <c r="Q1370" s="19"/>
      <c r="R1370" s="19"/>
      <c r="S1370" s="19"/>
      <c r="T1370" s="19"/>
      <c r="U1370" s="19"/>
      <c r="V1370" s="19"/>
      <c r="W1370" s="19"/>
      <c r="X1370" s="19"/>
      <c r="Y1370" s="19"/>
      <c r="Z1370" s="19"/>
      <c r="AA1370" s="19"/>
      <c r="AB1370" s="19"/>
      <c r="FE1370" s="54"/>
    </row>
    <row r="1371" spans="1:161" s="18" customFormat="1">
      <c r="A1371" s="51"/>
      <c r="B1371" s="735"/>
      <c r="C1371" s="735"/>
      <c r="D1371" s="735"/>
      <c r="E1371" s="735"/>
      <c r="F1371" s="736"/>
      <c r="G1371" s="735"/>
      <c r="H1371" s="735"/>
      <c r="I1371" s="735"/>
      <c r="J1371" s="735"/>
      <c r="K1371" s="735"/>
      <c r="L1371" s="735"/>
      <c r="M1371" s="735"/>
      <c r="N1371" s="735"/>
      <c r="O1371" s="19"/>
      <c r="P1371" s="19"/>
      <c r="Q1371" s="19"/>
      <c r="R1371" s="19"/>
      <c r="S1371" s="19"/>
      <c r="T1371" s="19"/>
      <c r="U1371" s="19"/>
      <c r="V1371" s="19"/>
      <c r="W1371" s="19"/>
      <c r="X1371" s="19"/>
      <c r="Y1371" s="19"/>
      <c r="Z1371" s="19"/>
      <c r="AA1371" s="19"/>
      <c r="AB1371" s="19"/>
      <c r="FE1371" s="54"/>
    </row>
    <row r="1372" spans="1:161" s="18" customFormat="1">
      <c r="A1372" s="51"/>
      <c r="B1372" s="735"/>
      <c r="C1372" s="735"/>
      <c r="D1372" s="735"/>
      <c r="E1372" s="735"/>
      <c r="F1372" s="736"/>
      <c r="G1372" s="735"/>
      <c r="H1372" s="735"/>
      <c r="I1372" s="735"/>
      <c r="J1372" s="735"/>
      <c r="K1372" s="735"/>
      <c r="L1372" s="735"/>
      <c r="M1372" s="735"/>
      <c r="N1372" s="735"/>
      <c r="O1372" s="19"/>
      <c r="P1372" s="19"/>
      <c r="Q1372" s="19"/>
      <c r="R1372" s="19"/>
      <c r="S1372" s="19"/>
      <c r="T1372" s="19"/>
      <c r="U1372" s="19"/>
      <c r="V1372" s="19"/>
      <c r="W1372" s="19"/>
      <c r="X1372" s="19"/>
      <c r="Y1372" s="19"/>
      <c r="Z1372" s="19"/>
      <c r="AA1372" s="19"/>
      <c r="AB1372" s="19"/>
      <c r="FE1372" s="54"/>
    </row>
    <row r="1373" spans="1:161" s="18" customFormat="1">
      <c r="A1373" s="51"/>
      <c r="B1373" s="735"/>
      <c r="C1373" s="735"/>
      <c r="D1373" s="735"/>
      <c r="E1373" s="735"/>
      <c r="F1373" s="736"/>
      <c r="G1373" s="735"/>
      <c r="H1373" s="735"/>
      <c r="I1373" s="735"/>
      <c r="J1373" s="735"/>
      <c r="K1373" s="735"/>
      <c r="L1373" s="735"/>
      <c r="M1373" s="735"/>
      <c r="N1373" s="735"/>
      <c r="O1373" s="19"/>
      <c r="P1373" s="19"/>
      <c r="Q1373" s="19"/>
      <c r="R1373" s="19"/>
      <c r="S1373" s="19"/>
      <c r="T1373" s="19"/>
      <c r="U1373" s="19"/>
      <c r="V1373" s="19"/>
      <c r="W1373" s="19"/>
      <c r="X1373" s="19"/>
      <c r="Y1373" s="19"/>
      <c r="Z1373" s="19"/>
      <c r="AA1373" s="19"/>
      <c r="AB1373" s="19"/>
      <c r="FE1373" s="54"/>
    </row>
    <row r="1374" spans="1:161" s="18" customFormat="1">
      <c r="A1374" s="51"/>
      <c r="B1374" s="735"/>
      <c r="C1374" s="735"/>
      <c r="D1374" s="735"/>
      <c r="E1374" s="735"/>
      <c r="F1374" s="736"/>
      <c r="G1374" s="735"/>
      <c r="H1374" s="735"/>
      <c r="I1374" s="735"/>
      <c r="J1374" s="735"/>
      <c r="K1374" s="735"/>
      <c r="L1374" s="735"/>
      <c r="M1374" s="735"/>
      <c r="N1374" s="735"/>
      <c r="O1374" s="19"/>
      <c r="P1374" s="19"/>
      <c r="Q1374" s="19"/>
      <c r="R1374" s="19"/>
      <c r="S1374" s="19"/>
      <c r="T1374" s="19"/>
      <c r="U1374" s="19"/>
      <c r="V1374" s="19"/>
      <c r="W1374" s="19"/>
      <c r="X1374" s="19"/>
      <c r="Y1374" s="19"/>
      <c r="Z1374" s="19"/>
      <c r="AA1374" s="19"/>
      <c r="AB1374" s="19"/>
      <c r="FE1374" s="54"/>
    </row>
    <row r="1375" spans="1:161" s="18" customFormat="1">
      <c r="A1375" s="51"/>
      <c r="B1375" s="735"/>
      <c r="C1375" s="735"/>
      <c r="D1375" s="735"/>
      <c r="E1375" s="735"/>
      <c r="F1375" s="736"/>
      <c r="G1375" s="735"/>
      <c r="H1375" s="735"/>
      <c r="I1375" s="735"/>
      <c r="J1375" s="735"/>
      <c r="K1375" s="735"/>
      <c r="L1375" s="735"/>
      <c r="M1375" s="735"/>
      <c r="N1375" s="735"/>
      <c r="O1375" s="19"/>
      <c r="P1375" s="19"/>
      <c r="Q1375" s="19"/>
      <c r="R1375" s="19"/>
      <c r="S1375" s="19"/>
      <c r="T1375" s="19"/>
      <c r="U1375" s="19"/>
      <c r="V1375" s="19"/>
      <c r="W1375" s="19"/>
      <c r="X1375" s="19"/>
      <c r="Y1375" s="19"/>
      <c r="Z1375" s="19"/>
      <c r="AA1375" s="19"/>
      <c r="AB1375" s="19"/>
      <c r="FE1375" s="54"/>
    </row>
    <row r="1376" spans="1:161" s="18" customFormat="1">
      <c r="A1376" s="51"/>
      <c r="B1376" s="735"/>
      <c r="C1376" s="735"/>
      <c r="D1376" s="735"/>
      <c r="E1376" s="735"/>
      <c r="F1376" s="736"/>
      <c r="G1376" s="735"/>
      <c r="H1376" s="735"/>
      <c r="I1376" s="735"/>
      <c r="J1376" s="735"/>
      <c r="K1376" s="735"/>
      <c r="L1376" s="735"/>
      <c r="M1376" s="735"/>
      <c r="N1376" s="735"/>
      <c r="O1376" s="19"/>
      <c r="P1376" s="19"/>
      <c r="Q1376" s="19"/>
      <c r="R1376" s="19"/>
      <c r="S1376" s="19"/>
      <c r="T1376" s="19"/>
      <c r="U1376" s="19"/>
      <c r="V1376" s="19"/>
      <c r="W1376" s="19"/>
      <c r="X1376" s="19"/>
      <c r="Y1376" s="19"/>
      <c r="Z1376" s="19"/>
      <c r="AA1376" s="19"/>
      <c r="AB1376" s="19"/>
      <c r="FE1376" s="54"/>
    </row>
    <row r="1377" spans="1:161" s="18" customFormat="1">
      <c r="A1377" s="51"/>
      <c r="B1377" s="735"/>
      <c r="C1377" s="735"/>
      <c r="D1377" s="735"/>
      <c r="E1377" s="735"/>
      <c r="F1377" s="736"/>
      <c r="G1377" s="735"/>
      <c r="H1377" s="735"/>
      <c r="I1377" s="735"/>
      <c r="J1377" s="735"/>
      <c r="K1377" s="735"/>
      <c r="L1377" s="735"/>
      <c r="M1377" s="735"/>
      <c r="N1377" s="735"/>
      <c r="O1377" s="19"/>
      <c r="P1377" s="19"/>
      <c r="Q1377" s="19"/>
      <c r="R1377" s="19"/>
      <c r="S1377" s="19"/>
      <c r="T1377" s="19"/>
      <c r="U1377" s="19"/>
      <c r="V1377" s="19"/>
      <c r="W1377" s="19"/>
      <c r="X1377" s="19"/>
      <c r="Y1377" s="19"/>
      <c r="Z1377" s="19"/>
      <c r="AA1377" s="19"/>
      <c r="AB1377" s="19"/>
      <c r="FE1377" s="54"/>
    </row>
    <row r="1378" spans="1:161" s="18" customFormat="1">
      <c r="A1378" s="51"/>
      <c r="B1378" s="735"/>
      <c r="C1378" s="735"/>
      <c r="D1378" s="735"/>
      <c r="E1378" s="735"/>
      <c r="F1378" s="736"/>
      <c r="G1378" s="735"/>
      <c r="H1378" s="735"/>
      <c r="I1378" s="735"/>
      <c r="J1378" s="735"/>
      <c r="K1378" s="735"/>
      <c r="L1378" s="735"/>
      <c r="M1378" s="735"/>
      <c r="N1378" s="735"/>
      <c r="O1378" s="19"/>
      <c r="P1378" s="19"/>
      <c r="Q1378" s="19"/>
      <c r="R1378" s="19"/>
      <c r="S1378" s="19"/>
      <c r="T1378" s="19"/>
      <c r="U1378" s="19"/>
      <c r="V1378" s="19"/>
      <c r="W1378" s="19"/>
      <c r="X1378" s="19"/>
      <c r="Y1378" s="19"/>
      <c r="Z1378" s="19"/>
      <c r="AA1378" s="19"/>
      <c r="AB1378" s="19"/>
      <c r="FE1378" s="54"/>
    </row>
    <row r="1379" spans="1:161" s="18" customFormat="1">
      <c r="A1379" s="51"/>
      <c r="B1379" s="735"/>
      <c r="C1379" s="735"/>
      <c r="D1379" s="735"/>
      <c r="E1379" s="735"/>
      <c r="F1379" s="736"/>
      <c r="G1379" s="735"/>
      <c r="H1379" s="735"/>
      <c r="I1379" s="735"/>
      <c r="J1379" s="735"/>
      <c r="K1379" s="735"/>
      <c r="L1379" s="735"/>
      <c r="M1379" s="735"/>
      <c r="N1379" s="735"/>
      <c r="O1379" s="19"/>
      <c r="P1379" s="19"/>
      <c r="Q1379" s="19"/>
      <c r="R1379" s="19"/>
      <c r="S1379" s="19"/>
      <c r="T1379" s="19"/>
      <c r="U1379" s="19"/>
      <c r="V1379" s="19"/>
      <c r="W1379" s="19"/>
      <c r="X1379" s="19"/>
      <c r="Y1379" s="19"/>
      <c r="Z1379" s="19"/>
      <c r="AA1379" s="19"/>
      <c r="AB1379" s="19"/>
      <c r="FE1379" s="54"/>
    </row>
    <row r="1380" spans="1:161" s="18" customFormat="1">
      <c r="A1380" s="51"/>
      <c r="B1380" s="735"/>
      <c r="C1380" s="735"/>
      <c r="D1380" s="735"/>
      <c r="E1380" s="735"/>
      <c r="F1380" s="736"/>
      <c r="G1380" s="735"/>
      <c r="H1380" s="735"/>
      <c r="I1380" s="735"/>
      <c r="J1380" s="735"/>
      <c r="K1380" s="735"/>
      <c r="L1380" s="735"/>
      <c r="M1380" s="735"/>
      <c r="N1380" s="735"/>
      <c r="O1380" s="19"/>
      <c r="P1380" s="19"/>
      <c r="Q1380" s="19"/>
      <c r="R1380" s="19"/>
      <c r="S1380" s="19"/>
      <c r="T1380" s="19"/>
      <c r="U1380" s="19"/>
      <c r="V1380" s="19"/>
      <c r="W1380" s="19"/>
      <c r="X1380" s="19"/>
      <c r="Y1380" s="19"/>
      <c r="Z1380" s="19"/>
      <c r="AA1380" s="19"/>
      <c r="AB1380" s="19"/>
      <c r="FE1380" s="54"/>
    </row>
    <row r="1381" spans="1:161" s="18" customFormat="1">
      <c r="A1381" s="51"/>
      <c r="B1381" s="735"/>
      <c r="C1381" s="735"/>
      <c r="D1381" s="735"/>
      <c r="E1381" s="735"/>
      <c r="F1381" s="736"/>
      <c r="G1381" s="735"/>
      <c r="H1381" s="735"/>
      <c r="I1381" s="735"/>
      <c r="J1381" s="735"/>
      <c r="K1381" s="735"/>
      <c r="L1381" s="735"/>
      <c r="M1381" s="735"/>
      <c r="N1381" s="735"/>
      <c r="O1381" s="19"/>
      <c r="P1381" s="19"/>
      <c r="Q1381" s="19"/>
      <c r="R1381" s="19"/>
      <c r="S1381" s="19"/>
      <c r="T1381" s="19"/>
      <c r="U1381" s="19"/>
      <c r="V1381" s="19"/>
      <c r="W1381" s="19"/>
      <c r="X1381" s="19"/>
      <c r="Y1381" s="19"/>
      <c r="Z1381" s="19"/>
      <c r="AA1381" s="19"/>
      <c r="AB1381" s="19"/>
      <c r="FE1381" s="54"/>
    </row>
    <row r="1382" spans="1:161" s="18" customFormat="1">
      <c r="A1382" s="51"/>
      <c r="B1382" s="735"/>
      <c r="C1382" s="735"/>
      <c r="D1382" s="735"/>
      <c r="E1382" s="735"/>
      <c r="F1382" s="736"/>
      <c r="G1382" s="735"/>
      <c r="H1382" s="735"/>
      <c r="I1382" s="735"/>
      <c r="J1382" s="735"/>
      <c r="K1382" s="735"/>
      <c r="L1382" s="735"/>
      <c r="M1382" s="735"/>
      <c r="N1382" s="735"/>
      <c r="O1382" s="19"/>
      <c r="P1382" s="19"/>
      <c r="Q1382" s="19"/>
      <c r="R1382" s="19"/>
      <c r="S1382" s="19"/>
      <c r="T1382" s="19"/>
      <c r="U1382" s="19"/>
      <c r="V1382" s="19"/>
      <c r="W1382" s="19"/>
      <c r="X1382" s="19"/>
      <c r="Y1382" s="19"/>
      <c r="Z1382" s="19"/>
      <c r="AA1382" s="19"/>
      <c r="AB1382" s="19"/>
      <c r="FE1382" s="54"/>
    </row>
    <row r="1383" spans="1:161" s="18" customFormat="1">
      <c r="A1383" s="51"/>
      <c r="B1383" s="735"/>
      <c r="C1383" s="735"/>
      <c r="D1383" s="735"/>
      <c r="E1383" s="735"/>
      <c r="F1383" s="736"/>
      <c r="G1383" s="735"/>
      <c r="H1383" s="735"/>
      <c r="I1383" s="735"/>
      <c r="J1383" s="735"/>
      <c r="K1383" s="735"/>
      <c r="L1383" s="735"/>
      <c r="M1383" s="735"/>
      <c r="N1383" s="735"/>
      <c r="O1383" s="19"/>
      <c r="P1383" s="19"/>
      <c r="Q1383" s="19"/>
      <c r="R1383" s="19"/>
      <c r="S1383" s="19"/>
      <c r="T1383" s="19"/>
      <c r="U1383" s="19"/>
      <c r="V1383" s="19"/>
      <c r="W1383" s="19"/>
      <c r="X1383" s="19"/>
      <c r="Y1383" s="19"/>
      <c r="Z1383" s="19"/>
      <c r="AA1383" s="19"/>
      <c r="AB1383" s="19"/>
      <c r="FE1383" s="54"/>
    </row>
    <row r="1384" spans="1:161" s="18" customFormat="1">
      <c r="A1384" s="51"/>
      <c r="B1384" s="735"/>
      <c r="C1384" s="735"/>
      <c r="D1384" s="735"/>
      <c r="E1384" s="735"/>
      <c r="F1384" s="736"/>
      <c r="G1384" s="735"/>
      <c r="H1384" s="735"/>
      <c r="I1384" s="735"/>
      <c r="J1384" s="735"/>
      <c r="K1384" s="735"/>
      <c r="L1384" s="735"/>
      <c r="M1384" s="735"/>
      <c r="N1384" s="735"/>
      <c r="O1384" s="19"/>
      <c r="P1384" s="19"/>
      <c r="Q1384" s="19"/>
      <c r="R1384" s="19"/>
      <c r="S1384" s="19"/>
      <c r="T1384" s="19"/>
      <c r="U1384" s="19"/>
      <c r="V1384" s="19"/>
      <c r="W1384" s="19"/>
      <c r="X1384" s="19"/>
      <c r="Y1384" s="19"/>
      <c r="Z1384" s="19"/>
      <c r="AA1384" s="19"/>
      <c r="AB1384" s="19"/>
      <c r="FE1384" s="54"/>
    </row>
    <row r="1385" spans="1:161" s="18" customFormat="1">
      <c r="A1385" s="51"/>
      <c r="B1385" s="735"/>
      <c r="C1385" s="735"/>
      <c r="D1385" s="735"/>
      <c r="E1385" s="735"/>
      <c r="F1385" s="736"/>
      <c r="G1385" s="735"/>
      <c r="H1385" s="735"/>
      <c r="I1385" s="735"/>
      <c r="J1385" s="735"/>
      <c r="K1385" s="735"/>
      <c r="L1385" s="735"/>
      <c r="M1385" s="735"/>
      <c r="N1385" s="735"/>
      <c r="O1385" s="19"/>
      <c r="P1385" s="19"/>
      <c r="Q1385" s="19"/>
      <c r="R1385" s="19"/>
      <c r="S1385" s="19"/>
      <c r="T1385" s="19"/>
      <c r="U1385" s="19"/>
      <c r="V1385" s="19"/>
      <c r="W1385" s="19"/>
      <c r="X1385" s="19"/>
      <c r="Y1385" s="19"/>
      <c r="Z1385" s="19"/>
      <c r="AA1385" s="19"/>
      <c r="AB1385" s="19"/>
      <c r="FE1385" s="54"/>
    </row>
    <row r="1386" spans="1:161" s="18" customFormat="1">
      <c r="A1386" s="51"/>
      <c r="B1386" s="735"/>
      <c r="C1386" s="735"/>
      <c r="D1386" s="735"/>
      <c r="E1386" s="735"/>
      <c r="F1386" s="736"/>
      <c r="G1386" s="735"/>
      <c r="H1386" s="735"/>
      <c r="I1386" s="735"/>
      <c r="J1386" s="735"/>
      <c r="K1386" s="735"/>
      <c r="L1386" s="735"/>
      <c r="M1386" s="735"/>
      <c r="N1386" s="735"/>
      <c r="O1386" s="19"/>
      <c r="P1386" s="19"/>
      <c r="Q1386" s="19"/>
      <c r="R1386" s="19"/>
      <c r="S1386" s="19"/>
      <c r="T1386" s="19"/>
      <c r="U1386" s="19"/>
      <c r="V1386" s="19"/>
      <c r="W1386" s="19"/>
      <c r="X1386" s="19"/>
      <c r="Y1386" s="19"/>
      <c r="Z1386" s="19"/>
      <c r="AA1386" s="19"/>
      <c r="AB1386" s="19"/>
      <c r="FE1386" s="54"/>
    </row>
    <row r="1387" spans="1:161" s="18" customFormat="1">
      <c r="A1387" s="51"/>
      <c r="B1387" s="735"/>
      <c r="C1387" s="735"/>
      <c r="D1387" s="735"/>
      <c r="E1387" s="735"/>
      <c r="F1387" s="736"/>
      <c r="G1387" s="735"/>
      <c r="H1387" s="735"/>
      <c r="I1387" s="735"/>
      <c r="J1387" s="735"/>
      <c r="K1387" s="735"/>
      <c r="L1387" s="735"/>
      <c r="M1387" s="735"/>
      <c r="N1387" s="735"/>
      <c r="O1387" s="19"/>
      <c r="P1387" s="19"/>
      <c r="Q1387" s="19"/>
      <c r="R1387" s="19"/>
      <c r="S1387" s="19"/>
      <c r="T1387" s="19"/>
      <c r="U1387" s="19"/>
      <c r="V1387" s="19"/>
      <c r="W1387" s="19"/>
      <c r="X1387" s="19"/>
      <c r="Y1387" s="19"/>
      <c r="Z1387" s="19"/>
      <c r="AA1387" s="19"/>
      <c r="AB1387" s="19"/>
      <c r="FE1387" s="54"/>
    </row>
    <row r="1388" spans="1:161" s="18" customFormat="1">
      <c r="A1388" s="51"/>
      <c r="B1388" s="735"/>
      <c r="C1388" s="735"/>
      <c r="D1388" s="735"/>
      <c r="E1388" s="735"/>
      <c r="F1388" s="736"/>
      <c r="G1388" s="735"/>
      <c r="H1388" s="735"/>
      <c r="I1388" s="735"/>
      <c r="J1388" s="735"/>
      <c r="K1388" s="735"/>
      <c r="L1388" s="735"/>
      <c r="M1388" s="735"/>
      <c r="N1388" s="735"/>
      <c r="O1388" s="19"/>
      <c r="P1388" s="19"/>
      <c r="Q1388" s="19"/>
      <c r="R1388" s="19"/>
      <c r="S1388" s="19"/>
      <c r="T1388" s="19"/>
      <c r="U1388" s="19"/>
      <c r="V1388" s="19"/>
      <c r="W1388" s="19"/>
      <c r="X1388" s="19"/>
      <c r="Y1388" s="19"/>
      <c r="Z1388" s="19"/>
      <c r="AA1388" s="19"/>
      <c r="AB1388" s="19"/>
      <c r="FE1388" s="54"/>
    </row>
    <row r="1389" spans="1:161" s="18" customFormat="1">
      <c r="A1389" s="51"/>
      <c r="B1389" s="735"/>
      <c r="C1389" s="735"/>
      <c r="D1389" s="735"/>
      <c r="E1389" s="735"/>
      <c r="F1389" s="736"/>
      <c r="G1389" s="735"/>
      <c r="H1389" s="735"/>
      <c r="I1389" s="735"/>
      <c r="J1389" s="735"/>
      <c r="K1389" s="735"/>
      <c r="L1389" s="735"/>
      <c r="M1389" s="735"/>
      <c r="N1389" s="735"/>
      <c r="O1389" s="19"/>
      <c r="P1389" s="19"/>
      <c r="Q1389" s="19"/>
      <c r="R1389" s="19"/>
      <c r="S1389" s="19"/>
      <c r="T1389" s="19"/>
      <c r="U1389" s="19"/>
      <c r="V1389" s="19"/>
      <c r="W1389" s="19"/>
      <c r="X1389" s="19"/>
      <c r="Y1389" s="19"/>
      <c r="Z1389" s="19"/>
      <c r="AA1389" s="19"/>
      <c r="AB1389" s="19"/>
      <c r="FE1389" s="54"/>
    </row>
    <row r="1390" spans="1:161" s="18" customFormat="1">
      <c r="A1390" s="51"/>
      <c r="B1390" s="735"/>
      <c r="C1390" s="735"/>
      <c r="D1390" s="735"/>
      <c r="E1390" s="735"/>
      <c r="F1390" s="736"/>
      <c r="G1390" s="735"/>
      <c r="H1390" s="735"/>
      <c r="I1390" s="735"/>
      <c r="J1390" s="735"/>
      <c r="K1390" s="735"/>
      <c r="L1390" s="735"/>
      <c r="M1390" s="735"/>
      <c r="N1390" s="735"/>
      <c r="O1390" s="19"/>
      <c r="P1390" s="19"/>
      <c r="Q1390" s="19"/>
      <c r="R1390" s="19"/>
      <c r="S1390" s="19"/>
      <c r="T1390" s="19"/>
      <c r="U1390" s="19"/>
      <c r="V1390" s="19"/>
      <c r="W1390" s="19"/>
      <c r="X1390" s="19"/>
      <c r="Y1390" s="19"/>
      <c r="Z1390" s="19"/>
      <c r="AA1390" s="19"/>
      <c r="AB1390" s="19"/>
      <c r="FE1390" s="54"/>
    </row>
    <row r="1391" spans="1:161" s="18" customFormat="1">
      <c r="A1391" s="51"/>
      <c r="B1391" s="735"/>
      <c r="C1391" s="735"/>
      <c r="D1391" s="735"/>
      <c r="E1391" s="735"/>
      <c r="F1391" s="736"/>
      <c r="G1391" s="735"/>
      <c r="H1391" s="735"/>
      <c r="I1391" s="735"/>
      <c r="J1391" s="735"/>
      <c r="K1391" s="735"/>
      <c r="L1391" s="735"/>
      <c r="M1391" s="735"/>
      <c r="N1391" s="735"/>
      <c r="O1391" s="19"/>
      <c r="P1391" s="19"/>
      <c r="Q1391" s="19"/>
      <c r="R1391" s="19"/>
      <c r="S1391" s="19"/>
      <c r="T1391" s="19"/>
      <c r="U1391" s="19"/>
      <c r="V1391" s="19"/>
      <c r="W1391" s="19"/>
      <c r="X1391" s="19"/>
      <c r="Y1391" s="19"/>
      <c r="Z1391" s="19"/>
      <c r="AA1391" s="19"/>
      <c r="AB1391" s="19"/>
      <c r="FE1391" s="54"/>
    </row>
    <row r="1392" spans="1:161" s="18" customFormat="1">
      <c r="A1392" s="51"/>
      <c r="B1392" s="735"/>
      <c r="C1392" s="735"/>
      <c r="D1392" s="735"/>
      <c r="E1392" s="735"/>
      <c r="F1392" s="736"/>
      <c r="G1392" s="735"/>
      <c r="H1392" s="735"/>
      <c r="I1392" s="735"/>
      <c r="J1392" s="735"/>
      <c r="K1392" s="735"/>
      <c r="L1392" s="735"/>
      <c r="M1392" s="735"/>
      <c r="N1392" s="735"/>
      <c r="O1392" s="19"/>
      <c r="P1392" s="19"/>
      <c r="Q1392" s="19"/>
      <c r="R1392" s="19"/>
      <c r="S1392" s="19"/>
      <c r="T1392" s="19"/>
      <c r="U1392" s="19"/>
      <c r="V1392" s="19"/>
      <c r="W1392" s="19"/>
      <c r="X1392" s="19"/>
      <c r="Y1392" s="19"/>
      <c r="Z1392" s="19"/>
      <c r="AA1392" s="19"/>
      <c r="AB1392" s="19"/>
      <c r="FE1392" s="54"/>
    </row>
    <row r="1393" spans="1:161" s="18" customFormat="1">
      <c r="A1393" s="51"/>
      <c r="B1393" s="735"/>
      <c r="C1393" s="735"/>
      <c r="D1393" s="735"/>
      <c r="E1393" s="735"/>
      <c r="F1393" s="736"/>
      <c r="G1393" s="735"/>
      <c r="H1393" s="735"/>
      <c r="I1393" s="735"/>
      <c r="J1393" s="735"/>
      <c r="K1393" s="735"/>
      <c r="L1393" s="735"/>
      <c r="M1393" s="735"/>
      <c r="N1393" s="735"/>
      <c r="O1393" s="19"/>
      <c r="P1393" s="19"/>
      <c r="Q1393" s="19"/>
      <c r="R1393" s="19"/>
      <c r="S1393" s="19"/>
      <c r="T1393" s="19"/>
      <c r="U1393" s="19"/>
      <c r="V1393" s="19"/>
      <c r="W1393" s="19"/>
      <c r="X1393" s="19"/>
      <c r="Y1393" s="19"/>
      <c r="Z1393" s="19"/>
      <c r="AA1393" s="19"/>
      <c r="AB1393" s="19"/>
      <c r="FE1393" s="54"/>
    </row>
    <row r="1394" spans="1:161" s="18" customFormat="1">
      <c r="A1394" s="51"/>
      <c r="B1394" s="735"/>
      <c r="C1394" s="735"/>
      <c r="D1394" s="735"/>
      <c r="E1394" s="735"/>
      <c r="F1394" s="736"/>
      <c r="G1394" s="735"/>
      <c r="H1394" s="735"/>
      <c r="I1394" s="735"/>
      <c r="J1394" s="735"/>
      <c r="K1394" s="735"/>
      <c r="L1394" s="735"/>
      <c r="M1394" s="735"/>
      <c r="N1394" s="735"/>
      <c r="O1394" s="19"/>
      <c r="P1394" s="19"/>
      <c r="Q1394" s="19"/>
      <c r="R1394" s="19"/>
      <c r="S1394" s="19"/>
      <c r="T1394" s="19"/>
      <c r="U1394" s="19"/>
      <c r="V1394" s="19"/>
      <c r="W1394" s="19"/>
      <c r="X1394" s="19"/>
      <c r="Y1394" s="19"/>
      <c r="Z1394" s="19"/>
      <c r="AA1394" s="19"/>
      <c r="AB1394" s="19"/>
      <c r="FE1394" s="54"/>
    </row>
    <row r="1395" spans="1:161" s="18" customFormat="1">
      <c r="A1395" s="51"/>
      <c r="B1395" s="735"/>
      <c r="C1395" s="735"/>
      <c r="D1395" s="735"/>
      <c r="E1395" s="735"/>
      <c r="F1395" s="736"/>
      <c r="G1395" s="735"/>
      <c r="H1395" s="735"/>
      <c r="I1395" s="735"/>
      <c r="J1395" s="735"/>
      <c r="K1395" s="735"/>
      <c r="L1395" s="735"/>
      <c r="M1395" s="735"/>
      <c r="N1395" s="735"/>
      <c r="O1395" s="19"/>
      <c r="P1395" s="19"/>
      <c r="Q1395" s="19"/>
      <c r="R1395" s="19"/>
      <c r="S1395" s="19"/>
      <c r="T1395" s="19"/>
      <c r="U1395" s="19"/>
      <c r="V1395" s="19"/>
      <c r="W1395" s="19"/>
      <c r="X1395" s="19"/>
      <c r="Y1395" s="19"/>
      <c r="Z1395" s="19"/>
      <c r="AA1395" s="19"/>
      <c r="AB1395" s="19"/>
      <c r="FE1395" s="54"/>
    </row>
    <row r="1396" spans="1:161" s="18" customFormat="1">
      <c r="A1396" s="51"/>
      <c r="B1396" s="735"/>
      <c r="C1396" s="735"/>
      <c r="D1396" s="735"/>
      <c r="E1396" s="735"/>
      <c r="F1396" s="736"/>
      <c r="G1396" s="735"/>
      <c r="H1396" s="735"/>
      <c r="I1396" s="735"/>
      <c r="J1396" s="735"/>
      <c r="K1396" s="735"/>
      <c r="L1396" s="735"/>
      <c r="M1396" s="735"/>
      <c r="N1396" s="735"/>
      <c r="O1396" s="19"/>
      <c r="P1396" s="19"/>
      <c r="Q1396" s="19"/>
      <c r="R1396" s="19"/>
      <c r="S1396" s="19"/>
      <c r="T1396" s="19"/>
      <c r="U1396" s="19"/>
      <c r="V1396" s="19"/>
      <c r="W1396" s="19"/>
      <c r="X1396" s="19"/>
      <c r="Y1396" s="19"/>
      <c r="Z1396" s="19"/>
      <c r="AA1396" s="19"/>
      <c r="AB1396" s="19"/>
      <c r="FE1396" s="54"/>
    </row>
    <row r="1397" spans="1:161" s="18" customFormat="1">
      <c r="A1397" s="51"/>
      <c r="B1397" s="735"/>
      <c r="C1397" s="735"/>
      <c r="D1397" s="735"/>
      <c r="E1397" s="735"/>
      <c r="F1397" s="736"/>
      <c r="G1397" s="735"/>
      <c r="H1397" s="735"/>
      <c r="I1397" s="735"/>
      <c r="J1397" s="735"/>
      <c r="K1397" s="735"/>
      <c r="L1397" s="735"/>
      <c r="M1397" s="735"/>
      <c r="N1397" s="735"/>
      <c r="O1397" s="19"/>
      <c r="P1397" s="19"/>
      <c r="Q1397" s="19"/>
      <c r="R1397" s="19"/>
      <c r="S1397" s="19"/>
      <c r="T1397" s="19"/>
      <c r="U1397" s="19"/>
      <c r="V1397" s="19"/>
      <c r="W1397" s="19"/>
      <c r="X1397" s="19"/>
      <c r="Y1397" s="19"/>
      <c r="Z1397" s="19"/>
      <c r="AA1397" s="19"/>
      <c r="AB1397" s="19"/>
      <c r="FE1397" s="54"/>
    </row>
    <row r="1398" spans="1:161" s="18" customFormat="1">
      <c r="A1398" s="51"/>
      <c r="B1398" s="735"/>
      <c r="C1398" s="735"/>
      <c r="D1398" s="735"/>
      <c r="E1398" s="735"/>
      <c r="F1398" s="736"/>
      <c r="G1398" s="735"/>
      <c r="H1398" s="735"/>
      <c r="I1398" s="735"/>
      <c r="J1398" s="735"/>
      <c r="K1398" s="735"/>
      <c r="L1398" s="735"/>
      <c r="M1398" s="735"/>
      <c r="N1398" s="735"/>
      <c r="O1398" s="19"/>
      <c r="P1398" s="19"/>
      <c r="Q1398" s="19"/>
      <c r="R1398" s="19"/>
      <c r="S1398" s="19"/>
      <c r="T1398" s="19"/>
      <c r="U1398" s="19"/>
      <c r="V1398" s="19"/>
      <c r="W1398" s="19"/>
      <c r="X1398" s="19"/>
      <c r="Y1398" s="19"/>
      <c r="Z1398" s="19"/>
      <c r="AA1398" s="19"/>
      <c r="AB1398" s="19"/>
      <c r="FE1398" s="54"/>
    </row>
    <row r="1399" spans="1:161" s="18" customFormat="1">
      <c r="A1399" s="51"/>
      <c r="B1399" s="735"/>
      <c r="C1399" s="735"/>
      <c r="D1399" s="735"/>
      <c r="E1399" s="735"/>
      <c r="F1399" s="736"/>
      <c r="G1399" s="735"/>
      <c r="H1399" s="735"/>
      <c r="I1399" s="735"/>
      <c r="J1399" s="735"/>
      <c r="K1399" s="735"/>
      <c r="L1399" s="735"/>
      <c r="M1399" s="735"/>
      <c r="N1399" s="735"/>
      <c r="O1399" s="19"/>
      <c r="P1399" s="19"/>
      <c r="Q1399" s="19"/>
      <c r="R1399" s="19"/>
      <c r="S1399" s="19"/>
      <c r="T1399" s="19"/>
      <c r="U1399" s="19"/>
      <c r="V1399" s="19"/>
      <c r="W1399" s="19"/>
      <c r="X1399" s="19"/>
      <c r="Y1399" s="19"/>
      <c r="Z1399" s="19"/>
      <c r="AA1399" s="19"/>
      <c r="AB1399" s="19"/>
      <c r="FE1399" s="54"/>
    </row>
    <row r="1400" spans="1:161" s="18" customFormat="1">
      <c r="A1400" s="51"/>
      <c r="B1400" s="735"/>
      <c r="C1400" s="735"/>
      <c r="D1400" s="735"/>
      <c r="E1400" s="735"/>
      <c r="F1400" s="736"/>
      <c r="G1400" s="735"/>
      <c r="H1400" s="735"/>
      <c r="I1400" s="735"/>
      <c r="J1400" s="735"/>
      <c r="K1400" s="735"/>
      <c r="L1400" s="735"/>
      <c r="M1400" s="735"/>
      <c r="N1400" s="735"/>
      <c r="O1400" s="19"/>
      <c r="P1400" s="19"/>
      <c r="Q1400" s="19"/>
      <c r="R1400" s="19"/>
      <c r="S1400" s="19"/>
      <c r="T1400" s="19"/>
      <c r="U1400" s="19"/>
      <c r="V1400" s="19"/>
      <c r="W1400" s="19"/>
      <c r="X1400" s="19"/>
      <c r="Y1400" s="19"/>
      <c r="Z1400" s="19"/>
      <c r="AA1400" s="19"/>
      <c r="AB1400" s="19"/>
      <c r="FE1400" s="54"/>
    </row>
    <row r="1401" spans="1:161" s="18" customFormat="1">
      <c r="A1401" s="51"/>
      <c r="B1401" s="735"/>
      <c r="C1401" s="735"/>
      <c r="D1401" s="735"/>
      <c r="E1401" s="735"/>
      <c r="F1401" s="736"/>
      <c r="G1401" s="735"/>
      <c r="H1401" s="735"/>
      <c r="I1401" s="735"/>
      <c r="J1401" s="735"/>
      <c r="K1401" s="735"/>
      <c r="L1401" s="735"/>
      <c r="M1401" s="735"/>
      <c r="N1401" s="735"/>
      <c r="O1401" s="19"/>
      <c r="P1401" s="19"/>
      <c r="Q1401" s="19"/>
      <c r="R1401" s="19"/>
      <c r="S1401" s="19"/>
      <c r="T1401" s="19"/>
      <c r="U1401" s="19"/>
      <c r="V1401" s="19"/>
      <c r="W1401" s="19"/>
      <c r="X1401" s="19"/>
      <c r="Y1401" s="19"/>
      <c r="Z1401" s="19"/>
      <c r="AA1401" s="19"/>
      <c r="AB1401" s="19"/>
      <c r="FE1401" s="54"/>
    </row>
    <row r="1402" spans="1:161" s="18" customFormat="1">
      <c r="A1402" s="51"/>
      <c r="B1402" s="735"/>
      <c r="C1402" s="735"/>
      <c r="D1402" s="735"/>
      <c r="E1402" s="735"/>
      <c r="F1402" s="736"/>
      <c r="G1402" s="735"/>
      <c r="H1402" s="735"/>
      <c r="I1402" s="735"/>
      <c r="J1402" s="735"/>
      <c r="K1402" s="735"/>
      <c r="L1402" s="735"/>
      <c r="M1402" s="735"/>
      <c r="N1402" s="735"/>
      <c r="O1402" s="19"/>
      <c r="P1402" s="19"/>
      <c r="Q1402" s="19"/>
      <c r="R1402" s="19"/>
      <c r="S1402" s="19"/>
      <c r="T1402" s="19"/>
      <c r="U1402" s="19"/>
      <c r="V1402" s="19"/>
      <c r="W1402" s="19"/>
      <c r="X1402" s="19"/>
      <c r="Y1402" s="19"/>
      <c r="Z1402" s="19"/>
      <c r="AA1402" s="19"/>
      <c r="AB1402" s="19"/>
      <c r="FE1402" s="54"/>
    </row>
    <row r="1403" spans="1:161" s="18" customFormat="1">
      <c r="A1403" s="51"/>
      <c r="B1403" s="735"/>
      <c r="C1403" s="735"/>
      <c r="D1403" s="735"/>
      <c r="E1403" s="735"/>
      <c r="F1403" s="736"/>
      <c r="G1403" s="735"/>
      <c r="H1403" s="735"/>
      <c r="I1403" s="735"/>
      <c r="J1403" s="735"/>
      <c r="K1403" s="735"/>
      <c r="L1403" s="735"/>
      <c r="M1403" s="735"/>
      <c r="N1403" s="735"/>
      <c r="O1403" s="19"/>
      <c r="P1403" s="19"/>
      <c r="Q1403" s="19"/>
      <c r="R1403" s="19"/>
      <c r="S1403" s="19"/>
      <c r="T1403" s="19"/>
      <c r="U1403" s="19"/>
      <c r="V1403" s="19"/>
      <c r="W1403" s="19"/>
      <c r="X1403" s="19"/>
      <c r="Y1403" s="19"/>
      <c r="Z1403" s="19"/>
      <c r="AA1403" s="19"/>
      <c r="AB1403" s="19"/>
      <c r="FE1403" s="54"/>
    </row>
    <row r="1404" spans="1:161" s="18" customFormat="1">
      <c r="A1404" s="51"/>
      <c r="B1404" s="735"/>
      <c r="C1404" s="735"/>
      <c r="D1404" s="735"/>
      <c r="E1404" s="735"/>
      <c r="F1404" s="736"/>
      <c r="G1404" s="735"/>
      <c r="H1404" s="735"/>
      <c r="I1404" s="735"/>
      <c r="J1404" s="735"/>
      <c r="K1404" s="735"/>
      <c r="L1404" s="735"/>
      <c r="M1404" s="735"/>
      <c r="N1404" s="735"/>
      <c r="O1404" s="19"/>
      <c r="P1404" s="19"/>
      <c r="Q1404" s="19"/>
      <c r="R1404" s="19"/>
      <c r="S1404" s="19"/>
      <c r="T1404" s="19"/>
      <c r="U1404" s="19"/>
      <c r="V1404" s="19"/>
      <c r="W1404" s="19"/>
      <c r="X1404" s="19"/>
      <c r="Y1404" s="19"/>
      <c r="Z1404" s="19"/>
      <c r="AA1404" s="19"/>
      <c r="AB1404" s="19"/>
      <c r="FE1404" s="54"/>
    </row>
    <row r="1405" spans="1:161" s="18" customFormat="1">
      <c r="A1405" s="51"/>
      <c r="B1405" s="735"/>
      <c r="C1405" s="735"/>
      <c r="D1405" s="735"/>
      <c r="E1405" s="735"/>
      <c r="F1405" s="736"/>
      <c r="G1405" s="735"/>
      <c r="H1405" s="735"/>
      <c r="I1405" s="735"/>
      <c r="J1405" s="735"/>
      <c r="K1405" s="735"/>
      <c r="L1405" s="735"/>
      <c r="M1405" s="735"/>
      <c r="N1405" s="735"/>
      <c r="O1405" s="19"/>
      <c r="P1405" s="19"/>
      <c r="Q1405" s="19"/>
      <c r="R1405" s="19"/>
      <c r="S1405" s="19"/>
      <c r="T1405" s="19"/>
      <c r="U1405" s="19"/>
      <c r="V1405" s="19"/>
      <c r="W1405" s="19"/>
      <c r="X1405" s="19"/>
      <c r="Y1405" s="19"/>
      <c r="Z1405" s="19"/>
      <c r="AA1405" s="19"/>
      <c r="AB1405" s="19"/>
      <c r="FE1405" s="54"/>
    </row>
    <row r="1406" spans="1:161" s="18" customFormat="1">
      <c r="A1406" s="51"/>
      <c r="B1406" s="735"/>
      <c r="C1406" s="735"/>
      <c r="D1406" s="735"/>
      <c r="E1406" s="735"/>
      <c r="F1406" s="736"/>
      <c r="G1406" s="735"/>
      <c r="H1406" s="735"/>
      <c r="I1406" s="735"/>
      <c r="J1406" s="735"/>
      <c r="K1406" s="735"/>
      <c r="L1406" s="735"/>
      <c r="M1406" s="735"/>
      <c r="N1406" s="735"/>
      <c r="O1406" s="19"/>
      <c r="P1406" s="19"/>
      <c r="Q1406" s="19"/>
      <c r="R1406" s="19"/>
      <c r="S1406" s="19"/>
      <c r="T1406" s="19"/>
      <c r="U1406" s="19"/>
      <c r="V1406" s="19"/>
      <c r="W1406" s="19"/>
      <c r="X1406" s="19"/>
      <c r="Y1406" s="19"/>
      <c r="Z1406" s="19"/>
      <c r="AA1406" s="19"/>
      <c r="AB1406" s="19"/>
      <c r="FE1406" s="54"/>
    </row>
    <row r="1407" spans="1:161" s="18" customFormat="1">
      <c r="A1407" s="51"/>
      <c r="B1407" s="735"/>
      <c r="C1407" s="735"/>
      <c r="D1407" s="735"/>
      <c r="E1407" s="735"/>
      <c r="F1407" s="736"/>
      <c r="G1407" s="735"/>
      <c r="H1407" s="735"/>
      <c r="I1407" s="735"/>
      <c r="J1407" s="735"/>
      <c r="K1407" s="735"/>
      <c r="L1407" s="735"/>
      <c r="M1407" s="735"/>
      <c r="N1407" s="735"/>
      <c r="O1407" s="19"/>
      <c r="P1407" s="19"/>
      <c r="Q1407" s="19"/>
      <c r="R1407" s="19"/>
      <c r="S1407" s="19"/>
      <c r="T1407" s="19"/>
      <c r="U1407" s="19"/>
      <c r="V1407" s="19"/>
      <c r="W1407" s="19"/>
      <c r="X1407" s="19"/>
      <c r="Y1407" s="19"/>
      <c r="Z1407" s="19"/>
      <c r="AA1407" s="19"/>
      <c r="AB1407" s="19"/>
      <c r="FE1407" s="54"/>
    </row>
    <row r="1408" spans="1:161" s="18" customFormat="1">
      <c r="A1408" s="51"/>
      <c r="B1408" s="735"/>
      <c r="C1408" s="735"/>
      <c r="D1408" s="735"/>
      <c r="E1408" s="735"/>
      <c r="F1408" s="736"/>
      <c r="G1408" s="735"/>
      <c r="H1408" s="735"/>
      <c r="I1408" s="735"/>
      <c r="J1408" s="735"/>
      <c r="K1408" s="735"/>
      <c r="L1408" s="735"/>
      <c r="M1408" s="735"/>
      <c r="N1408" s="735"/>
      <c r="O1408" s="19"/>
      <c r="P1408" s="19"/>
      <c r="Q1408" s="19"/>
      <c r="R1408" s="19"/>
      <c r="S1408" s="19"/>
      <c r="T1408" s="19"/>
      <c r="U1408" s="19"/>
      <c r="V1408" s="19"/>
      <c r="W1408" s="19"/>
      <c r="X1408" s="19"/>
      <c r="Y1408" s="19"/>
      <c r="Z1408" s="19"/>
      <c r="AA1408" s="19"/>
      <c r="AB1408" s="19"/>
      <c r="FE1408" s="54"/>
    </row>
    <row r="1409" spans="1:161" s="18" customFormat="1">
      <c r="A1409" s="51"/>
      <c r="B1409" s="735"/>
      <c r="C1409" s="735"/>
      <c r="D1409" s="735"/>
      <c r="E1409" s="735"/>
      <c r="F1409" s="736"/>
      <c r="G1409" s="735"/>
      <c r="H1409" s="735"/>
      <c r="I1409" s="735"/>
      <c r="J1409" s="735"/>
      <c r="K1409" s="735"/>
      <c r="L1409" s="735"/>
      <c r="M1409" s="735"/>
      <c r="N1409" s="735"/>
      <c r="O1409" s="19"/>
      <c r="P1409" s="19"/>
      <c r="Q1409" s="19"/>
      <c r="R1409" s="19"/>
      <c r="S1409" s="19"/>
      <c r="T1409" s="19"/>
      <c r="U1409" s="19"/>
      <c r="V1409" s="19"/>
      <c r="W1409" s="19"/>
      <c r="X1409" s="19"/>
      <c r="Y1409" s="19"/>
      <c r="Z1409" s="19"/>
      <c r="AA1409" s="19"/>
      <c r="AB1409" s="19"/>
      <c r="FE1409" s="54"/>
    </row>
    <row r="1410" spans="1:161" s="18" customFormat="1">
      <c r="A1410" s="51"/>
      <c r="B1410" s="735"/>
      <c r="C1410" s="735"/>
      <c r="D1410" s="735"/>
      <c r="E1410" s="735"/>
      <c r="F1410" s="736"/>
      <c r="G1410" s="735"/>
      <c r="H1410" s="735"/>
      <c r="I1410" s="735"/>
      <c r="J1410" s="735"/>
      <c r="K1410" s="735"/>
      <c r="L1410" s="735"/>
      <c r="M1410" s="735"/>
      <c r="N1410" s="735"/>
      <c r="O1410" s="19"/>
      <c r="P1410" s="19"/>
      <c r="Q1410" s="19"/>
      <c r="R1410" s="19"/>
      <c r="S1410" s="19"/>
      <c r="T1410" s="19"/>
      <c r="U1410" s="19"/>
      <c r="V1410" s="19"/>
      <c r="W1410" s="19"/>
      <c r="X1410" s="19"/>
      <c r="Y1410" s="19"/>
      <c r="Z1410" s="19"/>
      <c r="AA1410" s="19"/>
      <c r="AB1410" s="19"/>
      <c r="FE1410" s="54"/>
    </row>
    <row r="1411" spans="1:161" s="18" customFormat="1">
      <c r="A1411" s="51"/>
      <c r="B1411" s="735"/>
      <c r="C1411" s="735"/>
      <c r="D1411" s="735"/>
      <c r="E1411" s="735"/>
      <c r="F1411" s="736"/>
      <c r="G1411" s="735"/>
      <c r="H1411" s="735"/>
      <c r="I1411" s="735"/>
      <c r="J1411" s="735"/>
      <c r="K1411" s="735"/>
      <c r="L1411" s="735"/>
      <c r="M1411" s="735"/>
      <c r="N1411" s="735"/>
      <c r="O1411" s="19"/>
      <c r="P1411" s="19"/>
      <c r="Q1411" s="19"/>
      <c r="R1411" s="19"/>
      <c r="S1411" s="19"/>
      <c r="T1411" s="19"/>
      <c r="U1411" s="19"/>
      <c r="V1411" s="19"/>
      <c r="W1411" s="19"/>
      <c r="X1411" s="19"/>
      <c r="Y1411" s="19"/>
      <c r="Z1411" s="19"/>
      <c r="AA1411" s="19"/>
      <c r="AB1411" s="19"/>
      <c r="FE1411" s="54"/>
    </row>
    <row r="1412" spans="1:161" s="18" customFormat="1">
      <c r="A1412" s="51"/>
      <c r="B1412" s="735"/>
      <c r="C1412" s="735"/>
      <c r="D1412" s="735"/>
      <c r="E1412" s="735"/>
      <c r="F1412" s="736"/>
      <c r="G1412" s="735"/>
      <c r="H1412" s="735"/>
      <c r="I1412" s="735"/>
      <c r="J1412" s="735"/>
      <c r="K1412" s="735"/>
      <c r="L1412" s="735"/>
      <c r="M1412" s="735"/>
      <c r="N1412" s="735"/>
      <c r="O1412" s="19"/>
      <c r="P1412" s="19"/>
      <c r="Q1412" s="19"/>
      <c r="R1412" s="19"/>
      <c r="S1412" s="19"/>
      <c r="T1412" s="19"/>
      <c r="U1412" s="19"/>
      <c r="V1412" s="19"/>
      <c r="W1412" s="19"/>
      <c r="X1412" s="19"/>
      <c r="Y1412" s="19"/>
      <c r="Z1412" s="19"/>
      <c r="AA1412" s="19"/>
      <c r="AB1412" s="19"/>
      <c r="FE1412" s="54"/>
    </row>
    <row r="1413" spans="1:161" s="18" customFormat="1">
      <c r="A1413" s="51"/>
      <c r="B1413" s="735"/>
      <c r="C1413" s="735"/>
      <c r="D1413" s="735"/>
      <c r="E1413" s="735"/>
      <c r="F1413" s="736"/>
      <c r="G1413" s="735"/>
      <c r="H1413" s="735"/>
      <c r="I1413" s="735"/>
      <c r="J1413" s="735"/>
      <c r="K1413" s="735"/>
      <c r="L1413" s="735"/>
      <c r="M1413" s="735"/>
      <c r="N1413" s="735"/>
      <c r="O1413" s="19"/>
      <c r="P1413" s="19"/>
      <c r="Q1413" s="19"/>
      <c r="R1413" s="19"/>
      <c r="S1413" s="19"/>
      <c r="T1413" s="19"/>
      <c r="U1413" s="19"/>
      <c r="V1413" s="19"/>
      <c r="W1413" s="19"/>
      <c r="X1413" s="19"/>
      <c r="Y1413" s="19"/>
      <c r="Z1413" s="19"/>
      <c r="AA1413" s="19"/>
      <c r="AB1413" s="19"/>
      <c r="FE1413" s="54"/>
    </row>
    <row r="1414" spans="1:161" s="18" customFormat="1">
      <c r="A1414" s="51"/>
      <c r="B1414" s="735"/>
      <c r="C1414" s="735"/>
      <c r="D1414" s="735"/>
      <c r="E1414" s="735"/>
      <c r="F1414" s="736"/>
      <c r="G1414" s="735"/>
      <c r="H1414" s="735"/>
      <c r="I1414" s="735"/>
      <c r="J1414" s="735"/>
      <c r="K1414" s="735"/>
      <c r="L1414" s="735"/>
      <c r="M1414" s="735"/>
      <c r="N1414" s="735"/>
      <c r="O1414" s="19"/>
      <c r="P1414" s="19"/>
      <c r="Q1414" s="19"/>
      <c r="R1414" s="19"/>
      <c r="S1414" s="19"/>
      <c r="T1414" s="19"/>
      <c r="U1414" s="19"/>
      <c r="V1414" s="19"/>
      <c r="W1414" s="19"/>
      <c r="X1414" s="19"/>
      <c r="Y1414" s="19"/>
      <c r="Z1414" s="19"/>
      <c r="AA1414" s="19"/>
      <c r="AB1414" s="19"/>
      <c r="FE1414" s="54"/>
    </row>
    <row r="1415" spans="1:161" s="18" customFormat="1">
      <c r="A1415" s="51"/>
      <c r="B1415" s="735"/>
      <c r="C1415" s="735"/>
      <c r="D1415" s="735"/>
      <c r="E1415" s="735"/>
      <c r="F1415" s="736"/>
      <c r="G1415" s="735"/>
      <c r="H1415" s="735"/>
      <c r="I1415" s="735"/>
      <c r="J1415" s="735"/>
      <c r="K1415" s="735"/>
      <c r="L1415" s="735"/>
      <c r="M1415" s="735"/>
      <c r="N1415" s="735"/>
      <c r="O1415" s="19"/>
      <c r="P1415" s="19"/>
      <c r="Q1415" s="19"/>
      <c r="R1415" s="19"/>
      <c r="S1415" s="19"/>
      <c r="T1415" s="19"/>
      <c r="U1415" s="19"/>
      <c r="V1415" s="19"/>
      <c r="W1415" s="19"/>
      <c r="X1415" s="19"/>
      <c r="Y1415" s="19"/>
      <c r="Z1415" s="19"/>
      <c r="AA1415" s="19"/>
      <c r="AB1415" s="19"/>
      <c r="FE1415" s="54"/>
    </row>
    <row r="1416" spans="1:161" s="18" customFormat="1">
      <c r="A1416" s="51"/>
      <c r="B1416" s="735"/>
      <c r="C1416" s="735"/>
      <c r="D1416" s="735"/>
      <c r="E1416" s="735"/>
      <c r="F1416" s="736"/>
      <c r="G1416" s="735"/>
      <c r="H1416" s="735"/>
      <c r="I1416" s="735"/>
      <c r="J1416" s="735"/>
      <c r="K1416" s="735"/>
      <c r="L1416" s="735"/>
      <c r="M1416" s="735"/>
      <c r="N1416" s="735"/>
      <c r="O1416" s="19"/>
      <c r="P1416" s="19"/>
      <c r="Q1416" s="19"/>
      <c r="R1416" s="19"/>
      <c r="S1416" s="19"/>
      <c r="T1416" s="19"/>
      <c r="U1416" s="19"/>
      <c r="V1416" s="19"/>
      <c r="W1416" s="19"/>
      <c r="X1416" s="19"/>
      <c r="Y1416" s="19"/>
      <c r="Z1416" s="19"/>
      <c r="AA1416" s="19"/>
      <c r="AB1416" s="19"/>
      <c r="FE1416" s="54"/>
    </row>
    <row r="1417" spans="1:161" s="18" customFormat="1">
      <c r="A1417" s="51"/>
      <c r="B1417" s="735"/>
      <c r="C1417" s="735"/>
      <c r="D1417" s="735"/>
      <c r="E1417" s="735"/>
      <c r="F1417" s="736"/>
      <c r="G1417" s="735"/>
      <c r="H1417" s="735"/>
      <c r="I1417" s="735"/>
      <c r="J1417" s="735"/>
      <c r="K1417" s="735"/>
      <c r="L1417" s="735"/>
      <c r="M1417" s="735"/>
      <c r="N1417" s="735"/>
      <c r="O1417" s="19"/>
      <c r="P1417" s="19"/>
      <c r="Q1417" s="19"/>
      <c r="R1417" s="19"/>
      <c r="S1417" s="19"/>
      <c r="T1417" s="19"/>
      <c r="U1417" s="19"/>
      <c r="V1417" s="19"/>
      <c r="W1417" s="19"/>
      <c r="X1417" s="19"/>
      <c r="Y1417" s="19"/>
      <c r="Z1417" s="19"/>
      <c r="AA1417" s="19"/>
      <c r="AB1417" s="19"/>
      <c r="FE1417" s="54"/>
    </row>
    <row r="1418" spans="1:161" s="18" customFormat="1">
      <c r="A1418" s="51"/>
      <c r="B1418" s="735"/>
      <c r="C1418" s="735"/>
      <c r="D1418" s="735"/>
      <c r="E1418" s="735"/>
      <c r="F1418" s="736"/>
      <c r="G1418" s="735"/>
      <c r="H1418" s="735"/>
      <c r="I1418" s="735"/>
      <c r="J1418" s="735"/>
      <c r="K1418" s="735"/>
      <c r="L1418" s="735"/>
      <c r="M1418" s="735"/>
      <c r="N1418" s="735"/>
      <c r="O1418" s="19"/>
      <c r="P1418" s="19"/>
      <c r="Q1418" s="19"/>
      <c r="R1418" s="19"/>
      <c r="S1418" s="19"/>
      <c r="T1418" s="19"/>
      <c r="U1418" s="19"/>
      <c r="V1418" s="19"/>
      <c r="W1418" s="19"/>
      <c r="X1418" s="19"/>
      <c r="Y1418" s="19"/>
      <c r="Z1418" s="19"/>
      <c r="AA1418" s="19"/>
      <c r="AB1418" s="19"/>
      <c r="FE1418" s="54"/>
    </row>
    <row r="1419" spans="1:161" s="18" customFormat="1">
      <c r="A1419" s="51"/>
      <c r="B1419" s="735"/>
      <c r="C1419" s="735"/>
      <c r="D1419" s="735"/>
      <c r="E1419" s="735"/>
      <c r="F1419" s="736"/>
      <c r="G1419" s="735"/>
      <c r="H1419" s="735"/>
      <c r="I1419" s="735"/>
      <c r="J1419" s="735"/>
      <c r="K1419" s="735"/>
      <c r="L1419" s="735"/>
      <c r="M1419" s="735"/>
      <c r="N1419" s="735"/>
      <c r="O1419" s="19"/>
      <c r="P1419" s="19"/>
      <c r="Q1419" s="19"/>
      <c r="R1419" s="19"/>
      <c r="S1419" s="19"/>
      <c r="T1419" s="19"/>
      <c r="U1419" s="19"/>
      <c r="V1419" s="19"/>
      <c r="W1419" s="19"/>
      <c r="X1419" s="19"/>
      <c r="Y1419" s="19"/>
      <c r="Z1419" s="19"/>
      <c r="AA1419" s="19"/>
      <c r="AB1419" s="19"/>
      <c r="FE1419" s="54"/>
    </row>
    <row r="1420" spans="1:161" s="18" customFormat="1">
      <c r="A1420" s="51"/>
      <c r="B1420" s="735"/>
      <c r="C1420" s="735"/>
      <c r="D1420" s="735"/>
      <c r="E1420" s="735"/>
      <c r="F1420" s="736"/>
      <c r="G1420" s="735"/>
      <c r="H1420" s="735"/>
      <c r="I1420" s="735"/>
      <c r="J1420" s="735"/>
      <c r="K1420" s="735"/>
      <c r="L1420" s="735"/>
      <c r="M1420" s="735"/>
      <c r="N1420" s="735"/>
      <c r="O1420" s="19"/>
      <c r="P1420" s="19"/>
      <c r="Q1420" s="19"/>
      <c r="R1420" s="19"/>
      <c r="S1420" s="19"/>
      <c r="T1420" s="19"/>
      <c r="U1420" s="19"/>
      <c r="V1420" s="19"/>
      <c r="W1420" s="19"/>
      <c r="X1420" s="19"/>
      <c r="Y1420" s="19"/>
      <c r="Z1420" s="19"/>
      <c r="AA1420" s="19"/>
      <c r="AB1420" s="19"/>
      <c r="FE1420" s="54"/>
    </row>
    <row r="1421" spans="1:161" s="18" customFormat="1">
      <c r="A1421" s="51"/>
      <c r="B1421" s="735"/>
      <c r="C1421" s="735"/>
      <c r="D1421" s="735"/>
      <c r="E1421" s="735"/>
      <c r="F1421" s="736"/>
      <c r="G1421" s="735"/>
      <c r="H1421" s="735"/>
      <c r="I1421" s="735"/>
      <c r="J1421" s="735"/>
      <c r="K1421" s="735"/>
      <c r="L1421" s="735"/>
      <c r="M1421" s="735"/>
      <c r="N1421" s="735"/>
      <c r="O1421" s="19"/>
      <c r="P1421" s="19"/>
      <c r="Q1421" s="19"/>
      <c r="R1421" s="19"/>
      <c r="S1421" s="19"/>
      <c r="T1421" s="19"/>
      <c r="U1421" s="19"/>
      <c r="V1421" s="19"/>
      <c r="W1421" s="19"/>
      <c r="X1421" s="19"/>
      <c r="Y1421" s="19"/>
      <c r="Z1421" s="19"/>
      <c r="AA1421" s="19"/>
      <c r="AB1421" s="19"/>
      <c r="FE1421" s="54"/>
    </row>
    <row r="1422" spans="1:161" s="18" customFormat="1">
      <c r="A1422" s="51"/>
      <c r="B1422" s="735"/>
      <c r="C1422" s="735"/>
      <c r="D1422" s="735"/>
      <c r="E1422" s="735"/>
      <c r="F1422" s="736"/>
      <c r="G1422" s="735"/>
      <c r="H1422" s="735"/>
      <c r="I1422" s="735"/>
      <c r="J1422" s="735"/>
      <c r="K1422" s="735"/>
      <c r="L1422" s="735"/>
      <c r="M1422" s="735"/>
      <c r="N1422" s="735"/>
      <c r="O1422" s="19"/>
      <c r="P1422" s="19"/>
      <c r="Q1422" s="19"/>
      <c r="R1422" s="19"/>
      <c r="S1422" s="19"/>
      <c r="T1422" s="19"/>
      <c r="U1422" s="19"/>
      <c r="V1422" s="19"/>
      <c r="W1422" s="19"/>
      <c r="X1422" s="19"/>
      <c r="Y1422" s="19"/>
      <c r="Z1422" s="19"/>
      <c r="AA1422" s="19"/>
      <c r="AB1422" s="19"/>
      <c r="FE1422" s="54"/>
    </row>
    <row r="1423" spans="1:161" s="18" customFormat="1">
      <c r="A1423" s="51"/>
      <c r="B1423" s="735"/>
      <c r="C1423" s="735"/>
      <c r="D1423" s="735"/>
      <c r="E1423" s="735"/>
      <c r="F1423" s="736"/>
      <c r="G1423" s="735"/>
      <c r="H1423" s="735"/>
      <c r="I1423" s="735"/>
      <c r="J1423" s="735"/>
      <c r="K1423" s="735"/>
      <c r="L1423" s="735"/>
      <c r="M1423" s="735"/>
      <c r="N1423" s="735"/>
      <c r="O1423" s="19"/>
      <c r="P1423" s="19"/>
      <c r="Q1423" s="19"/>
      <c r="R1423" s="19"/>
      <c r="S1423" s="19"/>
      <c r="T1423" s="19"/>
      <c r="U1423" s="19"/>
      <c r="V1423" s="19"/>
      <c r="W1423" s="19"/>
      <c r="X1423" s="19"/>
      <c r="Y1423" s="19"/>
      <c r="Z1423" s="19"/>
      <c r="AA1423" s="19"/>
      <c r="AB1423" s="19"/>
      <c r="FE1423" s="54"/>
    </row>
    <row r="1424" spans="1:161" s="18" customFormat="1">
      <c r="A1424" s="51"/>
      <c r="B1424" s="735"/>
      <c r="C1424" s="735"/>
      <c r="D1424" s="735"/>
      <c r="E1424" s="735"/>
      <c r="F1424" s="736"/>
      <c r="G1424" s="735"/>
      <c r="H1424" s="735"/>
      <c r="I1424" s="735"/>
      <c r="J1424" s="735"/>
      <c r="K1424" s="735"/>
      <c r="L1424" s="735"/>
      <c r="M1424" s="735"/>
      <c r="N1424" s="735"/>
      <c r="O1424" s="19"/>
      <c r="P1424" s="19"/>
      <c r="Q1424" s="19"/>
      <c r="R1424" s="19"/>
      <c r="S1424" s="19"/>
      <c r="T1424" s="19"/>
      <c r="U1424" s="19"/>
      <c r="V1424" s="19"/>
      <c r="W1424" s="19"/>
      <c r="X1424" s="19"/>
      <c r="Y1424" s="19"/>
      <c r="Z1424" s="19"/>
      <c r="AA1424" s="19"/>
      <c r="AB1424" s="19"/>
      <c r="FE1424" s="54"/>
    </row>
    <row r="1425" spans="1:161" s="18" customFormat="1">
      <c r="A1425" s="51"/>
      <c r="B1425" s="735"/>
      <c r="C1425" s="735"/>
      <c r="D1425" s="735"/>
      <c r="E1425" s="735"/>
      <c r="F1425" s="736"/>
      <c r="G1425" s="735"/>
      <c r="H1425" s="735"/>
      <c r="I1425" s="735"/>
      <c r="J1425" s="735"/>
      <c r="K1425" s="735"/>
      <c r="L1425" s="735"/>
      <c r="M1425" s="735"/>
      <c r="N1425" s="735"/>
      <c r="O1425" s="19"/>
      <c r="P1425" s="19"/>
      <c r="Q1425" s="19"/>
      <c r="R1425" s="19"/>
      <c r="S1425" s="19"/>
      <c r="T1425" s="19"/>
      <c r="U1425" s="19"/>
      <c r="V1425" s="19"/>
      <c r="W1425" s="19"/>
      <c r="X1425" s="19"/>
      <c r="Y1425" s="19"/>
      <c r="Z1425" s="19"/>
      <c r="AA1425" s="19"/>
      <c r="AB1425" s="19"/>
      <c r="FE1425" s="54"/>
    </row>
    <row r="1426" spans="1:161" s="18" customFormat="1">
      <c r="A1426" s="51"/>
      <c r="B1426" s="735"/>
      <c r="C1426" s="735"/>
      <c r="D1426" s="735"/>
      <c r="E1426" s="735"/>
      <c r="F1426" s="736"/>
      <c r="G1426" s="735"/>
      <c r="H1426" s="735"/>
      <c r="I1426" s="735"/>
      <c r="J1426" s="735"/>
      <c r="K1426" s="735"/>
      <c r="L1426" s="735"/>
      <c r="M1426" s="735"/>
      <c r="N1426" s="735"/>
      <c r="O1426" s="19"/>
      <c r="P1426" s="19"/>
      <c r="Q1426" s="19"/>
      <c r="R1426" s="19"/>
      <c r="S1426" s="19"/>
      <c r="T1426" s="19"/>
      <c r="U1426" s="19"/>
      <c r="V1426" s="19"/>
      <c r="W1426" s="19"/>
      <c r="X1426" s="19"/>
      <c r="Y1426" s="19"/>
      <c r="Z1426" s="19"/>
      <c r="AA1426" s="19"/>
      <c r="AB1426" s="19"/>
      <c r="FE1426" s="54"/>
    </row>
    <row r="1427" spans="1:161" s="18" customFormat="1">
      <c r="A1427" s="51"/>
      <c r="B1427" s="735"/>
      <c r="C1427" s="735"/>
      <c r="D1427" s="735"/>
      <c r="E1427" s="735"/>
      <c r="F1427" s="736"/>
      <c r="G1427" s="735"/>
      <c r="H1427" s="735"/>
      <c r="I1427" s="735"/>
      <c r="J1427" s="735"/>
      <c r="K1427" s="735"/>
      <c r="L1427" s="735"/>
      <c r="M1427" s="735"/>
      <c r="N1427" s="735"/>
      <c r="O1427" s="19"/>
      <c r="P1427" s="19"/>
      <c r="Q1427" s="19"/>
      <c r="R1427" s="19"/>
      <c r="S1427" s="19"/>
      <c r="T1427" s="19"/>
      <c r="U1427" s="19"/>
      <c r="V1427" s="19"/>
      <c r="W1427" s="19"/>
      <c r="X1427" s="19"/>
      <c r="Y1427" s="19"/>
      <c r="Z1427" s="19"/>
      <c r="AA1427" s="19"/>
      <c r="AB1427" s="19"/>
      <c r="FE1427" s="54"/>
    </row>
    <row r="1428" spans="1:161" s="18" customFormat="1">
      <c r="A1428" s="51"/>
      <c r="B1428" s="735"/>
      <c r="C1428" s="735"/>
      <c r="D1428" s="735"/>
      <c r="E1428" s="735"/>
      <c r="F1428" s="736"/>
      <c r="G1428" s="735"/>
      <c r="H1428" s="735"/>
      <c r="I1428" s="735"/>
      <c r="J1428" s="735"/>
      <c r="K1428" s="735"/>
      <c r="L1428" s="735"/>
      <c r="M1428" s="735"/>
      <c r="N1428" s="735"/>
      <c r="O1428" s="19"/>
      <c r="P1428" s="19"/>
      <c r="Q1428" s="19"/>
      <c r="R1428" s="19"/>
      <c r="S1428" s="19"/>
      <c r="T1428" s="19"/>
      <c r="U1428" s="19"/>
      <c r="V1428" s="19"/>
      <c r="W1428" s="19"/>
      <c r="X1428" s="19"/>
      <c r="Y1428" s="19"/>
      <c r="Z1428" s="19"/>
      <c r="AA1428" s="19"/>
      <c r="AB1428" s="19"/>
      <c r="FE1428" s="54"/>
    </row>
    <row r="1429" spans="1:161" s="18" customFormat="1">
      <c r="A1429" s="51"/>
      <c r="B1429" s="735"/>
      <c r="C1429" s="735"/>
      <c r="D1429" s="735"/>
      <c r="E1429" s="735"/>
      <c r="F1429" s="736"/>
      <c r="G1429" s="735"/>
      <c r="H1429" s="735"/>
      <c r="I1429" s="735"/>
      <c r="J1429" s="735"/>
      <c r="K1429" s="735"/>
      <c r="L1429" s="735"/>
      <c r="M1429" s="735"/>
      <c r="N1429" s="735"/>
      <c r="O1429" s="19"/>
      <c r="P1429" s="19"/>
      <c r="Q1429" s="19"/>
      <c r="R1429" s="19"/>
      <c r="S1429" s="19"/>
      <c r="T1429" s="19"/>
      <c r="U1429" s="19"/>
      <c r="V1429" s="19"/>
      <c r="W1429" s="19"/>
      <c r="X1429" s="19"/>
      <c r="Y1429" s="19"/>
      <c r="Z1429" s="19"/>
      <c r="AA1429" s="19"/>
      <c r="AB1429" s="19"/>
      <c r="FE1429" s="54"/>
    </row>
    <row r="1430" spans="1:161" s="18" customFormat="1">
      <c r="A1430" s="51"/>
      <c r="B1430" s="735"/>
      <c r="C1430" s="735"/>
      <c r="D1430" s="735"/>
      <c r="E1430" s="735"/>
      <c r="F1430" s="736"/>
      <c r="G1430" s="735"/>
      <c r="H1430" s="735"/>
      <c r="I1430" s="735"/>
      <c r="J1430" s="735"/>
      <c r="K1430" s="735"/>
      <c r="L1430" s="735"/>
      <c r="M1430" s="735"/>
      <c r="N1430" s="735"/>
      <c r="O1430" s="19"/>
      <c r="P1430" s="19"/>
      <c r="Q1430" s="19"/>
      <c r="R1430" s="19"/>
      <c r="S1430" s="19"/>
      <c r="T1430" s="19"/>
      <c r="U1430" s="19"/>
      <c r="V1430" s="19"/>
      <c r="W1430" s="19"/>
      <c r="X1430" s="19"/>
      <c r="Y1430" s="19"/>
      <c r="Z1430" s="19"/>
      <c r="AA1430" s="19"/>
      <c r="AB1430" s="19"/>
      <c r="FE1430" s="54"/>
    </row>
    <row r="1431" spans="1:161" s="18" customFormat="1">
      <c r="A1431" s="51"/>
      <c r="B1431" s="735"/>
      <c r="C1431" s="735"/>
      <c r="D1431" s="735"/>
      <c r="E1431" s="735"/>
      <c r="F1431" s="736"/>
      <c r="G1431" s="735"/>
      <c r="H1431" s="735"/>
      <c r="I1431" s="735"/>
      <c r="J1431" s="735"/>
      <c r="K1431" s="735"/>
      <c r="L1431" s="735"/>
      <c r="M1431" s="735"/>
      <c r="N1431" s="735"/>
      <c r="O1431" s="19"/>
      <c r="P1431" s="19"/>
      <c r="Q1431" s="19"/>
      <c r="R1431" s="19"/>
      <c r="S1431" s="19"/>
      <c r="T1431" s="19"/>
      <c r="U1431" s="19"/>
      <c r="V1431" s="19"/>
      <c r="W1431" s="19"/>
      <c r="X1431" s="19"/>
      <c r="Y1431" s="19"/>
      <c r="Z1431" s="19"/>
      <c r="AA1431" s="19"/>
      <c r="AB1431" s="19"/>
      <c r="FE1431" s="54"/>
    </row>
    <row r="1432" spans="1:161" s="18" customFormat="1">
      <c r="A1432" s="51"/>
      <c r="B1432" s="735"/>
      <c r="C1432" s="735"/>
      <c r="D1432" s="735"/>
      <c r="E1432" s="735"/>
      <c r="F1432" s="736"/>
      <c r="G1432" s="735"/>
      <c r="H1432" s="735"/>
      <c r="I1432" s="735"/>
      <c r="J1432" s="735"/>
      <c r="K1432" s="735"/>
      <c r="L1432" s="735"/>
      <c r="M1432" s="735"/>
      <c r="N1432" s="735"/>
      <c r="O1432" s="19"/>
      <c r="P1432" s="19"/>
      <c r="Q1432" s="19"/>
      <c r="R1432" s="19"/>
      <c r="S1432" s="19"/>
      <c r="T1432" s="19"/>
      <c r="U1432" s="19"/>
      <c r="V1432" s="19"/>
      <c r="W1432" s="19"/>
      <c r="X1432" s="19"/>
      <c r="Y1432" s="19"/>
      <c r="Z1432" s="19"/>
      <c r="AA1432" s="19"/>
      <c r="AB1432" s="19"/>
      <c r="FE1432" s="54"/>
    </row>
    <row r="1433" spans="1:161" s="18" customFormat="1">
      <c r="A1433" s="51"/>
      <c r="B1433" s="735"/>
      <c r="C1433" s="735"/>
      <c r="D1433" s="735"/>
      <c r="E1433" s="735"/>
      <c r="F1433" s="736"/>
      <c r="G1433" s="735"/>
      <c r="H1433" s="735"/>
      <c r="I1433" s="735"/>
      <c r="J1433" s="735"/>
      <c r="K1433" s="735"/>
      <c r="L1433" s="735"/>
      <c r="M1433" s="735"/>
      <c r="N1433" s="735"/>
      <c r="O1433" s="19"/>
      <c r="P1433" s="19"/>
      <c r="Q1433" s="19"/>
      <c r="R1433" s="19"/>
      <c r="S1433" s="19"/>
      <c r="T1433" s="19"/>
      <c r="U1433" s="19"/>
      <c r="V1433" s="19"/>
      <c r="W1433" s="19"/>
      <c r="X1433" s="19"/>
      <c r="Y1433" s="19"/>
      <c r="Z1433" s="19"/>
      <c r="AA1433" s="19"/>
      <c r="AB1433" s="19"/>
      <c r="FE1433" s="54"/>
    </row>
    <row r="1434" spans="1:161" s="18" customFormat="1">
      <c r="A1434" s="51"/>
      <c r="B1434" s="735"/>
      <c r="C1434" s="735"/>
      <c r="D1434" s="735"/>
      <c r="E1434" s="735"/>
      <c r="F1434" s="736"/>
      <c r="G1434" s="735"/>
      <c r="H1434" s="735"/>
      <c r="I1434" s="735"/>
      <c r="J1434" s="735"/>
      <c r="K1434" s="735"/>
      <c r="L1434" s="735"/>
      <c r="M1434" s="735"/>
      <c r="N1434" s="735"/>
      <c r="O1434" s="19"/>
      <c r="P1434" s="19"/>
      <c r="Q1434" s="19"/>
      <c r="R1434" s="19"/>
      <c r="S1434" s="19"/>
      <c r="T1434" s="19"/>
      <c r="U1434" s="19"/>
      <c r="V1434" s="19"/>
      <c r="W1434" s="19"/>
      <c r="X1434" s="19"/>
      <c r="Y1434" s="19"/>
      <c r="Z1434" s="19"/>
      <c r="AA1434" s="19"/>
      <c r="AB1434" s="19"/>
      <c r="FE1434" s="54"/>
    </row>
    <row r="1435" spans="1:161" s="18" customFormat="1">
      <c r="A1435" s="51"/>
      <c r="B1435" s="735"/>
      <c r="C1435" s="735"/>
      <c r="D1435" s="735"/>
      <c r="E1435" s="735"/>
      <c r="F1435" s="736"/>
      <c r="G1435" s="735"/>
      <c r="H1435" s="735"/>
      <c r="I1435" s="735"/>
      <c r="J1435" s="735"/>
      <c r="K1435" s="735"/>
      <c r="L1435" s="735"/>
      <c r="M1435" s="735"/>
      <c r="N1435" s="735"/>
      <c r="O1435" s="19"/>
      <c r="P1435" s="19"/>
      <c r="Q1435" s="19"/>
      <c r="R1435" s="19"/>
      <c r="S1435" s="19"/>
      <c r="T1435" s="19"/>
      <c r="U1435" s="19"/>
      <c r="V1435" s="19"/>
      <c r="W1435" s="19"/>
      <c r="X1435" s="19"/>
      <c r="Y1435" s="19"/>
      <c r="Z1435" s="19"/>
      <c r="AA1435" s="19"/>
      <c r="AB1435" s="19"/>
      <c r="FE1435" s="54"/>
    </row>
    <row r="1436" spans="1:161" s="18" customFormat="1">
      <c r="A1436" s="51"/>
      <c r="B1436" s="735"/>
      <c r="C1436" s="735"/>
      <c r="D1436" s="735"/>
      <c r="E1436" s="735"/>
      <c r="F1436" s="736"/>
      <c r="G1436" s="735"/>
      <c r="H1436" s="735"/>
      <c r="I1436" s="735"/>
      <c r="J1436" s="735"/>
      <c r="K1436" s="735"/>
      <c r="L1436" s="735"/>
      <c r="M1436" s="735"/>
      <c r="N1436" s="735"/>
      <c r="O1436" s="19"/>
      <c r="P1436" s="19"/>
      <c r="Q1436" s="19"/>
      <c r="R1436" s="19"/>
      <c r="S1436" s="19"/>
      <c r="T1436" s="19"/>
      <c r="U1436" s="19"/>
      <c r="V1436" s="19"/>
      <c r="W1436" s="19"/>
      <c r="X1436" s="19"/>
      <c r="Y1436" s="19"/>
      <c r="Z1436" s="19"/>
      <c r="AA1436" s="19"/>
      <c r="AB1436" s="19"/>
      <c r="FE1436" s="54"/>
    </row>
    <row r="1437" spans="1:161" s="18" customFormat="1">
      <c r="A1437" s="51"/>
      <c r="B1437" s="735"/>
      <c r="C1437" s="735"/>
      <c r="D1437" s="735"/>
      <c r="E1437" s="735"/>
      <c r="F1437" s="736"/>
      <c r="G1437" s="735"/>
      <c r="H1437" s="735"/>
      <c r="I1437" s="735"/>
      <c r="J1437" s="735"/>
      <c r="K1437" s="735"/>
      <c r="L1437" s="735"/>
      <c r="M1437" s="735"/>
      <c r="N1437" s="735"/>
      <c r="O1437" s="19"/>
      <c r="P1437" s="19"/>
      <c r="Q1437" s="19"/>
      <c r="R1437" s="19"/>
      <c r="S1437" s="19"/>
      <c r="T1437" s="19"/>
      <c r="U1437" s="19"/>
      <c r="V1437" s="19"/>
      <c r="W1437" s="19"/>
      <c r="X1437" s="19"/>
      <c r="Y1437" s="19"/>
      <c r="Z1437" s="19"/>
      <c r="AA1437" s="19"/>
      <c r="AB1437" s="19"/>
      <c r="FE1437" s="54"/>
    </row>
    <row r="1438" spans="1:161" s="18" customFormat="1">
      <c r="A1438" s="51"/>
      <c r="B1438" s="735"/>
      <c r="C1438" s="735"/>
      <c r="D1438" s="735"/>
      <c r="E1438" s="735"/>
      <c r="F1438" s="736"/>
      <c r="G1438" s="735"/>
      <c r="H1438" s="735"/>
      <c r="I1438" s="735"/>
      <c r="J1438" s="735"/>
      <c r="K1438" s="735"/>
      <c r="L1438" s="735"/>
      <c r="M1438" s="735"/>
      <c r="N1438" s="735"/>
      <c r="O1438" s="19"/>
      <c r="P1438" s="19"/>
      <c r="Q1438" s="19"/>
      <c r="R1438" s="19"/>
      <c r="S1438" s="19"/>
      <c r="T1438" s="19"/>
      <c r="U1438" s="19"/>
      <c r="V1438" s="19"/>
      <c r="W1438" s="19"/>
      <c r="X1438" s="19"/>
      <c r="Y1438" s="19"/>
      <c r="Z1438" s="19"/>
      <c r="AA1438" s="19"/>
      <c r="AB1438" s="19"/>
      <c r="FE1438" s="54"/>
    </row>
    <row r="1439" spans="1:161" s="18" customFormat="1">
      <c r="A1439" s="51"/>
      <c r="B1439" s="735"/>
      <c r="C1439" s="735"/>
      <c r="D1439" s="735"/>
      <c r="E1439" s="735"/>
      <c r="F1439" s="736"/>
      <c r="G1439" s="735"/>
      <c r="H1439" s="735"/>
      <c r="I1439" s="735"/>
      <c r="J1439" s="735"/>
      <c r="K1439" s="735"/>
      <c r="L1439" s="735"/>
      <c r="M1439" s="735"/>
      <c r="N1439" s="735"/>
      <c r="O1439" s="19"/>
      <c r="P1439" s="19"/>
      <c r="Q1439" s="19"/>
      <c r="R1439" s="19"/>
      <c r="S1439" s="19"/>
      <c r="T1439" s="19"/>
      <c r="U1439" s="19"/>
      <c r="V1439" s="19"/>
      <c r="W1439" s="19"/>
      <c r="X1439" s="19"/>
      <c r="Y1439" s="19"/>
      <c r="Z1439" s="19"/>
      <c r="AA1439" s="19"/>
      <c r="AB1439" s="19"/>
      <c r="FE1439" s="54"/>
    </row>
    <row r="1440" spans="1:161" s="18" customFormat="1">
      <c r="A1440" s="51"/>
      <c r="B1440" s="735"/>
      <c r="C1440" s="735"/>
      <c r="D1440" s="735"/>
      <c r="E1440" s="735"/>
      <c r="F1440" s="736"/>
      <c r="G1440" s="735"/>
      <c r="H1440" s="735"/>
      <c r="I1440" s="735"/>
      <c r="J1440" s="735"/>
      <c r="K1440" s="735"/>
      <c r="L1440" s="735"/>
      <c r="M1440" s="735"/>
      <c r="N1440" s="735"/>
      <c r="O1440" s="19"/>
      <c r="P1440" s="19"/>
      <c r="Q1440" s="19"/>
      <c r="R1440" s="19"/>
      <c r="S1440" s="19"/>
      <c r="T1440" s="19"/>
      <c r="U1440" s="19"/>
      <c r="V1440" s="19"/>
      <c r="W1440" s="19"/>
      <c r="X1440" s="19"/>
      <c r="Y1440" s="19"/>
      <c r="Z1440" s="19"/>
      <c r="AA1440" s="19"/>
      <c r="AB1440" s="19"/>
      <c r="FE1440" s="54"/>
    </row>
    <row r="1441" spans="1:161" s="18" customFormat="1">
      <c r="A1441" s="51"/>
      <c r="B1441" s="735"/>
      <c r="C1441" s="735"/>
      <c r="D1441" s="735"/>
      <c r="E1441" s="735"/>
      <c r="F1441" s="736"/>
      <c r="G1441" s="735"/>
      <c r="H1441" s="735"/>
      <c r="I1441" s="735"/>
      <c r="J1441" s="735"/>
      <c r="K1441" s="735"/>
      <c r="L1441" s="735"/>
      <c r="M1441" s="735"/>
      <c r="N1441" s="735"/>
      <c r="O1441" s="19"/>
      <c r="P1441" s="19"/>
      <c r="Q1441" s="19"/>
      <c r="R1441" s="19"/>
      <c r="S1441" s="19"/>
      <c r="T1441" s="19"/>
      <c r="U1441" s="19"/>
      <c r="V1441" s="19"/>
      <c r="W1441" s="19"/>
      <c r="X1441" s="19"/>
      <c r="Y1441" s="19"/>
      <c r="Z1441" s="19"/>
      <c r="AA1441" s="19"/>
      <c r="AB1441" s="19"/>
      <c r="FE1441" s="54"/>
    </row>
    <row r="1442" spans="1:161" s="18" customFormat="1">
      <c r="A1442" s="51"/>
      <c r="B1442" s="735"/>
      <c r="C1442" s="735"/>
      <c r="D1442" s="735"/>
      <c r="E1442" s="735"/>
      <c r="F1442" s="736"/>
      <c r="G1442" s="735"/>
      <c r="H1442" s="735"/>
      <c r="I1442" s="735"/>
      <c r="J1442" s="735"/>
      <c r="K1442" s="735"/>
      <c r="L1442" s="735"/>
      <c r="M1442" s="735"/>
      <c r="N1442" s="735"/>
      <c r="O1442" s="19"/>
      <c r="P1442" s="19"/>
      <c r="Q1442" s="19"/>
      <c r="R1442" s="19"/>
      <c r="S1442" s="19"/>
      <c r="T1442" s="19"/>
      <c r="U1442" s="19"/>
      <c r="V1442" s="19"/>
      <c r="W1442" s="19"/>
      <c r="X1442" s="19"/>
      <c r="Y1442" s="19"/>
      <c r="Z1442" s="19"/>
      <c r="AA1442" s="19"/>
      <c r="AB1442" s="19"/>
      <c r="FE1442" s="54"/>
    </row>
    <row r="1443" spans="1:161" s="18" customFormat="1">
      <c r="A1443" s="51"/>
      <c r="B1443" s="735"/>
      <c r="C1443" s="735"/>
      <c r="D1443" s="735"/>
      <c r="E1443" s="735"/>
      <c r="F1443" s="736"/>
      <c r="G1443" s="735"/>
      <c r="H1443" s="735"/>
      <c r="I1443" s="735"/>
      <c r="J1443" s="735"/>
      <c r="K1443" s="735"/>
      <c r="L1443" s="735"/>
      <c r="M1443" s="735"/>
      <c r="N1443" s="735"/>
      <c r="O1443" s="19"/>
      <c r="P1443" s="19"/>
      <c r="Q1443" s="19"/>
      <c r="R1443" s="19"/>
      <c r="S1443" s="19"/>
      <c r="T1443" s="19"/>
      <c r="U1443" s="19"/>
      <c r="V1443" s="19"/>
      <c r="W1443" s="19"/>
      <c r="X1443" s="19"/>
      <c r="Y1443" s="19"/>
      <c r="Z1443" s="19"/>
      <c r="AA1443" s="19"/>
      <c r="AB1443" s="19"/>
      <c r="FE1443" s="54"/>
    </row>
    <row r="1444" spans="1:161" s="18" customFormat="1">
      <c r="A1444" s="51"/>
      <c r="B1444" s="735"/>
      <c r="C1444" s="735"/>
      <c r="D1444" s="735"/>
      <c r="E1444" s="735"/>
      <c r="F1444" s="736"/>
      <c r="G1444" s="735"/>
      <c r="H1444" s="735"/>
      <c r="I1444" s="735"/>
      <c r="J1444" s="735"/>
      <c r="K1444" s="735"/>
      <c r="L1444" s="735"/>
      <c r="M1444" s="735"/>
      <c r="N1444" s="735"/>
      <c r="O1444" s="19"/>
      <c r="P1444" s="19"/>
      <c r="Q1444" s="19"/>
      <c r="R1444" s="19"/>
      <c r="S1444" s="19"/>
      <c r="T1444" s="19"/>
      <c r="U1444" s="19"/>
      <c r="V1444" s="19"/>
      <c r="W1444" s="19"/>
      <c r="X1444" s="19"/>
      <c r="Y1444" s="19"/>
      <c r="Z1444" s="19"/>
      <c r="AA1444" s="19"/>
      <c r="AB1444" s="19"/>
      <c r="FE1444" s="54"/>
    </row>
    <row r="1445" spans="1:161" s="18" customFormat="1">
      <c r="A1445" s="51"/>
      <c r="B1445" s="735"/>
      <c r="C1445" s="735"/>
      <c r="D1445" s="735"/>
      <c r="E1445" s="735"/>
      <c r="F1445" s="736"/>
      <c r="G1445" s="735"/>
      <c r="H1445" s="735"/>
      <c r="I1445" s="735"/>
      <c r="J1445" s="735"/>
      <c r="K1445" s="735"/>
      <c r="L1445" s="735"/>
      <c r="M1445" s="735"/>
      <c r="N1445" s="735"/>
      <c r="O1445" s="19"/>
      <c r="P1445" s="19"/>
      <c r="Q1445" s="19"/>
      <c r="R1445" s="19"/>
      <c r="S1445" s="19"/>
      <c r="T1445" s="19"/>
      <c r="U1445" s="19"/>
      <c r="V1445" s="19"/>
      <c r="W1445" s="19"/>
      <c r="X1445" s="19"/>
      <c r="Y1445" s="19"/>
      <c r="Z1445" s="19"/>
      <c r="AA1445" s="19"/>
      <c r="AB1445" s="19"/>
      <c r="FE1445" s="54"/>
    </row>
    <row r="1446" spans="1:161" s="18" customFormat="1">
      <c r="A1446" s="51"/>
      <c r="B1446" s="735"/>
      <c r="C1446" s="735"/>
      <c r="D1446" s="735"/>
      <c r="E1446" s="735"/>
      <c r="F1446" s="736"/>
      <c r="G1446" s="735"/>
      <c r="H1446" s="735"/>
      <c r="I1446" s="735"/>
      <c r="J1446" s="735"/>
      <c r="K1446" s="735"/>
      <c r="L1446" s="735"/>
      <c r="M1446" s="735"/>
      <c r="N1446" s="735"/>
      <c r="O1446" s="19"/>
      <c r="P1446" s="19"/>
      <c r="Q1446" s="19"/>
      <c r="R1446" s="19"/>
      <c r="S1446" s="19"/>
      <c r="T1446" s="19"/>
      <c r="U1446" s="19"/>
      <c r="V1446" s="19"/>
      <c r="W1446" s="19"/>
      <c r="X1446" s="19"/>
      <c r="Y1446" s="19"/>
      <c r="Z1446" s="19"/>
      <c r="AA1446" s="19"/>
      <c r="AB1446" s="19"/>
      <c r="FE1446" s="54"/>
    </row>
    <row r="1447" spans="1:161" s="18" customFormat="1">
      <c r="A1447" s="51"/>
      <c r="B1447" s="735"/>
      <c r="C1447" s="735"/>
      <c r="D1447" s="735"/>
      <c r="E1447" s="735"/>
      <c r="F1447" s="736"/>
      <c r="G1447" s="735"/>
      <c r="H1447" s="735"/>
      <c r="I1447" s="735"/>
      <c r="J1447" s="735"/>
      <c r="K1447" s="735"/>
      <c r="L1447" s="735"/>
      <c r="M1447" s="735"/>
      <c r="N1447" s="735"/>
      <c r="O1447" s="19"/>
      <c r="P1447" s="19"/>
      <c r="Q1447" s="19"/>
      <c r="R1447" s="19"/>
      <c r="S1447" s="19"/>
      <c r="T1447" s="19"/>
      <c r="U1447" s="19"/>
      <c r="V1447" s="19"/>
      <c r="W1447" s="19"/>
      <c r="X1447" s="19"/>
      <c r="Y1447" s="19"/>
      <c r="Z1447" s="19"/>
      <c r="AA1447" s="19"/>
      <c r="AB1447" s="19"/>
      <c r="FE1447" s="54"/>
    </row>
    <row r="1448" spans="1:161" s="18" customFormat="1">
      <c r="A1448" s="51"/>
      <c r="B1448" s="735"/>
      <c r="C1448" s="735"/>
      <c r="D1448" s="735"/>
      <c r="E1448" s="735"/>
      <c r="F1448" s="736"/>
      <c r="G1448" s="735"/>
      <c r="H1448" s="735"/>
      <c r="I1448" s="735"/>
      <c r="J1448" s="735"/>
      <c r="K1448" s="735"/>
      <c r="L1448" s="735"/>
      <c r="M1448" s="735"/>
      <c r="N1448" s="735"/>
      <c r="O1448" s="19"/>
      <c r="P1448" s="19"/>
      <c r="Q1448" s="19"/>
      <c r="R1448" s="19"/>
      <c r="S1448" s="19"/>
      <c r="T1448" s="19"/>
      <c r="U1448" s="19"/>
      <c r="V1448" s="19"/>
      <c r="W1448" s="19"/>
      <c r="X1448" s="19"/>
      <c r="Y1448" s="19"/>
      <c r="Z1448" s="19"/>
      <c r="AA1448" s="19"/>
      <c r="AB1448" s="19"/>
      <c r="FE1448" s="54"/>
    </row>
    <row r="1449" spans="1:161" s="18" customFormat="1">
      <c r="A1449" s="51"/>
      <c r="B1449" s="735"/>
      <c r="C1449" s="735"/>
      <c r="D1449" s="735"/>
      <c r="E1449" s="735"/>
      <c r="F1449" s="736"/>
      <c r="G1449" s="735"/>
      <c r="H1449" s="735"/>
      <c r="I1449" s="735"/>
      <c r="J1449" s="735"/>
      <c r="K1449" s="735"/>
      <c r="L1449" s="735"/>
      <c r="M1449" s="735"/>
      <c r="N1449" s="735"/>
      <c r="O1449" s="19"/>
      <c r="P1449" s="19"/>
      <c r="Q1449" s="19"/>
      <c r="R1449" s="19"/>
      <c r="S1449" s="19"/>
      <c r="T1449" s="19"/>
      <c r="U1449" s="19"/>
      <c r="V1449" s="19"/>
      <c r="W1449" s="19"/>
      <c r="X1449" s="19"/>
      <c r="Y1449" s="19"/>
      <c r="Z1449" s="19"/>
      <c r="AA1449" s="19"/>
      <c r="AB1449" s="19"/>
      <c r="FE1449" s="54"/>
    </row>
    <row r="1450" spans="1:161" s="18" customFormat="1">
      <c r="A1450" s="51"/>
      <c r="B1450" s="735"/>
      <c r="C1450" s="735"/>
      <c r="D1450" s="735"/>
      <c r="E1450" s="735"/>
      <c r="F1450" s="736"/>
      <c r="G1450" s="735"/>
      <c r="H1450" s="735"/>
      <c r="I1450" s="735"/>
      <c r="J1450" s="735"/>
      <c r="K1450" s="735"/>
      <c r="L1450" s="735"/>
      <c r="M1450" s="735"/>
      <c r="N1450" s="735"/>
      <c r="O1450" s="19"/>
      <c r="P1450" s="19"/>
      <c r="Q1450" s="19"/>
      <c r="R1450" s="19"/>
      <c r="S1450" s="19"/>
      <c r="T1450" s="19"/>
      <c r="U1450" s="19"/>
      <c r="V1450" s="19"/>
      <c r="W1450" s="19"/>
      <c r="X1450" s="19"/>
      <c r="Y1450" s="19"/>
      <c r="Z1450" s="19"/>
      <c r="AA1450" s="19"/>
      <c r="AB1450" s="19"/>
      <c r="FE1450" s="54"/>
    </row>
    <row r="1451" spans="1:161" s="18" customFormat="1">
      <c r="A1451" s="51"/>
      <c r="B1451" s="735"/>
      <c r="C1451" s="735"/>
      <c r="D1451" s="735"/>
      <c r="E1451" s="735"/>
      <c r="F1451" s="736"/>
      <c r="G1451" s="735"/>
      <c r="H1451" s="735"/>
      <c r="I1451" s="735"/>
      <c r="J1451" s="735"/>
      <c r="K1451" s="735"/>
      <c r="L1451" s="735"/>
      <c r="M1451" s="735"/>
      <c r="N1451" s="735"/>
      <c r="O1451" s="19"/>
      <c r="P1451" s="19"/>
      <c r="Q1451" s="19"/>
      <c r="R1451" s="19"/>
      <c r="S1451" s="19"/>
      <c r="T1451" s="19"/>
      <c r="U1451" s="19"/>
      <c r="V1451" s="19"/>
      <c r="W1451" s="19"/>
      <c r="X1451" s="19"/>
      <c r="Y1451" s="19"/>
      <c r="Z1451" s="19"/>
      <c r="AA1451" s="19"/>
      <c r="AB1451" s="19"/>
      <c r="FE1451" s="54"/>
    </row>
    <row r="1452" spans="1:161" s="18" customFormat="1">
      <c r="A1452" s="51"/>
      <c r="B1452" s="735"/>
      <c r="C1452" s="735"/>
      <c r="D1452" s="735"/>
      <c r="E1452" s="735"/>
      <c r="F1452" s="736"/>
      <c r="G1452" s="735"/>
      <c r="H1452" s="735"/>
      <c r="I1452" s="735"/>
      <c r="J1452" s="735"/>
      <c r="K1452" s="735"/>
      <c r="L1452" s="735"/>
      <c r="M1452" s="735"/>
      <c r="N1452" s="735"/>
      <c r="O1452" s="19"/>
      <c r="P1452" s="19"/>
      <c r="Q1452" s="19"/>
      <c r="R1452" s="19"/>
      <c r="S1452" s="19"/>
      <c r="T1452" s="19"/>
      <c r="U1452" s="19"/>
      <c r="V1452" s="19"/>
      <c r="W1452" s="19"/>
      <c r="X1452" s="19"/>
      <c r="Y1452" s="19"/>
      <c r="Z1452" s="19"/>
      <c r="AA1452" s="19"/>
      <c r="AB1452" s="19"/>
      <c r="FE1452" s="54"/>
    </row>
    <row r="1453" spans="1:161" s="18" customFormat="1">
      <c r="A1453" s="51"/>
      <c r="B1453" s="735"/>
      <c r="C1453" s="735"/>
      <c r="D1453" s="735"/>
      <c r="E1453" s="735"/>
      <c r="F1453" s="736"/>
      <c r="G1453" s="735"/>
      <c r="H1453" s="735"/>
      <c r="I1453" s="735"/>
      <c r="J1453" s="735"/>
      <c r="K1453" s="735"/>
      <c r="L1453" s="735"/>
      <c r="M1453" s="735"/>
      <c r="N1453" s="735"/>
      <c r="O1453" s="19"/>
      <c r="P1453" s="19"/>
      <c r="Q1453" s="19"/>
      <c r="R1453" s="19"/>
      <c r="S1453" s="19"/>
      <c r="T1453" s="19"/>
      <c r="U1453" s="19"/>
      <c r="V1453" s="19"/>
      <c r="W1453" s="19"/>
      <c r="X1453" s="19"/>
      <c r="Y1453" s="19"/>
      <c r="Z1453" s="19"/>
      <c r="AA1453" s="19"/>
      <c r="AB1453" s="19"/>
      <c r="FE1453" s="54"/>
    </row>
    <row r="1454" spans="1:161" s="18" customFormat="1">
      <c r="A1454" s="51"/>
      <c r="B1454" s="735"/>
      <c r="C1454" s="735"/>
      <c r="D1454" s="735"/>
      <c r="E1454" s="735"/>
      <c r="F1454" s="736"/>
      <c r="G1454" s="735"/>
      <c r="H1454" s="735"/>
      <c r="I1454" s="735"/>
      <c r="J1454" s="735"/>
      <c r="K1454" s="735"/>
      <c r="L1454" s="735"/>
      <c r="M1454" s="735"/>
      <c r="N1454" s="735"/>
      <c r="O1454" s="19"/>
      <c r="P1454" s="19"/>
      <c r="Q1454" s="19"/>
      <c r="R1454" s="19"/>
      <c r="S1454" s="19"/>
      <c r="T1454" s="19"/>
      <c r="U1454" s="19"/>
      <c r="V1454" s="19"/>
      <c r="W1454" s="19"/>
      <c r="X1454" s="19"/>
      <c r="Y1454" s="19"/>
      <c r="Z1454" s="19"/>
      <c r="AA1454" s="19"/>
      <c r="AB1454" s="19"/>
      <c r="FE1454" s="54"/>
    </row>
    <row r="1455" spans="1:161" s="18" customFormat="1">
      <c r="A1455" s="51"/>
      <c r="B1455" s="735"/>
      <c r="C1455" s="735"/>
      <c r="D1455" s="735"/>
      <c r="E1455" s="735"/>
      <c r="F1455" s="736"/>
      <c r="G1455" s="735"/>
      <c r="H1455" s="735"/>
      <c r="I1455" s="735"/>
      <c r="J1455" s="735"/>
      <c r="K1455" s="735"/>
      <c r="L1455" s="735"/>
      <c r="M1455" s="735"/>
      <c r="N1455" s="735"/>
      <c r="O1455" s="19"/>
      <c r="P1455" s="19"/>
      <c r="Q1455" s="19"/>
      <c r="R1455" s="19"/>
      <c r="S1455" s="19"/>
      <c r="T1455" s="19"/>
      <c r="U1455" s="19"/>
      <c r="V1455" s="19"/>
      <c r="W1455" s="19"/>
      <c r="X1455" s="19"/>
      <c r="Y1455" s="19"/>
      <c r="Z1455" s="19"/>
      <c r="AA1455" s="19"/>
      <c r="AB1455" s="19"/>
      <c r="FE1455" s="54"/>
    </row>
    <row r="1456" spans="1:161" s="18" customFormat="1">
      <c r="A1456" s="51"/>
      <c r="B1456" s="735"/>
      <c r="C1456" s="735"/>
      <c r="D1456" s="735"/>
      <c r="E1456" s="735"/>
      <c r="F1456" s="736"/>
      <c r="G1456" s="735"/>
      <c r="H1456" s="735"/>
      <c r="I1456" s="735"/>
      <c r="J1456" s="735"/>
      <c r="K1456" s="735"/>
      <c r="L1456" s="735"/>
      <c r="M1456" s="735"/>
      <c r="N1456" s="735"/>
      <c r="O1456" s="19"/>
      <c r="P1456" s="19"/>
      <c r="Q1456" s="19"/>
      <c r="R1456" s="19"/>
      <c r="S1456" s="19"/>
      <c r="T1456" s="19"/>
      <c r="U1456" s="19"/>
      <c r="V1456" s="19"/>
      <c r="W1456" s="19"/>
      <c r="X1456" s="19"/>
      <c r="Y1456" s="19"/>
      <c r="Z1456" s="19"/>
      <c r="AA1456" s="19"/>
      <c r="AB1456" s="19"/>
      <c r="FE1456" s="54"/>
    </row>
    <row r="1457" spans="1:161" s="18" customFormat="1">
      <c r="A1457" s="51"/>
      <c r="B1457" s="735"/>
      <c r="C1457" s="735"/>
      <c r="D1457" s="735"/>
      <c r="E1457" s="735"/>
      <c r="F1457" s="736"/>
      <c r="G1457" s="735"/>
      <c r="H1457" s="735"/>
      <c r="I1457" s="735"/>
      <c r="J1457" s="735"/>
      <c r="K1457" s="735"/>
      <c r="L1457" s="735"/>
      <c r="M1457" s="735"/>
      <c r="N1457" s="735"/>
      <c r="O1457" s="19"/>
      <c r="P1457" s="19"/>
      <c r="Q1457" s="19"/>
      <c r="R1457" s="19"/>
      <c r="S1457" s="19"/>
      <c r="T1457" s="19"/>
      <c r="U1457" s="19"/>
      <c r="V1457" s="19"/>
      <c r="W1457" s="19"/>
      <c r="X1457" s="19"/>
      <c r="Y1457" s="19"/>
      <c r="Z1457" s="19"/>
      <c r="AA1457" s="19"/>
      <c r="AB1457" s="19"/>
      <c r="FE1457" s="54"/>
    </row>
    <row r="1458" spans="1:161" s="18" customFormat="1">
      <c r="A1458" s="51"/>
      <c r="B1458" s="735"/>
      <c r="C1458" s="735"/>
      <c r="D1458" s="735"/>
      <c r="E1458" s="735"/>
      <c r="F1458" s="736"/>
      <c r="G1458" s="735"/>
      <c r="H1458" s="735"/>
      <c r="I1458" s="735"/>
      <c r="J1458" s="735"/>
      <c r="K1458" s="735"/>
      <c r="L1458" s="735"/>
      <c r="M1458" s="735"/>
      <c r="N1458" s="735"/>
      <c r="O1458" s="19"/>
      <c r="P1458" s="19"/>
      <c r="Q1458" s="19"/>
      <c r="R1458" s="19"/>
      <c r="S1458" s="19"/>
      <c r="T1458" s="19"/>
      <c r="U1458" s="19"/>
      <c r="V1458" s="19"/>
      <c r="W1458" s="19"/>
      <c r="X1458" s="19"/>
      <c r="Y1458" s="19"/>
      <c r="Z1458" s="19"/>
      <c r="AA1458" s="19"/>
      <c r="AB1458" s="19"/>
      <c r="FE1458" s="54"/>
    </row>
    <row r="1459" spans="1:161" s="18" customFormat="1">
      <c r="A1459" s="51"/>
      <c r="B1459" s="735"/>
      <c r="C1459" s="735"/>
      <c r="D1459" s="735"/>
      <c r="E1459" s="735"/>
      <c r="F1459" s="736"/>
      <c r="G1459" s="735"/>
      <c r="H1459" s="735"/>
      <c r="I1459" s="735"/>
      <c r="J1459" s="735"/>
      <c r="K1459" s="735"/>
      <c r="L1459" s="735"/>
      <c r="M1459" s="735"/>
      <c r="N1459" s="735"/>
      <c r="O1459" s="19"/>
      <c r="P1459" s="19"/>
      <c r="Q1459" s="19"/>
      <c r="R1459" s="19"/>
      <c r="S1459" s="19"/>
      <c r="T1459" s="19"/>
      <c r="U1459" s="19"/>
      <c r="V1459" s="19"/>
      <c r="W1459" s="19"/>
      <c r="X1459" s="19"/>
      <c r="Y1459" s="19"/>
      <c r="Z1459" s="19"/>
      <c r="AA1459" s="19"/>
      <c r="AB1459" s="19"/>
      <c r="FE1459" s="54"/>
    </row>
    <row r="1460" spans="1:161" s="18" customFormat="1">
      <c r="A1460" s="51"/>
      <c r="B1460" s="735"/>
      <c r="C1460" s="735"/>
      <c r="D1460" s="735"/>
      <c r="E1460" s="735"/>
      <c r="F1460" s="736"/>
      <c r="G1460" s="735"/>
      <c r="H1460" s="735"/>
      <c r="I1460" s="735"/>
      <c r="J1460" s="735"/>
      <c r="K1460" s="735"/>
      <c r="L1460" s="735"/>
      <c r="M1460" s="735"/>
      <c r="N1460" s="735"/>
      <c r="O1460" s="19"/>
      <c r="P1460" s="19"/>
      <c r="Q1460" s="19"/>
      <c r="R1460" s="19"/>
      <c r="S1460" s="19"/>
      <c r="T1460" s="19"/>
      <c r="U1460" s="19"/>
      <c r="V1460" s="19"/>
      <c r="W1460" s="19"/>
      <c r="X1460" s="19"/>
      <c r="Y1460" s="19"/>
      <c r="Z1460" s="19"/>
      <c r="AA1460" s="19"/>
      <c r="AB1460" s="19"/>
      <c r="FE1460" s="54"/>
    </row>
    <row r="1461" spans="1:161" s="18" customFormat="1">
      <c r="A1461" s="51"/>
      <c r="B1461" s="735"/>
      <c r="C1461" s="735"/>
      <c r="D1461" s="735"/>
      <c r="E1461" s="735"/>
      <c r="F1461" s="736"/>
      <c r="G1461" s="735"/>
      <c r="H1461" s="735"/>
      <c r="I1461" s="735"/>
      <c r="J1461" s="735"/>
      <c r="K1461" s="735"/>
      <c r="L1461" s="735"/>
      <c r="M1461" s="735"/>
      <c r="N1461" s="735"/>
      <c r="O1461" s="19"/>
      <c r="P1461" s="19"/>
      <c r="Q1461" s="19"/>
      <c r="R1461" s="19"/>
      <c r="S1461" s="19"/>
      <c r="T1461" s="19"/>
      <c r="U1461" s="19"/>
      <c r="V1461" s="19"/>
      <c r="W1461" s="19"/>
      <c r="X1461" s="19"/>
      <c r="Y1461" s="19"/>
      <c r="Z1461" s="19"/>
      <c r="AA1461" s="19"/>
      <c r="AB1461" s="19"/>
      <c r="FE1461" s="54"/>
    </row>
    <row r="1462" spans="1:161" s="18" customFormat="1">
      <c r="A1462" s="51"/>
      <c r="B1462" s="735"/>
      <c r="C1462" s="735"/>
      <c r="D1462" s="735"/>
      <c r="E1462" s="735"/>
      <c r="F1462" s="736"/>
      <c r="G1462" s="735"/>
      <c r="H1462" s="735"/>
      <c r="I1462" s="735"/>
      <c r="J1462" s="735"/>
      <c r="K1462" s="735"/>
      <c r="L1462" s="735"/>
      <c r="M1462" s="735"/>
      <c r="N1462" s="735"/>
      <c r="O1462" s="19"/>
      <c r="P1462" s="19"/>
      <c r="Q1462" s="19"/>
      <c r="R1462" s="19"/>
      <c r="S1462" s="19"/>
      <c r="T1462" s="19"/>
      <c r="U1462" s="19"/>
      <c r="V1462" s="19"/>
      <c r="W1462" s="19"/>
      <c r="X1462" s="19"/>
      <c r="Y1462" s="19"/>
      <c r="Z1462" s="19"/>
      <c r="AA1462" s="19"/>
      <c r="AB1462" s="19"/>
      <c r="FE1462" s="54"/>
    </row>
    <row r="1463" spans="1:161" s="18" customFormat="1">
      <c r="A1463" s="51"/>
      <c r="B1463" s="735"/>
      <c r="C1463" s="735"/>
      <c r="D1463" s="735"/>
      <c r="E1463" s="735"/>
      <c r="F1463" s="736"/>
      <c r="G1463" s="735"/>
      <c r="H1463" s="735"/>
      <c r="I1463" s="735"/>
      <c r="J1463" s="735"/>
      <c r="K1463" s="735"/>
      <c r="L1463" s="735"/>
      <c r="M1463" s="735"/>
      <c r="N1463" s="735"/>
      <c r="O1463" s="19"/>
      <c r="P1463" s="19"/>
      <c r="Q1463" s="19"/>
      <c r="R1463" s="19"/>
      <c r="S1463" s="19"/>
      <c r="T1463" s="19"/>
      <c r="U1463" s="19"/>
      <c r="V1463" s="19"/>
      <c r="W1463" s="19"/>
      <c r="X1463" s="19"/>
      <c r="Y1463" s="19"/>
      <c r="Z1463" s="19"/>
      <c r="AA1463" s="19"/>
      <c r="AB1463" s="19"/>
      <c r="FE1463" s="54"/>
    </row>
    <row r="1464" spans="1:161" s="18" customFormat="1">
      <c r="A1464" s="51"/>
      <c r="B1464" s="735"/>
      <c r="C1464" s="735"/>
      <c r="D1464" s="735"/>
      <c r="E1464" s="735"/>
      <c r="F1464" s="736"/>
      <c r="G1464" s="735"/>
      <c r="H1464" s="735"/>
      <c r="I1464" s="735"/>
      <c r="J1464" s="735"/>
      <c r="K1464" s="735"/>
      <c r="L1464" s="735"/>
      <c r="M1464" s="735"/>
      <c r="N1464" s="735"/>
      <c r="O1464" s="19"/>
      <c r="P1464" s="19"/>
      <c r="Q1464" s="19"/>
      <c r="R1464" s="19"/>
      <c r="S1464" s="19"/>
      <c r="T1464" s="19"/>
      <c r="U1464" s="19"/>
      <c r="V1464" s="19"/>
      <c r="W1464" s="19"/>
      <c r="X1464" s="19"/>
      <c r="Y1464" s="19"/>
      <c r="Z1464" s="19"/>
      <c r="AA1464" s="19"/>
      <c r="AB1464" s="19"/>
      <c r="FE1464" s="54"/>
    </row>
    <row r="1465" spans="1:161" s="18" customFormat="1">
      <c r="A1465" s="51"/>
      <c r="B1465" s="735"/>
      <c r="C1465" s="735"/>
      <c r="D1465" s="735"/>
      <c r="E1465" s="735"/>
      <c r="F1465" s="736"/>
      <c r="G1465" s="735"/>
      <c r="H1465" s="735"/>
      <c r="I1465" s="735"/>
      <c r="J1465" s="735"/>
      <c r="K1465" s="735"/>
      <c r="L1465" s="735"/>
      <c r="M1465" s="735"/>
      <c r="N1465" s="735"/>
      <c r="O1465" s="19"/>
      <c r="P1465" s="19"/>
      <c r="Q1465" s="19"/>
      <c r="R1465" s="19"/>
      <c r="S1465" s="19"/>
      <c r="T1465" s="19"/>
      <c r="U1465" s="19"/>
      <c r="V1465" s="19"/>
      <c r="W1465" s="19"/>
      <c r="X1465" s="19"/>
      <c r="Y1465" s="19"/>
      <c r="Z1465" s="19"/>
      <c r="AA1465" s="19"/>
      <c r="AB1465" s="19"/>
      <c r="FE1465" s="54"/>
    </row>
    <row r="1466" spans="1:161" s="18" customFormat="1">
      <c r="A1466" s="51"/>
      <c r="B1466" s="735"/>
      <c r="C1466" s="735"/>
      <c r="D1466" s="735"/>
      <c r="E1466" s="735"/>
      <c r="F1466" s="736"/>
      <c r="G1466" s="735"/>
      <c r="H1466" s="735"/>
      <c r="I1466" s="735"/>
      <c r="J1466" s="735"/>
      <c r="K1466" s="735"/>
      <c r="L1466" s="735"/>
      <c r="M1466" s="735"/>
      <c r="N1466" s="735"/>
      <c r="O1466" s="19"/>
      <c r="P1466" s="19"/>
      <c r="Q1466" s="19"/>
      <c r="R1466" s="19"/>
      <c r="S1466" s="19"/>
      <c r="T1466" s="19"/>
      <c r="U1466" s="19"/>
      <c r="V1466" s="19"/>
      <c r="W1466" s="19"/>
      <c r="X1466" s="19"/>
      <c r="Y1466" s="19"/>
      <c r="Z1466" s="19"/>
      <c r="AA1466" s="19"/>
      <c r="AB1466" s="19"/>
      <c r="FE1466" s="54"/>
    </row>
    <row r="1467" spans="1:161" s="18" customFormat="1">
      <c r="A1467" s="51"/>
      <c r="B1467" s="735"/>
      <c r="C1467" s="735"/>
      <c r="D1467" s="735"/>
      <c r="E1467" s="735"/>
      <c r="F1467" s="736"/>
      <c r="G1467" s="735"/>
      <c r="H1467" s="735"/>
      <c r="I1467" s="735"/>
      <c r="J1467" s="735"/>
      <c r="K1467" s="735"/>
      <c r="L1467" s="735"/>
      <c r="M1467" s="735"/>
      <c r="N1467" s="735"/>
      <c r="O1467" s="19"/>
      <c r="P1467" s="19"/>
      <c r="Q1467" s="19"/>
      <c r="R1467" s="19"/>
      <c r="S1467" s="19"/>
      <c r="T1467" s="19"/>
      <c r="U1467" s="19"/>
      <c r="V1467" s="19"/>
      <c r="W1467" s="19"/>
      <c r="X1467" s="19"/>
      <c r="Y1467" s="19"/>
      <c r="Z1467" s="19"/>
      <c r="AA1467" s="19"/>
      <c r="AB1467" s="19"/>
      <c r="FE1467" s="54"/>
    </row>
    <row r="1468" spans="1:161" s="18" customFormat="1">
      <c r="A1468" s="51"/>
      <c r="B1468" s="735"/>
      <c r="C1468" s="735"/>
      <c r="D1468" s="735"/>
      <c r="E1468" s="735"/>
      <c r="F1468" s="736"/>
      <c r="G1468" s="735"/>
      <c r="H1468" s="735"/>
      <c r="I1468" s="735"/>
      <c r="J1468" s="735"/>
      <c r="K1468" s="735"/>
      <c r="L1468" s="735"/>
      <c r="M1468" s="735"/>
      <c r="N1468" s="735"/>
      <c r="O1468" s="19"/>
      <c r="P1468" s="19"/>
      <c r="Q1468" s="19"/>
      <c r="R1468" s="19"/>
      <c r="S1468" s="19"/>
      <c r="T1468" s="19"/>
      <c r="U1468" s="19"/>
      <c r="V1468" s="19"/>
      <c r="W1468" s="19"/>
      <c r="X1468" s="19"/>
      <c r="Y1468" s="19"/>
      <c r="Z1468" s="19"/>
      <c r="AA1468" s="19"/>
      <c r="AB1468" s="19"/>
      <c r="FE1468" s="54"/>
    </row>
    <row r="1469" spans="1:161" s="18" customFormat="1">
      <c r="A1469" s="51"/>
      <c r="B1469" s="735"/>
      <c r="C1469" s="735"/>
      <c r="D1469" s="735"/>
      <c r="E1469" s="735"/>
      <c r="F1469" s="736"/>
      <c r="G1469" s="735"/>
      <c r="H1469" s="735"/>
      <c r="I1469" s="735"/>
      <c r="J1469" s="735"/>
      <c r="K1469" s="735"/>
      <c r="L1469" s="735"/>
      <c r="M1469" s="735"/>
      <c r="N1469" s="735"/>
      <c r="O1469" s="19"/>
      <c r="P1469" s="19"/>
      <c r="Q1469" s="19"/>
      <c r="R1469" s="19"/>
      <c r="S1469" s="19"/>
      <c r="T1469" s="19"/>
      <c r="U1469" s="19"/>
      <c r="V1469" s="19"/>
      <c r="W1469" s="19"/>
      <c r="X1469" s="19"/>
      <c r="Y1469" s="19"/>
      <c r="Z1469" s="19"/>
      <c r="AA1469" s="19"/>
      <c r="AB1469" s="19"/>
      <c r="FE1469" s="54"/>
    </row>
    <row r="1470" spans="1:161" s="18" customFormat="1">
      <c r="A1470" s="51"/>
      <c r="B1470" s="735"/>
      <c r="C1470" s="735"/>
      <c r="D1470" s="735"/>
      <c r="E1470" s="735"/>
      <c r="F1470" s="736"/>
      <c r="G1470" s="735"/>
      <c r="H1470" s="735"/>
      <c r="I1470" s="735"/>
      <c r="J1470" s="735"/>
      <c r="K1470" s="735"/>
      <c r="L1470" s="735"/>
      <c r="M1470" s="735"/>
      <c r="N1470" s="735"/>
      <c r="O1470" s="19"/>
      <c r="P1470" s="19"/>
      <c r="Q1470" s="19"/>
      <c r="R1470" s="19"/>
      <c r="S1470" s="19"/>
      <c r="T1470" s="19"/>
      <c r="U1470" s="19"/>
      <c r="V1470" s="19"/>
      <c r="W1470" s="19"/>
      <c r="X1470" s="19"/>
      <c r="Y1470" s="19"/>
      <c r="Z1470" s="19"/>
      <c r="AA1470" s="19"/>
      <c r="AB1470" s="19"/>
      <c r="FE1470" s="54"/>
    </row>
    <row r="1471" spans="1:161" s="18" customFormat="1">
      <c r="A1471" s="51"/>
      <c r="B1471" s="735"/>
      <c r="C1471" s="735"/>
      <c r="D1471" s="735"/>
      <c r="E1471" s="735"/>
      <c r="F1471" s="736"/>
      <c r="G1471" s="735"/>
      <c r="H1471" s="735"/>
      <c r="I1471" s="735"/>
      <c r="J1471" s="735"/>
      <c r="K1471" s="735"/>
      <c r="L1471" s="735"/>
      <c r="M1471" s="735"/>
      <c r="N1471" s="735"/>
      <c r="O1471" s="19"/>
      <c r="P1471" s="19"/>
      <c r="Q1471" s="19"/>
      <c r="R1471" s="19"/>
      <c r="S1471" s="19"/>
      <c r="T1471" s="19"/>
      <c r="U1471" s="19"/>
      <c r="V1471" s="19"/>
      <c r="W1471" s="19"/>
      <c r="X1471" s="19"/>
      <c r="Y1471" s="19"/>
      <c r="Z1471" s="19"/>
      <c r="AA1471" s="19"/>
      <c r="AB1471" s="19"/>
      <c r="FE1471" s="54"/>
    </row>
    <row r="1472" spans="1:161" s="18" customFormat="1">
      <c r="A1472" s="51"/>
      <c r="B1472" s="735"/>
      <c r="C1472" s="735"/>
      <c r="D1472" s="735"/>
      <c r="E1472" s="735"/>
      <c r="F1472" s="736"/>
      <c r="G1472" s="735"/>
      <c r="H1472" s="735"/>
      <c r="I1472" s="735"/>
      <c r="J1472" s="735"/>
      <c r="K1472" s="735"/>
      <c r="L1472" s="735"/>
      <c r="M1472" s="735"/>
      <c r="N1472" s="735"/>
      <c r="O1472" s="19"/>
      <c r="P1472" s="19"/>
      <c r="Q1472" s="19"/>
      <c r="R1472" s="19"/>
      <c r="S1472" s="19"/>
      <c r="T1472" s="19"/>
      <c r="U1472" s="19"/>
      <c r="V1472" s="19"/>
      <c r="W1472" s="19"/>
      <c r="X1472" s="19"/>
      <c r="Y1472" s="19"/>
      <c r="Z1472" s="19"/>
      <c r="AA1472" s="19"/>
      <c r="AB1472" s="19"/>
      <c r="FE1472" s="54"/>
    </row>
    <row r="1473" spans="1:161" s="18" customFormat="1">
      <c r="A1473" s="51"/>
      <c r="B1473" s="735"/>
      <c r="C1473" s="735"/>
      <c r="D1473" s="735"/>
      <c r="E1473" s="735"/>
      <c r="F1473" s="736"/>
      <c r="G1473" s="735"/>
      <c r="H1473" s="735"/>
      <c r="I1473" s="735"/>
      <c r="J1473" s="735"/>
      <c r="K1473" s="735"/>
      <c r="L1473" s="735"/>
      <c r="M1473" s="735"/>
      <c r="N1473" s="735"/>
      <c r="O1473" s="19"/>
      <c r="P1473" s="19"/>
      <c r="Q1473" s="19"/>
      <c r="R1473" s="19"/>
      <c r="S1473" s="19"/>
      <c r="T1473" s="19"/>
      <c r="U1473" s="19"/>
      <c r="V1473" s="19"/>
      <c r="W1473" s="19"/>
      <c r="X1473" s="19"/>
      <c r="Y1473" s="19"/>
      <c r="Z1473" s="19"/>
      <c r="AA1473" s="19"/>
      <c r="AB1473" s="19"/>
      <c r="FE1473" s="54"/>
    </row>
    <row r="1474" spans="1:161" s="18" customFormat="1">
      <c r="A1474" s="51"/>
      <c r="B1474" s="735"/>
      <c r="C1474" s="735"/>
      <c r="D1474" s="735"/>
      <c r="E1474" s="735"/>
      <c r="F1474" s="736"/>
      <c r="G1474" s="735"/>
      <c r="H1474" s="735"/>
      <c r="I1474" s="735"/>
      <c r="J1474" s="735"/>
      <c r="K1474" s="735"/>
      <c r="L1474" s="735"/>
      <c r="M1474" s="735"/>
      <c r="N1474" s="735"/>
      <c r="O1474" s="19"/>
      <c r="P1474" s="19"/>
      <c r="Q1474" s="19"/>
      <c r="R1474" s="19"/>
      <c r="S1474" s="19"/>
      <c r="T1474" s="19"/>
      <c r="U1474" s="19"/>
      <c r="V1474" s="19"/>
      <c r="W1474" s="19"/>
      <c r="X1474" s="19"/>
      <c r="Y1474" s="19"/>
      <c r="Z1474" s="19"/>
      <c r="AA1474" s="19"/>
      <c r="AB1474" s="19"/>
      <c r="FE1474" s="54"/>
    </row>
    <row r="1475" spans="1:161" s="18" customFormat="1">
      <c r="A1475" s="51"/>
      <c r="B1475" s="735"/>
      <c r="C1475" s="735"/>
      <c r="D1475" s="735"/>
      <c r="E1475" s="735"/>
      <c r="F1475" s="736"/>
      <c r="G1475" s="735"/>
      <c r="H1475" s="735"/>
      <c r="I1475" s="735"/>
      <c r="J1475" s="735"/>
      <c r="K1475" s="735"/>
      <c r="L1475" s="735"/>
      <c r="M1475" s="735"/>
      <c r="N1475" s="735"/>
      <c r="O1475" s="19"/>
      <c r="P1475" s="19"/>
      <c r="Q1475" s="19"/>
      <c r="R1475" s="19"/>
      <c r="S1475" s="19"/>
      <c r="T1475" s="19"/>
      <c r="U1475" s="19"/>
      <c r="V1475" s="19"/>
      <c r="W1475" s="19"/>
      <c r="X1475" s="19"/>
      <c r="Y1475" s="19"/>
      <c r="Z1475" s="19"/>
      <c r="AA1475" s="19"/>
      <c r="AB1475" s="19"/>
      <c r="FE1475" s="54"/>
    </row>
    <row r="1476" spans="1:161" s="18" customFormat="1">
      <c r="A1476" s="51"/>
      <c r="B1476" s="735"/>
      <c r="C1476" s="735"/>
      <c r="D1476" s="735"/>
      <c r="E1476" s="735"/>
      <c r="F1476" s="736"/>
      <c r="G1476" s="735"/>
      <c r="H1476" s="735"/>
      <c r="I1476" s="735"/>
      <c r="J1476" s="735"/>
      <c r="K1476" s="735"/>
      <c r="L1476" s="735"/>
      <c r="M1476" s="735"/>
      <c r="N1476" s="735"/>
      <c r="O1476" s="19"/>
      <c r="P1476" s="19"/>
      <c r="Q1476" s="19"/>
      <c r="R1476" s="19"/>
      <c r="S1476" s="19"/>
      <c r="T1476" s="19"/>
      <c r="U1476" s="19"/>
      <c r="V1476" s="19"/>
      <c r="W1476" s="19"/>
      <c r="X1476" s="19"/>
      <c r="Y1476" s="19"/>
      <c r="Z1476" s="19"/>
      <c r="AA1476" s="19"/>
      <c r="AB1476" s="19"/>
      <c r="FE1476" s="54"/>
    </row>
    <row r="1477" spans="1:161" s="18" customFormat="1">
      <c r="A1477" s="51"/>
      <c r="B1477" s="735"/>
      <c r="C1477" s="735"/>
      <c r="D1477" s="735"/>
      <c r="E1477" s="735"/>
      <c r="F1477" s="736"/>
      <c r="G1477" s="735"/>
      <c r="H1477" s="735"/>
      <c r="I1477" s="735"/>
      <c r="J1477" s="735"/>
      <c r="K1477" s="735"/>
      <c r="L1477" s="735"/>
      <c r="M1477" s="735"/>
      <c r="N1477" s="735"/>
      <c r="O1477" s="19"/>
      <c r="P1477" s="19"/>
      <c r="Q1477" s="19"/>
      <c r="R1477" s="19"/>
      <c r="S1477" s="19"/>
      <c r="T1477" s="19"/>
      <c r="U1477" s="19"/>
      <c r="V1477" s="19"/>
      <c r="W1477" s="19"/>
      <c r="X1477" s="19"/>
      <c r="Y1477" s="19"/>
      <c r="Z1477" s="19"/>
      <c r="AA1477" s="19"/>
      <c r="AB1477" s="19"/>
      <c r="FE1477" s="54"/>
    </row>
    <row r="1478" spans="1:161" s="18" customFormat="1">
      <c r="A1478" s="51"/>
      <c r="B1478" s="735"/>
      <c r="C1478" s="735"/>
      <c r="D1478" s="735"/>
      <c r="E1478" s="735"/>
      <c r="F1478" s="736"/>
      <c r="G1478" s="735"/>
      <c r="H1478" s="735"/>
      <c r="I1478" s="735"/>
      <c r="J1478" s="735"/>
      <c r="K1478" s="735"/>
      <c r="L1478" s="735"/>
      <c r="M1478" s="735"/>
      <c r="N1478" s="735"/>
      <c r="O1478" s="19"/>
      <c r="P1478" s="19"/>
      <c r="Q1478" s="19"/>
      <c r="R1478" s="19"/>
      <c r="S1478" s="19"/>
      <c r="T1478" s="19"/>
      <c r="U1478" s="19"/>
      <c r="V1478" s="19"/>
      <c r="W1478" s="19"/>
      <c r="X1478" s="19"/>
      <c r="Y1478" s="19"/>
      <c r="Z1478" s="19"/>
      <c r="AA1478" s="19"/>
      <c r="AB1478" s="19"/>
      <c r="FE1478" s="54"/>
    </row>
    <row r="1479" spans="1:161" s="18" customFormat="1">
      <c r="A1479" s="51"/>
      <c r="B1479" s="735"/>
      <c r="C1479" s="735"/>
      <c r="D1479" s="735"/>
      <c r="E1479" s="735"/>
      <c r="F1479" s="736"/>
      <c r="G1479" s="735"/>
      <c r="H1479" s="735"/>
      <c r="I1479" s="735"/>
      <c r="J1479" s="735"/>
      <c r="K1479" s="735"/>
      <c r="L1479" s="735"/>
      <c r="M1479" s="735"/>
      <c r="N1479" s="735"/>
      <c r="O1479" s="19"/>
      <c r="P1479" s="19"/>
      <c r="Q1479" s="19"/>
      <c r="R1479" s="19"/>
      <c r="S1479" s="19"/>
      <c r="T1479" s="19"/>
      <c r="U1479" s="19"/>
      <c r="V1479" s="19"/>
      <c r="W1479" s="19"/>
      <c r="X1479" s="19"/>
      <c r="Y1479" s="19"/>
      <c r="Z1479" s="19"/>
      <c r="AA1479" s="19"/>
      <c r="AB1479" s="19"/>
      <c r="FE1479" s="54"/>
    </row>
    <row r="1480" spans="1:161" s="18" customFormat="1">
      <c r="A1480" s="51"/>
      <c r="B1480" s="735"/>
      <c r="C1480" s="735"/>
      <c r="D1480" s="735"/>
      <c r="E1480" s="735"/>
      <c r="F1480" s="736"/>
      <c r="G1480" s="735"/>
      <c r="H1480" s="735"/>
      <c r="I1480" s="735"/>
      <c r="J1480" s="735"/>
      <c r="K1480" s="735"/>
      <c r="L1480" s="735"/>
      <c r="M1480" s="735"/>
      <c r="N1480" s="735"/>
      <c r="O1480" s="19"/>
      <c r="P1480" s="19"/>
      <c r="Q1480" s="19"/>
      <c r="R1480" s="19"/>
      <c r="S1480" s="19"/>
      <c r="T1480" s="19"/>
      <c r="U1480" s="19"/>
      <c r="V1480" s="19"/>
      <c r="W1480" s="19"/>
      <c r="X1480" s="19"/>
      <c r="Y1480" s="19"/>
      <c r="Z1480" s="19"/>
      <c r="AA1480" s="19"/>
      <c r="AB1480" s="19"/>
      <c r="FE1480" s="54"/>
    </row>
    <row r="1481" spans="1:161" s="18" customFormat="1">
      <c r="A1481" s="51"/>
      <c r="B1481" s="735"/>
      <c r="C1481" s="735"/>
      <c r="D1481" s="735"/>
      <c r="E1481" s="735"/>
      <c r="F1481" s="736"/>
      <c r="G1481" s="735"/>
      <c r="H1481" s="735"/>
      <c r="I1481" s="735"/>
      <c r="J1481" s="735"/>
      <c r="K1481" s="735"/>
      <c r="L1481" s="735"/>
      <c r="M1481" s="735"/>
      <c r="N1481" s="735"/>
      <c r="O1481" s="19"/>
      <c r="P1481" s="19"/>
      <c r="Q1481" s="19"/>
      <c r="R1481" s="19"/>
      <c r="S1481" s="19"/>
      <c r="T1481" s="19"/>
      <c r="U1481" s="19"/>
      <c r="V1481" s="19"/>
      <c r="W1481" s="19"/>
      <c r="X1481" s="19"/>
      <c r="Y1481" s="19"/>
      <c r="Z1481" s="19"/>
      <c r="AA1481" s="19"/>
      <c r="AB1481" s="19"/>
      <c r="FE1481" s="54"/>
    </row>
    <row r="1482" spans="1:161" s="18" customFormat="1">
      <c r="A1482" s="51"/>
      <c r="B1482" s="735"/>
      <c r="C1482" s="735"/>
      <c r="D1482" s="735"/>
      <c r="E1482" s="735"/>
      <c r="F1482" s="736"/>
      <c r="G1482" s="735"/>
      <c r="H1482" s="735"/>
      <c r="I1482" s="735"/>
      <c r="J1482" s="735"/>
      <c r="K1482" s="735"/>
      <c r="L1482" s="735"/>
      <c r="M1482" s="735"/>
      <c r="N1482" s="735"/>
      <c r="O1482" s="19"/>
      <c r="P1482" s="19"/>
      <c r="Q1482" s="19"/>
      <c r="R1482" s="19"/>
      <c r="S1482" s="19"/>
      <c r="T1482" s="19"/>
      <c r="U1482" s="19"/>
      <c r="V1482" s="19"/>
      <c r="W1482" s="19"/>
      <c r="X1482" s="19"/>
      <c r="Y1482" s="19"/>
      <c r="Z1482" s="19"/>
      <c r="AA1482" s="19"/>
      <c r="AB1482" s="19"/>
      <c r="FE1482" s="54"/>
    </row>
    <row r="1483" spans="1:161" s="18" customFormat="1">
      <c r="A1483" s="51"/>
      <c r="B1483" s="735"/>
      <c r="C1483" s="735"/>
      <c r="D1483" s="735"/>
      <c r="E1483" s="735"/>
      <c r="F1483" s="736"/>
      <c r="G1483" s="735"/>
      <c r="H1483" s="735"/>
      <c r="I1483" s="735"/>
      <c r="J1483" s="735"/>
      <c r="K1483" s="735"/>
      <c r="L1483" s="735"/>
      <c r="M1483" s="735"/>
      <c r="N1483" s="735"/>
      <c r="O1483" s="19"/>
      <c r="P1483" s="19"/>
      <c r="Q1483" s="19"/>
      <c r="R1483" s="19"/>
      <c r="S1483" s="19"/>
      <c r="T1483" s="19"/>
      <c r="U1483" s="19"/>
      <c r="V1483" s="19"/>
      <c r="W1483" s="19"/>
      <c r="X1483" s="19"/>
      <c r="Y1483" s="19"/>
      <c r="Z1483" s="19"/>
      <c r="AA1483" s="19"/>
      <c r="AB1483" s="19"/>
      <c r="FE1483" s="54"/>
    </row>
    <row r="1484" spans="1:161" s="18" customFormat="1">
      <c r="A1484" s="51"/>
      <c r="B1484" s="735"/>
      <c r="C1484" s="735"/>
      <c r="D1484" s="735"/>
      <c r="E1484" s="735"/>
      <c r="F1484" s="736"/>
      <c r="G1484" s="735"/>
      <c r="H1484" s="735"/>
      <c r="I1484" s="735"/>
      <c r="J1484" s="735"/>
      <c r="K1484" s="735"/>
      <c r="L1484" s="735"/>
      <c r="M1484" s="735"/>
      <c r="N1484" s="735"/>
      <c r="O1484" s="19"/>
      <c r="P1484" s="19"/>
      <c r="Q1484" s="19"/>
      <c r="R1484" s="19"/>
      <c r="S1484" s="19"/>
      <c r="T1484" s="19"/>
      <c r="U1484" s="19"/>
      <c r="V1484" s="19"/>
      <c r="W1484" s="19"/>
      <c r="X1484" s="19"/>
      <c r="Y1484" s="19"/>
      <c r="Z1484" s="19"/>
      <c r="AA1484" s="19"/>
      <c r="AB1484" s="19"/>
      <c r="FE1484" s="54"/>
    </row>
    <row r="1485" spans="1:161" s="18" customFormat="1">
      <c r="A1485" s="51"/>
      <c r="B1485" s="735"/>
      <c r="C1485" s="735"/>
      <c r="D1485" s="735"/>
      <c r="E1485" s="735"/>
      <c r="F1485" s="736"/>
      <c r="G1485" s="735"/>
      <c r="H1485" s="735"/>
      <c r="I1485" s="735"/>
      <c r="J1485" s="735"/>
      <c r="K1485" s="735"/>
      <c r="L1485" s="735"/>
      <c r="M1485" s="735"/>
      <c r="N1485" s="735"/>
      <c r="O1485" s="19"/>
      <c r="P1485" s="19"/>
      <c r="Q1485" s="19"/>
      <c r="R1485" s="19"/>
      <c r="S1485" s="19"/>
      <c r="T1485" s="19"/>
      <c r="U1485" s="19"/>
      <c r="V1485" s="19"/>
      <c r="W1485" s="19"/>
      <c r="X1485" s="19"/>
      <c r="Y1485" s="19"/>
      <c r="Z1485" s="19"/>
      <c r="AA1485" s="19"/>
      <c r="AB1485" s="19"/>
      <c r="FE1485" s="54"/>
    </row>
    <row r="1486" spans="1:161" s="18" customFormat="1">
      <c r="A1486" s="51"/>
      <c r="B1486" s="735"/>
      <c r="C1486" s="735"/>
      <c r="D1486" s="735"/>
      <c r="E1486" s="735"/>
      <c r="F1486" s="736"/>
      <c r="G1486" s="735"/>
      <c r="H1486" s="735"/>
      <c r="I1486" s="735"/>
      <c r="J1486" s="735"/>
      <c r="K1486" s="735"/>
      <c r="L1486" s="735"/>
      <c r="M1486" s="735"/>
      <c r="N1486" s="735"/>
      <c r="O1486" s="19"/>
      <c r="P1486" s="19"/>
      <c r="Q1486" s="19"/>
      <c r="R1486" s="19"/>
      <c r="S1486" s="19"/>
      <c r="T1486" s="19"/>
      <c r="U1486" s="19"/>
      <c r="V1486" s="19"/>
      <c r="W1486" s="19"/>
      <c r="X1486" s="19"/>
      <c r="Y1486" s="19"/>
      <c r="Z1486" s="19"/>
      <c r="AA1486" s="19"/>
      <c r="AB1486" s="19"/>
      <c r="FE1486" s="54"/>
    </row>
    <row r="1487" spans="1:161" s="18" customFormat="1">
      <c r="A1487" s="51"/>
      <c r="B1487" s="735"/>
      <c r="C1487" s="735"/>
      <c r="D1487" s="735"/>
      <c r="E1487" s="735"/>
      <c r="F1487" s="736"/>
      <c r="G1487" s="735"/>
      <c r="H1487" s="735"/>
      <c r="I1487" s="735"/>
      <c r="J1487" s="735"/>
      <c r="K1487" s="735"/>
      <c r="L1487" s="735"/>
      <c r="M1487" s="735"/>
      <c r="N1487" s="735"/>
      <c r="O1487" s="19"/>
      <c r="P1487" s="19"/>
      <c r="Q1487" s="19"/>
      <c r="R1487" s="19"/>
      <c r="S1487" s="19"/>
      <c r="T1487" s="19"/>
      <c r="U1487" s="19"/>
      <c r="V1487" s="19"/>
      <c r="W1487" s="19"/>
      <c r="X1487" s="19"/>
      <c r="Y1487" s="19"/>
      <c r="Z1487" s="19"/>
      <c r="AA1487" s="19"/>
      <c r="AB1487" s="19"/>
      <c r="FE1487" s="54"/>
    </row>
    <row r="1488" spans="1:161" s="18" customFormat="1">
      <c r="A1488" s="51"/>
      <c r="B1488" s="735"/>
      <c r="C1488" s="735"/>
      <c r="D1488" s="735"/>
      <c r="E1488" s="735"/>
      <c r="F1488" s="736"/>
      <c r="G1488" s="735"/>
      <c r="H1488" s="735"/>
      <c r="I1488" s="735"/>
      <c r="J1488" s="735"/>
      <c r="K1488" s="735"/>
      <c r="L1488" s="735"/>
      <c r="M1488" s="735"/>
      <c r="N1488" s="735"/>
      <c r="O1488" s="19"/>
      <c r="P1488" s="19"/>
      <c r="Q1488" s="19"/>
      <c r="R1488" s="19"/>
      <c r="S1488" s="19"/>
      <c r="T1488" s="19"/>
      <c r="U1488" s="19"/>
      <c r="V1488" s="19"/>
      <c r="W1488" s="19"/>
      <c r="X1488" s="19"/>
      <c r="Y1488" s="19"/>
      <c r="Z1488" s="19"/>
      <c r="AA1488" s="19"/>
      <c r="AB1488" s="19"/>
      <c r="FE1488" s="54"/>
    </row>
    <row r="1489" spans="1:161" s="18" customFormat="1">
      <c r="A1489" s="51"/>
      <c r="B1489" s="735"/>
      <c r="C1489" s="735"/>
      <c r="D1489" s="735"/>
      <c r="E1489" s="735"/>
      <c r="F1489" s="736"/>
      <c r="G1489" s="735"/>
      <c r="H1489" s="735"/>
      <c r="I1489" s="735"/>
      <c r="J1489" s="735"/>
      <c r="K1489" s="735"/>
      <c r="L1489" s="735"/>
      <c r="M1489" s="735"/>
      <c r="N1489" s="735"/>
      <c r="O1489" s="19"/>
      <c r="P1489" s="19"/>
      <c r="Q1489" s="19"/>
      <c r="R1489" s="19"/>
      <c r="S1489" s="19"/>
      <c r="T1489" s="19"/>
      <c r="U1489" s="19"/>
      <c r="V1489" s="19"/>
      <c r="W1489" s="19"/>
      <c r="X1489" s="19"/>
      <c r="Y1489" s="19"/>
      <c r="Z1489" s="19"/>
      <c r="AA1489" s="19"/>
      <c r="AB1489" s="19"/>
      <c r="FE1489" s="54"/>
    </row>
    <row r="1490" spans="1:161" s="18" customFormat="1">
      <c r="A1490" s="51"/>
      <c r="B1490" s="735"/>
      <c r="C1490" s="735"/>
      <c r="D1490" s="735"/>
      <c r="E1490" s="735"/>
      <c r="F1490" s="736"/>
      <c r="G1490" s="735"/>
      <c r="H1490" s="735"/>
      <c r="I1490" s="735"/>
      <c r="J1490" s="735"/>
      <c r="K1490" s="735"/>
      <c r="L1490" s="735"/>
      <c r="M1490" s="735"/>
      <c r="N1490" s="735"/>
      <c r="O1490" s="19"/>
      <c r="P1490" s="19"/>
      <c r="Q1490" s="19"/>
      <c r="R1490" s="19"/>
      <c r="S1490" s="19"/>
      <c r="T1490" s="19"/>
      <c r="U1490" s="19"/>
      <c r="V1490" s="19"/>
      <c r="W1490" s="19"/>
      <c r="X1490" s="19"/>
      <c r="Y1490" s="19"/>
      <c r="Z1490" s="19"/>
      <c r="AA1490" s="19"/>
      <c r="AB1490" s="19"/>
      <c r="FE1490" s="54"/>
    </row>
    <row r="1491" spans="1:161" s="18" customFormat="1">
      <c r="A1491" s="51"/>
      <c r="B1491" s="735"/>
      <c r="C1491" s="735"/>
      <c r="D1491" s="735"/>
      <c r="E1491" s="735"/>
      <c r="F1491" s="736"/>
      <c r="G1491" s="735"/>
      <c r="H1491" s="735"/>
      <c r="I1491" s="735"/>
      <c r="J1491" s="735"/>
      <c r="K1491" s="735"/>
      <c r="L1491" s="735"/>
      <c r="M1491" s="735"/>
      <c r="N1491" s="735"/>
      <c r="O1491" s="19"/>
      <c r="P1491" s="19"/>
      <c r="Q1491" s="19"/>
      <c r="R1491" s="19"/>
      <c r="S1491" s="19"/>
      <c r="T1491" s="19"/>
      <c r="U1491" s="19"/>
      <c r="V1491" s="19"/>
      <c r="W1491" s="19"/>
      <c r="X1491" s="19"/>
      <c r="Y1491" s="19"/>
      <c r="Z1491" s="19"/>
      <c r="AA1491" s="19"/>
      <c r="AB1491" s="19"/>
      <c r="FE1491" s="54"/>
    </row>
    <row r="1492" spans="1:161" s="18" customFormat="1">
      <c r="A1492" s="51"/>
      <c r="B1492" s="735"/>
      <c r="C1492" s="735"/>
      <c r="D1492" s="735"/>
      <c r="E1492" s="735"/>
      <c r="F1492" s="736"/>
      <c r="G1492" s="735"/>
      <c r="H1492" s="735"/>
      <c r="I1492" s="735"/>
      <c r="J1492" s="735"/>
      <c r="K1492" s="735"/>
      <c r="L1492" s="735"/>
      <c r="M1492" s="735"/>
      <c r="N1492" s="735"/>
      <c r="O1492" s="19"/>
      <c r="P1492" s="19"/>
      <c r="Q1492" s="19"/>
      <c r="R1492" s="19"/>
      <c r="S1492" s="19"/>
      <c r="T1492" s="19"/>
      <c r="U1492" s="19"/>
      <c r="V1492" s="19"/>
      <c r="W1492" s="19"/>
      <c r="X1492" s="19"/>
      <c r="Y1492" s="19"/>
      <c r="Z1492" s="19"/>
      <c r="AA1492" s="19"/>
      <c r="AB1492" s="19"/>
      <c r="FE1492" s="54"/>
    </row>
    <row r="1493" spans="1:161" s="18" customFormat="1">
      <c r="A1493" s="51"/>
      <c r="B1493" s="735"/>
      <c r="C1493" s="735"/>
      <c r="D1493" s="735"/>
      <c r="E1493" s="735"/>
      <c r="F1493" s="736"/>
      <c r="G1493" s="735"/>
      <c r="H1493" s="735"/>
      <c r="I1493" s="735"/>
      <c r="J1493" s="735"/>
      <c r="K1493" s="735"/>
      <c r="L1493" s="735"/>
      <c r="M1493" s="735"/>
      <c r="N1493" s="735"/>
      <c r="O1493" s="19"/>
      <c r="P1493" s="19"/>
      <c r="Q1493" s="19"/>
      <c r="R1493" s="19"/>
      <c r="S1493" s="19"/>
      <c r="T1493" s="19"/>
      <c r="U1493" s="19"/>
      <c r="V1493" s="19"/>
      <c r="W1493" s="19"/>
      <c r="X1493" s="19"/>
      <c r="Y1493" s="19"/>
      <c r="Z1493" s="19"/>
      <c r="AA1493" s="19"/>
      <c r="AB1493" s="19"/>
      <c r="FE1493" s="54"/>
    </row>
    <row r="1494" spans="1:161" s="18" customFormat="1">
      <c r="A1494" s="51"/>
      <c r="B1494" s="735"/>
      <c r="C1494" s="735"/>
      <c r="D1494" s="735"/>
      <c r="E1494" s="735"/>
      <c r="F1494" s="736"/>
      <c r="G1494" s="735"/>
      <c r="H1494" s="735"/>
      <c r="I1494" s="735"/>
      <c r="J1494" s="735"/>
      <c r="K1494" s="735"/>
      <c r="L1494" s="735"/>
      <c r="M1494" s="735"/>
      <c r="N1494" s="735"/>
      <c r="O1494" s="19"/>
      <c r="P1494" s="19"/>
      <c r="Q1494" s="19"/>
      <c r="R1494" s="19"/>
      <c r="S1494" s="19"/>
      <c r="T1494" s="19"/>
      <c r="U1494" s="19"/>
      <c r="V1494" s="19"/>
      <c r="W1494" s="19"/>
      <c r="X1494" s="19"/>
      <c r="Y1494" s="19"/>
      <c r="Z1494" s="19"/>
      <c r="AA1494" s="19"/>
      <c r="AB1494" s="19"/>
      <c r="FE1494" s="54"/>
    </row>
    <row r="1495" spans="1:161" s="18" customFormat="1">
      <c r="A1495" s="51"/>
      <c r="B1495" s="735"/>
      <c r="C1495" s="735"/>
      <c r="D1495" s="735"/>
      <c r="E1495" s="735"/>
      <c r="F1495" s="736"/>
      <c r="G1495" s="735"/>
      <c r="H1495" s="735"/>
      <c r="I1495" s="735"/>
      <c r="J1495" s="735"/>
      <c r="K1495" s="735"/>
      <c r="L1495" s="735"/>
      <c r="M1495" s="735"/>
      <c r="N1495" s="735"/>
      <c r="O1495" s="19"/>
      <c r="P1495" s="19"/>
      <c r="Q1495" s="19"/>
      <c r="R1495" s="19"/>
      <c r="S1495" s="19"/>
      <c r="T1495" s="19"/>
      <c r="U1495" s="19"/>
      <c r="V1495" s="19"/>
      <c r="W1495" s="19"/>
      <c r="X1495" s="19"/>
      <c r="Y1495" s="19"/>
      <c r="Z1495" s="19"/>
      <c r="AA1495" s="19"/>
      <c r="AB1495" s="19"/>
      <c r="FE1495" s="54"/>
    </row>
    <row r="1496" spans="1:161" s="18" customFormat="1">
      <c r="A1496" s="51"/>
      <c r="B1496" s="735"/>
      <c r="C1496" s="735"/>
      <c r="D1496" s="735"/>
      <c r="E1496" s="735"/>
      <c r="F1496" s="736"/>
      <c r="G1496" s="735"/>
      <c r="H1496" s="735"/>
      <c r="I1496" s="735"/>
      <c r="J1496" s="735"/>
      <c r="K1496" s="735"/>
      <c r="L1496" s="735"/>
      <c r="M1496" s="735"/>
      <c r="N1496" s="735"/>
      <c r="O1496" s="19"/>
      <c r="P1496" s="19"/>
      <c r="Q1496" s="19"/>
      <c r="R1496" s="19"/>
      <c r="S1496" s="19"/>
      <c r="T1496" s="19"/>
      <c r="U1496" s="19"/>
      <c r="V1496" s="19"/>
      <c r="W1496" s="19"/>
      <c r="X1496" s="19"/>
      <c r="Y1496" s="19"/>
      <c r="Z1496" s="19"/>
      <c r="AA1496" s="19"/>
      <c r="AB1496" s="19"/>
      <c r="FE1496" s="54"/>
    </row>
    <row r="1497" spans="1:161" s="18" customFormat="1">
      <c r="A1497" s="51"/>
      <c r="B1497" s="735"/>
      <c r="C1497" s="735"/>
      <c r="D1497" s="735"/>
      <c r="E1497" s="735"/>
      <c r="F1497" s="736"/>
      <c r="G1497" s="735"/>
      <c r="H1497" s="735"/>
      <c r="I1497" s="735"/>
      <c r="J1497" s="735"/>
      <c r="K1497" s="735"/>
      <c r="L1497" s="735"/>
      <c r="M1497" s="735"/>
      <c r="N1497" s="735"/>
      <c r="O1497" s="19"/>
      <c r="P1497" s="19"/>
      <c r="Q1497" s="19"/>
      <c r="R1497" s="19"/>
      <c r="S1497" s="19"/>
      <c r="T1497" s="19"/>
      <c r="U1497" s="19"/>
      <c r="V1497" s="19"/>
      <c r="W1497" s="19"/>
      <c r="X1497" s="19"/>
      <c r="Y1497" s="19"/>
      <c r="Z1497" s="19"/>
      <c r="AA1497" s="19"/>
      <c r="AB1497" s="19"/>
      <c r="FE1497" s="54"/>
    </row>
    <row r="1498" spans="1:161" s="18" customFormat="1">
      <c r="A1498" s="51"/>
      <c r="B1498" s="735"/>
      <c r="C1498" s="735"/>
      <c r="D1498" s="735"/>
      <c r="E1498" s="735"/>
      <c r="F1498" s="736"/>
      <c r="G1498" s="735"/>
      <c r="H1498" s="735"/>
      <c r="I1498" s="735"/>
      <c r="J1498" s="735"/>
      <c r="K1498" s="735"/>
      <c r="L1498" s="735"/>
      <c r="M1498" s="735"/>
      <c r="N1498" s="735"/>
      <c r="O1498" s="19"/>
      <c r="P1498" s="19"/>
      <c r="Q1498" s="19"/>
      <c r="R1498" s="19"/>
      <c r="S1498" s="19"/>
      <c r="T1498" s="19"/>
      <c r="U1498" s="19"/>
      <c r="V1498" s="19"/>
      <c r="W1498" s="19"/>
      <c r="X1498" s="19"/>
      <c r="Y1498" s="19"/>
      <c r="Z1498" s="19"/>
      <c r="AA1498" s="19"/>
      <c r="AB1498" s="19"/>
      <c r="FE1498" s="54"/>
    </row>
    <row r="1499" spans="1:161" s="18" customFormat="1">
      <c r="A1499" s="51"/>
      <c r="B1499" s="735"/>
      <c r="C1499" s="735"/>
      <c r="D1499" s="735"/>
      <c r="E1499" s="735"/>
      <c r="F1499" s="736"/>
      <c r="G1499" s="735"/>
      <c r="H1499" s="735"/>
      <c r="I1499" s="735"/>
      <c r="J1499" s="735"/>
      <c r="K1499" s="735"/>
      <c r="L1499" s="735"/>
      <c r="M1499" s="735"/>
      <c r="N1499" s="735"/>
      <c r="O1499" s="19"/>
      <c r="P1499" s="19"/>
      <c r="Q1499" s="19"/>
      <c r="R1499" s="19"/>
      <c r="S1499" s="19"/>
      <c r="T1499" s="19"/>
      <c r="U1499" s="19"/>
      <c r="V1499" s="19"/>
      <c r="W1499" s="19"/>
      <c r="X1499" s="19"/>
      <c r="Y1499" s="19"/>
      <c r="Z1499" s="19"/>
      <c r="AA1499" s="19"/>
      <c r="AB1499" s="19"/>
      <c r="FE1499" s="54"/>
    </row>
    <row r="1500" spans="1:161" s="18" customFormat="1">
      <c r="A1500" s="51"/>
      <c r="B1500" s="735"/>
      <c r="C1500" s="735"/>
      <c r="D1500" s="735"/>
      <c r="E1500" s="735"/>
      <c r="F1500" s="736"/>
      <c r="G1500" s="735"/>
      <c r="H1500" s="735"/>
      <c r="I1500" s="735"/>
      <c r="J1500" s="735"/>
      <c r="K1500" s="735"/>
      <c r="L1500" s="735"/>
      <c r="M1500" s="735"/>
      <c r="N1500" s="735"/>
      <c r="O1500" s="19"/>
      <c r="P1500" s="19"/>
      <c r="Q1500" s="19"/>
      <c r="R1500" s="19"/>
      <c r="S1500" s="19"/>
      <c r="T1500" s="19"/>
      <c r="U1500" s="19"/>
      <c r="V1500" s="19"/>
      <c r="W1500" s="19"/>
      <c r="X1500" s="19"/>
      <c r="Y1500" s="19"/>
      <c r="Z1500" s="19"/>
      <c r="AA1500" s="19"/>
      <c r="AB1500" s="19"/>
      <c r="FE1500" s="54"/>
    </row>
    <row r="1501" spans="1:161" s="18" customFormat="1">
      <c r="A1501" s="51"/>
      <c r="B1501" s="735"/>
      <c r="C1501" s="735"/>
      <c r="D1501" s="735"/>
      <c r="E1501" s="735"/>
      <c r="F1501" s="736"/>
      <c r="G1501" s="735"/>
      <c r="H1501" s="735"/>
      <c r="I1501" s="735"/>
      <c r="J1501" s="735"/>
      <c r="K1501" s="735"/>
      <c r="L1501" s="735"/>
      <c r="M1501" s="735"/>
      <c r="N1501" s="735"/>
      <c r="O1501" s="19"/>
      <c r="P1501" s="19"/>
      <c r="Q1501" s="19"/>
      <c r="R1501" s="19"/>
      <c r="S1501" s="19"/>
      <c r="T1501" s="19"/>
      <c r="U1501" s="19"/>
      <c r="V1501" s="19"/>
      <c r="W1501" s="19"/>
      <c r="X1501" s="19"/>
      <c r="Y1501" s="19"/>
      <c r="Z1501" s="19"/>
      <c r="AA1501" s="19"/>
      <c r="AB1501" s="19"/>
      <c r="FE1501" s="54"/>
    </row>
    <row r="1502" spans="1:161" s="18" customFormat="1">
      <c r="A1502" s="51"/>
      <c r="B1502" s="735"/>
      <c r="C1502" s="735"/>
      <c r="D1502" s="735"/>
      <c r="E1502" s="735"/>
      <c r="F1502" s="736"/>
      <c r="G1502" s="735"/>
      <c r="H1502" s="735"/>
      <c r="I1502" s="735"/>
      <c r="J1502" s="735"/>
      <c r="K1502" s="735"/>
      <c r="L1502" s="735"/>
      <c r="M1502" s="735"/>
      <c r="N1502" s="735"/>
      <c r="O1502" s="19"/>
      <c r="P1502" s="19"/>
      <c r="Q1502" s="19"/>
      <c r="R1502" s="19"/>
      <c r="S1502" s="19"/>
      <c r="T1502" s="19"/>
      <c r="U1502" s="19"/>
      <c r="V1502" s="19"/>
      <c r="W1502" s="19"/>
      <c r="X1502" s="19"/>
      <c r="Y1502" s="19"/>
      <c r="Z1502" s="19"/>
      <c r="AA1502" s="19"/>
      <c r="AB1502" s="19"/>
      <c r="FE1502" s="54"/>
    </row>
    <row r="1503" spans="1:161" s="18" customFormat="1">
      <c r="A1503" s="51"/>
      <c r="B1503" s="735"/>
      <c r="C1503" s="735"/>
      <c r="D1503" s="735"/>
      <c r="E1503" s="735"/>
      <c r="F1503" s="736"/>
      <c r="G1503" s="735"/>
      <c r="H1503" s="735"/>
      <c r="I1503" s="735"/>
      <c r="J1503" s="735"/>
      <c r="K1503" s="735"/>
      <c r="L1503" s="735"/>
      <c r="M1503" s="735"/>
      <c r="N1503" s="735"/>
      <c r="O1503" s="19"/>
      <c r="P1503" s="19"/>
      <c r="Q1503" s="19"/>
      <c r="R1503" s="19"/>
      <c r="S1503" s="19"/>
      <c r="T1503" s="19"/>
      <c r="U1503" s="19"/>
      <c r="V1503" s="19"/>
      <c r="W1503" s="19"/>
      <c r="X1503" s="19"/>
      <c r="Y1503" s="19"/>
      <c r="Z1503" s="19"/>
      <c r="AA1503" s="19"/>
      <c r="AB1503" s="19"/>
      <c r="FE1503" s="54"/>
    </row>
    <row r="1504" spans="1:161" s="18" customFormat="1">
      <c r="A1504" s="51"/>
      <c r="B1504" s="735"/>
      <c r="C1504" s="735"/>
      <c r="D1504" s="735"/>
      <c r="E1504" s="735"/>
      <c r="F1504" s="736"/>
      <c r="G1504" s="735"/>
      <c r="H1504" s="735"/>
      <c r="I1504" s="735"/>
      <c r="J1504" s="735"/>
      <c r="K1504" s="735"/>
      <c r="L1504" s="735"/>
      <c r="M1504" s="735"/>
      <c r="N1504" s="735"/>
      <c r="O1504" s="19"/>
      <c r="P1504" s="19"/>
      <c r="Q1504" s="19"/>
      <c r="R1504" s="19"/>
      <c r="S1504" s="19"/>
      <c r="T1504" s="19"/>
      <c r="U1504" s="19"/>
      <c r="V1504" s="19"/>
      <c r="W1504" s="19"/>
      <c r="X1504" s="19"/>
      <c r="Y1504" s="19"/>
      <c r="Z1504" s="19"/>
      <c r="AA1504" s="19"/>
      <c r="AB1504" s="19"/>
      <c r="FE1504" s="54"/>
    </row>
    <row r="1505" spans="1:161" s="18" customFormat="1">
      <c r="A1505" s="51"/>
      <c r="B1505" s="735"/>
      <c r="C1505" s="735"/>
      <c r="D1505" s="735"/>
      <c r="E1505" s="735"/>
      <c r="F1505" s="736"/>
      <c r="G1505" s="735"/>
      <c r="H1505" s="735"/>
      <c r="I1505" s="735"/>
      <c r="J1505" s="735"/>
      <c r="K1505" s="735"/>
      <c r="L1505" s="735"/>
      <c r="M1505" s="735"/>
      <c r="N1505" s="735"/>
      <c r="O1505" s="19"/>
      <c r="P1505" s="19"/>
      <c r="Q1505" s="19"/>
      <c r="R1505" s="19"/>
      <c r="S1505" s="19"/>
      <c r="T1505" s="19"/>
      <c r="U1505" s="19"/>
      <c r="V1505" s="19"/>
      <c r="W1505" s="19"/>
      <c r="X1505" s="19"/>
      <c r="Y1505" s="19"/>
      <c r="Z1505" s="19"/>
      <c r="AA1505" s="19"/>
      <c r="AB1505" s="19"/>
      <c r="FE1505" s="54"/>
    </row>
    <row r="1506" spans="1:161" s="18" customFormat="1">
      <c r="A1506" s="51"/>
      <c r="B1506" s="735"/>
      <c r="C1506" s="735"/>
      <c r="D1506" s="735"/>
      <c r="E1506" s="735"/>
      <c r="F1506" s="736"/>
      <c r="G1506" s="735"/>
      <c r="H1506" s="735"/>
      <c r="I1506" s="735"/>
      <c r="J1506" s="735"/>
      <c r="K1506" s="735"/>
      <c r="L1506" s="735"/>
      <c r="M1506" s="735"/>
      <c r="N1506" s="735"/>
      <c r="O1506" s="19"/>
      <c r="P1506" s="19"/>
      <c r="Q1506" s="19"/>
      <c r="R1506" s="19"/>
      <c r="S1506" s="19"/>
      <c r="T1506" s="19"/>
      <c r="U1506" s="19"/>
      <c r="V1506" s="19"/>
      <c r="W1506" s="19"/>
      <c r="X1506" s="19"/>
      <c r="Y1506" s="19"/>
      <c r="Z1506" s="19"/>
      <c r="AA1506" s="19"/>
      <c r="AB1506" s="19"/>
      <c r="FE1506" s="54"/>
    </row>
    <row r="1507" spans="1:161" s="18" customFormat="1">
      <c r="A1507" s="51"/>
      <c r="B1507" s="735"/>
      <c r="C1507" s="735"/>
      <c r="D1507" s="735"/>
      <c r="E1507" s="735"/>
      <c r="F1507" s="736"/>
      <c r="G1507" s="735"/>
      <c r="H1507" s="735"/>
      <c r="I1507" s="735"/>
      <c r="J1507" s="735"/>
      <c r="K1507" s="735"/>
      <c r="L1507" s="735"/>
      <c r="M1507" s="735"/>
      <c r="N1507" s="735"/>
      <c r="O1507" s="19"/>
      <c r="P1507" s="19"/>
      <c r="Q1507" s="19"/>
      <c r="R1507" s="19"/>
      <c r="S1507" s="19"/>
      <c r="T1507" s="19"/>
      <c r="U1507" s="19"/>
      <c r="V1507" s="19"/>
      <c r="W1507" s="19"/>
      <c r="X1507" s="19"/>
      <c r="Y1507" s="19"/>
      <c r="Z1507" s="19"/>
      <c r="AA1507" s="19"/>
      <c r="AB1507" s="19"/>
      <c r="FE1507" s="54"/>
    </row>
    <row r="1508" spans="1:161" s="18" customFormat="1">
      <c r="A1508" s="51"/>
      <c r="B1508" s="735"/>
      <c r="C1508" s="735"/>
      <c r="D1508" s="735"/>
      <c r="E1508" s="735"/>
      <c r="F1508" s="736"/>
      <c r="G1508" s="735"/>
      <c r="H1508" s="735"/>
      <c r="I1508" s="735"/>
      <c r="J1508" s="735"/>
      <c r="K1508" s="735"/>
      <c r="L1508" s="735"/>
      <c r="M1508" s="735"/>
      <c r="N1508" s="735"/>
      <c r="O1508" s="19"/>
      <c r="P1508" s="19"/>
      <c r="Q1508" s="19"/>
      <c r="R1508" s="19"/>
      <c r="S1508" s="19"/>
      <c r="T1508" s="19"/>
      <c r="U1508" s="19"/>
      <c r="V1508" s="19"/>
      <c r="W1508" s="19"/>
      <c r="X1508" s="19"/>
      <c r="Y1508" s="19"/>
      <c r="Z1508" s="19"/>
      <c r="AA1508" s="19"/>
      <c r="AB1508" s="19"/>
      <c r="FE1508" s="54"/>
    </row>
    <row r="1509" spans="1:161" s="18" customFormat="1">
      <c r="A1509" s="51"/>
      <c r="B1509" s="735"/>
      <c r="C1509" s="735"/>
      <c r="D1509" s="735"/>
      <c r="E1509" s="735"/>
      <c r="F1509" s="736"/>
      <c r="G1509" s="735"/>
      <c r="H1509" s="735"/>
      <c r="I1509" s="735"/>
      <c r="J1509" s="735"/>
      <c r="K1509" s="735"/>
      <c r="L1509" s="735"/>
      <c r="M1509" s="735"/>
      <c r="N1509" s="735"/>
      <c r="O1509" s="19"/>
      <c r="P1509" s="19"/>
      <c r="Q1509" s="19"/>
      <c r="R1509" s="19"/>
      <c r="S1509" s="19"/>
      <c r="T1509" s="19"/>
      <c r="U1509" s="19"/>
      <c r="V1509" s="19"/>
      <c r="W1509" s="19"/>
      <c r="X1509" s="19"/>
      <c r="Y1509" s="19"/>
      <c r="Z1509" s="19"/>
      <c r="AA1509" s="19"/>
      <c r="AB1509" s="19"/>
      <c r="FE1509" s="54"/>
    </row>
    <row r="1510" spans="1:161" s="18" customFormat="1">
      <c r="A1510" s="51"/>
      <c r="B1510" s="735"/>
      <c r="C1510" s="735"/>
      <c r="D1510" s="735"/>
      <c r="E1510" s="735"/>
      <c r="F1510" s="736"/>
      <c r="G1510" s="735"/>
      <c r="H1510" s="735"/>
      <c r="I1510" s="735"/>
      <c r="J1510" s="735"/>
      <c r="K1510" s="735"/>
      <c r="L1510" s="735"/>
      <c r="M1510" s="735"/>
      <c r="N1510" s="735"/>
      <c r="O1510" s="19"/>
      <c r="P1510" s="19"/>
      <c r="Q1510" s="19"/>
      <c r="R1510" s="19"/>
      <c r="S1510" s="19"/>
      <c r="T1510" s="19"/>
      <c r="U1510" s="19"/>
      <c r="V1510" s="19"/>
      <c r="W1510" s="19"/>
      <c r="X1510" s="19"/>
      <c r="Y1510" s="19"/>
      <c r="Z1510" s="19"/>
      <c r="AA1510" s="19"/>
      <c r="AB1510" s="19"/>
      <c r="FE1510" s="54"/>
    </row>
    <row r="1511" spans="1:161" s="18" customFormat="1">
      <c r="A1511" s="51"/>
      <c r="B1511" s="735"/>
      <c r="C1511" s="735"/>
      <c r="D1511" s="735"/>
      <c r="E1511" s="735"/>
      <c r="F1511" s="736"/>
      <c r="G1511" s="735"/>
      <c r="H1511" s="735"/>
      <c r="I1511" s="735"/>
      <c r="J1511" s="735"/>
      <c r="K1511" s="735"/>
      <c r="L1511" s="735"/>
      <c r="M1511" s="735"/>
      <c r="N1511" s="735"/>
      <c r="O1511" s="19"/>
      <c r="P1511" s="19"/>
      <c r="Q1511" s="19"/>
      <c r="R1511" s="19"/>
      <c r="S1511" s="19"/>
      <c r="T1511" s="19"/>
      <c r="U1511" s="19"/>
      <c r="V1511" s="19"/>
      <c r="W1511" s="19"/>
      <c r="X1511" s="19"/>
      <c r="Y1511" s="19"/>
      <c r="Z1511" s="19"/>
      <c r="AA1511" s="19"/>
      <c r="AB1511" s="19"/>
      <c r="FE1511" s="54"/>
    </row>
    <row r="1512" spans="1:161" s="18" customFormat="1">
      <c r="A1512" s="51"/>
      <c r="B1512" s="735"/>
      <c r="C1512" s="735"/>
      <c r="D1512" s="735"/>
      <c r="E1512" s="735"/>
      <c r="F1512" s="736"/>
      <c r="G1512" s="735"/>
      <c r="H1512" s="735"/>
      <c r="I1512" s="735"/>
      <c r="J1512" s="735"/>
      <c r="K1512" s="735"/>
      <c r="L1512" s="735"/>
      <c r="M1512" s="735"/>
      <c r="N1512" s="735"/>
      <c r="O1512" s="19"/>
      <c r="P1512" s="19"/>
      <c r="Q1512" s="19"/>
      <c r="R1512" s="19"/>
      <c r="S1512" s="19"/>
      <c r="T1512" s="19"/>
      <c r="U1512" s="19"/>
      <c r="V1512" s="19"/>
      <c r="W1512" s="19"/>
      <c r="X1512" s="19"/>
      <c r="Y1512" s="19"/>
      <c r="Z1512" s="19"/>
      <c r="AA1512" s="19"/>
      <c r="AB1512" s="19"/>
      <c r="FE1512" s="54"/>
    </row>
    <row r="1513" spans="1:161" s="18" customFormat="1">
      <c r="A1513" s="51"/>
      <c r="B1513" s="735"/>
      <c r="C1513" s="735"/>
      <c r="D1513" s="735"/>
      <c r="E1513" s="735"/>
      <c r="F1513" s="736"/>
      <c r="G1513" s="735"/>
      <c r="H1513" s="735"/>
      <c r="I1513" s="735"/>
      <c r="J1513" s="735"/>
      <c r="K1513" s="735"/>
      <c r="L1513" s="735"/>
      <c r="M1513" s="735"/>
      <c r="N1513" s="735"/>
      <c r="O1513" s="19"/>
      <c r="P1513" s="19"/>
      <c r="Q1513" s="19"/>
      <c r="R1513" s="19"/>
      <c r="S1513" s="19"/>
      <c r="T1513" s="19"/>
      <c r="U1513" s="19"/>
      <c r="V1513" s="19"/>
      <c r="W1513" s="19"/>
      <c r="X1513" s="19"/>
      <c r="Y1513" s="19"/>
      <c r="Z1513" s="19"/>
      <c r="AA1513" s="19"/>
      <c r="AB1513" s="19"/>
      <c r="FE1513" s="54"/>
    </row>
    <row r="1514" spans="1:161" s="18" customFormat="1">
      <c r="A1514" s="51"/>
      <c r="B1514" s="735"/>
      <c r="C1514" s="735"/>
      <c r="D1514" s="735"/>
      <c r="E1514" s="735"/>
      <c r="F1514" s="736"/>
      <c r="G1514" s="735"/>
      <c r="H1514" s="735"/>
      <c r="I1514" s="735"/>
      <c r="J1514" s="735"/>
      <c r="K1514" s="735"/>
      <c r="L1514" s="735"/>
      <c r="M1514" s="735"/>
      <c r="N1514" s="735"/>
      <c r="O1514" s="19"/>
      <c r="P1514" s="19"/>
      <c r="Q1514" s="19"/>
      <c r="R1514" s="19"/>
      <c r="S1514" s="19"/>
      <c r="T1514" s="19"/>
      <c r="U1514" s="19"/>
      <c r="V1514" s="19"/>
      <c r="W1514" s="19"/>
      <c r="X1514" s="19"/>
      <c r="Y1514" s="19"/>
      <c r="Z1514" s="19"/>
      <c r="AA1514" s="19"/>
      <c r="AB1514" s="19"/>
      <c r="FE1514" s="54"/>
    </row>
    <row r="1515" spans="1:161" s="18" customFormat="1">
      <c r="A1515" s="51"/>
      <c r="B1515" s="735"/>
      <c r="C1515" s="735"/>
      <c r="D1515" s="735"/>
      <c r="E1515" s="735"/>
      <c r="F1515" s="736"/>
      <c r="G1515" s="735"/>
      <c r="H1515" s="735"/>
      <c r="I1515" s="735"/>
      <c r="J1515" s="735"/>
      <c r="K1515" s="735"/>
      <c r="L1515" s="735"/>
      <c r="M1515" s="735"/>
      <c r="N1515" s="735"/>
      <c r="O1515" s="19"/>
      <c r="P1515" s="19"/>
      <c r="Q1515" s="19"/>
      <c r="R1515" s="19"/>
      <c r="S1515" s="19"/>
      <c r="T1515" s="19"/>
      <c r="U1515" s="19"/>
      <c r="V1515" s="19"/>
      <c r="W1515" s="19"/>
      <c r="X1515" s="19"/>
      <c r="Y1515" s="19"/>
      <c r="Z1515" s="19"/>
      <c r="AA1515" s="19"/>
      <c r="AB1515" s="19"/>
      <c r="FE1515" s="54"/>
    </row>
    <row r="1516" spans="1:161" s="18" customFormat="1">
      <c r="A1516" s="51"/>
      <c r="B1516" s="735"/>
      <c r="C1516" s="735"/>
      <c r="D1516" s="735"/>
      <c r="E1516" s="735"/>
      <c r="F1516" s="736"/>
      <c r="G1516" s="735"/>
      <c r="H1516" s="735"/>
      <c r="I1516" s="735"/>
      <c r="J1516" s="735"/>
      <c r="K1516" s="735"/>
      <c r="L1516" s="735"/>
      <c r="M1516" s="735"/>
      <c r="N1516" s="735"/>
      <c r="O1516" s="19"/>
      <c r="P1516" s="19"/>
      <c r="Q1516" s="19"/>
      <c r="R1516" s="19"/>
      <c r="S1516" s="19"/>
      <c r="T1516" s="19"/>
      <c r="U1516" s="19"/>
      <c r="V1516" s="19"/>
      <c r="W1516" s="19"/>
      <c r="X1516" s="19"/>
      <c r="Y1516" s="19"/>
      <c r="Z1516" s="19"/>
      <c r="AA1516" s="19"/>
      <c r="AB1516" s="19"/>
      <c r="FE1516" s="54"/>
    </row>
    <row r="1517" spans="1:161" s="18" customFormat="1">
      <c r="A1517" s="51"/>
      <c r="B1517" s="735"/>
      <c r="C1517" s="735"/>
      <c r="D1517" s="735"/>
      <c r="E1517" s="735"/>
      <c r="F1517" s="736"/>
      <c r="G1517" s="735"/>
      <c r="H1517" s="735"/>
      <c r="I1517" s="735"/>
      <c r="J1517" s="735"/>
      <c r="K1517" s="735"/>
      <c r="L1517" s="735"/>
      <c r="M1517" s="735"/>
      <c r="N1517" s="735"/>
      <c r="O1517" s="19"/>
      <c r="P1517" s="19"/>
      <c r="Q1517" s="19"/>
      <c r="R1517" s="19"/>
      <c r="S1517" s="19"/>
      <c r="T1517" s="19"/>
      <c r="U1517" s="19"/>
      <c r="V1517" s="19"/>
      <c r="W1517" s="19"/>
      <c r="X1517" s="19"/>
      <c r="Y1517" s="19"/>
      <c r="Z1517" s="19"/>
      <c r="AA1517" s="19"/>
      <c r="AB1517" s="19"/>
      <c r="FE1517" s="54"/>
    </row>
    <row r="1518" spans="1:161" s="18" customFormat="1">
      <c r="A1518" s="51"/>
      <c r="B1518" s="735"/>
      <c r="C1518" s="735"/>
      <c r="D1518" s="735"/>
      <c r="E1518" s="735"/>
      <c r="F1518" s="736"/>
      <c r="G1518" s="735"/>
      <c r="H1518" s="735"/>
      <c r="I1518" s="735"/>
      <c r="J1518" s="735"/>
      <c r="K1518" s="735"/>
      <c r="L1518" s="735"/>
      <c r="M1518" s="735"/>
      <c r="N1518" s="735"/>
      <c r="O1518" s="19"/>
      <c r="P1518" s="19"/>
      <c r="Q1518" s="19"/>
      <c r="R1518" s="19"/>
      <c r="S1518" s="19"/>
      <c r="T1518" s="19"/>
      <c r="U1518" s="19"/>
      <c r="V1518" s="19"/>
      <c r="W1518" s="19"/>
      <c r="X1518" s="19"/>
      <c r="Y1518" s="19"/>
      <c r="Z1518" s="19"/>
      <c r="AA1518" s="19"/>
      <c r="AB1518" s="19"/>
      <c r="FE1518" s="54"/>
    </row>
    <row r="1519" spans="1:161" s="18" customFormat="1">
      <c r="A1519" s="51"/>
      <c r="B1519" s="735"/>
      <c r="C1519" s="735"/>
      <c r="D1519" s="735"/>
      <c r="E1519" s="735"/>
      <c r="F1519" s="736"/>
      <c r="G1519" s="735"/>
      <c r="H1519" s="735"/>
      <c r="I1519" s="735"/>
      <c r="J1519" s="735"/>
      <c r="K1519" s="735"/>
      <c r="L1519" s="735"/>
      <c r="M1519" s="735"/>
      <c r="N1519" s="735"/>
      <c r="O1519" s="19"/>
      <c r="P1519" s="19"/>
      <c r="Q1519" s="19"/>
      <c r="R1519" s="19"/>
      <c r="S1519" s="19"/>
      <c r="T1519" s="19"/>
      <c r="U1519" s="19"/>
      <c r="V1519" s="19"/>
      <c r="W1519" s="19"/>
      <c r="X1519" s="19"/>
      <c r="Y1519" s="19"/>
      <c r="Z1519" s="19"/>
      <c r="AA1519" s="19"/>
      <c r="AB1519" s="19"/>
      <c r="FE1519" s="54"/>
    </row>
    <row r="1520" spans="1:161" s="18" customFormat="1">
      <c r="A1520" s="51"/>
      <c r="B1520" s="735"/>
      <c r="C1520" s="735"/>
      <c r="D1520" s="735"/>
      <c r="E1520" s="735"/>
      <c r="F1520" s="736"/>
      <c r="G1520" s="735"/>
      <c r="H1520" s="735"/>
      <c r="I1520" s="735"/>
      <c r="J1520" s="735"/>
      <c r="K1520" s="735"/>
      <c r="L1520" s="735"/>
      <c r="M1520" s="735"/>
      <c r="N1520" s="735"/>
      <c r="O1520" s="19"/>
      <c r="P1520" s="19"/>
      <c r="Q1520" s="19"/>
      <c r="R1520" s="19"/>
      <c r="S1520" s="19"/>
      <c r="T1520" s="19"/>
      <c r="U1520" s="19"/>
      <c r="V1520" s="19"/>
      <c r="W1520" s="19"/>
      <c r="X1520" s="19"/>
      <c r="Y1520" s="19"/>
      <c r="Z1520" s="19"/>
      <c r="AA1520" s="19"/>
      <c r="AB1520" s="19"/>
      <c r="FE1520" s="54"/>
    </row>
    <row r="1521" spans="1:161" s="18" customFormat="1">
      <c r="A1521" s="51"/>
      <c r="B1521" s="735"/>
      <c r="C1521" s="735"/>
      <c r="D1521" s="735"/>
      <c r="E1521" s="735"/>
      <c r="F1521" s="736"/>
      <c r="G1521" s="735"/>
      <c r="H1521" s="735"/>
      <c r="I1521" s="735"/>
      <c r="J1521" s="735"/>
      <c r="K1521" s="735"/>
      <c r="L1521" s="735"/>
      <c r="M1521" s="735"/>
      <c r="N1521" s="735"/>
      <c r="O1521" s="19"/>
      <c r="P1521" s="19"/>
      <c r="Q1521" s="19"/>
      <c r="R1521" s="19"/>
      <c r="S1521" s="19"/>
      <c r="T1521" s="19"/>
      <c r="U1521" s="19"/>
      <c r="V1521" s="19"/>
      <c r="W1521" s="19"/>
      <c r="X1521" s="19"/>
      <c r="Y1521" s="19"/>
      <c r="Z1521" s="19"/>
      <c r="AA1521" s="19"/>
      <c r="AB1521" s="19"/>
      <c r="FE1521" s="54"/>
    </row>
    <row r="1522" spans="1:161" s="18" customFormat="1">
      <c r="A1522" s="51"/>
      <c r="B1522" s="735"/>
      <c r="C1522" s="735"/>
      <c r="D1522" s="735"/>
      <c r="E1522" s="735"/>
      <c r="F1522" s="736"/>
      <c r="G1522" s="735"/>
      <c r="H1522" s="735"/>
      <c r="I1522" s="735"/>
      <c r="J1522" s="735"/>
      <c r="K1522" s="735"/>
      <c r="L1522" s="735"/>
      <c r="M1522" s="735"/>
      <c r="N1522" s="735"/>
      <c r="O1522" s="19"/>
      <c r="P1522" s="19"/>
      <c r="Q1522" s="19"/>
      <c r="R1522" s="19"/>
      <c r="S1522" s="19"/>
      <c r="T1522" s="19"/>
      <c r="U1522" s="19"/>
      <c r="V1522" s="19"/>
      <c r="W1522" s="19"/>
      <c r="X1522" s="19"/>
      <c r="Y1522" s="19"/>
      <c r="Z1522" s="19"/>
      <c r="AA1522" s="19"/>
      <c r="AB1522" s="19"/>
      <c r="FE1522" s="54"/>
    </row>
    <row r="1523" spans="1:161" s="18" customFormat="1">
      <c r="A1523" s="51"/>
      <c r="B1523" s="735"/>
      <c r="C1523" s="735"/>
      <c r="D1523" s="735"/>
      <c r="E1523" s="735"/>
      <c r="F1523" s="736"/>
      <c r="G1523" s="735"/>
      <c r="H1523" s="735"/>
      <c r="I1523" s="735"/>
      <c r="J1523" s="735"/>
      <c r="K1523" s="735"/>
      <c r="L1523" s="735"/>
      <c r="M1523" s="735"/>
      <c r="N1523" s="735"/>
      <c r="O1523" s="19"/>
      <c r="P1523" s="19"/>
      <c r="Q1523" s="19"/>
      <c r="R1523" s="19"/>
      <c r="S1523" s="19"/>
      <c r="T1523" s="19"/>
      <c r="U1523" s="19"/>
      <c r="V1523" s="19"/>
      <c r="W1523" s="19"/>
      <c r="X1523" s="19"/>
      <c r="Y1523" s="19"/>
      <c r="Z1523" s="19"/>
      <c r="AA1523" s="19"/>
      <c r="AB1523" s="19"/>
      <c r="FE1523" s="54"/>
    </row>
    <row r="1524" spans="1:161" s="18" customFormat="1">
      <c r="A1524" s="51"/>
      <c r="B1524" s="735"/>
      <c r="C1524" s="735"/>
      <c r="D1524" s="735"/>
      <c r="E1524" s="735"/>
      <c r="F1524" s="736"/>
      <c r="G1524" s="735"/>
      <c r="H1524" s="735"/>
      <c r="I1524" s="735"/>
      <c r="J1524" s="735"/>
      <c r="K1524" s="735"/>
      <c r="L1524" s="735"/>
      <c r="M1524" s="735"/>
      <c r="N1524" s="735"/>
      <c r="O1524" s="19"/>
      <c r="P1524" s="19"/>
      <c r="Q1524" s="19"/>
      <c r="R1524" s="19"/>
      <c r="S1524" s="19"/>
      <c r="T1524" s="19"/>
      <c r="U1524" s="19"/>
      <c r="V1524" s="19"/>
      <c r="W1524" s="19"/>
      <c r="X1524" s="19"/>
      <c r="Y1524" s="19"/>
      <c r="Z1524" s="19"/>
      <c r="AA1524" s="19"/>
      <c r="AB1524" s="19"/>
      <c r="FE1524" s="54"/>
    </row>
    <row r="1525" spans="1:161" s="18" customFormat="1">
      <c r="A1525" s="51"/>
      <c r="B1525" s="735"/>
      <c r="C1525" s="735"/>
      <c r="D1525" s="735"/>
      <c r="E1525" s="735"/>
      <c r="F1525" s="736"/>
      <c r="G1525" s="735"/>
      <c r="H1525" s="735"/>
      <c r="I1525" s="735"/>
      <c r="J1525" s="735"/>
      <c r="K1525" s="735"/>
      <c r="L1525" s="735"/>
      <c r="M1525" s="735"/>
      <c r="N1525" s="735"/>
      <c r="O1525" s="19"/>
      <c r="P1525" s="19"/>
      <c r="Q1525" s="19"/>
      <c r="R1525" s="19"/>
      <c r="S1525" s="19"/>
      <c r="T1525" s="19"/>
      <c r="U1525" s="19"/>
      <c r="V1525" s="19"/>
      <c r="W1525" s="19"/>
      <c r="X1525" s="19"/>
      <c r="Y1525" s="19"/>
      <c r="Z1525" s="19"/>
      <c r="AA1525" s="19"/>
      <c r="AB1525" s="19"/>
      <c r="FE1525" s="54"/>
    </row>
    <row r="1526" spans="1:161" s="18" customFormat="1">
      <c r="A1526" s="51"/>
      <c r="B1526" s="735"/>
      <c r="C1526" s="735"/>
      <c r="D1526" s="735"/>
      <c r="E1526" s="735"/>
      <c r="F1526" s="736"/>
      <c r="G1526" s="735"/>
      <c r="H1526" s="735"/>
      <c r="I1526" s="735"/>
      <c r="J1526" s="735"/>
      <c r="K1526" s="735"/>
      <c r="L1526" s="735"/>
      <c r="M1526" s="735"/>
      <c r="N1526" s="735"/>
      <c r="O1526" s="19"/>
      <c r="P1526" s="19"/>
      <c r="Q1526" s="19"/>
      <c r="R1526" s="19"/>
      <c r="S1526" s="19"/>
      <c r="T1526" s="19"/>
      <c r="U1526" s="19"/>
      <c r="V1526" s="19"/>
      <c r="W1526" s="19"/>
      <c r="X1526" s="19"/>
      <c r="Y1526" s="19"/>
      <c r="Z1526" s="19"/>
      <c r="AA1526" s="19"/>
      <c r="AB1526" s="19"/>
      <c r="FE1526" s="54"/>
    </row>
    <row r="1527" spans="1:161" s="18" customFormat="1">
      <c r="A1527" s="51"/>
      <c r="B1527" s="735"/>
      <c r="C1527" s="735"/>
      <c r="D1527" s="735"/>
      <c r="E1527" s="735"/>
      <c r="F1527" s="736"/>
      <c r="G1527" s="735"/>
      <c r="H1527" s="735"/>
      <c r="I1527" s="735"/>
      <c r="J1527" s="735"/>
      <c r="K1527" s="735"/>
      <c r="L1527" s="735"/>
      <c r="M1527" s="735"/>
      <c r="N1527" s="735"/>
      <c r="O1527" s="19"/>
      <c r="P1527" s="19"/>
      <c r="Q1527" s="19"/>
      <c r="R1527" s="19"/>
      <c r="S1527" s="19"/>
      <c r="T1527" s="19"/>
      <c r="U1527" s="19"/>
      <c r="V1527" s="19"/>
      <c r="W1527" s="19"/>
      <c r="X1527" s="19"/>
      <c r="Y1527" s="19"/>
      <c r="Z1527" s="19"/>
      <c r="AA1527" s="19"/>
      <c r="AB1527" s="19"/>
      <c r="FE1527" s="54"/>
    </row>
    <row r="1528" spans="1:161" s="18" customFormat="1">
      <c r="A1528" s="51"/>
      <c r="B1528" s="735"/>
      <c r="C1528" s="735"/>
      <c r="D1528" s="735"/>
      <c r="E1528" s="735"/>
      <c r="F1528" s="736"/>
      <c r="G1528" s="735"/>
      <c r="H1528" s="735"/>
      <c r="I1528" s="735"/>
      <c r="J1528" s="735"/>
      <c r="K1528" s="735"/>
      <c r="L1528" s="735"/>
      <c r="M1528" s="735"/>
      <c r="N1528" s="735"/>
      <c r="O1528" s="19"/>
      <c r="P1528" s="19"/>
      <c r="Q1528" s="19"/>
      <c r="R1528" s="19"/>
      <c r="S1528" s="19"/>
      <c r="T1528" s="19"/>
      <c r="U1528" s="19"/>
      <c r="V1528" s="19"/>
      <c r="W1528" s="19"/>
      <c r="X1528" s="19"/>
      <c r="Y1528" s="19"/>
      <c r="Z1528" s="19"/>
      <c r="AA1528" s="19"/>
      <c r="AB1528" s="19"/>
      <c r="FE1528" s="54"/>
    </row>
    <row r="1529" spans="1:161" s="18" customFormat="1">
      <c r="A1529" s="51"/>
      <c r="B1529" s="735"/>
      <c r="C1529" s="735"/>
      <c r="D1529" s="735"/>
      <c r="E1529" s="735"/>
      <c r="F1529" s="736"/>
      <c r="G1529" s="735"/>
      <c r="H1529" s="735"/>
      <c r="I1529" s="735"/>
      <c r="J1529" s="735"/>
      <c r="K1529" s="735"/>
      <c r="L1529" s="735"/>
      <c r="M1529" s="735"/>
      <c r="N1529" s="735"/>
      <c r="O1529" s="19"/>
      <c r="P1529" s="19"/>
      <c r="Q1529" s="19"/>
      <c r="R1529" s="19"/>
      <c r="S1529" s="19"/>
      <c r="T1529" s="19"/>
      <c r="U1529" s="19"/>
      <c r="V1529" s="19"/>
      <c r="W1529" s="19"/>
      <c r="X1529" s="19"/>
      <c r="Y1529" s="19"/>
      <c r="Z1529" s="19"/>
      <c r="AA1529" s="19"/>
      <c r="AB1529" s="19"/>
      <c r="FE1529" s="54"/>
    </row>
    <row r="1530" spans="1:161" s="18" customFormat="1">
      <c r="A1530" s="51"/>
      <c r="B1530" s="735"/>
      <c r="C1530" s="735"/>
      <c r="D1530" s="735"/>
      <c r="E1530" s="735"/>
      <c r="F1530" s="736"/>
      <c r="G1530" s="735"/>
      <c r="H1530" s="735"/>
      <c r="I1530" s="735"/>
      <c r="J1530" s="735"/>
      <c r="K1530" s="735"/>
      <c r="L1530" s="735"/>
      <c r="M1530" s="735"/>
      <c r="N1530" s="735"/>
      <c r="O1530" s="19"/>
      <c r="P1530" s="19"/>
      <c r="Q1530" s="19"/>
      <c r="R1530" s="19"/>
      <c r="S1530" s="19"/>
      <c r="T1530" s="19"/>
      <c r="U1530" s="19"/>
      <c r="V1530" s="19"/>
      <c r="W1530" s="19"/>
      <c r="X1530" s="19"/>
      <c r="Y1530" s="19"/>
      <c r="Z1530" s="19"/>
      <c r="AA1530" s="19"/>
      <c r="AB1530" s="19"/>
      <c r="FE1530" s="54"/>
    </row>
    <row r="1531" spans="1:161" s="18" customFormat="1">
      <c r="A1531" s="51"/>
      <c r="B1531" s="735"/>
      <c r="C1531" s="735"/>
      <c r="D1531" s="735"/>
      <c r="E1531" s="735"/>
      <c r="F1531" s="736"/>
      <c r="G1531" s="735"/>
      <c r="H1531" s="735"/>
      <c r="I1531" s="735"/>
      <c r="J1531" s="735"/>
      <c r="K1531" s="735"/>
      <c r="L1531" s="735"/>
      <c r="M1531" s="735"/>
      <c r="N1531" s="735"/>
      <c r="O1531" s="19"/>
      <c r="P1531" s="19"/>
      <c r="Q1531" s="19"/>
      <c r="R1531" s="19"/>
      <c r="S1531" s="19"/>
      <c r="T1531" s="19"/>
      <c r="U1531" s="19"/>
      <c r="V1531" s="19"/>
      <c r="W1531" s="19"/>
      <c r="X1531" s="19"/>
      <c r="Y1531" s="19"/>
      <c r="Z1531" s="19"/>
      <c r="AA1531" s="19"/>
      <c r="AB1531" s="19"/>
      <c r="FE1531" s="54"/>
    </row>
    <row r="1532" spans="1:161" s="18" customFormat="1">
      <c r="A1532" s="51"/>
      <c r="B1532" s="735"/>
      <c r="C1532" s="735"/>
      <c r="D1532" s="735"/>
      <c r="E1532" s="735"/>
      <c r="F1532" s="736"/>
      <c r="G1532" s="735"/>
      <c r="H1532" s="735"/>
      <c r="I1532" s="735"/>
      <c r="J1532" s="735"/>
      <c r="K1532" s="735"/>
      <c r="L1532" s="735"/>
      <c r="M1532" s="735"/>
      <c r="N1532" s="735"/>
      <c r="O1532" s="19"/>
      <c r="P1532" s="19"/>
      <c r="Q1532" s="19"/>
      <c r="R1532" s="19"/>
      <c r="S1532" s="19"/>
      <c r="T1532" s="19"/>
      <c r="U1532" s="19"/>
      <c r="V1532" s="19"/>
      <c r="W1532" s="19"/>
      <c r="X1532" s="19"/>
      <c r="Y1532" s="19"/>
      <c r="Z1532" s="19"/>
      <c r="AA1532" s="19"/>
      <c r="AB1532" s="19"/>
      <c r="FE1532" s="54"/>
    </row>
    <row r="1533" spans="1:161" s="18" customFormat="1">
      <c r="A1533" s="51"/>
      <c r="B1533" s="735"/>
      <c r="C1533" s="735"/>
      <c r="D1533" s="735"/>
      <c r="E1533" s="735"/>
      <c r="F1533" s="736"/>
      <c r="G1533" s="735"/>
      <c r="H1533" s="735"/>
      <c r="I1533" s="735"/>
      <c r="J1533" s="735"/>
      <c r="K1533" s="735"/>
      <c r="L1533" s="735"/>
      <c r="M1533" s="735"/>
      <c r="N1533" s="735"/>
      <c r="O1533" s="19"/>
      <c r="P1533" s="19"/>
      <c r="Q1533" s="19"/>
      <c r="R1533" s="19"/>
      <c r="S1533" s="19"/>
      <c r="T1533" s="19"/>
      <c r="U1533" s="19"/>
      <c r="V1533" s="19"/>
      <c r="W1533" s="19"/>
      <c r="X1533" s="19"/>
      <c r="Y1533" s="19"/>
      <c r="Z1533" s="19"/>
      <c r="AA1533" s="19"/>
      <c r="AB1533" s="19"/>
      <c r="FE1533" s="54"/>
    </row>
    <row r="1534" spans="1:161" s="18" customFormat="1">
      <c r="A1534" s="51"/>
      <c r="B1534" s="735"/>
      <c r="C1534" s="735"/>
      <c r="D1534" s="735"/>
      <c r="E1534" s="735"/>
      <c r="F1534" s="736"/>
      <c r="G1534" s="735"/>
      <c r="H1534" s="735"/>
      <c r="I1534" s="735"/>
      <c r="J1534" s="735"/>
      <c r="K1534" s="735"/>
      <c r="L1534" s="735"/>
      <c r="M1534" s="735"/>
      <c r="N1534" s="735"/>
      <c r="O1534" s="19"/>
      <c r="P1534" s="19"/>
      <c r="Q1534" s="19"/>
      <c r="R1534" s="19"/>
      <c r="S1534" s="19"/>
      <c r="T1534" s="19"/>
      <c r="U1534" s="19"/>
      <c r="V1534" s="19"/>
      <c r="W1534" s="19"/>
      <c r="X1534" s="19"/>
      <c r="Y1534" s="19"/>
      <c r="Z1534" s="19"/>
      <c r="AA1534" s="19"/>
      <c r="AB1534" s="19"/>
      <c r="FE1534" s="54"/>
    </row>
    <row r="1535" spans="1:161" s="18" customFormat="1">
      <c r="A1535" s="51"/>
      <c r="B1535" s="735"/>
      <c r="C1535" s="735"/>
      <c r="D1535" s="735"/>
      <c r="E1535" s="735"/>
      <c r="F1535" s="736"/>
      <c r="G1535" s="735"/>
      <c r="H1535" s="735"/>
      <c r="I1535" s="735"/>
      <c r="J1535" s="735"/>
      <c r="K1535" s="735"/>
      <c r="L1535" s="735"/>
      <c r="M1535" s="735"/>
      <c r="N1535" s="735"/>
      <c r="O1535" s="19"/>
      <c r="P1535" s="19"/>
      <c r="Q1535" s="19"/>
      <c r="R1535" s="19"/>
      <c r="S1535" s="19"/>
      <c r="T1535" s="19"/>
      <c r="U1535" s="19"/>
      <c r="V1535" s="19"/>
      <c r="W1535" s="19"/>
      <c r="X1535" s="19"/>
      <c r="Y1535" s="19"/>
      <c r="Z1535" s="19"/>
      <c r="AA1535" s="19"/>
      <c r="AB1535" s="19"/>
      <c r="FE1535" s="54"/>
    </row>
    <row r="1536" spans="1:161" s="18" customFormat="1">
      <c r="A1536" s="51"/>
      <c r="B1536" s="735"/>
      <c r="C1536" s="735"/>
      <c r="D1536" s="735"/>
      <c r="E1536" s="735"/>
      <c r="F1536" s="736"/>
      <c r="G1536" s="735"/>
      <c r="H1536" s="735"/>
      <c r="I1536" s="735"/>
      <c r="J1536" s="735"/>
      <c r="K1536" s="735"/>
      <c r="L1536" s="735"/>
      <c r="M1536" s="735"/>
      <c r="N1536" s="735"/>
      <c r="O1536" s="19"/>
      <c r="P1536" s="19"/>
      <c r="Q1536" s="19"/>
      <c r="R1536" s="19"/>
      <c r="S1536" s="19"/>
      <c r="T1536" s="19"/>
      <c r="U1536" s="19"/>
      <c r="V1536" s="19"/>
      <c r="W1536" s="19"/>
      <c r="X1536" s="19"/>
      <c r="Y1536" s="19"/>
      <c r="Z1536" s="19"/>
      <c r="AA1536" s="19"/>
      <c r="AB1536" s="19"/>
      <c r="FE1536" s="54"/>
    </row>
    <row r="1537" spans="1:161" s="18" customFormat="1">
      <c r="A1537" s="51"/>
      <c r="B1537" s="735"/>
      <c r="C1537" s="735"/>
      <c r="D1537" s="735"/>
      <c r="E1537" s="735"/>
      <c r="F1537" s="736"/>
      <c r="G1537" s="735"/>
      <c r="H1537" s="735"/>
      <c r="I1537" s="735"/>
      <c r="J1537" s="735"/>
      <c r="K1537" s="735"/>
      <c r="L1537" s="735"/>
      <c r="M1537" s="735"/>
      <c r="N1537" s="735"/>
      <c r="O1537" s="19"/>
      <c r="P1537" s="19"/>
      <c r="Q1537" s="19"/>
      <c r="R1537" s="19"/>
      <c r="S1537" s="19"/>
      <c r="T1537" s="19"/>
      <c r="U1537" s="19"/>
      <c r="V1537" s="19"/>
      <c r="W1537" s="19"/>
      <c r="X1537" s="19"/>
      <c r="Y1537" s="19"/>
      <c r="Z1537" s="19"/>
      <c r="AA1537" s="19"/>
      <c r="AB1537" s="19"/>
      <c r="FE1537" s="54"/>
    </row>
    <row r="1538" spans="1:161" s="18" customFormat="1">
      <c r="A1538" s="51"/>
      <c r="B1538" s="735"/>
      <c r="C1538" s="735"/>
      <c r="D1538" s="735"/>
      <c r="E1538" s="735"/>
      <c r="F1538" s="736"/>
      <c r="G1538" s="735"/>
      <c r="H1538" s="735"/>
      <c r="I1538" s="735"/>
      <c r="J1538" s="735"/>
      <c r="K1538" s="735"/>
      <c r="L1538" s="735"/>
      <c r="M1538" s="735"/>
      <c r="N1538" s="735"/>
      <c r="O1538" s="19"/>
      <c r="P1538" s="19"/>
      <c r="Q1538" s="19"/>
      <c r="R1538" s="19"/>
      <c r="S1538" s="19"/>
      <c r="T1538" s="19"/>
      <c r="U1538" s="19"/>
      <c r="V1538" s="19"/>
      <c r="W1538" s="19"/>
      <c r="X1538" s="19"/>
      <c r="Y1538" s="19"/>
      <c r="Z1538" s="19"/>
      <c r="AA1538" s="19"/>
      <c r="AB1538" s="19"/>
      <c r="FE1538" s="54"/>
    </row>
    <row r="1539" spans="1:161" s="18" customFormat="1">
      <c r="A1539" s="51"/>
      <c r="B1539" s="735"/>
      <c r="C1539" s="735"/>
      <c r="D1539" s="735"/>
      <c r="E1539" s="735"/>
      <c r="F1539" s="736"/>
      <c r="G1539" s="735"/>
      <c r="H1539" s="735"/>
      <c r="I1539" s="735"/>
      <c r="J1539" s="735"/>
      <c r="K1539" s="735"/>
      <c r="L1539" s="735"/>
      <c r="M1539" s="735"/>
      <c r="N1539" s="735"/>
      <c r="O1539" s="19"/>
      <c r="P1539" s="19"/>
      <c r="Q1539" s="19"/>
      <c r="R1539" s="19"/>
      <c r="S1539" s="19"/>
      <c r="T1539" s="19"/>
      <c r="U1539" s="19"/>
      <c r="V1539" s="19"/>
      <c r="W1539" s="19"/>
      <c r="X1539" s="19"/>
      <c r="Y1539" s="19"/>
      <c r="Z1539" s="19"/>
      <c r="AA1539" s="19"/>
      <c r="AB1539" s="19"/>
      <c r="FE1539" s="54"/>
    </row>
    <row r="1540" spans="1:161" s="18" customFormat="1">
      <c r="A1540" s="51"/>
      <c r="B1540" s="735"/>
      <c r="C1540" s="735"/>
      <c r="D1540" s="735"/>
      <c r="E1540" s="735"/>
      <c r="F1540" s="736"/>
      <c r="G1540" s="735"/>
      <c r="H1540" s="735"/>
      <c r="I1540" s="735"/>
      <c r="J1540" s="735"/>
      <c r="K1540" s="735"/>
      <c r="L1540" s="735"/>
      <c r="M1540" s="735"/>
      <c r="N1540" s="735"/>
      <c r="O1540" s="19"/>
      <c r="P1540" s="19"/>
      <c r="Q1540" s="19"/>
      <c r="R1540" s="19"/>
      <c r="S1540" s="19"/>
      <c r="T1540" s="19"/>
      <c r="U1540" s="19"/>
      <c r="V1540" s="19"/>
      <c r="W1540" s="19"/>
      <c r="X1540" s="19"/>
      <c r="Y1540" s="19"/>
      <c r="Z1540" s="19"/>
      <c r="AA1540" s="19"/>
      <c r="AB1540" s="19"/>
      <c r="FE1540" s="54"/>
    </row>
    <row r="1541" spans="1:161" s="18" customFormat="1">
      <c r="A1541" s="51"/>
      <c r="B1541" s="735"/>
      <c r="C1541" s="735"/>
      <c r="D1541" s="735"/>
      <c r="E1541" s="735"/>
      <c r="F1541" s="736"/>
      <c r="G1541" s="735"/>
      <c r="H1541" s="735"/>
      <c r="I1541" s="735"/>
      <c r="J1541" s="735"/>
      <c r="K1541" s="735"/>
      <c r="L1541" s="735"/>
      <c r="M1541" s="735"/>
      <c r="N1541" s="735"/>
      <c r="O1541" s="19"/>
      <c r="P1541" s="19"/>
      <c r="Q1541" s="19"/>
      <c r="R1541" s="19"/>
      <c r="S1541" s="19"/>
      <c r="T1541" s="19"/>
      <c r="U1541" s="19"/>
      <c r="V1541" s="19"/>
      <c r="W1541" s="19"/>
      <c r="X1541" s="19"/>
      <c r="Y1541" s="19"/>
      <c r="Z1541" s="19"/>
      <c r="AA1541" s="19"/>
      <c r="AB1541" s="19"/>
      <c r="FE1541" s="54"/>
    </row>
    <row r="1542" spans="1:161" s="18" customFormat="1">
      <c r="A1542" s="51"/>
      <c r="B1542" s="735"/>
      <c r="C1542" s="735"/>
      <c r="D1542" s="735"/>
      <c r="E1542" s="735"/>
      <c r="F1542" s="736"/>
      <c r="G1542" s="735"/>
      <c r="H1542" s="735"/>
      <c r="I1542" s="735"/>
      <c r="J1542" s="735"/>
      <c r="K1542" s="735"/>
      <c r="L1542" s="735"/>
      <c r="M1542" s="735"/>
      <c r="N1542" s="735"/>
      <c r="O1542" s="19"/>
      <c r="P1542" s="19"/>
      <c r="Q1542" s="19"/>
      <c r="R1542" s="19"/>
      <c r="S1542" s="19"/>
      <c r="T1542" s="19"/>
      <c r="U1542" s="19"/>
      <c r="V1542" s="19"/>
      <c r="W1542" s="19"/>
      <c r="X1542" s="19"/>
      <c r="Y1542" s="19"/>
      <c r="Z1542" s="19"/>
      <c r="AA1542" s="19"/>
      <c r="AB1542" s="19"/>
      <c r="FE1542" s="54"/>
    </row>
    <row r="1543" spans="1:161" s="18" customFormat="1">
      <c r="A1543" s="51"/>
      <c r="B1543" s="735"/>
      <c r="C1543" s="735"/>
      <c r="D1543" s="735"/>
      <c r="E1543" s="735"/>
      <c r="F1543" s="736"/>
      <c r="G1543" s="735"/>
      <c r="H1543" s="735"/>
      <c r="I1543" s="735"/>
      <c r="J1543" s="735"/>
      <c r="K1543" s="735"/>
      <c r="L1543" s="735"/>
      <c r="M1543" s="735"/>
      <c r="N1543" s="735"/>
      <c r="O1543" s="19"/>
      <c r="P1543" s="19"/>
      <c r="Q1543" s="19"/>
      <c r="R1543" s="19"/>
      <c r="S1543" s="19"/>
      <c r="T1543" s="19"/>
      <c r="U1543" s="19"/>
      <c r="V1543" s="19"/>
      <c r="W1543" s="19"/>
      <c r="X1543" s="19"/>
      <c r="Y1543" s="19"/>
      <c r="Z1543" s="19"/>
      <c r="AA1543" s="19"/>
      <c r="AB1543" s="19"/>
      <c r="FE1543" s="54"/>
    </row>
    <row r="1544" spans="1:161" s="18" customFormat="1">
      <c r="A1544" s="51"/>
      <c r="B1544" s="735"/>
      <c r="C1544" s="735"/>
      <c r="D1544" s="735"/>
      <c r="E1544" s="735"/>
      <c r="F1544" s="736"/>
      <c r="G1544" s="735"/>
      <c r="H1544" s="735"/>
      <c r="I1544" s="735"/>
      <c r="J1544" s="735"/>
      <c r="K1544" s="735"/>
      <c r="L1544" s="735"/>
      <c r="M1544" s="735"/>
      <c r="N1544" s="735"/>
      <c r="O1544" s="19"/>
      <c r="P1544" s="19"/>
      <c r="Q1544" s="19"/>
      <c r="R1544" s="19"/>
      <c r="S1544" s="19"/>
      <c r="T1544" s="19"/>
      <c r="U1544" s="19"/>
      <c r="V1544" s="19"/>
      <c r="W1544" s="19"/>
      <c r="X1544" s="19"/>
      <c r="Y1544" s="19"/>
      <c r="Z1544" s="19"/>
      <c r="AA1544" s="19"/>
      <c r="AB1544" s="19"/>
      <c r="FE1544" s="54"/>
    </row>
    <row r="1545" spans="1:161" s="18" customFormat="1">
      <c r="A1545" s="51"/>
      <c r="B1545" s="735"/>
      <c r="C1545" s="735"/>
      <c r="D1545" s="735"/>
      <c r="E1545" s="735"/>
      <c r="F1545" s="736"/>
      <c r="G1545" s="735"/>
      <c r="H1545" s="735"/>
      <c r="I1545" s="735"/>
      <c r="J1545" s="735"/>
      <c r="K1545" s="735"/>
      <c r="L1545" s="735"/>
      <c r="M1545" s="735"/>
      <c r="N1545" s="735"/>
      <c r="O1545" s="19"/>
      <c r="P1545" s="19"/>
      <c r="Q1545" s="19"/>
      <c r="R1545" s="19"/>
      <c r="S1545" s="19"/>
      <c r="T1545" s="19"/>
      <c r="U1545" s="19"/>
      <c r="V1545" s="19"/>
      <c r="W1545" s="19"/>
      <c r="X1545" s="19"/>
      <c r="Y1545" s="19"/>
      <c r="Z1545" s="19"/>
      <c r="AA1545" s="19"/>
      <c r="AB1545" s="19"/>
      <c r="FE1545" s="54"/>
    </row>
    <row r="1546" spans="1:161" s="18" customFormat="1">
      <c r="A1546" s="51"/>
      <c r="B1546" s="735"/>
      <c r="C1546" s="735"/>
      <c r="D1546" s="735"/>
      <c r="E1546" s="735"/>
      <c r="F1546" s="736"/>
      <c r="G1546" s="735"/>
      <c r="H1546" s="735"/>
      <c r="I1546" s="735"/>
      <c r="J1546" s="735"/>
      <c r="K1546" s="735"/>
      <c r="L1546" s="735"/>
      <c r="M1546" s="735"/>
      <c r="N1546" s="735"/>
      <c r="O1546" s="19"/>
      <c r="P1546" s="19"/>
      <c r="Q1546" s="19"/>
      <c r="R1546" s="19"/>
      <c r="S1546" s="19"/>
      <c r="T1546" s="19"/>
      <c r="U1546" s="19"/>
      <c r="V1546" s="19"/>
      <c r="W1546" s="19"/>
      <c r="X1546" s="19"/>
      <c r="Y1546" s="19"/>
      <c r="Z1546" s="19"/>
      <c r="AA1546" s="19"/>
      <c r="AB1546" s="19"/>
      <c r="FE1546" s="54"/>
    </row>
    <row r="1547" spans="1:161" s="18" customFormat="1">
      <c r="A1547" s="51"/>
      <c r="B1547" s="735"/>
      <c r="C1547" s="735"/>
      <c r="D1547" s="735"/>
      <c r="E1547" s="735"/>
      <c r="F1547" s="736"/>
      <c r="G1547" s="735"/>
      <c r="H1547" s="735"/>
      <c r="I1547" s="735"/>
      <c r="J1547" s="735"/>
      <c r="K1547" s="735"/>
      <c r="L1547" s="735"/>
      <c r="M1547" s="735"/>
      <c r="N1547" s="735"/>
      <c r="O1547" s="19"/>
      <c r="P1547" s="19"/>
      <c r="Q1547" s="19"/>
      <c r="R1547" s="19"/>
      <c r="S1547" s="19"/>
      <c r="T1547" s="19"/>
      <c r="U1547" s="19"/>
      <c r="V1547" s="19"/>
      <c r="W1547" s="19"/>
      <c r="X1547" s="19"/>
      <c r="Y1547" s="19"/>
      <c r="Z1547" s="19"/>
      <c r="AA1547" s="19"/>
      <c r="AB1547" s="19"/>
      <c r="FE1547" s="54"/>
    </row>
    <row r="1548" spans="1:161" s="18" customFormat="1">
      <c r="A1548" s="51"/>
      <c r="B1548" s="735"/>
      <c r="C1548" s="735"/>
      <c r="D1548" s="735"/>
      <c r="E1548" s="735"/>
      <c r="F1548" s="736"/>
      <c r="G1548" s="735"/>
      <c r="H1548" s="735"/>
      <c r="I1548" s="735"/>
      <c r="J1548" s="735"/>
      <c r="K1548" s="735"/>
      <c r="L1548" s="735"/>
      <c r="M1548" s="735"/>
      <c r="N1548" s="735"/>
      <c r="O1548" s="19"/>
      <c r="P1548" s="19"/>
      <c r="Q1548" s="19"/>
      <c r="R1548" s="19"/>
      <c r="S1548" s="19"/>
      <c r="T1548" s="19"/>
      <c r="U1548" s="19"/>
      <c r="V1548" s="19"/>
      <c r="W1548" s="19"/>
      <c r="X1548" s="19"/>
      <c r="Y1548" s="19"/>
      <c r="Z1548" s="19"/>
      <c r="AA1548" s="19"/>
      <c r="AB1548" s="19"/>
      <c r="FE1548" s="54"/>
    </row>
    <row r="1549" spans="1:161" s="18" customFormat="1">
      <c r="A1549" s="51"/>
      <c r="B1549" s="735"/>
      <c r="C1549" s="735"/>
      <c r="D1549" s="735"/>
      <c r="E1549" s="735"/>
      <c r="F1549" s="736"/>
      <c r="G1549" s="735"/>
      <c r="H1549" s="735"/>
      <c r="I1549" s="735"/>
      <c r="J1549" s="735"/>
      <c r="K1549" s="735"/>
      <c r="L1549" s="735"/>
      <c r="M1549" s="735"/>
      <c r="N1549" s="735"/>
      <c r="O1549" s="19"/>
      <c r="P1549" s="19"/>
      <c r="Q1549" s="19"/>
      <c r="R1549" s="19"/>
      <c r="S1549" s="19"/>
      <c r="T1549" s="19"/>
      <c r="U1549" s="19"/>
      <c r="V1549" s="19"/>
      <c r="W1549" s="19"/>
      <c r="X1549" s="19"/>
      <c r="Y1549" s="19"/>
      <c r="Z1549" s="19"/>
      <c r="AA1549" s="19"/>
      <c r="AB1549" s="19"/>
      <c r="FE1549" s="54"/>
    </row>
    <row r="1550" spans="1:161" s="18" customFormat="1">
      <c r="A1550" s="51"/>
      <c r="B1550" s="735"/>
      <c r="C1550" s="735"/>
      <c r="D1550" s="735"/>
      <c r="E1550" s="735"/>
      <c r="F1550" s="736"/>
      <c r="G1550" s="735"/>
      <c r="H1550" s="735"/>
      <c r="I1550" s="735"/>
      <c r="J1550" s="735"/>
      <c r="K1550" s="735"/>
      <c r="L1550" s="735"/>
      <c r="M1550" s="735"/>
      <c r="N1550" s="735"/>
      <c r="O1550" s="19"/>
      <c r="P1550" s="19"/>
      <c r="Q1550" s="19"/>
      <c r="R1550" s="19"/>
      <c r="S1550" s="19"/>
      <c r="T1550" s="19"/>
      <c r="U1550" s="19"/>
      <c r="V1550" s="19"/>
      <c r="W1550" s="19"/>
      <c r="X1550" s="19"/>
      <c r="Y1550" s="19"/>
      <c r="Z1550" s="19"/>
      <c r="AA1550" s="19"/>
      <c r="AB1550" s="19"/>
      <c r="FE1550" s="54"/>
    </row>
    <row r="1551" spans="1:161" s="18" customFormat="1">
      <c r="A1551" s="51"/>
      <c r="B1551" s="735"/>
      <c r="C1551" s="735"/>
      <c r="D1551" s="735"/>
      <c r="E1551" s="735"/>
      <c r="F1551" s="736"/>
      <c r="G1551" s="735"/>
      <c r="H1551" s="735"/>
      <c r="I1551" s="735"/>
      <c r="J1551" s="735"/>
      <c r="K1551" s="735"/>
      <c r="L1551" s="735"/>
      <c r="M1551" s="735"/>
      <c r="N1551" s="735"/>
      <c r="O1551" s="19"/>
      <c r="P1551" s="19"/>
      <c r="Q1551" s="19"/>
      <c r="R1551" s="19"/>
      <c r="S1551" s="19"/>
      <c r="T1551" s="19"/>
      <c r="U1551" s="19"/>
      <c r="V1551" s="19"/>
      <c r="W1551" s="19"/>
      <c r="X1551" s="19"/>
      <c r="Y1551" s="19"/>
      <c r="Z1551" s="19"/>
      <c r="AA1551" s="19"/>
      <c r="AB1551" s="19"/>
      <c r="FE1551" s="54"/>
    </row>
    <row r="1552" spans="1:161" s="18" customFormat="1">
      <c r="A1552" s="51"/>
      <c r="B1552" s="735"/>
      <c r="C1552" s="735"/>
      <c r="D1552" s="735"/>
      <c r="E1552" s="735"/>
      <c r="F1552" s="736"/>
      <c r="G1552" s="735"/>
      <c r="H1552" s="735"/>
      <c r="I1552" s="735"/>
      <c r="J1552" s="735"/>
      <c r="K1552" s="735"/>
      <c r="L1552" s="735"/>
      <c r="M1552" s="735"/>
      <c r="N1552" s="735"/>
      <c r="O1552" s="19"/>
      <c r="P1552" s="19"/>
      <c r="Q1552" s="19"/>
      <c r="R1552" s="19"/>
      <c r="S1552" s="19"/>
      <c r="T1552" s="19"/>
      <c r="U1552" s="19"/>
      <c r="V1552" s="19"/>
      <c r="W1552" s="19"/>
      <c r="X1552" s="19"/>
      <c r="Y1552" s="19"/>
      <c r="Z1552" s="19"/>
      <c r="AA1552" s="19"/>
      <c r="AB1552" s="19"/>
      <c r="FE1552" s="54"/>
    </row>
    <row r="1553" spans="1:161" s="18" customFormat="1">
      <c r="A1553" s="51"/>
      <c r="B1553" s="735"/>
      <c r="C1553" s="735"/>
      <c r="D1553" s="735"/>
      <c r="E1553" s="735"/>
      <c r="F1553" s="736"/>
      <c r="G1553" s="735"/>
      <c r="H1553" s="735"/>
      <c r="I1553" s="735"/>
      <c r="J1553" s="735"/>
      <c r="K1553" s="735"/>
      <c r="L1553" s="735"/>
      <c r="M1553" s="735"/>
      <c r="N1553" s="735"/>
      <c r="O1553" s="19"/>
      <c r="P1553" s="19"/>
      <c r="Q1553" s="19"/>
      <c r="R1553" s="19"/>
      <c r="S1553" s="19"/>
      <c r="T1553" s="19"/>
      <c r="U1553" s="19"/>
      <c r="V1553" s="19"/>
      <c r="W1553" s="19"/>
      <c r="X1553" s="19"/>
      <c r="Y1553" s="19"/>
      <c r="Z1553" s="19"/>
      <c r="AA1553" s="19"/>
      <c r="AB1553" s="19"/>
      <c r="FE1553" s="54"/>
    </row>
    <row r="1554" spans="1:161" s="18" customFormat="1">
      <c r="A1554" s="51"/>
      <c r="B1554" s="735"/>
      <c r="C1554" s="735"/>
      <c r="D1554" s="735"/>
      <c r="E1554" s="735"/>
      <c r="F1554" s="736"/>
      <c r="G1554" s="735"/>
      <c r="H1554" s="735"/>
      <c r="I1554" s="735"/>
      <c r="J1554" s="735"/>
      <c r="K1554" s="735"/>
      <c r="L1554" s="735"/>
      <c r="M1554" s="735"/>
      <c r="N1554" s="735"/>
      <c r="O1554" s="19"/>
      <c r="P1554" s="19"/>
      <c r="Q1554" s="19"/>
      <c r="R1554" s="19"/>
      <c r="S1554" s="19"/>
      <c r="T1554" s="19"/>
      <c r="U1554" s="19"/>
      <c r="V1554" s="19"/>
      <c r="W1554" s="19"/>
      <c r="X1554" s="19"/>
      <c r="Y1554" s="19"/>
      <c r="Z1554" s="19"/>
      <c r="AA1554" s="19"/>
      <c r="AB1554" s="19"/>
      <c r="FE1554" s="54"/>
    </row>
    <row r="1555" spans="1:161" s="18" customFormat="1">
      <c r="A1555" s="51"/>
      <c r="B1555" s="735"/>
      <c r="C1555" s="735"/>
      <c r="D1555" s="735"/>
      <c r="E1555" s="735"/>
      <c r="F1555" s="736"/>
      <c r="G1555" s="735"/>
      <c r="H1555" s="735"/>
      <c r="I1555" s="735"/>
      <c r="J1555" s="735"/>
      <c r="K1555" s="735"/>
      <c r="L1555" s="735"/>
      <c r="M1555" s="735"/>
      <c r="N1555" s="735"/>
      <c r="O1555" s="19"/>
      <c r="P1555" s="19"/>
      <c r="Q1555" s="19"/>
      <c r="R1555" s="19"/>
      <c r="S1555" s="19"/>
      <c r="T1555" s="19"/>
      <c r="U1555" s="19"/>
      <c r="V1555" s="19"/>
      <c r="W1555" s="19"/>
      <c r="X1555" s="19"/>
      <c r="Y1555" s="19"/>
      <c r="Z1555" s="19"/>
      <c r="AA1555" s="19"/>
      <c r="AB1555" s="19"/>
      <c r="FE1555" s="54"/>
    </row>
    <row r="1556" spans="1:161" s="18" customFormat="1">
      <c r="A1556" s="51"/>
      <c r="B1556" s="735"/>
      <c r="C1556" s="735"/>
      <c r="D1556" s="735"/>
      <c r="E1556" s="735"/>
      <c r="F1556" s="736"/>
      <c r="G1556" s="735"/>
      <c r="H1556" s="735"/>
      <c r="I1556" s="735"/>
      <c r="J1556" s="735"/>
      <c r="K1556" s="735"/>
      <c r="L1556" s="735"/>
      <c r="M1556" s="735"/>
      <c r="N1556" s="735"/>
      <c r="O1556" s="19"/>
      <c r="P1556" s="19"/>
      <c r="Q1556" s="19"/>
      <c r="R1556" s="19"/>
      <c r="S1556" s="19"/>
      <c r="T1556" s="19"/>
      <c r="U1556" s="19"/>
      <c r="V1556" s="19"/>
      <c r="W1556" s="19"/>
      <c r="X1556" s="19"/>
      <c r="Y1556" s="19"/>
      <c r="Z1556" s="19"/>
      <c r="AA1556" s="19"/>
      <c r="AB1556" s="19"/>
      <c r="FE1556" s="54"/>
    </row>
    <row r="1557" spans="1:161" s="18" customFormat="1">
      <c r="A1557" s="51"/>
      <c r="B1557" s="735"/>
      <c r="C1557" s="735"/>
      <c r="D1557" s="735"/>
      <c r="E1557" s="735"/>
      <c r="F1557" s="736"/>
      <c r="G1557" s="735"/>
      <c r="H1557" s="735"/>
      <c r="I1557" s="735"/>
      <c r="J1557" s="735"/>
      <c r="K1557" s="735"/>
      <c r="L1557" s="735"/>
      <c r="M1557" s="735"/>
      <c r="N1557" s="735"/>
      <c r="O1557" s="19"/>
      <c r="P1557" s="19"/>
      <c r="Q1557" s="19"/>
      <c r="R1557" s="19"/>
      <c r="S1557" s="19"/>
      <c r="T1557" s="19"/>
      <c r="U1557" s="19"/>
      <c r="V1557" s="19"/>
      <c r="W1557" s="19"/>
      <c r="X1557" s="19"/>
      <c r="Y1557" s="19"/>
      <c r="Z1557" s="19"/>
      <c r="AA1557" s="19"/>
      <c r="AB1557" s="19"/>
      <c r="FE1557" s="54"/>
    </row>
    <row r="1558" spans="1:161" s="18" customFormat="1">
      <c r="A1558" s="51"/>
      <c r="B1558" s="735"/>
      <c r="C1558" s="735"/>
      <c r="D1558" s="735"/>
      <c r="E1558" s="735"/>
      <c r="F1558" s="736"/>
      <c r="G1558" s="735"/>
      <c r="H1558" s="735"/>
      <c r="I1558" s="735"/>
      <c r="J1558" s="735"/>
      <c r="K1558" s="735"/>
      <c r="L1558" s="735"/>
      <c r="M1558" s="735"/>
      <c r="N1558" s="735"/>
      <c r="O1558" s="19"/>
      <c r="P1558" s="19"/>
      <c r="Q1558" s="19"/>
      <c r="R1558" s="19"/>
      <c r="S1558" s="19"/>
      <c r="T1558" s="19"/>
      <c r="U1558" s="19"/>
      <c r="V1558" s="19"/>
      <c r="W1558" s="19"/>
      <c r="X1558" s="19"/>
      <c r="Y1558" s="19"/>
      <c r="Z1558" s="19"/>
      <c r="AA1558" s="19"/>
      <c r="AB1558" s="19"/>
      <c r="FE1558" s="54"/>
    </row>
    <row r="1559" spans="1:161" s="18" customFormat="1">
      <c r="A1559" s="51"/>
      <c r="B1559" s="735"/>
      <c r="C1559" s="735"/>
      <c r="D1559" s="735"/>
      <c r="E1559" s="735"/>
      <c r="F1559" s="736"/>
      <c r="G1559" s="735"/>
      <c r="H1559" s="735"/>
      <c r="I1559" s="735"/>
      <c r="J1559" s="735"/>
      <c r="K1559" s="735"/>
      <c r="L1559" s="735"/>
      <c r="M1559" s="735"/>
      <c r="N1559" s="735"/>
      <c r="O1559" s="19"/>
      <c r="P1559" s="19"/>
      <c r="Q1559" s="19"/>
      <c r="R1559" s="19"/>
      <c r="S1559" s="19"/>
      <c r="T1559" s="19"/>
      <c r="U1559" s="19"/>
      <c r="V1559" s="19"/>
      <c r="W1559" s="19"/>
      <c r="X1559" s="19"/>
      <c r="Y1559" s="19"/>
      <c r="Z1559" s="19"/>
      <c r="AA1559" s="19"/>
      <c r="AB1559" s="19"/>
      <c r="FE1559" s="54"/>
    </row>
    <row r="1560" spans="1:161" s="18" customFormat="1">
      <c r="A1560" s="51"/>
      <c r="B1560" s="735"/>
      <c r="C1560" s="735"/>
      <c r="D1560" s="735"/>
      <c r="E1560" s="735"/>
      <c r="F1560" s="736"/>
      <c r="G1560" s="735"/>
      <c r="H1560" s="735"/>
      <c r="I1560" s="735"/>
      <c r="J1560" s="735"/>
      <c r="K1560" s="735"/>
      <c r="L1560" s="735"/>
      <c r="M1560" s="735"/>
      <c r="N1560" s="735"/>
      <c r="O1560" s="19"/>
      <c r="P1560" s="19"/>
      <c r="Q1560" s="19"/>
      <c r="R1560" s="19"/>
      <c r="S1560" s="19"/>
      <c r="T1560" s="19"/>
      <c r="U1560" s="19"/>
      <c r="V1560" s="19"/>
      <c r="W1560" s="19"/>
      <c r="X1560" s="19"/>
      <c r="Y1560" s="19"/>
      <c r="Z1560" s="19"/>
      <c r="AA1560" s="19"/>
      <c r="AB1560" s="19"/>
      <c r="FE1560" s="54"/>
    </row>
    <row r="1561" spans="1:161" s="18" customFormat="1">
      <c r="A1561" s="51"/>
      <c r="B1561" s="735"/>
      <c r="C1561" s="735"/>
      <c r="D1561" s="735"/>
      <c r="E1561" s="735"/>
      <c r="F1561" s="736"/>
      <c r="G1561" s="735"/>
      <c r="H1561" s="735"/>
      <c r="I1561" s="735"/>
      <c r="J1561" s="735"/>
      <c r="K1561" s="735"/>
      <c r="L1561" s="735"/>
      <c r="M1561" s="735"/>
      <c r="N1561" s="735"/>
      <c r="O1561" s="19"/>
      <c r="P1561" s="19"/>
      <c r="Q1561" s="19"/>
      <c r="R1561" s="19"/>
      <c r="S1561" s="19"/>
      <c r="T1561" s="19"/>
      <c r="U1561" s="19"/>
      <c r="V1561" s="19"/>
      <c r="W1561" s="19"/>
      <c r="X1561" s="19"/>
      <c r="Y1561" s="19"/>
      <c r="Z1561" s="19"/>
      <c r="AA1561" s="19"/>
      <c r="AB1561" s="19"/>
      <c r="FE1561" s="54"/>
    </row>
    <row r="1562" spans="1:161" s="18" customFormat="1">
      <c r="A1562" s="51"/>
      <c r="B1562" s="735"/>
      <c r="C1562" s="735"/>
      <c r="D1562" s="735"/>
      <c r="E1562" s="735"/>
      <c r="F1562" s="736"/>
      <c r="G1562" s="735"/>
      <c r="H1562" s="735"/>
      <c r="I1562" s="735"/>
      <c r="J1562" s="735"/>
      <c r="K1562" s="735"/>
      <c r="L1562" s="735"/>
      <c r="M1562" s="735"/>
      <c r="N1562" s="735"/>
      <c r="O1562" s="19"/>
      <c r="P1562" s="19"/>
      <c r="Q1562" s="19"/>
      <c r="R1562" s="19"/>
      <c r="S1562" s="19"/>
      <c r="T1562" s="19"/>
      <c r="U1562" s="19"/>
      <c r="V1562" s="19"/>
      <c r="W1562" s="19"/>
      <c r="X1562" s="19"/>
      <c r="Y1562" s="19"/>
      <c r="Z1562" s="19"/>
      <c r="AA1562" s="19"/>
      <c r="AB1562" s="19"/>
      <c r="FE1562" s="54"/>
    </row>
    <row r="1563" spans="1:161" s="18" customFormat="1">
      <c r="A1563" s="51"/>
      <c r="B1563" s="735"/>
      <c r="C1563" s="735"/>
      <c r="D1563" s="735"/>
      <c r="E1563" s="735"/>
      <c r="F1563" s="736"/>
      <c r="G1563" s="735"/>
      <c r="H1563" s="735"/>
      <c r="I1563" s="735"/>
      <c r="J1563" s="735"/>
      <c r="K1563" s="735"/>
      <c r="L1563" s="735"/>
      <c r="M1563" s="735"/>
      <c r="N1563" s="735"/>
      <c r="O1563" s="19"/>
      <c r="P1563" s="19"/>
      <c r="Q1563" s="19"/>
      <c r="R1563" s="19"/>
      <c r="S1563" s="19"/>
      <c r="T1563" s="19"/>
      <c r="U1563" s="19"/>
      <c r="V1563" s="19"/>
      <c r="W1563" s="19"/>
      <c r="X1563" s="19"/>
      <c r="Y1563" s="19"/>
      <c r="Z1563" s="19"/>
      <c r="AA1563" s="19"/>
      <c r="AB1563" s="19"/>
      <c r="FE1563" s="54"/>
    </row>
    <row r="1564" spans="1:161" s="18" customFormat="1">
      <c r="A1564" s="51"/>
      <c r="B1564" s="735"/>
      <c r="C1564" s="735"/>
      <c r="D1564" s="735"/>
      <c r="E1564" s="735"/>
      <c r="F1564" s="736"/>
      <c r="G1564" s="735"/>
      <c r="H1564" s="735"/>
      <c r="I1564" s="735"/>
      <c r="J1564" s="735"/>
      <c r="K1564" s="735"/>
      <c r="L1564" s="735"/>
      <c r="M1564" s="735"/>
      <c r="N1564" s="735"/>
      <c r="O1564" s="19"/>
      <c r="P1564" s="19"/>
      <c r="Q1564" s="19"/>
      <c r="R1564" s="19"/>
      <c r="S1564" s="19"/>
      <c r="T1564" s="19"/>
      <c r="U1564" s="19"/>
      <c r="V1564" s="19"/>
      <c r="W1564" s="19"/>
      <c r="X1564" s="19"/>
      <c r="Y1564" s="19"/>
      <c r="Z1564" s="19"/>
      <c r="AA1564" s="19"/>
      <c r="AB1564" s="19"/>
      <c r="FE1564" s="54"/>
    </row>
    <row r="1565" spans="1:161" s="18" customFormat="1">
      <c r="A1565" s="51"/>
      <c r="B1565" s="735"/>
      <c r="C1565" s="735"/>
      <c r="D1565" s="735"/>
      <c r="E1565" s="735"/>
      <c r="F1565" s="736"/>
      <c r="G1565" s="735"/>
      <c r="H1565" s="735"/>
      <c r="I1565" s="735"/>
      <c r="J1565" s="735"/>
      <c r="K1565" s="735"/>
      <c r="L1565" s="735"/>
      <c r="M1565" s="735"/>
      <c r="N1565" s="735"/>
      <c r="O1565" s="19"/>
      <c r="P1565" s="19"/>
      <c r="Q1565" s="19"/>
      <c r="R1565" s="19"/>
      <c r="S1565" s="19"/>
      <c r="T1565" s="19"/>
      <c r="U1565" s="19"/>
      <c r="V1565" s="19"/>
      <c r="W1565" s="19"/>
      <c r="X1565" s="19"/>
      <c r="Y1565" s="19"/>
      <c r="Z1565" s="19"/>
      <c r="AA1565" s="19"/>
      <c r="AB1565" s="19"/>
      <c r="FE1565" s="54"/>
    </row>
    <row r="1566" spans="1:161" s="18" customFormat="1">
      <c r="A1566" s="51"/>
      <c r="B1566" s="735"/>
      <c r="C1566" s="735"/>
      <c r="D1566" s="735"/>
      <c r="E1566" s="735"/>
      <c r="F1566" s="736"/>
      <c r="G1566" s="735"/>
      <c r="H1566" s="735"/>
      <c r="I1566" s="735"/>
      <c r="J1566" s="735"/>
      <c r="K1566" s="735"/>
      <c r="L1566" s="735"/>
      <c r="M1566" s="735"/>
      <c r="N1566" s="735"/>
      <c r="O1566" s="19"/>
      <c r="P1566" s="19"/>
      <c r="Q1566" s="19"/>
      <c r="R1566" s="19"/>
      <c r="S1566" s="19"/>
      <c r="T1566" s="19"/>
      <c r="U1566" s="19"/>
      <c r="V1566" s="19"/>
      <c r="W1566" s="19"/>
      <c r="X1566" s="19"/>
      <c r="Y1566" s="19"/>
      <c r="Z1566" s="19"/>
      <c r="AA1566" s="19"/>
      <c r="AB1566" s="19"/>
      <c r="FE1566" s="54"/>
    </row>
    <row r="1567" spans="1:161" s="18" customFormat="1">
      <c r="A1567" s="51"/>
      <c r="B1567" s="735"/>
      <c r="C1567" s="735"/>
      <c r="D1567" s="735"/>
      <c r="E1567" s="735"/>
      <c r="F1567" s="736"/>
      <c r="G1567" s="735"/>
      <c r="H1567" s="735"/>
      <c r="I1567" s="735"/>
      <c r="J1567" s="735"/>
      <c r="K1567" s="735"/>
      <c r="L1567" s="735"/>
      <c r="M1567" s="735"/>
      <c r="N1567" s="735"/>
      <c r="O1567" s="19"/>
      <c r="P1567" s="19"/>
      <c r="Q1567" s="19"/>
      <c r="R1567" s="19"/>
      <c r="S1567" s="19"/>
      <c r="T1567" s="19"/>
      <c r="U1567" s="19"/>
      <c r="V1567" s="19"/>
      <c r="W1567" s="19"/>
      <c r="X1567" s="19"/>
      <c r="Y1567" s="19"/>
      <c r="Z1567" s="19"/>
      <c r="AA1567" s="19"/>
      <c r="AB1567" s="19"/>
      <c r="FE1567" s="54"/>
    </row>
    <row r="1568" spans="1:161" s="18" customFormat="1">
      <c r="A1568" s="51"/>
      <c r="B1568" s="735"/>
      <c r="C1568" s="735"/>
      <c r="D1568" s="735"/>
      <c r="E1568" s="735"/>
      <c r="F1568" s="736"/>
      <c r="G1568" s="735"/>
      <c r="H1568" s="735"/>
      <c r="I1568" s="735"/>
      <c r="J1568" s="735"/>
      <c r="K1568" s="735"/>
      <c r="L1568" s="735"/>
      <c r="M1568" s="735"/>
      <c r="N1568" s="735"/>
      <c r="O1568" s="19"/>
      <c r="P1568" s="19"/>
      <c r="Q1568" s="19"/>
      <c r="R1568" s="19"/>
      <c r="S1568" s="19"/>
      <c r="T1568" s="19"/>
      <c r="U1568" s="19"/>
      <c r="V1568" s="19"/>
      <c r="W1568" s="19"/>
      <c r="X1568" s="19"/>
      <c r="Y1568" s="19"/>
      <c r="Z1568" s="19"/>
      <c r="AA1568" s="19"/>
      <c r="AB1568" s="19"/>
      <c r="FE1568" s="54"/>
    </row>
    <row r="1569" spans="1:161" s="18" customFormat="1">
      <c r="A1569" s="51"/>
      <c r="B1569" s="735"/>
      <c r="C1569" s="735"/>
      <c r="D1569" s="735"/>
      <c r="E1569" s="735"/>
      <c r="F1569" s="736"/>
      <c r="G1569" s="735"/>
      <c r="H1569" s="735"/>
      <c r="I1569" s="735"/>
      <c r="J1569" s="735"/>
      <c r="K1569" s="735"/>
      <c r="L1569" s="735"/>
      <c r="M1569" s="735"/>
      <c r="N1569" s="735"/>
      <c r="O1569" s="19"/>
      <c r="P1569" s="19"/>
      <c r="Q1569" s="19"/>
      <c r="R1569" s="19"/>
      <c r="S1569" s="19"/>
      <c r="T1569" s="19"/>
      <c r="U1569" s="19"/>
      <c r="V1569" s="19"/>
      <c r="W1569" s="19"/>
      <c r="X1569" s="19"/>
      <c r="Y1569" s="19"/>
      <c r="Z1569" s="19"/>
      <c r="AA1569" s="19"/>
      <c r="AB1569" s="19"/>
      <c r="FE1569" s="54"/>
    </row>
    <row r="1570" spans="1:161" s="18" customFormat="1">
      <c r="A1570" s="51"/>
      <c r="B1570" s="735"/>
      <c r="C1570" s="735"/>
      <c r="D1570" s="735"/>
      <c r="E1570" s="735"/>
      <c r="F1570" s="736"/>
      <c r="G1570" s="735"/>
      <c r="H1570" s="735"/>
      <c r="I1570" s="735"/>
      <c r="J1570" s="735"/>
      <c r="K1570" s="735"/>
      <c r="L1570" s="735"/>
      <c r="M1570" s="735"/>
      <c r="N1570" s="735"/>
      <c r="O1570" s="19"/>
      <c r="P1570" s="19"/>
      <c r="Q1570" s="19"/>
      <c r="R1570" s="19"/>
      <c r="S1570" s="19"/>
      <c r="T1570" s="19"/>
      <c r="U1570" s="19"/>
      <c r="V1570" s="19"/>
      <c r="W1570" s="19"/>
      <c r="X1570" s="19"/>
      <c r="Y1570" s="19"/>
      <c r="Z1570" s="19"/>
      <c r="AA1570" s="19"/>
      <c r="AB1570" s="19"/>
      <c r="FE1570" s="54"/>
    </row>
    <row r="1571" spans="1:161" s="18" customFormat="1">
      <c r="A1571" s="51"/>
      <c r="B1571" s="735"/>
      <c r="C1571" s="735"/>
      <c r="D1571" s="735"/>
      <c r="E1571" s="735"/>
      <c r="F1571" s="736"/>
      <c r="G1571" s="735"/>
      <c r="H1571" s="735"/>
      <c r="I1571" s="735"/>
      <c r="J1571" s="735"/>
      <c r="K1571" s="735"/>
      <c r="L1571" s="735"/>
      <c r="M1571" s="735"/>
      <c r="N1571" s="735"/>
      <c r="O1571" s="19"/>
      <c r="P1571" s="19"/>
      <c r="Q1571" s="19"/>
      <c r="R1571" s="19"/>
      <c r="S1571" s="19"/>
      <c r="T1571" s="19"/>
      <c r="U1571" s="19"/>
      <c r="V1571" s="19"/>
      <c r="W1571" s="19"/>
      <c r="X1571" s="19"/>
      <c r="Y1571" s="19"/>
      <c r="Z1571" s="19"/>
      <c r="AA1571" s="19"/>
      <c r="AB1571" s="19"/>
      <c r="FE1571" s="54"/>
    </row>
    <row r="1572" spans="1:161" s="18" customFormat="1">
      <c r="A1572" s="51"/>
      <c r="B1572" s="735"/>
      <c r="C1572" s="735"/>
      <c r="D1572" s="735"/>
      <c r="E1572" s="735"/>
      <c r="F1572" s="736"/>
      <c r="G1572" s="735"/>
      <c r="H1572" s="735"/>
      <c r="I1572" s="735"/>
      <c r="J1572" s="735"/>
      <c r="K1572" s="735"/>
      <c r="L1572" s="735"/>
      <c r="M1572" s="735"/>
      <c r="N1572" s="735"/>
      <c r="O1572" s="19"/>
      <c r="P1572" s="19"/>
      <c r="Q1572" s="19"/>
      <c r="R1572" s="19"/>
      <c r="S1572" s="19"/>
      <c r="T1572" s="19"/>
      <c r="U1572" s="19"/>
      <c r="V1572" s="19"/>
      <c r="W1572" s="19"/>
      <c r="X1572" s="19"/>
      <c r="Y1572" s="19"/>
      <c r="Z1572" s="19"/>
      <c r="AA1572" s="19"/>
      <c r="AB1572" s="19"/>
      <c r="FE1572" s="54"/>
    </row>
    <row r="1573" spans="1:161" s="18" customFormat="1">
      <c r="A1573" s="51"/>
      <c r="B1573" s="735"/>
      <c r="C1573" s="735"/>
      <c r="D1573" s="735"/>
      <c r="E1573" s="735"/>
      <c r="F1573" s="736"/>
      <c r="G1573" s="735"/>
      <c r="H1573" s="735"/>
      <c r="I1573" s="735"/>
      <c r="J1573" s="735"/>
      <c r="K1573" s="735"/>
      <c r="L1573" s="735"/>
      <c r="M1573" s="735"/>
      <c r="N1573" s="735"/>
      <c r="O1573" s="19"/>
      <c r="P1573" s="19"/>
      <c r="Q1573" s="19"/>
      <c r="R1573" s="19"/>
      <c r="S1573" s="19"/>
      <c r="T1573" s="19"/>
      <c r="U1573" s="19"/>
      <c r="V1573" s="19"/>
      <c r="W1573" s="19"/>
      <c r="X1573" s="19"/>
      <c r="Y1573" s="19"/>
      <c r="Z1573" s="19"/>
      <c r="AA1573" s="19"/>
      <c r="AB1573" s="19"/>
      <c r="FE1573" s="54"/>
    </row>
    <row r="1574" spans="1:161" s="18" customFormat="1">
      <c r="A1574" s="51"/>
      <c r="B1574" s="735"/>
      <c r="C1574" s="735"/>
      <c r="D1574" s="735"/>
      <c r="E1574" s="735"/>
      <c r="F1574" s="736"/>
      <c r="G1574" s="735"/>
      <c r="H1574" s="735"/>
      <c r="I1574" s="735"/>
      <c r="J1574" s="735"/>
      <c r="K1574" s="735"/>
      <c r="L1574" s="735"/>
      <c r="M1574" s="735"/>
      <c r="N1574" s="735"/>
      <c r="O1574" s="19"/>
      <c r="P1574" s="19"/>
      <c r="Q1574" s="19"/>
      <c r="R1574" s="19"/>
      <c r="S1574" s="19"/>
      <c r="T1574" s="19"/>
      <c r="U1574" s="19"/>
      <c r="V1574" s="19"/>
      <c r="W1574" s="19"/>
      <c r="X1574" s="19"/>
      <c r="Y1574" s="19"/>
      <c r="Z1574" s="19"/>
      <c r="AA1574" s="19"/>
      <c r="AB1574" s="19"/>
      <c r="FE1574" s="54"/>
    </row>
    <row r="1575" spans="1:161" s="18" customFormat="1">
      <c r="A1575" s="51"/>
      <c r="B1575" s="735"/>
      <c r="C1575" s="735"/>
      <c r="D1575" s="735"/>
      <c r="E1575" s="735"/>
      <c r="F1575" s="736"/>
      <c r="G1575" s="735"/>
      <c r="H1575" s="735"/>
      <c r="I1575" s="735"/>
      <c r="J1575" s="735"/>
      <c r="K1575" s="735"/>
      <c r="L1575" s="735"/>
      <c r="M1575" s="735"/>
      <c r="N1575" s="735"/>
      <c r="O1575" s="19"/>
      <c r="P1575" s="19"/>
      <c r="Q1575" s="19"/>
      <c r="R1575" s="19"/>
      <c r="S1575" s="19"/>
      <c r="T1575" s="19"/>
      <c r="U1575" s="19"/>
      <c r="V1575" s="19"/>
      <c r="W1575" s="19"/>
      <c r="X1575" s="19"/>
      <c r="Y1575" s="19"/>
      <c r="Z1575" s="19"/>
      <c r="AA1575" s="19"/>
      <c r="AB1575" s="19"/>
      <c r="FE1575" s="54"/>
    </row>
    <row r="1576" spans="1:161" s="18" customFormat="1">
      <c r="A1576" s="51"/>
      <c r="B1576" s="735"/>
      <c r="C1576" s="735"/>
      <c r="D1576" s="735"/>
      <c r="E1576" s="735"/>
      <c r="F1576" s="736"/>
      <c r="G1576" s="735"/>
      <c r="H1576" s="735"/>
      <c r="I1576" s="735"/>
      <c r="J1576" s="735"/>
      <c r="K1576" s="735"/>
      <c r="L1576" s="735"/>
      <c r="M1576" s="735"/>
      <c r="N1576" s="735"/>
      <c r="O1576" s="19"/>
      <c r="P1576" s="19"/>
      <c r="Q1576" s="19"/>
      <c r="R1576" s="19"/>
      <c r="S1576" s="19"/>
      <c r="T1576" s="19"/>
      <c r="U1576" s="19"/>
      <c r="V1576" s="19"/>
      <c r="W1576" s="19"/>
      <c r="X1576" s="19"/>
      <c r="Y1576" s="19"/>
      <c r="Z1576" s="19"/>
      <c r="AA1576" s="19"/>
      <c r="AB1576" s="19"/>
      <c r="FE1576" s="54"/>
    </row>
    <row r="1577" spans="1:161" s="18" customFormat="1">
      <c r="A1577" s="51"/>
      <c r="B1577" s="735"/>
      <c r="C1577" s="735"/>
      <c r="D1577" s="735"/>
      <c r="E1577" s="735"/>
      <c r="F1577" s="736"/>
      <c r="G1577" s="735"/>
      <c r="H1577" s="735"/>
      <c r="I1577" s="735"/>
      <c r="J1577" s="735"/>
      <c r="K1577" s="735"/>
      <c r="L1577" s="735"/>
      <c r="M1577" s="735"/>
      <c r="N1577" s="735"/>
      <c r="O1577" s="19"/>
      <c r="P1577" s="19"/>
      <c r="Q1577" s="19"/>
      <c r="R1577" s="19"/>
      <c r="S1577" s="19"/>
      <c r="T1577" s="19"/>
      <c r="U1577" s="19"/>
      <c r="V1577" s="19"/>
      <c r="W1577" s="19"/>
      <c r="X1577" s="19"/>
      <c r="Y1577" s="19"/>
      <c r="Z1577" s="19"/>
      <c r="AA1577" s="19"/>
      <c r="AB1577" s="19"/>
      <c r="FE1577" s="54"/>
    </row>
    <row r="1578" spans="1:161" s="18" customFormat="1">
      <c r="A1578" s="51"/>
      <c r="B1578" s="735"/>
      <c r="C1578" s="735"/>
      <c r="D1578" s="735"/>
      <c r="E1578" s="735"/>
      <c r="F1578" s="736"/>
      <c r="G1578" s="735"/>
      <c r="H1578" s="735"/>
      <c r="I1578" s="735"/>
      <c r="J1578" s="735"/>
      <c r="K1578" s="735"/>
      <c r="L1578" s="735"/>
      <c r="M1578" s="735"/>
      <c r="N1578" s="735"/>
      <c r="O1578" s="19"/>
      <c r="P1578" s="19"/>
      <c r="Q1578" s="19"/>
      <c r="R1578" s="19"/>
      <c r="S1578" s="19"/>
      <c r="T1578" s="19"/>
      <c r="U1578" s="19"/>
      <c r="V1578" s="19"/>
      <c r="W1578" s="19"/>
      <c r="X1578" s="19"/>
      <c r="Y1578" s="19"/>
      <c r="Z1578" s="19"/>
      <c r="AA1578" s="19"/>
      <c r="AB1578" s="19"/>
      <c r="FE1578" s="54"/>
    </row>
    <row r="1579" spans="1:161" s="18" customFormat="1">
      <c r="A1579" s="51"/>
      <c r="B1579" s="735"/>
      <c r="C1579" s="735"/>
      <c r="D1579" s="735"/>
      <c r="E1579" s="735"/>
      <c r="F1579" s="736"/>
      <c r="G1579" s="735"/>
      <c r="H1579" s="735"/>
      <c r="I1579" s="735"/>
      <c r="J1579" s="735"/>
      <c r="K1579" s="735"/>
      <c r="L1579" s="735"/>
      <c r="M1579" s="735"/>
      <c r="N1579" s="735"/>
      <c r="O1579" s="19"/>
      <c r="P1579" s="19"/>
      <c r="Q1579" s="19"/>
      <c r="R1579" s="19"/>
      <c r="S1579" s="19"/>
      <c r="T1579" s="19"/>
      <c r="U1579" s="19"/>
      <c r="V1579" s="19"/>
      <c r="W1579" s="19"/>
      <c r="X1579" s="19"/>
      <c r="Y1579" s="19"/>
      <c r="Z1579" s="19"/>
      <c r="AA1579" s="19"/>
      <c r="AB1579" s="19"/>
      <c r="FE1579" s="54"/>
    </row>
    <row r="1580" spans="1:161" s="18" customFormat="1">
      <c r="A1580" s="51"/>
      <c r="B1580" s="735"/>
      <c r="C1580" s="735"/>
      <c r="D1580" s="735"/>
      <c r="E1580" s="735"/>
      <c r="F1580" s="736"/>
      <c r="G1580" s="735"/>
      <c r="H1580" s="735"/>
      <c r="I1580" s="735"/>
      <c r="J1580" s="735"/>
      <c r="K1580" s="735"/>
      <c r="L1580" s="735"/>
      <c r="M1580" s="735"/>
      <c r="N1580" s="735"/>
      <c r="O1580" s="19"/>
      <c r="P1580" s="19"/>
      <c r="Q1580" s="19"/>
      <c r="R1580" s="19"/>
      <c r="S1580" s="19"/>
      <c r="T1580" s="19"/>
      <c r="U1580" s="19"/>
      <c r="V1580" s="19"/>
      <c r="W1580" s="19"/>
      <c r="X1580" s="19"/>
      <c r="Y1580" s="19"/>
      <c r="Z1580" s="19"/>
      <c r="AA1580" s="19"/>
      <c r="AB1580" s="19"/>
      <c r="FE1580" s="54"/>
    </row>
    <row r="1581" spans="1:161" s="18" customFormat="1">
      <c r="A1581" s="51"/>
      <c r="B1581" s="735"/>
      <c r="C1581" s="735"/>
      <c r="D1581" s="735"/>
      <c r="E1581" s="735"/>
      <c r="F1581" s="736"/>
      <c r="G1581" s="735"/>
      <c r="H1581" s="735"/>
      <c r="I1581" s="735"/>
      <c r="J1581" s="735"/>
      <c r="K1581" s="735"/>
      <c r="L1581" s="735"/>
      <c r="M1581" s="735"/>
      <c r="N1581" s="735"/>
      <c r="O1581" s="19"/>
      <c r="P1581" s="19"/>
      <c r="Q1581" s="19"/>
      <c r="R1581" s="19"/>
      <c r="S1581" s="19"/>
      <c r="T1581" s="19"/>
      <c r="U1581" s="19"/>
      <c r="V1581" s="19"/>
      <c r="W1581" s="19"/>
      <c r="X1581" s="19"/>
      <c r="Y1581" s="19"/>
      <c r="Z1581" s="19"/>
      <c r="AA1581" s="19"/>
      <c r="AB1581" s="19"/>
      <c r="FE1581" s="54"/>
    </row>
    <row r="1582" spans="1:161" s="18" customFormat="1">
      <c r="A1582" s="51"/>
      <c r="B1582" s="735"/>
      <c r="C1582" s="735"/>
      <c r="D1582" s="735"/>
      <c r="E1582" s="735"/>
      <c r="F1582" s="736"/>
      <c r="G1582" s="735"/>
      <c r="H1582" s="735"/>
      <c r="I1582" s="735"/>
      <c r="J1582" s="735"/>
      <c r="K1582" s="735"/>
      <c r="L1582" s="735"/>
      <c r="M1582" s="735"/>
      <c r="N1582" s="735"/>
      <c r="O1582" s="19"/>
      <c r="P1582" s="19"/>
      <c r="Q1582" s="19"/>
      <c r="R1582" s="19"/>
      <c r="S1582" s="19"/>
      <c r="T1582" s="19"/>
      <c r="U1582" s="19"/>
      <c r="V1582" s="19"/>
      <c r="W1582" s="19"/>
      <c r="X1582" s="19"/>
      <c r="Y1582" s="19"/>
      <c r="Z1582" s="19"/>
      <c r="AA1582" s="19"/>
      <c r="AB1582" s="19"/>
      <c r="FE1582" s="54"/>
    </row>
    <row r="1583" spans="1:161" s="18" customFormat="1">
      <c r="A1583" s="51"/>
      <c r="B1583" s="735"/>
      <c r="C1583" s="735"/>
      <c r="D1583" s="735"/>
      <c r="E1583" s="735"/>
      <c r="F1583" s="736"/>
      <c r="G1583" s="735"/>
      <c r="H1583" s="735"/>
      <c r="I1583" s="735"/>
      <c r="J1583" s="735"/>
      <c r="K1583" s="735"/>
      <c r="L1583" s="735"/>
      <c r="M1583" s="735"/>
      <c r="N1583" s="735"/>
      <c r="O1583" s="19"/>
      <c r="P1583" s="19"/>
      <c r="Q1583" s="19"/>
      <c r="R1583" s="19"/>
      <c r="S1583" s="19"/>
      <c r="T1583" s="19"/>
      <c r="U1583" s="19"/>
      <c r="V1583" s="19"/>
      <c r="W1583" s="19"/>
      <c r="X1583" s="19"/>
      <c r="Y1583" s="19"/>
      <c r="Z1583" s="19"/>
      <c r="AA1583" s="19"/>
      <c r="AB1583" s="19"/>
      <c r="FE1583" s="54"/>
    </row>
    <row r="1584" spans="1:161" s="18" customFormat="1">
      <c r="A1584" s="51"/>
      <c r="B1584" s="735"/>
      <c r="C1584" s="735"/>
      <c r="D1584" s="735"/>
      <c r="E1584" s="735"/>
      <c r="F1584" s="736"/>
      <c r="G1584" s="735"/>
      <c r="H1584" s="735"/>
      <c r="I1584" s="735"/>
      <c r="J1584" s="735"/>
      <c r="K1584" s="735"/>
      <c r="L1584" s="735"/>
      <c r="M1584" s="735"/>
      <c r="N1584" s="735"/>
      <c r="O1584" s="19"/>
      <c r="P1584" s="19"/>
      <c r="Q1584" s="19"/>
      <c r="R1584" s="19"/>
      <c r="S1584" s="19"/>
      <c r="T1584" s="19"/>
      <c r="U1584" s="19"/>
      <c r="V1584" s="19"/>
      <c r="W1584" s="19"/>
      <c r="X1584" s="19"/>
      <c r="Y1584" s="19"/>
      <c r="Z1584" s="19"/>
      <c r="AA1584" s="19"/>
      <c r="AB1584" s="19"/>
      <c r="FE1584" s="54"/>
    </row>
    <row r="1585" spans="1:161" s="18" customFormat="1">
      <c r="A1585" s="51"/>
      <c r="B1585" s="735"/>
      <c r="C1585" s="735"/>
      <c r="D1585" s="735"/>
      <c r="E1585" s="735"/>
      <c r="F1585" s="736"/>
      <c r="G1585" s="735"/>
      <c r="H1585" s="735"/>
      <c r="I1585" s="735"/>
      <c r="J1585" s="735"/>
      <c r="K1585" s="735"/>
      <c r="L1585" s="735"/>
      <c r="M1585" s="735"/>
      <c r="N1585" s="735"/>
      <c r="O1585" s="19"/>
      <c r="P1585" s="19"/>
      <c r="Q1585" s="19"/>
      <c r="R1585" s="19"/>
      <c r="S1585" s="19"/>
      <c r="T1585" s="19"/>
      <c r="U1585" s="19"/>
      <c r="V1585" s="19"/>
      <c r="W1585" s="19"/>
      <c r="X1585" s="19"/>
      <c r="Y1585" s="19"/>
      <c r="Z1585" s="19"/>
      <c r="AA1585" s="19"/>
      <c r="AB1585" s="19"/>
      <c r="FE1585" s="54"/>
    </row>
    <row r="1586" spans="1:161" s="18" customFormat="1">
      <c r="A1586" s="51"/>
      <c r="B1586" s="735"/>
      <c r="C1586" s="735"/>
      <c r="D1586" s="735"/>
      <c r="E1586" s="735"/>
      <c r="F1586" s="736"/>
      <c r="G1586" s="735"/>
      <c r="H1586" s="735"/>
      <c r="I1586" s="735"/>
      <c r="J1586" s="735"/>
      <c r="K1586" s="735"/>
      <c r="L1586" s="735"/>
      <c r="M1586" s="735"/>
      <c r="N1586" s="735"/>
      <c r="O1586" s="19"/>
      <c r="P1586" s="19"/>
      <c r="Q1586" s="19"/>
      <c r="R1586" s="19"/>
      <c r="S1586" s="19"/>
      <c r="T1586" s="19"/>
      <c r="U1586" s="19"/>
      <c r="V1586" s="19"/>
      <c r="W1586" s="19"/>
      <c r="X1586" s="19"/>
      <c r="Y1586" s="19"/>
      <c r="Z1586" s="19"/>
      <c r="AA1586" s="19"/>
      <c r="AB1586" s="19"/>
      <c r="FE1586" s="54"/>
    </row>
    <row r="1587" spans="1:161" s="18" customFormat="1">
      <c r="A1587" s="51"/>
      <c r="B1587" s="735"/>
      <c r="C1587" s="735"/>
      <c r="D1587" s="735"/>
      <c r="E1587" s="735"/>
      <c r="F1587" s="736"/>
      <c r="G1587" s="735"/>
      <c r="H1587" s="735"/>
      <c r="I1587" s="735"/>
      <c r="J1587" s="735"/>
      <c r="K1587" s="735"/>
      <c r="L1587" s="735"/>
      <c r="M1587" s="735"/>
      <c r="N1587" s="735"/>
      <c r="O1587" s="19"/>
      <c r="P1587" s="19"/>
      <c r="Q1587" s="19"/>
      <c r="R1587" s="19"/>
      <c r="S1587" s="19"/>
      <c r="T1587" s="19"/>
      <c r="U1587" s="19"/>
      <c r="V1587" s="19"/>
      <c r="W1587" s="19"/>
      <c r="X1587" s="19"/>
      <c r="Y1587" s="19"/>
      <c r="Z1587" s="19"/>
      <c r="AA1587" s="19"/>
      <c r="AB1587" s="19"/>
      <c r="FE1587" s="54"/>
    </row>
    <row r="1588" spans="1:161" s="18" customFormat="1">
      <c r="A1588" s="51"/>
      <c r="B1588" s="735"/>
      <c r="C1588" s="735"/>
      <c r="D1588" s="735"/>
      <c r="E1588" s="735"/>
      <c r="F1588" s="736"/>
      <c r="G1588" s="735"/>
      <c r="H1588" s="735"/>
      <c r="I1588" s="735"/>
      <c r="J1588" s="735"/>
      <c r="K1588" s="735"/>
      <c r="L1588" s="735"/>
      <c r="M1588" s="735"/>
      <c r="N1588" s="735"/>
      <c r="O1588" s="19"/>
      <c r="P1588" s="19"/>
      <c r="Q1588" s="19"/>
      <c r="R1588" s="19"/>
      <c r="S1588" s="19"/>
      <c r="T1588" s="19"/>
      <c r="U1588" s="19"/>
      <c r="V1588" s="19"/>
      <c r="W1588" s="19"/>
      <c r="X1588" s="19"/>
      <c r="Y1588" s="19"/>
      <c r="Z1588" s="19"/>
      <c r="AA1588" s="19"/>
      <c r="AB1588" s="19"/>
      <c r="FE1588" s="54"/>
    </row>
    <row r="1589" spans="1:161" s="18" customFormat="1">
      <c r="A1589" s="51"/>
      <c r="B1589" s="735"/>
      <c r="C1589" s="735"/>
      <c r="D1589" s="735"/>
      <c r="E1589" s="735"/>
      <c r="F1589" s="736"/>
      <c r="G1589" s="735"/>
      <c r="H1589" s="735"/>
      <c r="I1589" s="735"/>
      <c r="J1589" s="735"/>
      <c r="K1589" s="735"/>
      <c r="L1589" s="735"/>
      <c r="M1589" s="735"/>
      <c r="N1589" s="735"/>
      <c r="O1589" s="19"/>
      <c r="P1589" s="19"/>
      <c r="Q1589" s="19"/>
      <c r="R1589" s="19"/>
      <c r="S1589" s="19"/>
      <c r="T1589" s="19"/>
      <c r="U1589" s="19"/>
      <c r="V1589" s="19"/>
      <c r="W1589" s="19"/>
      <c r="X1589" s="19"/>
      <c r="Y1589" s="19"/>
      <c r="Z1589" s="19"/>
      <c r="AA1589" s="19"/>
      <c r="AB1589" s="19"/>
      <c r="FE1589" s="54"/>
    </row>
    <row r="1590" spans="1:161" s="18" customFormat="1">
      <c r="A1590" s="51"/>
      <c r="B1590" s="735"/>
      <c r="C1590" s="735"/>
      <c r="D1590" s="735"/>
      <c r="E1590" s="735"/>
      <c r="F1590" s="736"/>
      <c r="G1590" s="735"/>
      <c r="H1590" s="735"/>
      <c r="I1590" s="735"/>
      <c r="J1590" s="735"/>
      <c r="K1590" s="735"/>
      <c r="L1590" s="735"/>
      <c r="M1590" s="735"/>
      <c r="N1590" s="735"/>
      <c r="O1590" s="19"/>
      <c r="P1590" s="19"/>
      <c r="Q1590" s="19"/>
      <c r="R1590" s="19"/>
      <c r="S1590" s="19"/>
      <c r="T1590" s="19"/>
      <c r="U1590" s="19"/>
      <c r="V1590" s="19"/>
      <c r="W1590" s="19"/>
      <c r="X1590" s="19"/>
      <c r="Y1590" s="19"/>
      <c r="Z1590" s="19"/>
      <c r="AA1590" s="19"/>
      <c r="AB1590" s="19"/>
      <c r="FE1590" s="54"/>
    </row>
    <row r="1591" spans="1:161" s="18" customFormat="1">
      <c r="A1591" s="51"/>
      <c r="B1591" s="735"/>
      <c r="C1591" s="735"/>
      <c r="D1591" s="735"/>
      <c r="E1591" s="735"/>
      <c r="F1591" s="736"/>
      <c r="G1591" s="735"/>
      <c r="H1591" s="735"/>
      <c r="I1591" s="735"/>
      <c r="J1591" s="735"/>
      <c r="K1591" s="735"/>
      <c r="L1591" s="735"/>
      <c r="M1591" s="735"/>
      <c r="N1591" s="735"/>
      <c r="O1591" s="19"/>
      <c r="P1591" s="19"/>
      <c r="Q1591" s="19"/>
      <c r="R1591" s="19"/>
      <c r="S1591" s="19"/>
      <c r="T1591" s="19"/>
      <c r="U1591" s="19"/>
      <c r="V1591" s="19"/>
      <c r="W1591" s="19"/>
      <c r="X1591" s="19"/>
      <c r="Y1591" s="19"/>
      <c r="Z1591" s="19"/>
      <c r="AA1591" s="19"/>
      <c r="AB1591" s="19"/>
      <c r="FE1591" s="54"/>
    </row>
    <row r="1592" spans="1:161" s="18" customFormat="1">
      <c r="A1592" s="51"/>
      <c r="B1592" s="735"/>
      <c r="C1592" s="735"/>
      <c r="D1592" s="735"/>
      <c r="E1592" s="735"/>
      <c r="F1592" s="736"/>
      <c r="G1592" s="735"/>
      <c r="H1592" s="735"/>
      <c r="I1592" s="735"/>
      <c r="J1592" s="735"/>
      <c r="K1592" s="735"/>
      <c r="L1592" s="735"/>
      <c r="M1592" s="735"/>
      <c r="N1592" s="735"/>
      <c r="O1592" s="19"/>
      <c r="P1592" s="19"/>
      <c r="Q1592" s="19"/>
      <c r="R1592" s="19"/>
      <c r="S1592" s="19"/>
      <c r="T1592" s="19"/>
      <c r="U1592" s="19"/>
      <c r="V1592" s="19"/>
      <c r="W1592" s="19"/>
      <c r="X1592" s="19"/>
      <c r="Y1592" s="19"/>
      <c r="Z1592" s="19"/>
      <c r="AA1592" s="19"/>
      <c r="AB1592" s="19"/>
      <c r="FE1592" s="54"/>
    </row>
    <row r="1593" spans="1:161" s="18" customFormat="1">
      <c r="A1593" s="51"/>
      <c r="B1593" s="735"/>
      <c r="C1593" s="735"/>
      <c r="D1593" s="735"/>
      <c r="E1593" s="735"/>
      <c r="F1593" s="736"/>
      <c r="G1593" s="735"/>
      <c r="H1593" s="735"/>
      <c r="I1593" s="735"/>
      <c r="J1593" s="735"/>
      <c r="K1593" s="735"/>
      <c r="L1593" s="735"/>
      <c r="M1593" s="735"/>
      <c r="N1593" s="735"/>
      <c r="O1593" s="19"/>
      <c r="P1593" s="19"/>
      <c r="Q1593" s="19"/>
      <c r="R1593" s="19"/>
      <c r="S1593" s="19"/>
      <c r="T1593" s="19"/>
      <c r="U1593" s="19"/>
      <c r="V1593" s="19"/>
      <c r="W1593" s="19"/>
      <c r="X1593" s="19"/>
      <c r="Y1593" s="19"/>
      <c r="Z1593" s="19"/>
      <c r="AA1593" s="19"/>
      <c r="AB1593" s="19"/>
      <c r="FE1593" s="54"/>
    </row>
    <row r="1594" spans="1:161" s="18" customFormat="1">
      <c r="A1594" s="51"/>
      <c r="B1594" s="735"/>
      <c r="C1594" s="735"/>
      <c r="D1594" s="735"/>
      <c r="E1594" s="735"/>
      <c r="F1594" s="736"/>
      <c r="G1594" s="735"/>
      <c r="H1594" s="735"/>
      <c r="I1594" s="735"/>
      <c r="J1594" s="735"/>
      <c r="K1594" s="735"/>
      <c r="L1594" s="735"/>
      <c r="M1594" s="735"/>
      <c r="N1594" s="735"/>
      <c r="O1594" s="19"/>
      <c r="P1594" s="19"/>
      <c r="Q1594" s="19"/>
      <c r="R1594" s="19"/>
      <c r="S1594" s="19"/>
      <c r="T1594" s="19"/>
      <c r="U1594" s="19"/>
      <c r="V1594" s="19"/>
      <c r="W1594" s="19"/>
      <c r="X1594" s="19"/>
      <c r="Y1594" s="19"/>
      <c r="Z1594" s="19"/>
      <c r="AA1594" s="19"/>
      <c r="AB1594" s="19"/>
      <c r="FE1594" s="54"/>
    </row>
    <row r="1595" spans="1:161" s="18" customFormat="1">
      <c r="A1595" s="51"/>
      <c r="B1595" s="735"/>
      <c r="C1595" s="735"/>
      <c r="D1595" s="735"/>
      <c r="E1595" s="735"/>
      <c r="F1595" s="736"/>
      <c r="G1595" s="735"/>
      <c r="H1595" s="735"/>
      <c r="I1595" s="735"/>
      <c r="J1595" s="735"/>
      <c r="K1595" s="735"/>
      <c r="L1595" s="735"/>
      <c r="M1595" s="735"/>
      <c r="N1595" s="735"/>
      <c r="O1595" s="19"/>
      <c r="P1595" s="19"/>
      <c r="Q1595" s="19"/>
      <c r="R1595" s="19"/>
      <c r="S1595" s="19"/>
      <c r="T1595" s="19"/>
      <c r="U1595" s="19"/>
      <c r="V1595" s="19"/>
      <c r="W1595" s="19"/>
      <c r="X1595" s="19"/>
      <c r="Y1595" s="19"/>
      <c r="Z1595" s="19"/>
      <c r="AA1595" s="19"/>
      <c r="AB1595" s="19"/>
      <c r="FE1595" s="54"/>
    </row>
    <row r="1596" spans="1:161" s="18" customFormat="1">
      <c r="A1596" s="51"/>
      <c r="B1596" s="735"/>
      <c r="C1596" s="735"/>
      <c r="D1596" s="735"/>
      <c r="E1596" s="735"/>
      <c r="F1596" s="736"/>
      <c r="G1596" s="735"/>
      <c r="H1596" s="735"/>
      <c r="I1596" s="735"/>
      <c r="J1596" s="735"/>
      <c r="K1596" s="735"/>
      <c r="L1596" s="735"/>
      <c r="M1596" s="735"/>
      <c r="N1596" s="735"/>
      <c r="O1596" s="19"/>
      <c r="P1596" s="19"/>
      <c r="Q1596" s="19"/>
      <c r="R1596" s="19"/>
      <c r="S1596" s="19"/>
      <c r="T1596" s="19"/>
      <c r="U1596" s="19"/>
      <c r="V1596" s="19"/>
      <c r="W1596" s="19"/>
      <c r="X1596" s="19"/>
      <c r="Y1596" s="19"/>
      <c r="Z1596" s="19"/>
      <c r="AA1596" s="19"/>
      <c r="AB1596" s="19"/>
      <c r="FE1596" s="54"/>
    </row>
    <row r="1597" spans="1:161" s="18" customFormat="1">
      <c r="A1597" s="51"/>
      <c r="B1597" s="735"/>
      <c r="C1597" s="735"/>
      <c r="D1597" s="735"/>
      <c r="E1597" s="735"/>
      <c r="F1597" s="736"/>
      <c r="G1597" s="735"/>
      <c r="H1597" s="735"/>
      <c r="I1597" s="735"/>
      <c r="J1597" s="735"/>
      <c r="K1597" s="735"/>
      <c r="L1597" s="735"/>
      <c r="M1597" s="735"/>
      <c r="N1597" s="735"/>
      <c r="O1597" s="19"/>
      <c r="P1597" s="19"/>
      <c r="Q1597" s="19"/>
      <c r="R1597" s="19"/>
      <c r="S1597" s="19"/>
      <c r="T1597" s="19"/>
      <c r="U1597" s="19"/>
      <c r="V1597" s="19"/>
      <c r="W1597" s="19"/>
      <c r="X1597" s="19"/>
      <c r="Y1597" s="19"/>
      <c r="Z1597" s="19"/>
      <c r="AA1597" s="19"/>
      <c r="AB1597" s="19"/>
      <c r="FE1597" s="54"/>
    </row>
    <row r="1598" spans="1:161" s="18" customFormat="1">
      <c r="A1598" s="51"/>
      <c r="B1598" s="735"/>
      <c r="C1598" s="735"/>
      <c r="D1598" s="735"/>
      <c r="E1598" s="735"/>
      <c r="F1598" s="736"/>
      <c r="G1598" s="735"/>
      <c r="H1598" s="735"/>
      <c r="I1598" s="735"/>
      <c r="J1598" s="735"/>
      <c r="K1598" s="735"/>
      <c r="L1598" s="735"/>
      <c r="M1598" s="735"/>
      <c r="N1598" s="735"/>
      <c r="O1598" s="19"/>
      <c r="P1598" s="19"/>
      <c r="Q1598" s="19"/>
      <c r="R1598" s="19"/>
      <c r="S1598" s="19"/>
      <c r="T1598" s="19"/>
      <c r="U1598" s="19"/>
      <c r="V1598" s="19"/>
      <c r="W1598" s="19"/>
      <c r="X1598" s="19"/>
      <c r="Y1598" s="19"/>
      <c r="Z1598" s="19"/>
      <c r="AA1598" s="19"/>
      <c r="AB1598" s="19"/>
      <c r="FE1598" s="54"/>
    </row>
    <row r="1599" spans="1:161" s="18" customFormat="1">
      <c r="A1599" s="51"/>
      <c r="B1599" s="735"/>
      <c r="C1599" s="735"/>
      <c r="D1599" s="735"/>
      <c r="E1599" s="735"/>
      <c r="F1599" s="736"/>
      <c r="G1599" s="735"/>
      <c r="H1599" s="735"/>
      <c r="I1599" s="735"/>
      <c r="J1599" s="735"/>
      <c r="K1599" s="735"/>
      <c r="L1599" s="735"/>
      <c r="M1599" s="735"/>
      <c r="N1599" s="735"/>
      <c r="O1599" s="19"/>
      <c r="P1599" s="19"/>
      <c r="Q1599" s="19"/>
      <c r="R1599" s="19"/>
      <c r="S1599" s="19"/>
      <c r="T1599" s="19"/>
      <c r="U1599" s="19"/>
      <c r="V1599" s="19"/>
      <c r="W1599" s="19"/>
      <c r="X1599" s="19"/>
      <c r="Y1599" s="19"/>
      <c r="Z1599" s="19"/>
      <c r="AA1599" s="19"/>
      <c r="AB1599" s="19"/>
      <c r="FE1599" s="54"/>
    </row>
    <row r="1600" spans="1:161" s="18" customFormat="1">
      <c r="A1600" s="51"/>
      <c r="B1600" s="735"/>
      <c r="C1600" s="735"/>
      <c r="D1600" s="735"/>
      <c r="E1600" s="735"/>
      <c r="F1600" s="736"/>
      <c r="G1600" s="735"/>
      <c r="H1600" s="735"/>
      <c r="I1600" s="735"/>
      <c r="J1600" s="735"/>
      <c r="K1600" s="735"/>
      <c r="L1600" s="735"/>
      <c r="M1600" s="735"/>
      <c r="N1600" s="735"/>
      <c r="O1600" s="19"/>
      <c r="P1600" s="19"/>
      <c r="Q1600" s="19"/>
      <c r="R1600" s="19"/>
      <c r="S1600" s="19"/>
      <c r="T1600" s="19"/>
      <c r="U1600" s="19"/>
      <c r="V1600" s="19"/>
      <c r="W1600" s="19"/>
      <c r="X1600" s="19"/>
      <c r="Y1600" s="19"/>
      <c r="Z1600" s="19"/>
      <c r="AA1600" s="19"/>
      <c r="AB1600" s="19"/>
      <c r="FE1600" s="54"/>
    </row>
    <row r="1601" spans="1:161" s="18" customFormat="1">
      <c r="A1601" s="51"/>
      <c r="B1601" s="735"/>
      <c r="C1601" s="735"/>
      <c r="D1601" s="735"/>
      <c r="E1601" s="735"/>
      <c r="F1601" s="736"/>
      <c r="G1601" s="735"/>
      <c r="H1601" s="735"/>
      <c r="I1601" s="735"/>
      <c r="J1601" s="735"/>
      <c r="K1601" s="735"/>
      <c r="L1601" s="735"/>
      <c r="M1601" s="735"/>
      <c r="N1601" s="735"/>
      <c r="O1601" s="19"/>
      <c r="P1601" s="19"/>
      <c r="Q1601" s="19"/>
      <c r="R1601" s="19"/>
      <c r="S1601" s="19"/>
      <c r="T1601" s="19"/>
      <c r="U1601" s="19"/>
      <c r="V1601" s="19"/>
      <c r="W1601" s="19"/>
      <c r="X1601" s="19"/>
      <c r="Y1601" s="19"/>
      <c r="Z1601" s="19"/>
      <c r="AA1601" s="19"/>
      <c r="AB1601" s="19"/>
      <c r="FE1601" s="54"/>
    </row>
    <row r="1602" spans="1:161" s="18" customFormat="1">
      <c r="A1602" s="51"/>
      <c r="B1602" s="735"/>
      <c r="C1602" s="735"/>
      <c r="D1602" s="735"/>
      <c r="E1602" s="735"/>
      <c r="F1602" s="736"/>
      <c r="G1602" s="735"/>
      <c r="H1602" s="735"/>
      <c r="I1602" s="735"/>
      <c r="J1602" s="735"/>
      <c r="K1602" s="735"/>
      <c r="L1602" s="735"/>
      <c r="M1602" s="735"/>
      <c r="N1602" s="735"/>
      <c r="O1602" s="19"/>
      <c r="P1602" s="19"/>
      <c r="Q1602" s="19"/>
      <c r="R1602" s="19"/>
      <c r="S1602" s="19"/>
      <c r="T1602" s="19"/>
      <c r="U1602" s="19"/>
      <c r="V1602" s="19"/>
      <c r="W1602" s="19"/>
      <c r="X1602" s="19"/>
      <c r="Y1602" s="19"/>
      <c r="Z1602" s="19"/>
      <c r="AA1602" s="19"/>
      <c r="AB1602" s="19"/>
      <c r="FE1602" s="54"/>
    </row>
    <row r="1603" spans="1:161" s="18" customFormat="1">
      <c r="A1603" s="51"/>
      <c r="B1603" s="735"/>
      <c r="C1603" s="735"/>
      <c r="D1603" s="735"/>
      <c r="E1603" s="735"/>
      <c r="F1603" s="736"/>
      <c r="G1603" s="735"/>
      <c r="H1603" s="735"/>
      <c r="I1603" s="735"/>
      <c r="J1603" s="735"/>
      <c r="K1603" s="735"/>
      <c r="L1603" s="735"/>
      <c r="M1603" s="735"/>
      <c r="N1603" s="735"/>
      <c r="O1603" s="19"/>
      <c r="P1603" s="19"/>
      <c r="Q1603" s="19"/>
      <c r="R1603" s="19"/>
      <c r="S1603" s="19"/>
      <c r="T1603" s="19"/>
      <c r="U1603" s="19"/>
      <c r="V1603" s="19"/>
      <c r="W1603" s="19"/>
      <c r="X1603" s="19"/>
      <c r="Y1603" s="19"/>
      <c r="Z1603" s="19"/>
      <c r="AA1603" s="19"/>
      <c r="AB1603" s="19"/>
      <c r="FE1603" s="54"/>
    </row>
    <row r="1604" spans="1:161" s="18" customFormat="1">
      <c r="A1604" s="51"/>
      <c r="B1604" s="735"/>
      <c r="C1604" s="735"/>
      <c r="D1604" s="735"/>
      <c r="E1604" s="735"/>
      <c r="F1604" s="736"/>
      <c r="G1604" s="735"/>
      <c r="H1604" s="735"/>
      <c r="I1604" s="735"/>
      <c r="J1604" s="735"/>
      <c r="K1604" s="735"/>
      <c r="L1604" s="735"/>
      <c r="M1604" s="735"/>
      <c r="N1604" s="735"/>
      <c r="O1604" s="19"/>
      <c r="P1604" s="19"/>
      <c r="Q1604" s="19"/>
      <c r="R1604" s="19"/>
      <c r="S1604" s="19"/>
      <c r="T1604" s="19"/>
      <c r="U1604" s="19"/>
      <c r="V1604" s="19"/>
      <c r="W1604" s="19"/>
      <c r="X1604" s="19"/>
      <c r="Y1604" s="19"/>
      <c r="Z1604" s="19"/>
      <c r="AA1604" s="19"/>
      <c r="AB1604" s="19"/>
      <c r="FE1604" s="54"/>
    </row>
    <row r="1605" spans="1:161" s="18" customFormat="1">
      <c r="A1605" s="51"/>
      <c r="B1605" s="735"/>
      <c r="C1605" s="735"/>
      <c r="D1605" s="735"/>
      <c r="E1605" s="735"/>
      <c r="F1605" s="736"/>
      <c r="G1605" s="735"/>
      <c r="H1605" s="735"/>
      <c r="I1605" s="735"/>
      <c r="J1605" s="735"/>
      <c r="K1605" s="735"/>
      <c r="L1605" s="735"/>
      <c r="M1605" s="735"/>
      <c r="N1605" s="735"/>
      <c r="O1605" s="19"/>
      <c r="P1605" s="19"/>
      <c r="Q1605" s="19"/>
      <c r="R1605" s="19"/>
      <c r="S1605" s="19"/>
      <c r="T1605" s="19"/>
      <c r="U1605" s="19"/>
      <c r="V1605" s="19"/>
      <c r="W1605" s="19"/>
      <c r="X1605" s="19"/>
      <c r="Y1605" s="19"/>
      <c r="Z1605" s="19"/>
      <c r="AA1605" s="19"/>
      <c r="AB1605" s="19"/>
      <c r="FE1605" s="54"/>
    </row>
    <row r="1606" spans="1:161" s="18" customFormat="1">
      <c r="A1606" s="51"/>
      <c r="B1606" s="735"/>
      <c r="C1606" s="735"/>
      <c r="D1606" s="735"/>
      <c r="E1606" s="735"/>
      <c r="F1606" s="736"/>
      <c r="G1606" s="735"/>
      <c r="H1606" s="735"/>
      <c r="I1606" s="735"/>
      <c r="J1606" s="735"/>
      <c r="K1606" s="735"/>
      <c r="L1606" s="735"/>
      <c r="M1606" s="735"/>
      <c r="N1606" s="735"/>
      <c r="O1606" s="19"/>
      <c r="P1606" s="19"/>
      <c r="Q1606" s="19"/>
      <c r="R1606" s="19"/>
      <c r="S1606" s="19"/>
      <c r="T1606" s="19"/>
      <c r="U1606" s="19"/>
      <c r="V1606" s="19"/>
      <c r="W1606" s="19"/>
      <c r="X1606" s="19"/>
      <c r="Y1606" s="19"/>
      <c r="Z1606" s="19"/>
      <c r="AA1606" s="19"/>
      <c r="AB1606" s="19"/>
      <c r="FE1606" s="54"/>
    </row>
    <row r="1607" spans="1:161" s="18" customFormat="1">
      <c r="A1607" s="51"/>
      <c r="B1607" s="735"/>
      <c r="C1607" s="735"/>
      <c r="D1607" s="735"/>
      <c r="E1607" s="735"/>
      <c r="F1607" s="736"/>
      <c r="G1607" s="735"/>
      <c r="H1607" s="735"/>
      <c r="I1607" s="735"/>
      <c r="J1607" s="735"/>
      <c r="K1607" s="735"/>
      <c r="L1607" s="735"/>
      <c r="M1607" s="735"/>
      <c r="N1607" s="735"/>
      <c r="O1607" s="19"/>
      <c r="P1607" s="19"/>
      <c r="Q1607" s="19"/>
      <c r="R1607" s="19"/>
      <c r="S1607" s="19"/>
      <c r="T1607" s="19"/>
      <c r="U1607" s="19"/>
      <c r="V1607" s="19"/>
      <c r="W1607" s="19"/>
      <c r="X1607" s="19"/>
      <c r="Y1607" s="19"/>
      <c r="Z1607" s="19"/>
      <c r="AA1607" s="19"/>
      <c r="AB1607" s="19"/>
      <c r="FE1607" s="54"/>
    </row>
    <row r="1608" spans="1:161" s="18" customFormat="1">
      <c r="A1608" s="51"/>
      <c r="B1608" s="735"/>
      <c r="C1608" s="735"/>
      <c r="D1608" s="735"/>
      <c r="E1608" s="735"/>
      <c r="F1608" s="736"/>
      <c r="G1608" s="735"/>
      <c r="H1608" s="735"/>
      <c r="I1608" s="735"/>
      <c r="J1608" s="735"/>
      <c r="K1608" s="735"/>
      <c r="L1608" s="735"/>
      <c r="M1608" s="735"/>
      <c r="N1608" s="735"/>
      <c r="O1608" s="19"/>
      <c r="P1608" s="19"/>
      <c r="Q1608" s="19"/>
      <c r="R1608" s="19"/>
      <c r="S1608" s="19"/>
      <c r="T1608" s="19"/>
      <c r="U1608" s="19"/>
      <c r="V1608" s="19"/>
      <c r="W1608" s="19"/>
      <c r="X1608" s="19"/>
      <c r="Y1608" s="19"/>
      <c r="Z1608" s="19"/>
      <c r="AA1608" s="19"/>
      <c r="AB1608" s="19"/>
      <c r="FE1608" s="54"/>
    </row>
    <row r="1609" spans="1:161" s="18" customFormat="1">
      <c r="A1609" s="51"/>
      <c r="B1609" s="735"/>
      <c r="C1609" s="735"/>
      <c r="D1609" s="735"/>
      <c r="E1609" s="735"/>
      <c r="F1609" s="736"/>
      <c r="G1609" s="735"/>
      <c r="H1609" s="735"/>
      <c r="I1609" s="735"/>
      <c r="J1609" s="735"/>
      <c r="K1609" s="735"/>
      <c r="L1609" s="735"/>
      <c r="M1609" s="735"/>
      <c r="N1609" s="735"/>
      <c r="O1609" s="19"/>
      <c r="P1609" s="19"/>
      <c r="Q1609" s="19"/>
      <c r="R1609" s="19"/>
      <c r="S1609" s="19"/>
      <c r="T1609" s="19"/>
      <c r="U1609" s="19"/>
      <c r="V1609" s="19"/>
      <c r="W1609" s="19"/>
      <c r="X1609" s="19"/>
      <c r="Y1609" s="19"/>
      <c r="Z1609" s="19"/>
      <c r="AA1609" s="19"/>
      <c r="AB1609" s="19"/>
      <c r="FE1609" s="54"/>
    </row>
    <row r="1610" spans="1:161" s="18" customFormat="1">
      <c r="A1610" s="51"/>
      <c r="B1610" s="735"/>
      <c r="C1610" s="735"/>
      <c r="D1610" s="735"/>
      <c r="E1610" s="735"/>
      <c r="F1610" s="736"/>
      <c r="G1610" s="735"/>
      <c r="H1610" s="735"/>
      <c r="I1610" s="735"/>
      <c r="J1610" s="735"/>
      <c r="K1610" s="735"/>
      <c r="L1610" s="735"/>
      <c r="M1610" s="735"/>
      <c r="N1610" s="735"/>
      <c r="O1610" s="19"/>
      <c r="P1610" s="19"/>
      <c r="Q1610" s="19"/>
      <c r="R1610" s="19"/>
      <c r="S1610" s="19"/>
      <c r="T1610" s="19"/>
      <c r="U1610" s="19"/>
      <c r="V1610" s="19"/>
      <c r="W1610" s="19"/>
      <c r="X1610" s="19"/>
      <c r="Y1610" s="19"/>
      <c r="Z1610" s="19"/>
      <c r="AA1610" s="19"/>
      <c r="AB1610" s="19"/>
      <c r="FE1610" s="54"/>
    </row>
    <row r="1611" spans="1:161" s="18" customFormat="1">
      <c r="A1611" s="51"/>
      <c r="B1611" s="735"/>
      <c r="C1611" s="735"/>
      <c r="D1611" s="735"/>
      <c r="E1611" s="735"/>
      <c r="F1611" s="736"/>
      <c r="G1611" s="735"/>
      <c r="H1611" s="735"/>
      <c r="I1611" s="735"/>
      <c r="J1611" s="735"/>
      <c r="K1611" s="735"/>
      <c r="L1611" s="735"/>
      <c r="M1611" s="735"/>
      <c r="N1611" s="735"/>
      <c r="O1611" s="19"/>
      <c r="P1611" s="19"/>
      <c r="Q1611" s="19"/>
      <c r="R1611" s="19"/>
      <c r="S1611" s="19"/>
      <c r="T1611" s="19"/>
      <c r="U1611" s="19"/>
      <c r="V1611" s="19"/>
      <c r="W1611" s="19"/>
      <c r="X1611" s="19"/>
      <c r="Y1611" s="19"/>
      <c r="Z1611" s="19"/>
      <c r="AA1611" s="19"/>
      <c r="AB1611" s="19"/>
      <c r="FE1611" s="54"/>
    </row>
    <row r="1612" spans="1:161" s="18" customFormat="1">
      <c r="A1612" s="51"/>
      <c r="B1612" s="735"/>
      <c r="C1612" s="735"/>
      <c r="D1612" s="735"/>
      <c r="E1612" s="735"/>
      <c r="F1612" s="736"/>
      <c r="G1612" s="735"/>
      <c r="H1612" s="735"/>
      <c r="I1612" s="735"/>
      <c r="J1612" s="735"/>
      <c r="K1612" s="735"/>
      <c r="L1612" s="735"/>
      <c r="M1612" s="735"/>
      <c r="N1612" s="735"/>
      <c r="O1612" s="19"/>
      <c r="P1612" s="19"/>
      <c r="Q1612" s="19"/>
      <c r="R1612" s="19"/>
      <c r="S1612" s="19"/>
      <c r="T1612" s="19"/>
      <c r="U1612" s="19"/>
      <c r="V1612" s="19"/>
      <c r="W1612" s="19"/>
      <c r="X1612" s="19"/>
      <c r="Y1612" s="19"/>
      <c r="Z1612" s="19"/>
      <c r="AA1612" s="19"/>
      <c r="AB1612" s="19"/>
      <c r="FE1612" s="54"/>
    </row>
    <row r="1613" spans="1:161" s="18" customFormat="1">
      <c r="A1613" s="51"/>
      <c r="B1613" s="735"/>
      <c r="C1613" s="735"/>
      <c r="D1613" s="735"/>
      <c r="E1613" s="735"/>
      <c r="F1613" s="736"/>
      <c r="G1613" s="735"/>
      <c r="H1613" s="735"/>
      <c r="I1613" s="735"/>
      <c r="J1613" s="735"/>
      <c r="K1613" s="735"/>
      <c r="L1613" s="735"/>
      <c r="M1613" s="735"/>
      <c r="N1613" s="735"/>
      <c r="O1613" s="19"/>
      <c r="P1613" s="19"/>
      <c r="Q1613" s="19"/>
      <c r="R1613" s="19"/>
      <c r="S1613" s="19"/>
      <c r="T1613" s="19"/>
      <c r="U1613" s="19"/>
      <c r="V1613" s="19"/>
      <c r="W1613" s="19"/>
      <c r="X1613" s="19"/>
      <c r="Y1613" s="19"/>
      <c r="Z1613" s="19"/>
      <c r="AA1613" s="19"/>
      <c r="AB1613" s="19"/>
      <c r="FE1613" s="54"/>
    </row>
    <row r="1614" spans="1:161" s="18" customFormat="1">
      <c r="A1614" s="51"/>
      <c r="B1614" s="735"/>
      <c r="C1614" s="735"/>
      <c r="D1614" s="735"/>
      <c r="E1614" s="735"/>
      <c r="F1614" s="736"/>
      <c r="G1614" s="735"/>
      <c r="H1614" s="735"/>
      <c r="I1614" s="735"/>
      <c r="J1614" s="735"/>
      <c r="K1614" s="735"/>
      <c r="L1614" s="735"/>
      <c r="M1614" s="735"/>
      <c r="N1614" s="735"/>
      <c r="O1614" s="19"/>
      <c r="P1614" s="19"/>
      <c r="Q1614" s="19"/>
      <c r="R1614" s="19"/>
      <c r="S1614" s="19"/>
      <c r="T1614" s="19"/>
      <c r="U1614" s="19"/>
      <c r="V1614" s="19"/>
      <c r="W1614" s="19"/>
      <c r="X1614" s="19"/>
      <c r="Y1614" s="19"/>
      <c r="Z1614" s="19"/>
      <c r="AA1614" s="19"/>
      <c r="AB1614" s="19"/>
      <c r="FE1614" s="54"/>
    </row>
    <row r="1615" spans="1:161" s="18" customFormat="1">
      <c r="A1615" s="51"/>
      <c r="B1615" s="735"/>
      <c r="C1615" s="735"/>
      <c r="D1615" s="735"/>
      <c r="E1615" s="735"/>
      <c r="F1615" s="736"/>
      <c r="G1615" s="735"/>
      <c r="H1615" s="735"/>
      <c r="I1615" s="735"/>
      <c r="J1615" s="735"/>
      <c r="K1615" s="735"/>
      <c r="L1615" s="735"/>
      <c r="M1615" s="735"/>
      <c r="N1615" s="735"/>
      <c r="O1615" s="19"/>
      <c r="P1615" s="19"/>
      <c r="Q1615" s="19"/>
      <c r="R1615" s="19"/>
      <c r="S1615" s="19"/>
      <c r="T1615" s="19"/>
      <c r="U1615" s="19"/>
      <c r="V1615" s="19"/>
      <c r="W1615" s="19"/>
      <c r="X1615" s="19"/>
      <c r="Y1615" s="19"/>
      <c r="Z1615" s="19"/>
      <c r="AA1615" s="19"/>
      <c r="AB1615" s="19"/>
      <c r="FE1615" s="54"/>
    </row>
    <row r="1616" spans="1:161" s="18" customFormat="1">
      <c r="A1616" s="51"/>
      <c r="B1616" s="735"/>
      <c r="C1616" s="735"/>
      <c r="D1616" s="735"/>
      <c r="E1616" s="735"/>
      <c r="F1616" s="736"/>
      <c r="G1616" s="735"/>
      <c r="H1616" s="735"/>
      <c r="I1616" s="735"/>
      <c r="J1616" s="735"/>
      <c r="K1616" s="735"/>
      <c r="L1616" s="735"/>
      <c r="M1616" s="735"/>
      <c r="N1616" s="735"/>
      <c r="O1616" s="19"/>
      <c r="P1616" s="19"/>
      <c r="Q1616" s="19"/>
      <c r="R1616" s="19"/>
      <c r="S1616" s="19"/>
      <c r="T1616" s="19"/>
      <c r="U1616" s="19"/>
      <c r="V1616" s="19"/>
      <c r="W1616" s="19"/>
      <c r="X1616" s="19"/>
      <c r="Y1616" s="19"/>
      <c r="Z1616" s="19"/>
      <c r="AA1616" s="19"/>
      <c r="AB1616" s="19"/>
      <c r="FE1616" s="54"/>
    </row>
    <row r="1617" spans="1:161" s="18" customFormat="1">
      <c r="A1617" s="51"/>
      <c r="B1617" s="735"/>
      <c r="C1617" s="735"/>
      <c r="D1617" s="735"/>
      <c r="E1617" s="735"/>
      <c r="F1617" s="736"/>
      <c r="G1617" s="735"/>
      <c r="H1617" s="735"/>
      <c r="I1617" s="735"/>
      <c r="J1617" s="735"/>
      <c r="K1617" s="735"/>
      <c r="L1617" s="735"/>
      <c r="M1617" s="735"/>
      <c r="N1617" s="735"/>
      <c r="O1617" s="19"/>
      <c r="P1617" s="19"/>
      <c r="Q1617" s="19"/>
      <c r="R1617" s="19"/>
      <c r="S1617" s="19"/>
      <c r="T1617" s="19"/>
      <c r="U1617" s="19"/>
      <c r="V1617" s="19"/>
      <c r="W1617" s="19"/>
      <c r="X1617" s="19"/>
      <c r="Y1617" s="19"/>
      <c r="Z1617" s="19"/>
      <c r="AA1617" s="19"/>
      <c r="AB1617" s="19"/>
      <c r="FE1617" s="54"/>
    </row>
    <row r="1618" spans="1:161" s="18" customFormat="1">
      <c r="A1618" s="51"/>
      <c r="B1618" s="735"/>
      <c r="C1618" s="735"/>
      <c r="D1618" s="735"/>
      <c r="E1618" s="735"/>
      <c r="F1618" s="736"/>
      <c r="G1618" s="735"/>
      <c r="H1618" s="735"/>
      <c r="I1618" s="735"/>
      <c r="J1618" s="735"/>
      <c r="K1618" s="735"/>
      <c r="L1618" s="735"/>
      <c r="M1618" s="735"/>
      <c r="N1618" s="735"/>
      <c r="O1618" s="19"/>
      <c r="P1618" s="19"/>
      <c r="Q1618" s="19"/>
      <c r="R1618" s="19"/>
      <c r="S1618" s="19"/>
      <c r="T1618" s="19"/>
      <c r="U1618" s="19"/>
      <c r="V1618" s="19"/>
      <c r="W1618" s="19"/>
      <c r="X1618" s="19"/>
      <c r="Y1618" s="19"/>
      <c r="Z1618" s="19"/>
      <c r="AA1618" s="19"/>
      <c r="AB1618" s="19"/>
      <c r="FE1618" s="54"/>
    </row>
    <row r="1619" spans="1:161" s="18" customFormat="1">
      <c r="A1619" s="51"/>
      <c r="B1619" s="735"/>
      <c r="C1619" s="735"/>
      <c r="D1619" s="735"/>
      <c r="E1619" s="735"/>
      <c r="F1619" s="736"/>
      <c r="G1619" s="735"/>
      <c r="H1619" s="735"/>
      <c r="I1619" s="735"/>
      <c r="J1619" s="735"/>
      <c r="K1619" s="735"/>
      <c r="L1619" s="735"/>
      <c r="M1619" s="735"/>
      <c r="N1619" s="735"/>
      <c r="O1619" s="19"/>
      <c r="P1619" s="19"/>
      <c r="Q1619" s="19"/>
      <c r="R1619" s="19"/>
      <c r="S1619" s="19"/>
      <c r="T1619" s="19"/>
      <c r="U1619" s="19"/>
      <c r="V1619" s="19"/>
      <c r="W1619" s="19"/>
      <c r="X1619" s="19"/>
      <c r="Y1619" s="19"/>
      <c r="Z1619" s="19"/>
      <c r="AA1619" s="19"/>
      <c r="AB1619" s="19"/>
      <c r="FE1619" s="54"/>
    </row>
    <row r="1620" spans="1:161" s="18" customFormat="1">
      <c r="A1620" s="51"/>
      <c r="B1620" s="735"/>
      <c r="C1620" s="735"/>
      <c r="D1620" s="735"/>
      <c r="E1620" s="735"/>
      <c r="F1620" s="736"/>
      <c r="G1620" s="735"/>
      <c r="H1620" s="735"/>
      <c r="I1620" s="735"/>
      <c r="J1620" s="735"/>
      <c r="K1620" s="735"/>
      <c r="L1620" s="735"/>
      <c r="M1620" s="735"/>
      <c r="N1620" s="735"/>
      <c r="O1620" s="19"/>
      <c r="P1620" s="19"/>
      <c r="Q1620" s="19"/>
      <c r="R1620" s="19"/>
      <c r="S1620" s="19"/>
      <c r="T1620" s="19"/>
      <c r="U1620" s="19"/>
      <c r="V1620" s="19"/>
      <c r="W1620" s="19"/>
      <c r="X1620" s="19"/>
      <c r="Y1620" s="19"/>
      <c r="Z1620" s="19"/>
      <c r="AA1620" s="19"/>
      <c r="AB1620" s="19"/>
      <c r="FE1620" s="54"/>
    </row>
    <row r="1621" spans="1:161" s="18" customFormat="1">
      <c r="A1621" s="51"/>
      <c r="B1621" s="735"/>
      <c r="C1621" s="735"/>
      <c r="D1621" s="735"/>
      <c r="E1621" s="735"/>
      <c r="F1621" s="736"/>
      <c r="G1621" s="735"/>
      <c r="H1621" s="735"/>
      <c r="I1621" s="735"/>
      <c r="J1621" s="735"/>
      <c r="K1621" s="735"/>
      <c r="L1621" s="735"/>
      <c r="M1621" s="735"/>
      <c r="N1621" s="735"/>
      <c r="O1621" s="19"/>
      <c r="P1621" s="19"/>
      <c r="Q1621" s="19"/>
      <c r="R1621" s="19"/>
      <c r="S1621" s="19"/>
      <c r="T1621" s="19"/>
      <c r="U1621" s="19"/>
      <c r="V1621" s="19"/>
      <c r="W1621" s="19"/>
      <c r="X1621" s="19"/>
      <c r="Y1621" s="19"/>
      <c r="Z1621" s="19"/>
      <c r="AA1621" s="19"/>
      <c r="AB1621" s="19"/>
      <c r="FE1621" s="54"/>
    </row>
    <row r="1622" spans="1:161" s="18" customFormat="1">
      <c r="A1622" s="51"/>
      <c r="B1622" s="735"/>
      <c r="C1622" s="735"/>
      <c r="D1622" s="735"/>
      <c r="E1622" s="735"/>
      <c r="F1622" s="736"/>
      <c r="G1622" s="735"/>
      <c r="H1622" s="735"/>
      <c r="I1622" s="735"/>
      <c r="J1622" s="735"/>
      <c r="K1622" s="735"/>
      <c r="L1622" s="735"/>
      <c r="M1622" s="735"/>
      <c r="N1622" s="735"/>
      <c r="O1622" s="19"/>
      <c r="P1622" s="19"/>
      <c r="Q1622" s="19"/>
      <c r="R1622" s="19"/>
      <c r="S1622" s="19"/>
      <c r="T1622" s="19"/>
      <c r="U1622" s="19"/>
      <c r="V1622" s="19"/>
      <c r="W1622" s="19"/>
      <c r="X1622" s="19"/>
      <c r="Y1622" s="19"/>
      <c r="Z1622" s="19"/>
      <c r="AA1622" s="19"/>
      <c r="AB1622" s="19"/>
      <c r="FE1622" s="54"/>
    </row>
    <row r="1623" spans="1:161" s="18" customFormat="1">
      <c r="A1623" s="51"/>
      <c r="B1623" s="735"/>
      <c r="C1623" s="735"/>
      <c r="D1623" s="735"/>
      <c r="E1623" s="735"/>
      <c r="F1623" s="736"/>
      <c r="G1623" s="735"/>
      <c r="H1623" s="735"/>
      <c r="I1623" s="735"/>
      <c r="J1623" s="735"/>
      <c r="K1623" s="735"/>
      <c r="L1623" s="735"/>
      <c r="M1623" s="735"/>
      <c r="N1623" s="735"/>
      <c r="O1623" s="19"/>
      <c r="P1623" s="19"/>
      <c r="Q1623" s="19"/>
      <c r="R1623" s="19"/>
      <c r="S1623" s="19"/>
      <c r="T1623" s="19"/>
      <c r="U1623" s="19"/>
      <c r="V1623" s="19"/>
      <c r="W1623" s="19"/>
      <c r="X1623" s="19"/>
      <c r="Y1623" s="19"/>
      <c r="Z1623" s="19"/>
      <c r="AA1623" s="19"/>
      <c r="AB1623" s="19"/>
      <c r="FE1623" s="54"/>
    </row>
    <row r="1624" spans="1:161" s="18" customFormat="1">
      <c r="A1624" s="51"/>
      <c r="B1624" s="735"/>
      <c r="C1624" s="735"/>
      <c r="D1624" s="735"/>
      <c r="E1624" s="735"/>
      <c r="F1624" s="736"/>
      <c r="G1624" s="735"/>
      <c r="H1624" s="735"/>
      <c r="I1624" s="735"/>
      <c r="J1624" s="735"/>
      <c r="K1624" s="735"/>
      <c r="L1624" s="735"/>
      <c r="M1624" s="735"/>
      <c r="N1624" s="735"/>
      <c r="O1624" s="19"/>
      <c r="P1624" s="19"/>
      <c r="Q1624" s="19"/>
      <c r="R1624" s="19"/>
      <c r="S1624" s="19"/>
      <c r="T1624" s="19"/>
      <c r="U1624" s="19"/>
      <c r="V1624" s="19"/>
      <c r="W1624" s="19"/>
      <c r="X1624" s="19"/>
      <c r="Y1624" s="19"/>
      <c r="Z1624" s="19"/>
      <c r="AA1624" s="19"/>
      <c r="AB1624" s="19"/>
      <c r="FE1624" s="54"/>
    </row>
    <row r="1625" spans="1:161" s="18" customFormat="1">
      <c r="A1625" s="51"/>
      <c r="B1625" s="735"/>
      <c r="C1625" s="735"/>
      <c r="D1625" s="735"/>
      <c r="E1625" s="735"/>
      <c r="F1625" s="736"/>
      <c r="G1625" s="735"/>
      <c r="H1625" s="735"/>
      <c r="I1625" s="735"/>
      <c r="J1625" s="735"/>
      <c r="K1625" s="735"/>
      <c r="L1625" s="735"/>
      <c r="M1625" s="735"/>
      <c r="N1625" s="735"/>
      <c r="O1625" s="19"/>
      <c r="P1625" s="19"/>
      <c r="Q1625" s="19"/>
      <c r="R1625" s="19"/>
      <c r="S1625" s="19"/>
      <c r="T1625" s="19"/>
      <c r="U1625" s="19"/>
      <c r="V1625" s="19"/>
      <c r="W1625" s="19"/>
      <c r="X1625" s="19"/>
      <c r="Y1625" s="19"/>
      <c r="Z1625" s="19"/>
      <c r="AA1625" s="19"/>
      <c r="AB1625" s="19"/>
      <c r="FE1625" s="54"/>
    </row>
    <row r="1626" spans="1:161" s="18" customFormat="1">
      <c r="A1626" s="51"/>
      <c r="B1626" s="735"/>
      <c r="C1626" s="735"/>
      <c r="D1626" s="735"/>
      <c r="E1626" s="735"/>
      <c r="F1626" s="736"/>
      <c r="G1626" s="735"/>
      <c r="H1626" s="735"/>
      <c r="I1626" s="735"/>
      <c r="J1626" s="735"/>
      <c r="K1626" s="735"/>
      <c r="L1626" s="735"/>
      <c r="M1626" s="735"/>
      <c r="N1626" s="735"/>
      <c r="O1626" s="19"/>
      <c r="P1626" s="19"/>
      <c r="Q1626" s="19"/>
      <c r="R1626" s="19"/>
      <c r="S1626" s="19"/>
      <c r="T1626" s="19"/>
      <c r="U1626" s="19"/>
      <c r="V1626" s="19"/>
      <c r="W1626" s="19"/>
      <c r="X1626" s="19"/>
      <c r="Y1626" s="19"/>
      <c r="Z1626" s="19"/>
      <c r="AA1626" s="19"/>
      <c r="AB1626" s="19"/>
      <c r="FE1626" s="54"/>
    </row>
    <row r="1627" spans="1:161" s="18" customFormat="1">
      <c r="A1627" s="51"/>
      <c r="B1627" s="735"/>
      <c r="C1627" s="735"/>
      <c r="D1627" s="735"/>
      <c r="E1627" s="735"/>
      <c r="F1627" s="736"/>
      <c r="G1627" s="735"/>
      <c r="H1627" s="735"/>
      <c r="I1627" s="735"/>
      <c r="J1627" s="735"/>
      <c r="K1627" s="735"/>
      <c r="L1627" s="735"/>
      <c r="M1627" s="735"/>
      <c r="N1627" s="735"/>
      <c r="O1627" s="19"/>
      <c r="P1627" s="19"/>
      <c r="Q1627" s="19"/>
      <c r="R1627" s="19"/>
      <c r="S1627" s="19"/>
      <c r="T1627" s="19"/>
      <c r="U1627" s="19"/>
      <c r="V1627" s="19"/>
      <c r="W1627" s="19"/>
      <c r="X1627" s="19"/>
      <c r="Y1627" s="19"/>
      <c r="Z1627" s="19"/>
      <c r="AA1627" s="19"/>
      <c r="AB1627" s="19"/>
      <c r="FE1627" s="54"/>
    </row>
    <row r="1628" spans="1:161" s="18" customFormat="1">
      <c r="A1628" s="51"/>
      <c r="B1628" s="735"/>
      <c r="C1628" s="735"/>
      <c r="D1628" s="735"/>
      <c r="E1628" s="735"/>
      <c r="F1628" s="736"/>
      <c r="G1628" s="735"/>
      <c r="H1628" s="735"/>
      <c r="I1628" s="735"/>
      <c r="J1628" s="735"/>
      <c r="K1628" s="735"/>
      <c r="L1628" s="735"/>
      <c r="M1628" s="735"/>
      <c r="N1628" s="735"/>
      <c r="O1628" s="19"/>
      <c r="P1628" s="19"/>
      <c r="Q1628" s="19"/>
      <c r="R1628" s="19"/>
      <c r="S1628" s="19"/>
      <c r="T1628" s="19"/>
      <c r="U1628" s="19"/>
      <c r="V1628" s="19"/>
      <c r="W1628" s="19"/>
      <c r="X1628" s="19"/>
      <c r="Y1628" s="19"/>
      <c r="Z1628" s="19"/>
      <c r="AA1628" s="19"/>
      <c r="AB1628" s="19"/>
      <c r="FE1628" s="54"/>
    </row>
    <row r="1629" spans="1:161" s="18" customFormat="1">
      <c r="A1629" s="51"/>
      <c r="B1629" s="735"/>
      <c r="C1629" s="735"/>
      <c r="D1629" s="735"/>
      <c r="E1629" s="735"/>
      <c r="F1629" s="736"/>
      <c r="G1629" s="735"/>
      <c r="H1629" s="735"/>
      <c r="I1629" s="735"/>
      <c r="J1629" s="735"/>
      <c r="K1629" s="735"/>
      <c r="L1629" s="735"/>
      <c r="M1629" s="735"/>
      <c r="N1629" s="735"/>
      <c r="O1629" s="19"/>
      <c r="P1629" s="19"/>
      <c r="Q1629" s="19"/>
      <c r="R1629" s="19"/>
      <c r="S1629" s="19"/>
      <c r="T1629" s="19"/>
      <c r="U1629" s="19"/>
      <c r="V1629" s="19"/>
      <c r="W1629" s="19"/>
      <c r="X1629" s="19"/>
      <c r="Y1629" s="19"/>
      <c r="Z1629" s="19"/>
      <c r="AA1629" s="19"/>
      <c r="AB1629" s="19"/>
      <c r="FE1629" s="54"/>
    </row>
    <row r="1630" spans="1:161" s="18" customFormat="1">
      <c r="A1630" s="51"/>
      <c r="B1630" s="735"/>
      <c r="C1630" s="735"/>
      <c r="D1630" s="735"/>
      <c r="E1630" s="735"/>
      <c r="F1630" s="736"/>
      <c r="G1630" s="735"/>
      <c r="H1630" s="735"/>
      <c r="I1630" s="735"/>
      <c r="J1630" s="735"/>
      <c r="K1630" s="735"/>
      <c r="L1630" s="735"/>
      <c r="M1630" s="735"/>
      <c r="N1630" s="735"/>
      <c r="O1630" s="19"/>
      <c r="P1630" s="19"/>
      <c r="Q1630" s="19"/>
      <c r="R1630" s="19"/>
      <c r="S1630" s="19"/>
      <c r="T1630" s="19"/>
      <c r="U1630" s="19"/>
      <c r="V1630" s="19"/>
      <c r="W1630" s="19"/>
      <c r="X1630" s="19"/>
      <c r="Y1630" s="19"/>
      <c r="Z1630" s="19"/>
      <c r="AA1630" s="19"/>
      <c r="AB1630" s="19"/>
      <c r="FE1630" s="54"/>
    </row>
    <row r="1631" spans="1:161" s="18" customFormat="1">
      <c r="A1631" s="51"/>
      <c r="B1631" s="735"/>
      <c r="C1631" s="735"/>
      <c r="D1631" s="735"/>
      <c r="E1631" s="735"/>
      <c r="F1631" s="736"/>
      <c r="G1631" s="735"/>
      <c r="H1631" s="735"/>
      <c r="I1631" s="735"/>
      <c r="J1631" s="735"/>
      <c r="K1631" s="735"/>
      <c r="L1631" s="735"/>
      <c r="M1631" s="735"/>
      <c r="N1631" s="735"/>
      <c r="O1631" s="19"/>
      <c r="P1631" s="19"/>
      <c r="Q1631" s="19"/>
      <c r="R1631" s="19"/>
      <c r="S1631" s="19"/>
      <c r="T1631" s="19"/>
      <c r="U1631" s="19"/>
      <c r="V1631" s="19"/>
      <c r="W1631" s="19"/>
      <c r="X1631" s="19"/>
      <c r="Y1631" s="19"/>
      <c r="Z1631" s="19"/>
      <c r="AA1631" s="19"/>
      <c r="AB1631" s="19"/>
      <c r="FE1631" s="54"/>
    </row>
    <row r="1632" spans="1:161" s="18" customFormat="1">
      <c r="A1632" s="51"/>
      <c r="B1632" s="735"/>
      <c r="C1632" s="735"/>
      <c r="D1632" s="735"/>
      <c r="E1632" s="735"/>
      <c r="F1632" s="736"/>
      <c r="G1632" s="735"/>
      <c r="H1632" s="735"/>
      <c r="I1632" s="735"/>
      <c r="J1632" s="735"/>
      <c r="K1632" s="735"/>
      <c r="L1632" s="735"/>
      <c r="M1632" s="735"/>
      <c r="N1632" s="735"/>
      <c r="O1632" s="19"/>
      <c r="P1632" s="19"/>
      <c r="Q1632" s="19"/>
      <c r="R1632" s="19"/>
      <c r="S1632" s="19"/>
      <c r="T1632" s="19"/>
      <c r="U1632" s="19"/>
      <c r="V1632" s="19"/>
      <c r="W1632" s="19"/>
      <c r="X1632" s="19"/>
      <c r="Y1632" s="19"/>
      <c r="Z1632" s="19"/>
      <c r="AA1632" s="19"/>
      <c r="AB1632" s="19"/>
      <c r="FE1632" s="54"/>
    </row>
    <row r="1633" spans="1:161" s="18" customFormat="1">
      <c r="A1633" s="51"/>
      <c r="B1633" s="735"/>
      <c r="C1633" s="735"/>
      <c r="D1633" s="735"/>
      <c r="E1633" s="735"/>
      <c r="F1633" s="736"/>
      <c r="G1633" s="735"/>
      <c r="H1633" s="735"/>
      <c r="I1633" s="735"/>
      <c r="J1633" s="735"/>
      <c r="K1633" s="735"/>
      <c r="L1633" s="735"/>
      <c r="M1633" s="735"/>
      <c r="N1633" s="735"/>
      <c r="O1633" s="19"/>
      <c r="P1633" s="19"/>
      <c r="Q1633" s="19"/>
      <c r="R1633" s="19"/>
      <c r="S1633" s="19"/>
      <c r="T1633" s="19"/>
      <c r="U1633" s="19"/>
      <c r="V1633" s="19"/>
      <c r="W1633" s="19"/>
      <c r="X1633" s="19"/>
      <c r="Y1633" s="19"/>
      <c r="Z1633" s="19"/>
      <c r="AA1633" s="19"/>
      <c r="AB1633" s="19"/>
      <c r="FE1633" s="54"/>
    </row>
    <row r="1634" spans="1:161" s="18" customFormat="1">
      <c r="A1634" s="51"/>
      <c r="B1634" s="735"/>
      <c r="C1634" s="735"/>
      <c r="D1634" s="735"/>
      <c r="E1634" s="735"/>
      <c r="F1634" s="736"/>
      <c r="G1634" s="735"/>
      <c r="H1634" s="735"/>
      <c r="I1634" s="735"/>
      <c r="J1634" s="735"/>
      <c r="K1634" s="735"/>
      <c r="L1634" s="735"/>
      <c r="M1634" s="735"/>
      <c r="N1634" s="735"/>
      <c r="O1634" s="19"/>
      <c r="P1634" s="19"/>
      <c r="Q1634" s="19"/>
      <c r="R1634" s="19"/>
      <c r="S1634" s="19"/>
      <c r="T1634" s="19"/>
      <c r="U1634" s="19"/>
      <c r="V1634" s="19"/>
      <c r="W1634" s="19"/>
      <c r="X1634" s="19"/>
      <c r="Y1634" s="19"/>
      <c r="Z1634" s="19"/>
      <c r="AA1634" s="19"/>
      <c r="AB1634" s="19"/>
      <c r="FE1634" s="54"/>
    </row>
    <row r="1635" spans="1:161" s="18" customFormat="1">
      <c r="A1635" s="51"/>
      <c r="B1635" s="735"/>
      <c r="C1635" s="735"/>
      <c r="D1635" s="735"/>
      <c r="E1635" s="735"/>
      <c r="F1635" s="736"/>
      <c r="G1635" s="735"/>
      <c r="H1635" s="735"/>
      <c r="I1635" s="735"/>
      <c r="J1635" s="735"/>
      <c r="K1635" s="735"/>
      <c r="L1635" s="735"/>
      <c r="M1635" s="735"/>
      <c r="N1635" s="735"/>
      <c r="O1635" s="19"/>
      <c r="P1635" s="19"/>
      <c r="Q1635" s="19"/>
      <c r="R1635" s="19"/>
      <c r="S1635" s="19"/>
      <c r="T1635" s="19"/>
      <c r="U1635" s="19"/>
      <c r="V1635" s="19"/>
      <c r="W1635" s="19"/>
      <c r="X1635" s="19"/>
      <c r="Y1635" s="19"/>
      <c r="Z1635" s="19"/>
      <c r="AA1635" s="19"/>
      <c r="AB1635" s="19"/>
      <c r="FE1635" s="54"/>
    </row>
    <row r="1636" spans="1:161" s="18" customFormat="1">
      <c r="A1636" s="51"/>
      <c r="B1636" s="735"/>
      <c r="C1636" s="735"/>
      <c r="D1636" s="735"/>
      <c r="E1636" s="735"/>
      <c r="F1636" s="736"/>
      <c r="G1636" s="735"/>
      <c r="H1636" s="735"/>
      <c r="I1636" s="735"/>
      <c r="J1636" s="735"/>
      <c r="K1636" s="735"/>
      <c r="L1636" s="735"/>
      <c r="M1636" s="735"/>
      <c r="N1636" s="735"/>
      <c r="O1636" s="19"/>
      <c r="P1636" s="19"/>
      <c r="Q1636" s="19"/>
      <c r="R1636" s="19"/>
      <c r="S1636" s="19"/>
      <c r="T1636" s="19"/>
      <c r="U1636" s="19"/>
      <c r="V1636" s="19"/>
      <c r="W1636" s="19"/>
      <c r="X1636" s="19"/>
      <c r="Y1636" s="19"/>
      <c r="Z1636" s="19"/>
      <c r="AA1636" s="19"/>
      <c r="AB1636" s="19"/>
      <c r="FE1636" s="54"/>
    </row>
    <row r="1637" spans="1:161" s="18" customFormat="1">
      <c r="A1637" s="51"/>
      <c r="B1637" s="735"/>
      <c r="C1637" s="735"/>
      <c r="D1637" s="735"/>
      <c r="E1637" s="735"/>
      <c r="F1637" s="736"/>
      <c r="G1637" s="735"/>
      <c r="H1637" s="735"/>
      <c r="I1637" s="735"/>
      <c r="J1637" s="735"/>
      <c r="K1637" s="735"/>
      <c r="L1637" s="735"/>
      <c r="M1637" s="735"/>
      <c r="N1637" s="735"/>
      <c r="O1637" s="19"/>
      <c r="P1637" s="19"/>
      <c r="Q1637" s="19"/>
      <c r="R1637" s="19"/>
      <c r="S1637" s="19"/>
      <c r="T1637" s="19"/>
      <c r="U1637" s="19"/>
      <c r="V1637" s="19"/>
      <c r="W1637" s="19"/>
      <c r="X1637" s="19"/>
      <c r="Y1637" s="19"/>
      <c r="Z1637" s="19"/>
      <c r="AA1637" s="19"/>
      <c r="AB1637" s="19"/>
      <c r="FE1637" s="54"/>
    </row>
    <row r="1638" spans="1:161" s="18" customFormat="1">
      <c r="A1638" s="51"/>
      <c r="B1638" s="735"/>
      <c r="C1638" s="735"/>
      <c r="D1638" s="735"/>
      <c r="E1638" s="735"/>
      <c r="F1638" s="736"/>
      <c r="G1638" s="735"/>
      <c r="H1638" s="735"/>
      <c r="I1638" s="735"/>
      <c r="J1638" s="735"/>
      <c r="K1638" s="735"/>
      <c r="L1638" s="735"/>
      <c r="M1638" s="735"/>
      <c r="N1638" s="735"/>
      <c r="O1638" s="19"/>
      <c r="P1638" s="19"/>
      <c r="Q1638" s="19"/>
      <c r="R1638" s="19"/>
      <c r="S1638" s="19"/>
      <c r="T1638" s="19"/>
      <c r="U1638" s="19"/>
      <c r="V1638" s="19"/>
      <c r="W1638" s="19"/>
      <c r="X1638" s="19"/>
      <c r="Y1638" s="19"/>
      <c r="Z1638" s="19"/>
      <c r="AA1638" s="19"/>
      <c r="AB1638" s="19"/>
      <c r="FE1638" s="54"/>
    </row>
    <row r="1639" spans="1:161" s="18" customFormat="1">
      <c r="A1639" s="51"/>
      <c r="B1639" s="735"/>
      <c r="C1639" s="735"/>
      <c r="D1639" s="735"/>
      <c r="E1639" s="735"/>
      <c r="F1639" s="736"/>
      <c r="G1639" s="735"/>
      <c r="H1639" s="735"/>
      <c r="I1639" s="735"/>
      <c r="J1639" s="735"/>
      <c r="K1639" s="735"/>
      <c r="L1639" s="735"/>
      <c r="M1639" s="735"/>
      <c r="N1639" s="735"/>
      <c r="O1639" s="19"/>
      <c r="P1639" s="19"/>
      <c r="Q1639" s="19"/>
      <c r="R1639" s="19"/>
      <c r="S1639" s="19"/>
      <c r="T1639" s="19"/>
      <c r="U1639" s="19"/>
      <c r="V1639" s="19"/>
      <c r="W1639" s="19"/>
      <c r="X1639" s="19"/>
      <c r="Y1639" s="19"/>
      <c r="Z1639" s="19"/>
      <c r="AA1639" s="19"/>
      <c r="AB1639" s="19"/>
      <c r="FE1639" s="54"/>
    </row>
    <row r="1640" spans="1:161" s="18" customFormat="1">
      <c r="A1640" s="51"/>
      <c r="B1640" s="735"/>
      <c r="C1640" s="735"/>
      <c r="D1640" s="735"/>
      <c r="E1640" s="735"/>
      <c r="F1640" s="736"/>
      <c r="G1640" s="735"/>
      <c r="H1640" s="735"/>
      <c r="I1640" s="735"/>
      <c r="J1640" s="735"/>
      <c r="K1640" s="735"/>
      <c r="L1640" s="735"/>
      <c r="M1640" s="735"/>
      <c r="N1640" s="735"/>
      <c r="O1640" s="19"/>
      <c r="P1640" s="19"/>
      <c r="Q1640" s="19"/>
      <c r="R1640" s="19"/>
      <c r="S1640" s="19"/>
      <c r="T1640" s="19"/>
      <c r="U1640" s="19"/>
      <c r="V1640" s="19"/>
      <c r="W1640" s="19"/>
      <c r="X1640" s="19"/>
      <c r="Y1640" s="19"/>
      <c r="Z1640" s="19"/>
      <c r="AA1640" s="19"/>
      <c r="AB1640" s="19"/>
      <c r="FE1640" s="54"/>
    </row>
    <row r="1641" spans="1:161" s="18" customFormat="1">
      <c r="A1641" s="51"/>
      <c r="B1641" s="735"/>
      <c r="C1641" s="735"/>
      <c r="D1641" s="735"/>
      <c r="E1641" s="735"/>
      <c r="F1641" s="736"/>
      <c r="G1641" s="735"/>
      <c r="H1641" s="735"/>
      <c r="I1641" s="735"/>
      <c r="J1641" s="735"/>
      <c r="K1641" s="735"/>
      <c r="L1641" s="735"/>
      <c r="M1641" s="735"/>
      <c r="N1641" s="735"/>
      <c r="O1641" s="19"/>
      <c r="P1641" s="19"/>
      <c r="Q1641" s="19"/>
      <c r="R1641" s="19"/>
      <c r="S1641" s="19"/>
      <c r="T1641" s="19"/>
      <c r="U1641" s="19"/>
      <c r="V1641" s="19"/>
      <c r="W1641" s="19"/>
      <c r="X1641" s="19"/>
      <c r="Y1641" s="19"/>
      <c r="Z1641" s="19"/>
      <c r="AA1641" s="19"/>
      <c r="AB1641" s="19"/>
      <c r="FE1641" s="54"/>
    </row>
    <row r="1642" spans="1:161" s="18" customFormat="1">
      <c r="A1642" s="51"/>
      <c r="B1642" s="735"/>
      <c r="C1642" s="735"/>
      <c r="D1642" s="735"/>
      <c r="E1642" s="735"/>
      <c r="F1642" s="736"/>
      <c r="G1642" s="735"/>
      <c r="H1642" s="735"/>
      <c r="I1642" s="735"/>
      <c r="J1642" s="735"/>
      <c r="K1642" s="735"/>
      <c r="L1642" s="735"/>
      <c r="M1642" s="735"/>
      <c r="N1642" s="735"/>
      <c r="O1642" s="19"/>
      <c r="P1642" s="19"/>
      <c r="Q1642" s="19"/>
      <c r="R1642" s="19"/>
      <c r="S1642" s="19"/>
      <c r="T1642" s="19"/>
      <c r="U1642" s="19"/>
      <c r="V1642" s="19"/>
      <c r="W1642" s="19"/>
      <c r="X1642" s="19"/>
      <c r="Y1642" s="19"/>
      <c r="Z1642" s="19"/>
      <c r="AA1642" s="19"/>
      <c r="AB1642" s="19"/>
      <c r="FE1642" s="54"/>
    </row>
    <row r="1643" spans="1:161" s="18" customFormat="1">
      <c r="A1643" s="51"/>
      <c r="B1643" s="735"/>
      <c r="C1643" s="735"/>
      <c r="D1643" s="735"/>
      <c r="E1643" s="735"/>
      <c r="F1643" s="736"/>
      <c r="G1643" s="735"/>
      <c r="H1643" s="735"/>
      <c r="I1643" s="735"/>
      <c r="J1643" s="735"/>
      <c r="K1643" s="735"/>
      <c r="L1643" s="735"/>
      <c r="M1643" s="735"/>
      <c r="N1643" s="735"/>
      <c r="O1643" s="19"/>
      <c r="P1643" s="19"/>
      <c r="Q1643" s="19"/>
      <c r="R1643" s="19"/>
      <c r="S1643" s="19"/>
      <c r="T1643" s="19"/>
      <c r="U1643" s="19"/>
      <c r="V1643" s="19"/>
      <c r="W1643" s="19"/>
      <c r="X1643" s="19"/>
      <c r="Y1643" s="19"/>
      <c r="Z1643" s="19"/>
      <c r="AA1643" s="19"/>
      <c r="AB1643" s="19"/>
      <c r="FE1643" s="54"/>
    </row>
    <row r="1644" spans="1:161" s="18" customFormat="1">
      <c r="A1644" s="51"/>
      <c r="B1644" s="735"/>
      <c r="C1644" s="735"/>
      <c r="D1644" s="735"/>
      <c r="E1644" s="735"/>
      <c r="F1644" s="736"/>
      <c r="G1644" s="735"/>
      <c r="H1644" s="735"/>
      <c r="I1644" s="735"/>
      <c r="J1644" s="735"/>
      <c r="K1644" s="735"/>
      <c r="L1644" s="735"/>
      <c r="M1644" s="735"/>
      <c r="N1644" s="735"/>
      <c r="O1644" s="19"/>
      <c r="P1644" s="19"/>
      <c r="Q1644" s="19"/>
      <c r="R1644" s="19"/>
      <c r="S1644" s="19"/>
      <c r="T1644" s="19"/>
      <c r="U1644" s="19"/>
      <c r="V1644" s="19"/>
      <c r="W1644" s="19"/>
      <c r="X1644" s="19"/>
      <c r="Y1644" s="19"/>
      <c r="Z1644" s="19"/>
      <c r="AA1644" s="19"/>
      <c r="AB1644" s="19"/>
      <c r="FE1644" s="54"/>
    </row>
    <row r="1645" spans="1:161" s="18" customFormat="1">
      <c r="A1645" s="51"/>
      <c r="B1645" s="735"/>
      <c r="C1645" s="735"/>
      <c r="D1645" s="735"/>
      <c r="E1645" s="735"/>
      <c r="F1645" s="736"/>
      <c r="G1645" s="735"/>
      <c r="H1645" s="735"/>
      <c r="I1645" s="735"/>
      <c r="J1645" s="735"/>
      <c r="K1645" s="735"/>
      <c r="L1645" s="735"/>
      <c r="M1645" s="735"/>
      <c r="N1645" s="735"/>
      <c r="O1645" s="19"/>
      <c r="P1645" s="19"/>
      <c r="Q1645" s="19"/>
      <c r="R1645" s="19"/>
      <c r="S1645" s="19"/>
      <c r="T1645" s="19"/>
      <c r="U1645" s="19"/>
      <c r="V1645" s="19"/>
      <c r="W1645" s="19"/>
      <c r="X1645" s="19"/>
      <c r="Y1645" s="19"/>
      <c r="Z1645" s="19"/>
      <c r="AA1645" s="19"/>
      <c r="AB1645" s="19"/>
      <c r="FE1645" s="54"/>
    </row>
    <row r="1646" spans="1:161" s="18" customFormat="1">
      <c r="A1646" s="51"/>
      <c r="B1646" s="735"/>
      <c r="C1646" s="735"/>
      <c r="D1646" s="735"/>
      <c r="E1646" s="735"/>
      <c r="F1646" s="736"/>
      <c r="G1646" s="735"/>
      <c r="H1646" s="735"/>
      <c r="I1646" s="735"/>
      <c r="J1646" s="735"/>
      <c r="K1646" s="735"/>
      <c r="L1646" s="735"/>
      <c r="M1646" s="735"/>
      <c r="N1646" s="735"/>
      <c r="O1646" s="19"/>
      <c r="P1646" s="19"/>
      <c r="Q1646" s="19"/>
      <c r="R1646" s="19"/>
      <c r="S1646" s="19"/>
      <c r="T1646" s="19"/>
      <c r="U1646" s="19"/>
      <c r="V1646" s="19"/>
      <c r="W1646" s="19"/>
      <c r="X1646" s="19"/>
      <c r="Y1646" s="19"/>
      <c r="Z1646" s="19"/>
      <c r="AA1646" s="19"/>
      <c r="AB1646" s="19"/>
      <c r="FE1646" s="54"/>
    </row>
    <row r="1647" spans="1:161" s="18" customFormat="1">
      <c r="A1647" s="51"/>
      <c r="B1647" s="735"/>
      <c r="C1647" s="735"/>
      <c r="D1647" s="735"/>
      <c r="E1647" s="735"/>
      <c r="F1647" s="736"/>
      <c r="G1647" s="735"/>
      <c r="H1647" s="735"/>
      <c r="I1647" s="735"/>
      <c r="J1647" s="735"/>
      <c r="K1647" s="735"/>
      <c r="L1647" s="735"/>
      <c r="M1647" s="735"/>
      <c r="N1647" s="735"/>
      <c r="O1647" s="19"/>
      <c r="P1647" s="19"/>
      <c r="Q1647" s="19"/>
      <c r="R1647" s="19"/>
      <c r="S1647" s="19"/>
      <c r="T1647" s="19"/>
      <c r="U1647" s="19"/>
      <c r="V1647" s="19"/>
      <c r="W1647" s="19"/>
      <c r="X1647" s="19"/>
      <c r="Y1647" s="19"/>
      <c r="Z1647" s="19"/>
      <c r="AA1647" s="19"/>
      <c r="AB1647" s="19"/>
      <c r="FE1647" s="54"/>
    </row>
    <row r="1648" spans="1:161" s="18" customFormat="1">
      <c r="A1648" s="51"/>
      <c r="B1648" s="735"/>
      <c r="C1648" s="735"/>
      <c r="D1648" s="735"/>
      <c r="E1648" s="735"/>
      <c r="F1648" s="736"/>
      <c r="G1648" s="735"/>
      <c r="H1648" s="735"/>
      <c r="I1648" s="735"/>
      <c r="J1648" s="735"/>
      <c r="K1648" s="735"/>
      <c r="L1648" s="735"/>
      <c r="M1648" s="735"/>
      <c r="N1648" s="735"/>
      <c r="O1648" s="19"/>
      <c r="P1648" s="19"/>
      <c r="Q1648" s="19"/>
      <c r="R1648" s="19"/>
      <c r="S1648" s="19"/>
      <c r="T1648" s="19"/>
      <c r="U1648" s="19"/>
      <c r="V1648" s="19"/>
      <c r="W1648" s="19"/>
      <c r="X1648" s="19"/>
      <c r="Y1648" s="19"/>
      <c r="Z1648" s="19"/>
      <c r="AA1648" s="19"/>
      <c r="AB1648" s="19"/>
      <c r="FE1648" s="54"/>
    </row>
    <row r="1649" spans="1:161" s="18" customFormat="1">
      <c r="A1649" s="51"/>
      <c r="B1649" s="735"/>
      <c r="C1649" s="735"/>
      <c r="D1649" s="735"/>
      <c r="E1649" s="735"/>
      <c r="F1649" s="736"/>
      <c r="G1649" s="735"/>
      <c r="H1649" s="735"/>
      <c r="I1649" s="735"/>
      <c r="J1649" s="735"/>
      <c r="K1649" s="735"/>
      <c r="L1649" s="735"/>
      <c r="M1649" s="735"/>
      <c r="N1649" s="735"/>
      <c r="O1649" s="19"/>
      <c r="P1649" s="19"/>
      <c r="Q1649" s="19"/>
      <c r="R1649" s="19"/>
      <c r="S1649" s="19"/>
      <c r="T1649" s="19"/>
      <c r="U1649" s="19"/>
      <c r="V1649" s="19"/>
      <c r="W1649" s="19"/>
      <c r="X1649" s="19"/>
      <c r="Y1649" s="19"/>
      <c r="Z1649" s="19"/>
      <c r="AA1649" s="19"/>
      <c r="AB1649" s="19"/>
      <c r="FE1649" s="54"/>
    </row>
    <row r="1650" spans="1:161" s="18" customFormat="1">
      <c r="A1650" s="51"/>
      <c r="B1650" s="735"/>
      <c r="C1650" s="735"/>
      <c r="D1650" s="735"/>
      <c r="E1650" s="735"/>
      <c r="F1650" s="736"/>
      <c r="G1650" s="735"/>
      <c r="H1650" s="735"/>
      <c r="I1650" s="735"/>
      <c r="J1650" s="735"/>
      <c r="K1650" s="735"/>
      <c r="L1650" s="735"/>
      <c r="M1650" s="735"/>
      <c r="N1650" s="735"/>
      <c r="O1650" s="19"/>
      <c r="P1650" s="19"/>
      <c r="Q1650" s="19"/>
      <c r="R1650" s="19"/>
      <c r="S1650" s="19"/>
      <c r="T1650" s="19"/>
      <c r="U1650" s="19"/>
      <c r="V1650" s="19"/>
      <c r="W1650" s="19"/>
      <c r="X1650" s="19"/>
      <c r="Y1650" s="19"/>
      <c r="Z1650" s="19"/>
      <c r="AA1650" s="19"/>
      <c r="AB1650" s="19"/>
      <c r="FE1650" s="54"/>
    </row>
    <row r="1651" spans="1:161" s="18" customFormat="1">
      <c r="A1651" s="51"/>
      <c r="B1651" s="735"/>
      <c r="C1651" s="735"/>
      <c r="D1651" s="735"/>
      <c r="E1651" s="735"/>
      <c r="F1651" s="736"/>
      <c r="G1651" s="735"/>
      <c r="H1651" s="735"/>
      <c r="I1651" s="735"/>
      <c r="J1651" s="735"/>
      <c r="K1651" s="735"/>
      <c r="L1651" s="735"/>
      <c r="M1651" s="735"/>
      <c r="N1651" s="735"/>
      <c r="O1651" s="19"/>
      <c r="P1651" s="19"/>
      <c r="Q1651" s="19"/>
      <c r="R1651" s="19"/>
      <c r="S1651" s="19"/>
      <c r="T1651" s="19"/>
      <c r="U1651" s="19"/>
      <c r="V1651" s="19"/>
      <c r="W1651" s="19"/>
      <c r="X1651" s="19"/>
      <c r="Y1651" s="19"/>
      <c r="Z1651" s="19"/>
      <c r="AA1651" s="19"/>
      <c r="AB1651" s="19"/>
      <c r="FE1651" s="54"/>
    </row>
    <row r="1652" spans="1:161" s="18" customFormat="1">
      <c r="A1652" s="51"/>
      <c r="B1652" s="735"/>
      <c r="C1652" s="735"/>
      <c r="D1652" s="735"/>
      <c r="E1652" s="735"/>
      <c r="F1652" s="736"/>
      <c r="G1652" s="735"/>
      <c r="H1652" s="735"/>
      <c r="I1652" s="735"/>
      <c r="J1652" s="735"/>
      <c r="K1652" s="735"/>
      <c r="L1652" s="735"/>
      <c r="M1652" s="735"/>
      <c r="N1652" s="735"/>
      <c r="O1652" s="19"/>
      <c r="P1652" s="19"/>
      <c r="Q1652" s="19"/>
      <c r="R1652" s="19"/>
      <c r="S1652" s="19"/>
      <c r="T1652" s="19"/>
      <c r="U1652" s="19"/>
      <c r="V1652" s="19"/>
      <c r="W1652" s="19"/>
      <c r="X1652" s="19"/>
      <c r="Y1652" s="19"/>
      <c r="Z1652" s="19"/>
      <c r="AA1652" s="19"/>
      <c r="AB1652" s="19"/>
      <c r="FE1652" s="54"/>
    </row>
    <row r="1653" spans="1:161" s="18" customFormat="1">
      <c r="A1653" s="51"/>
      <c r="B1653" s="735"/>
      <c r="C1653" s="735"/>
      <c r="D1653" s="735"/>
      <c r="E1653" s="735"/>
      <c r="F1653" s="736"/>
      <c r="G1653" s="735"/>
      <c r="H1653" s="735"/>
      <c r="I1653" s="735"/>
      <c r="J1653" s="735"/>
      <c r="K1653" s="735"/>
      <c r="L1653" s="735"/>
      <c r="M1653" s="735"/>
      <c r="N1653" s="735"/>
      <c r="O1653" s="19"/>
      <c r="P1653" s="19"/>
      <c r="Q1653" s="19"/>
      <c r="R1653" s="19"/>
      <c r="S1653" s="19"/>
      <c r="T1653" s="19"/>
      <c r="U1653" s="19"/>
      <c r="V1653" s="19"/>
      <c r="W1653" s="19"/>
      <c r="X1653" s="19"/>
      <c r="Y1653" s="19"/>
      <c r="Z1653" s="19"/>
      <c r="AA1653" s="19"/>
      <c r="AB1653" s="19"/>
      <c r="FE1653" s="54"/>
    </row>
    <row r="1654" spans="1:161" s="18" customFormat="1">
      <c r="A1654" s="51"/>
      <c r="B1654" s="735"/>
      <c r="C1654" s="735"/>
      <c r="D1654" s="735"/>
      <c r="E1654" s="735"/>
      <c r="F1654" s="736"/>
      <c r="G1654" s="735"/>
      <c r="H1654" s="735"/>
      <c r="I1654" s="735"/>
      <c r="J1654" s="735"/>
      <c r="K1654" s="735"/>
      <c r="L1654" s="735"/>
      <c r="M1654" s="735"/>
      <c r="N1654" s="735"/>
      <c r="O1654" s="19"/>
      <c r="P1654" s="19"/>
      <c r="Q1654" s="19"/>
      <c r="R1654" s="19"/>
      <c r="S1654" s="19"/>
      <c r="T1654" s="19"/>
      <c r="U1654" s="19"/>
      <c r="V1654" s="19"/>
      <c r="W1654" s="19"/>
      <c r="X1654" s="19"/>
      <c r="Y1654" s="19"/>
      <c r="Z1654" s="19"/>
      <c r="AA1654" s="19"/>
      <c r="AB1654" s="19"/>
      <c r="FE1654" s="54"/>
    </row>
    <row r="1655" spans="1:161" s="18" customFormat="1">
      <c r="A1655" s="51"/>
      <c r="B1655" s="735"/>
      <c r="C1655" s="735"/>
      <c r="D1655" s="735"/>
      <c r="E1655" s="735"/>
      <c r="F1655" s="736"/>
      <c r="G1655" s="735"/>
      <c r="H1655" s="735"/>
      <c r="I1655" s="735"/>
      <c r="J1655" s="735"/>
      <c r="K1655" s="735"/>
      <c r="L1655" s="735"/>
      <c r="M1655" s="735"/>
      <c r="N1655" s="735"/>
      <c r="O1655" s="19"/>
      <c r="P1655" s="19"/>
      <c r="Q1655" s="19"/>
      <c r="R1655" s="19"/>
      <c r="S1655" s="19"/>
      <c r="T1655" s="19"/>
      <c r="U1655" s="19"/>
      <c r="V1655" s="19"/>
      <c r="W1655" s="19"/>
      <c r="X1655" s="19"/>
      <c r="Y1655" s="19"/>
      <c r="Z1655" s="19"/>
      <c r="AA1655" s="19"/>
      <c r="AB1655" s="19"/>
      <c r="FE1655" s="54"/>
    </row>
    <row r="1656" spans="1:161" s="18" customFormat="1">
      <c r="A1656" s="51"/>
      <c r="B1656" s="735"/>
      <c r="C1656" s="735"/>
      <c r="D1656" s="735"/>
      <c r="E1656" s="735"/>
      <c r="F1656" s="736"/>
      <c r="G1656" s="735"/>
      <c r="H1656" s="735"/>
      <c r="I1656" s="735"/>
      <c r="J1656" s="735"/>
      <c r="K1656" s="735"/>
      <c r="L1656" s="735"/>
      <c r="M1656" s="735"/>
      <c r="N1656" s="735"/>
      <c r="O1656" s="19"/>
      <c r="P1656" s="19"/>
      <c r="Q1656" s="19"/>
      <c r="R1656" s="19"/>
      <c r="S1656" s="19"/>
      <c r="T1656" s="19"/>
      <c r="U1656" s="19"/>
      <c r="V1656" s="19"/>
      <c r="W1656" s="19"/>
      <c r="X1656" s="19"/>
      <c r="Y1656" s="19"/>
      <c r="Z1656" s="19"/>
      <c r="AA1656" s="19"/>
      <c r="AB1656" s="19"/>
      <c r="FE1656" s="54"/>
    </row>
    <row r="1657" spans="1:161" s="18" customFormat="1">
      <c r="A1657" s="51"/>
      <c r="B1657" s="735"/>
      <c r="C1657" s="735"/>
      <c r="D1657" s="735"/>
      <c r="E1657" s="735"/>
      <c r="F1657" s="736"/>
      <c r="G1657" s="735"/>
      <c r="H1657" s="735"/>
      <c r="I1657" s="735"/>
      <c r="J1657" s="735"/>
      <c r="K1657" s="735"/>
      <c r="L1657" s="735"/>
      <c r="M1657" s="735"/>
      <c r="N1657" s="735"/>
      <c r="O1657" s="19"/>
      <c r="P1657" s="19"/>
      <c r="Q1657" s="19"/>
      <c r="R1657" s="19"/>
      <c r="S1657" s="19"/>
      <c r="T1657" s="19"/>
      <c r="U1657" s="19"/>
      <c r="V1657" s="19"/>
      <c r="W1657" s="19"/>
      <c r="X1657" s="19"/>
      <c r="Y1657" s="19"/>
      <c r="Z1657" s="19"/>
      <c r="AA1657" s="19"/>
      <c r="AB1657" s="19"/>
      <c r="FE1657" s="54"/>
    </row>
    <row r="1658" spans="1:161" s="18" customFormat="1">
      <c r="A1658" s="51"/>
      <c r="B1658" s="735"/>
      <c r="C1658" s="735"/>
      <c r="D1658" s="735"/>
      <c r="E1658" s="735"/>
      <c r="F1658" s="736"/>
      <c r="G1658" s="735"/>
      <c r="H1658" s="735"/>
      <c r="I1658" s="735"/>
      <c r="J1658" s="735"/>
      <c r="K1658" s="735"/>
      <c r="L1658" s="735"/>
      <c r="M1658" s="735"/>
      <c r="N1658" s="735"/>
      <c r="O1658" s="19"/>
      <c r="P1658" s="19"/>
      <c r="Q1658" s="19"/>
      <c r="R1658" s="19"/>
      <c r="S1658" s="19"/>
      <c r="T1658" s="19"/>
      <c r="U1658" s="19"/>
      <c r="V1658" s="19"/>
      <c r="W1658" s="19"/>
      <c r="X1658" s="19"/>
      <c r="Y1658" s="19"/>
      <c r="Z1658" s="19"/>
      <c r="AA1658" s="19"/>
      <c r="AB1658" s="19"/>
      <c r="FE1658" s="54"/>
    </row>
    <row r="1659" spans="1:161" s="18" customFormat="1">
      <c r="A1659" s="51"/>
      <c r="B1659" s="735"/>
      <c r="C1659" s="735"/>
      <c r="D1659" s="735"/>
      <c r="E1659" s="735"/>
      <c r="F1659" s="736"/>
      <c r="G1659" s="735"/>
      <c r="H1659" s="735"/>
      <c r="I1659" s="735"/>
      <c r="J1659" s="735"/>
      <c r="K1659" s="735"/>
      <c r="L1659" s="735"/>
      <c r="M1659" s="735"/>
      <c r="N1659" s="735"/>
      <c r="O1659" s="19"/>
      <c r="P1659" s="19"/>
      <c r="Q1659" s="19"/>
      <c r="R1659" s="19"/>
      <c r="S1659" s="19"/>
      <c r="T1659" s="19"/>
      <c r="U1659" s="19"/>
      <c r="V1659" s="19"/>
      <c r="W1659" s="19"/>
      <c r="X1659" s="19"/>
      <c r="Y1659" s="19"/>
      <c r="Z1659" s="19"/>
      <c r="AA1659" s="19"/>
      <c r="AB1659" s="19"/>
      <c r="FE1659" s="54"/>
    </row>
    <row r="1660" spans="1:161" s="18" customFormat="1">
      <c r="A1660" s="51"/>
      <c r="B1660" s="735"/>
      <c r="C1660" s="735"/>
      <c r="D1660" s="735"/>
      <c r="E1660" s="735"/>
      <c r="F1660" s="736"/>
      <c r="G1660" s="735"/>
      <c r="H1660" s="735"/>
      <c r="I1660" s="735"/>
      <c r="J1660" s="735"/>
      <c r="K1660" s="735"/>
      <c r="L1660" s="735"/>
      <c r="M1660" s="735"/>
      <c r="N1660" s="735"/>
      <c r="O1660" s="19"/>
      <c r="P1660" s="19"/>
      <c r="Q1660" s="19"/>
      <c r="R1660" s="19"/>
      <c r="S1660" s="19"/>
      <c r="T1660" s="19"/>
      <c r="U1660" s="19"/>
      <c r="V1660" s="19"/>
      <c r="W1660" s="19"/>
      <c r="X1660" s="19"/>
      <c r="Y1660" s="19"/>
      <c r="Z1660" s="19"/>
      <c r="AA1660" s="19"/>
      <c r="AB1660" s="19"/>
      <c r="FE1660" s="54"/>
    </row>
    <row r="1661" spans="1:161" s="18" customFormat="1">
      <c r="A1661" s="51"/>
      <c r="B1661" s="735"/>
      <c r="C1661" s="735"/>
      <c r="D1661" s="735"/>
      <c r="E1661" s="735"/>
      <c r="F1661" s="736"/>
      <c r="G1661" s="735"/>
      <c r="H1661" s="735"/>
      <c r="I1661" s="735"/>
      <c r="J1661" s="735"/>
      <c r="K1661" s="735"/>
      <c r="L1661" s="735"/>
      <c r="M1661" s="735"/>
      <c r="N1661" s="735"/>
      <c r="O1661" s="19"/>
      <c r="P1661" s="19"/>
      <c r="Q1661" s="19"/>
      <c r="R1661" s="19"/>
      <c r="S1661" s="19"/>
      <c r="T1661" s="19"/>
      <c r="U1661" s="19"/>
      <c r="V1661" s="19"/>
      <c r="W1661" s="19"/>
      <c r="X1661" s="19"/>
      <c r="Y1661" s="19"/>
      <c r="Z1661" s="19"/>
      <c r="AA1661" s="19"/>
      <c r="AB1661" s="19"/>
      <c r="FE1661" s="54"/>
    </row>
    <row r="1662" spans="1:161" s="18" customFormat="1">
      <c r="A1662" s="51"/>
      <c r="B1662" s="735"/>
      <c r="C1662" s="735"/>
      <c r="D1662" s="735"/>
      <c r="E1662" s="735"/>
      <c r="F1662" s="736"/>
      <c r="G1662" s="735"/>
      <c r="H1662" s="735"/>
      <c r="I1662" s="735"/>
      <c r="J1662" s="735"/>
      <c r="K1662" s="735"/>
      <c r="L1662" s="735"/>
      <c r="M1662" s="735"/>
      <c r="N1662" s="735"/>
      <c r="O1662" s="19"/>
      <c r="P1662" s="19"/>
      <c r="Q1662" s="19"/>
      <c r="R1662" s="19"/>
      <c r="S1662" s="19"/>
      <c r="T1662" s="19"/>
      <c r="U1662" s="19"/>
      <c r="V1662" s="19"/>
      <c r="W1662" s="19"/>
      <c r="X1662" s="19"/>
      <c r="Y1662" s="19"/>
      <c r="Z1662" s="19"/>
      <c r="AA1662" s="19"/>
      <c r="AB1662" s="19"/>
      <c r="FE1662" s="54"/>
    </row>
    <row r="1663" spans="1:161" s="18" customFormat="1">
      <c r="A1663" s="51"/>
      <c r="B1663" s="735"/>
      <c r="C1663" s="735"/>
      <c r="D1663" s="735"/>
      <c r="E1663" s="735"/>
      <c r="F1663" s="736"/>
      <c r="G1663" s="735"/>
      <c r="H1663" s="735"/>
      <c r="I1663" s="735"/>
      <c r="J1663" s="735"/>
      <c r="K1663" s="735"/>
      <c r="L1663" s="735"/>
      <c r="M1663" s="735"/>
      <c r="N1663" s="735"/>
      <c r="O1663" s="19"/>
      <c r="P1663" s="19"/>
      <c r="Q1663" s="19"/>
      <c r="R1663" s="19"/>
      <c r="S1663" s="19"/>
      <c r="T1663" s="19"/>
      <c r="U1663" s="19"/>
      <c r="V1663" s="19"/>
      <c r="W1663" s="19"/>
      <c r="X1663" s="19"/>
      <c r="Y1663" s="19"/>
      <c r="Z1663" s="19"/>
      <c r="AA1663" s="19"/>
      <c r="AB1663" s="19"/>
      <c r="FE1663" s="54"/>
    </row>
    <row r="1664" spans="1:161" s="18" customFormat="1">
      <c r="A1664" s="51"/>
      <c r="B1664" s="735"/>
      <c r="C1664" s="735"/>
      <c r="D1664" s="735"/>
      <c r="E1664" s="735"/>
      <c r="F1664" s="736"/>
      <c r="G1664" s="735"/>
      <c r="H1664" s="735"/>
      <c r="I1664" s="735"/>
      <c r="J1664" s="735"/>
      <c r="K1664" s="735"/>
      <c r="L1664" s="735"/>
      <c r="M1664" s="735"/>
      <c r="N1664" s="735"/>
      <c r="O1664" s="19"/>
      <c r="P1664" s="19"/>
      <c r="Q1664" s="19"/>
      <c r="R1664" s="19"/>
      <c r="S1664" s="19"/>
      <c r="T1664" s="19"/>
      <c r="U1664" s="19"/>
      <c r="V1664" s="19"/>
      <c r="W1664" s="19"/>
      <c r="X1664" s="19"/>
      <c r="Y1664" s="19"/>
      <c r="Z1664" s="19"/>
      <c r="AA1664" s="19"/>
      <c r="AB1664" s="19"/>
      <c r="FE1664" s="54"/>
    </row>
    <row r="1665" spans="1:161" s="18" customFormat="1">
      <c r="A1665" s="51"/>
      <c r="B1665" s="735"/>
      <c r="C1665" s="735"/>
      <c r="D1665" s="735"/>
      <c r="E1665" s="735"/>
      <c r="F1665" s="736"/>
      <c r="G1665" s="735"/>
      <c r="H1665" s="735"/>
      <c r="I1665" s="735"/>
      <c r="J1665" s="735"/>
      <c r="K1665" s="735"/>
      <c r="L1665" s="735"/>
      <c r="M1665" s="735"/>
      <c r="N1665" s="735"/>
      <c r="O1665" s="19"/>
      <c r="P1665" s="19"/>
      <c r="Q1665" s="19"/>
      <c r="R1665" s="19"/>
      <c r="S1665" s="19"/>
      <c r="T1665" s="19"/>
      <c r="U1665" s="19"/>
      <c r="V1665" s="19"/>
      <c r="W1665" s="19"/>
      <c r="X1665" s="19"/>
      <c r="Y1665" s="19"/>
      <c r="Z1665" s="19"/>
      <c r="AA1665" s="19"/>
      <c r="AB1665" s="19"/>
      <c r="FE1665" s="54"/>
    </row>
    <row r="1666" spans="1:161" s="18" customFormat="1">
      <c r="A1666" s="51"/>
      <c r="B1666" s="735"/>
      <c r="C1666" s="735"/>
      <c r="D1666" s="735"/>
      <c r="E1666" s="735"/>
      <c r="F1666" s="736"/>
      <c r="G1666" s="735"/>
      <c r="H1666" s="735"/>
      <c r="I1666" s="735"/>
      <c r="J1666" s="735"/>
      <c r="K1666" s="735"/>
      <c r="L1666" s="735"/>
      <c r="M1666" s="735"/>
      <c r="N1666" s="735"/>
      <c r="O1666" s="19"/>
      <c r="P1666" s="19"/>
      <c r="Q1666" s="19"/>
      <c r="R1666" s="19"/>
      <c r="S1666" s="19"/>
      <c r="T1666" s="19"/>
      <c r="U1666" s="19"/>
      <c r="V1666" s="19"/>
      <c r="W1666" s="19"/>
      <c r="X1666" s="19"/>
      <c r="Y1666" s="19"/>
      <c r="Z1666" s="19"/>
      <c r="AA1666" s="19"/>
      <c r="AB1666" s="19"/>
      <c r="FE1666" s="54"/>
    </row>
    <row r="1667" spans="1:161" s="18" customFormat="1">
      <c r="A1667" s="51"/>
      <c r="B1667" s="735"/>
      <c r="C1667" s="735"/>
      <c r="D1667" s="735"/>
      <c r="E1667" s="735"/>
      <c r="F1667" s="736"/>
      <c r="G1667" s="735"/>
      <c r="H1667" s="735"/>
      <c r="I1667" s="735"/>
      <c r="J1667" s="735"/>
      <c r="K1667" s="735"/>
      <c r="L1667" s="735"/>
      <c r="M1667" s="735"/>
      <c r="N1667" s="735"/>
      <c r="O1667" s="19"/>
      <c r="P1667" s="19"/>
      <c r="Q1667" s="19"/>
      <c r="R1667" s="19"/>
      <c r="S1667" s="19"/>
      <c r="T1667" s="19"/>
      <c r="U1667" s="19"/>
      <c r="V1667" s="19"/>
      <c r="W1667" s="19"/>
      <c r="X1667" s="19"/>
      <c r="Y1667" s="19"/>
      <c r="Z1667" s="19"/>
      <c r="AA1667" s="19"/>
      <c r="AB1667" s="19"/>
      <c r="FE1667" s="54"/>
    </row>
    <row r="1668" spans="1:161" s="18" customFormat="1">
      <c r="A1668" s="51"/>
      <c r="B1668" s="735"/>
      <c r="C1668" s="735"/>
      <c r="D1668" s="735"/>
      <c r="E1668" s="735"/>
      <c r="F1668" s="736"/>
      <c r="G1668" s="735"/>
      <c r="H1668" s="735"/>
      <c r="I1668" s="735"/>
      <c r="J1668" s="735"/>
      <c r="K1668" s="735"/>
      <c r="L1668" s="735"/>
      <c r="M1668" s="735"/>
      <c r="N1668" s="735"/>
      <c r="O1668" s="19"/>
      <c r="P1668" s="19"/>
      <c r="Q1668" s="19"/>
      <c r="R1668" s="19"/>
      <c r="S1668" s="19"/>
      <c r="T1668" s="19"/>
      <c r="U1668" s="19"/>
      <c r="V1668" s="19"/>
      <c r="W1668" s="19"/>
      <c r="X1668" s="19"/>
      <c r="Y1668" s="19"/>
      <c r="Z1668" s="19"/>
      <c r="AA1668" s="19"/>
      <c r="AB1668" s="19"/>
      <c r="FE1668" s="54"/>
    </row>
    <row r="1669" spans="1:161" s="18" customFormat="1">
      <c r="A1669" s="51"/>
      <c r="B1669" s="735"/>
      <c r="C1669" s="735"/>
      <c r="D1669" s="735"/>
      <c r="E1669" s="735"/>
      <c r="F1669" s="736"/>
      <c r="G1669" s="735"/>
      <c r="H1669" s="735"/>
      <c r="I1669" s="735"/>
      <c r="J1669" s="735"/>
      <c r="K1669" s="735"/>
      <c r="L1669" s="735"/>
      <c r="M1669" s="735"/>
      <c r="N1669" s="735"/>
      <c r="O1669" s="19"/>
      <c r="P1669" s="19"/>
      <c r="Q1669" s="19"/>
      <c r="R1669" s="19"/>
      <c r="S1669" s="19"/>
      <c r="T1669" s="19"/>
      <c r="U1669" s="19"/>
      <c r="V1669" s="19"/>
      <c r="W1669" s="19"/>
      <c r="X1669" s="19"/>
      <c r="Y1669" s="19"/>
      <c r="Z1669" s="19"/>
      <c r="AA1669" s="19"/>
      <c r="AB1669" s="19"/>
      <c r="FE1669" s="54"/>
    </row>
    <row r="1670" spans="1:161" s="18" customFormat="1">
      <c r="A1670" s="51"/>
      <c r="B1670" s="735"/>
      <c r="C1670" s="735"/>
      <c r="D1670" s="735"/>
      <c r="E1670" s="735"/>
      <c r="F1670" s="736"/>
      <c r="G1670" s="735"/>
      <c r="H1670" s="735"/>
      <c r="I1670" s="735"/>
      <c r="J1670" s="735"/>
      <c r="K1670" s="735"/>
      <c r="L1670" s="735"/>
      <c r="M1670" s="735"/>
      <c r="N1670" s="735"/>
      <c r="O1670" s="19"/>
      <c r="P1670" s="19"/>
      <c r="Q1670" s="19"/>
      <c r="R1670" s="19"/>
      <c r="S1670" s="19"/>
      <c r="T1670" s="19"/>
      <c r="U1670" s="19"/>
      <c r="V1670" s="19"/>
      <c r="W1670" s="19"/>
      <c r="X1670" s="19"/>
      <c r="Y1670" s="19"/>
      <c r="Z1670" s="19"/>
      <c r="AA1670" s="19"/>
      <c r="AB1670" s="19"/>
      <c r="FE1670" s="54"/>
    </row>
    <row r="1671" spans="1:161" s="18" customFormat="1">
      <c r="A1671" s="51"/>
      <c r="B1671" s="735"/>
      <c r="C1671" s="735"/>
      <c r="D1671" s="735"/>
      <c r="E1671" s="735"/>
      <c r="F1671" s="736"/>
      <c r="G1671" s="735"/>
      <c r="H1671" s="735"/>
      <c r="I1671" s="735"/>
      <c r="J1671" s="735"/>
      <c r="K1671" s="735"/>
      <c r="L1671" s="735"/>
      <c r="M1671" s="735"/>
      <c r="N1671" s="735"/>
      <c r="O1671" s="19"/>
      <c r="P1671" s="19"/>
      <c r="Q1671" s="19"/>
      <c r="R1671" s="19"/>
      <c r="S1671" s="19"/>
      <c r="T1671" s="19"/>
      <c r="U1671" s="19"/>
      <c r="V1671" s="19"/>
      <c r="W1671" s="19"/>
      <c r="X1671" s="19"/>
      <c r="Y1671" s="19"/>
      <c r="Z1671" s="19"/>
      <c r="AA1671" s="19"/>
      <c r="AB1671" s="19"/>
      <c r="FE1671" s="54"/>
    </row>
    <row r="1672" spans="1:161" s="18" customFormat="1">
      <c r="A1672" s="51"/>
      <c r="B1672" s="735"/>
      <c r="C1672" s="735"/>
      <c r="D1672" s="735"/>
      <c r="E1672" s="735"/>
      <c r="F1672" s="736"/>
      <c r="G1672" s="735"/>
      <c r="H1672" s="735"/>
      <c r="I1672" s="735"/>
      <c r="J1672" s="735"/>
      <c r="K1672" s="735"/>
      <c r="L1672" s="735"/>
      <c r="M1672" s="735"/>
      <c r="N1672" s="735"/>
      <c r="O1672" s="19"/>
      <c r="P1672" s="19"/>
      <c r="Q1672" s="19"/>
      <c r="R1672" s="19"/>
      <c r="S1672" s="19"/>
      <c r="T1672" s="19"/>
      <c r="U1672" s="19"/>
      <c r="V1672" s="19"/>
      <c r="W1672" s="19"/>
      <c r="X1672" s="19"/>
      <c r="Y1672" s="19"/>
      <c r="Z1672" s="19"/>
      <c r="AA1672" s="19"/>
      <c r="AB1672" s="19"/>
      <c r="FE1672" s="54"/>
    </row>
    <row r="1673" spans="1:161" s="18" customFormat="1">
      <c r="A1673" s="51"/>
      <c r="B1673" s="735"/>
      <c r="C1673" s="735"/>
      <c r="D1673" s="735"/>
      <c r="E1673" s="735"/>
      <c r="F1673" s="736"/>
      <c r="G1673" s="735"/>
      <c r="H1673" s="735"/>
      <c r="I1673" s="735"/>
      <c r="J1673" s="735"/>
      <c r="K1673" s="735"/>
      <c r="L1673" s="735"/>
      <c r="M1673" s="735"/>
      <c r="N1673" s="735"/>
      <c r="O1673" s="19"/>
      <c r="P1673" s="19"/>
      <c r="Q1673" s="19"/>
      <c r="R1673" s="19"/>
      <c r="S1673" s="19"/>
      <c r="T1673" s="19"/>
      <c r="U1673" s="19"/>
      <c r="V1673" s="19"/>
      <c r="W1673" s="19"/>
      <c r="X1673" s="19"/>
      <c r="Y1673" s="19"/>
      <c r="Z1673" s="19"/>
      <c r="AA1673" s="19"/>
      <c r="AB1673" s="19"/>
      <c r="FE1673" s="54"/>
    </row>
    <row r="1674" spans="1:161" s="18" customFormat="1">
      <c r="A1674" s="51"/>
      <c r="B1674" s="735"/>
      <c r="C1674" s="735"/>
      <c r="D1674" s="735"/>
      <c r="E1674" s="735"/>
      <c r="F1674" s="736"/>
      <c r="G1674" s="735"/>
      <c r="H1674" s="735"/>
      <c r="I1674" s="735"/>
      <c r="J1674" s="735"/>
      <c r="K1674" s="735"/>
      <c r="L1674" s="735"/>
      <c r="M1674" s="735"/>
      <c r="N1674" s="735"/>
      <c r="O1674" s="19"/>
      <c r="P1674" s="19"/>
      <c r="Q1674" s="19"/>
      <c r="R1674" s="19"/>
      <c r="S1674" s="19"/>
      <c r="T1674" s="19"/>
      <c r="U1674" s="19"/>
      <c r="V1674" s="19"/>
      <c r="W1674" s="19"/>
      <c r="X1674" s="19"/>
      <c r="Y1674" s="19"/>
      <c r="Z1674" s="19"/>
      <c r="AA1674" s="19"/>
      <c r="AB1674" s="19"/>
      <c r="FE1674" s="54"/>
    </row>
    <row r="1675" spans="1:161" s="18" customFormat="1">
      <c r="A1675" s="51"/>
      <c r="B1675" s="735"/>
      <c r="C1675" s="735"/>
      <c r="D1675" s="735"/>
      <c r="E1675" s="735"/>
      <c r="F1675" s="736"/>
      <c r="G1675" s="735"/>
      <c r="H1675" s="735"/>
      <c r="I1675" s="735"/>
      <c r="J1675" s="735"/>
      <c r="K1675" s="735"/>
      <c r="L1675" s="735"/>
      <c r="M1675" s="735"/>
      <c r="N1675" s="735"/>
      <c r="O1675" s="19"/>
      <c r="P1675" s="19"/>
      <c r="Q1675" s="19"/>
      <c r="R1675" s="19"/>
      <c r="S1675" s="19"/>
      <c r="T1675" s="19"/>
      <c r="U1675" s="19"/>
      <c r="V1675" s="19"/>
      <c r="W1675" s="19"/>
      <c r="X1675" s="19"/>
      <c r="Y1675" s="19"/>
      <c r="Z1675" s="19"/>
      <c r="AA1675" s="19"/>
      <c r="AB1675" s="19"/>
      <c r="FE1675" s="54"/>
    </row>
    <row r="1676" spans="1:161" s="18" customFormat="1">
      <c r="A1676" s="51"/>
      <c r="B1676" s="735"/>
      <c r="C1676" s="735"/>
      <c r="D1676" s="735"/>
      <c r="E1676" s="735"/>
      <c r="F1676" s="736"/>
      <c r="G1676" s="735"/>
      <c r="H1676" s="735"/>
      <c r="I1676" s="735"/>
      <c r="J1676" s="735"/>
      <c r="K1676" s="735"/>
      <c r="L1676" s="735"/>
      <c r="M1676" s="735"/>
      <c r="N1676" s="735"/>
      <c r="O1676" s="19"/>
      <c r="P1676" s="19"/>
      <c r="Q1676" s="19"/>
      <c r="R1676" s="19"/>
      <c r="S1676" s="19"/>
      <c r="T1676" s="19"/>
      <c r="U1676" s="19"/>
      <c r="V1676" s="19"/>
      <c r="W1676" s="19"/>
      <c r="X1676" s="19"/>
      <c r="Y1676" s="19"/>
      <c r="Z1676" s="19"/>
      <c r="AA1676" s="19"/>
      <c r="AB1676" s="19"/>
      <c r="FE1676" s="54"/>
    </row>
    <row r="1677" spans="1:161" s="18" customFormat="1">
      <c r="A1677" s="51"/>
      <c r="B1677" s="735"/>
      <c r="C1677" s="735"/>
      <c r="D1677" s="735"/>
      <c r="E1677" s="735"/>
      <c r="F1677" s="736"/>
      <c r="G1677" s="735"/>
      <c r="H1677" s="735"/>
      <c r="I1677" s="735"/>
      <c r="J1677" s="735"/>
      <c r="K1677" s="735"/>
      <c r="L1677" s="735"/>
      <c r="M1677" s="735"/>
      <c r="N1677" s="735"/>
      <c r="O1677" s="19"/>
      <c r="P1677" s="19"/>
      <c r="Q1677" s="19"/>
      <c r="R1677" s="19"/>
      <c r="S1677" s="19"/>
      <c r="T1677" s="19"/>
      <c r="U1677" s="19"/>
      <c r="V1677" s="19"/>
      <c r="W1677" s="19"/>
      <c r="X1677" s="19"/>
      <c r="Y1677" s="19"/>
      <c r="Z1677" s="19"/>
      <c r="AA1677" s="19"/>
      <c r="AB1677" s="19"/>
      <c r="FE1677" s="54"/>
    </row>
    <row r="1678" spans="1:161" s="18" customFormat="1">
      <c r="A1678" s="51"/>
      <c r="B1678" s="735"/>
      <c r="C1678" s="735"/>
      <c r="D1678" s="735"/>
      <c r="E1678" s="735"/>
      <c r="F1678" s="736"/>
      <c r="G1678" s="735"/>
      <c r="H1678" s="735"/>
      <c r="I1678" s="735"/>
      <c r="J1678" s="735"/>
      <c r="K1678" s="735"/>
      <c r="L1678" s="735"/>
      <c r="M1678" s="735"/>
      <c r="N1678" s="735"/>
      <c r="O1678" s="19"/>
      <c r="P1678" s="19"/>
      <c r="Q1678" s="19"/>
      <c r="R1678" s="19"/>
      <c r="S1678" s="19"/>
      <c r="T1678" s="19"/>
      <c r="U1678" s="19"/>
      <c r="V1678" s="19"/>
      <c r="W1678" s="19"/>
      <c r="X1678" s="19"/>
      <c r="Y1678" s="19"/>
      <c r="Z1678" s="19"/>
      <c r="AA1678" s="19"/>
      <c r="AB1678" s="19"/>
      <c r="FE1678" s="54"/>
    </row>
    <row r="1679" spans="1:161" s="18" customFormat="1">
      <c r="A1679" s="51"/>
      <c r="B1679" s="735"/>
      <c r="C1679" s="735"/>
      <c r="D1679" s="735"/>
      <c r="E1679" s="735"/>
      <c r="F1679" s="736"/>
      <c r="G1679" s="735"/>
      <c r="H1679" s="735"/>
      <c r="I1679" s="735"/>
      <c r="J1679" s="735"/>
      <c r="K1679" s="735"/>
      <c r="L1679" s="735"/>
      <c r="M1679" s="735"/>
      <c r="N1679" s="735"/>
      <c r="O1679" s="19"/>
      <c r="P1679" s="19"/>
      <c r="Q1679" s="19"/>
      <c r="R1679" s="19"/>
      <c r="S1679" s="19"/>
      <c r="T1679" s="19"/>
      <c r="U1679" s="19"/>
      <c r="V1679" s="19"/>
      <c r="W1679" s="19"/>
      <c r="X1679" s="19"/>
      <c r="Y1679" s="19"/>
      <c r="Z1679" s="19"/>
      <c r="AA1679" s="19"/>
      <c r="AB1679" s="19"/>
      <c r="FE1679" s="54"/>
    </row>
    <row r="1680" spans="1:161" s="18" customFormat="1">
      <c r="A1680" s="51"/>
      <c r="B1680" s="735"/>
      <c r="C1680" s="735"/>
      <c r="D1680" s="735"/>
      <c r="E1680" s="735"/>
      <c r="F1680" s="736"/>
      <c r="G1680" s="735"/>
      <c r="H1680" s="735"/>
      <c r="I1680" s="735"/>
      <c r="J1680" s="735"/>
      <c r="K1680" s="735"/>
      <c r="L1680" s="735"/>
      <c r="M1680" s="735"/>
      <c r="N1680" s="735"/>
      <c r="O1680" s="19"/>
      <c r="P1680" s="19"/>
      <c r="Q1680" s="19"/>
      <c r="R1680" s="19"/>
      <c r="S1680" s="19"/>
      <c r="T1680" s="19"/>
      <c r="U1680" s="19"/>
      <c r="V1680" s="19"/>
      <c r="W1680" s="19"/>
      <c r="X1680" s="19"/>
      <c r="Y1680" s="19"/>
      <c r="Z1680" s="19"/>
      <c r="AA1680" s="19"/>
      <c r="AB1680" s="19"/>
      <c r="FE1680" s="54"/>
    </row>
    <row r="1681" spans="1:161" s="18" customFormat="1">
      <c r="A1681" s="51"/>
      <c r="B1681" s="735"/>
      <c r="C1681" s="735"/>
      <c r="D1681" s="735"/>
      <c r="E1681" s="735"/>
      <c r="F1681" s="736"/>
      <c r="G1681" s="735"/>
      <c r="H1681" s="735"/>
      <c r="I1681" s="735"/>
      <c r="J1681" s="735"/>
      <c r="K1681" s="735"/>
      <c r="L1681" s="735"/>
      <c r="M1681" s="735"/>
      <c r="N1681" s="735"/>
      <c r="O1681" s="19"/>
      <c r="P1681" s="19"/>
      <c r="Q1681" s="19"/>
      <c r="R1681" s="19"/>
      <c r="S1681" s="19"/>
      <c r="T1681" s="19"/>
      <c r="U1681" s="19"/>
      <c r="V1681" s="19"/>
      <c r="W1681" s="19"/>
      <c r="X1681" s="19"/>
      <c r="Y1681" s="19"/>
      <c r="Z1681" s="19"/>
      <c r="AA1681" s="19"/>
      <c r="AB1681" s="19"/>
      <c r="FE1681" s="54"/>
    </row>
    <row r="1682" spans="1:161" s="18" customFormat="1">
      <c r="A1682" s="51"/>
      <c r="B1682" s="735"/>
      <c r="C1682" s="735"/>
      <c r="D1682" s="735"/>
      <c r="E1682" s="735"/>
      <c r="F1682" s="736"/>
      <c r="G1682" s="735"/>
      <c r="H1682" s="735"/>
      <c r="I1682" s="735"/>
      <c r="J1682" s="735"/>
      <c r="K1682" s="735"/>
      <c r="L1682" s="735"/>
      <c r="M1682" s="735"/>
      <c r="N1682" s="735"/>
      <c r="O1682" s="19"/>
      <c r="P1682" s="19"/>
      <c r="Q1682" s="19"/>
      <c r="R1682" s="19"/>
      <c r="S1682" s="19"/>
      <c r="T1682" s="19"/>
      <c r="U1682" s="19"/>
      <c r="V1682" s="19"/>
      <c r="W1682" s="19"/>
      <c r="X1682" s="19"/>
      <c r="Y1682" s="19"/>
      <c r="Z1682" s="19"/>
      <c r="AA1682" s="19"/>
      <c r="AB1682" s="19"/>
      <c r="FE1682" s="54"/>
    </row>
    <row r="1683" spans="1:161" s="18" customFormat="1">
      <c r="A1683" s="51"/>
      <c r="B1683" s="735"/>
      <c r="C1683" s="735"/>
      <c r="D1683" s="735"/>
      <c r="E1683" s="735"/>
      <c r="F1683" s="736"/>
      <c r="G1683" s="735"/>
      <c r="H1683" s="735"/>
      <c r="I1683" s="735"/>
      <c r="J1683" s="735"/>
      <c r="K1683" s="735"/>
      <c r="L1683" s="735"/>
      <c r="M1683" s="735"/>
      <c r="N1683" s="735"/>
      <c r="O1683" s="19"/>
      <c r="P1683" s="19"/>
      <c r="Q1683" s="19"/>
      <c r="R1683" s="19"/>
      <c r="S1683" s="19"/>
      <c r="T1683" s="19"/>
      <c r="U1683" s="19"/>
      <c r="V1683" s="19"/>
      <c r="W1683" s="19"/>
      <c r="X1683" s="19"/>
      <c r="Y1683" s="19"/>
      <c r="Z1683" s="19"/>
      <c r="AA1683" s="19"/>
      <c r="AB1683" s="19"/>
      <c r="FE1683" s="54"/>
    </row>
    <row r="1684" spans="1:161" s="18" customFormat="1">
      <c r="A1684" s="51"/>
      <c r="B1684" s="735"/>
      <c r="C1684" s="735"/>
      <c r="D1684" s="735"/>
      <c r="E1684" s="735"/>
      <c r="F1684" s="736"/>
      <c r="G1684" s="735"/>
      <c r="H1684" s="735"/>
      <c r="I1684" s="735"/>
      <c r="J1684" s="735"/>
      <c r="K1684" s="735"/>
      <c r="L1684" s="735"/>
      <c r="M1684" s="735"/>
      <c r="N1684" s="735"/>
      <c r="O1684" s="19"/>
      <c r="P1684" s="19"/>
      <c r="Q1684" s="19"/>
      <c r="R1684" s="19"/>
      <c r="S1684" s="19"/>
      <c r="T1684" s="19"/>
      <c r="U1684" s="19"/>
      <c r="V1684" s="19"/>
      <c r="W1684" s="19"/>
      <c r="X1684" s="19"/>
      <c r="Y1684" s="19"/>
      <c r="Z1684" s="19"/>
      <c r="AA1684" s="19"/>
      <c r="AB1684" s="19"/>
      <c r="FE1684" s="54"/>
    </row>
    <row r="1685" spans="1:161" s="18" customFormat="1">
      <c r="A1685" s="51"/>
      <c r="B1685" s="735"/>
      <c r="C1685" s="735"/>
      <c r="D1685" s="735"/>
      <c r="E1685" s="735"/>
      <c r="F1685" s="736"/>
      <c r="G1685" s="735"/>
      <c r="H1685" s="735"/>
      <c r="I1685" s="735"/>
      <c r="J1685" s="735"/>
      <c r="K1685" s="735"/>
      <c r="L1685" s="735"/>
      <c r="M1685" s="735"/>
      <c r="N1685" s="735"/>
      <c r="O1685" s="19"/>
      <c r="P1685" s="19"/>
      <c r="Q1685" s="19"/>
      <c r="R1685" s="19"/>
      <c r="S1685" s="19"/>
      <c r="T1685" s="19"/>
      <c r="U1685" s="19"/>
      <c r="V1685" s="19"/>
      <c r="W1685" s="19"/>
      <c r="X1685" s="19"/>
      <c r="Y1685" s="19"/>
      <c r="Z1685" s="19"/>
      <c r="AA1685" s="19"/>
      <c r="AB1685" s="19"/>
      <c r="FE1685" s="54"/>
    </row>
    <row r="1686" spans="1:161" s="18" customFormat="1">
      <c r="A1686" s="51"/>
      <c r="B1686" s="735"/>
      <c r="C1686" s="735"/>
      <c r="D1686" s="735"/>
      <c r="E1686" s="735"/>
      <c r="F1686" s="736"/>
      <c r="G1686" s="735"/>
      <c r="H1686" s="735"/>
      <c r="I1686" s="735"/>
      <c r="J1686" s="735"/>
      <c r="K1686" s="735"/>
      <c r="L1686" s="735"/>
      <c r="M1686" s="735"/>
      <c r="N1686" s="735"/>
      <c r="O1686" s="19"/>
      <c r="P1686" s="19"/>
      <c r="Q1686" s="19"/>
      <c r="R1686" s="19"/>
      <c r="S1686" s="19"/>
      <c r="T1686" s="19"/>
      <c r="U1686" s="19"/>
      <c r="V1686" s="19"/>
      <c r="W1686" s="19"/>
      <c r="X1686" s="19"/>
      <c r="Y1686" s="19"/>
      <c r="Z1686" s="19"/>
      <c r="AA1686" s="19"/>
      <c r="AB1686" s="19"/>
      <c r="FE1686" s="54"/>
    </row>
    <row r="1687" spans="1:161" s="18" customFormat="1">
      <c r="A1687" s="51"/>
      <c r="B1687" s="735"/>
      <c r="C1687" s="735"/>
      <c r="D1687" s="735"/>
      <c r="E1687" s="735"/>
      <c r="F1687" s="736"/>
      <c r="G1687" s="735"/>
      <c r="H1687" s="735"/>
      <c r="I1687" s="735"/>
      <c r="J1687" s="735"/>
      <c r="K1687" s="735"/>
      <c r="L1687" s="735"/>
      <c r="M1687" s="735"/>
      <c r="N1687" s="735"/>
      <c r="O1687" s="19"/>
      <c r="P1687" s="19"/>
      <c r="Q1687" s="19"/>
      <c r="R1687" s="19"/>
      <c r="S1687" s="19"/>
      <c r="T1687" s="19"/>
      <c r="U1687" s="19"/>
      <c r="V1687" s="19"/>
      <c r="W1687" s="19"/>
      <c r="X1687" s="19"/>
      <c r="Y1687" s="19"/>
      <c r="Z1687" s="19"/>
      <c r="AA1687" s="19"/>
      <c r="AB1687" s="19"/>
      <c r="FE1687" s="54"/>
    </row>
    <row r="1688" spans="1:161" s="18" customFormat="1">
      <c r="A1688" s="51"/>
      <c r="B1688" s="735"/>
      <c r="C1688" s="735"/>
      <c r="D1688" s="735"/>
      <c r="E1688" s="735"/>
      <c r="F1688" s="736"/>
      <c r="G1688" s="735"/>
      <c r="H1688" s="735"/>
      <c r="I1688" s="735"/>
      <c r="J1688" s="735"/>
      <c r="K1688" s="735"/>
      <c r="L1688" s="735"/>
      <c r="M1688" s="735"/>
      <c r="N1688" s="735"/>
      <c r="O1688" s="19"/>
      <c r="P1688" s="19"/>
      <c r="Q1688" s="19"/>
      <c r="R1688" s="19"/>
      <c r="S1688" s="19"/>
      <c r="T1688" s="19"/>
      <c r="U1688" s="19"/>
      <c r="V1688" s="19"/>
      <c r="W1688" s="19"/>
      <c r="X1688" s="19"/>
      <c r="Y1688" s="19"/>
      <c r="Z1688" s="19"/>
      <c r="AA1688" s="19"/>
      <c r="AB1688" s="19"/>
      <c r="FE1688" s="54"/>
    </row>
    <row r="1689" spans="1:161" s="18" customFormat="1">
      <c r="A1689" s="51"/>
      <c r="B1689" s="735"/>
      <c r="C1689" s="735"/>
      <c r="D1689" s="735"/>
      <c r="E1689" s="735"/>
      <c r="F1689" s="736"/>
      <c r="G1689" s="735"/>
      <c r="H1689" s="735"/>
      <c r="I1689" s="735"/>
      <c r="J1689" s="735"/>
      <c r="K1689" s="735"/>
      <c r="L1689" s="735"/>
      <c r="M1689" s="735"/>
      <c r="N1689" s="735"/>
      <c r="O1689" s="19"/>
      <c r="P1689" s="19"/>
      <c r="Q1689" s="19"/>
      <c r="R1689" s="19"/>
      <c r="S1689" s="19"/>
      <c r="T1689" s="19"/>
      <c r="U1689" s="19"/>
      <c r="V1689" s="19"/>
      <c r="W1689" s="19"/>
      <c r="X1689" s="19"/>
      <c r="Y1689" s="19"/>
      <c r="Z1689" s="19"/>
      <c r="AA1689" s="19"/>
      <c r="AB1689" s="19"/>
      <c r="FE1689" s="54"/>
    </row>
    <row r="1690" spans="1:161" s="18" customFormat="1">
      <c r="A1690" s="51"/>
      <c r="B1690" s="735"/>
      <c r="C1690" s="735"/>
      <c r="D1690" s="735"/>
      <c r="E1690" s="735"/>
      <c r="F1690" s="736"/>
      <c r="G1690" s="735"/>
      <c r="H1690" s="735"/>
      <c r="I1690" s="735"/>
      <c r="J1690" s="735"/>
      <c r="K1690" s="735"/>
      <c r="L1690" s="735"/>
      <c r="M1690" s="735"/>
      <c r="N1690" s="735"/>
      <c r="O1690" s="19"/>
      <c r="P1690" s="19"/>
      <c r="Q1690" s="19"/>
      <c r="R1690" s="19"/>
      <c r="S1690" s="19"/>
      <c r="T1690" s="19"/>
      <c r="U1690" s="19"/>
      <c r="V1690" s="19"/>
      <c r="W1690" s="19"/>
      <c r="X1690" s="19"/>
      <c r="Y1690" s="19"/>
      <c r="Z1690" s="19"/>
      <c r="AA1690" s="19"/>
      <c r="AB1690" s="19"/>
      <c r="FE1690" s="54"/>
    </row>
    <row r="1691" spans="1:161" s="18" customFormat="1">
      <c r="A1691" s="51"/>
      <c r="B1691" s="735"/>
      <c r="C1691" s="735"/>
      <c r="D1691" s="735"/>
      <c r="E1691" s="735"/>
      <c r="F1691" s="736"/>
      <c r="G1691" s="735"/>
      <c r="H1691" s="735"/>
      <c r="I1691" s="735"/>
      <c r="J1691" s="735"/>
      <c r="K1691" s="735"/>
      <c r="L1691" s="735"/>
      <c r="M1691" s="735"/>
      <c r="N1691" s="735"/>
      <c r="O1691" s="19"/>
      <c r="P1691" s="19"/>
      <c r="Q1691" s="19"/>
      <c r="R1691" s="19"/>
      <c r="S1691" s="19"/>
      <c r="T1691" s="19"/>
      <c r="U1691" s="19"/>
      <c r="V1691" s="19"/>
      <c r="W1691" s="19"/>
      <c r="X1691" s="19"/>
      <c r="Y1691" s="19"/>
      <c r="Z1691" s="19"/>
      <c r="AA1691" s="19"/>
      <c r="AB1691" s="19"/>
      <c r="FE1691" s="54"/>
    </row>
    <row r="1692" spans="1:161" s="18" customFormat="1">
      <c r="A1692" s="51"/>
      <c r="B1692" s="735"/>
      <c r="C1692" s="735"/>
      <c r="D1692" s="735"/>
      <c r="E1692" s="735"/>
      <c r="F1692" s="736"/>
      <c r="G1692" s="735"/>
      <c r="H1692" s="735"/>
      <c r="I1692" s="735"/>
      <c r="J1692" s="735"/>
      <c r="K1692" s="735"/>
      <c r="L1692" s="735"/>
      <c r="M1692" s="735"/>
      <c r="N1692" s="735"/>
      <c r="O1692" s="19"/>
      <c r="P1692" s="19"/>
      <c r="Q1692" s="19"/>
      <c r="R1692" s="19"/>
      <c r="S1692" s="19"/>
      <c r="T1692" s="19"/>
      <c r="U1692" s="19"/>
      <c r="V1692" s="19"/>
      <c r="W1692" s="19"/>
      <c r="X1692" s="19"/>
      <c r="Y1692" s="19"/>
      <c r="Z1692" s="19"/>
      <c r="AA1692" s="19"/>
      <c r="AB1692" s="19"/>
      <c r="FE1692" s="54"/>
    </row>
    <row r="1693" spans="1:161" s="18" customFormat="1">
      <c r="A1693" s="51"/>
      <c r="B1693" s="735"/>
      <c r="C1693" s="735"/>
      <c r="D1693" s="735"/>
      <c r="E1693" s="735"/>
      <c r="F1693" s="736"/>
      <c r="G1693" s="735"/>
      <c r="H1693" s="735"/>
      <c r="I1693" s="735"/>
      <c r="J1693" s="735"/>
      <c r="K1693" s="735"/>
      <c r="L1693" s="735"/>
      <c r="M1693" s="735"/>
      <c r="N1693" s="735"/>
      <c r="O1693" s="19"/>
      <c r="P1693" s="19"/>
      <c r="Q1693" s="19"/>
      <c r="R1693" s="19"/>
      <c r="S1693" s="19"/>
      <c r="T1693" s="19"/>
      <c r="U1693" s="19"/>
      <c r="V1693" s="19"/>
      <c r="W1693" s="19"/>
      <c r="X1693" s="19"/>
      <c r="Y1693" s="19"/>
      <c r="Z1693" s="19"/>
      <c r="AA1693" s="19"/>
      <c r="AB1693" s="19"/>
      <c r="FE1693" s="54"/>
    </row>
    <row r="1694" spans="1:161" s="18" customFormat="1">
      <c r="A1694" s="51"/>
      <c r="B1694" s="735"/>
      <c r="C1694" s="735"/>
      <c r="D1694" s="735"/>
      <c r="E1694" s="735"/>
      <c r="F1694" s="736"/>
      <c r="G1694" s="735"/>
      <c r="H1694" s="735"/>
      <c r="I1694" s="735"/>
      <c r="J1694" s="735"/>
      <c r="K1694" s="735"/>
      <c r="L1694" s="735"/>
      <c r="M1694" s="735"/>
      <c r="N1694" s="735"/>
      <c r="O1694" s="19"/>
      <c r="P1694" s="19"/>
      <c r="Q1694" s="19"/>
      <c r="R1694" s="19"/>
      <c r="S1694" s="19"/>
      <c r="T1694" s="19"/>
      <c r="U1694" s="19"/>
      <c r="V1694" s="19"/>
      <c r="W1694" s="19"/>
      <c r="X1694" s="19"/>
      <c r="Y1694" s="19"/>
      <c r="Z1694" s="19"/>
      <c r="AA1694" s="19"/>
      <c r="AB1694" s="19"/>
      <c r="FE1694" s="54"/>
    </row>
    <row r="1695" spans="1:161" s="18" customFormat="1">
      <c r="A1695" s="51"/>
      <c r="B1695" s="735"/>
      <c r="C1695" s="735"/>
      <c r="D1695" s="735"/>
      <c r="E1695" s="735"/>
      <c r="F1695" s="736"/>
      <c r="G1695" s="735"/>
      <c r="H1695" s="735"/>
      <c r="I1695" s="735"/>
      <c r="J1695" s="735"/>
      <c r="K1695" s="735"/>
      <c r="L1695" s="735"/>
      <c r="M1695" s="735"/>
      <c r="N1695" s="735"/>
      <c r="O1695" s="19"/>
      <c r="P1695" s="19"/>
      <c r="Q1695" s="19"/>
      <c r="R1695" s="19"/>
      <c r="S1695" s="19"/>
      <c r="T1695" s="19"/>
      <c r="U1695" s="19"/>
      <c r="V1695" s="19"/>
      <c r="W1695" s="19"/>
      <c r="X1695" s="19"/>
      <c r="Y1695" s="19"/>
      <c r="Z1695" s="19"/>
      <c r="AA1695" s="19"/>
      <c r="AB1695" s="19"/>
      <c r="FE1695" s="54"/>
    </row>
    <row r="1696" spans="1:161" s="18" customFormat="1">
      <c r="A1696" s="51"/>
      <c r="B1696" s="735"/>
      <c r="C1696" s="735"/>
      <c r="D1696" s="735"/>
      <c r="E1696" s="735"/>
      <c r="F1696" s="736"/>
      <c r="G1696" s="735"/>
      <c r="H1696" s="735"/>
      <c r="I1696" s="735"/>
      <c r="J1696" s="735"/>
      <c r="K1696" s="735"/>
      <c r="L1696" s="735"/>
      <c r="M1696" s="735"/>
      <c r="N1696" s="735"/>
      <c r="O1696" s="19"/>
      <c r="P1696" s="19"/>
      <c r="Q1696" s="19"/>
      <c r="R1696" s="19"/>
      <c r="S1696" s="19"/>
      <c r="T1696" s="19"/>
      <c r="U1696" s="19"/>
      <c r="V1696" s="19"/>
      <c r="W1696" s="19"/>
      <c r="X1696" s="19"/>
      <c r="Y1696" s="19"/>
      <c r="Z1696" s="19"/>
      <c r="AA1696" s="19"/>
      <c r="AB1696" s="19"/>
      <c r="FE1696" s="54"/>
    </row>
    <row r="1697" spans="1:161" s="18" customFormat="1">
      <c r="A1697" s="51"/>
      <c r="B1697" s="735"/>
      <c r="C1697" s="735"/>
      <c r="D1697" s="735"/>
      <c r="E1697" s="735"/>
      <c r="F1697" s="736"/>
      <c r="G1697" s="735"/>
      <c r="H1697" s="735"/>
      <c r="I1697" s="735"/>
      <c r="J1697" s="735"/>
      <c r="K1697" s="735"/>
      <c r="L1697" s="735"/>
      <c r="M1697" s="735"/>
      <c r="N1697" s="735"/>
      <c r="O1697" s="19"/>
      <c r="P1697" s="19"/>
      <c r="Q1697" s="19"/>
      <c r="R1697" s="19"/>
      <c r="S1697" s="19"/>
      <c r="T1697" s="19"/>
      <c r="U1697" s="19"/>
      <c r="V1697" s="19"/>
      <c r="W1697" s="19"/>
      <c r="X1697" s="19"/>
      <c r="Y1697" s="19"/>
      <c r="Z1697" s="19"/>
      <c r="AA1697" s="19"/>
      <c r="AB1697" s="19"/>
      <c r="FE1697" s="54"/>
    </row>
    <row r="1698" spans="1:161" s="18" customFormat="1">
      <c r="A1698" s="51"/>
      <c r="B1698" s="735"/>
      <c r="C1698" s="735"/>
      <c r="D1698" s="735"/>
      <c r="E1698" s="735"/>
      <c r="F1698" s="736"/>
      <c r="G1698" s="735"/>
      <c r="H1698" s="735"/>
      <c r="I1698" s="735"/>
      <c r="J1698" s="735"/>
      <c r="K1698" s="735"/>
      <c r="L1698" s="735"/>
      <c r="M1698" s="735"/>
      <c r="N1698" s="735"/>
      <c r="O1698" s="19"/>
      <c r="P1698" s="19"/>
      <c r="Q1698" s="19"/>
      <c r="R1698" s="19"/>
      <c r="S1698" s="19"/>
      <c r="T1698" s="19"/>
      <c r="U1698" s="19"/>
      <c r="V1698" s="19"/>
      <c r="W1698" s="19"/>
      <c r="X1698" s="19"/>
      <c r="Y1698" s="19"/>
      <c r="Z1698" s="19"/>
      <c r="AA1698" s="19"/>
      <c r="AB1698" s="19"/>
      <c r="FE1698" s="54"/>
    </row>
    <row r="1699" spans="1:161" s="18" customFormat="1">
      <c r="A1699" s="51"/>
      <c r="B1699" s="735"/>
      <c r="C1699" s="735"/>
      <c r="D1699" s="735"/>
      <c r="E1699" s="735"/>
      <c r="F1699" s="736"/>
      <c r="G1699" s="735"/>
      <c r="H1699" s="735"/>
      <c r="I1699" s="735"/>
      <c r="J1699" s="735"/>
      <c r="K1699" s="735"/>
      <c r="L1699" s="735"/>
      <c r="M1699" s="735"/>
      <c r="N1699" s="735"/>
      <c r="O1699" s="19"/>
      <c r="P1699" s="19"/>
      <c r="Q1699" s="19"/>
      <c r="R1699" s="19"/>
      <c r="S1699" s="19"/>
      <c r="T1699" s="19"/>
      <c r="U1699" s="19"/>
      <c r="V1699" s="19"/>
      <c r="W1699" s="19"/>
      <c r="X1699" s="19"/>
      <c r="Y1699" s="19"/>
      <c r="Z1699" s="19"/>
      <c r="AA1699" s="19"/>
      <c r="AB1699" s="19"/>
      <c r="FE1699" s="54"/>
    </row>
    <row r="1700" spans="1:161" s="18" customFormat="1">
      <c r="A1700" s="51"/>
      <c r="B1700" s="735"/>
      <c r="C1700" s="735"/>
      <c r="D1700" s="735"/>
      <c r="E1700" s="735"/>
      <c r="F1700" s="736"/>
      <c r="G1700" s="735"/>
      <c r="H1700" s="735"/>
      <c r="I1700" s="735"/>
      <c r="J1700" s="735"/>
      <c r="K1700" s="735"/>
      <c r="L1700" s="735"/>
      <c r="M1700" s="735"/>
      <c r="N1700" s="735"/>
      <c r="O1700" s="19"/>
      <c r="P1700" s="19"/>
      <c r="Q1700" s="19"/>
      <c r="R1700" s="19"/>
      <c r="S1700" s="19"/>
      <c r="T1700" s="19"/>
      <c r="U1700" s="19"/>
      <c r="V1700" s="19"/>
      <c r="W1700" s="19"/>
      <c r="X1700" s="19"/>
      <c r="Y1700" s="19"/>
      <c r="Z1700" s="19"/>
      <c r="AA1700" s="19"/>
      <c r="AB1700" s="19"/>
      <c r="FE1700" s="54"/>
    </row>
    <row r="1701" spans="1:161" s="18" customFormat="1">
      <c r="A1701" s="51"/>
      <c r="B1701" s="735"/>
      <c r="C1701" s="735"/>
      <c r="D1701" s="735"/>
      <c r="E1701" s="735"/>
      <c r="F1701" s="736"/>
      <c r="G1701" s="735"/>
      <c r="H1701" s="735"/>
      <c r="I1701" s="735"/>
      <c r="J1701" s="735"/>
      <c r="K1701" s="735"/>
      <c r="L1701" s="735"/>
      <c r="M1701" s="735"/>
      <c r="N1701" s="735"/>
      <c r="O1701" s="19"/>
      <c r="P1701" s="19"/>
      <c r="Q1701" s="19"/>
      <c r="R1701" s="19"/>
      <c r="S1701" s="19"/>
      <c r="T1701" s="19"/>
      <c r="U1701" s="19"/>
      <c r="V1701" s="19"/>
      <c r="W1701" s="19"/>
      <c r="X1701" s="19"/>
      <c r="Y1701" s="19"/>
      <c r="Z1701" s="19"/>
      <c r="AA1701" s="19"/>
      <c r="AB1701" s="19"/>
      <c r="FE1701" s="54"/>
    </row>
    <row r="1702" spans="1:161" s="18" customFormat="1">
      <c r="A1702" s="51"/>
      <c r="B1702" s="735"/>
      <c r="C1702" s="735"/>
      <c r="D1702" s="735"/>
      <c r="E1702" s="735"/>
      <c r="F1702" s="736"/>
      <c r="G1702" s="735"/>
      <c r="H1702" s="735"/>
      <c r="I1702" s="735"/>
      <c r="J1702" s="735"/>
      <c r="K1702" s="735"/>
      <c r="L1702" s="735"/>
      <c r="M1702" s="735"/>
      <c r="N1702" s="735"/>
      <c r="O1702" s="19"/>
      <c r="P1702" s="19"/>
      <c r="Q1702" s="19"/>
      <c r="R1702" s="19"/>
      <c r="S1702" s="19"/>
      <c r="T1702" s="19"/>
      <c r="U1702" s="19"/>
      <c r="V1702" s="19"/>
      <c r="W1702" s="19"/>
      <c r="X1702" s="19"/>
      <c r="Y1702" s="19"/>
      <c r="Z1702" s="19"/>
      <c r="AA1702" s="19"/>
      <c r="AB1702" s="19"/>
      <c r="FE1702" s="54"/>
    </row>
    <row r="1703" spans="1:161" s="18" customFormat="1">
      <c r="A1703" s="51"/>
      <c r="B1703" s="735"/>
      <c r="C1703" s="735"/>
      <c r="D1703" s="735"/>
      <c r="E1703" s="735"/>
      <c r="F1703" s="736"/>
      <c r="G1703" s="735"/>
      <c r="H1703" s="735"/>
      <c r="I1703" s="735"/>
      <c r="J1703" s="735"/>
      <c r="K1703" s="735"/>
      <c r="L1703" s="735"/>
      <c r="M1703" s="735"/>
      <c r="N1703" s="735"/>
      <c r="O1703" s="19"/>
      <c r="P1703" s="19"/>
      <c r="Q1703" s="19"/>
      <c r="R1703" s="19"/>
      <c r="S1703" s="19"/>
      <c r="T1703" s="19"/>
      <c r="U1703" s="19"/>
      <c r="V1703" s="19"/>
      <c r="W1703" s="19"/>
      <c r="X1703" s="19"/>
      <c r="Y1703" s="19"/>
      <c r="Z1703" s="19"/>
      <c r="AA1703" s="19"/>
      <c r="AB1703" s="19"/>
      <c r="FE1703" s="54"/>
    </row>
    <row r="1704" spans="1:161" s="18" customFormat="1">
      <c r="A1704" s="51"/>
      <c r="B1704" s="735"/>
      <c r="C1704" s="735"/>
      <c r="D1704" s="735"/>
      <c r="E1704" s="735"/>
      <c r="F1704" s="736"/>
      <c r="G1704" s="735"/>
      <c r="H1704" s="735"/>
      <c r="I1704" s="735"/>
      <c r="J1704" s="735"/>
      <c r="K1704" s="735"/>
      <c r="L1704" s="735"/>
      <c r="M1704" s="735"/>
      <c r="N1704" s="735"/>
      <c r="O1704" s="19"/>
      <c r="P1704" s="19"/>
      <c r="Q1704" s="19"/>
      <c r="R1704" s="19"/>
      <c r="S1704" s="19"/>
      <c r="T1704" s="19"/>
      <c r="U1704" s="19"/>
      <c r="V1704" s="19"/>
      <c r="W1704" s="19"/>
      <c r="X1704" s="19"/>
      <c r="Y1704" s="19"/>
      <c r="Z1704" s="19"/>
      <c r="AA1704" s="19"/>
      <c r="AB1704" s="19"/>
      <c r="FE1704" s="54"/>
    </row>
    <row r="1705" spans="1:161" s="18" customFormat="1">
      <c r="A1705" s="51"/>
      <c r="B1705" s="735"/>
      <c r="C1705" s="735"/>
      <c r="D1705" s="735"/>
      <c r="E1705" s="735"/>
      <c r="F1705" s="736"/>
      <c r="G1705" s="735"/>
      <c r="H1705" s="735"/>
      <c r="I1705" s="735"/>
      <c r="J1705" s="735"/>
      <c r="K1705" s="735"/>
      <c r="L1705" s="735"/>
      <c r="M1705" s="735"/>
      <c r="N1705" s="735"/>
      <c r="O1705" s="19"/>
      <c r="P1705" s="19"/>
      <c r="Q1705" s="19"/>
      <c r="R1705" s="19"/>
      <c r="S1705" s="19"/>
      <c r="T1705" s="19"/>
      <c r="U1705" s="19"/>
      <c r="V1705" s="19"/>
      <c r="W1705" s="19"/>
      <c r="X1705" s="19"/>
      <c r="Y1705" s="19"/>
      <c r="Z1705" s="19"/>
      <c r="AA1705" s="19"/>
      <c r="AB1705" s="19"/>
      <c r="FE1705" s="54"/>
    </row>
    <row r="1706" spans="1:161" s="18" customFormat="1">
      <c r="A1706" s="51"/>
      <c r="B1706" s="735"/>
      <c r="C1706" s="735"/>
      <c r="D1706" s="735"/>
      <c r="E1706" s="735"/>
      <c r="F1706" s="736"/>
      <c r="G1706" s="735"/>
      <c r="H1706" s="735"/>
      <c r="I1706" s="735"/>
      <c r="J1706" s="735"/>
      <c r="K1706" s="735"/>
      <c r="L1706" s="735"/>
      <c r="M1706" s="735"/>
      <c r="N1706" s="735"/>
      <c r="O1706" s="19"/>
      <c r="P1706" s="19"/>
      <c r="Q1706" s="19"/>
      <c r="R1706" s="19"/>
      <c r="S1706" s="19"/>
      <c r="T1706" s="19"/>
      <c r="U1706" s="19"/>
      <c r="V1706" s="19"/>
      <c r="W1706" s="19"/>
      <c r="X1706" s="19"/>
      <c r="Y1706" s="19"/>
      <c r="Z1706" s="19"/>
      <c r="AA1706" s="19"/>
      <c r="AB1706" s="19"/>
      <c r="FE1706" s="54"/>
    </row>
    <row r="1707" spans="1:161" s="18" customFormat="1">
      <c r="A1707" s="51"/>
      <c r="B1707" s="735"/>
      <c r="C1707" s="735"/>
      <c r="D1707" s="735"/>
      <c r="E1707" s="735"/>
      <c r="F1707" s="736"/>
      <c r="G1707" s="735"/>
      <c r="H1707" s="735"/>
      <c r="I1707" s="735"/>
      <c r="J1707" s="735"/>
      <c r="K1707" s="735"/>
      <c r="L1707" s="735"/>
      <c r="M1707" s="735"/>
      <c r="N1707" s="735"/>
      <c r="O1707" s="19"/>
      <c r="P1707" s="19"/>
      <c r="Q1707" s="19"/>
      <c r="R1707" s="19"/>
      <c r="S1707" s="19"/>
      <c r="T1707" s="19"/>
      <c r="U1707" s="19"/>
      <c r="V1707" s="19"/>
      <c r="W1707" s="19"/>
      <c r="X1707" s="19"/>
      <c r="Y1707" s="19"/>
      <c r="Z1707" s="19"/>
      <c r="AA1707" s="19"/>
      <c r="AB1707" s="19"/>
      <c r="FE1707" s="54"/>
    </row>
    <row r="1708" spans="1:161" s="18" customFormat="1">
      <c r="A1708" s="51"/>
      <c r="B1708" s="735"/>
      <c r="C1708" s="735"/>
      <c r="D1708" s="735"/>
      <c r="E1708" s="735"/>
      <c r="F1708" s="736"/>
      <c r="G1708" s="735"/>
      <c r="H1708" s="735"/>
      <c r="I1708" s="735"/>
      <c r="J1708" s="735"/>
      <c r="K1708" s="735"/>
      <c r="L1708" s="735"/>
      <c r="M1708" s="735"/>
      <c r="N1708" s="735"/>
      <c r="O1708" s="19"/>
      <c r="P1708" s="19"/>
      <c r="Q1708" s="19"/>
      <c r="R1708" s="19"/>
      <c r="S1708" s="19"/>
      <c r="T1708" s="19"/>
      <c r="U1708" s="19"/>
      <c r="V1708" s="19"/>
      <c r="W1708" s="19"/>
      <c r="X1708" s="19"/>
      <c r="Y1708" s="19"/>
      <c r="Z1708" s="19"/>
      <c r="AA1708" s="19"/>
      <c r="AB1708" s="19"/>
      <c r="FE1708" s="54"/>
    </row>
    <row r="1709" spans="1:161" s="18" customFormat="1">
      <c r="A1709" s="51"/>
      <c r="B1709" s="735"/>
      <c r="C1709" s="735"/>
      <c r="D1709" s="735"/>
      <c r="E1709" s="735"/>
      <c r="F1709" s="736"/>
      <c r="G1709" s="735"/>
      <c r="H1709" s="735"/>
      <c r="I1709" s="735"/>
      <c r="J1709" s="735"/>
      <c r="K1709" s="735"/>
      <c r="L1709" s="735"/>
      <c r="M1709" s="735"/>
      <c r="N1709" s="735"/>
      <c r="O1709" s="19"/>
      <c r="P1709" s="19"/>
      <c r="Q1709" s="19"/>
      <c r="R1709" s="19"/>
      <c r="S1709" s="19"/>
      <c r="T1709" s="19"/>
      <c r="U1709" s="19"/>
      <c r="V1709" s="19"/>
      <c r="W1709" s="19"/>
      <c r="X1709" s="19"/>
      <c r="Y1709" s="19"/>
      <c r="Z1709" s="19"/>
      <c r="AA1709" s="19"/>
      <c r="AB1709" s="19"/>
      <c r="FE1709" s="54"/>
    </row>
    <row r="1710" spans="1:161" s="18" customFormat="1">
      <c r="A1710" s="51"/>
      <c r="B1710" s="735"/>
      <c r="C1710" s="735"/>
      <c r="D1710" s="735"/>
      <c r="E1710" s="735"/>
      <c r="F1710" s="736"/>
      <c r="G1710" s="735"/>
      <c r="H1710" s="735"/>
      <c r="I1710" s="735"/>
      <c r="J1710" s="735"/>
      <c r="K1710" s="735"/>
      <c r="L1710" s="735"/>
      <c r="M1710" s="735"/>
      <c r="N1710" s="735"/>
      <c r="O1710" s="19"/>
      <c r="P1710" s="19"/>
      <c r="Q1710" s="19"/>
      <c r="R1710" s="19"/>
      <c r="S1710" s="19"/>
      <c r="T1710" s="19"/>
      <c r="U1710" s="19"/>
      <c r="V1710" s="19"/>
      <c r="W1710" s="19"/>
      <c r="X1710" s="19"/>
      <c r="Y1710" s="19"/>
      <c r="Z1710" s="19"/>
      <c r="AA1710" s="19"/>
      <c r="AB1710" s="19"/>
      <c r="FE1710" s="54"/>
    </row>
    <row r="1711" spans="1:161" s="18" customFormat="1">
      <c r="A1711" s="51"/>
      <c r="B1711" s="735"/>
      <c r="C1711" s="735"/>
      <c r="D1711" s="735"/>
      <c r="E1711" s="735"/>
      <c r="F1711" s="736"/>
      <c r="G1711" s="735"/>
      <c r="H1711" s="735"/>
      <c r="I1711" s="735"/>
      <c r="J1711" s="735"/>
      <c r="K1711" s="735"/>
      <c r="L1711" s="735"/>
      <c r="M1711" s="735"/>
      <c r="N1711" s="735"/>
      <c r="O1711" s="19"/>
      <c r="P1711" s="19"/>
      <c r="Q1711" s="19"/>
      <c r="R1711" s="19"/>
      <c r="S1711" s="19"/>
      <c r="T1711" s="19"/>
      <c r="U1711" s="19"/>
      <c r="V1711" s="19"/>
      <c r="W1711" s="19"/>
      <c r="X1711" s="19"/>
      <c r="Y1711" s="19"/>
      <c r="Z1711" s="19"/>
      <c r="AA1711" s="19"/>
      <c r="AB1711" s="19"/>
      <c r="FE1711" s="54"/>
    </row>
    <row r="1712" spans="1:161" s="18" customFormat="1">
      <c r="A1712" s="51"/>
      <c r="B1712" s="735"/>
      <c r="C1712" s="735"/>
      <c r="D1712" s="735"/>
      <c r="E1712" s="735"/>
      <c r="F1712" s="736"/>
      <c r="G1712" s="735"/>
      <c r="H1712" s="735"/>
      <c r="I1712" s="735"/>
      <c r="J1712" s="735"/>
      <c r="K1712" s="735"/>
      <c r="L1712" s="735"/>
      <c r="M1712" s="735"/>
      <c r="N1712" s="735"/>
      <c r="O1712" s="19"/>
      <c r="P1712" s="19"/>
      <c r="Q1712" s="19"/>
      <c r="R1712" s="19"/>
      <c r="S1712" s="19"/>
      <c r="T1712" s="19"/>
      <c r="U1712" s="19"/>
      <c r="V1712" s="19"/>
      <c r="W1712" s="19"/>
      <c r="X1712" s="19"/>
      <c r="Y1712" s="19"/>
      <c r="Z1712" s="19"/>
      <c r="AA1712" s="19"/>
      <c r="AB1712" s="19"/>
      <c r="FE1712" s="54"/>
    </row>
    <row r="1713" spans="1:161" s="18" customFormat="1">
      <c r="A1713" s="51"/>
      <c r="B1713" s="735"/>
      <c r="C1713" s="735"/>
      <c r="D1713" s="735"/>
      <c r="E1713" s="735"/>
      <c r="F1713" s="736"/>
      <c r="G1713" s="735"/>
      <c r="H1713" s="735"/>
      <c r="I1713" s="735"/>
      <c r="J1713" s="735"/>
      <c r="K1713" s="735"/>
      <c r="L1713" s="735"/>
      <c r="M1713" s="735"/>
      <c r="N1713" s="735"/>
      <c r="O1713" s="19"/>
      <c r="P1713" s="19"/>
      <c r="Q1713" s="19"/>
      <c r="R1713" s="19"/>
      <c r="S1713" s="19"/>
      <c r="T1713" s="19"/>
      <c r="U1713" s="19"/>
      <c r="V1713" s="19"/>
      <c r="W1713" s="19"/>
      <c r="X1713" s="19"/>
      <c r="Y1713" s="19"/>
      <c r="Z1713" s="19"/>
      <c r="AA1713" s="19"/>
      <c r="AB1713" s="19"/>
      <c r="FE1713" s="54"/>
    </row>
    <row r="1714" spans="1:161" s="18" customFormat="1">
      <c r="A1714" s="51"/>
      <c r="B1714" s="735"/>
      <c r="C1714" s="735"/>
      <c r="D1714" s="735"/>
      <c r="E1714" s="735"/>
      <c r="F1714" s="736"/>
      <c r="G1714" s="735"/>
      <c r="H1714" s="735"/>
      <c r="I1714" s="735"/>
      <c r="J1714" s="735"/>
      <c r="K1714" s="735"/>
      <c r="L1714" s="735"/>
      <c r="M1714" s="735"/>
      <c r="N1714" s="735"/>
      <c r="O1714" s="19"/>
      <c r="P1714" s="19"/>
      <c r="Q1714" s="19"/>
      <c r="R1714" s="19"/>
      <c r="S1714" s="19"/>
      <c r="T1714" s="19"/>
      <c r="U1714" s="19"/>
      <c r="V1714" s="19"/>
      <c r="W1714" s="19"/>
      <c r="X1714" s="19"/>
      <c r="Y1714" s="19"/>
      <c r="Z1714" s="19"/>
      <c r="AA1714" s="19"/>
      <c r="AB1714" s="19"/>
      <c r="FE1714" s="54"/>
    </row>
    <row r="1715" spans="1:161" s="18" customFormat="1">
      <c r="A1715" s="51"/>
      <c r="B1715" s="735"/>
      <c r="C1715" s="735"/>
      <c r="D1715" s="735"/>
      <c r="E1715" s="735"/>
      <c r="F1715" s="736"/>
      <c r="G1715" s="735"/>
      <c r="H1715" s="735"/>
      <c r="I1715" s="735"/>
      <c r="J1715" s="735"/>
      <c r="K1715" s="735"/>
      <c r="L1715" s="735"/>
      <c r="M1715" s="735"/>
      <c r="N1715" s="735"/>
      <c r="O1715" s="19"/>
      <c r="P1715" s="19"/>
      <c r="Q1715" s="19"/>
      <c r="R1715" s="19"/>
      <c r="S1715" s="19"/>
      <c r="T1715" s="19"/>
      <c r="U1715" s="19"/>
      <c r="V1715" s="19"/>
      <c r="W1715" s="19"/>
      <c r="X1715" s="19"/>
      <c r="Y1715" s="19"/>
      <c r="Z1715" s="19"/>
      <c r="AA1715" s="19"/>
      <c r="AB1715" s="19"/>
      <c r="FE1715" s="54"/>
    </row>
    <row r="1716" spans="1:161" s="18" customFormat="1">
      <c r="A1716" s="51"/>
      <c r="B1716" s="735"/>
      <c r="C1716" s="735"/>
      <c r="D1716" s="735"/>
      <c r="E1716" s="735"/>
      <c r="F1716" s="736"/>
      <c r="G1716" s="735"/>
      <c r="H1716" s="735"/>
      <c r="I1716" s="735"/>
      <c r="J1716" s="735"/>
      <c r="K1716" s="735"/>
      <c r="L1716" s="735"/>
      <c r="M1716" s="735"/>
      <c r="N1716" s="735"/>
      <c r="O1716" s="19"/>
      <c r="P1716" s="19"/>
      <c r="Q1716" s="19"/>
      <c r="R1716" s="19"/>
      <c r="S1716" s="19"/>
      <c r="T1716" s="19"/>
      <c r="U1716" s="19"/>
      <c r="V1716" s="19"/>
      <c r="W1716" s="19"/>
      <c r="X1716" s="19"/>
      <c r="Y1716" s="19"/>
      <c r="Z1716" s="19"/>
      <c r="AA1716" s="19"/>
      <c r="AB1716" s="19"/>
      <c r="FE1716" s="54"/>
    </row>
    <row r="1717" spans="1:161" s="18" customFormat="1">
      <c r="A1717" s="51"/>
      <c r="B1717" s="735"/>
      <c r="C1717" s="735"/>
      <c r="D1717" s="735"/>
      <c r="E1717" s="735"/>
      <c r="F1717" s="736"/>
      <c r="G1717" s="735"/>
      <c r="H1717" s="735"/>
      <c r="I1717" s="735"/>
      <c r="J1717" s="735"/>
      <c r="K1717" s="735"/>
      <c r="L1717" s="735"/>
      <c r="M1717" s="735"/>
      <c r="N1717" s="735"/>
      <c r="O1717" s="19"/>
      <c r="P1717" s="19"/>
      <c r="Q1717" s="19"/>
      <c r="R1717" s="19"/>
      <c r="S1717" s="19"/>
      <c r="T1717" s="19"/>
      <c r="U1717" s="19"/>
      <c r="V1717" s="19"/>
      <c r="W1717" s="19"/>
      <c r="X1717" s="19"/>
      <c r="Y1717" s="19"/>
      <c r="Z1717" s="19"/>
      <c r="AA1717" s="19"/>
      <c r="AB1717" s="19"/>
      <c r="FE1717" s="54"/>
    </row>
    <row r="1718" spans="1:161" s="18" customFormat="1">
      <c r="A1718" s="51"/>
      <c r="B1718" s="735"/>
      <c r="C1718" s="735"/>
      <c r="D1718" s="735"/>
      <c r="E1718" s="735"/>
      <c r="F1718" s="736"/>
      <c r="G1718" s="735"/>
      <c r="H1718" s="735"/>
      <c r="I1718" s="735"/>
      <c r="J1718" s="735"/>
      <c r="K1718" s="735"/>
      <c r="L1718" s="735"/>
      <c r="M1718" s="735"/>
      <c r="N1718" s="735"/>
      <c r="O1718" s="19"/>
      <c r="P1718" s="19"/>
      <c r="Q1718" s="19"/>
      <c r="R1718" s="19"/>
      <c r="S1718" s="19"/>
      <c r="T1718" s="19"/>
      <c r="U1718" s="19"/>
      <c r="V1718" s="19"/>
      <c r="W1718" s="19"/>
      <c r="X1718" s="19"/>
      <c r="Y1718" s="19"/>
      <c r="Z1718" s="19"/>
      <c r="AA1718" s="19"/>
      <c r="AB1718" s="19"/>
      <c r="FE1718" s="54"/>
    </row>
    <row r="1719" spans="1:161" s="18" customFormat="1">
      <c r="A1719" s="51"/>
      <c r="B1719" s="735"/>
      <c r="C1719" s="735"/>
      <c r="D1719" s="735"/>
      <c r="E1719" s="735"/>
      <c r="F1719" s="736"/>
      <c r="G1719" s="735"/>
      <c r="H1719" s="735"/>
      <c r="I1719" s="735"/>
      <c r="J1719" s="735"/>
      <c r="K1719" s="735"/>
      <c r="L1719" s="735"/>
      <c r="M1719" s="735"/>
      <c r="N1719" s="735"/>
      <c r="O1719" s="19"/>
      <c r="P1719" s="19"/>
      <c r="Q1719" s="19"/>
      <c r="R1719" s="19"/>
      <c r="S1719" s="19"/>
      <c r="T1719" s="19"/>
      <c r="U1719" s="19"/>
      <c r="V1719" s="19"/>
      <c r="W1719" s="19"/>
      <c r="X1719" s="19"/>
      <c r="Y1719" s="19"/>
      <c r="Z1719" s="19"/>
      <c r="AA1719" s="19"/>
      <c r="AB1719" s="19"/>
      <c r="FE1719" s="54"/>
    </row>
    <row r="1720" spans="1:161" s="18" customFormat="1">
      <c r="A1720" s="51"/>
      <c r="B1720" s="735"/>
      <c r="C1720" s="735"/>
      <c r="D1720" s="735"/>
      <c r="E1720" s="735"/>
      <c r="F1720" s="736"/>
      <c r="G1720" s="735"/>
      <c r="H1720" s="735"/>
      <c r="I1720" s="735"/>
      <c r="J1720" s="735"/>
      <c r="K1720" s="735"/>
      <c r="L1720" s="735"/>
      <c r="M1720" s="735"/>
      <c r="N1720" s="735"/>
      <c r="O1720" s="19"/>
      <c r="P1720" s="19"/>
      <c r="Q1720" s="19"/>
      <c r="R1720" s="19"/>
      <c r="S1720" s="19"/>
      <c r="T1720" s="19"/>
      <c r="U1720" s="19"/>
      <c r="V1720" s="19"/>
      <c r="W1720" s="19"/>
      <c r="X1720" s="19"/>
      <c r="Y1720" s="19"/>
      <c r="Z1720" s="19"/>
      <c r="AA1720" s="19"/>
      <c r="AB1720" s="19"/>
      <c r="FE1720" s="54"/>
    </row>
    <row r="1721" spans="1:161" s="18" customFormat="1">
      <c r="A1721" s="51"/>
      <c r="B1721" s="735"/>
      <c r="C1721" s="735"/>
      <c r="D1721" s="735"/>
      <c r="E1721" s="735"/>
      <c r="F1721" s="736"/>
      <c r="G1721" s="735"/>
      <c r="H1721" s="735"/>
      <c r="I1721" s="735"/>
      <c r="J1721" s="735"/>
      <c r="K1721" s="735"/>
      <c r="L1721" s="735"/>
      <c r="M1721" s="735"/>
      <c r="N1721" s="735"/>
      <c r="O1721" s="19"/>
      <c r="P1721" s="19"/>
      <c r="Q1721" s="19"/>
      <c r="R1721" s="19"/>
      <c r="S1721" s="19"/>
      <c r="T1721" s="19"/>
      <c r="U1721" s="19"/>
      <c r="V1721" s="19"/>
      <c r="W1721" s="19"/>
      <c r="X1721" s="19"/>
      <c r="Y1721" s="19"/>
      <c r="Z1721" s="19"/>
      <c r="AA1721" s="19"/>
      <c r="AB1721" s="19"/>
      <c r="FE1721" s="54"/>
    </row>
    <row r="1722" spans="1:161" s="18" customFormat="1">
      <c r="A1722" s="51"/>
      <c r="B1722" s="735"/>
      <c r="C1722" s="735"/>
      <c r="D1722" s="735"/>
      <c r="E1722" s="735"/>
      <c r="F1722" s="736"/>
      <c r="G1722" s="735"/>
      <c r="H1722" s="735"/>
      <c r="I1722" s="735"/>
      <c r="J1722" s="735"/>
      <c r="K1722" s="735"/>
      <c r="L1722" s="735"/>
      <c r="M1722" s="735"/>
      <c r="N1722" s="735"/>
      <c r="O1722" s="19"/>
      <c r="P1722" s="19"/>
      <c r="Q1722" s="19"/>
      <c r="R1722" s="19"/>
      <c r="S1722" s="19"/>
      <c r="T1722" s="19"/>
      <c r="U1722" s="19"/>
      <c r="V1722" s="19"/>
      <c r="W1722" s="19"/>
      <c r="X1722" s="19"/>
      <c r="Y1722" s="19"/>
      <c r="Z1722" s="19"/>
      <c r="AA1722" s="19"/>
      <c r="AB1722" s="19"/>
      <c r="FE1722" s="54"/>
    </row>
    <row r="1723" spans="1:161" s="18" customFormat="1">
      <c r="A1723" s="51"/>
      <c r="B1723" s="735"/>
      <c r="C1723" s="735"/>
      <c r="D1723" s="735"/>
      <c r="E1723" s="735"/>
      <c r="F1723" s="736"/>
      <c r="G1723" s="735"/>
      <c r="H1723" s="735"/>
      <c r="I1723" s="735"/>
      <c r="J1723" s="735"/>
      <c r="K1723" s="735"/>
      <c r="L1723" s="735"/>
      <c r="M1723" s="735"/>
      <c r="N1723" s="735"/>
      <c r="O1723" s="19"/>
      <c r="P1723" s="19"/>
      <c r="Q1723" s="19"/>
      <c r="R1723" s="19"/>
      <c r="S1723" s="19"/>
      <c r="T1723" s="19"/>
      <c r="U1723" s="19"/>
      <c r="V1723" s="19"/>
      <c r="W1723" s="19"/>
      <c r="X1723" s="19"/>
      <c r="Y1723" s="19"/>
      <c r="Z1723" s="19"/>
      <c r="AA1723" s="19"/>
      <c r="AB1723" s="19"/>
      <c r="FE1723" s="54"/>
    </row>
    <row r="1724" spans="1:161" s="18" customFormat="1">
      <c r="A1724" s="51"/>
      <c r="B1724" s="735"/>
      <c r="C1724" s="735"/>
      <c r="D1724" s="735"/>
      <c r="E1724" s="735"/>
      <c r="F1724" s="736"/>
      <c r="G1724" s="735"/>
      <c r="H1724" s="735"/>
      <c r="I1724" s="735"/>
      <c r="J1724" s="735"/>
      <c r="K1724" s="735"/>
      <c r="L1724" s="735"/>
      <c r="M1724" s="735"/>
      <c r="N1724" s="735"/>
      <c r="O1724" s="19"/>
      <c r="P1724" s="19"/>
      <c r="Q1724" s="19"/>
      <c r="R1724" s="19"/>
      <c r="S1724" s="19"/>
      <c r="T1724" s="19"/>
      <c r="U1724" s="19"/>
      <c r="V1724" s="19"/>
      <c r="W1724" s="19"/>
      <c r="X1724" s="19"/>
      <c r="Y1724" s="19"/>
      <c r="Z1724" s="19"/>
      <c r="AA1724" s="19"/>
      <c r="AB1724" s="19"/>
      <c r="FE1724" s="54"/>
    </row>
    <row r="1725" spans="1:161" s="18" customFormat="1">
      <c r="A1725" s="51"/>
      <c r="B1725" s="735"/>
      <c r="C1725" s="735"/>
      <c r="D1725" s="735"/>
      <c r="E1725" s="735"/>
      <c r="F1725" s="736"/>
      <c r="G1725" s="735"/>
      <c r="H1725" s="735"/>
      <c r="I1725" s="735"/>
      <c r="J1725" s="735"/>
      <c r="K1725" s="735"/>
      <c r="L1725" s="735"/>
      <c r="M1725" s="735"/>
      <c r="N1725" s="735"/>
      <c r="O1725" s="19"/>
      <c r="P1725" s="19"/>
      <c r="Q1725" s="19"/>
      <c r="R1725" s="19"/>
      <c r="S1725" s="19"/>
      <c r="T1725" s="19"/>
      <c r="U1725" s="19"/>
      <c r="V1725" s="19"/>
      <c r="W1725" s="19"/>
      <c r="X1725" s="19"/>
      <c r="Y1725" s="19"/>
      <c r="Z1725" s="19"/>
      <c r="AA1725" s="19"/>
      <c r="AB1725" s="19"/>
      <c r="FE1725" s="54"/>
    </row>
    <row r="1726" spans="1:161" s="18" customFormat="1">
      <c r="A1726" s="51"/>
      <c r="B1726" s="735"/>
      <c r="C1726" s="735"/>
      <c r="D1726" s="735"/>
      <c r="E1726" s="735"/>
      <c r="F1726" s="736"/>
      <c r="G1726" s="735"/>
      <c r="H1726" s="735"/>
      <c r="I1726" s="735"/>
      <c r="J1726" s="735"/>
      <c r="K1726" s="735"/>
      <c r="L1726" s="735"/>
      <c r="M1726" s="735"/>
      <c r="N1726" s="735"/>
      <c r="O1726" s="19"/>
      <c r="P1726" s="19"/>
      <c r="Q1726" s="19"/>
      <c r="R1726" s="19"/>
      <c r="S1726" s="19"/>
      <c r="T1726" s="19"/>
      <c r="U1726" s="19"/>
      <c r="V1726" s="19"/>
      <c r="W1726" s="19"/>
      <c r="X1726" s="19"/>
      <c r="Y1726" s="19"/>
      <c r="Z1726" s="19"/>
      <c r="AA1726" s="19"/>
      <c r="AB1726" s="19"/>
      <c r="FE1726" s="54"/>
    </row>
    <row r="1727" spans="1:161" s="18" customFormat="1">
      <c r="A1727" s="51"/>
      <c r="B1727" s="735"/>
      <c r="C1727" s="735"/>
      <c r="D1727" s="735"/>
      <c r="E1727" s="735"/>
      <c r="F1727" s="736"/>
      <c r="G1727" s="735"/>
      <c r="H1727" s="735"/>
      <c r="I1727" s="735"/>
      <c r="J1727" s="735"/>
      <c r="K1727" s="735"/>
      <c r="L1727" s="735"/>
      <c r="M1727" s="735"/>
      <c r="N1727" s="735"/>
      <c r="O1727" s="19"/>
      <c r="P1727" s="19"/>
      <c r="Q1727" s="19"/>
      <c r="R1727" s="19"/>
      <c r="S1727" s="19"/>
      <c r="T1727" s="19"/>
      <c r="U1727" s="19"/>
      <c r="V1727" s="19"/>
      <c r="W1727" s="19"/>
      <c r="X1727" s="19"/>
      <c r="Y1727" s="19"/>
      <c r="Z1727" s="19"/>
      <c r="AA1727" s="19"/>
      <c r="AB1727" s="19"/>
      <c r="FE1727" s="54"/>
    </row>
    <row r="1728" spans="1:161" s="18" customFormat="1">
      <c r="A1728" s="51"/>
      <c r="B1728" s="735"/>
      <c r="C1728" s="735"/>
      <c r="D1728" s="735"/>
      <c r="E1728" s="735"/>
      <c r="F1728" s="736"/>
      <c r="G1728" s="735"/>
      <c r="H1728" s="735"/>
      <c r="I1728" s="735"/>
      <c r="J1728" s="735"/>
      <c r="K1728" s="735"/>
      <c r="L1728" s="735"/>
      <c r="M1728" s="735"/>
      <c r="N1728" s="735"/>
      <c r="O1728" s="19"/>
      <c r="P1728" s="19"/>
      <c r="Q1728" s="19"/>
      <c r="R1728" s="19"/>
      <c r="S1728" s="19"/>
      <c r="T1728" s="19"/>
      <c r="U1728" s="19"/>
      <c r="V1728" s="19"/>
      <c r="W1728" s="19"/>
      <c r="X1728" s="19"/>
      <c r="Y1728" s="19"/>
      <c r="Z1728" s="19"/>
      <c r="AA1728" s="19"/>
      <c r="AB1728" s="19"/>
      <c r="FE1728" s="54"/>
    </row>
    <row r="1729" spans="1:161" s="18" customFormat="1">
      <c r="A1729" s="51"/>
      <c r="B1729" s="735"/>
      <c r="C1729" s="735"/>
      <c r="D1729" s="735"/>
      <c r="E1729" s="735"/>
      <c r="F1729" s="736"/>
      <c r="G1729" s="735"/>
      <c r="H1729" s="735"/>
      <c r="I1729" s="735"/>
      <c r="J1729" s="735"/>
      <c r="K1729" s="735"/>
      <c r="L1729" s="735"/>
      <c r="M1729" s="735"/>
      <c r="N1729" s="735"/>
      <c r="O1729" s="19"/>
      <c r="P1729" s="19"/>
      <c r="Q1729" s="19"/>
      <c r="R1729" s="19"/>
      <c r="S1729" s="19"/>
      <c r="T1729" s="19"/>
      <c r="U1729" s="19"/>
      <c r="V1729" s="19"/>
      <c r="W1729" s="19"/>
      <c r="X1729" s="19"/>
      <c r="Y1729" s="19"/>
      <c r="Z1729" s="19"/>
      <c r="AA1729" s="19"/>
      <c r="AB1729" s="19"/>
      <c r="FE1729" s="54"/>
    </row>
    <row r="1730" spans="1:161" s="18" customFormat="1">
      <c r="A1730" s="51"/>
      <c r="B1730" s="735"/>
      <c r="C1730" s="735"/>
      <c r="D1730" s="735"/>
      <c r="E1730" s="735"/>
      <c r="F1730" s="736"/>
      <c r="G1730" s="735"/>
      <c r="H1730" s="735"/>
      <c r="I1730" s="735"/>
      <c r="J1730" s="735"/>
      <c r="K1730" s="735"/>
      <c r="L1730" s="735"/>
      <c r="M1730" s="735"/>
      <c r="N1730" s="735"/>
      <c r="O1730" s="19"/>
      <c r="P1730" s="19"/>
      <c r="Q1730" s="19"/>
      <c r="R1730" s="19"/>
      <c r="S1730" s="19"/>
      <c r="T1730" s="19"/>
      <c r="U1730" s="19"/>
      <c r="V1730" s="19"/>
      <c r="W1730" s="19"/>
      <c r="X1730" s="19"/>
      <c r="Y1730" s="19"/>
      <c r="Z1730" s="19"/>
      <c r="AA1730" s="19"/>
      <c r="AB1730" s="19"/>
      <c r="FE1730" s="54"/>
    </row>
    <row r="1731" spans="1:161" s="18" customFormat="1">
      <c r="A1731" s="51"/>
      <c r="B1731" s="735"/>
      <c r="C1731" s="735"/>
      <c r="D1731" s="735"/>
      <c r="E1731" s="735"/>
      <c r="F1731" s="736"/>
      <c r="G1731" s="735"/>
      <c r="H1731" s="735"/>
      <c r="I1731" s="735"/>
      <c r="J1731" s="735"/>
      <c r="K1731" s="735"/>
      <c r="L1731" s="735"/>
      <c r="M1731" s="735"/>
      <c r="N1731" s="735"/>
      <c r="O1731" s="19"/>
      <c r="P1731" s="19"/>
      <c r="Q1731" s="19"/>
      <c r="R1731" s="19"/>
      <c r="S1731" s="19"/>
      <c r="T1731" s="19"/>
      <c r="U1731" s="19"/>
      <c r="V1731" s="19"/>
      <c r="W1731" s="19"/>
      <c r="X1731" s="19"/>
      <c r="Y1731" s="19"/>
      <c r="Z1731" s="19"/>
      <c r="AA1731" s="19"/>
      <c r="AB1731" s="19"/>
      <c r="FE1731" s="54"/>
    </row>
    <row r="1732" spans="1:161" s="18" customFormat="1">
      <c r="A1732" s="51"/>
      <c r="B1732" s="735"/>
      <c r="C1732" s="735"/>
      <c r="D1732" s="735" t="s">
        <v>11</v>
      </c>
      <c r="E1732" s="735"/>
      <c r="F1732" s="736"/>
      <c r="G1732" s="735"/>
      <c r="H1732" s="735"/>
      <c r="I1732" s="735"/>
      <c r="J1732" s="735"/>
      <c r="K1732" s="735"/>
      <c r="L1732" s="735"/>
      <c r="M1732" s="735"/>
      <c r="N1732" s="735"/>
      <c r="O1732" s="19"/>
      <c r="P1732" s="19"/>
      <c r="Q1732" s="19"/>
      <c r="R1732" s="19"/>
      <c r="S1732" s="19"/>
      <c r="T1732" s="19"/>
      <c r="U1732" s="19"/>
      <c r="V1732" s="19"/>
      <c r="W1732" s="19"/>
      <c r="X1732" s="19"/>
      <c r="Y1732" s="19"/>
      <c r="Z1732" s="19"/>
      <c r="AA1732" s="19"/>
      <c r="AB1732" s="19"/>
      <c r="FE1732" s="54"/>
    </row>
  </sheetData>
  <sheetProtection password="ECEC" sheet="1" insertRows="0"/>
  <customSheetViews>
    <customSheetView guid="{9FD33A57-86F0-4BF5-A6C0-5833A5B59516}" showGridLines="0" fitToPage="1">
      <pane xSplit="2" ySplit="3" topLeftCell="C4" activePane="bottomRight" state="frozen"/>
      <selection pane="bottomRight" activeCell="B9" sqref="B9"/>
      <pageMargins left="0.43307086614173201" right="0.43307086614173201" top="0.55118110236220497" bottom="0.55118110236220497" header="0.23622047244094499" footer="0.23622047244094499"/>
      <printOptions horizontalCentered="1"/>
      <pageSetup paperSize="9" scale="55" orientation="landscape" horizontalDpi="300" verticalDpi="300" r:id="rId1"/>
      <headerFooter alignWithMargins="0">
        <oddHeader>&amp;C&amp;"Verdana,Bold"&amp;12DAILY PRODUCTION REPORT - RAZZAK FIELDS</oddHeader>
        <oddFooter>&amp;CPage &amp;P</oddFooter>
      </headerFooter>
    </customSheetView>
  </customSheetViews>
  <mergeCells count="5">
    <mergeCell ref="F2:N2"/>
    <mergeCell ref="B2:B3"/>
    <mergeCell ref="C2:C3"/>
    <mergeCell ref="D2:D3"/>
    <mergeCell ref="E2:E3"/>
  </mergeCells>
  <phoneticPr fontId="153" type="noConversion"/>
  <conditionalFormatting sqref="B3 B5:B22 B24:B47">
    <cfRule type="expression" dxfId="148" priority="60" stopIfTrue="1">
      <formula>$C3="SI"</formula>
    </cfRule>
  </conditionalFormatting>
  <conditionalFormatting sqref="C4:C22 G5:G22 D5:D47 C24:C47 G24:G47">
    <cfRule type="expression" dxfId="147" priority="59" stopIfTrue="1">
      <formula>OR($C4="SI",$C4="T&amp;A")</formula>
    </cfRule>
  </conditionalFormatting>
  <conditionalFormatting sqref="C4:C22 G5:G22 D5:D47 C24:C47 G24:G47">
    <cfRule type="expression" dxfId="146" priority="58" stopIfTrue="1">
      <formula>OR($C4="SI",$C4="T&amp;A")</formula>
    </cfRule>
  </conditionalFormatting>
  <conditionalFormatting sqref="B4">
    <cfRule type="expression" dxfId="145" priority="57" stopIfTrue="1">
      <formula>$C4="SI"</formula>
    </cfRule>
  </conditionalFormatting>
  <conditionalFormatting sqref="B4">
    <cfRule type="expression" dxfId="144" priority="56" stopIfTrue="1">
      <formula>$C4="SI"</formula>
    </cfRule>
  </conditionalFormatting>
  <conditionalFormatting sqref="G4">
    <cfRule type="expression" dxfId="143" priority="55" stopIfTrue="1">
      <formula>OR($C4="SI",$C4="T&amp;A")</formula>
    </cfRule>
  </conditionalFormatting>
  <conditionalFormatting sqref="G4">
    <cfRule type="expression" dxfId="142" priority="54" stopIfTrue="1">
      <formula>OR($C4="SI",$C4="T&amp;A")</formula>
    </cfRule>
  </conditionalFormatting>
  <conditionalFormatting sqref="D4 G4">
    <cfRule type="expression" dxfId="141" priority="53" stopIfTrue="1">
      <formula>OR($C4="SI",$C4="T&amp;A")</formula>
    </cfRule>
  </conditionalFormatting>
  <conditionalFormatting sqref="D4 G4">
    <cfRule type="expression" dxfId="140" priority="52" stopIfTrue="1">
      <formula>OR($C4="SI",$C4="T&amp;A")</formula>
    </cfRule>
  </conditionalFormatting>
  <conditionalFormatting sqref="D4 G4">
    <cfRule type="expression" dxfId="139" priority="51" stopIfTrue="1">
      <formula>OR($C4="SI",$C4="T&amp;A")</formula>
    </cfRule>
  </conditionalFormatting>
  <conditionalFormatting sqref="D4 G4">
    <cfRule type="expression" dxfId="138" priority="50" stopIfTrue="1">
      <formula>OR($C4="SI",$C4="T&amp;A")</formula>
    </cfRule>
  </conditionalFormatting>
  <conditionalFormatting sqref="D4">
    <cfRule type="expression" dxfId="137" priority="49" stopIfTrue="1">
      <formula>OR($C4="SI",$C4="T&amp;A")</formula>
    </cfRule>
  </conditionalFormatting>
  <conditionalFormatting sqref="D4">
    <cfRule type="expression" dxfId="136" priority="48" stopIfTrue="1">
      <formula>OR($C4="SI",$C4="T&amp;A")</formula>
    </cfRule>
  </conditionalFormatting>
  <conditionalFormatting sqref="D4:D47">
    <cfRule type="expression" dxfId="135" priority="47" stopIfTrue="1">
      <formula>$D4="SI"</formula>
    </cfRule>
  </conditionalFormatting>
  <conditionalFormatting sqref="C23">
    <cfRule type="expression" dxfId="134" priority="33" stopIfTrue="1">
      <formula>OR($C23="SI",$C23="T&amp;A")</formula>
    </cfRule>
  </conditionalFormatting>
  <conditionalFormatting sqref="C23">
    <cfRule type="expression" dxfId="133" priority="32" stopIfTrue="1">
      <formula>OR($C23="SI",$C23="T&amp;A")</formula>
    </cfRule>
  </conditionalFormatting>
  <conditionalFormatting sqref="G23">
    <cfRule type="expression" dxfId="132" priority="29" stopIfTrue="1">
      <formula>OR($C23="SI",$C23="T&amp;A")</formula>
    </cfRule>
  </conditionalFormatting>
  <conditionalFormatting sqref="G23">
    <cfRule type="expression" dxfId="131" priority="28" stopIfTrue="1">
      <formula>OR($C23="SI",$C23="T&amp;A")</formula>
    </cfRule>
  </conditionalFormatting>
  <conditionalFormatting sqref="B23">
    <cfRule type="expression" dxfId="130" priority="31" stopIfTrue="1">
      <formula>$C23="SI"</formula>
    </cfRule>
  </conditionalFormatting>
  <conditionalFormatting sqref="B23">
    <cfRule type="expression" dxfId="129" priority="30" stopIfTrue="1">
      <formula>$C23="SI"</formula>
    </cfRule>
  </conditionalFormatting>
  <conditionalFormatting sqref="G23">
    <cfRule type="expression" dxfId="128" priority="27" stopIfTrue="1">
      <formula>OR($C23="SI",$C23="T&amp;A")</formula>
    </cfRule>
  </conditionalFormatting>
  <conditionalFormatting sqref="G23">
    <cfRule type="expression" dxfId="127" priority="26" stopIfTrue="1">
      <formula>OR($C23="SI",$C23="T&amp;A")</formula>
    </cfRule>
  </conditionalFormatting>
  <conditionalFormatting sqref="G23">
    <cfRule type="expression" dxfId="126" priority="25" stopIfTrue="1">
      <formula>OR($C23="SI",$C23="T&amp;A")</formula>
    </cfRule>
  </conditionalFormatting>
  <conditionalFormatting sqref="G23">
    <cfRule type="expression" dxfId="125" priority="24" stopIfTrue="1">
      <formula>OR($C23="SI",$C23="T&amp;A")</formula>
    </cfRule>
  </conditionalFormatting>
  <printOptions horizontalCentered="1"/>
  <pageMargins left="0.43307086614173201" right="0.43307086614173201" top="0.55118110236220497" bottom="0.55118110236220497" header="0.23622047244094499" footer="0.23622047244094499"/>
  <pageSetup paperSize="9" scale="55" orientation="landscape" horizontalDpi="300" verticalDpi="300" r:id="rId2"/>
  <headerFooter alignWithMargins="0">
    <oddHeader>&amp;C&amp;"Verdana,Bold"&amp;12DAILY PRODUCTION REPORT - RAZZAK FIELDS</oddHeader>
    <oddFooter>&amp;CPage &amp;P</oddFooter>
  </headerFooter>
  <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tabColor rgb="FF00B0F0"/>
    <pageSetUpPr fitToPage="1"/>
  </sheetPr>
  <dimension ref="A1:AB183"/>
  <sheetViews>
    <sheetView topLeftCell="A10" zoomScaleNormal="100" workbookViewId="0">
      <selection activeCell="D119" sqref="D119"/>
    </sheetView>
  </sheetViews>
  <sheetFormatPr defaultRowHeight="12.75" customHeight="1"/>
  <cols>
    <col min="1" max="1" width="1.42578125" style="289" customWidth="1"/>
    <col min="2" max="2" width="12.85546875" style="355" customWidth="1"/>
    <col min="3" max="3" width="52.7109375" style="340" bestFit="1" customWidth="1"/>
    <col min="4" max="4" width="15.5703125" style="289" bestFit="1" customWidth="1"/>
    <col min="5" max="5" width="12.5703125" style="295" customWidth="1"/>
    <col min="6" max="6" width="12.140625" style="289" customWidth="1"/>
    <col min="7" max="9" width="8.42578125" style="289" customWidth="1"/>
    <col min="10" max="10" width="1.7109375" style="289" customWidth="1"/>
    <col min="11" max="11" width="12.85546875" style="289" customWidth="1"/>
    <col min="12" max="12" width="14.85546875" style="289" customWidth="1"/>
    <col min="13" max="13" width="12.85546875" style="289" customWidth="1"/>
    <col min="14" max="14" width="17.28515625" style="289" customWidth="1"/>
    <col min="15" max="15" width="7.5703125" style="289" customWidth="1"/>
    <col min="16" max="17" width="7.5703125" customWidth="1"/>
    <col min="18" max="18" width="7.5703125" style="289" customWidth="1"/>
    <col min="19" max="19" width="11.28515625" style="289" customWidth="1"/>
    <col min="20" max="20" width="11.7109375" style="289" customWidth="1"/>
    <col min="21" max="21" width="7.5703125" style="289" customWidth="1"/>
    <col min="22" max="22" width="11.7109375" style="546" customWidth="1"/>
    <col min="23" max="23" width="9.42578125" style="289" customWidth="1"/>
    <col min="24" max="24" width="11.7109375" style="546" customWidth="1"/>
    <col min="25" max="25" width="2.7109375" style="289" customWidth="1"/>
    <col min="26" max="27" width="8.85546875" style="289" customWidth="1"/>
    <col min="28" max="16384" width="9.140625" style="289"/>
  </cols>
  <sheetData>
    <row r="1" spans="1:28" s="294" customFormat="1" ht="8.4499999999999993" customHeight="1">
      <c r="A1" s="294" t="s">
        <v>1535</v>
      </c>
      <c r="B1" s="354"/>
      <c r="C1" s="290"/>
      <c r="D1" s="291"/>
      <c r="E1" s="292"/>
      <c r="F1" s="292"/>
      <c r="J1" s="293"/>
      <c r="V1" s="539"/>
      <c r="X1" s="539"/>
    </row>
    <row r="2" spans="1:28" s="294" customFormat="1" ht="26.45" customHeight="1">
      <c r="B2" s="401" t="s">
        <v>45</v>
      </c>
      <c r="C2" s="402" t="s">
        <v>28</v>
      </c>
      <c r="D2" s="403" t="s">
        <v>46</v>
      </c>
      <c r="E2" s="404">
        <f>REPDATE</f>
        <v>46299</v>
      </c>
      <c r="F2" s="405">
        <f>E2-1</f>
        <v>46298</v>
      </c>
      <c r="J2" s="293"/>
      <c r="K2" s="1390" t="s">
        <v>1376</v>
      </c>
      <c r="L2" s="1391"/>
      <c r="M2" s="1391"/>
      <c r="N2" s="1391"/>
      <c r="O2" s="1391"/>
      <c r="P2" s="1391"/>
      <c r="Q2" s="1392"/>
      <c r="R2" s="421"/>
      <c r="S2" s="421">
        <f>DAY(REPDATE)</f>
        <v>4</v>
      </c>
      <c r="T2" s="421"/>
      <c r="U2" s="572"/>
      <c r="V2" s="539"/>
      <c r="X2" s="539"/>
    </row>
    <row r="3" spans="1:28" s="294" customFormat="1" ht="26.45" customHeight="1">
      <c r="B3" s="397" t="s">
        <v>1348</v>
      </c>
      <c r="C3" s="338" t="s">
        <v>1415</v>
      </c>
      <c r="D3" s="296" t="s">
        <v>1404</v>
      </c>
      <c r="E3" s="1060">
        <v>58.97</v>
      </c>
      <c r="F3" s="523">
        <v>58.71</v>
      </c>
      <c r="J3" s="293"/>
      <c r="K3" s="868"/>
      <c r="L3" s="869"/>
      <c r="M3" s="869"/>
      <c r="N3" s="869"/>
      <c r="O3" s="869"/>
      <c r="P3" s="869"/>
      <c r="Q3" s="870"/>
      <c r="R3" s="421"/>
      <c r="S3" s="421"/>
      <c r="T3" s="421"/>
      <c r="U3" s="572"/>
      <c r="V3" s="539"/>
      <c r="X3" s="539"/>
      <c r="AA3" s="908" t="s">
        <v>2240</v>
      </c>
      <c r="AB3" s="909">
        <f>+'WELL DATA'!CJ191</f>
        <v>6081.4011913021623</v>
      </c>
    </row>
    <row r="4" spans="1:28" s="294" customFormat="1" ht="16.899999999999999" customHeight="1">
      <c r="B4" s="397" t="s">
        <v>1348</v>
      </c>
      <c r="C4" s="338" t="s">
        <v>1354</v>
      </c>
      <c r="D4" s="296" t="s">
        <v>1404</v>
      </c>
      <c r="E4" s="1060">
        <v>0.46</v>
      </c>
      <c r="F4" s="523">
        <v>0.45</v>
      </c>
      <c r="K4" s="1389" t="s">
        <v>28</v>
      </c>
      <c r="L4" s="1370"/>
      <c r="M4" s="1370"/>
      <c r="N4" s="1394" t="s">
        <v>1375</v>
      </c>
      <c r="O4" s="1395"/>
      <c r="P4" s="1397" t="s">
        <v>1374</v>
      </c>
      <c r="Q4" s="1398"/>
      <c r="R4" s="421"/>
      <c r="S4" s="421"/>
      <c r="T4" s="421"/>
      <c r="U4" s="572"/>
      <c r="V4" s="539"/>
      <c r="X4" s="539"/>
    </row>
    <row r="5" spans="1:28" s="294" customFormat="1" ht="16.899999999999999" customHeight="1">
      <c r="B5" s="399" t="s">
        <v>1373</v>
      </c>
      <c r="C5" s="338" t="s">
        <v>1361</v>
      </c>
      <c r="D5" s="400" t="s">
        <v>1256</v>
      </c>
      <c r="E5" s="1060">
        <v>665.12900000000002</v>
      </c>
      <c r="F5" s="398">
        <v>659.73099999999999</v>
      </c>
      <c r="K5" s="1401" t="s">
        <v>1396</v>
      </c>
      <c r="L5" s="1402"/>
      <c r="M5" s="1402"/>
      <c r="N5" s="1393">
        <v>0.86934374994598329</v>
      </c>
      <c r="O5" s="1393"/>
      <c r="P5" s="1399">
        <f>N5+REPORT!L41</f>
        <v>10.581410122940724</v>
      </c>
      <c r="Q5" s="1400"/>
      <c r="R5" s="421"/>
      <c r="S5" s="421"/>
      <c r="T5" s="421"/>
      <c r="U5" s="572"/>
      <c r="V5" s="539"/>
      <c r="X5" s="539"/>
    </row>
    <row r="6" spans="1:28" s="294" customFormat="1" ht="17.25" customHeight="1">
      <c r="B6" s="399" t="s">
        <v>1373</v>
      </c>
      <c r="C6" s="338" t="s">
        <v>2080</v>
      </c>
      <c r="D6" s="400" t="s">
        <v>1256</v>
      </c>
      <c r="E6" s="1060">
        <v>54.305999999999997</v>
      </c>
      <c r="F6" s="398">
        <v>52.725000000000001</v>
      </c>
      <c r="K6" s="1387" t="s">
        <v>1395</v>
      </c>
      <c r="L6" s="1388"/>
      <c r="M6" s="1388"/>
      <c r="N6" s="1396">
        <v>-223</v>
      </c>
      <c r="O6" s="1396"/>
      <c r="P6" s="1399">
        <f>N6+REPORT!L42</f>
        <v>-268</v>
      </c>
      <c r="Q6" s="1400"/>
      <c r="R6" s="421"/>
      <c r="S6" s="421"/>
      <c r="T6" s="421"/>
      <c r="U6" s="572"/>
      <c r="V6" s="539"/>
      <c r="X6" s="539"/>
    </row>
    <row r="7" spans="1:28" s="294" customFormat="1" ht="18.75" customHeight="1">
      <c r="B7" s="935" t="s">
        <v>1360</v>
      </c>
      <c r="C7" s="936" t="s">
        <v>2249</v>
      </c>
      <c r="D7" s="937" t="s">
        <v>1256</v>
      </c>
      <c r="E7" s="937"/>
      <c r="F7" s="938"/>
      <c r="G7" s="1370" t="s">
        <v>1491</v>
      </c>
      <c r="H7" s="1370"/>
      <c r="I7" s="1370"/>
      <c r="K7" s="768"/>
      <c r="L7" s="768"/>
      <c r="M7" s="768"/>
      <c r="N7" s="769"/>
      <c r="O7" s="769"/>
      <c r="P7" s="770"/>
      <c r="Q7" s="770"/>
      <c r="R7" s="421"/>
      <c r="S7" s="421"/>
      <c r="T7" s="421"/>
      <c r="U7" s="572"/>
      <c r="V7" s="539"/>
      <c r="X7" s="539"/>
    </row>
    <row r="8" spans="1:28" s="294" customFormat="1" ht="26.25" customHeight="1">
      <c r="B8" s="525" t="s">
        <v>1360</v>
      </c>
      <c r="C8" s="527" t="s">
        <v>1730</v>
      </c>
      <c r="D8" s="526" t="s">
        <v>1256</v>
      </c>
      <c r="E8" s="852">
        <v>32040</v>
      </c>
      <c r="F8" s="398">
        <v>31660</v>
      </c>
      <c r="V8" s="539"/>
      <c r="X8" s="539"/>
    </row>
    <row r="9" spans="1:28" s="294" customFormat="1" ht="33.75" customHeight="1">
      <c r="B9" s="397" t="s">
        <v>1360</v>
      </c>
      <c r="C9" s="338" t="s">
        <v>1400</v>
      </c>
      <c r="D9" s="296" t="s">
        <v>1256</v>
      </c>
      <c r="E9" s="852">
        <v>5540</v>
      </c>
      <c r="F9" s="398">
        <v>5500</v>
      </c>
      <c r="L9" s="664" t="s">
        <v>28</v>
      </c>
      <c r="M9" s="665" t="s">
        <v>1522</v>
      </c>
      <c r="N9" s="666" t="s">
        <v>1523</v>
      </c>
      <c r="V9" s="539"/>
      <c r="X9" s="539"/>
    </row>
    <row r="10" spans="1:28" s="294" customFormat="1" ht="27.75" customHeight="1">
      <c r="B10" s="397" t="s">
        <v>1360</v>
      </c>
      <c r="C10" s="338" t="s">
        <v>1368</v>
      </c>
      <c r="D10" s="296" t="s">
        <v>1256</v>
      </c>
      <c r="E10" s="852">
        <v>5159</v>
      </c>
      <c r="F10" s="398">
        <v>1019</v>
      </c>
      <c r="L10" s="667" t="s">
        <v>1524</v>
      </c>
      <c r="M10" s="669">
        <v>54050</v>
      </c>
      <c r="N10" s="670">
        <v>49398</v>
      </c>
      <c r="V10" s="539"/>
      <c r="X10" s="539"/>
    </row>
    <row r="11" spans="1:28" s="294" customFormat="1" ht="24" customHeight="1">
      <c r="B11" s="397" t="s">
        <v>1360</v>
      </c>
      <c r="C11" s="468" t="s">
        <v>1398</v>
      </c>
      <c r="D11" s="296" t="s">
        <v>1256</v>
      </c>
      <c r="E11" s="852">
        <v>490</v>
      </c>
      <c r="F11" s="398">
        <v>491</v>
      </c>
      <c r="L11" s="667" t="s">
        <v>1525</v>
      </c>
      <c r="M11" s="669">
        <v>0</v>
      </c>
      <c r="N11" s="670">
        <v>0</v>
      </c>
      <c r="V11" s="539"/>
      <c r="X11" s="539"/>
    </row>
    <row r="12" spans="1:28" s="294" customFormat="1" ht="24" customHeight="1">
      <c r="B12" s="397" t="s">
        <v>1360</v>
      </c>
      <c r="C12" s="468" t="s">
        <v>1399</v>
      </c>
      <c r="D12" s="296" t="s">
        <v>1256</v>
      </c>
      <c r="E12" s="852">
        <v>690</v>
      </c>
      <c r="F12" s="398">
        <v>480</v>
      </c>
      <c r="L12" s="668" t="s">
        <v>1526</v>
      </c>
      <c r="M12" s="671">
        <v>10600</v>
      </c>
      <c r="N12" s="672">
        <v>6591</v>
      </c>
      <c r="V12" s="539"/>
      <c r="X12" s="539"/>
    </row>
    <row r="13" spans="1:28" s="294" customFormat="1" ht="24" customHeight="1">
      <c r="B13" s="397" t="s">
        <v>1360</v>
      </c>
      <c r="C13" s="468" t="s">
        <v>2233</v>
      </c>
      <c r="D13" s="296" t="s">
        <v>1256</v>
      </c>
      <c r="E13" s="852">
        <v>195</v>
      </c>
      <c r="F13" s="398">
        <v>196</v>
      </c>
      <c r="L13" s="908"/>
      <c r="M13" s="909"/>
      <c r="N13" s="909"/>
      <c r="V13" s="539"/>
      <c r="X13" s="539"/>
    </row>
    <row r="14" spans="1:28" s="294" customFormat="1" ht="24" customHeight="1">
      <c r="B14" s="397" t="s">
        <v>1360</v>
      </c>
      <c r="C14" s="468" t="s">
        <v>2234</v>
      </c>
      <c r="D14" s="296" t="s">
        <v>1256</v>
      </c>
      <c r="E14" s="852">
        <v>194</v>
      </c>
      <c r="F14" s="398">
        <v>192</v>
      </c>
      <c r="L14" s="908"/>
      <c r="M14" s="909"/>
      <c r="N14" s="909"/>
      <c r="V14" s="539"/>
      <c r="X14" s="539"/>
    </row>
    <row r="15" spans="1:28" s="294" customFormat="1" ht="24" customHeight="1">
      <c r="B15" s="397" t="s">
        <v>1360</v>
      </c>
      <c r="C15" s="468" t="s">
        <v>2398</v>
      </c>
      <c r="D15" s="296" t="s">
        <v>1256</v>
      </c>
      <c r="E15" s="852">
        <v>123</v>
      </c>
      <c r="F15" s="398">
        <v>124</v>
      </c>
      <c r="L15" s="908"/>
      <c r="M15" s="909"/>
      <c r="N15" s="909"/>
      <c r="V15" s="539"/>
      <c r="X15" s="539"/>
    </row>
    <row r="16" spans="1:28" s="294" customFormat="1" ht="24" customHeight="1">
      <c r="B16" s="397" t="s">
        <v>1360</v>
      </c>
      <c r="C16" s="468" t="s">
        <v>2401</v>
      </c>
      <c r="D16" s="296" t="s">
        <v>1256</v>
      </c>
      <c r="E16" s="852">
        <v>123</v>
      </c>
      <c r="F16" s="398">
        <v>124</v>
      </c>
      <c r="L16" s="908"/>
      <c r="M16" s="909"/>
      <c r="N16" s="909"/>
      <c r="V16" s="539"/>
      <c r="X16" s="539"/>
    </row>
    <row r="17" spans="2:24" s="294" customFormat="1" ht="24" customHeight="1">
      <c r="B17" s="397" t="s">
        <v>1360</v>
      </c>
      <c r="C17" s="468" t="s">
        <v>2224</v>
      </c>
      <c r="D17" s="296" t="s">
        <v>1256</v>
      </c>
      <c r="E17" s="852">
        <v>105</v>
      </c>
      <c r="F17" s="398">
        <v>105</v>
      </c>
      <c r="L17" s="908"/>
      <c r="M17" s="909"/>
      <c r="N17" s="909"/>
      <c r="V17" s="539"/>
      <c r="X17" s="539"/>
    </row>
    <row r="18" spans="2:24" s="294" customFormat="1" ht="24" customHeight="1">
      <c r="B18" s="397" t="s">
        <v>1360</v>
      </c>
      <c r="C18" s="468" t="s">
        <v>2225</v>
      </c>
      <c r="D18" s="296" t="s">
        <v>1256</v>
      </c>
      <c r="E18" s="852">
        <v>105</v>
      </c>
      <c r="F18" s="398">
        <v>105</v>
      </c>
      <c r="L18" s="908"/>
      <c r="M18" s="909"/>
      <c r="N18" s="909"/>
      <c r="V18" s="539"/>
      <c r="X18" s="539"/>
    </row>
    <row r="19" spans="2:24" s="294" customFormat="1" ht="24" customHeight="1">
      <c r="B19" s="397" t="s">
        <v>1360</v>
      </c>
      <c r="C19" s="468" t="s">
        <v>2246</v>
      </c>
      <c r="D19" s="296" t="s">
        <v>1256</v>
      </c>
      <c r="E19" s="852">
        <v>123</v>
      </c>
      <c r="F19" s="398">
        <v>123</v>
      </c>
      <c r="L19" s="908"/>
      <c r="M19" s="909"/>
      <c r="N19" s="909"/>
      <c r="V19" s="539"/>
      <c r="X19" s="539"/>
    </row>
    <row r="20" spans="2:24" s="294" customFormat="1" ht="24" customHeight="1">
      <c r="B20" s="397" t="s">
        <v>1360</v>
      </c>
      <c r="C20" s="468" t="s">
        <v>2247</v>
      </c>
      <c r="D20" s="296" t="s">
        <v>1256</v>
      </c>
      <c r="E20" s="852">
        <v>123</v>
      </c>
      <c r="F20" s="398">
        <v>123</v>
      </c>
      <c r="L20" s="908"/>
      <c r="M20" s="909"/>
      <c r="N20" s="909"/>
      <c r="V20" s="539"/>
      <c r="X20" s="539"/>
    </row>
    <row r="21" spans="2:24" s="294" customFormat="1" ht="18" customHeight="1">
      <c r="B21" s="397" t="s">
        <v>1360</v>
      </c>
      <c r="C21" s="468" t="s">
        <v>1495</v>
      </c>
      <c r="D21" s="296" t="s">
        <v>1256</v>
      </c>
      <c r="E21" s="852">
        <v>5984</v>
      </c>
      <c r="F21" s="398">
        <v>5769</v>
      </c>
      <c r="V21" s="539"/>
      <c r="X21" s="539"/>
    </row>
    <row r="22" spans="2:24" s="294" customFormat="1" ht="16.899999999999999" customHeight="1">
      <c r="B22" s="397" t="s">
        <v>1360</v>
      </c>
      <c r="C22" s="468" t="s">
        <v>1496</v>
      </c>
      <c r="D22" s="296" t="s">
        <v>1256</v>
      </c>
      <c r="E22" s="852">
        <v>5913</v>
      </c>
      <c r="F22" s="398">
        <v>5729</v>
      </c>
      <c r="K22" s="1370" t="s">
        <v>1566</v>
      </c>
      <c r="L22" s="1370"/>
      <c r="M22" s="1370"/>
      <c r="N22" s="760">
        <v>92535672</v>
      </c>
      <c r="O22" s="697" t="s">
        <v>1256</v>
      </c>
      <c r="P22" s="763"/>
      <c r="V22" s="539"/>
      <c r="X22" s="539"/>
    </row>
    <row r="23" spans="2:24" s="294" customFormat="1" ht="16.899999999999999" customHeight="1">
      <c r="B23" s="397" t="s">
        <v>1360</v>
      </c>
      <c r="C23" s="468" t="s">
        <v>1503</v>
      </c>
      <c r="D23" s="296" t="s">
        <v>1256</v>
      </c>
      <c r="E23" s="852">
        <v>1271</v>
      </c>
      <c r="F23" s="398">
        <v>1342</v>
      </c>
      <c r="K23" s="1370" t="s">
        <v>1713</v>
      </c>
      <c r="L23" s="1370"/>
      <c r="M23" s="1370"/>
      <c r="N23" s="760">
        <v>92559031</v>
      </c>
      <c r="O23" s="697" t="s">
        <v>1256</v>
      </c>
      <c r="P23" s="763"/>
      <c r="V23" s="539"/>
      <c r="X23" s="539"/>
    </row>
    <row r="24" spans="2:24" s="294" customFormat="1" ht="16.899999999999999" customHeight="1">
      <c r="B24" s="397" t="s">
        <v>1360</v>
      </c>
      <c r="C24" s="468" t="s">
        <v>2422</v>
      </c>
      <c r="D24" s="296" t="s">
        <v>1256</v>
      </c>
      <c r="E24" s="852">
        <v>255</v>
      </c>
      <c r="F24" s="398">
        <v>258</v>
      </c>
      <c r="K24"/>
      <c r="L24"/>
      <c r="M24"/>
      <c r="N24" s="760"/>
      <c r="O24" s="697"/>
      <c r="P24" s="763"/>
      <c r="V24" s="539"/>
      <c r="X24" s="539"/>
    </row>
    <row r="25" spans="2:24" s="294" customFormat="1" ht="16.899999999999999" customHeight="1">
      <c r="B25" s="397" t="s">
        <v>1360</v>
      </c>
      <c r="C25" s="468" t="s">
        <v>2421</v>
      </c>
      <c r="D25" s="296" t="s">
        <v>1256</v>
      </c>
      <c r="E25" s="852">
        <v>159</v>
      </c>
      <c r="F25" s="398">
        <v>159</v>
      </c>
      <c r="K25"/>
      <c r="L25"/>
      <c r="M25"/>
      <c r="N25" s="760"/>
      <c r="O25" s="697"/>
      <c r="P25" s="763"/>
      <c r="V25" s="539"/>
      <c r="X25" s="539"/>
    </row>
    <row r="26" spans="2:24" s="294" customFormat="1" ht="20.25" customHeight="1">
      <c r="B26" s="397" t="s">
        <v>1360</v>
      </c>
      <c r="C26" s="468" t="s">
        <v>1546</v>
      </c>
      <c r="D26" s="296" t="s">
        <v>1256</v>
      </c>
      <c r="E26" s="852">
        <v>255</v>
      </c>
      <c r="F26" s="398">
        <v>253</v>
      </c>
      <c r="K26" s="1370" t="s">
        <v>1710</v>
      </c>
      <c r="L26" s="1370"/>
      <c r="M26" s="1370"/>
      <c r="N26" s="760">
        <f>N23-N22</f>
        <v>23359</v>
      </c>
      <c r="O26" s="698" t="s">
        <v>1256</v>
      </c>
      <c r="P26" s="764"/>
      <c r="V26" s="539"/>
      <c r="X26" s="539"/>
    </row>
    <row r="27" spans="2:24" s="294" customFormat="1" ht="26.25" customHeight="1">
      <c r="B27" s="397" t="s">
        <v>1360</v>
      </c>
      <c r="C27" s="524" t="s">
        <v>1421</v>
      </c>
      <c r="D27" s="296" t="s">
        <v>1256</v>
      </c>
      <c r="E27" s="852">
        <v>20550</v>
      </c>
      <c r="F27" s="398">
        <v>26508</v>
      </c>
      <c r="J27" s="293"/>
      <c r="K27" s="1370" t="s">
        <v>1568</v>
      </c>
      <c r="L27" s="1370"/>
      <c r="M27" s="1370"/>
      <c r="N27" s="762">
        <v>0.1</v>
      </c>
      <c r="O27" s="698" t="s">
        <v>49</v>
      </c>
      <c r="P27" s="764"/>
      <c r="V27" s="539"/>
      <c r="X27" s="539"/>
    </row>
    <row r="28" spans="2:24" s="294" customFormat="1" ht="27" customHeight="1">
      <c r="B28" s="397" t="s">
        <v>1360</v>
      </c>
      <c r="C28" s="524" t="s">
        <v>1416</v>
      </c>
      <c r="D28" s="296" t="s">
        <v>1256</v>
      </c>
      <c r="E28" s="852">
        <v>20505</v>
      </c>
      <c r="F28" s="398">
        <v>26285</v>
      </c>
      <c r="J28" s="293"/>
      <c r="K28" s="1370" t="s">
        <v>1714</v>
      </c>
      <c r="L28" s="1370"/>
      <c r="M28" s="1370"/>
      <c r="N28" s="765">
        <f>(N26-(N26*N27/100))</f>
        <v>23335.641</v>
      </c>
      <c r="O28" s="698" t="s">
        <v>1256</v>
      </c>
      <c r="P28" s="764"/>
      <c r="V28" s="539"/>
      <c r="X28" s="539"/>
    </row>
    <row r="29" spans="2:24" s="294" customFormat="1" ht="16.899999999999999" customHeight="1">
      <c r="B29" s="517" t="s">
        <v>1360</v>
      </c>
      <c r="C29" s="518" t="s">
        <v>1401</v>
      </c>
      <c r="D29" s="519" t="s">
        <v>1256</v>
      </c>
      <c r="E29" s="852"/>
      <c r="F29" s="520">
        <v>11052</v>
      </c>
      <c r="G29" s="1370" t="s">
        <v>1403</v>
      </c>
      <c r="H29" s="1370"/>
      <c r="I29" s="1370"/>
      <c r="J29" s="293"/>
      <c r="K29" s="1370" t="s">
        <v>1711</v>
      </c>
      <c r="L29" s="1370"/>
      <c r="M29" s="1370"/>
      <c r="N29" s="765">
        <f>(N27*N26)/100</f>
        <v>23.359000000000002</v>
      </c>
      <c r="O29" s="698" t="s">
        <v>1256</v>
      </c>
      <c r="P29" s="764"/>
      <c r="V29" s="539"/>
      <c r="X29" s="539"/>
    </row>
    <row r="30" spans="2:24" s="294" customFormat="1" ht="16.899999999999999" customHeight="1">
      <c r="B30" s="517" t="s">
        <v>1360</v>
      </c>
      <c r="C30" s="518" t="s">
        <v>1402</v>
      </c>
      <c r="D30" s="519" t="s">
        <v>1256</v>
      </c>
      <c r="E30" s="852"/>
      <c r="F30" s="520">
        <v>24180</v>
      </c>
      <c r="G30" s="1370"/>
      <c r="H30" s="1370"/>
      <c r="I30" s="1370"/>
      <c r="J30" s="293"/>
      <c r="V30" s="539"/>
      <c r="X30" s="539"/>
    </row>
    <row r="31" spans="2:24" s="294" customFormat="1" ht="21.75" customHeight="1">
      <c r="B31" s="946" t="s">
        <v>1360</v>
      </c>
      <c r="C31" s="947" t="s">
        <v>2345</v>
      </c>
      <c r="D31" s="519" t="s">
        <v>1256</v>
      </c>
      <c r="E31" s="852">
        <v>0</v>
      </c>
      <c r="F31" s="520">
        <v>0</v>
      </c>
      <c r="G31" s="1370" t="s">
        <v>1390</v>
      </c>
      <c r="H31" s="1370"/>
      <c r="I31" s="1370"/>
      <c r="J31" s="293"/>
      <c r="V31" s="539"/>
      <c r="X31" s="539"/>
    </row>
    <row r="32" spans="2:24" s="294" customFormat="1" ht="21.75" customHeight="1">
      <c r="B32" s="946" t="s">
        <v>1360</v>
      </c>
      <c r="C32" s="947" t="s">
        <v>2350</v>
      </c>
      <c r="D32" s="519" t="s">
        <v>1256</v>
      </c>
      <c r="E32" s="852">
        <v>47</v>
      </c>
      <c r="F32" s="520">
        <v>43</v>
      </c>
      <c r="G32"/>
      <c r="H32"/>
      <c r="I32"/>
      <c r="J32" s="293"/>
      <c r="V32" s="539"/>
      <c r="X32" s="539"/>
    </row>
    <row r="33" spans="2:24" s="294" customFormat="1" ht="21.75" customHeight="1">
      <c r="B33" s="948" t="s">
        <v>2303</v>
      </c>
      <c r="C33" s="949"/>
      <c r="D33" s="949"/>
      <c r="E33" s="949"/>
      <c r="F33" s="950"/>
      <c r="G33" s="435">
        <v>1</v>
      </c>
      <c r="H33" s="435">
        <v>2</v>
      </c>
      <c r="I33" s="436">
        <v>3</v>
      </c>
      <c r="J33" s="293"/>
      <c r="V33" s="539"/>
      <c r="X33" s="539"/>
    </row>
    <row r="34" spans="2:24" s="294" customFormat="1" ht="16.899999999999999" customHeight="1">
      <c r="B34" s="1384" t="s">
        <v>246</v>
      </c>
      <c r="C34" s="469" t="s">
        <v>104</v>
      </c>
      <c r="D34" s="438" t="s">
        <v>291</v>
      </c>
      <c r="E34" s="439" t="str">
        <f>M37</f>
        <v>1,6</v>
      </c>
      <c r="F34" s="440" t="s">
        <v>903</v>
      </c>
      <c r="G34" s="441"/>
      <c r="H34" s="442"/>
      <c r="I34" s="443"/>
      <c r="J34" s="444"/>
      <c r="K34" s="1375" t="s">
        <v>249</v>
      </c>
      <c r="L34" s="1368" t="s">
        <v>11</v>
      </c>
      <c r="M34" s="1377" t="s">
        <v>291</v>
      </c>
      <c r="N34" s="1368" t="s">
        <v>953</v>
      </c>
      <c r="O34" s="1368" t="s">
        <v>290</v>
      </c>
      <c r="P34" s="1368" t="s">
        <v>253</v>
      </c>
      <c r="Q34" s="1373" t="s">
        <v>48</v>
      </c>
      <c r="R34" s="1368" t="s">
        <v>1367</v>
      </c>
      <c r="S34" s="1379" t="s">
        <v>1262</v>
      </c>
      <c r="T34" s="1368" t="s">
        <v>252</v>
      </c>
      <c r="U34" s="1379" t="s">
        <v>954</v>
      </c>
      <c r="V34" s="1380" t="s">
        <v>1059</v>
      </c>
      <c r="W34" s="1379" t="s">
        <v>254</v>
      </c>
      <c r="X34" s="1382" t="s">
        <v>1060</v>
      </c>
    </row>
    <row r="35" spans="2:24" s="294" customFormat="1" ht="16.899999999999999" customHeight="1">
      <c r="B35" s="1385"/>
      <c r="C35" s="337" t="s">
        <v>268</v>
      </c>
      <c r="D35" s="406" t="s">
        <v>1256</v>
      </c>
      <c r="E35" s="356">
        <f>IF(SUM(G35:I35)=0,0,SUM(G35:I35))</f>
        <v>17774</v>
      </c>
      <c r="F35" s="287">
        <v>0</v>
      </c>
      <c r="G35" s="310"/>
      <c r="H35" s="310">
        <v>17774</v>
      </c>
      <c r="I35" s="396"/>
      <c r="J35" s="293"/>
      <c r="K35" s="1376"/>
      <c r="L35" s="1369"/>
      <c r="M35" s="1378"/>
      <c r="N35" s="1369"/>
      <c r="O35" s="1369"/>
      <c r="P35" s="1369"/>
      <c r="Q35" s="1374"/>
      <c r="R35" s="1369"/>
      <c r="S35" s="1369"/>
      <c r="T35" s="1369"/>
      <c r="U35" s="1369"/>
      <c r="V35" s="1381"/>
      <c r="W35" s="1369"/>
      <c r="X35" s="1383"/>
    </row>
    <row r="36" spans="2:24" s="294" customFormat="1" ht="16.899999999999999" customHeight="1">
      <c r="B36" s="1385"/>
      <c r="C36" s="336" t="s">
        <v>1392</v>
      </c>
      <c r="D36" s="406" t="s">
        <v>1256</v>
      </c>
      <c r="E36" s="356">
        <f>IF(SUM(G36:I36)=0,0,SUM(G36:I36))</f>
        <v>24</v>
      </c>
      <c r="F36" s="287">
        <v>0</v>
      </c>
      <c r="G36" s="310">
        <v>15</v>
      </c>
      <c r="H36" s="310">
        <v>9</v>
      </c>
      <c r="I36" s="396"/>
      <c r="J36" s="293"/>
      <c r="K36" s="1371" t="str">
        <f>B34</f>
        <v>TANK 201</v>
      </c>
      <c r="L36" s="307" t="s">
        <v>255</v>
      </c>
      <c r="M36" s="347" t="s">
        <v>902</v>
      </c>
      <c r="N36" s="308">
        <v>98</v>
      </c>
      <c r="O36" s="159">
        <v>84</v>
      </c>
      <c r="P36" s="308">
        <v>35.299999999999997</v>
      </c>
      <c r="Q36" s="328">
        <v>0.05</v>
      </c>
      <c r="R36" s="308">
        <v>15.2</v>
      </c>
      <c r="S36" s="536">
        <f>VLOOKUP(M36,TANK201,2,FALSE)</f>
        <v>19647</v>
      </c>
      <c r="T36" s="825">
        <f>IF(M36="",0,VLOOKUP(U36,SHELL_FACTOR,2))</f>
        <v>1.0004500000000001</v>
      </c>
      <c r="U36" s="330">
        <f>IF(M36="","",IF(N36=0,0,ROUND(((N36*7)+O36)/8,0)))</f>
        <v>96</v>
      </c>
      <c r="V36" s="535">
        <f>S36*W36*T36</f>
        <v>19298.104841069999</v>
      </c>
      <c r="W36" s="267">
        <f>IF(N36=0,0,INDEX(FACTOR_TABLE,MATCH(MROUND(N36,0.5),TEMP_RANGE,1),MATCH(MROUND(P36,0.5),API_RANGE,1)))</f>
        <v>0.98180000000000001</v>
      </c>
      <c r="X36" s="547">
        <f>V36-(Q36*V36/100)</f>
        <v>19288.455788649462</v>
      </c>
    </row>
    <row r="37" spans="2:24" s="294" customFormat="1" ht="16.899999999999999" customHeight="1">
      <c r="B37" s="1385"/>
      <c r="C37" s="337" t="s">
        <v>952</v>
      </c>
      <c r="D37" s="296" t="s">
        <v>50</v>
      </c>
      <c r="E37" s="356">
        <f>N37</f>
        <v>97</v>
      </c>
      <c r="F37" s="287">
        <v>99</v>
      </c>
      <c r="G37" s="311"/>
      <c r="H37" s="311"/>
      <c r="I37" s="312"/>
      <c r="J37" s="293"/>
      <c r="K37" s="1372"/>
      <c r="L37" s="321" t="s">
        <v>256</v>
      </c>
      <c r="M37" s="347" t="s">
        <v>327</v>
      </c>
      <c r="N37" s="308">
        <v>97</v>
      </c>
      <c r="O37" s="159">
        <v>75</v>
      </c>
      <c r="P37" s="308">
        <v>35.299999999999997</v>
      </c>
      <c r="Q37" s="328">
        <v>0.05</v>
      </c>
      <c r="R37" s="308">
        <v>15.2</v>
      </c>
      <c r="S37" s="537">
        <f>VLOOKUP(M37,TANK201,2,FALSE)</f>
        <v>1542</v>
      </c>
      <c r="T37" s="538">
        <f>IF(M37="",0,VLOOKUP(U37,SHELL_FACTOR,2))</f>
        <v>1.0004200000000001</v>
      </c>
      <c r="U37" s="330">
        <f>IF(M37="","",IF(N37=0,0,ROUND(((N37*7)+O37)/8,0)))</f>
        <v>94</v>
      </c>
      <c r="V37" s="540">
        <f>S37*W37*T37</f>
        <v>1515.3427767720002</v>
      </c>
      <c r="W37" s="498">
        <f>IF(N37=0,0,INDEX(FACTOR_TABLE,MATCH(MROUND(N37,0.5),TEMP_RANGE,1),MATCH(MROUND(P37,0.5),API_RANGE,1)))</f>
        <v>0.98229999999999995</v>
      </c>
      <c r="X37" s="548">
        <f>IF(M37="","",V37-(Q37*V37/100))</f>
        <v>1514.5851053836143</v>
      </c>
    </row>
    <row r="38" spans="2:24" s="294" customFormat="1" ht="16.899999999999999" customHeight="1">
      <c r="B38" s="1385"/>
      <c r="C38" s="336" t="s">
        <v>269</v>
      </c>
      <c r="D38" s="296" t="s">
        <v>50</v>
      </c>
      <c r="E38" s="356">
        <f>O37</f>
        <v>75</v>
      </c>
      <c r="F38" s="287">
        <v>68</v>
      </c>
      <c r="G38" s="311"/>
      <c r="H38" s="311"/>
      <c r="I38" s="312"/>
      <c r="J38" s="293"/>
      <c r="K38" s="407"/>
      <c r="L38" s="408"/>
      <c r="M38" s="409" t="str">
        <f>D34</f>
        <v>ft, in</v>
      </c>
      <c r="N38" s="409" t="str">
        <f>D38</f>
        <v>°F</v>
      </c>
      <c r="O38" s="409" t="str">
        <f>D39</f>
        <v>°</v>
      </c>
      <c r="P38" s="410"/>
      <c r="Q38" s="410"/>
      <c r="R38" s="411"/>
      <c r="S38" s="411"/>
      <c r="T38" s="412"/>
      <c r="U38" s="410"/>
      <c r="V38" s="541"/>
      <c r="W38" s="410"/>
      <c r="X38" s="549"/>
    </row>
    <row r="39" spans="2:24" s="294" customFormat="1" ht="16.899999999999999" customHeight="1">
      <c r="B39" s="1385"/>
      <c r="C39" s="336" t="s">
        <v>253</v>
      </c>
      <c r="D39" s="296" t="s">
        <v>270</v>
      </c>
      <c r="E39" s="363">
        <f>P37</f>
        <v>35.299999999999997</v>
      </c>
      <c r="F39" s="326">
        <v>37.200000000000003</v>
      </c>
      <c r="G39" s="311"/>
      <c r="H39" s="311"/>
      <c r="I39" s="312"/>
      <c r="J39" s="293"/>
      <c r="K39" s="410"/>
      <c r="L39" s="410"/>
      <c r="M39" s="410"/>
      <c r="N39" s="1367" t="s">
        <v>1259</v>
      </c>
      <c r="O39" s="1351"/>
      <c r="P39" s="1351"/>
      <c r="Q39" s="1351"/>
      <c r="R39" s="1351"/>
      <c r="S39" s="1352"/>
      <c r="T39" s="410"/>
      <c r="U39" s="410"/>
      <c r="V39" s="542">
        <f>IF(M37="","",IF(X36-X37&lt;0,0,X36-X37))</f>
        <v>17773.870683265846</v>
      </c>
      <c r="W39" s="410"/>
      <c r="X39" s="549"/>
    </row>
    <row r="40" spans="2:24" s="294" customFormat="1" ht="16.899999999999999" customHeight="1">
      <c r="B40" s="1385"/>
      <c r="C40" s="336">
        <v>0</v>
      </c>
      <c r="D40" s="296" t="s">
        <v>49</v>
      </c>
      <c r="E40" s="362">
        <f>Q37</f>
        <v>0.05</v>
      </c>
      <c r="F40" s="327">
        <v>0</v>
      </c>
      <c r="G40" s="311"/>
      <c r="H40" s="311"/>
      <c r="I40" s="312"/>
      <c r="J40" s="293"/>
      <c r="K40" s="410"/>
      <c r="L40" s="410"/>
      <c r="M40" s="410"/>
      <c r="N40" s="1367" t="s">
        <v>1391</v>
      </c>
      <c r="O40" s="1351"/>
      <c r="P40" s="1351"/>
      <c r="Q40" s="1351"/>
      <c r="R40" s="1351"/>
      <c r="S40" s="1352"/>
      <c r="T40" s="410"/>
      <c r="U40" s="410"/>
      <c r="V40" s="542">
        <f>IF(M37="","",IF(V36-V37&lt;0,0,V36-V37-V39))</f>
        <v>8.8913810321537312</v>
      </c>
      <c r="W40" s="410"/>
      <c r="X40" s="549"/>
    </row>
    <row r="41" spans="2:24" s="294" customFormat="1" ht="16.899999999999999" customHeight="1">
      <c r="B41" s="1386"/>
      <c r="C41" s="445" t="s">
        <v>266</v>
      </c>
      <c r="D41" s="446" t="s">
        <v>267</v>
      </c>
      <c r="E41" s="447">
        <f>R37</f>
        <v>15.2</v>
      </c>
      <c r="F41" s="448">
        <v>0</v>
      </c>
      <c r="G41" s="449"/>
      <c r="H41" s="449"/>
      <c r="I41" s="450"/>
      <c r="J41" s="451"/>
      <c r="K41" s="452"/>
      <c r="L41" s="452"/>
      <c r="M41" s="452"/>
      <c r="N41" s="452"/>
      <c r="O41" s="452"/>
      <c r="P41" s="452"/>
      <c r="Q41" s="452"/>
      <c r="R41" s="452"/>
      <c r="S41" s="452"/>
      <c r="T41" s="471"/>
      <c r="U41" s="452"/>
      <c r="V41" s="543"/>
      <c r="W41" s="452"/>
      <c r="X41" s="550"/>
    </row>
    <row r="42" spans="2:24" s="294" customFormat="1" ht="16.899999999999999" customHeight="1">
      <c r="B42" s="1370" t="s">
        <v>247</v>
      </c>
      <c r="C42" s="453" t="s">
        <v>104</v>
      </c>
      <c r="D42" s="438"/>
      <c r="E42" s="439" t="str">
        <f>M45</f>
        <v>25,7</v>
      </c>
      <c r="F42" s="440" t="s">
        <v>327</v>
      </c>
      <c r="G42" s="454"/>
      <c r="H42" s="454"/>
      <c r="I42" s="455"/>
      <c r="J42" s="444"/>
      <c r="K42" s="1375" t="s">
        <v>249</v>
      </c>
      <c r="L42" s="1368" t="s">
        <v>11</v>
      </c>
      <c r="M42" s="1377" t="s">
        <v>291</v>
      </c>
      <c r="N42" s="1368" t="s">
        <v>953</v>
      </c>
      <c r="O42" s="1368" t="s">
        <v>290</v>
      </c>
      <c r="P42" s="1368" t="s">
        <v>253</v>
      </c>
      <c r="Q42" s="1373" t="s">
        <v>48</v>
      </c>
      <c r="R42" s="1368" t="s">
        <v>1367</v>
      </c>
      <c r="S42" s="1379" t="s">
        <v>1262</v>
      </c>
      <c r="T42" s="1368" t="s">
        <v>252</v>
      </c>
      <c r="U42" s="1379" t="s">
        <v>954</v>
      </c>
      <c r="V42" s="1380" t="s">
        <v>1059</v>
      </c>
      <c r="W42" s="1379" t="s">
        <v>254</v>
      </c>
      <c r="X42" s="1382" t="s">
        <v>1060</v>
      </c>
    </row>
    <row r="43" spans="2:24" s="294" customFormat="1" ht="16.899999999999999" customHeight="1">
      <c r="B43" s="1370"/>
      <c r="C43" s="338" t="s">
        <v>268</v>
      </c>
      <c r="D43" s="406" t="s">
        <v>1256</v>
      </c>
      <c r="E43" s="356">
        <f>IF(SUM(G43:I43)=0,0,SUM(G43:I43))</f>
        <v>0</v>
      </c>
      <c r="F43" s="287">
        <v>17445</v>
      </c>
      <c r="G43" s="310"/>
      <c r="H43" s="310"/>
      <c r="I43" s="396"/>
      <c r="J43" s="293"/>
      <c r="K43" s="1376"/>
      <c r="L43" s="1369"/>
      <c r="M43" s="1378"/>
      <c r="N43" s="1369"/>
      <c r="O43" s="1369"/>
      <c r="P43" s="1369"/>
      <c r="Q43" s="1374"/>
      <c r="R43" s="1369"/>
      <c r="S43" s="1369"/>
      <c r="T43" s="1369"/>
      <c r="U43" s="1369"/>
      <c r="V43" s="1381"/>
      <c r="W43" s="1369"/>
      <c r="X43" s="1383"/>
    </row>
    <row r="44" spans="2:24" s="294" customFormat="1" ht="16.899999999999999" customHeight="1">
      <c r="B44" s="1370"/>
      <c r="C44" s="338" t="s">
        <v>1392</v>
      </c>
      <c r="D44" s="406" t="s">
        <v>1256</v>
      </c>
      <c r="E44" s="356">
        <f>IF(SUM(G44:I44)=0,0,SUM(G44:I44))</f>
        <v>0</v>
      </c>
      <c r="F44" s="287">
        <v>61</v>
      </c>
      <c r="G44" s="310"/>
      <c r="H44" s="310"/>
      <c r="I44" s="396"/>
      <c r="J44" s="293"/>
      <c r="K44" s="1371" t="str">
        <f>B42</f>
        <v>TANK 202</v>
      </c>
      <c r="L44" s="307" t="s">
        <v>255</v>
      </c>
      <c r="M44" s="347" t="s">
        <v>327</v>
      </c>
      <c r="N44" s="308">
        <v>98</v>
      </c>
      <c r="O44" s="159">
        <v>74</v>
      </c>
      <c r="P44" s="308">
        <v>36.6</v>
      </c>
      <c r="Q44" s="419"/>
      <c r="R44" s="417"/>
      <c r="S44" s="536">
        <f>VLOOKUP(M44,TANK202,2,FALSE)</f>
        <v>1504.84</v>
      </c>
      <c r="T44" s="534">
        <f>IF(M44="",0,VLOOKUP(U44,SHELL_FACTOR,2))</f>
        <v>1.0004299999999999</v>
      </c>
      <c r="U44" s="323">
        <f>IF(N44=0,0,ROUND(((N44*7)+O44)/8,0))</f>
        <v>95</v>
      </c>
      <c r="V44" s="535">
        <f>S44*W44*T44</f>
        <v>1477.7861189059199</v>
      </c>
      <c r="W44" s="267">
        <f>IF(N44=0,0,INDEX(FACTOR_TABLE,MATCH(MROUND(N44,0.5),TEMP_RANGE,1),MATCH(MROUND(P44,0.5),API_RANGE,1)))</f>
        <v>0.98160000000000003</v>
      </c>
      <c r="X44" s="547">
        <f>V44-(Q44*V44/100)</f>
        <v>1477.7861189059199</v>
      </c>
    </row>
    <row r="45" spans="2:24" s="294" customFormat="1" ht="16.899999999999999" customHeight="1">
      <c r="B45" s="1370"/>
      <c r="C45" s="339" t="s">
        <v>952</v>
      </c>
      <c r="D45" s="296" t="s">
        <v>50</v>
      </c>
      <c r="E45" s="356">
        <f>N45</f>
        <v>97</v>
      </c>
      <c r="F45" s="287">
        <v>98</v>
      </c>
      <c r="G45" s="311"/>
      <c r="H45" s="311"/>
      <c r="I45" s="312"/>
      <c r="J45" s="293"/>
      <c r="K45" s="1372"/>
      <c r="L45" s="321" t="s">
        <v>256</v>
      </c>
      <c r="M45" s="347" t="s">
        <v>903</v>
      </c>
      <c r="N45" s="308">
        <v>97</v>
      </c>
      <c r="O45" s="159">
        <v>68</v>
      </c>
      <c r="P45" s="308">
        <v>36.6</v>
      </c>
      <c r="Q45" s="419"/>
      <c r="R45" s="417"/>
      <c r="S45" s="537">
        <f>VLOOKUP(M45,TANK202,2,FALSE)</f>
        <v>19600.45</v>
      </c>
      <c r="T45" s="534">
        <f>IF(M45="",0,VLOOKUP(U45,SHELL_FACTOR,2))</f>
        <v>1.00041</v>
      </c>
      <c r="U45" s="330">
        <f>IF(M45="","",IF(N45=0,0,ROUND(((N45*7)+O45)/8,0)))</f>
        <v>93</v>
      </c>
      <c r="V45" s="540">
        <f>S45*W45*T45</f>
        <v>19257.494281797448</v>
      </c>
      <c r="W45" s="498">
        <f>IF(N45=0,0,INDEX(FACTOR_TABLE,MATCH(MROUND(N45,0.5),TEMP_RANGE,1),MATCH(MROUND(P45,0.5),API_RANGE,1)))</f>
        <v>0.98209999999999997</v>
      </c>
      <c r="X45" s="548">
        <f>IF(M45="","",V45-(Q45*V45/100))</f>
        <v>19257.494281797448</v>
      </c>
    </row>
    <row r="46" spans="2:24" s="294" customFormat="1" ht="16.899999999999999" customHeight="1">
      <c r="B46" s="1370"/>
      <c r="C46" s="338" t="s">
        <v>269</v>
      </c>
      <c r="D46" s="296" t="s">
        <v>50</v>
      </c>
      <c r="E46" s="356">
        <f>O45</f>
        <v>68</v>
      </c>
      <c r="F46" s="287">
        <v>74</v>
      </c>
      <c r="G46" s="311"/>
      <c r="H46" s="311"/>
      <c r="I46" s="312"/>
      <c r="J46" s="293"/>
      <c r="K46" s="333"/>
      <c r="L46" s="333"/>
      <c r="M46" s="333"/>
      <c r="N46" s="333"/>
      <c r="O46" s="333"/>
      <c r="P46" s="333"/>
      <c r="Q46" s="333"/>
      <c r="R46" s="333"/>
      <c r="S46" s="333"/>
      <c r="T46" s="333"/>
      <c r="U46" s="333"/>
      <c r="V46" s="544"/>
      <c r="W46" s="333"/>
      <c r="X46" s="551"/>
    </row>
    <row r="47" spans="2:24" s="294" customFormat="1" ht="16.899999999999999" customHeight="1">
      <c r="B47" s="1370"/>
      <c r="C47" s="338" t="s">
        <v>253</v>
      </c>
      <c r="D47" s="296" t="s">
        <v>270</v>
      </c>
      <c r="E47" s="363">
        <f>P45</f>
        <v>36.6</v>
      </c>
      <c r="F47" s="326">
        <v>36.6</v>
      </c>
      <c r="G47" s="311"/>
      <c r="H47" s="311"/>
      <c r="I47" s="312"/>
      <c r="J47" s="293"/>
      <c r="K47" s="410"/>
      <c r="L47" s="410"/>
      <c r="M47" s="410"/>
      <c r="N47" s="1367" t="s">
        <v>1259</v>
      </c>
      <c r="O47" s="1351"/>
      <c r="P47" s="1351"/>
      <c r="Q47" s="1351"/>
      <c r="R47" s="1351"/>
      <c r="S47" s="1352"/>
      <c r="T47" s="410"/>
      <c r="U47" s="410"/>
      <c r="V47" s="542">
        <f>IF(M45="","",IF(X44-X45&lt;0,0,X44-X45))</f>
        <v>0</v>
      </c>
      <c r="W47" s="410"/>
      <c r="X47" s="549"/>
    </row>
    <row r="48" spans="2:24" s="294" customFormat="1" ht="16.899999999999999" customHeight="1">
      <c r="B48" s="1370"/>
      <c r="C48" s="338" t="s">
        <v>48</v>
      </c>
      <c r="D48" s="296" t="s">
        <v>49</v>
      </c>
      <c r="E48" s="362">
        <f>Q45</f>
        <v>0</v>
      </c>
      <c r="F48" s="327">
        <v>0.05</v>
      </c>
      <c r="G48" s="311"/>
      <c r="H48" s="311"/>
      <c r="I48" s="312"/>
      <c r="J48" s="293"/>
      <c r="K48" s="410"/>
      <c r="L48" s="410"/>
      <c r="M48" s="410"/>
      <c r="N48" s="1367" t="s">
        <v>1391</v>
      </c>
      <c r="O48" s="1351"/>
      <c r="P48" s="1351"/>
      <c r="Q48" s="1351"/>
      <c r="R48" s="1351"/>
      <c r="S48" s="1352"/>
      <c r="T48" s="410"/>
      <c r="U48" s="410"/>
      <c r="V48" s="542">
        <f>IF(M45="","",IF(V44-V45&lt;0,0,V44-V45-V47))</f>
        <v>0</v>
      </c>
      <c r="W48" s="410"/>
      <c r="X48" s="549"/>
    </row>
    <row r="49" spans="2:24" s="294" customFormat="1" ht="16.899999999999999" customHeight="1">
      <c r="B49" s="1370"/>
      <c r="C49" s="456" t="s">
        <v>266</v>
      </c>
      <c r="D49" s="446" t="s">
        <v>267</v>
      </c>
      <c r="E49" s="447">
        <f>R45</f>
        <v>0</v>
      </c>
      <c r="F49" s="457">
        <v>11</v>
      </c>
      <c r="G49" s="449"/>
      <c r="H49" s="449"/>
      <c r="I49" s="450"/>
      <c r="J49" s="451"/>
      <c r="K49" s="452"/>
      <c r="L49" s="452"/>
      <c r="M49" s="452"/>
      <c r="N49" s="452"/>
      <c r="O49" s="452"/>
      <c r="P49" s="452"/>
      <c r="Q49" s="452"/>
      <c r="R49" s="452"/>
      <c r="S49" s="452"/>
      <c r="T49" s="452"/>
      <c r="U49" s="452"/>
      <c r="V49" s="543"/>
      <c r="W49" s="452"/>
      <c r="X49" s="550"/>
    </row>
    <row r="50" spans="2:24" ht="16.899999999999999" customHeight="1">
      <c r="B50" s="1370" t="s">
        <v>1258</v>
      </c>
      <c r="C50" s="437" t="s">
        <v>104</v>
      </c>
      <c r="D50" s="438" t="s">
        <v>291</v>
      </c>
      <c r="E50" s="439">
        <f>M53</f>
        <v>0</v>
      </c>
      <c r="F50" s="440">
        <v>0</v>
      </c>
      <c r="G50" s="454"/>
      <c r="H50" s="454"/>
      <c r="I50" s="455"/>
      <c r="J50" s="444"/>
      <c r="K50" s="1375" t="s">
        <v>249</v>
      </c>
      <c r="L50" s="1368" t="s">
        <v>11</v>
      </c>
      <c r="M50" s="1377" t="s">
        <v>291</v>
      </c>
      <c r="N50" s="1368" t="s">
        <v>953</v>
      </c>
      <c r="O50" s="1368" t="s">
        <v>290</v>
      </c>
      <c r="P50" s="1368" t="s">
        <v>253</v>
      </c>
      <c r="Q50" s="1373" t="s">
        <v>48</v>
      </c>
      <c r="R50" s="1368" t="s">
        <v>1367</v>
      </c>
      <c r="S50" s="1379" t="s">
        <v>1262</v>
      </c>
      <c r="T50" s="1368" t="s">
        <v>252</v>
      </c>
      <c r="U50" s="1379" t="s">
        <v>954</v>
      </c>
      <c r="V50" s="1380" t="s">
        <v>1059</v>
      </c>
      <c r="W50" s="1379" t="s">
        <v>254</v>
      </c>
      <c r="X50" s="1382" t="s">
        <v>1060</v>
      </c>
    </row>
    <row r="51" spans="2:24" ht="16.899999999999999" customHeight="1">
      <c r="B51" s="1370"/>
      <c r="C51" s="337" t="s">
        <v>268</v>
      </c>
      <c r="D51" s="406" t="s">
        <v>1256</v>
      </c>
      <c r="E51" s="356">
        <f>IF(SUM(G51:I51)=0,0,SUM(G51:I51))</f>
        <v>0</v>
      </c>
      <c r="F51" s="287">
        <v>0</v>
      </c>
      <c r="G51" s="310"/>
      <c r="H51" s="310"/>
      <c r="I51" s="396"/>
      <c r="J51" s="293"/>
      <c r="K51" s="1376"/>
      <c r="L51" s="1369"/>
      <c r="M51" s="1378"/>
      <c r="N51" s="1369"/>
      <c r="O51" s="1369"/>
      <c r="P51" s="1369"/>
      <c r="Q51" s="1374"/>
      <c r="R51" s="1369"/>
      <c r="S51" s="1369"/>
      <c r="T51" s="1369"/>
      <c r="U51" s="1369"/>
      <c r="V51" s="1381"/>
      <c r="W51" s="1369"/>
      <c r="X51" s="1383"/>
    </row>
    <row r="52" spans="2:24" ht="16.899999999999999" customHeight="1">
      <c r="B52" s="1370"/>
      <c r="C52" s="336" t="s">
        <v>1392</v>
      </c>
      <c r="D52" s="406" t="s">
        <v>1256</v>
      </c>
      <c r="E52" s="356">
        <f>IF(SUM(G52:I52)=0,0,SUM(G52:I52))</f>
        <v>0</v>
      </c>
      <c r="F52" s="287">
        <v>0</v>
      </c>
      <c r="G52" s="310"/>
      <c r="H52" s="310"/>
      <c r="I52" s="396"/>
      <c r="J52" s="293"/>
      <c r="K52" s="1371" t="str">
        <f>B50</f>
        <v>POWER OIL</v>
      </c>
      <c r="L52" s="307" t="s">
        <v>255</v>
      </c>
      <c r="M52" s="347"/>
      <c r="N52" s="308"/>
      <c r="O52" s="159"/>
      <c r="P52" s="308"/>
      <c r="Q52" s="328"/>
      <c r="R52" s="308"/>
      <c r="S52" s="536">
        <f>VLOOKUP(M52,TANKPOWEROIL,2,FALSE)</f>
        <v>0</v>
      </c>
      <c r="T52" s="534">
        <f>IF(M52="",0,VLOOKUP(U52,SHELL_FACTOR,2))</f>
        <v>0</v>
      </c>
      <c r="U52" s="323">
        <f>IF(N52=0,0,ROUND(((N52*7)+O52)/8,0))</f>
        <v>0</v>
      </c>
      <c r="V52" s="535">
        <f>S52*W52*T52</f>
        <v>0</v>
      </c>
      <c r="W52" s="267">
        <f>IF(N52=0,0,INDEX(FACTOR_TABLE,MATCH(MROUND(N52,0.5),TEMP_RANGE,1),MATCH(MROUND(P52,0.5),API_RANGE,1)))</f>
        <v>0</v>
      </c>
      <c r="X52" s="547">
        <f>V52-(Q52*V52/100)</f>
        <v>0</v>
      </c>
    </row>
    <row r="53" spans="2:24" ht="16.899999999999999" customHeight="1">
      <c r="B53" s="1370"/>
      <c r="C53" s="337" t="s">
        <v>952</v>
      </c>
      <c r="D53" s="296" t="s">
        <v>50</v>
      </c>
      <c r="E53" s="356">
        <f>N53</f>
        <v>0</v>
      </c>
      <c r="F53" s="287">
        <v>0</v>
      </c>
      <c r="G53" s="311"/>
      <c r="H53" s="311"/>
      <c r="I53" s="312"/>
      <c r="J53" s="293"/>
      <c r="K53" s="1372"/>
      <c r="L53" s="321" t="s">
        <v>256</v>
      </c>
      <c r="M53" s="347"/>
      <c r="N53" s="308"/>
      <c r="O53" s="159"/>
      <c r="P53" s="308"/>
      <c r="Q53" s="328"/>
      <c r="R53" s="308"/>
      <c r="S53" s="537">
        <f>IF(M53="",0,VLOOKUP(M53,TANKPOWEROIL,2,FALSE))</f>
        <v>0</v>
      </c>
      <c r="T53" s="534">
        <f>IF(M53="",0,VLOOKUP(U53,SHELL_FACTOR,2))</f>
        <v>0</v>
      </c>
      <c r="U53" s="330" t="str">
        <f>IF(M53="","",IF(N53=0,0,ROUND(((N53*7)+O53)/8,0)))</f>
        <v/>
      </c>
      <c r="V53" s="540">
        <f>S53*W53*T53</f>
        <v>0</v>
      </c>
      <c r="W53" s="498">
        <f>IF(N53=0,0,INDEX(FACTOR_TABLE,MATCH(MROUND(N53,0.5),TEMP_RANGE,1),MATCH(MROUND(P53,0.5),API_RANGE,1)))</f>
        <v>0</v>
      </c>
      <c r="X53" s="548" t="str">
        <f>IF(M53="","",V53-(Q53*V53/100))</f>
        <v/>
      </c>
    </row>
    <row r="54" spans="2:24" ht="16.899999999999999" customHeight="1">
      <c r="B54" s="1370"/>
      <c r="C54" s="336" t="s">
        <v>269</v>
      </c>
      <c r="D54" s="296" t="s">
        <v>50</v>
      </c>
      <c r="E54" s="356">
        <f>O53</f>
        <v>0</v>
      </c>
      <c r="F54" s="287">
        <v>0</v>
      </c>
      <c r="G54" s="311"/>
      <c r="H54" s="311"/>
      <c r="I54" s="312"/>
      <c r="J54" s="293"/>
      <c r="K54" s="353" t="s">
        <v>1257</v>
      </c>
      <c r="L54" s="334"/>
      <c r="M54" s="335"/>
      <c r="N54" s="335"/>
      <c r="O54" s="335"/>
      <c r="P54" s="333"/>
      <c r="Q54" s="333"/>
      <c r="R54" s="345"/>
      <c r="S54" s="345"/>
      <c r="T54" s="346"/>
      <c r="U54" s="333"/>
      <c r="V54" s="545"/>
      <c r="W54" s="333"/>
      <c r="X54" s="551"/>
    </row>
    <row r="55" spans="2:24" ht="16.899999999999999" customHeight="1">
      <c r="B55" s="1370"/>
      <c r="C55" s="336" t="s">
        <v>253</v>
      </c>
      <c r="D55" s="296" t="s">
        <v>270</v>
      </c>
      <c r="E55" s="363">
        <f>P53</f>
        <v>0</v>
      </c>
      <c r="F55" s="326">
        <v>0</v>
      </c>
      <c r="G55" s="311"/>
      <c r="H55" s="311"/>
      <c r="I55" s="312"/>
      <c r="J55" s="293"/>
      <c r="K55" s="410"/>
      <c r="L55" s="410"/>
      <c r="M55" s="410"/>
      <c r="N55" s="1367" t="s">
        <v>1259</v>
      </c>
      <c r="O55" s="1351"/>
      <c r="P55" s="1351"/>
      <c r="Q55" s="1351"/>
      <c r="R55" s="1351"/>
      <c r="S55" s="1352"/>
      <c r="T55" s="458"/>
      <c r="U55" s="458"/>
      <c r="V55" s="542" t="str">
        <f>IF(M53="","",IF(X52-X53&lt;0,0,X52-X53))</f>
        <v/>
      </c>
      <c r="W55" s="410"/>
      <c r="X55" s="549"/>
    </row>
    <row r="56" spans="2:24" ht="16.899999999999999" customHeight="1">
      <c r="B56" s="1370"/>
      <c r="C56" s="336" t="s">
        <v>48</v>
      </c>
      <c r="D56" s="296" t="s">
        <v>49</v>
      </c>
      <c r="E56" s="362">
        <f>Q53</f>
        <v>0</v>
      </c>
      <c r="F56" s="327">
        <v>0</v>
      </c>
      <c r="G56" s="311"/>
      <c r="H56" s="311"/>
      <c r="I56" s="312"/>
      <c r="J56" s="293"/>
      <c r="K56" s="458"/>
      <c r="L56" s="458"/>
      <c r="M56" s="458"/>
      <c r="N56" s="1367" t="s">
        <v>1391</v>
      </c>
      <c r="O56" s="1351"/>
      <c r="P56" s="1351"/>
      <c r="Q56" s="1351"/>
      <c r="R56" s="1351"/>
      <c r="S56" s="1352"/>
      <c r="T56" s="410"/>
      <c r="U56" s="410"/>
      <c r="V56" s="542" t="str">
        <f>IF(M53="","",IF(V52-V53&lt;0,0,V52-V53-V55))</f>
        <v/>
      </c>
      <c r="W56" s="410"/>
      <c r="X56" s="549"/>
    </row>
    <row r="57" spans="2:24" ht="16.899999999999999" customHeight="1">
      <c r="B57" s="1370"/>
      <c r="C57" s="445" t="s">
        <v>266</v>
      </c>
      <c r="D57" s="446" t="s">
        <v>267</v>
      </c>
      <c r="E57" s="447">
        <f>R53</f>
        <v>0</v>
      </c>
      <c r="F57" s="457">
        <v>0</v>
      </c>
      <c r="G57" s="449"/>
      <c r="H57" s="449"/>
      <c r="I57" s="450"/>
      <c r="J57" s="451"/>
      <c r="K57" s="452"/>
      <c r="L57" s="452"/>
      <c r="M57" s="452"/>
      <c r="N57" s="452"/>
      <c r="O57" s="452"/>
      <c r="P57" s="452"/>
      <c r="Q57" s="452"/>
      <c r="R57" s="452"/>
      <c r="S57" s="452"/>
      <c r="T57" s="452"/>
      <c r="U57" s="452"/>
      <c r="V57" s="543"/>
      <c r="W57" s="452"/>
      <c r="X57" s="550"/>
    </row>
    <row r="58" spans="2:24" s="294" customFormat="1" ht="16.899999999999999" customHeight="1">
      <c r="B58" s="1370" t="s">
        <v>1248</v>
      </c>
      <c r="C58" s="453" t="s">
        <v>104</v>
      </c>
      <c r="D58" s="438" t="s">
        <v>1261</v>
      </c>
      <c r="E58" s="506">
        <f>M61</f>
        <v>0</v>
      </c>
      <c r="F58" s="507">
        <v>0</v>
      </c>
      <c r="G58" s="454"/>
      <c r="H58" s="454"/>
      <c r="I58" s="455"/>
      <c r="J58" s="444"/>
      <c r="K58" s="1375" t="s">
        <v>249</v>
      </c>
      <c r="L58" s="1368" t="s">
        <v>11</v>
      </c>
      <c r="M58" s="1377" t="s">
        <v>1261</v>
      </c>
      <c r="N58" s="1368" t="s">
        <v>953</v>
      </c>
      <c r="O58" s="1368" t="s">
        <v>290</v>
      </c>
      <c r="P58" s="1368" t="s">
        <v>253</v>
      </c>
      <c r="Q58" s="1373" t="s">
        <v>48</v>
      </c>
      <c r="R58" s="1368" t="s">
        <v>1367</v>
      </c>
      <c r="S58" s="1379" t="s">
        <v>1262</v>
      </c>
      <c r="T58" s="1368" t="s">
        <v>252</v>
      </c>
      <c r="U58" s="1379" t="s">
        <v>954</v>
      </c>
      <c r="V58" s="1380" t="s">
        <v>1059</v>
      </c>
      <c r="W58" s="1379" t="s">
        <v>254</v>
      </c>
      <c r="X58" s="1382" t="s">
        <v>1060</v>
      </c>
    </row>
    <row r="59" spans="2:24" s="294" customFormat="1" ht="16.899999999999999" customHeight="1">
      <c r="B59" s="1370"/>
      <c r="C59" s="338" t="s">
        <v>268</v>
      </c>
      <c r="D59" s="406" t="s">
        <v>1256</v>
      </c>
      <c r="E59" s="508">
        <f>IF(SUM(G59:I59)=0,0,SUM(G59:I59))</f>
        <v>0</v>
      </c>
      <c r="F59" s="509">
        <v>0</v>
      </c>
      <c r="G59" s="310"/>
      <c r="H59" s="310"/>
      <c r="I59" s="396"/>
      <c r="J59" s="293"/>
      <c r="K59" s="1376"/>
      <c r="L59" s="1369"/>
      <c r="M59" s="1378"/>
      <c r="N59" s="1369"/>
      <c r="O59" s="1369"/>
      <c r="P59" s="1369"/>
      <c r="Q59" s="1374"/>
      <c r="R59" s="1369"/>
      <c r="S59" s="1369"/>
      <c r="T59" s="1369"/>
      <c r="U59" s="1369"/>
      <c r="V59" s="1381"/>
      <c r="W59" s="1369"/>
      <c r="X59" s="1383"/>
    </row>
    <row r="60" spans="2:24" s="294" customFormat="1" ht="16.899999999999999" customHeight="1">
      <c r="B60" s="1370"/>
      <c r="C60" s="338" t="s">
        <v>1392</v>
      </c>
      <c r="D60" s="406" t="s">
        <v>1256</v>
      </c>
      <c r="E60" s="508">
        <f>IF(SUM(G60:I60)=0,0,SUM(G60:I60))</f>
        <v>0</v>
      </c>
      <c r="F60" s="509">
        <v>0</v>
      </c>
      <c r="G60" s="310"/>
      <c r="H60" s="310"/>
      <c r="I60" s="396"/>
      <c r="J60" s="293"/>
      <c r="K60" s="1371" t="str">
        <f>B58</f>
        <v>OAPCO TANK</v>
      </c>
      <c r="L60" s="307" t="s">
        <v>255</v>
      </c>
      <c r="M60" s="463"/>
      <c r="N60" s="308"/>
      <c r="O60" s="159"/>
      <c r="P60" s="308"/>
      <c r="Q60" s="328"/>
      <c r="R60" s="308"/>
      <c r="S60" s="536">
        <f>VLOOKUP(M60,OAPCOTANK,2,FALSE)</f>
        <v>0</v>
      </c>
      <c r="T60" s="534">
        <f>IF(M60="",0,VLOOKUP(U60,SHELL_FACTOR,2))</f>
        <v>0</v>
      </c>
      <c r="U60" s="323">
        <f>IF(N60=0,0,ROUND(((N60*7)+O60)/8,0))</f>
        <v>0</v>
      </c>
      <c r="V60" s="535">
        <f>S60*W60*T60</f>
        <v>0</v>
      </c>
      <c r="W60" s="267">
        <f>IF(N60=0,0,INDEX(FACTOR_TABLE,MATCH(MROUND(N60,0.5),TEMP_RANGE,1),MATCH(MROUND(P60,0.5),API_RANGE,1)))</f>
        <v>0</v>
      </c>
      <c r="X60" s="547" t="str">
        <f>IF(M60="","",V60-(Q60*V60/100))</f>
        <v/>
      </c>
    </row>
    <row r="61" spans="2:24" s="294" customFormat="1" ht="16.899999999999999" customHeight="1">
      <c r="B61" s="1370"/>
      <c r="C61" s="339" t="s">
        <v>952</v>
      </c>
      <c r="D61" s="296" t="s">
        <v>50</v>
      </c>
      <c r="E61" s="508">
        <f>N61</f>
        <v>0</v>
      </c>
      <c r="F61" s="509">
        <v>0</v>
      </c>
      <c r="G61" s="311"/>
      <c r="H61" s="311"/>
      <c r="I61" s="312"/>
      <c r="J61" s="293"/>
      <c r="K61" s="1372"/>
      <c r="L61" s="321" t="s">
        <v>256</v>
      </c>
      <c r="M61" s="463"/>
      <c r="N61" s="308"/>
      <c r="O61" s="159"/>
      <c r="P61" s="308"/>
      <c r="Q61" s="328"/>
      <c r="R61" s="308"/>
      <c r="S61" s="537">
        <f>VLOOKUP(M61,OAPCOTANK,2,FALSE)</f>
        <v>0</v>
      </c>
      <c r="T61" s="534">
        <f>IF(M61="",0,VLOOKUP(U61,SHELL_FACTOR,2))</f>
        <v>0</v>
      </c>
      <c r="U61" s="330" t="str">
        <f>IF(M61="","",IF(N61=0,0,ROUND(((N61*7)+O61)/8,0)))</f>
        <v/>
      </c>
      <c r="V61" s="540">
        <f>S61*W61*T61</f>
        <v>0</v>
      </c>
      <c r="W61" s="498">
        <f>IF(N61=0,0,INDEX(FACTOR_TABLE,MATCH(MROUND(N61,0.5),TEMP_RANGE,1),MATCH(MROUND(P61,0.5),API_RANGE,1)))</f>
        <v>0</v>
      </c>
      <c r="X61" s="548" t="str">
        <f>IF(M61="","",V61-(Q61*V61/100))</f>
        <v/>
      </c>
    </row>
    <row r="62" spans="2:24" s="294" customFormat="1" ht="16.899999999999999" customHeight="1">
      <c r="B62" s="1370"/>
      <c r="C62" s="338" t="s">
        <v>269</v>
      </c>
      <c r="D62" s="296" t="s">
        <v>50</v>
      </c>
      <c r="E62" s="508">
        <f>O61</f>
        <v>0</v>
      </c>
      <c r="F62" s="509">
        <v>0</v>
      </c>
      <c r="G62" s="311"/>
      <c r="H62" s="311"/>
      <c r="I62" s="312"/>
      <c r="J62" s="293"/>
      <c r="K62" s="333"/>
      <c r="L62" s="333"/>
      <c r="M62" s="333"/>
      <c r="N62" s="333"/>
      <c r="O62" s="333"/>
      <c r="P62" s="333"/>
      <c r="Q62" s="333"/>
      <c r="R62" s="333"/>
      <c r="S62" s="333"/>
      <c r="T62" s="333"/>
      <c r="U62" s="333"/>
      <c r="V62" s="544"/>
      <c r="W62" s="333"/>
      <c r="X62" s="551"/>
    </row>
    <row r="63" spans="2:24" s="294" customFormat="1" ht="16.899999999999999" customHeight="1">
      <c r="B63" s="1370"/>
      <c r="C63" s="338" t="s">
        <v>253</v>
      </c>
      <c r="D63" s="296" t="s">
        <v>270</v>
      </c>
      <c r="E63" s="510">
        <f>P61</f>
        <v>0</v>
      </c>
      <c r="F63" s="511">
        <v>0</v>
      </c>
      <c r="G63" s="311"/>
      <c r="H63" s="311"/>
      <c r="I63" s="312"/>
      <c r="J63" s="293"/>
      <c r="K63" s="410"/>
      <c r="L63" s="410"/>
      <c r="M63" s="410"/>
      <c r="N63" s="1367" t="s">
        <v>1259</v>
      </c>
      <c r="O63" s="1351"/>
      <c r="P63" s="1351"/>
      <c r="Q63" s="1351"/>
      <c r="R63" s="1351"/>
      <c r="S63" s="1352"/>
      <c r="T63" s="410"/>
      <c r="U63" s="410"/>
      <c r="V63" s="542" t="str">
        <f>IF(M61="","",IF(X60-X61&lt;0,0,X60-X61))</f>
        <v/>
      </c>
      <c r="W63" s="410"/>
      <c r="X63" s="549"/>
    </row>
    <row r="64" spans="2:24" s="294" customFormat="1" ht="16.899999999999999" customHeight="1">
      <c r="B64" s="1370"/>
      <c r="C64" s="338" t="s">
        <v>48</v>
      </c>
      <c r="D64" s="296" t="s">
        <v>49</v>
      </c>
      <c r="E64" s="512">
        <f>Q61</f>
        <v>0</v>
      </c>
      <c r="F64" s="513">
        <v>0</v>
      </c>
      <c r="G64" s="311"/>
      <c r="H64" s="311"/>
      <c r="I64" s="312"/>
      <c r="J64" s="293"/>
      <c r="K64" s="410"/>
      <c r="L64" s="410"/>
      <c r="M64" s="410"/>
      <c r="N64" s="1367" t="s">
        <v>1391</v>
      </c>
      <c r="O64" s="1351"/>
      <c r="P64" s="1351"/>
      <c r="Q64" s="1351"/>
      <c r="R64" s="1351"/>
      <c r="S64" s="1352"/>
      <c r="T64" s="410"/>
      <c r="U64" s="410"/>
      <c r="V64" s="542" t="str">
        <f>IF(M61="","",IF(V60-V61&lt;0,0,V60-V61-V63))</f>
        <v/>
      </c>
      <c r="W64" s="410"/>
      <c r="X64" s="549"/>
    </row>
    <row r="65" spans="2:24" s="294" customFormat="1" ht="16.899999999999999" customHeight="1">
      <c r="B65" s="1370"/>
      <c r="C65" s="456" t="s">
        <v>266</v>
      </c>
      <c r="D65" s="446" t="s">
        <v>267</v>
      </c>
      <c r="E65" s="514">
        <f>R61</f>
        <v>0</v>
      </c>
      <c r="F65" s="513">
        <v>0</v>
      </c>
      <c r="G65" s="449"/>
      <c r="H65" s="449"/>
      <c r="I65" s="450"/>
      <c r="J65" s="451"/>
      <c r="K65" s="452"/>
      <c r="L65" s="452"/>
      <c r="M65" s="452"/>
      <c r="N65" s="452"/>
      <c r="O65" s="452"/>
      <c r="P65" s="452"/>
      <c r="Q65" s="452"/>
      <c r="R65" s="452"/>
      <c r="S65" s="452"/>
      <c r="T65" s="452"/>
      <c r="U65" s="452"/>
      <c r="V65" s="543"/>
      <c r="W65" s="452"/>
      <c r="X65" s="550"/>
    </row>
    <row r="66" spans="2:24" ht="16.899999999999999" customHeight="1">
      <c r="B66" s="1370" t="s">
        <v>1251</v>
      </c>
      <c r="C66" s="437" t="s">
        <v>104</v>
      </c>
      <c r="D66" s="438" t="s">
        <v>1261</v>
      </c>
      <c r="E66" s="506">
        <f>_TK5</f>
        <v>0</v>
      </c>
      <c r="F66" s="507">
        <v>0</v>
      </c>
      <c r="G66" s="454"/>
      <c r="H66" s="454"/>
      <c r="I66" s="455"/>
      <c r="J66" s="444"/>
      <c r="K66" s="1375" t="s">
        <v>249</v>
      </c>
      <c r="L66" s="1368" t="s">
        <v>11</v>
      </c>
      <c r="M66" s="1377" t="s">
        <v>1261</v>
      </c>
      <c r="N66" s="1368" t="s">
        <v>953</v>
      </c>
      <c r="O66" s="1368" t="s">
        <v>290</v>
      </c>
      <c r="P66" s="1368" t="s">
        <v>253</v>
      </c>
      <c r="Q66" s="1373" t="s">
        <v>48</v>
      </c>
      <c r="R66" s="1368" t="s">
        <v>1367</v>
      </c>
      <c r="S66" s="1379" t="s">
        <v>1262</v>
      </c>
      <c r="T66" s="1368" t="s">
        <v>252</v>
      </c>
      <c r="U66" s="1379" t="s">
        <v>954</v>
      </c>
      <c r="V66" s="1380" t="s">
        <v>1059</v>
      </c>
      <c r="W66" s="1379" t="s">
        <v>254</v>
      </c>
      <c r="X66" s="1382" t="s">
        <v>1060</v>
      </c>
    </row>
    <row r="67" spans="2:24" ht="16.899999999999999" customHeight="1">
      <c r="B67" s="1370"/>
      <c r="C67" s="337" t="s">
        <v>268</v>
      </c>
      <c r="D67" s="406" t="s">
        <v>1256</v>
      </c>
      <c r="E67" s="508">
        <f>IF(SUM(G67:I67)=0,0,SUM(G67:I67))</f>
        <v>0</v>
      </c>
      <c r="F67" s="509">
        <v>0</v>
      </c>
      <c r="G67" s="310"/>
      <c r="H67" s="310"/>
      <c r="I67" s="396"/>
      <c r="J67" s="293"/>
      <c r="K67" s="1376"/>
      <c r="L67" s="1369"/>
      <c r="M67" s="1378"/>
      <c r="N67" s="1369"/>
      <c r="O67" s="1369"/>
      <c r="P67" s="1369"/>
      <c r="Q67" s="1374"/>
      <c r="R67" s="1369"/>
      <c r="S67" s="1369"/>
      <c r="T67" s="1369"/>
      <c r="U67" s="1369"/>
      <c r="V67" s="1381"/>
      <c r="W67" s="1369"/>
      <c r="X67" s="1383"/>
    </row>
    <row r="68" spans="2:24" ht="16.899999999999999" customHeight="1">
      <c r="B68" s="1370"/>
      <c r="C68" s="336" t="s">
        <v>1392</v>
      </c>
      <c r="D68" s="406" t="s">
        <v>1256</v>
      </c>
      <c r="E68" s="508">
        <f>IF(SUM(G68:I68)=0,0,SUM(G68:I68))</f>
        <v>0</v>
      </c>
      <c r="F68" s="509">
        <v>0</v>
      </c>
      <c r="G68" s="310"/>
      <c r="H68" s="310"/>
      <c r="I68" s="396"/>
      <c r="J68" s="293"/>
      <c r="K68" s="1371" t="str">
        <f>B66</f>
        <v>GPC TANK 1</v>
      </c>
      <c r="L68" s="307" t="s">
        <v>255</v>
      </c>
      <c r="M68" s="463"/>
      <c r="N68" s="308"/>
      <c r="O68" s="159"/>
      <c r="P68" s="308"/>
      <c r="Q68" s="328"/>
      <c r="R68" s="308"/>
      <c r="S68" s="536">
        <f>VLOOKUP(M68,GPCTANK1,2,FALSE)</f>
        <v>0</v>
      </c>
      <c r="T68" s="534">
        <f>IF(M68="",0,VLOOKUP(U68,SHELL_FACTOR,2))</f>
        <v>0</v>
      </c>
      <c r="U68" s="323">
        <f>IF(N68=0,0,ROUND(((N68*7)+O68)/8,0))</f>
        <v>0</v>
      </c>
      <c r="V68" s="535">
        <f>S68*W68*T68</f>
        <v>0</v>
      </c>
      <c r="W68" s="267">
        <f>IF(N68=0,0,INDEX(FACTOR_TABLE,MATCH(MROUND(N68,0.5),TEMP_RANGE,1),MATCH(MROUND(P68,0.5),API_RANGE,1)))</f>
        <v>0</v>
      </c>
      <c r="X68" s="547">
        <f>V68-(Q68*V68/100)</f>
        <v>0</v>
      </c>
    </row>
    <row r="69" spans="2:24" ht="16.899999999999999" customHeight="1">
      <c r="B69" s="1370"/>
      <c r="C69" s="337" t="s">
        <v>952</v>
      </c>
      <c r="D69" s="296" t="s">
        <v>50</v>
      </c>
      <c r="E69" s="508">
        <f>N69</f>
        <v>0</v>
      </c>
      <c r="F69" s="509">
        <v>0</v>
      </c>
      <c r="G69" s="311"/>
      <c r="H69" s="311"/>
      <c r="I69" s="312"/>
      <c r="J69" s="293"/>
      <c r="K69" s="1372"/>
      <c r="L69" s="321" t="s">
        <v>256</v>
      </c>
      <c r="M69" s="463"/>
      <c r="N69" s="308"/>
      <c r="O69" s="159"/>
      <c r="P69" s="308"/>
      <c r="Q69" s="328"/>
      <c r="R69" s="308"/>
      <c r="S69" s="537">
        <f>VLOOKUP(M69,GPCTANK1,2,FALSE)</f>
        <v>0</v>
      </c>
      <c r="T69" s="534">
        <f>IF(M69="",0,VLOOKUP(U69,SHELL_FACTOR,2))</f>
        <v>0</v>
      </c>
      <c r="U69" s="330" t="str">
        <f>IF(M69="","",IF(N69=0,0,ROUND(((N69*7)+O69)/8,0)))</f>
        <v/>
      </c>
      <c r="V69" s="540">
        <f>S69*W69*T69</f>
        <v>0</v>
      </c>
      <c r="W69" s="498">
        <f>IF(N69=0,0,INDEX(FACTOR_TABLE,MATCH(MROUND(N69,0.5),TEMP_RANGE,1),MATCH(MROUND(P69,0.5),API_RANGE,1)))</f>
        <v>0</v>
      </c>
      <c r="X69" s="548" t="str">
        <f>IF(M69="","",V69-(Q69*V69/100))</f>
        <v/>
      </c>
    </row>
    <row r="70" spans="2:24" ht="16.899999999999999" customHeight="1">
      <c r="B70" s="1370"/>
      <c r="C70" s="336" t="s">
        <v>269</v>
      </c>
      <c r="D70" s="296" t="s">
        <v>50</v>
      </c>
      <c r="E70" s="508">
        <f>O69</f>
        <v>0</v>
      </c>
      <c r="F70" s="509">
        <v>0</v>
      </c>
      <c r="G70" s="311"/>
      <c r="H70" s="311"/>
      <c r="I70" s="312"/>
      <c r="J70" s="293"/>
      <c r="K70" s="353" t="s">
        <v>1257</v>
      </c>
      <c r="L70" s="334"/>
      <c r="M70" s="335"/>
      <c r="N70" s="335"/>
      <c r="O70" s="335">
        <v>82</v>
      </c>
      <c r="P70" s="333"/>
      <c r="Q70" s="333"/>
      <c r="R70" s="345"/>
      <c r="S70" s="345"/>
      <c r="T70" s="346"/>
      <c r="U70" s="333"/>
      <c r="V70" s="545"/>
      <c r="W70" s="333"/>
      <c r="X70" s="551"/>
    </row>
    <row r="71" spans="2:24" ht="16.899999999999999" customHeight="1">
      <c r="B71" s="1370"/>
      <c r="C71" s="336" t="s">
        <v>253</v>
      </c>
      <c r="D71" s="296" t="s">
        <v>270</v>
      </c>
      <c r="E71" s="510">
        <f>P69</f>
        <v>0</v>
      </c>
      <c r="F71" s="511">
        <v>0</v>
      </c>
      <c r="G71" s="311"/>
      <c r="H71" s="311"/>
      <c r="I71" s="312"/>
      <c r="J71" s="293"/>
      <c r="K71" s="410"/>
      <c r="L71" s="410"/>
      <c r="M71" s="410"/>
      <c r="N71" s="1367" t="s">
        <v>1259</v>
      </c>
      <c r="O71" s="1351"/>
      <c r="P71" s="1351"/>
      <c r="Q71" s="1351"/>
      <c r="R71" s="1351"/>
      <c r="S71" s="1352"/>
      <c r="T71" s="458"/>
      <c r="U71" s="458"/>
      <c r="V71" s="542" t="str">
        <f>IF(M69="","",IF(X68-X69&lt;0,0,X68-X69))</f>
        <v/>
      </c>
      <c r="W71" s="410"/>
      <c r="X71" s="549"/>
    </row>
    <row r="72" spans="2:24" ht="16.899999999999999" customHeight="1">
      <c r="B72" s="1370"/>
      <c r="C72" s="336" t="s">
        <v>48</v>
      </c>
      <c r="D72" s="296" t="s">
        <v>49</v>
      </c>
      <c r="E72" s="512">
        <f>Q69</f>
        <v>0</v>
      </c>
      <c r="F72" s="513">
        <v>0</v>
      </c>
      <c r="G72" s="311"/>
      <c r="H72" s="311"/>
      <c r="I72" s="312"/>
      <c r="J72" s="293"/>
      <c r="K72" s="458"/>
      <c r="L72" s="458"/>
      <c r="M72" s="458"/>
      <c r="N72" s="1367" t="s">
        <v>1391</v>
      </c>
      <c r="O72" s="1351"/>
      <c r="P72" s="1351"/>
      <c r="Q72" s="1351"/>
      <c r="R72" s="1351"/>
      <c r="S72" s="1352"/>
      <c r="T72" s="410"/>
      <c r="U72" s="410"/>
      <c r="V72" s="542" t="str">
        <f>IF(M69="","",IF(V68-V69&lt;0,0,V68-V69-V71))</f>
        <v/>
      </c>
      <c r="W72" s="410"/>
      <c r="X72" s="549"/>
    </row>
    <row r="73" spans="2:24" ht="16.899999999999999" customHeight="1">
      <c r="B73" s="1370"/>
      <c r="C73" s="445" t="s">
        <v>266</v>
      </c>
      <c r="D73" s="446" t="s">
        <v>267</v>
      </c>
      <c r="E73" s="514">
        <f>R69</f>
        <v>0</v>
      </c>
      <c r="F73" s="515">
        <v>0</v>
      </c>
      <c r="G73" s="449"/>
      <c r="H73" s="449"/>
      <c r="I73" s="450"/>
      <c r="J73" s="451"/>
      <c r="K73" s="452"/>
      <c r="L73" s="452"/>
      <c r="M73" s="452"/>
      <c r="N73" s="452"/>
      <c r="O73" s="452"/>
      <c r="P73" s="452"/>
      <c r="Q73" s="452"/>
      <c r="R73" s="452"/>
      <c r="S73" s="452"/>
      <c r="T73" s="452"/>
      <c r="U73" s="452"/>
      <c r="V73" s="543"/>
      <c r="W73" s="452"/>
      <c r="X73" s="550"/>
    </row>
    <row r="74" spans="2:24" ht="16.899999999999999" customHeight="1">
      <c r="B74" s="1370" t="s">
        <v>1264</v>
      </c>
      <c r="C74" s="453" t="s">
        <v>104</v>
      </c>
      <c r="D74" s="438" t="s">
        <v>1261</v>
      </c>
      <c r="E74" s="516">
        <f>M77</f>
        <v>0</v>
      </c>
      <c r="F74" s="507">
        <v>0</v>
      </c>
      <c r="G74" s="454"/>
      <c r="H74" s="454"/>
      <c r="I74" s="455"/>
      <c r="J74" s="444"/>
      <c r="K74" s="1375" t="s">
        <v>249</v>
      </c>
      <c r="L74" s="1368" t="s">
        <v>11</v>
      </c>
      <c r="M74" s="1377" t="s">
        <v>1261</v>
      </c>
      <c r="N74" s="1368" t="s">
        <v>953</v>
      </c>
      <c r="O74" s="1368" t="s">
        <v>290</v>
      </c>
      <c r="P74" s="1368" t="s">
        <v>253</v>
      </c>
      <c r="Q74" s="1373" t="s">
        <v>48</v>
      </c>
      <c r="R74" s="1368" t="s">
        <v>1367</v>
      </c>
      <c r="S74" s="1379" t="s">
        <v>1262</v>
      </c>
      <c r="T74" s="1368" t="s">
        <v>252</v>
      </c>
      <c r="U74" s="1379" t="s">
        <v>954</v>
      </c>
      <c r="V74" s="1380" t="s">
        <v>1059</v>
      </c>
      <c r="W74" s="1379" t="s">
        <v>254</v>
      </c>
      <c r="X74" s="1382" t="s">
        <v>1060</v>
      </c>
    </row>
    <row r="75" spans="2:24" ht="16.899999999999999" customHeight="1">
      <c r="B75" s="1370"/>
      <c r="C75" s="338" t="s">
        <v>268</v>
      </c>
      <c r="D75" s="406" t="s">
        <v>1256</v>
      </c>
      <c r="E75" s="508">
        <f>IF(SUM(G75:I75)=0,0,SUM(G75:I75))</f>
        <v>0</v>
      </c>
      <c r="F75" s="509">
        <v>0</v>
      </c>
      <c r="G75" s="310"/>
      <c r="H75" s="310"/>
      <c r="I75" s="396"/>
      <c r="J75" s="293"/>
      <c r="K75" s="1376"/>
      <c r="L75" s="1369"/>
      <c r="M75" s="1378"/>
      <c r="N75" s="1369"/>
      <c r="O75" s="1369"/>
      <c r="P75" s="1369"/>
      <c r="Q75" s="1374"/>
      <c r="R75" s="1369"/>
      <c r="S75" s="1369"/>
      <c r="T75" s="1369"/>
      <c r="U75" s="1369"/>
      <c r="V75" s="1381"/>
      <c r="W75" s="1369"/>
      <c r="X75" s="1383"/>
    </row>
    <row r="76" spans="2:24" ht="16.899999999999999" customHeight="1">
      <c r="B76" s="1370"/>
      <c r="C76" s="338" t="s">
        <v>1392</v>
      </c>
      <c r="D76" s="406" t="s">
        <v>1256</v>
      </c>
      <c r="E76" s="508">
        <f>IF(SUM(G76:I76)=0,0,SUM(G76:I76))</f>
        <v>0</v>
      </c>
      <c r="F76" s="509">
        <v>0</v>
      </c>
      <c r="G76" s="310"/>
      <c r="H76" s="310"/>
      <c r="I76" s="396"/>
      <c r="J76" s="293"/>
      <c r="K76" s="1371" t="str">
        <f>B74</f>
        <v>GPC TANK 2</v>
      </c>
      <c r="L76" s="307" t="s">
        <v>255</v>
      </c>
      <c r="M76" s="463"/>
      <c r="N76" s="308"/>
      <c r="O76" s="159"/>
      <c r="P76" s="308"/>
      <c r="Q76" s="328"/>
      <c r="R76" s="308"/>
      <c r="S76" s="536">
        <f>VLOOKUP(M76,GPCTANK2,2,FALSE)</f>
        <v>0</v>
      </c>
      <c r="T76" s="534">
        <f>IF(M76="",0,VLOOKUP(U76,SHELL_FACTOR,2))</f>
        <v>0</v>
      </c>
      <c r="U76" s="323">
        <f>IF(N76=0,0,ROUND(((N76*7)+O76)/8,0))</f>
        <v>0</v>
      </c>
      <c r="V76" s="535">
        <f>S76*W76*T76</f>
        <v>0</v>
      </c>
      <c r="W76" s="267">
        <f>IF(N76=0,0,INDEX(FACTOR_TABLE,MATCH(MROUND(N76,0.5),TEMP_RANGE,1),MATCH(MROUND(P76,0.5),API_RANGE,1)))</f>
        <v>0</v>
      </c>
      <c r="X76" s="547">
        <f>V76-(Q76*V76/100)</f>
        <v>0</v>
      </c>
    </row>
    <row r="77" spans="2:24" ht="16.899999999999999" customHeight="1">
      <c r="B77" s="1370"/>
      <c r="C77" s="339" t="s">
        <v>952</v>
      </c>
      <c r="D77" s="296">
        <v>19</v>
      </c>
      <c r="E77" s="508">
        <f>N77</f>
        <v>0</v>
      </c>
      <c r="F77" s="509">
        <v>0</v>
      </c>
      <c r="G77" s="311"/>
      <c r="H77" s="311"/>
      <c r="I77" s="312"/>
      <c r="J77" s="293"/>
      <c r="K77" s="1372"/>
      <c r="L77" s="321" t="s">
        <v>256</v>
      </c>
      <c r="M77" s="463"/>
      <c r="N77" s="308"/>
      <c r="O77" s="159"/>
      <c r="P77" s="308"/>
      <c r="Q77" s="328"/>
      <c r="R77" s="308"/>
      <c r="S77" s="537">
        <f>VLOOKUP(M77,GPCTANK2,2,FALSE)</f>
        <v>0</v>
      </c>
      <c r="T77" s="534">
        <f>IF(M77="",0,VLOOKUP(U77,SHELL_FACTOR,2))</f>
        <v>0</v>
      </c>
      <c r="U77" s="330" t="str">
        <f>IF(M77="","",IF(N77=0,0,ROUND(((N77*7)+O77)/8,0)))</f>
        <v/>
      </c>
      <c r="V77" s="540">
        <f>S77*W77*T77</f>
        <v>0</v>
      </c>
      <c r="W77" s="498">
        <f>IF(N77=0,0,INDEX(FACTOR_TABLE,MATCH(MROUND(N77,0.5),TEMP_RANGE,1),MATCH(MROUND(P77,0.5),API_RANGE,1)))</f>
        <v>0</v>
      </c>
      <c r="X77" s="548" t="str">
        <f>IF(M77="","",V77-(Q77*V77/100))</f>
        <v/>
      </c>
    </row>
    <row r="78" spans="2:24" ht="16.899999999999999" customHeight="1">
      <c r="B78" s="1370"/>
      <c r="C78" s="338" t="s">
        <v>269</v>
      </c>
      <c r="D78" s="296" t="s">
        <v>50</v>
      </c>
      <c r="E78" s="508">
        <f>O77</f>
        <v>0</v>
      </c>
      <c r="F78" s="509">
        <v>0</v>
      </c>
      <c r="G78" s="311"/>
      <c r="H78" s="311"/>
      <c r="I78" s="312"/>
      <c r="J78" s="293"/>
      <c r="K78" s="353" t="s">
        <v>1257</v>
      </c>
      <c r="L78" s="334"/>
      <c r="M78" s="335"/>
      <c r="N78" s="335"/>
      <c r="O78" s="335"/>
      <c r="P78" s="333"/>
      <c r="Q78" s="333"/>
      <c r="R78" s="345"/>
      <c r="S78" s="345"/>
      <c r="T78" s="346"/>
      <c r="U78" s="333"/>
      <c r="V78" s="545"/>
      <c r="W78" s="333"/>
      <c r="X78" s="551"/>
    </row>
    <row r="79" spans="2:24" ht="16.899999999999999" customHeight="1">
      <c r="B79" s="1370"/>
      <c r="C79" s="338" t="s">
        <v>253</v>
      </c>
      <c r="D79" s="296" t="s">
        <v>270</v>
      </c>
      <c r="E79" s="510">
        <f>P77</f>
        <v>0</v>
      </c>
      <c r="F79" s="511">
        <v>0</v>
      </c>
      <c r="G79" s="311"/>
      <c r="H79" s="311"/>
      <c r="I79" s="312"/>
      <c r="J79" s="293"/>
      <c r="K79" s="410"/>
      <c r="L79" s="410"/>
      <c r="M79" s="410"/>
      <c r="N79" s="1367" t="s">
        <v>1259</v>
      </c>
      <c r="O79" s="1351"/>
      <c r="P79" s="1351"/>
      <c r="Q79" s="1351"/>
      <c r="R79" s="1351"/>
      <c r="S79" s="1352"/>
      <c r="T79" s="458"/>
      <c r="U79" s="458"/>
      <c r="V79" s="542" t="str">
        <f>IF(M77="","",IF(X76-X77&lt;0,0,X76-X77))</f>
        <v/>
      </c>
      <c r="W79" s="410"/>
      <c r="X79" s="549"/>
    </row>
    <row r="80" spans="2:24" ht="16.899999999999999" customHeight="1">
      <c r="B80" s="1370"/>
      <c r="C80" s="338" t="s">
        <v>48</v>
      </c>
      <c r="D80" s="296" t="s">
        <v>49</v>
      </c>
      <c r="E80" s="512">
        <f>Q77</f>
        <v>0</v>
      </c>
      <c r="F80" s="513">
        <v>0</v>
      </c>
      <c r="G80" s="311"/>
      <c r="H80" s="311"/>
      <c r="I80" s="312"/>
      <c r="J80" s="293"/>
      <c r="K80" s="458"/>
      <c r="L80" s="458"/>
      <c r="M80" s="458"/>
      <c r="N80" s="1367" t="s">
        <v>1391</v>
      </c>
      <c r="O80" s="1351"/>
      <c r="P80" s="1351"/>
      <c r="Q80" s="1351"/>
      <c r="R80" s="1351"/>
      <c r="S80" s="1352"/>
      <c r="T80" s="410"/>
      <c r="U80" s="410"/>
      <c r="V80" s="542" t="str">
        <f>IF(M77="","",IF(V76-V77&lt;0,0,V76-V77-V79))</f>
        <v/>
      </c>
      <c r="W80" s="410"/>
      <c r="X80" s="549"/>
    </row>
    <row r="81" spans="2:24" ht="16.899999999999999" customHeight="1">
      <c r="B81" s="1370"/>
      <c r="C81" s="456" t="s">
        <v>266</v>
      </c>
      <c r="D81" s="446" t="s">
        <v>267</v>
      </c>
      <c r="E81" s="514">
        <f>R77</f>
        <v>0</v>
      </c>
      <c r="F81" s="515">
        <v>0</v>
      </c>
      <c r="G81" s="449"/>
      <c r="H81" s="449"/>
      <c r="I81" s="450"/>
      <c r="J81" s="451"/>
      <c r="K81" s="452"/>
      <c r="L81" s="452"/>
      <c r="M81" s="452"/>
      <c r="N81" s="452"/>
      <c r="O81" s="452"/>
      <c r="P81" s="452"/>
      <c r="Q81" s="452"/>
      <c r="R81" s="452"/>
      <c r="S81" s="452"/>
      <c r="T81" s="452"/>
      <c r="U81" s="452"/>
      <c r="V81" s="543"/>
      <c r="W81" s="452"/>
      <c r="X81" s="550"/>
    </row>
    <row r="82" spans="2:24" s="294" customFormat="1" ht="16.899999999999999" customHeight="1">
      <c r="B82" s="1370" t="s">
        <v>1252</v>
      </c>
      <c r="C82" s="437" t="s">
        <v>104</v>
      </c>
      <c r="D82" s="438" t="s">
        <v>1261</v>
      </c>
      <c r="E82" s="506">
        <f>M85</f>
        <v>0</v>
      </c>
      <c r="F82" s="507">
        <v>0</v>
      </c>
      <c r="G82" s="454"/>
      <c r="H82" s="454"/>
      <c r="I82" s="455"/>
      <c r="J82" s="444"/>
      <c r="K82" s="1375" t="s">
        <v>249</v>
      </c>
      <c r="L82" s="1368" t="s">
        <v>11</v>
      </c>
      <c r="M82" s="1377" t="s">
        <v>1261</v>
      </c>
      <c r="N82" s="1368" t="s">
        <v>953</v>
      </c>
      <c r="O82" s="1368" t="s">
        <v>290</v>
      </c>
      <c r="P82" s="1368" t="s">
        <v>253</v>
      </c>
      <c r="Q82" s="1373" t="s">
        <v>48</v>
      </c>
      <c r="R82" s="1368" t="s">
        <v>1367</v>
      </c>
      <c r="S82" s="1379" t="s">
        <v>1262</v>
      </c>
      <c r="T82" s="1368" t="s">
        <v>252</v>
      </c>
      <c r="U82" s="1379" t="s">
        <v>954</v>
      </c>
      <c r="V82" s="1380" t="s">
        <v>1059</v>
      </c>
      <c r="W82" s="1379" t="s">
        <v>254</v>
      </c>
      <c r="X82" s="1382" t="s">
        <v>1060</v>
      </c>
    </row>
    <row r="83" spans="2:24" s="294" customFormat="1" ht="16.899999999999999" customHeight="1">
      <c r="B83" s="1370"/>
      <c r="C83" s="337" t="s">
        <v>268</v>
      </c>
      <c r="D83" s="406" t="s">
        <v>1698</v>
      </c>
      <c r="E83" s="508">
        <f>IF(SUM(G83:I83)=0,0,SUM(G83:I83))</f>
        <v>0</v>
      </c>
      <c r="F83" s="509">
        <v>0</v>
      </c>
      <c r="G83" s="310"/>
      <c r="H83" s="310"/>
      <c r="I83" s="396"/>
      <c r="J83" s="293"/>
      <c r="K83" s="1376"/>
      <c r="L83" s="1369"/>
      <c r="M83" s="1378"/>
      <c r="N83" s="1369"/>
      <c r="O83" s="1369"/>
      <c r="P83" s="1369"/>
      <c r="Q83" s="1374"/>
      <c r="R83" s="1369"/>
      <c r="S83" s="1369"/>
      <c r="T83" s="1369"/>
      <c r="U83" s="1369"/>
      <c r="V83" s="1381"/>
      <c r="W83" s="1369"/>
      <c r="X83" s="1383"/>
    </row>
    <row r="84" spans="2:24" s="294" customFormat="1" ht="16.899999999999999" customHeight="1">
      <c r="B84" s="1370"/>
      <c r="C84" s="336" t="s">
        <v>1392</v>
      </c>
      <c r="D84" s="406">
        <v>10</v>
      </c>
      <c r="E84" s="508">
        <f>IF(SUM(G84:I84)=0,0,SUM(G84:I84))</f>
        <v>0</v>
      </c>
      <c r="F84" s="509">
        <v>0</v>
      </c>
      <c r="G84" s="310"/>
      <c r="H84" s="310"/>
      <c r="I84" s="396"/>
      <c r="J84" s="293"/>
      <c r="K84" s="1371" t="str">
        <f>B82</f>
        <v>GPC TANK 3</v>
      </c>
      <c r="L84" s="307" t="s">
        <v>255</v>
      </c>
      <c r="M84" s="463"/>
      <c r="N84" s="308"/>
      <c r="O84" s="159"/>
      <c r="P84" s="308"/>
      <c r="Q84" s="328"/>
      <c r="R84" s="308"/>
      <c r="S84" s="536">
        <f>VLOOKUP(M84,GPCTANK3,2,FALSE)</f>
        <v>0</v>
      </c>
      <c r="T84" s="534">
        <f>IF(M84="",0,VLOOKUP(U84,SHELL_FACTOR,2))</f>
        <v>0</v>
      </c>
      <c r="U84" s="323">
        <f>IF(N84=0,0,ROUND(((N84*7)+O84)/8,0))</f>
        <v>0</v>
      </c>
      <c r="V84" s="535">
        <f>S84*W84*T84</f>
        <v>0</v>
      </c>
      <c r="W84" s="267">
        <f>IF(N84=0,0,INDEX(FACTOR_TABLE,MATCH(MROUND(N84,0.5),TEMP_RANGE,1),MATCH(MROUND(P84,0.5),API_RANGE,1)))</f>
        <v>0</v>
      </c>
      <c r="X84" s="547">
        <f>V84-(Q84*V84/100)</f>
        <v>0</v>
      </c>
    </row>
    <row r="85" spans="2:24" s="294" customFormat="1" ht="16.899999999999999" customHeight="1">
      <c r="B85" s="1370"/>
      <c r="C85" s="337" t="s">
        <v>952</v>
      </c>
      <c r="D85" s="296" t="s">
        <v>50</v>
      </c>
      <c r="E85" s="508">
        <f>N85</f>
        <v>0</v>
      </c>
      <c r="F85" s="509">
        <v>0</v>
      </c>
      <c r="G85" s="311"/>
      <c r="H85" s="311"/>
      <c r="I85" s="312"/>
      <c r="J85" s="293"/>
      <c r="K85" s="1372"/>
      <c r="L85" s="321" t="s">
        <v>256</v>
      </c>
      <c r="M85" s="464"/>
      <c r="N85" s="417"/>
      <c r="O85" s="418"/>
      <c r="P85" s="417"/>
      <c r="Q85" s="419"/>
      <c r="R85" s="417"/>
      <c r="S85" s="537">
        <f>VLOOKUP(M85,GPCTANK3,2,FALSE)</f>
        <v>0</v>
      </c>
      <c r="T85" s="534">
        <f>IF(M85="",0,VLOOKUP(U85,SHELL_FACTOR,2))</f>
        <v>0</v>
      </c>
      <c r="U85" s="330" t="str">
        <f>IF(M85="","",IF(N85=0,0,ROUND(((N85*7)+O85)/8,0)))</f>
        <v/>
      </c>
      <c r="V85" s="540">
        <f>S85*W85*T85</f>
        <v>0</v>
      </c>
      <c r="W85" s="498">
        <f>IF(N85=0,0,INDEX(FACTOR_TABLE,MATCH(MROUND(N85,0.5),TEMP_RANGE,1),MATCH(MROUND(P85,0.5),API_RANGE,1)))</f>
        <v>0</v>
      </c>
      <c r="X85" s="548" t="str">
        <f>IF(M85="","",V85-(Q85*V85/100))</f>
        <v/>
      </c>
    </row>
    <row r="86" spans="2:24" s="294" customFormat="1" ht="16.899999999999999" customHeight="1">
      <c r="B86" s="1370"/>
      <c r="C86" s="336" t="s">
        <v>269</v>
      </c>
      <c r="D86" s="296" t="s">
        <v>50</v>
      </c>
      <c r="E86" s="508">
        <f>O85</f>
        <v>0</v>
      </c>
      <c r="F86" s="509">
        <v>0</v>
      </c>
      <c r="G86" s="311"/>
      <c r="H86" s="311"/>
      <c r="I86" s="312"/>
      <c r="J86" s="293"/>
      <c r="K86" s="333"/>
      <c r="L86" s="333"/>
      <c r="M86" s="333"/>
      <c r="N86" s="333"/>
      <c r="O86" s="333"/>
      <c r="P86" s="333"/>
      <c r="Q86" s="333"/>
      <c r="R86" s="333"/>
      <c r="S86" s="333"/>
      <c r="T86" s="333"/>
      <c r="U86" s="333"/>
      <c r="V86" s="544"/>
      <c r="W86" s="333"/>
      <c r="X86" s="551"/>
    </row>
    <row r="87" spans="2:24" s="294" customFormat="1" ht="16.899999999999999" customHeight="1">
      <c r="B87" s="1370"/>
      <c r="C87" s="336" t="s">
        <v>253</v>
      </c>
      <c r="D87" s="296" t="s">
        <v>270</v>
      </c>
      <c r="E87" s="510">
        <f>P85</f>
        <v>0</v>
      </c>
      <c r="F87" s="511">
        <v>0</v>
      </c>
      <c r="G87" s="311"/>
      <c r="H87" s="311"/>
      <c r="I87" s="312"/>
      <c r="J87" s="293"/>
      <c r="K87" s="410"/>
      <c r="L87" s="410"/>
      <c r="M87" s="410"/>
      <c r="N87" s="1367" t="s">
        <v>1259</v>
      </c>
      <c r="O87" s="1351"/>
      <c r="P87" s="1351"/>
      <c r="Q87" s="1351"/>
      <c r="R87" s="1351"/>
      <c r="S87" s="1352"/>
      <c r="T87" s="410"/>
      <c r="U87" s="410"/>
      <c r="V87" s="542" t="str">
        <f>IF(M85="","",IF(X84-X85&lt;0,0,X84-X85))</f>
        <v/>
      </c>
      <c r="W87" s="410"/>
      <c r="X87" s="549"/>
    </row>
    <row r="88" spans="2:24" s="294" customFormat="1" ht="16.899999999999999" customHeight="1">
      <c r="B88" s="1370"/>
      <c r="C88" s="336" t="s">
        <v>48</v>
      </c>
      <c r="D88" s="296" t="s">
        <v>49</v>
      </c>
      <c r="E88" s="512">
        <f>Q85</f>
        <v>0</v>
      </c>
      <c r="F88" s="513">
        <v>0</v>
      </c>
      <c r="G88" s="311"/>
      <c r="H88" s="311"/>
      <c r="I88" s="312"/>
      <c r="J88" s="293"/>
      <c r="K88" s="410"/>
      <c r="L88" s="410"/>
      <c r="M88" s="410"/>
      <c r="N88" s="1367" t="s">
        <v>1391</v>
      </c>
      <c r="O88" s="1351"/>
      <c r="P88" s="1351"/>
      <c r="Q88" s="1351"/>
      <c r="R88" s="1351"/>
      <c r="S88" s="1352"/>
      <c r="T88" s="410"/>
      <c r="U88" s="410"/>
      <c r="V88" s="542" t="str">
        <f>IF(M85="","",IF(V84-V85&lt;0,0,V84-V85-V87))</f>
        <v/>
      </c>
      <c r="W88" s="410"/>
      <c r="X88" s="549"/>
    </row>
    <row r="89" spans="2:24" s="294" customFormat="1" ht="16.899999999999999" customHeight="1">
      <c r="B89" s="1370"/>
      <c r="C89" s="445" t="s">
        <v>266</v>
      </c>
      <c r="D89" s="446" t="s">
        <v>267</v>
      </c>
      <c r="E89" s="514">
        <f>R85</f>
        <v>0</v>
      </c>
      <c r="F89" s="515">
        <v>0</v>
      </c>
      <c r="G89" s="449"/>
      <c r="H89" s="449"/>
      <c r="I89" s="450"/>
      <c r="J89" s="451"/>
      <c r="K89" s="452"/>
      <c r="L89" s="452"/>
      <c r="M89" s="452"/>
      <c r="N89" s="452"/>
      <c r="O89" s="452"/>
      <c r="P89" s="452"/>
      <c r="Q89" s="452"/>
      <c r="R89" s="452"/>
      <c r="S89" s="452"/>
      <c r="T89" s="452"/>
      <c r="U89" s="452"/>
      <c r="V89" s="543"/>
      <c r="W89" s="452"/>
      <c r="X89" s="550"/>
    </row>
    <row r="90" spans="2:24" s="294" customFormat="1" ht="16.899999999999999" customHeight="1">
      <c r="B90" s="1370" t="s">
        <v>1250</v>
      </c>
      <c r="C90" s="453" t="s">
        <v>104</v>
      </c>
      <c r="D90" s="438" t="s">
        <v>1261</v>
      </c>
      <c r="E90" s="506">
        <f>M93</f>
        <v>0</v>
      </c>
      <c r="F90" s="507">
        <v>0</v>
      </c>
      <c r="G90" s="454"/>
      <c r="H90" s="454"/>
      <c r="I90" s="455"/>
      <c r="J90" s="444"/>
      <c r="K90" s="1375" t="s">
        <v>249</v>
      </c>
      <c r="L90" s="1368" t="s">
        <v>11</v>
      </c>
      <c r="M90" s="1377" t="s">
        <v>1261</v>
      </c>
      <c r="N90" s="1368" t="s">
        <v>953</v>
      </c>
      <c r="O90" s="1368" t="s">
        <v>290</v>
      </c>
      <c r="P90" s="1368" t="s">
        <v>253</v>
      </c>
      <c r="Q90" s="1373" t="s">
        <v>48</v>
      </c>
      <c r="R90" s="1368" t="s">
        <v>1367</v>
      </c>
      <c r="S90" s="1379" t="s">
        <v>1262</v>
      </c>
      <c r="T90" s="1368" t="s">
        <v>252</v>
      </c>
      <c r="U90" s="1379" t="s">
        <v>954</v>
      </c>
      <c r="V90" s="1380" t="s">
        <v>1059</v>
      </c>
      <c r="W90" s="1379" t="s">
        <v>254</v>
      </c>
      <c r="X90" s="1382" t="s">
        <v>1060</v>
      </c>
    </row>
    <row r="91" spans="2:24" s="294" customFormat="1" ht="16.899999999999999" customHeight="1">
      <c r="B91" s="1370"/>
      <c r="C91" s="338" t="s">
        <v>268</v>
      </c>
      <c r="D91" s="406" t="s">
        <v>1256</v>
      </c>
      <c r="E91" s="508">
        <f>IF(SUM(G91:I91)=0,0,SUM(G91:I91))</f>
        <v>0</v>
      </c>
      <c r="F91" s="509">
        <v>0</v>
      </c>
      <c r="G91" s="310"/>
      <c r="H91" s="310"/>
      <c r="I91" s="396"/>
      <c r="J91" s="293"/>
      <c r="K91" s="1376"/>
      <c r="L91" s="1369"/>
      <c r="M91" s="1378"/>
      <c r="N91" s="1369"/>
      <c r="O91" s="1369"/>
      <c r="P91" s="1369"/>
      <c r="Q91" s="1374"/>
      <c r="R91" s="1369"/>
      <c r="S91" s="1369"/>
      <c r="T91" s="1369"/>
      <c r="U91" s="1369"/>
      <c r="V91" s="1381"/>
      <c r="W91" s="1369"/>
      <c r="X91" s="1383"/>
    </row>
    <row r="92" spans="2:24" s="294" customFormat="1" ht="16.899999999999999" customHeight="1">
      <c r="B92" s="1370"/>
      <c r="C92" s="338" t="s">
        <v>1392</v>
      </c>
      <c r="D92" s="406" t="s">
        <v>1256</v>
      </c>
      <c r="E92" s="508">
        <f>IF(SUM(G92:I92)=0,0,SUM(G92:I92))</f>
        <v>0</v>
      </c>
      <c r="F92" s="509">
        <v>0</v>
      </c>
      <c r="G92" s="310"/>
      <c r="H92" s="310"/>
      <c r="I92" s="396"/>
      <c r="J92" s="293"/>
      <c r="K92" s="1371" t="str">
        <f>B90</f>
        <v>GPC TANK 4</v>
      </c>
      <c r="L92" s="307" t="s">
        <v>255</v>
      </c>
      <c r="M92" s="463"/>
      <c r="N92" s="308"/>
      <c r="O92" s="159"/>
      <c r="P92" s="308"/>
      <c r="Q92" s="328"/>
      <c r="R92" s="308"/>
      <c r="S92" s="536">
        <f>VLOOKUP(M92,GPCTANK4,2,FALSE)</f>
        <v>138.9</v>
      </c>
      <c r="T92" s="534">
        <f>IF(M92="",0,VLOOKUP(U92,SHELL_FACTOR,2))</f>
        <v>0</v>
      </c>
      <c r="U92" s="323">
        <f>IF(N92=0,0,ROUND(((N92*7)+O92)/8,0))</f>
        <v>0</v>
      </c>
      <c r="V92" s="535">
        <f>S92*W92*T92</f>
        <v>0</v>
      </c>
      <c r="W92" s="267">
        <f>IF(N92=0,0,INDEX(FACTOR_TABLE,MATCH(MROUND(N92,0.5),TEMP_RANGE,1),MATCH(MROUND(P92,0.5),API_RANGE,1)))</f>
        <v>0</v>
      </c>
      <c r="X92" s="547">
        <f>V92-(Q92*V92/100)</f>
        <v>0</v>
      </c>
    </row>
    <row r="93" spans="2:24" s="294" customFormat="1" ht="16.899999999999999" customHeight="1">
      <c r="B93" s="1370"/>
      <c r="C93" s="339" t="s">
        <v>952</v>
      </c>
      <c r="D93" s="296" t="s">
        <v>50</v>
      </c>
      <c r="E93" s="508">
        <f>N93</f>
        <v>0</v>
      </c>
      <c r="F93" s="509">
        <v>0</v>
      </c>
      <c r="G93" s="311"/>
      <c r="H93" s="311"/>
      <c r="I93" s="312"/>
      <c r="J93" s="293"/>
      <c r="K93" s="1372"/>
      <c r="L93" s="321" t="s">
        <v>256</v>
      </c>
      <c r="M93" s="463"/>
      <c r="N93" s="308"/>
      <c r="O93" s="159"/>
      <c r="P93" s="308"/>
      <c r="Q93" s="328"/>
      <c r="R93" s="308"/>
      <c r="S93" s="537">
        <f>VLOOKUP(M93,GPCTANK4,2,FALSE)</f>
        <v>138.9</v>
      </c>
      <c r="T93" s="534">
        <f>IF(M93="",0,VLOOKUP(U93,SHELL_FACTOR,2))</f>
        <v>0</v>
      </c>
      <c r="U93" s="323">
        <f>IF(N93=0,0,ROUND(((N93*7)+O93)/8,0))</f>
        <v>0</v>
      </c>
      <c r="V93" s="540">
        <f>S93*W93*T93</f>
        <v>0</v>
      </c>
      <c r="W93" s="498">
        <f>IF(N93=0,0,INDEX(FACTOR_TABLE,MATCH(MROUND(N93,0.5),TEMP_RANGE,1),MATCH(MROUND(P93,0.5),API_RANGE,1)))</f>
        <v>0</v>
      </c>
      <c r="X93" s="548" t="str">
        <f>IF(M93="","",V93-(Q93*V93/100))</f>
        <v/>
      </c>
    </row>
    <row r="94" spans="2:24" s="294" customFormat="1" ht="16.899999999999999" customHeight="1">
      <c r="B94" s="1370"/>
      <c r="C94" s="338" t="s">
        <v>269</v>
      </c>
      <c r="D94" s="296" t="s">
        <v>50</v>
      </c>
      <c r="E94" s="508">
        <f>O93</f>
        <v>0</v>
      </c>
      <c r="F94" s="509">
        <v>0</v>
      </c>
      <c r="G94" s="311"/>
      <c r="H94" s="311"/>
      <c r="I94" s="312"/>
      <c r="J94" s="293"/>
      <c r="K94" s="333"/>
      <c r="L94" s="333"/>
      <c r="M94" s="333"/>
      <c r="N94" s="333"/>
      <c r="O94" s="333"/>
      <c r="P94" s="333"/>
      <c r="Q94" s="333"/>
      <c r="R94" s="333"/>
      <c r="S94" s="333"/>
      <c r="T94" s="333"/>
      <c r="U94" s="333"/>
      <c r="V94" s="544"/>
      <c r="W94" s="333"/>
      <c r="X94" s="551"/>
    </row>
    <row r="95" spans="2:24" s="294" customFormat="1" ht="16.899999999999999" customHeight="1">
      <c r="B95" s="1370"/>
      <c r="C95" s="338" t="s">
        <v>253</v>
      </c>
      <c r="D95" s="296" t="s">
        <v>270</v>
      </c>
      <c r="E95" s="510">
        <f>P93</f>
        <v>0</v>
      </c>
      <c r="F95" s="511">
        <v>0</v>
      </c>
      <c r="G95" s="311"/>
      <c r="H95" s="311"/>
      <c r="I95" s="312"/>
      <c r="J95" s="293"/>
      <c r="K95" s="410"/>
      <c r="L95" s="410"/>
      <c r="M95" s="410"/>
      <c r="N95" s="1367" t="s">
        <v>1259</v>
      </c>
      <c r="O95" s="1351"/>
      <c r="P95" s="1351"/>
      <c r="Q95" s="1351"/>
      <c r="R95" s="1351"/>
      <c r="S95" s="1352"/>
      <c r="T95" s="410"/>
      <c r="U95" s="410"/>
      <c r="V95" s="542" t="str">
        <f>IF(M93="","",IF(X92-X93&lt;0,0,X92-X93))</f>
        <v/>
      </c>
      <c r="W95" s="410"/>
      <c r="X95" s="549"/>
    </row>
    <row r="96" spans="2:24" s="294" customFormat="1" ht="16.899999999999999" customHeight="1">
      <c r="B96" s="1370"/>
      <c r="C96" s="338" t="s">
        <v>48</v>
      </c>
      <c r="D96" s="296" t="s">
        <v>49</v>
      </c>
      <c r="E96" s="512">
        <f>Q93</f>
        <v>0</v>
      </c>
      <c r="F96" s="513">
        <v>0</v>
      </c>
      <c r="G96" s="311"/>
      <c r="H96" s="311"/>
      <c r="I96" s="312"/>
      <c r="J96" s="293"/>
      <c r="K96" s="410"/>
      <c r="L96" s="410"/>
      <c r="M96" s="410"/>
      <c r="N96" s="1367" t="s">
        <v>1391</v>
      </c>
      <c r="O96" s="1351"/>
      <c r="P96" s="1351"/>
      <c r="Q96" s="1351"/>
      <c r="R96" s="1351"/>
      <c r="S96" s="1352"/>
      <c r="T96" s="410"/>
      <c r="U96" s="410"/>
      <c r="V96" s="542" t="str">
        <f>IF(M93="","",IF(V92-V93&lt;0,0,V92-V93-V95))</f>
        <v/>
      </c>
      <c r="W96" s="410"/>
      <c r="X96" s="549"/>
    </row>
    <row r="97" spans="2:24" s="294" customFormat="1" ht="16.899999999999999" customHeight="1">
      <c r="B97" s="1370"/>
      <c r="C97" s="456" t="s">
        <v>266</v>
      </c>
      <c r="D97" s="446" t="s">
        <v>267</v>
      </c>
      <c r="E97" s="514">
        <f>R93</f>
        <v>0</v>
      </c>
      <c r="F97" s="515">
        <v>0</v>
      </c>
      <c r="G97" s="449"/>
      <c r="H97" s="449"/>
      <c r="I97" s="450"/>
      <c r="J97" s="451"/>
      <c r="K97" s="452"/>
      <c r="L97" s="452"/>
      <c r="M97" s="452"/>
      <c r="N97" s="452"/>
      <c r="O97" s="452"/>
      <c r="P97" s="452"/>
      <c r="Q97" s="452"/>
      <c r="R97" s="452"/>
      <c r="S97" s="452"/>
      <c r="T97" s="452"/>
      <c r="U97" s="452"/>
      <c r="V97" s="543"/>
      <c r="W97" s="452"/>
      <c r="X97" s="550"/>
    </row>
    <row r="98" spans="2:24" ht="16.899999999999999" customHeight="1">
      <c r="B98" s="1370" t="s">
        <v>1357</v>
      </c>
      <c r="C98" s="437" t="s">
        <v>104</v>
      </c>
      <c r="D98" s="438" t="s">
        <v>1595</v>
      </c>
      <c r="E98" s="506">
        <f>M101</f>
        <v>0</v>
      </c>
      <c r="F98" s="507">
        <v>0</v>
      </c>
      <c r="G98" s="454"/>
      <c r="H98" s="454"/>
      <c r="I98" s="455"/>
      <c r="J98" s="444"/>
      <c r="K98" s="1375" t="s">
        <v>249</v>
      </c>
      <c r="L98" s="1368" t="s">
        <v>11</v>
      </c>
      <c r="M98" s="1377" t="s">
        <v>1261</v>
      </c>
      <c r="N98" s="1368" t="s">
        <v>953</v>
      </c>
      <c r="O98" s="1368" t="s">
        <v>290</v>
      </c>
      <c r="P98" s="1368" t="s">
        <v>253</v>
      </c>
      <c r="Q98" s="1373" t="s">
        <v>48</v>
      </c>
      <c r="R98" s="1368" t="s">
        <v>1367</v>
      </c>
      <c r="S98" s="1379" t="s">
        <v>1262</v>
      </c>
      <c r="T98" s="1368" t="s">
        <v>252</v>
      </c>
      <c r="U98" s="1379" t="s">
        <v>954</v>
      </c>
      <c r="V98" s="1380" t="s">
        <v>1059</v>
      </c>
      <c r="W98" s="1379" t="s">
        <v>254</v>
      </c>
      <c r="X98" s="1382" t="s">
        <v>1060</v>
      </c>
    </row>
    <row r="99" spans="2:24" ht="16.899999999999999" customHeight="1">
      <c r="B99" s="1370"/>
      <c r="C99" s="337" t="s">
        <v>268</v>
      </c>
      <c r="D99" s="406" t="s">
        <v>1256</v>
      </c>
      <c r="E99" s="508">
        <f>IF(SUM(G99:I99)=0,0,SUM(G99:I99))</f>
        <v>0</v>
      </c>
      <c r="F99" s="509">
        <v>0</v>
      </c>
      <c r="G99" s="310"/>
      <c r="H99" s="310"/>
      <c r="I99" s="396"/>
      <c r="J99" s="293"/>
      <c r="K99" s="1376"/>
      <c r="L99" s="1369"/>
      <c r="M99" s="1378"/>
      <c r="N99" s="1369"/>
      <c r="O99" s="1369"/>
      <c r="P99" s="1369"/>
      <c r="Q99" s="1374"/>
      <c r="R99" s="1369"/>
      <c r="S99" s="1369"/>
      <c r="T99" s="1369"/>
      <c r="U99" s="1369"/>
      <c r="V99" s="1381"/>
      <c r="W99" s="1369"/>
      <c r="X99" s="1383"/>
    </row>
    <row r="100" spans="2:24" ht="16.899999999999999" customHeight="1">
      <c r="B100" s="1370"/>
      <c r="C100" s="336" t="s">
        <v>1392</v>
      </c>
      <c r="D100" s="406" t="s">
        <v>1256</v>
      </c>
      <c r="E100" s="508">
        <f>IF(SUM(G100:I100)=0,0,SUM(G100:I100))</f>
        <v>0</v>
      </c>
      <c r="F100" s="509">
        <v>0</v>
      </c>
      <c r="G100" s="310"/>
      <c r="H100" s="310"/>
      <c r="I100" s="396"/>
      <c r="J100" s="293"/>
      <c r="K100" s="1371" t="str">
        <f>B98</f>
        <v>GPC TANK 5</v>
      </c>
      <c r="L100" s="307" t="s">
        <v>255</v>
      </c>
      <c r="M100" s="463"/>
      <c r="N100" s="308"/>
      <c r="O100" s="159"/>
      <c r="P100" s="308"/>
      <c r="Q100" s="328"/>
      <c r="R100" s="308"/>
      <c r="S100" s="536">
        <f>VLOOKUP(M100,GPCTANK5,2,FALSE)</f>
        <v>0</v>
      </c>
      <c r="T100" s="534">
        <f>IF(M100="",0,VLOOKUP(U100,SHELL_FACTOR,2))</f>
        <v>0</v>
      </c>
      <c r="U100" s="323">
        <f>IF(N100=0,0,ROUND(((N100*7)+O100)/8,0))</f>
        <v>0</v>
      </c>
      <c r="V100" s="535">
        <f>S100*W100*T100</f>
        <v>0</v>
      </c>
      <c r="W100" s="267">
        <f>IF(N100=0,0,INDEX(FACTOR_TABLE,MATCH(MROUND(N100,0.5),TEMP_RANGE,1),MATCH(MROUND(P100,0.5),API_RANGE,1)))</f>
        <v>0</v>
      </c>
      <c r="X100" s="547">
        <f>V100-(Q100*V100/100)</f>
        <v>0</v>
      </c>
    </row>
    <row r="101" spans="2:24" ht="16.899999999999999" customHeight="1">
      <c r="B101" s="1370"/>
      <c r="C101" s="337" t="s">
        <v>952</v>
      </c>
      <c r="D101" s="296" t="s">
        <v>50</v>
      </c>
      <c r="E101" s="508">
        <f>N101</f>
        <v>0</v>
      </c>
      <c r="F101" s="509">
        <v>0</v>
      </c>
      <c r="G101" s="311"/>
      <c r="H101" s="311"/>
      <c r="I101" s="312"/>
      <c r="J101" s="293"/>
      <c r="K101" s="1372"/>
      <c r="L101" s="321" t="s">
        <v>256</v>
      </c>
      <c r="M101" s="463"/>
      <c r="N101" s="308"/>
      <c r="O101" s="159"/>
      <c r="P101" s="308"/>
      <c r="Q101" s="328"/>
      <c r="R101" s="308"/>
      <c r="S101" s="537">
        <f>VLOOKUP(M101,GPCTANK5,2,FALSE)</f>
        <v>0</v>
      </c>
      <c r="T101" s="534">
        <f>IF(M101="",0,VLOOKUP(U101,SHELL_FACTOR,2))</f>
        <v>0</v>
      </c>
      <c r="U101" s="323">
        <f>IF(N101=0,0,ROUND(((N101*7)+O101)/8,0))</f>
        <v>0</v>
      </c>
      <c r="V101" s="540">
        <f>S101*W101*T101</f>
        <v>0</v>
      </c>
      <c r="W101" s="498">
        <f>IF(N101=0,0,INDEX(FACTOR_TABLE,MATCH(MROUND(N101,0.5),TEMP_RANGE,1),MATCH(MROUND(P101,0.5),API_RANGE,1)))</f>
        <v>0</v>
      </c>
      <c r="X101" s="548" t="str">
        <f>IF(M101="","",V101-(Q101*V101/100))</f>
        <v/>
      </c>
    </row>
    <row r="102" spans="2:24" ht="16.899999999999999" customHeight="1">
      <c r="B102" s="1370"/>
      <c r="C102" s="336" t="s">
        <v>269</v>
      </c>
      <c r="D102" s="296" t="s">
        <v>50</v>
      </c>
      <c r="E102" s="508">
        <f>O101</f>
        <v>0</v>
      </c>
      <c r="F102" s="509">
        <v>0</v>
      </c>
      <c r="G102" s="311"/>
      <c r="H102" s="311"/>
      <c r="I102" s="312"/>
      <c r="J102" s="293"/>
      <c r="K102" s="353" t="s">
        <v>1257</v>
      </c>
      <c r="L102" s="334"/>
      <c r="M102" s="335"/>
      <c r="N102" s="335"/>
      <c r="O102" s="335"/>
      <c r="P102" s="333"/>
      <c r="Q102" s="333"/>
      <c r="R102" s="345"/>
      <c r="S102" s="345"/>
      <c r="T102" s="346"/>
      <c r="U102" s="333"/>
      <c r="V102" s="545"/>
      <c r="W102" s="333"/>
      <c r="X102" s="551"/>
    </row>
    <row r="103" spans="2:24" ht="16.899999999999999" customHeight="1">
      <c r="B103" s="1370"/>
      <c r="C103" s="336" t="s">
        <v>253</v>
      </c>
      <c r="D103" s="296" t="s">
        <v>270</v>
      </c>
      <c r="E103" s="510">
        <f>P101</f>
        <v>0</v>
      </c>
      <c r="F103" s="511">
        <v>0</v>
      </c>
      <c r="G103" s="311"/>
      <c r="H103" s="311"/>
      <c r="I103" s="312"/>
      <c r="J103" s="293"/>
      <c r="K103" s="410"/>
      <c r="L103" s="410"/>
      <c r="M103" s="410"/>
      <c r="N103" s="1367" t="s">
        <v>1259</v>
      </c>
      <c r="O103" s="1351"/>
      <c r="P103" s="1351"/>
      <c r="Q103" s="1351"/>
      <c r="R103" s="1351"/>
      <c r="S103" s="1352"/>
      <c r="T103" s="458"/>
      <c r="U103" s="458"/>
      <c r="V103" s="542" t="str">
        <f>IF(M101="","",IF(X100-X101&lt;0,0,X100-X101))</f>
        <v/>
      </c>
      <c r="W103" s="410"/>
      <c r="X103" s="549"/>
    </row>
    <row r="104" spans="2:24" ht="16.899999999999999" customHeight="1">
      <c r="B104" s="1370"/>
      <c r="C104" s="336" t="s">
        <v>48</v>
      </c>
      <c r="D104" s="296" t="s">
        <v>49</v>
      </c>
      <c r="E104" s="512">
        <f>Q101</f>
        <v>0</v>
      </c>
      <c r="F104" s="513">
        <v>0</v>
      </c>
      <c r="G104" s="311"/>
      <c r="H104" s="311"/>
      <c r="I104" s="312"/>
      <c r="J104" s="293"/>
      <c r="K104" s="458"/>
      <c r="L104" s="458"/>
      <c r="M104" s="458"/>
      <c r="N104" s="1367" t="s">
        <v>1391</v>
      </c>
      <c r="O104" s="1351"/>
      <c r="P104" s="1351"/>
      <c r="Q104" s="1351"/>
      <c r="R104" s="1351"/>
      <c r="S104" s="1352"/>
      <c r="T104" s="410"/>
      <c r="U104" s="410"/>
      <c r="V104" s="542" t="str">
        <f>IF(M101="","",IF(V100-V101&lt;0,0,V100-V101-V103))</f>
        <v/>
      </c>
      <c r="W104" s="410"/>
      <c r="X104" s="549"/>
    </row>
    <row r="105" spans="2:24" ht="16.899999999999999" customHeight="1">
      <c r="B105" s="1370"/>
      <c r="C105" s="445" t="s">
        <v>266</v>
      </c>
      <c r="D105" s="446" t="s">
        <v>267</v>
      </c>
      <c r="E105" s="514">
        <f>R101</f>
        <v>0</v>
      </c>
      <c r="F105" s="515">
        <v>0</v>
      </c>
      <c r="G105" s="449"/>
      <c r="H105" s="449"/>
      <c r="I105" s="450"/>
      <c r="J105" s="451"/>
      <c r="K105" s="460"/>
      <c r="L105" s="460"/>
      <c r="M105" s="452"/>
      <c r="N105" s="452"/>
      <c r="O105" s="452"/>
      <c r="P105" s="452"/>
      <c r="Q105" s="452"/>
      <c r="R105" s="452"/>
      <c r="S105" s="452"/>
      <c r="T105" s="452"/>
      <c r="U105" s="452"/>
      <c r="V105" s="543"/>
      <c r="W105" s="452"/>
      <c r="X105" s="550"/>
    </row>
    <row r="106" spans="2:24" s="294" customFormat="1" ht="16.899999999999999" customHeight="1">
      <c r="B106" s="1370" t="s">
        <v>1362</v>
      </c>
      <c r="C106" s="453" t="s">
        <v>104</v>
      </c>
      <c r="D106" s="438" t="s">
        <v>1261</v>
      </c>
      <c r="E106" s="459">
        <f>M109</f>
        <v>1122</v>
      </c>
      <c r="F106" s="440">
        <v>316</v>
      </c>
      <c r="G106" s="454"/>
      <c r="H106" s="454"/>
      <c r="I106" s="455"/>
      <c r="J106" s="444"/>
      <c r="K106" s="1375" t="s">
        <v>249</v>
      </c>
      <c r="L106" s="1368" t="s">
        <v>11</v>
      </c>
      <c r="M106" s="1377" t="s">
        <v>1261</v>
      </c>
      <c r="N106" s="1368" t="s">
        <v>953</v>
      </c>
      <c r="O106" s="1368" t="s">
        <v>290</v>
      </c>
      <c r="P106" s="1368" t="s">
        <v>253</v>
      </c>
      <c r="Q106" s="1373" t="s">
        <v>48</v>
      </c>
      <c r="R106" s="1368" t="s">
        <v>1367</v>
      </c>
      <c r="S106" s="1379" t="s">
        <v>1262</v>
      </c>
      <c r="T106" s="1368" t="s">
        <v>252</v>
      </c>
      <c r="U106" s="1379" t="s">
        <v>954</v>
      </c>
      <c r="V106" s="1380" t="s">
        <v>1059</v>
      </c>
      <c r="W106" s="1379" t="s">
        <v>254</v>
      </c>
      <c r="X106" s="1382" t="s">
        <v>1060</v>
      </c>
    </row>
    <row r="107" spans="2:24" s="294" customFormat="1" ht="16.899999999999999" customHeight="1">
      <c r="B107" s="1370"/>
      <c r="C107" s="338" t="s">
        <v>268</v>
      </c>
      <c r="D107" s="406" t="s">
        <v>1256</v>
      </c>
      <c r="E107" s="356">
        <f>IF(SUM(G107:I107)=0,0,SUM(G107:I107))</f>
        <v>0</v>
      </c>
      <c r="F107" s="287">
        <v>20528.599999999999</v>
      </c>
      <c r="G107" s="310"/>
      <c r="H107" s="310"/>
      <c r="I107" s="396"/>
      <c r="J107" s="293"/>
      <c r="K107" s="1376"/>
      <c r="L107" s="1369"/>
      <c r="M107" s="1378"/>
      <c r="N107" s="1369"/>
      <c r="O107" s="1369"/>
      <c r="P107" s="1369"/>
      <c r="Q107" s="1374"/>
      <c r="R107" s="1369"/>
      <c r="S107" s="1369"/>
      <c r="T107" s="1369"/>
      <c r="U107" s="1369"/>
      <c r="V107" s="1381"/>
      <c r="W107" s="1369"/>
      <c r="X107" s="1383"/>
    </row>
    <row r="108" spans="2:24" s="294" customFormat="1" ht="16.899999999999999" customHeight="1">
      <c r="B108" s="1370"/>
      <c r="C108" s="338" t="s">
        <v>1392</v>
      </c>
      <c r="D108" s="406" t="s">
        <v>1256</v>
      </c>
      <c r="E108" s="356">
        <f>IF(SUM(G108:I108)=0,0,SUM(G108:I108))</f>
        <v>0</v>
      </c>
      <c r="F108" s="287">
        <v>46</v>
      </c>
      <c r="G108" s="310"/>
      <c r="H108" s="310"/>
      <c r="I108" s="396"/>
      <c r="J108" s="293"/>
      <c r="K108" s="1371" t="str">
        <f>B106</f>
        <v>NIPCO TANK 1</v>
      </c>
      <c r="L108" s="307" t="s">
        <v>255</v>
      </c>
      <c r="M108" s="463">
        <v>316</v>
      </c>
      <c r="N108" s="308">
        <v>85</v>
      </c>
      <c r="O108" s="159">
        <v>82</v>
      </c>
      <c r="P108" s="308">
        <v>35</v>
      </c>
      <c r="Q108" s="328"/>
      <c r="R108" s="308"/>
      <c r="S108" s="536">
        <f>VLOOKUP(M108,NIPCOTANK1,2,FALSE)</f>
        <v>7993.599999999984</v>
      </c>
      <c r="T108" s="534">
        <f>IF(M108="",0,VLOOKUP(U108,SHELL_FACTOR,2))</f>
        <v>1.00031</v>
      </c>
      <c r="U108" s="323">
        <f>IF(N108=0,0,ROUND(((N108*7)+O108)/8,0))</f>
        <v>85</v>
      </c>
      <c r="V108" s="535">
        <f>S108*W108*T108</f>
        <v>7900.924687609584</v>
      </c>
      <c r="W108" s="267">
        <f>IF(N108=0,0,INDEX(FACTOR_TABLE,MATCH(MROUND(N108,0.5),TEMP_RANGE,1),MATCH(MROUND(P108,0.5),API_RANGE,1)))</f>
        <v>0.98809999999999998</v>
      </c>
      <c r="X108" s="547">
        <f>V108-(Q108*V108/100)</f>
        <v>7900.924687609584</v>
      </c>
    </row>
    <row r="109" spans="2:24" s="294" customFormat="1" ht="16.899999999999999" customHeight="1">
      <c r="B109" s="1370"/>
      <c r="C109" s="339" t="s">
        <v>952</v>
      </c>
      <c r="D109" s="296" t="s">
        <v>50</v>
      </c>
      <c r="E109" s="356">
        <f>N109</f>
        <v>88</v>
      </c>
      <c r="F109" s="287">
        <v>85</v>
      </c>
      <c r="G109" s="311"/>
      <c r="H109" s="311"/>
      <c r="I109" s="312"/>
      <c r="J109" s="293"/>
      <c r="K109" s="1372"/>
      <c r="L109" s="321" t="s">
        <v>256</v>
      </c>
      <c r="M109" s="463">
        <v>1122</v>
      </c>
      <c r="N109" s="308">
        <v>88</v>
      </c>
      <c r="O109" s="159">
        <v>85</v>
      </c>
      <c r="P109" s="308">
        <v>35</v>
      </c>
      <c r="Q109" s="328"/>
      <c r="R109" s="308"/>
      <c r="S109" s="537">
        <f>VLOOKUP(M109,NIPCOTANK1,2,FALSE)</f>
        <v>28695.290000000303</v>
      </c>
      <c r="T109" s="534">
        <f>IF(M109="",0,VLOOKUP(U109,SHELL_FACTOR,2))</f>
        <v>1.0003500000000001</v>
      </c>
      <c r="U109" s="330">
        <f>IF(M109="","",IF(N109=0,0,ROUND(((N109*7)+O109)/8,0)))</f>
        <v>88</v>
      </c>
      <c r="V109" s="540">
        <f>S109*W109*T109</f>
        <v>28323.552417925352</v>
      </c>
      <c r="W109" s="498">
        <f>IF(N109=0,0,INDEX(FACTOR_TABLE,MATCH(MROUND(N109,0.5),TEMP_RANGE,1),MATCH(MROUND(P109,0.5),API_RANGE,1)))</f>
        <v>0.98670000000000002</v>
      </c>
      <c r="X109" s="548">
        <f>IF(M109="","",V109-(Q109*V109/100))</f>
        <v>28323.552417925352</v>
      </c>
    </row>
    <row r="110" spans="2:24" s="294" customFormat="1" ht="16.899999999999999" customHeight="1">
      <c r="B110" s="1370"/>
      <c r="C110" s="338" t="s">
        <v>269</v>
      </c>
      <c r="D110" s="296" t="s">
        <v>50</v>
      </c>
      <c r="E110" s="356">
        <f>O109</f>
        <v>85</v>
      </c>
      <c r="F110" s="287">
        <v>82</v>
      </c>
      <c r="G110" s="311"/>
      <c r="H110" s="311"/>
      <c r="I110" s="312"/>
      <c r="J110" s="293"/>
      <c r="K110" s="333"/>
      <c r="L110" s="333"/>
      <c r="M110" s="333"/>
      <c r="N110" s="333"/>
      <c r="O110" s="333"/>
      <c r="P110" s="333"/>
      <c r="Q110" s="333"/>
      <c r="R110" s="333"/>
      <c r="S110" s="333"/>
      <c r="T110" s="333"/>
      <c r="U110" s="333"/>
      <c r="V110" s="544"/>
      <c r="W110" s="333"/>
      <c r="X110" s="551"/>
    </row>
    <row r="111" spans="2:24" s="294" customFormat="1" ht="16.899999999999999" customHeight="1">
      <c r="B111" s="1370"/>
      <c r="C111" s="338" t="s">
        <v>253</v>
      </c>
      <c r="D111" s="296" t="s">
        <v>270</v>
      </c>
      <c r="E111" s="363">
        <f>P109</f>
        <v>35</v>
      </c>
      <c r="F111" s="326">
        <v>35</v>
      </c>
      <c r="G111" s="311"/>
      <c r="H111" s="311"/>
      <c r="I111" s="312"/>
      <c r="J111" s="293"/>
      <c r="K111" s="410"/>
      <c r="L111" s="410"/>
      <c r="M111" s="410"/>
      <c r="N111" s="1367" t="s">
        <v>1259</v>
      </c>
      <c r="O111" s="1351"/>
      <c r="P111" s="1351"/>
      <c r="Q111" s="1351"/>
      <c r="R111" s="1351"/>
      <c r="S111" s="1352"/>
      <c r="T111" s="410"/>
      <c r="U111" s="410"/>
      <c r="V111" s="542">
        <f>IF(M109="","",IF(X108-X109&lt;0,0,X108-X109))</f>
        <v>0</v>
      </c>
      <c r="W111" s="410"/>
      <c r="X111" s="549"/>
    </row>
    <row r="112" spans="2:24" s="294" customFormat="1" ht="16.899999999999999" customHeight="1">
      <c r="B112" s="1370"/>
      <c r="C112" s="338" t="s">
        <v>48</v>
      </c>
      <c r="D112" s="296" t="s">
        <v>49</v>
      </c>
      <c r="E112" s="362">
        <f>Q109</f>
        <v>0</v>
      </c>
      <c r="F112" s="327">
        <v>0.1</v>
      </c>
      <c r="G112" s="311"/>
      <c r="H112" s="311"/>
      <c r="I112" s="312"/>
      <c r="J112" s="293"/>
      <c r="K112" s="410"/>
      <c r="L112" s="410"/>
      <c r="M112" s="410"/>
      <c r="N112" s="1367" t="s">
        <v>1391</v>
      </c>
      <c r="O112" s="1351"/>
      <c r="P112" s="1351"/>
      <c r="Q112" s="1351"/>
      <c r="R112" s="1351"/>
      <c r="S112" s="1352"/>
      <c r="T112" s="410"/>
      <c r="U112" s="410"/>
      <c r="V112" s="542">
        <f>IF(M109="","",IF(V108-V109&lt;0,0,V108-V109-V111))</f>
        <v>0</v>
      </c>
      <c r="W112" s="410"/>
      <c r="X112" s="549"/>
    </row>
    <row r="113" spans="2:24" s="294" customFormat="1" ht="16.899999999999999" customHeight="1">
      <c r="B113" s="1370"/>
      <c r="C113" s="456" t="s">
        <v>266</v>
      </c>
      <c r="D113" s="446" t="s">
        <v>267</v>
      </c>
      <c r="E113" s="447">
        <f>R109</f>
        <v>0</v>
      </c>
      <c r="F113" s="457">
        <v>7.9</v>
      </c>
      <c r="G113" s="449"/>
      <c r="H113" s="449"/>
      <c r="I113" s="450"/>
      <c r="J113" s="451"/>
      <c r="K113" s="452"/>
      <c r="L113" s="452"/>
      <c r="M113" s="452"/>
      <c r="N113" s="452"/>
      <c r="O113" s="452"/>
      <c r="P113" s="452"/>
      <c r="Q113" s="452"/>
      <c r="R113" s="452"/>
      <c r="S113" s="452"/>
      <c r="T113" s="452"/>
      <c r="U113" s="452"/>
      <c r="V113" s="543"/>
      <c r="W113" s="452"/>
      <c r="X113" s="550"/>
    </row>
    <row r="114" spans="2:24" ht="16.899999999999999" customHeight="1">
      <c r="B114" s="1370" t="s">
        <v>1363</v>
      </c>
      <c r="C114" s="437" t="s">
        <v>104</v>
      </c>
      <c r="D114" s="438" t="s">
        <v>1261</v>
      </c>
      <c r="E114" s="459">
        <f>M117</f>
        <v>406</v>
      </c>
      <c r="F114" s="440">
        <v>698</v>
      </c>
      <c r="G114" s="454"/>
      <c r="H114" s="454"/>
      <c r="I114" s="455"/>
      <c r="J114" s="444"/>
      <c r="K114" s="1375" t="s">
        <v>249</v>
      </c>
      <c r="L114" s="1368" t="s">
        <v>11</v>
      </c>
      <c r="M114" s="1377" t="s">
        <v>1261</v>
      </c>
      <c r="N114" s="1368" t="s">
        <v>953</v>
      </c>
      <c r="O114" s="1368" t="s">
        <v>290</v>
      </c>
      <c r="P114" s="1368" t="s">
        <v>253</v>
      </c>
      <c r="Q114" s="1373" t="s">
        <v>48</v>
      </c>
      <c r="R114" s="1368" t="s">
        <v>1367</v>
      </c>
      <c r="S114" s="1379" t="s">
        <v>1262</v>
      </c>
      <c r="T114" s="1368" t="s">
        <v>252</v>
      </c>
      <c r="U114" s="1379" t="s">
        <v>954</v>
      </c>
      <c r="V114" s="1380" t="s">
        <v>1059</v>
      </c>
      <c r="W114" s="1379" t="s">
        <v>254</v>
      </c>
      <c r="X114" s="1382" t="s">
        <v>1060</v>
      </c>
    </row>
    <row r="115" spans="2:24" ht="16.899999999999999" customHeight="1">
      <c r="B115" s="1370"/>
      <c r="C115" s="337" t="s">
        <v>268</v>
      </c>
      <c r="D115" s="406" t="s">
        <v>1256</v>
      </c>
      <c r="E115" s="356">
        <f>IF(SUM(G115:I115)=0,0,SUM(G115:I115))</f>
        <v>23447.499</v>
      </c>
      <c r="F115" s="287">
        <v>0</v>
      </c>
      <c r="G115" s="310"/>
      <c r="H115" s="310">
        <v>23447.499</v>
      </c>
      <c r="I115" s="396"/>
      <c r="J115" s="293"/>
      <c r="K115" s="1376"/>
      <c r="L115" s="1369"/>
      <c r="M115" s="1378"/>
      <c r="N115" s="1369"/>
      <c r="O115" s="1369"/>
      <c r="P115" s="1369"/>
      <c r="Q115" s="1374"/>
      <c r="R115" s="1369"/>
      <c r="S115" s="1369"/>
      <c r="T115" s="1369"/>
      <c r="U115" s="1369"/>
      <c r="V115" s="1381"/>
      <c r="W115" s="1369"/>
      <c r="X115" s="1383"/>
    </row>
    <row r="116" spans="2:24" ht="16.899999999999999" customHeight="1">
      <c r="B116" s="1370"/>
      <c r="C116" s="336" t="s">
        <v>1392</v>
      </c>
      <c r="D116" s="406" t="s">
        <v>1256</v>
      </c>
      <c r="E116" s="356">
        <f>IF(SUM(G116:I116)=0,0,SUM(G116:I116))</f>
        <v>86</v>
      </c>
      <c r="F116" s="287">
        <v>0</v>
      </c>
      <c r="G116" s="310">
        <v>63</v>
      </c>
      <c r="H116" s="310">
        <v>23</v>
      </c>
      <c r="I116" s="310"/>
      <c r="J116" s="293"/>
      <c r="K116" s="1371" t="str">
        <f>B114</f>
        <v>NIPCO TANK 2</v>
      </c>
      <c r="L116" s="307" t="s">
        <v>255</v>
      </c>
      <c r="M116" s="464">
        <v>349</v>
      </c>
      <c r="N116" s="417">
        <v>85</v>
      </c>
      <c r="O116" s="418">
        <v>90</v>
      </c>
      <c r="P116" s="308">
        <v>35.6</v>
      </c>
      <c r="Q116" s="328">
        <v>0.1</v>
      </c>
      <c r="R116" s="308">
        <v>5.0999999999999996</v>
      </c>
      <c r="S116" s="536">
        <f>VLOOKUP(M116,NIPCOTANK2,2,FALSE)</f>
        <v>23789.29</v>
      </c>
      <c r="T116" s="534">
        <f>IF(M116="",0,VLOOKUP(U116,SHELL_FACTOR,2))</f>
        <v>1.0003200000000001</v>
      </c>
      <c r="U116" s="323">
        <f>IF(N116=0,0,ROUND(((N116*7)+O116)/8,0))</f>
        <v>86</v>
      </c>
      <c r="V116" s="535">
        <f>S116*W116*T116</f>
        <v>23513.719432183683</v>
      </c>
      <c r="W116" s="267">
        <f>IF(N116=0,0,INDEX(FACTOR_TABLE,MATCH(MROUND(N116,0.5),TEMP_RANGE,1),MATCH(MROUND(P116,0.5),API_RANGE,1)))</f>
        <v>0.98809999999999998</v>
      </c>
      <c r="X116" s="547">
        <f>V116-(Q116*V116/100)</f>
        <v>23490.2057127515</v>
      </c>
    </row>
    <row r="117" spans="2:24" ht="16.899999999999999" customHeight="1">
      <c r="B117" s="1370"/>
      <c r="C117" s="337" t="s">
        <v>952</v>
      </c>
      <c r="D117" s="296" t="s">
        <v>50</v>
      </c>
      <c r="E117" s="356">
        <f>N117</f>
        <v>86</v>
      </c>
      <c r="F117" s="287">
        <v>88</v>
      </c>
      <c r="G117" s="311"/>
      <c r="H117" s="311"/>
      <c r="I117" s="312"/>
      <c r="J117" s="293"/>
      <c r="K117" s="1372"/>
      <c r="L117" s="321" t="s">
        <v>256</v>
      </c>
      <c r="M117" s="464">
        <v>406</v>
      </c>
      <c r="N117" s="417">
        <v>86</v>
      </c>
      <c r="O117" s="418">
        <v>84</v>
      </c>
      <c r="P117" s="308">
        <v>35.6</v>
      </c>
      <c r="Q117" s="328"/>
      <c r="R117" s="308"/>
      <c r="S117" s="537">
        <f>VLOOKUP(M117,NIPCOTANK2,2,FALSE)</f>
        <v>27689.46</v>
      </c>
      <c r="T117" s="534">
        <f>IF(M117="",0,VLOOKUP(U117,SHELL_FACTOR,2))</f>
        <v>1.0003200000000001</v>
      </c>
      <c r="U117" s="330">
        <f>IF(M117="","",IF(N117=0,0,ROUND(((N117*7)+O117)/8,0)))</f>
        <v>86</v>
      </c>
      <c r="V117" s="540">
        <f>S117*W117*T117</f>
        <v>27354.861451422723</v>
      </c>
      <c r="W117" s="498">
        <f>IF(N117=0,0,INDEX(FACTOR_TABLE,MATCH(MROUND(N117,0.5),TEMP_RANGE,1),MATCH(MROUND(P117,0.5),API_RANGE,1)))</f>
        <v>0.98760000000000003</v>
      </c>
      <c r="X117" s="548">
        <f>IF(M117="","",V117-(Q117*V117/100))</f>
        <v>27354.861451422723</v>
      </c>
    </row>
    <row r="118" spans="2:24" ht="16.899999999999999" customHeight="1">
      <c r="B118" s="1370"/>
      <c r="C118" s="336" t="s">
        <v>269</v>
      </c>
      <c r="D118" s="296" t="s">
        <v>50</v>
      </c>
      <c r="E118" s="356">
        <f>O117</f>
        <v>84</v>
      </c>
      <c r="F118" s="287">
        <v>84</v>
      </c>
      <c r="G118" s="311"/>
      <c r="H118" s="311"/>
      <c r="I118" s="312"/>
      <c r="J118" s="293"/>
      <c r="K118" s="353" t="s">
        <v>1257</v>
      </c>
      <c r="L118" s="334"/>
      <c r="M118" s="335"/>
      <c r="N118" s="335"/>
      <c r="O118" s="335"/>
      <c r="P118" s="333"/>
      <c r="Q118" s="333"/>
      <c r="R118" s="345"/>
      <c r="S118" s="345"/>
      <c r="T118" s="346"/>
      <c r="U118" s="333"/>
      <c r="V118" s="545"/>
      <c r="W118" s="333"/>
      <c r="X118" s="551"/>
    </row>
    <row r="119" spans="2:24" ht="16.899999999999999" customHeight="1">
      <c r="B119" s="1370"/>
      <c r="C119" s="336" t="s">
        <v>253</v>
      </c>
      <c r="D119" s="296" t="s">
        <v>270</v>
      </c>
      <c r="E119" s="363">
        <f>P117</f>
        <v>35.6</v>
      </c>
      <c r="F119" s="326">
        <v>36</v>
      </c>
      <c r="G119" s="311"/>
      <c r="H119" s="311"/>
      <c r="I119" s="312"/>
      <c r="J119" s="293"/>
      <c r="K119" s="410"/>
      <c r="L119" s="410"/>
      <c r="M119" s="410"/>
      <c r="N119" s="1367" t="s">
        <v>1259</v>
      </c>
      <c r="O119" s="1351"/>
      <c r="P119" s="1351"/>
      <c r="Q119" s="1351"/>
      <c r="R119" s="1351"/>
      <c r="S119" s="1352"/>
      <c r="T119" s="458"/>
      <c r="U119" s="458"/>
      <c r="V119" s="542">
        <f>IF(M117="","",IF(X116-X117&lt;0,0,X116-X117))</f>
        <v>0</v>
      </c>
      <c r="W119" s="410"/>
      <c r="X119" s="549"/>
    </row>
    <row r="120" spans="2:24" ht="16.899999999999999" customHeight="1">
      <c r="B120" s="1370"/>
      <c r="C120" s="336" t="s">
        <v>48</v>
      </c>
      <c r="D120" s="296" t="s">
        <v>49</v>
      </c>
      <c r="E120" s="362">
        <f>Q117</f>
        <v>0</v>
      </c>
      <c r="F120" s="327">
        <v>0</v>
      </c>
      <c r="G120" s="311"/>
      <c r="H120" s="311"/>
      <c r="I120" s="312"/>
      <c r="J120" s="293"/>
      <c r="K120" s="458"/>
      <c r="L120" s="458"/>
      <c r="M120" s="458"/>
      <c r="N120" s="1367" t="s">
        <v>1391</v>
      </c>
      <c r="O120" s="1351"/>
      <c r="P120" s="1351"/>
      <c r="Q120" s="1351"/>
      <c r="R120" s="1351"/>
      <c r="S120" s="1352"/>
      <c r="T120" s="410"/>
      <c r="U120" s="410"/>
      <c r="V120" s="542">
        <f>IF(M117="","",IF(V116-V117&lt;0,0,V116-V117-V119))</f>
        <v>0</v>
      </c>
      <c r="W120" s="410"/>
      <c r="X120" s="549"/>
    </row>
    <row r="121" spans="2:24" ht="16.899999999999999" customHeight="1">
      <c r="B121" s="1370"/>
      <c r="C121" s="445" t="s">
        <v>266</v>
      </c>
      <c r="D121" s="446" t="s">
        <v>267</v>
      </c>
      <c r="E121" s="447">
        <f>R117</f>
        <v>0</v>
      </c>
      <c r="F121" s="457">
        <v>0</v>
      </c>
      <c r="G121" s="449"/>
      <c r="H121" s="449"/>
      <c r="I121" s="450"/>
      <c r="J121" s="451"/>
      <c r="K121" s="460"/>
      <c r="L121" s="460"/>
      <c r="M121" s="452"/>
      <c r="N121" s="452"/>
      <c r="O121" s="452"/>
      <c r="P121" s="452"/>
      <c r="Q121" s="452"/>
      <c r="R121" s="452"/>
      <c r="S121" s="452"/>
      <c r="T121" s="452"/>
      <c r="U121" s="452"/>
      <c r="V121" s="543"/>
      <c r="W121" s="452"/>
      <c r="X121" s="550"/>
    </row>
    <row r="122" spans="2:24" s="294" customFormat="1" ht="16.899999999999999" customHeight="1">
      <c r="B122" s="1370" t="s">
        <v>1364</v>
      </c>
      <c r="C122" s="453" t="s">
        <v>104</v>
      </c>
      <c r="D122" s="438" t="s">
        <v>1261</v>
      </c>
      <c r="E122" s="459">
        <f>M125</f>
        <v>50</v>
      </c>
      <c r="F122" s="440">
        <v>50</v>
      </c>
      <c r="G122" s="454"/>
      <c r="H122" s="454"/>
      <c r="I122" s="455"/>
      <c r="J122" s="444"/>
      <c r="K122" s="1375" t="s">
        <v>249</v>
      </c>
      <c r="L122" s="1368" t="s">
        <v>11</v>
      </c>
      <c r="M122" s="1377" t="s">
        <v>1261</v>
      </c>
      <c r="N122" s="1368" t="s">
        <v>953</v>
      </c>
      <c r="O122" s="1368" t="s">
        <v>290</v>
      </c>
      <c r="P122" s="1368" t="s">
        <v>253</v>
      </c>
      <c r="Q122" s="1373" t="s">
        <v>48</v>
      </c>
      <c r="R122" s="1368" t="s">
        <v>1367</v>
      </c>
      <c r="S122" s="1379" t="s">
        <v>1262</v>
      </c>
      <c r="T122" s="1368" t="s">
        <v>252</v>
      </c>
      <c r="U122" s="1379" t="s">
        <v>954</v>
      </c>
      <c r="V122" s="1380" t="s">
        <v>1059</v>
      </c>
      <c r="W122" s="1379" t="s">
        <v>254</v>
      </c>
      <c r="X122" s="1382" t="s">
        <v>1060</v>
      </c>
    </row>
    <row r="123" spans="2:24" s="294" customFormat="1" ht="16.899999999999999" customHeight="1">
      <c r="B123" s="1370"/>
      <c r="C123" s="338" t="s">
        <v>268</v>
      </c>
      <c r="D123" s="406" t="s">
        <v>1256</v>
      </c>
      <c r="E123" s="356">
        <f>IF(SUM(G123:I123)=0,0,SUM(G123:I123))</f>
        <v>0</v>
      </c>
      <c r="F123" s="287">
        <v>0</v>
      </c>
      <c r="G123" s="310"/>
      <c r="H123" s="310"/>
      <c r="I123" s="396"/>
      <c r="J123" s="293"/>
      <c r="K123" s="1376"/>
      <c r="L123" s="1369"/>
      <c r="M123" s="1378"/>
      <c r="N123" s="1369"/>
      <c r="O123" s="1369"/>
      <c r="P123" s="1369"/>
      <c r="Q123" s="1374"/>
      <c r="R123" s="1369"/>
      <c r="S123" s="1369"/>
      <c r="T123" s="1369"/>
      <c r="U123" s="1369"/>
      <c r="V123" s="1381"/>
      <c r="W123" s="1369"/>
      <c r="X123" s="1383"/>
    </row>
    <row r="124" spans="2:24" s="294" customFormat="1" ht="16.899999999999999" customHeight="1">
      <c r="B124" s="1370"/>
      <c r="C124" s="338" t="s">
        <v>1392</v>
      </c>
      <c r="D124" s="406" t="s">
        <v>1256</v>
      </c>
      <c r="E124" s="356">
        <f>IF(SUM(G124:I124)=0,0,SUM(G124:I124))</f>
        <v>0</v>
      </c>
      <c r="F124" s="287">
        <v>0</v>
      </c>
      <c r="G124" s="310"/>
      <c r="H124" s="310"/>
      <c r="I124" s="396"/>
      <c r="J124" s="293"/>
      <c r="K124" s="1371" t="str">
        <f>B122</f>
        <v>WEPCO F-3</v>
      </c>
      <c r="L124" s="307" t="s">
        <v>255</v>
      </c>
      <c r="M124" s="463">
        <v>50</v>
      </c>
      <c r="N124" s="308">
        <v>69</v>
      </c>
      <c r="O124" s="159">
        <v>62</v>
      </c>
      <c r="P124" s="308">
        <v>37</v>
      </c>
      <c r="Q124" s="328"/>
      <c r="R124" s="308"/>
      <c r="S124" s="536">
        <f>VLOOKUP(M124,WEPCOF3,2,FALSE)</f>
        <v>1675</v>
      </c>
      <c r="T124" s="534">
        <f>IF(M124="",0,VLOOKUP(U124,SHELL_FACTOR,2))</f>
        <v>1.0000899999999999</v>
      </c>
      <c r="U124" s="323">
        <f>IF(N124=0,0,ROUND(((N124*7)+O124)/8,0))</f>
        <v>68</v>
      </c>
      <c r="V124" s="535">
        <f>S124*W124*T124</f>
        <v>1667.7800867000001</v>
      </c>
      <c r="W124" s="267">
        <f>IF(N124=0,0,INDEX(FACTOR_TABLE,MATCH(MROUND(N124,0.5),TEMP_RANGE,1),MATCH(MROUND(P124,0.5),API_RANGE,1)))</f>
        <v>0.99560000000000004</v>
      </c>
      <c r="X124" s="547">
        <f>V124-(Q124*V124/100)</f>
        <v>1667.7800867000001</v>
      </c>
    </row>
    <row r="125" spans="2:24" s="294" customFormat="1" ht="16.899999999999999" customHeight="1">
      <c r="B125" s="1370"/>
      <c r="C125" s="339" t="s">
        <v>952</v>
      </c>
      <c r="D125" s="296" t="s">
        <v>50</v>
      </c>
      <c r="E125" s="356">
        <f>N125</f>
        <v>69</v>
      </c>
      <c r="F125" s="287">
        <v>69</v>
      </c>
      <c r="G125" s="311"/>
      <c r="H125" s="311"/>
      <c r="I125" s="312"/>
      <c r="J125" s="293"/>
      <c r="K125" s="1372"/>
      <c r="L125" s="321" t="s">
        <v>256</v>
      </c>
      <c r="M125" s="463">
        <v>50</v>
      </c>
      <c r="N125" s="308">
        <v>69</v>
      </c>
      <c r="O125" s="159">
        <v>62</v>
      </c>
      <c r="P125" s="308">
        <v>37</v>
      </c>
      <c r="Q125" s="328"/>
      <c r="R125" s="308"/>
      <c r="S125" s="537">
        <f>VLOOKUP(M125,WEPCOF3,2,FALSE)</f>
        <v>1675</v>
      </c>
      <c r="T125" s="534">
        <f>IF(M125="",0,VLOOKUP(U125,SHELL_FACTOR,2))</f>
        <v>1.0000899999999999</v>
      </c>
      <c r="U125" s="330">
        <f>IF(M125="","",IF(N125=0,0,ROUND(((N125*7)+O125)/8,0)))</f>
        <v>68</v>
      </c>
      <c r="V125" s="540">
        <f>S125*W125*T125</f>
        <v>1667.7800867000001</v>
      </c>
      <c r="W125" s="498">
        <f>IF(N125=0,0,INDEX(FACTOR_TABLE,MATCH(MROUND(N125,0.5),TEMP_RANGE,1),MATCH(MROUND(P125,0.5),API_RANGE,1)))</f>
        <v>0.99560000000000004</v>
      </c>
      <c r="X125" s="548">
        <f>IF(M125="","",V125-(Q125*V125/100))</f>
        <v>1667.7800867000001</v>
      </c>
    </row>
    <row r="126" spans="2:24" s="294" customFormat="1" ht="16.899999999999999" customHeight="1">
      <c r="B126" s="1370"/>
      <c r="C126" s="338" t="s">
        <v>269</v>
      </c>
      <c r="D126" s="296" t="s">
        <v>50</v>
      </c>
      <c r="E126" s="356">
        <f>O125</f>
        <v>62</v>
      </c>
      <c r="F126" s="287">
        <v>62</v>
      </c>
      <c r="G126" s="311"/>
      <c r="H126" s="311"/>
      <c r="I126" s="312"/>
      <c r="J126" s="293"/>
      <c r="K126" s="333"/>
      <c r="L126" s="333"/>
      <c r="M126" s="333"/>
      <c r="N126" s="333"/>
      <c r="O126" s="333"/>
      <c r="P126" s="333"/>
      <c r="Q126" s="333"/>
      <c r="R126" s="333"/>
      <c r="S126" s="333"/>
      <c r="T126" s="333"/>
      <c r="U126" s="333"/>
      <c r="V126" s="544"/>
      <c r="W126" s="333"/>
      <c r="X126" s="551"/>
    </row>
    <row r="127" spans="2:24" s="294" customFormat="1" ht="16.899999999999999" customHeight="1">
      <c r="B127" s="1370"/>
      <c r="C127" s="338" t="s">
        <v>253</v>
      </c>
      <c r="D127" s="296" t="s">
        <v>270</v>
      </c>
      <c r="E127" s="363">
        <f>P125</f>
        <v>37</v>
      </c>
      <c r="F127" s="326">
        <v>37</v>
      </c>
      <c r="G127" s="311"/>
      <c r="H127" s="311"/>
      <c r="I127" s="312"/>
      <c r="J127" s="293"/>
      <c r="K127" s="410"/>
      <c r="L127" s="410"/>
      <c r="M127" s="410"/>
      <c r="N127" s="1367" t="s">
        <v>1259</v>
      </c>
      <c r="O127" s="1351"/>
      <c r="P127" s="1351"/>
      <c r="Q127" s="1351"/>
      <c r="R127" s="1351"/>
      <c r="S127" s="1352"/>
      <c r="T127" s="410"/>
      <c r="U127" s="410"/>
      <c r="V127" s="542">
        <f>IF(M125="","",IF(X124-X125&lt;0,0,X124-X125))</f>
        <v>0</v>
      </c>
      <c r="W127" s="410"/>
      <c r="X127" s="549"/>
    </row>
    <row r="128" spans="2:24" s="294" customFormat="1" ht="16.899999999999999" customHeight="1">
      <c r="B128" s="1370"/>
      <c r="C128" s="338" t="s">
        <v>48</v>
      </c>
      <c r="D128" s="296" t="s">
        <v>49</v>
      </c>
      <c r="E128" s="362">
        <f>Q125</f>
        <v>0</v>
      </c>
      <c r="F128" s="327">
        <v>0</v>
      </c>
      <c r="G128" s="311"/>
      <c r="H128" s="311"/>
      <c r="I128" s="312"/>
      <c r="J128" s="293"/>
      <c r="K128" s="410"/>
      <c r="L128" s="410"/>
      <c r="M128" s="410"/>
      <c r="N128" s="1367" t="s">
        <v>1391</v>
      </c>
      <c r="O128" s="1351"/>
      <c r="P128" s="1351"/>
      <c r="Q128" s="1351"/>
      <c r="R128" s="1351"/>
      <c r="S128" s="1352"/>
      <c r="T128" s="410"/>
      <c r="U128" s="410"/>
      <c r="V128" s="542">
        <f>IF(M125="","",IF(V124-V125&lt;0,0,V124-V125-V127))</f>
        <v>0</v>
      </c>
      <c r="W128" s="410"/>
      <c r="X128" s="549"/>
    </row>
    <row r="129" spans="2:24" s="294" customFormat="1" ht="16.899999999999999" customHeight="1">
      <c r="B129" s="1370"/>
      <c r="C129" s="456" t="s">
        <v>266</v>
      </c>
      <c r="D129" s="446" t="s">
        <v>267</v>
      </c>
      <c r="E129" s="447">
        <f>R125</f>
        <v>0</v>
      </c>
      <c r="F129" s="457">
        <v>0</v>
      </c>
      <c r="G129" s="449"/>
      <c r="H129" s="449"/>
      <c r="I129" s="450"/>
      <c r="J129" s="451"/>
      <c r="K129" s="452"/>
      <c r="L129" s="452"/>
      <c r="M129" s="452"/>
      <c r="N129" s="452"/>
      <c r="O129" s="452"/>
      <c r="P129" s="452"/>
      <c r="Q129" s="452"/>
      <c r="R129" s="452"/>
      <c r="S129" s="452"/>
      <c r="T129" s="452"/>
      <c r="U129" s="452"/>
      <c r="V129" s="543"/>
      <c r="W129" s="452"/>
      <c r="X129" s="550"/>
    </row>
    <row r="130" spans="2:24" ht="16.899999999999999" hidden="1" customHeight="1">
      <c r="B130" s="1370" t="s">
        <v>1365</v>
      </c>
      <c r="C130" s="437" t="s">
        <v>104</v>
      </c>
      <c r="D130" s="438" t="s">
        <v>1261</v>
      </c>
      <c r="E130" s="439">
        <f>M133</f>
        <v>0</v>
      </c>
      <c r="F130" s="440">
        <v>0</v>
      </c>
      <c r="G130" s="454"/>
      <c r="H130" s="454"/>
      <c r="I130" s="455"/>
      <c r="J130" s="444"/>
      <c r="K130" s="1370" t="s">
        <v>249</v>
      </c>
      <c r="L130" s="1373" t="s">
        <v>11</v>
      </c>
      <c r="M130" s="1370" t="s">
        <v>1261</v>
      </c>
      <c r="N130" s="1373" t="s">
        <v>953</v>
      </c>
      <c r="O130" s="1373" t="s">
        <v>290</v>
      </c>
      <c r="P130" s="1373" t="s">
        <v>253</v>
      </c>
      <c r="Q130" s="1373" t="s">
        <v>48</v>
      </c>
      <c r="R130" s="1373" t="s">
        <v>1367</v>
      </c>
      <c r="S130" s="1370" t="s">
        <v>1262</v>
      </c>
      <c r="T130" s="1373" t="s">
        <v>252</v>
      </c>
      <c r="U130" s="1370" t="s">
        <v>954</v>
      </c>
      <c r="V130" s="1370" t="s">
        <v>1059</v>
      </c>
      <c r="W130" s="1370" t="s">
        <v>254</v>
      </c>
      <c r="X130" s="1370" t="s">
        <v>1060</v>
      </c>
    </row>
    <row r="131" spans="2:24" ht="16.899999999999999" hidden="1" customHeight="1">
      <c r="B131" s="1370"/>
      <c r="C131" s="337" t="s">
        <v>268</v>
      </c>
      <c r="D131" s="406" t="s">
        <v>1256</v>
      </c>
      <c r="E131" s="356">
        <f>IF(SUM(G131:I131)=0,0,SUM(G131:I131))</f>
        <v>0</v>
      </c>
      <c r="F131" s="287">
        <v>0</v>
      </c>
      <c r="G131" s="310"/>
      <c r="H131" s="310"/>
      <c r="I131" s="396"/>
      <c r="J131" s="293"/>
      <c r="K131" s="1370"/>
      <c r="L131" s="1374"/>
      <c r="M131" s="1370"/>
      <c r="N131" s="1374"/>
      <c r="O131" s="1374"/>
      <c r="P131" s="1374"/>
      <c r="Q131" s="1374"/>
      <c r="R131" s="1374"/>
      <c r="S131" s="1370"/>
      <c r="T131" s="1374"/>
      <c r="U131" s="1370"/>
      <c r="V131" s="1370"/>
      <c r="W131" s="1370"/>
      <c r="X131" s="1370"/>
    </row>
    <row r="132" spans="2:24" ht="16.899999999999999" hidden="1" customHeight="1">
      <c r="B132" s="1370"/>
      <c r="C132" s="336" t="s">
        <v>1392</v>
      </c>
      <c r="D132" s="406" t="s">
        <v>1256</v>
      </c>
      <c r="E132" s="356">
        <f>IF(SUM(G132:I132)=0,0,SUM(G132:I132))</f>
        <v>0</v>
      </c>
      <c r="F132" s="287">
        <v>0</v>
      </c>
      <c r="G132" s="310"/>
      <c r="H132" s="310"/>
      <c r="I132" s="396"/>
      <c r="J132" s="293"/>
      <c r="K132" s="1371" t="str">
        <f>B130</f>
        <v>NEW TANK</v>
      </c>
      <c r="L132" s="307" t="s">
        <v>255</v>
      </c>
      <c r="M132" s="347"/>
      <c r="N132" s="308"/>
      <c r="O132" s="159"/>
      <c r="P132" s="308"/>
      <c r="Q132" s="328"/>
      <c r="R132" s="308"/>
      <c r="S132" s="309">
        <f>VLOOKUP(M132,GPCTANK4,2,FALSE)</f>
        <v>138.9</v>
      </c>
      <c r="T132" s="324">
        <f>IF(M132="",0,VLOOKUP(U132,SHELL_FACTOR,2))</f>
        <v>0</v>
      </c>
      <c r="U132" s="323">
        <f>IF(N132=0,0,ROUND(((N132*7)+O132)/8,0))</f>
        <v>0</v>
      </c>
      <c r="V132" s="535">
        <f>S132*W132*T132</f>
        <v>0</v>
      </c>
      <c r="W132" s="325">
        <f>IF(N132=0,0,INDEX(FACTOR_TABLE,MATCH(MROUND(N132,0.5),TEMP_RANGE,1),MATCH(MROUND(P132,0.5),API_RANGE,1)))</f>
        <v>0</v>
      </c>
      <c r="X132" s="547">
        <f>V132-(Q132*V132/100)</f>
        <v>0</v>
      </c>
    </row>
    <row r="133" spans="2:24" ht="16.899999999999999" hidden="1" customHeight="1">
      <c r="B133" s="1370"/>
      <c r="C133" s="337" t="s">
        <v>952</v>
      </c>
      <c r="D133" s="296" t="s">
        <v>50</v>
      </c>
      <c r="E133" s="356">
        <f>N133</f>
        <v>0</v>
      </c>
      <c r="F133" s="287">
        <v>0</v>
      </c>
      <c r="G133" s="311"/>
      <c r="H133" s="311"/>
      <c r="I133" s="312"/>
      <c r="J133" s="293"/>
      <c r="K133" s="1372"/>
      <c r="L133" s="321" t="s">
        <v>256</v>
      </c>
      <c r="M133" s="348"/>
      <c r="N133" s="417"/>
      <c r="O133" s="418"/>
      <c r="P133" s="417"/>
      <c r="Q133" s="419"/>
      <c r="R133" s="417"/>
      <c r="S133" s="322">
        <f>VLOOKUP(M133,GPCTANK4,2,FALSE)</f>
        <v>138.9</v>
      </c>
      <c r="T133" s="329">
        <f>IF(M133="",0,VLOOKUP(U133,SHELL_FACTOR,2))</f>
        <v>0</v>
      </c>
      <c r="U133" s="330" t="str">
        <f>IF(M133="","",IF(N133=0,0,ROUND(((N133*7)+O133)/8,0)))</f>
        <v/>
      </c>
      <c r="V133" s="540">
        <f>S133*W133*T133</f>
        <v>0</v>
      </c>
      <c r="W133" s="341">
        <f>IF(N133=0,0,INDEX(FACTOR_TABLE,MATCH(MROUND(N133,0.5),TEMP_RANGE,1),MATCH(MROUND(P133,0.5),API_RANGE,1)))</f>
        <v>0</v>
      </c>
      <c r="X133" s="548" t="str">
        <f>IF(M133="","",V133-(Q133*V133/100))</f>
        <v/>
      </c>
    </row>
    <row r="134" spans="2:24" ht="16.899999999999999" hidden="1" customHeight="1">
      <c r="B134" s="1370"/>
      <c r="C134" s="336" t="s">
        <v>269</v>
      </c>
      <c r="D134" s="296" t="s">
        <v>50</v>
      </c>
      <c r="E134" s="356">
        <f>O133</f>
        <v>0</v>
      </c>
      <c r="F134" s="287">
        <v>0</v>
      </c>
      <c r="G134" s="311"/>
      <c r="H134" s="311"/>
      <c r="I134" s="312"/>
      <c r="J134" s="293"/>
      <c r="K134" s="353"/>
      <c r="L134" s="334"/>
      <c r="M134" s="335"/>
      <c r="N134" s="335"/>
      <c r="O134" s="335"/>
      <c r="P134" s="333"/>
      <c r="Q134" s="333"/>
      <c r="R134" s="345"/>
      <c r="S134" s="345"/>
      <c r="T134" s="346"/>
      <c r="U134" s="333"/>
      <c r="V134" s="545"/>
      <c r="W134" s="333"/>
      <c r="X134" s="551"/>
    </row>
    <row r="135" spans="2:24" ht="16.899999999999999" hidden="1" customHeight="1">
      <c r="B135" s="1370"/>
      <c r="C135" s="336" t="s">
        <v>253</v>
      </c>
      <c r="D135" s="296" t="s">
        <v>270</v>
      </c>
      <c r="E135" s="363">
        <f>P133</f>
        <v>0</v>
      </c>
      <c r="F135" s="326">
        <v>0</v>
      </c>
      <c r="G135" s="311"/>
      <c r="H135" s="311"/>
      <c r="I135" s="312"/>
      <c r="J135" s="293"/>
      <c r="K135" s="410"/>
      <c r="L135" s="410"/>
      <c r="M135" s="410"/>
      <c r="N135" s="1367" t="s">
        <v>1259</v>
      </c>
      <c r="O135" s="1370"/>
      <c r="P135" s="1370"/>
      <c r="Q135" s="1370"/>
      <c r="R135" s="1370"/>
      <c r="S135" s="1370"/>
      <c r="T135" s="458"/>
      <c r="U135" s="458"/>
      <c r="V135" s="542" t="str">
        <f>IF(M133="","",IF(X132-X133&lt;0,0,X132-X133))</f>
        <v/>
      </c>
      <c r="W135" s="410"/>
      <c r="X135" s="549"/>
    </row>
    <row r="136" spans="2:24" ht="16.899999999999999" hidden="1" customHeight="1">
      <c r="B136" s="1370"/>
      <c r="C136" s="336" t="s">
        <v>48</v>
      </c>
      <c r="D136" s="296" t="s">
        <v>49</v>
      </c>
      <c r="E136" s="362">
        <f>Q133</f>
        <v>0</v>
      </c>
      <c r="F136" s="327">
        <v>0</v>
      </c>
      <c r="G136" s="311"/>
      <c r="H136" s="311"/>
      <c r="I136" s="312"/>
      <c r="J136" s="293"/>
      <c r="K136" s="458"/>
      <c r="L136" s="458"/>
      <c r="M136" s="458"/>
      <c r="N136" s="1367" t="s">
        <v>1391</v>
      </c>
      <c r="O136" s="1351"/>
      <c r="P136" s="1351"/>
      <c r="Q136" s="1351"/>
      <c r="R136" s="1351"/>
      <c r="S136" s="1352"/>
      <c r="T136" s="410"/>
      <c r="U136" s="410"/>
      <c r="V136" s="542" t="str">
        <f>IF(M133="","",IF(V132-V133&lt;0,0,V132-V133-V135))</f>
        <v/>
      </c>
      <c r="W136" s="410"/>
      <c r="X136" s="549"/>
    </row>
    <row r="137" spans="2:24" ht="16.899999999999999" hidden="1" customHeight="1">
      <c r="B137" s="1370"/>
      <c r="C137" s="445" t="s">
        <v>266</v>
      </c>
      <c r="D137" s="446" t="s">
        <v>267</v>
      </c>
      <c r="E137" s="447">
        <f>R133</f>
        <v>0</v>
      </c>
      <c r="F137" s="457">
        <v>0</v>
      </c>
      <c r="G137" s="449"/>
      <c r="H137" s="449"/>
      <c r="I137" s="450"/>
      <c r="J137" s="451"/>
      <c r="K137" s="460"/>
      <c r="L137" s="460"/>
      <c r="M137" s="452"/>
      <c r="N137" s="452"/>
      <c r="O137" s="452"/>
      <c r="P137" s="452"/>
      <c r="Q137" s="452"/>
      <c r="R137" s="452"/>
      <c r="S137" s="452"/>
      <c r="T137" s="452"/>
      <c r="U137" s="452"/>
      <c r="V137" s="543"/>
      <c r="W137" s="452"/>
      <c r="X137" s="550"/>
    </row>
    <row r="138" spans="2:24" ht="12.75" customHeight="1">
      <c r="B138" s="461"/>
      <c r="C138" s="778"/>
      <c r="D138" s="779"/>
      <c r="E138" s="780"/>
      <c r="F138" s="458"/>
      <c r="G138" s="458"/>
      <c r="H138" s="458"/>
      <c r="I138" s="458"/>
    </row>
    <row r="139" spans="2:24" ht="12.75" customHeight="1">
      <c r="C139" s="462"/>
      <c r="D139" s="458"/>
      <c r="E139" s="404">
        <f>REPDATE</f>
        <v>46299</v>
      </c>
      <c r="F139" s="405">
        <v>46299</v>
      </c>
    </row>
    <row r="140" spans="2:24" ht="12.75" customHeight="1">
      <c r="C140" s="777"/>
      <c r="D140" s="777"/>
      <c r="E140" s="781" t="s">
        <v>1720</v>
      </c>
      <c r="F140" s="781" t="s">
        <v>1720</v>
      </c>
    </row>
    <row r="141" spans="2:24" ht="12.75" customHeight="1">
      <c r="C141" s="1366" t="s">
        <v>1402</v>
      </c>
      <c r="D141" s="1366"/>
      <c r="E141" s="755">
        <f>REPORT!N6</f>
        <v>24215.010372858364</v>
      </c>
      <c r="F141" s="785">
        <v>24205.869814930804</v>
      </c>
      <c r="O141"/>
      <c r="Q141" s="289"/>
      <c r="U141" s="546"/>
      <c r="V141" s="289"/>
      <c r="W141" s="546"/>
      <c r="X141" s="289"/>
    </row>
    <row r="142" spans="2:24" ht="12.75" customHeight="1">
      <c r="C142" s="782"/>
      <c r="D142" s="782"/>
      <c r="E142" s="784"/>
      <c r="F142" s="783"/>
      <c r="O142"/>
      <c r="Q142" s="289"/>
      <c r="U142" s="546"/>
      <c r="V142" s="289"/>
      <c r="W142" s="546"/>
      <c r="X142" s="289"/>
    </row>
    <row r="143" spans="2:24" ht="12.75" customHeight="1">
      <c r="C143" s="1366" t="s">
        <v>1401</v>
      </c>
      <c r="D143" s="1366"/>
      <c r="E143" s="755">
        <f>REPORT!N8</f>
        <v>10855.889448863738</v>
      </c>
      <c r="F143" s="785">
        <v>11066.654437109606</v>
      </c>
      <c r="O143"/>
      <c r="P143" s="218"/>
      <c r="Q143" s="289"/>
      <c r="U143" s="546"/>
      <c r="V143" s="289"/>
      <c r="W143" s="546"/>
      <c r="X143" s="289"/>
    </row>
    <row r="144" spans="2:24" ht="12.75" customHeight="1">
      <c r="C144" s="1366" t="s">
        <v>1361</v>
      </c>
      <c r="D144" s="1366"/>
      <c r="E144" s="755">
        <f>REPORT!N9</f>
        <v>665.39671223229539</v>
      </c>
      <c r="F144" s="785">
        <v>660.58252413881019</v>
      </c>
      <c r="O144"/>
      <c r="Q144" s="289"/>
      <c r="U144" s="546"/>
      <c r="V144" s="289"/>
      <c r="W144" s="546"/>
      <c r="X144" s="289"/>
    </row>
    <row r="145" spans="3:24" ht="12.75" customHeight="1">
      <c r="C145" s="1366" t="s">
        <v>1547</v>
      </c>
      <c r="D145" s="1366"/>
      <c r="E145" s="755">
        <f>REPORT!N10</f>
        <v>255.10263666030997</v>
      </c>
      <c r="F145" s="785">
        <v>253.32655068068499</v>
      </c>
      <c r="O145"/>
      <c r="Q145" s="289"/>
      <c r="U145" s="546"/>
      <c r="V145" s="289"/>
      <c r="W145" s="546"/>
      <c r="X145" s="289"/>
    </row>
    <row r="146" spans="3:24" ht="12.75" customHeight="1">
      <c r="C146" s="1366" t="s">
        <v>1502</v>
      </c>
      <c r="D146" s="1366"/>
      <c r="E146" s="755">
        <f>REPORT!N11</f>
        <v>5915.3799630290696</v>
      </c>
      <c r="F146" s="785">
        <v>5736.394501381993</v>
      </c>
      <c r="O146"/>
      <c r="Q146" s="289"/>
      <c r="U146" s="546"/>
      <c r="V146" s="289"/>
      <c r="W146" s="546"/>
      <c r="X146" s="289"/>
    </row>
    <row r="147" spans="3:24" ht="12.75" customHeight="1">
      <c r="C147" s="1366" t="s">
        <v>1531</v>
      </c>
      <c r="D147" s="1366"/>
      <c r="E147" s="755">
        <f>REPORT!N12</f>
        <v>17691.768760785413</v>
      </c>
      <c r="F147" s="785">
        <v>17716.958013311094</v>
      </c>
      <c r="O147"/>
      <c r="Q147" s="289"/>
      <c r="U147" s="546"/>
      <c r="V147" s="289"/>
      <c r="W147" s="546"/>
      <c r="X147" s="289"/>
    </row>
    <row r="148" spans="3:24" ht="12.75" customHeight="1">
      <c r="C148" s="1366" t="s">
        <v>2081</v>
      </c>
      <c r="D148" s="1366"/>
      <c r="E148" s="755">
        <f>REPORT!N13</f>
        <v>17637.440902799237</v>
      </c>
      <c r="F148" s="874">
        <v>17664.164960407383</v>
      </c>
      <c r="O148"/>
      <c r="Q148" s="289"/>
      <c r="U148" s="546"/>
      <c r="V148" s="289"/>
      <c r="W148" s="546"/>
      <c r="X148" s="289"/>
    </row>
    <row r="149" spans="3:24" ht="12.75" customHeight="1">
      <c r="C149" s="782"/>
      <c r="D149" s="782"/>
      <c r="E149" s="784"/>
      <c r="F149" s="783"/>
      <c r="O149"/>
      <c r="Q149" s="289"/>
      <c r="U149" s="546"/>
      <c r="V149" s="289"/>
      <c r="W149" s="546"/>
      <c r="X149" s="289"/>
    </row>
    <row r="150" spans="3:24" ht="12.75" customHeight="1">
      <c r="C150" s="1366" t="s">
        <v>1436</v>
      </c>
      <c r="D150" s="1366"/>
      <c r="E150" s="755">
        <f>REPORT!N14</f>
        <v>5541.0731773592488</v>
      </c>
      <c r="F150" s="785">
        <v>5501.3491173565199</v>
      </c>
      <c r="O150"/>
      <c r="Q150" s="289"/>
      <c r="U150" s="546"/>
      <c r="V150" s="289"/>
      <c r="W150" s="546"/>
      <c r="X150" s="289"/>
    </row>
    <row r="151" spans="3:24" ht="12.75" customHeight="1">
      <c r="C151" s="1366" t="s">
        <v>1437</v>
      </c>
      <c r="D151" s="1366"/>
      <c r="E151" s="755">
        <f>+REPORT!N16</f>
        <v>490.27728094163228</v>
      </c>
      <c r="F151" s="785">
        <v>491.63550179698592</v>
      </c>
      <c r="O151"/>
      <c r="Q151" s="289"/>
      <c r="U151" s="546"/>
      <c r="V151" s="289"/>
      <c r="W151" s="546"/>
      <c r="X151" s="289"/>
    </row>
    <row r="152" spans="3:24" ht="12.75" customHeight="1">
      <c r="C152" s="1366" t="s">
        <v>2226</v>
      </c>
      <c r="D152" s="1366"/>
      <c r="E152" s="755">
        <f>REPORT!N15</f>
        <v>105.04219492590056</v>
      </c>
      <c r="F152" s="785">
        <v>105.13901601809067</v>
      </c>
      <c r="O152"/>
      <c r="Q152" s="289"/>
      <c r="U152" s="546"/>
      <c r="V152" s="289"/>
      <c r="W152" s="546"/>
      <c r="X152" s="289"/>
    </row>
    <row r="153" spans="3:24" ht="12.75" customHeight="1">
      <c r="C153" s="1366" t="s">
        <v>2232</v>
      </c>
      <c r="D153" s="1366"/>
      <c r="E153" s="755">
        <f>REPORT!N18</f>
        <v>195.07796014880674</v>
      </c>
      <c r="F153" s="785">
        <v>196.25420071879438</v>
      </c>
      <c r="O153"/>
      <c r="Q153" s="289"/>
      <c r="U153" s="546"/>
      <c r="V153" s="289"/>
      <c r="W153" s="546"/>
      <c r="X153" s="289"/>
    </row>
    <row r="154" spans="3:24" ht="12.75" customHeight="1">
      <c r="C154" s="1366" t="s">
        <v>2243</v>
      </c>
      <c r="D154" s="1366"/>
      <c r="E154" s="755">
        <f>REPORT!N19</f>
        <v>123.04942834176923</v>
      </c>
      <c r="F154" s="785">
        <v>123.16284733547764</v>
      </c>
      <c r="O154"/>
      <c r="Q154" s="289"/>
      <c r="U154" s="546"/>
      <c r="V154" s="289"/>
      <c r="W154" s="546"/>
      <c r="X154" s="289"/>
    </row>
    <row r="155" spans="3:24" ht="12.75" customHeight="1">
      <c r="C155" s="1366" t="s">
        <v>2399</v>
      </c>
      <c r="D155" s="1366"/>
      <c r="E155" s="755">
        <f>+REPORT!N17</f>
        <v>123.04942834176923</v>
      </c>
      <c r="F155">
        <v>124.16417129755469</v>
      </c>
      <c r="O155"/>
      <c r="Q155" s="289"/>
      <c r="U155" s="546"/>
      <c r="V155" s="289"/>
      <c r="W155" s="546"/>
      <c r="X155" s="289"/>
    </row>
    <row r="156" spans="3:24" ht="12.75" customHeight="1">
      <c r="C156" s="1366" t="s">
        <v>1532</v>
      </c>
      <c r="D156" s="1366"/>
      <c r="E156" s="755">
        <f>SUM(E150:E153)</f>
        <v>6331.4706133755881</v>
      </c>
      <c r="F156" s="755">
        <v>6294.377835890391</v>
      </c>
    </row>
    <row r="161" spans="3:7" ht="12.75" customHeight="1">
      <c r="C161" s="1403" t="s">
        <v>2305</v>
      </c>
      <c r="D161" s="1403"/>
      <c r="E161"/>
    </row>
    <row r="162" spans="3:7" ht="12.75" customHeight="1">
      <c r="C162"/>
      <c r="E162" s="289"/>
    </row>
    <row r="163" spans="3:7">
      <c r="C163" s="848" t="s">
        <v>2290</v>
      </c>
      <c r="D163"/>
      <c r="E163"/>
    </row>
    <row r="164" spans="3:7">
      <c r="C164" s="953"/>
      <c r="D164" s="953" t="s">
        <v>2291</v>
      </c>
      <c r="E164" s="953" t="s">
        <v>2292</v>
      </c>
    </row>
    <row r="165" spans="3:7" ht="24" customHeight="1">
      <c r="C165" s="953" t="s">
        <v>2293</v>
      </c>
      <c r="D165" s="959">
        <f>+REPORT!N6</f>
        <v>24215.010372858364</v>
      </c>
      <c r="E165" s="959">
        <f>REPORT!O6</f>
        <v>9.140557927559712</v>
      </c>
    </row>
    <row r="166" spans="3:7" ht="24.75" customHeight="1">
      <c r="C166" s="960" t="s">
        <v>2294</v>
      </c>
      <c r="D166" s="961">
        <f>D165-D167</f>
        <v>611.06885424612119</v>
      </c>
      <c r="E166" s="961">
        <f>E165-E167</f>
        <v>3.2793830110226025</v>
      </c>
    </row>
    <row r="167" spans="3:7" ht="21" customHeight="1">
      <c r="C167" s="960" t="s">
        <v>2295</v>
      </c>
      <c r="D167" s="961">
        <f>D168+D169</f>
        <v>23603.941518612242</v>
      </c>
      <c r="E167" s="961">
        <f>E168+E169</f>
        <v>5.8611749165371094</v>
      </c>
    </row>
    <row r="168" spans="3:7" ht="26.25" customHeight="1">
      <c r="C168" s="953" t="s">
        <v>2296</v>
      </c>
      <c r="D168" s="959">
        <f>REPORT!N8+REPORT!N10+REPORT!N11</f>
        <v>17026.372048553116</v>
      </c>
      <c r="E168" s="959">
        <f>REPORT!O8+REPORT!O10+REPORT!O11</f>
        <v>-30.003440619166582</v>
      </c>
    </row>
    <row r="169" spans="3:7" ht="33" customHeight="1">
      <c r="C169" s="953" t="s">
        <v>2297</v>
      </c>
      <c r="D169" s="959">
        <f>REPORT!N20</f>
        <v>6577.5694700591266</v>
      </c>
      <c r="E169" s="959">
        <f>REPORT!O20</f>
        <v>35.864615535703692</v>
      </c>
    </row>
    <row r="170" spans="3:7" ht="12.75" customHeight="1">
      <c r="C170"/>
      <c r="D170"/>
      <c r="E170"/>
    </row>
    <row r="171" spans="3:7" ht="12.75" customHeight="1">
      <c r="C171"/>
      <c r="D171"/>
      <c r="E171"/>
    </row>
    <row r="172" spans="3:7" ht="12.75" customHeight="1">
      <c r="C172" s="960" t="s">
        <v>2306</v>
      </c>
      <c r="D172" s="959">
        <f>REPORT!L41</f>
        <v>9.712066372994741</v>
      </c>
      <c r="E172" s="953"/>
      <c r="G172" s="458"/>
    </row>
    <row r="173" spans="3:7" ht="12.75" customHeight="1">
      <c r="C173" s="960"/>
      <c r="D173" s="953"/>
      <c r="E173"/>
    </row>
    <row r="176" spans="3:7" ht="18.75" customHeight="1">
      <c r="C176" s="848" t="s">
        <v>2307</v>
      </c>
      <c r="D176"/>
      <c r="E176"/>
    </row>
    <row r="177" spans="3:5" ht="24" customHeight="1">
      <c r="C177" s="953"/>
      <c r="D177" s="953" t="s">
        <v>2291</v>
      </c>
      <c r="E177" s="953" t="s">
        <v>2292</v>
      </c>
    </row>
    <row r="178" spans="3:5" ht="19.5" customHeight="1">
      <c r="C178" s="953" t="s">
        <v>2293</v>
      </c>
      <c r="D178" s="959">
        <f>REPORT!L6</f>
        <v>24206.344747093532</v>
      </c>
      <c r="E178" s="959">
        <f>REPORT!M6</f>
        <v>26.344747093531623</v>
      </c>
    </row>
    <row r="179" spans="3:5" ht="18.75" customHeight="1">
      <c r="C179" s="960" t="s">
        <v>2294</v>
      </c>
      <c r="D179" s="961">
        <f>D178-D180</f>
        <v>610.82300000000032</v>
      </c>
      <c r="E179" s="961">
        <f>E178-E180</f>
        <v>3.8230000000003201</v>
      </c>
    </row>
    <row r="180" spans="3:5" ht="21" customHeight="1">
      <c r="C180" s="960" t="s">
        <v>2295</v>
      </c>
      <c r="D180" s="961">
        <f>D181+D182</f>
        <v>23595.521747093531</v>
      </c>
      <c r="E180" s="961">
        <f>E182+E181</f>
        <v>22.521747093531303</v>
      </c>
    </row>
    <row r="181" spans="3:5" ht="22.5" customHeight="1">
      <c r="C181" s="953" t="s">
        <v>2296</v>
      </c>
      <c r="D181" s="959">
        <f>REPORT!L8+REPORT!L10+REPORT!L11</f>
        <v>17019.521747093531</v>
      </c>
      <c r="E181" s="959">
        <f>REPORT!M8+REPORT!M10+REPORT!M11</f>
        <v>-14.478252906468697</v>
      </c>
    </row>
    <row r="182" spans="3:5" ht="19.5" customHeight="1">
      <c r="C182" s="953" t="s">
        <v>2297</v>
      </c>
      <c r="D182" s="959">
        <f>REPORT!L20</f>
        <v>6576</v>
      </c>
      <c r="E182" s="959">
        <f>REPORT!M20</f>
        <v>37</v>
      </c>
    </row>
    <row r="183" spans="3:5" ht="12.75" customHeight="1">
      <c r="C183"/>
      <c r="D183"/>
      <c r="E183"/>
    </row>
  </sheetData>
  <sheetProtection password="ECEC" sheet="1" objects="1" scenarios="1"/>
  <customSheetViews>
    <customSheetView guid="{9FD33A57-86F0-4BF5-A6C0-5833A5B59516}" showGridLines="0" fitToPage="1" hiddenRows="1">
      <selection activeCell="E68" sqref="E68:N68"/>
      <pageMargins left="0" right="0" top="7.0000000000000007E-2" bottom="0" header="0" footer="0"/>
      <printOptions horizontalCentered="1" verticalCentered="1"/>
      <pageSetup paperSize="9" scale="72" orientation="portrait" r:id="rId1"/>
      <headerFooter alignWithMargins="0"/>
    </customSheetView>
  </customSheetViews>
  <mergeCells count="268">
    <mergeCell ref="C155:D155"/>
    <mergeCell ref="C161:D161"/>
    <mergeCell ref="C153:D153"/>
    <mergeCell ref="C151:D151"/>
    <mergeCell ref="C156:D156"/>
    <mergeCell ref="C141:D141"/>
    <mergeCell ref="C143:D143"/>
    <mergeCell ref="C144:D144"/>
    <mergeCell ref="C145:D145"/>
    <mergeCell ref="C146:D146"/>
    <mergeCell ref="C147:D147"/>
    <mergeCell ref="C150:D150"/>
    <mergeCell ref="C148:D148"/>
    <mergeCell ref="K34:K35"/>
    <mergeCell ref="L34:L35"/>
    <mergeCell ref="O42:O43"/>
    <mergeCell ref="K50:K51"/>
    <mergeCell ref="N50:N51"/>
    <mergeCell ref="L50:L51"/>
    <mergeCell ref="N56:S56"/>
    <mergeCell ref="K52:K53"/>
    <mergeCell ref="N55:S55"/>
    <mergeCell ref="K2:Q2"/>
    <mergeCell ref="N5:O5"/>
    <mergeCell ref="N4:O4"/>
    <mergeCell ref="N6:O6"/>
    <mergeCell ref="P4:Q4"/>
    <mergeCell ref="P5:Q5"/>
    <mergeCell ref="P6:Q6"/>
    <mergeCell ref="K5:M5"/>
    <mergeCell ref="K6:M6"/>
    <mergeCell ref="K4:M4"/>
    <mergeCell ref="V42:V43"/>
    <mergeCell ref="N40:S40"/>
    <mergeCell ref="V34:V35"/>
    <mergeCell ref="N34:N35"/>
    <mergeCell ref="N42:N43"/>
    <mergeCell ref="Q34:Q35"/>
    <mergeCell ref="O34:O35"/>
    <mergeCell ref="S34:S35"/>
    <mergeCell ref="X34:X35"/>
    <mergeCell ref="W34:W35"/>
    <mergeCell ref="T34:T35"/>
    <mergeCell ref="U34:U35"/>
    <mergeCell ref="X50:X51"/>
    <mergeCell ref="X42:X43"/>
    <mergeCell ref="W42:W43"/>
    <mergeCell ref="U50:U51"/>
    <mergeCell ref="U42:U43"/>
    <mergeCell ref="T50:T51"/>
    <mergeCell ref="O50:O51"/>
    <mergeCell ref="R50:R51"/>
    <mergeCell ref="S50:S51"/>
    <mergeCell ref="S42:S43"/>
    <mergeCell ref="T42:T43"/>
    <mergeCell ref="P42:P43"/>
    <mergeCell ref="W50:W51"/>
    <mergeCell ref="V50:V51"/>
    <mergeCell ref="Q50:Q51"/>
    <mergeCell ref="Q42:Q43"/>
    <mergeCell ref="N47:S47"/>
    <mergeCell ref="R34:R35"/>
    <mergeCell ref="N48:S48"/>
    <mergeCell ref="R42:R43"/>
    <mergeCell ref="P34:P35"/>
    <mergeCell ref="N39:S39"/>
    <mergeCell ref="K42:K43"/>
    <mergeCell ref="L42:L43"/>
    <mergeCell ref="M42:M43"/>
    <mergeCell ref="B34:B41"/>
    <mergeCell ref="B42:B49"/>
    <mergeCell ref="K36:K37"/>
    <mergeCell ref="K44:K45"/>
    <mergeCell ref="M34:M35"/>
    <mergeCell ref="G31:I31"/>
    <mergeCell ref="U58:U59"/>
    <mergeCell ref="V58:V59"/>
    <mergeCell ref="L58:L59"/>
    <mergeCell ref="M58:M59"/>
    <mergeCell ref="N58:N59"/>
    <mergeCell ref="O58:O59"/>
    <mergeCell ref="R58:R59"/>
    <mergeCell ref="P58:P59"/>
    <mergeCell ref="K58:K59"/>
    <mergeCell ref="K68:K69"/>
    <mergeCell ref="B50:B57"/>
    <mergeCell ref="T58:T59"/>
    <mergeCell ref="P50:P51"/>
    <mergeCell ref="K60:K61"/>
    <mergeCell ref="M50:M51"/>
    <mergeCell ref="Q58:Q59"/>
    <mergeCell ref="P66:P67"/>
    <mergeCell ref="N63:S63"/>
    <mergeCell ref="B66:B73"/>
    <mergeCell ref="L66:L67"/>
    <mergeCell ref="M66:M67"/>
    <mergeCell ref="N66:N67"/>
    <mergeCell ref="O66:O67"/>
    <mergeCell ref="N71:S71"/>
    <mergeCell ref="Q66:Q67"/>
    <mergeCell ref="B58:B65"/>
    <mergeCell ref="W58:W59"/>
    <mergeCell ref="X58:X59"/>
    <mergeCell ref="W66:W67"/>
    <mergeCell ref="X66:X67"/>
    <mergeCell ref="S66:S67"/>
    <mergeCell ref="S58:S59"/>
    <mergeCell ref="N64:S64"/>
    <mergeCell ref="R66:R67"/>
    <mergeCell ref="K66:K67"/>
    <mergeCell ref="W74:W75"/>
    <mergeCell ref="T66:T67"/>
    <mergeCell ref="U66:U67"/>
    <mergeCell ref="V66:V67"/>
    <mergeCell ref="S74:S75"/>
    <mergeCell ref="T74:T75"/>
    <mergeCell ref="N72:S72"/>
    <mergeCell ref="P74:P75"/>
    <mergeCell ref="Q74:Q75"/>
    <mergeCell ref="B90:B97"/>
    <mergeCell ref="K90:K91"/>
    <mergeCell ref="L90:L91"/>
    <mergeCell ref="M90:M91"/>
    <mergeCell ref="N90:N91"/>
    <mergeCell ref="O90:O91"/>
    <mergeCell ref="K92:K93"/>
    <mergeCell ref="N95:S95"/>
    <mergeCell ref="R82:R83"/>
    <mergeCell ref="U74:U75"/>
    <mergeCell ref="V74:V75"/>
    <mergeCell ref="R74:R75"/>
    <mergeCell ref="B74:B81"/>
    <mergeCell ref="K74:K75"/>
    <mergeCell ref="L74:L75"/>
    <mergeCell ref="M74:M75"/>
    <mergeCell ref="N74:N75"/>
    <mergeCell ref="O74:O75"/>
    <mergeCell ref="N80:S80"/>
    <mergeCell ref="X74:X75"/>
    <mergeCell ref="K76:K77"/>
    <mergeCell ref="N79:S79"/>
    <mergeCell ref="B82:B89"/>
    <mergeCell ref="K82:K83"/>
    <mergeCell ref="L82:L83"/>
    <mergeCell ref="M82:M83"/>
    <mergeCell ref="N82:N83"/>
    <mergeCell ref="O82:O83"/>
    <mergeCell ref="W90:W91"/>
    <mergeCell ref="X90:X91"/>
    <mergeCell ref="S90:S91"/>
    <mergeCell ref="T90:T91"/>
    <mergeCell ref="U90:U91"/>
    <mergeCell ref="V90:V91"/>
    <mergeCell ref="W82:W83"/>
    <mergeCell ref="X82:X83"/>
    <mergeCell ref="K84:K85"/>
    <mergeCell ref="N87:S87"/>
    <mergeCell ref="P82:P83"/>
    <mergeCell ref="Q82:Q83"/>
    <mergeCell ref="S82:S83"/>
    <mergeCell ref="T82:T83"/>
    <mergeCell ref="U82:U83"/>
    <mergeCell ref="V82:V83"/>
    <mergeCell ref="T98:T99"/>
    <mergeCell ref="U98:U99"/>
    <mergeCell ref="P98:P99"/>
    <mergeCell ref="S98:S99"/>
    <mergeCell ref="Q98:Q99"/>
    <mergeCell ref="R98:R99"/>
    <mergeCell ref="V98:V99"/>
    <mergeCell ref="X114:X115"/>
    <mergeCell ref="W98:W99"/>
    <mergeCell ref="X98:X99"/>
    <mergeCell ref="U114:U115"/>
    <mergeCell ref="V114:V115"/>
    <mergeCell ref="W114:W115"/>
    <mergeCell ref="X106:X107"/>
    <mergeCell ref="U106:U107"/>
    <mergeCell ref="V106:V107"/>
    <mergeCell ref="V130:V131"/>
    <mergeCell ref="T106:T107"/>
    <mergeCell ref="W130:W131"/>
    <mergeCell ref="K114:K115"/>
    <mergeCell ref="L114:L115"/>
    <mergeCell ref="M114:M115"/>
    <mergeCell ref="N114:N115"/>
    <mergeCell ref="T122:T123"/>
    <mergeCell ref="W106:W107"/>
    <mergeCell ref="N120:S120"/>
    <mergeCell ref="X130:X131"/>
    <mergeCell ref="P130:P131"/>
    <mergeCell ref="Q130:Q131"/>
    <mergeCell ref="M122:M123"/>
    <mergeCell ref="N122:N123"/>
    <mergeCell ref="U122:U123"/>
    <mergeCell ref="V122:V123"/>
    <mergeCell ref="W122:W123"/>
    <mergeCell ref="X122:X123"/>
    <mergeCell ref="O130:O131"/>
    <mergeCell ref="O122:O123"/>
    <mergeCell ref="K124:K125"/>
    <mergeCell ref="S122:S123"/>
    <mergeCell ref="K106:K107"/>
    <mergeCell ref="K116:K117"/>
    <mergeCell ref="S114:S115"/>
    <mergeCell ref="R114:R115"/>
    <mergeCell ref="R106:R107"/>
    <mergeCell ref="N119:S119"/>
    <mergeCell ref="O98:O99"/>
    <mergeCell ref="T130:T131"/>
    <mergeCell ref="U130:U131"/>
    <mergeCell ref="T114:T115"/>
    <mergeCell ref="P114:P115"/>
    <mergeCell ref="N127:S127"/>
    <mergeCell ref="Q122:Q123"/>
    <mergeCell ref="R122:R123"/>
    <mergeCell ref="P122:P123"/>
    <mergeCell ref="Q114:Q115"/>
    <mergeCell ref="M98:M99"/>
    <mergeCell ref="N106:N107"/>
    <mergeCell ref="O106:O107"/>
    <mergeCell ref="N103:S103"/>
    <mergeCell ref="N112:S112"/>
    <mergeCell ref="S106:S107"/>
    <mergeCell ref="Q106:Q107"/>
    <mergeCell ref="N111:S111"/>
    <mergeCell ref="P106:P107"/>
    <mergeCell ref="N98:N99"/>
    <mergeCell ref="N104:S104"/>
    <mergeCell ref="L98:L99"/>
    <mergeCell ref="B122:B129"/>
    <mergeCell ref="K122:K123"/>
    <mergeCell ref="L122:L123"/>
    <mergeCell ref="L106:L107"/>
    <mergeCell ref="M106:M107"/>
    <mergeCell ref="B114:B121"/>
    <mergeCell ref="B106:B113"/>
    <mergeCell ref="K108:K109"/>
    <mergeCell ref="L130:L131"/>
    <mergeCell ref="N130:N131"/>
    <mergeCell ref="B98:B105"/>
    <mergeCell ref="K98:K99"/>
    <mergeCell ref="R90:R91"/>
    <mergeCell ref="N88:S88"/>
    <mergeCell ref="N96:S96"/>
    <mergeCell ref="P90:P91"/>
    <mergeCell ref="Q90:Q91"/>
    <mergeCell ref="K100:K101"/>
    <mergeCell ref="K28:M28"/>
    <mergeCell ref="G29:I30"/>
    <mergeCell ref="B130:B137"/>
    <mergeCell ref="K132:K133"/>
    <mergeCell ref="N135:S135"/>
    <mergeCell ref="S130:S131"/>
    <mergeCell ref="N136:S136"/>
    <mergeCell ref="M130:M131"/>
    <mergeCell ref="R130:R131"/>
    <mergeCell ref="K130:K131"/>
    <mergeCell ref="C154:D154"/>
    <mergeCell ref="C152:D152"/>
    <mergeCell ref="N128:S128"/>
    <mergeCell ref="O114:O115"/>
    <mergeCell ref="G7:I7"/>
    <mergeCell ref="K29:M29"/>
    <mergeCell ref="K22:M22"/>
    <mergeCell ref="K23:M23"/>
    <mergeCell ref="K26:M26"/>
    <mergeCell ref="K27:M27"/>
  </mergeCells>
  <phoneticPr fontId="2" type="noConversion"/>
  <conditionalFormatting sqref="E75:E76 E35:E36 E43:E44 E51:E52 E59:E60 E91:E92 E83:E84 E131:E132 E107:E108 E123:E124 E115:E116 E67:E68 E99:E100">
    <cfRule type="cellIs" dxfId="124" priority="3313" stopIfTrue="1" operator="equal">
      <formula>""</formula>
    </cfRule>
  </conditionalFormatting>
  <conditionalFormatting sqref="N5:N7 M85:R85 M132:M133 M133:R133 M84:M85 P5:P7 E34:E138 E150:E156">
    <cfRule type="cellIs" dxfId="123" priority="3310" stopIfTrue="1" operator="equal">
      <formula>""</formula>
    </cfRule>
  </conditionalFormatting>
  <conditionalFormatting sqref="U132 U124 U116 U108 U84 U76 U68 U60 U52 U44 G131:I132 M132:R133 M84:R85 U100:U101 U92:U93">
    <cfRule type="cellIs" dxfId="122" priority="3298" stopIfTrue="1" operator="equal">
      <formula>""</formula>
    </cfRule>
  </conditionalFormatting>
  <conditionalFormatting sqref="M76:M77 N77:R77">
    <cfRule type="cellIs" dxfId="121" priority="2086" stopIfTrue="1" operator="equal">
      <formula>""</formula>
    </cfRule>
  </conditionalFormatting>
  <conditionalFormatting sqref="M76:R77">
    <cfRule type="cellIs" dxfId="120" priority="2085" stopIfTrue="1" operator="equal">
      <formula>""</formula>
    </cfRule>
  </conditionalFormatting>
  <conditionalFormatting sqref="E143">
    <cfRule type="cellIs" dxfId="119" priority="666" stopIfTrue="1" operator="equal">
      <formula>""</formula>
    </cfRule>
  </conditionalFormatting>
  <conditionalFormatting sqref="E144">
    <cfRule type="cellIs" dxfId="118" priority="665" stopIfTrue="1" operator="equal">
      <formula>""</formula>
    </cfRule>
  </conditionalFormatting>
  <conditionalFormatting sqref="E145:E147">
    <cfRule type="cellIs" dxfId="117" priority="664" stopIfTrue="1" operator="equal">
      <formula>""</formula>
    </cfRule>
  </conditionalFormatting>
  <conditionalFormatting sqref="E145">
    <cfRule type="cellIs" dxfId="116" priority="663" stopIfTrue="1" operator="equal">
      <formula>""</formula>
    </cfRule>
  </conditionalFormatting>
  <conditionalFormatting sqref="E141">
    <cfRule type="cellIs" dxfId="115" priority="662" stopIfTrue="1" operator="equal">
      <formula>""</formula>
    </cfRule>
  </conditionalFormatting>
  <conditionalFormatting sqref="F156">
    <cfRule type="cellIs" dxfId="114" priority="661" stopIfTrue="1" operator="equal">
      <formula>""</formula>
    </cfRule>
  </conditionalFormatting>
  <conditionalFormatting sqref="E148">
    <cfRule type="cellIs" dxfId="113" priority="576" stopIfTrue="1" operator="equal">
      <formula>""</formula>
    </cfRule>
  </conditionalFormatting>
  <conditionalFormatting sqref="Q52:R52 Q53">
    <cfRule type="cellIs" dxfId="112" priority="559" stopIfTrue="1" operator="equal">
      <formula>""</formula>
    </cfRule>
  </conditionalFormatting>
  <conditionalFormatting sqref="R53">
    <cfRule type="cellIs" dxfId="111" priority="558" stopIfTrue="1" operator="equal">
      <formula>""</formula>
    </cfRule>
  </conditionalFormatting>
  <conditionalFormatting sqref="N52:O53">
    <cfRule type="cellIs" dxfId="110" priority="556" stopIfTrue="1" operator="equal">
      <formula>""</formula>
    </cfRule>
  </conditionalFormatting>
  <conditionalFormatting sqref="P52:P53">
    <cfRule type="cellIs" dxfId="109" priority="555" stopIfTrue="1" operator="equal">
      <formula>""</formula>
    </cfRule>
  </conditionalFormatting>
  <conditionalFormatting sqref="M52:M53">
    <cfRule type="cellIs" dxfId="108" priority="554" stopIfTrue="1" operator="equal">
      <formula>""</formula>
    </cfRule>
  </conditionalFormatting>
  <conditionalFormatting sqref="M52:M53">
    <cfRule type="cellIs" dxfId="107" priority="553" stopIfTrue="1" operator="equal">
      <formula>""</formula>
    </cfRule>
  </conditionalFormatting>
  <conditionalFormatting sqref="N60:N61">
    <cfRule type="cellIs" dxfId="106" priority="459" stopIfTrue="1" operator="equal">
      <formula>""</formula>
    </cfRule>
  </conditionalFormatting>
  <conditionalFormatting sqref="O60:O61">
    <cfRule type="cellIs" dxfId="105" priority="458" stopIfTrue="1" operator="equal">
      <formula>""</formula>
    </cfRule>
  </conditionalFormatting>
  <conditionalFormatting sqref="M60:M61">
    <cfRule type="cellIs" dxfId="104" priority="457" stopIfTrue="1" operator="equal">
      <formula>""</formula>
    </cfRule>
  </conditionalFormatting>
  <conditionalFormatting sqref="M60:M61">
    <cfRule type="cellIs" dxfId="103" priority="456" stopIfTrue="1" operator="equal">
      <formula>""</formula>
    </cfRule>
  </conditionalFormatting>
  <conditionalFormatting sqref="P60:R61">
    <cfRule type="cellIs" dxfId="102" priority="455" stopIfTrue="1" operator="equal">
      <formula>""</formula>
    </cfRule>
  </conditionalFormatting>
  <conditionalFormatting sqref="M101:R101 M100:M101">
    <cfRule type="cellIs" dxfId="101" priority="449" stopIfTrue="1" operator="equal">
      <formula>""</formula>
    </cfRule>
  </conditionalFormatting>
  <conditionalFormatting sqref="M100:R101">
    <cfRule type="cellIs" dxfId="100" priority="448" stopIfTrue="1" operator="equal">
      <formula>""</formula>
    </cfRule>
  </conditionalFormatting>
  <conditionalFormatting sqref="G75:I76 G51:I52 I35:I36 H59:I60 I67:I68 I91:I92 G83:I84 I107:I108 I123:I124 I115 I43:I44 H99:I100">
    <cfRule type="cellIs" dxfId="99" priority="420" stopIfTrue="1" operator="equal">
      <formula>""</formula>
    </cfRule>
  </conditionalFormatting>
  <conditionalFormatting sqref="G91:G92">
    <cfRule type="cellIs" dxfId="98" priority="417" stopIfTrue="1" operator="equal">
      <formula>""</formula>
    </cfRule>
  </conditionalFormatting>
  <conditionalFormatting sqref="G99:G100">
    <cfRule type="cellIs" dxfId="97" priority="416" stopIfTrue="1" operator="equal">
      <formula>""</formula>
    </cfRule>
  </conditionalFormatting>
  <conditionalFormatting sqref="G59:G60">
    <cfRule type="cellIs" dxfId="96" priority="410" stopIfTrue="1" operator="equal">
      <formula>""</formula>
    </cfRule>
  </conditionalFormatting>
  <conditionalFormatting sqref="G67:G68">
    <cfRule type="cellIs" dxfId="95" priority="409" stopIfTrue="1" operator="equal">
      <formula>""</formula>
    </cfRule>
  </conditionalFormatting>
  <conditionalFormatting sqref="I116">
    <cfRule type="cellIs" dxfId="94" priority="371" stopIfTrue="1" operator="equal">
      <formula>""</formula>
    </cfRule>
  </conditionalFormatting>
  <conditionalFormatting sqref="E19:E20">
    <cfRule type="cellIs" dxfId="93" priority="360" stopIfTrue="1" operator="equal">
      <formula>""</formula>
    </cfRule>
  </conditionalFormatting>
  <conditionalFormatting sqref="E19:E20">
    <cfRule type="cellIs" dxfId="92" priority="359" stopIfTrue="1" operator="equal">
      <formula>""</formula>
    </cfRule>
  </conditionalFormatting>
  <conditionalFormatting sqref="R44">
    <cfRule type="cellIs" dxfId="91" priority="311" stopIfTrue="1" operator="equal">
      <formula>""</formula>
    </cfRule>
  </conditionalFormatting>
  <conditionalFormatting sqref="R44">
    <cfRule type="cellIs" dxfId="90" priority="310" stopIfTrue="1" operator="equal">
      <formula>""</formula>
    </cfRule>
  </conditionalFormatting>
  <conditionalFormatting sqref="Q44">
    <cfRule type="cellIs" dxfId="89" priority="309" stopIfTrue="1" operator="equal">
      <formula>""</formula>
    </cfRule>
  </conditionalFormatting>
  <conditionalFormatting sqref="Q44">
    <cfRule type="cellIs" dxfId="88" priority="308" stopIfTrue="1" operator="equal">
      <formula>""</formula>
    </cfRule>
  </conditionalFormatting>
  <conditionalFormatting sqref="G43:G44">
    <cfRule type="cellIs" dxfId="87" priority="304" stopIfTrue="1" operator="equal">
      <formula>""</formula>
    </cfRule>
  </conditionalFormatting>
  <conditionalFormatting sqref="H43">
    <cfRule type="cellIs" dxfId="86" priority="303" stopIfTrue="1" operator="equal">
      <formula>""</formula>
    </cfRule>
  </conditionalFormatting>
  <conditionalFormatting sqref="H44">
    <cfRule type="cellIs" dxfId="85" priority="302" stopIfTrue="1" operator="equal">
      <formula>""</formula>
    </cfRule>
  </conditionalFormatting>
  <conditionalFormatting sqref="Q116:R116">
    <cfRule type="cellIs" dxfId="84" priority="288" stopIfTrue="1" operator="equal">
      <formula>""</formula>
    </cfRule>
  </conditionalFormatting>
  <conditionalFormatting sqref="Q116:R116">
    <cfRule type="cellIs" dxfId="83" priority="287" stopIfTrue="1" operator="equal">
      <formula>""</formula>
    </cfRule>
  </conditionalFormatting>
  <conditionalFormatting sqref="G116">
    <cfRule type="cellIs" dxfId="82" priority="278" stopIfTrue="1" operator="equal">
      <formula>""</formula>
    </cfRule>
  </conditionalFormatting>
  <conditionalFormatting sqref="H115:H116">
    <cfRule type="cellIs" dxfId="81" priority="277" stopIfTrue="1" operator="equal">
      <formula>""</formula>
    </cfRule>
  </conditionalFormatting>
  <conditionalFormatting sqref="G115">
    <cfRule type="cellIs" dxfId="80" priority="276" stopIfTrue="1" operator="equal">
      <formula>""</formula>
    </cfRule>
  </conditionalFormatting>
  <conditionalFormatting sqref="G123:G124">
    <cfRule type="cellIs" dxfId="79" priority="266" stopIfTrue="1" operator="equal">
      <formula>""</formula>
    </cfRule>
  </conditionalFormatting>
  <conditionalFormatting sqref="N68:R69">
    <cfRule type="cellIs" dxfId="78" priority="253" stopIfTrue="1" operator="equal">
      <formula>""</formula>
    </cfRule>
  </conditionalFormatting>
  <conditionalFormatting sqref="M68:M69">
    <cfRule type="cellIs" dxfId="77" priority="252" stopIfTrue="1" operator="equal">
      <formula>""</formula>
    </cfRule>
  </conditionalFormatting>
  <conditionalFormatting sqref="M68:M69">
    <cfRule type="cellIs" dxfId="76" priority="251" stopIfTrue="1" operator="equal">
      <formula>""</formula>
    </cfRule>
  </conditionalFormatting>
  <conditionalFormatting sqref="H67:H68">
    <cfRule type="cellIs" dxfId="75" priority="250" stopIfTrue="1" operator="equal">
      <formula>""</formula>
    </cfRule>
  </conditionalFormatting>
  <conditionalFormatting sqref="M93:R93 M92:M93">
    <cfRule type="cellIs" dxfId="74" priority="249" stopIfTrue="1" operator="equal">
      <formula>""</formula>
    </cfRule>
  </conditionalFormatting>
  <conditionalFormatting sqref="M92:R93">
    <cfRule type="cellIs" dxfId="73" priority="248" stopIfTrue="1" operator="equal">
      <formula>""</formula>
    </cfRule>
  </conditionalFormatting>
  <conditionalFormatting sqref="H91:H92">
    <cfRule type="cellIs" dxfId="72" priority="247" stopIfTrue="1" operator="equal">
      <formula>""</formula>
    </cfRule>
  </conditionalFormatting>
  <conditionalFormatting sqref="R108">
    <cfRule type="cellIs" dxfId="71" priority="246" stopIfTrue="1" operator="equal">
      <formula>""</formula>
    </cfRule>
  </conditionalFormatting>
  <conditionalFormatting sqref="R108">
    <cfRule type="cellIs" dxfId="70" priority="245" stopIfTrue="1" operator="equal">
      <formula>""</formula>
    </cfRule>
  </conditionalFormatting>
  <conditionalFormatting sqref="Q108">
    <cfRule type="cellIs" dxfId="69" priority="242" stopIfTrue="1" operator="equal">
      <formula>""</formula>
    </cfRule>
  </conditionalFormatting>
  <conditionalFormatting sqref="Q108">
    <cfRule type="cellIs" dxfId="68" priority="241" stopIfTrue="1" operator="equal">
      <formula>""</formula>
    </cfRule>
  </conditionalFormatting>
  <conditionalFormatting sqref="M108">
    <cfRule type="cellIs" dxfId="67" priority="240" stopIfTrue="1" operator="equal">
      <formula>""</formula>
    </cfRule>
  </conditionalFormatting>
  <conditionalFormatting sqref="M108:P108">
    <cfRule type="cellIs" dxfId="66" priority="239" stopIfTrue="1" operator="equal">
      <formula>""</formula>
    </cfRule>
  </conditionalFormatting>
  <conditionalFormatting sqref="G108">
    <cfRule type="cellIs" dxfId="65" priority="238" stopIfTrue="1" operator="equal">
      <formula>""</formula>
    </cfRule>
  </conditionalFormatting>
  <conditionalFormatting sqref="G107">
    <cfRule type="cellIs" dxfId="64" priority="237" stopIfTrue="1" operator="equal">
      <formula>""</formula>
    </cfRule>
  </conditionalFormatting>
  <conditionalFormatting sqref="H107:H108">
    <cfRule type="cellIs" dxfId="63" priority="236" stopIfTrue="1" operator="equal">
      <formula>""</formula>
    </cfRule>
  </conditionalFormatting>
  <conditionalFormatting sqref="M116:O116">
    <cfRule type="cellIs" dxfId="62" priority="235" stopIfTrue="1" operator="equal">
      <formula>""</formula>
    </cfRule>
  </conditionalFormatting>
  <conditionalFormatting sqref="M116:O116">
    <cfRule type="cellIs" dxfId="61" priority="234" stopIfTrue="1" operator="equal">
      <formula>""</formula>
    </cfRule>
  </conditionalFormatting>
  <conditionalFormatting sqref="P116">
    <cfRule type="cellIs" dxfId="60" priority="233" stopIfTrue="1" operator="equal">
      <formula>""</formula>
    </cfRule>
  </conditionalFormatting>
  <conditionalFormatting sqref="P116">
    <cfRule type="cellIs" dxfId="59" priority="232" stopIfTrue="1" operator="equal">
      <formula>""</formula>
    </cfRule>
  </conditionalFormatting>
  <conditionalFormatting sqref="H123:H124">
    <cfRule type="cellIs" dxfId="58" priority="219" stopIfTrue="1" operator="equal">
      <formula>""</formula>
    </cfRule>
  </conditionalFormatting>
  <conditionalFormatting sqref="M44">
    <cfRule type="cellIs" dxfId="57" priority="217" stopIfTrue="1" operator="equal">
      <formula>""</formula>
    </cfRule>
  </conditionalFormatting>
  <conditionalFormatting sqref="N44">
    <cfRule type="cellIs" dxfId="56" priority="216" stopIfTrue="1" operator="equal">
      <formula>""</formula>
    </cfRule>
  </conditionalFormatting>
  <conditionalFormatting sqref="O44:P44">
    <cfRule type="cellIs" dxfId="55" priority="215" stopIfTrue="1" operator="equal">
      <formula>""</formula>
    </cfRule>
  </conditionalFormatting>
  <conditionalFormatting sqref="R109">
    <cfRule type="cellIs" dxfId="54" priority="189" stopIfTrue="1" operator="equal">
      <formula>""</formula>
    </cfRule>
  </conditionalFormatting>
  <conditionalFormatting sqref="R109">
    <cfRule type="cellIs" dxfId="53" priority="188" stopIfTrue="1" operator="equal">
      <formula>""</formula>
    </cfRule>
  </conditionalFormatting>
  <conditionalFormatting sqref="Q109">
    <cfRule type="cellIs" dxfId="52" priority="187" stopIfTrue="1" operator="equal">
      <formula>""</formula>
    </cfRule>
  </conditionalFormatting>
  <conditionalFormatting sqref="Q109">
    <cfRule type="cellIs" dxfId="51" priority="186" stopIfTrue="1" operator="equal">
      <formula>""</formula>
    </cfRule>
  </conditionalFormatting>
  <conditionalFormatting sqref="D173">
    <cfRule type="cellIs" dxfId="50" priority="153" stopIfTrue="1" operator="equal">
      <formula>""</formula>
    </cfRule>
  </conditionalFormatting>
  <conditionalFormatting sqref="G35:G36">
    <cfRule type="cellIs" dxfId="49" priority="121" stopIfTrue="1" operator="equal">
      <formula>""</formula>
    </cfRule>
  </conditionalFormatting>
  <conditionalFormatting sqref="H35:H36">
    <cfRule type="cellIs" dxfId="48" priority="120" stopIfTrue="1" operator="equal">
      <formula>""</formula>
    </cfRule>
  </conditionalFormatting>
  <conditionalFormatting sqref="E21">
    <cfRule type="cellIs" dxfId="47" priority="113" stopIfTrue="1" operator="equal">
      <formula>""</formula>
    </cfRule>
  </conditionalFormatting>
  <conditionalFormatting sqref="E21">
    <cfRule type="cellIs" dxfId="46" priority="112" stopIfTrue="1" operator="equal">
      <formula>""</formula>
    </cfRule>
  </conditionalFormatting>
  <conditionalFormatting sqref="E3:E4">
    <cfRule type="cellIs" dxfId="45" priority="91" stopIfTrue="1" operator="equal">
      <formula>""</formula>
    </cfRule>
  </conditionalFormatting>
  <conditionalFormatting sqref="E5:E6">
    <cfRule type="cellIs" dxfId="44" priority="70" stopIfTrue="1" operator="equal">
      <formula>""</formula>
    </cfRule>
  </conditionalFormatting>
  <conditionalFormatting sqref="R45">
    <cfRule type="cellIs" dxfId="43" priority="67" stopIfTrue="1" operator="equal">
      <formula>""</formula>
    </cfRule>
  </conditionalFormatting>
  <conditionalFormatting sqref="R45">
    <cfRule type="cellIs" dxfId="42" priority="66" stopIfTrue="1" operator="equal">
      <formula>""</formula>
    </cfRule>
  </conditionalFormatting>
  <conditionalFormatting sqref="Q45">
    <cfRule type="cellIs" dxfId="41" priority="65" stopIfTrue="1" operator="equal">
      <formula>""</formula>
    </cfRule>
  </conditionalFormatting>
  <conditionalFormatting sqref="Q45">
    <cfRule type="cellIs" dxfId="40" priority="64" stopIfTrue="1" operator="equal">
      <formula>""</formula>
    </cfRule>
  </conditionalFormatting>
  <conditionalFormatting sqref="M45">
    <cfRule type="cellIs" dxfId="39" priority="63" stopIfTrue="1" operator="equal">
      <formula>""</formula>
    </cfRule>
  </conditionalFormatting>
  <conditionalFormatting sqref="N45">
    <cfRule type="cellIs" dxfId="38" priority="62" stopIfTrue="1" operator="equal">
      <formula>""</formula>
    </cfRule>
  </conditionalFormatting>
  <conditionalFormatting sqref="O45:P45">
    <cfRule type="cellIs" dxfId="37" priority="61" stopIfTrue="1" operator="equal">
      <formula>""</formula>
    </cfRule>
  </conditionalFormatting>
  <conditionalFormatting sqref="Q117:R117">
    <cfRule type="cellIs" dxfId="36" priority="58" stopIfTrue="1" operator="equal">
      <formula>""</formula>
    </cfRule>
  </conditionalFormatting>
  <conditionalFormatting sqref="Q117:R117">
    <cfRule type="cellIs" dxfId="35" priority="57" stopIfTrue="1" operator="equal">
      <formula>""</formula>
    </cfRule>
  </conditionalFormatting>
  <conditionalFormatting sqref="P117">
    <cfRule type="cellIs" dxfId="34" priority="56" stopIfTrue="1" operator="equal">
      <formula>""</formula>
    </cfRule>
  </conditionalFormatting>
  <conditionalFormatting sqref="P117">
    <cfRule type="cellIs" dxfId="33" priority="55" stopIfTrue="1" operator="equal">
      <formula>""</formula>
    </cfRule>
  </conditionalFormatting>
  <conditionalFormatting sqref="M117">
    <cfRule type="cellIs" dxfId="32" priority="54" stopIfTrue="1" operator="equal">
      <formula>""</formula>
    </cfRule>
  </conditionalFormatting>
  <conditionalFormatting sqref="M117">
    <cfRule type="cellIs" dxfId="31" priority="53" stopIfTrue="1" operator="equal">
      <formula>""</formula>
    </cfRule>
  </conditionalFormatting>
  <conditionalFormatting sqref="N117:O117">
    <cfRule type="cellIs" dxfId="30" priority="52" stopIfTrue="1" operator="equal">
      <formula>""</formula>
    </cfRule>
  </conditionalFormatting>
  <conditionalFormatting sqref="N117:O117">
    <cfRule type="cellIs" dxfId="29" priority="51" stopIfTrue="1" operator="equal">
      <formula>""</formula>
    </cfRule>
  </conditionalFormatting>
  <conditionalFormatting sqref="E10">
    <cfRule type="cellIs" dxfId="28" priority="36" stopIfTrue="1" operator="equal">
      <formula>""</formula>
    </cfRule>
  </conditionalFormatting>
  <conditionalFormatting sqref="E8:E9">
    <cfRule type="cellIs" dxfId="27" priority="42" stopIfTrue="1" operator="equal">
      <formula>""</formula>
    </cfRule>
  </conditionalFormatting>
  <conditionalFormatting sqref="E8:E32 E3:E6">
    <cfRule type="cellIs" dxfId="26" priority="41" stopIfTrue="1" operator="equal">
      <formula>""</formula>
    </cfRule>
  </conditionalFormatting>
  <conditionalFormatting sqref="E8:E32 E3:E6">
    <cfRule type="cellIs" dxfId="25" priority="40" stopIfTrue="1" operator="equal">
      <formula>""</formula>
    </cfRule>
  </conditionalFormatting>
  <conditionalFormatting sqref="E13:E16">
    <cfRule type="cellIs" dxfId="24" priority="39" stopIfTrue="1" operator="equal">
      <formula>""</formula>
    </cfRule>
  </conditionalFormatting>
  <conditionalFormatting sqref="E13:E16">
    <cfRule type="cellIs" dxfId="23" priority="38" stopIfTrue="1" operator="equal">
      <formula>""</formula>
    </cfRule>
  </conditionalFormatting>
  <conditionalFormatting sqref="E11">
    <cfRule type="cellIs" dxfId="22" priority="37" stopIfTrue="1" operator="equal">
      <formula>""</formula>
    </cfRule>
  </conditionalFormatting>
  <conditionalFormatting sqref="M109">
    <cfRule type="cellIs" dxfId="21" priority="31" stopIfTrue="1" operator="equal">
      <formula>""</formula>
    </cfRule>
  </conditionalFormatting>
  <conditionalFormatting sqref="M109:P109">
    <cfRule type="cellIs" dxfId="20" priority="30" stopIfTrue="1" operator="equal">
      <formula>""</formula>
    </cfRule>
  </conditionalFormatting>
  <conditionalFormatting sqref="R36:R37">
    <cfRule type="cellIs" dxfId="19" priority="29" stopIfTrue="1" operator="equal">
      <formula>""</formula>
    </cfRule>
  </conditionalFormatting>
  <conditionalFormatting sqref="Q36:Q37">
    <cfRule type="cellIs" dxfId="18" priority="28" stopIfTrue="1" operator="equal">
      <formula>""</formula>
    </cfRule>
  </conditionalFormatting>
  <conditionalFormatting sqref="N36:P36">
    <cfRule type="cellIs" dxfId="17" priority="27" stopIfTrue="1" operator="equal">
      <formula>""</formula>
    </cfRule>
  </conditionalFormatting>
  <conditionalFormatting sqref="M36">
    <cfRule type="cellIs" dxfId="16" priority="26" stopIfTrue="1" operator="equal">
      <formula>""</formula>
    </cfRule>
  </conditionalFormatting>
  <conditionalFormatting sqref="N37:P37">
    <cfRule type="cellIs" dxfId="15" priority="25" stopIfTrue="1" operator="equal">
      <formula>""</formula>
    </cfRule>
  </conditionalFormatting>
  <conditionalFormatting sqref="M37">
    <cfRule type="cellIs" dxfId="14" priority="24" stopIfTrue="1" operator="equal">
      <formula>""</formula>
    </cfRule>
  </conditionalFormatting>
  <conditionalFormatting sqref="Q124:Q125">
    <cfRule type="cellIs" dxfId="13" priority="23" stopIfTrue="1" operator="equal">
      <formula>""</formula>
    </cfRule>
  </conditionalFormatting>
  <conditionalFormatting sqref="Q124:Q125">
    <cfRule type="cellIs" dxfId="12" priority="22" stopIfTrue="1" operator="equal">
      <formula>""</formula>
    </cfRule>
  </conditionalFormatting>
  <conditionalFormatting sqref="R124:R125">
    <cfRule type="cellIs" dxfId="11" priority="21" stopIfTrue="1" operator="equal">
      <formula>""</formula>
    </cfRule>
  </conditionalFormatting>
  <conditionalFormatting sqref="R124:R125">
    <cfRule type="cellIs" dxfId="10" priority="20" stopIfTrue="1" operator="equal">
      <formula>""</formula>
    </cfRule>
  </conditionalFormatting>
  <conditionalFormatting sqref="M124">
    <cfRule type="cellIs" dxfId="9" priority="19" stopIfTrue="1" operator="equal">
      <formula>""</formula>
    </cfRule>
  </conditionalFormatting>
  <conditionalFormatting sqref="M124:P124">
    <cfRule type="cellIs" dxfId="8" priority="18" stopIfTrue="1" operator="equal">
      <formula>""</formula>
    </cfRule>
  </conditionalFormatting>
  <conditionalFormatting sqref="E22:E32">
    <cfRule type="cellIs" dxfId="7" priority="8" stopIfTrue="1" operator="equal">
      <formula>""</formula>
    </cfRule>
  </conditionalFormatting>
  <conditionalFormatting sqref="E22:E32">
    <cfRule type="cellIs" dxfId="6" priority="7" stopIfTrue="1" operator="equal">
      <formula>""</formula>
    </cfRule>
  </conditionalFormatting>
  <conditionalFormatting sqref="E3:E4">
    <cfRule type="cellIs" dxfId="5" priority="6" stopIfTrue="1" operator="equal">
      <formula>""</formula>
    </cfRule>
  </conditionalFormatting>
  <conditionalFormatting sqref="M125">
    <cfRule type="cellIs" dxfId="4" priority="5" stopIfTrue="1" operator="equal">
      <formula>""</formula>
    </cfRule>
  </conditionalFormatting>
  <conditionalFormatting sqref="M125">
    <cfRule type="cellIs" dxfId="3" priority="4" stopIfTrue="1" operator="equal">
      <formula>""</formula>
    </cfRule>
  </conditionalFormatting>
  <conditionalFormatting sqref="N125">
    <cfRule type="cellIs" dxfId="2" priority="3" stopIfTrue="1" operator="equal">
      <formula>""</formula>
    </cfRule>
  </conditionalFormatting>
  <conditionalFormatting sqref="O125">
    <cfRule type="cellIs" dxfId="1" priority="2" stopIfTrue="1" operator="equal">
      <formula>""</formula>
    </cfRule>
  </conditionalFormatting>
  <conditionalFormatting sqref="P125">
    <cfRule type="cellIs" dxfId="0" priority="1" stopIfTrue="1" operator="equal">
      <formula>""</formula>
    </cfRule>
  </conditionalFormatting>
  <dataValidations xWindow="1061" yWindow="835" count="7">
    <dataValidation allowBlank="1" showInputMessage="1" showErrorMessage="1" promptTitle="DIP INPUT" prompt="Enter tank dip in cm here" sqref="M132:M133 M124:M125 M84:M85 M100:M101 M76:M77 M68:M69 M60:M61 M108:M109 M116:M117 M92:M93"/>
    <dataValidation type="decimal" allowBlank="1" showInputMessage="1" showErrorMessage="1" error="Whole number &gt;=0" sqref="E71:E73 E119:E121 E95:E97 E103:E105 E79:E81 E47:E49 E127:E129 E55:E57 E39:E41 E87:E89 E63:E65 E111:E113 E135:E138">
      <formula1>0</formula1>
      <formula2>100</formula2>
    </dataValidation>
    <dataValidation type="whole" allowBlank="1" showInputMessage="1" showErrorMessage="1" error="Whole number &gt;=0" sqref="K98 K130 K122 K114 K106 K34 K42 K50 K58 K66 K90 K74 K82">
      <formula1>0</formula1>
      <formula2>50000</formula2>
    </dataValidation>
    <dataValidation type="decimal" allowBlank="1" showInputMessage="1" showErrorMessage="1" error="Whole number &gt;=0" sqref="E101:E102 E133:E134 E125:E126 E117:E118 E109:E110 E77:E78 E37:E38 E53:E54 E61:E62 E69:E70 E93:E94 E45:E46 E85:E86">
      <formula1>0</formula1>
      <formula2>500</formula2>
    </dataValidation>
    <dataValidation type="list" allowBlank="1" showInputMessage="1" showErrorMessage="1" error="Whole number &gt;=0" sqref="M36:M37">
      <formula1>TANK201LEVEL</formula1>
    </dataValidation>
    <dataValidation type="list" allowBlank="1" showInputMessage="1" showErrorMessage="1" error="Whole number &gt;=0" sqref="M44:M45">
      <formula1>TANK202LEVEL</formula1>
    </dataValidation>
    <dataValidation type="list" allowBlank="1" showInputMessage="1" showErrorMessage="1" error="Whole number &gt;=0" sqref="M52:M53">
      <formula1>TANKPOLEVEL</formula1>
    </dataValidation>
  </dataValidations>
  <printOptions horizontalCentered="1" verticalCentered="1"/>
  <pageMargins left="0" right="0" top="7.0000000000000007E-2" bottom="0" header="0" footer="0"/>
  <pageSetup paperSize="9" scale="63" orientation="portrait" r:id="rId2"/>
  <headerFooter alignWithMargins="0"/>
  <ignoredErrors>
    <ignoredError sqref="E106:E124 E34:E72" formulaRange="1"/>
    <ignoredError sqref="T124:T125 U124:U125 U117 T108:U109 U100 U116 T101" unlockedFormula="1"/>
    <ignoredError sqref="E144:E145" evalError="1"/>
    <ignoredError sqref="E74:E99 E101:E105" formulaRange="1" unlockedFormula="1"/>
  </ignoredErrors>
  <drawing r:id="rId3"/>
  <legacyDrawing r:id="rId4"/>
  <mc:AlternateContent xmlns:mc="http://schemas.openxmlformats.org/markup-compatibility/2006">
    <mc:Choice Requires="x14">
      <controls>
        <mc:AlternateContent xmlns:mc="http://schemas.openxmlformats.org/markup-compatibility/2006">
          <mc:Choice Requires="x14">
            <control shapeId="458412" r:id="rId5" name="Button 27308">
              <controlPr defaultSize="0" print="0" autoFill="0" autoPict="0" macro="[0]!Sheet12.OC_1">
                <anchor moveWithCells="1" sizeWithCells="1">
                  <from>
                    <xdr:col>10</xdr:col>
                    <xdr:colOff>152400</xdr:colOff>
                    <xdr:row>37</xdr:row>
                    <xdr:rowOff>171450</xdr:rowOff>
                  </from>
                  <to>
                    <xdr:col>11</xdr:col>
                    <xdr:colOff>581025</xdr:colOff>
                    <xdr:row>39</xdr:row>
                    <xdr:rowOff>28575</xdr:rowOff>
                  </to>
                </anchor>
              </controlPr>
            </control>
          </mc:Choice>
        </mc:AlternateContent>
        <mc:AlternateContent xmlns:mc="http://schemas.openxmlformats.org/markup-compatibility/2006">
          <mc:Choice Requires="x14">
            <control shapeId="458420" r:id="rId6" name="Button 27316">
              <controlPr defaultSize="0" print="0" autoFill="0" autoPict="0" macro="[0]!Sheet12.OC_2">
                <anchor moveWithCells="1" sizeWithCells="1">
                  <from>
                    <xdr:col>10</xdr:col>
                    <xdr:colOff>209550</xdr:colOff>
                    <xdr:row>45</xdr:row>
                    <xdr:rowOff>123825</xdr:rowOff>
                  </from>
                  <to>
                    <xdr:col>11</xdr:col>
                    <xdr:colOff>647700</xdr:colOff>
                    <xdr:row>46</xdr:row>
                    <xdr:rowOff>161925</xdr:rowOff>
                  </to>
                </anchor>
              </controlPr>
            </control>
          </mc:Choice>
        </mc:AlternateContent>
        <mc:AlternateContent xmlns:mc="http://schemas.openxmlformats.org/markup-compatibility/2006">
          <mc:Choice Requires="x14">
            <control shapeId="458447" r:id="rId7" name="Button 27343">
              <controlPr defaultSize="0" print="0" autoFill="0" autoPict="0" macro="[0]!Sheet12.OC_3">
                <anchor moveWithCells="1" sizeWithCells="1">
                  <from>
                    <xdr:col>10</xdr:col>
                    <xdr:colOff>304800</xdr:colOff>
                    <xdr:row>54</xdr:row>
                    <xdr:rowOff>19050</xdr:rowOff>
                  </from>
                  <to>
                    <xdr:col>11</xdr:col>
                    <xdr:colOff>695325</xdr:colOff>
                    <xdr:row>55</xdr:row>
                    <xdr:rowOff>104775</xdr:rowOff>
                  </to>
                </anchor>
              </controlPr>
            </control>
          </mc:Choice>
        </mc:AlternateContent>
        <mc:AlternateContent xmlns:mc="http://schemas.openxmlformats.org/markup-compatibility/2006">
          <mc:Choice Requires="x14">
            <control shapeId="458607" r:id="rId8" name="Button 27503">
              <controlPr defaultSize="0" print="0" autoFill="0" autoPict="0" macro="[0]!Sheet12.OC_4">
                <anchor moveWithCells="1" sizeWithCells="1">
                  <from>
                    <xdr:col>10</xdr:col>
                    <xdr:colOff>352425</xdr:colOff>
                    <xdr:row>61</xdr:row>
                    <xdr:rowOff>114300</xdr:rowOff>
                  </from>
                  <to>
                    <xdr:col>11</xdr:col>
                    <xdr:colOff>790575</xdr:colOff>
                    <xdr:row>62</xdr:row>
                    <xdr:rowOff>190500</xdr:rowOff>
                  </to>
                </anchor>
              </controlPr>
            </control>
          </mc:Choice>
        </mc:AlternateContent>
        <mc:AlternateContent xmlns:mc="http://schemas.openxmlformats.org/markup-compatibility/2006">
          <mc:Choice Requires="x14">
            <control shapeId="458644" r:id="rId9" name="Button 27540">
              <controlPr defaultSize="0" print="0" autoFill="0" autoPict="0" macro="[0]!Sheet12.OC_5">
                <anchor moveWithCells="1" sizeWithCells="1">
                  <from>
                    <xdr:col>10</xdr:col>
                    <xdr:colOff>361950</xdr:colOff>
                    <xdr:row>70</xdr:row>
                    <xdr:rowOff>0</xdr:rowOff>
                  </from>
                  <to>
                    <xdr:col>11</xdr:col>
                    <xdr:colOff>981075</xdr:colOff>
                    <xdr:row>71</xdr:row>
                    <xdr:rowOff>85725</xdr:rowOff>
                  </to>
                </anchor>
              </controlPr>
            </control>
          </mc:Choice>
        </mc:AlternateContent>
        <mc:AlternateContent xmlns:mc="http://schemas.openxmlformats.org/markup-compatibility/2006">
          <mc:Choice Requires="x14">
            <control shapeId="458645" r:id="rId10" name="Button 27541">
              <controlPr defaultSize="0" print="0" autoFill="0" autoPict="0" macro="[0]!Sheet12.OC_8">
                <anchor moveWithCells="1" sizeWithCells="1">
                  <from>
                    <xdr:col>10</xdr:col>
                    <xdr:colOff>238125</xdr:colOff>
                    <xdr:row>93</xdr:row>
                    <xdr:rowOff>114300</xdr:rowOff>
                  </from>
                  <to>
                    <xdr:col>11</xdr:col>
                    <xdr:colOff>819150</xdr:colOff>
                    <xdr:row>94</xdr:row>
                    <xdr:rowOff>190500</xdr:rowOff>
                  </to>
                </anchor>
              </controlPr>
            </control>
          </mc:Choice>
        </mc:AlternateContent>
        <mc:AlternateContent xmlns:mc="http://schemas.openxmlformats.org/markup-compatibility/2006">
          <mc:Choice Requires="x14">
            <control shapeId="458646" r:id="rId11" name="Button 27542">
              <controlPr defaultSize="0" print="0" autoFill="0" autoPict="0" macro="[0]!Sheet12.OC_6">
                <anchor moveWithCells="1" sizeWithCells="1">
                  <from>
                    <xdr:col>10</xdr:col>
                    <xdr:colOff>219075</xdr:colOff>
                    <xdr:row>78</xdr:row>
                    <xdr:rowOff>19050</xdr:rowOff>
                  </from>
                  <to>
                    <xdr:col>11</xdr:col>
                    <xdr:colOff>714375</xdr:colOff>
                    <xdr:row>79</xdr:row>
                    <xdr:rowOff>57150</xdr:rowOff>
                  </to>
                </anchor>
              </controlPr>
            </control>
          </mc:Choice>
        </mc:AlternateContent>
        <mc:AlternateContent xmlns:mc="http://schemas.openxmlformats.org/markup-compatibility/2006">
          <mc:Choice Requires="x14">
            <control shapeId="458647" r:id="rId12" name="Button 27543">
              <controlPr defaultSize="0" print="0" autoFill="0" autoPict="0" macro="[0]!Sheet12.OC_7">
                <anchor moveWithCells="1" sizeWithCells="1">
                  <from>
                    <xdr:col>10</xdr:col>
                    <xdr:colOff>171450</xdr:colOff>
                    <xdr:row>85</xdr:row>
                    <xdr:rowOff>66675</xdr:rowOff>
                  </from>
                  <to>
                    <xdr:col>11</xdr:col>
                    <xdr:colOff>771525</xdr:colOff>
                    <xdr:row>86</xdr:row>
                    <xdr:rowOff>114300</xdr:rowOff>
                  </to>
                </anchor>
              </controlPr>
            </control>
          </mc:Choice>
        </mc:AlternateContent>
        <mc:AlternateContent xmlns:mc="http://schemas.openxmlformats.org/markup-compatibility/2006">
          <mc:Choice Requires="x14">
            <control shapeId="495748" r:id="rId13" name="Button 28804">
              <controlPr defaultSize="0" print="0" autoFill="0" autoPict="0" macro="[0]!Sheet12.OC_9">
                <anchor moveWithCells="1" sizeWithCells="1">
                  <from>
                    <xdr:col>4</xdr:col>
                    <xdr:colOff>0</xdr:colOff>
                    <xdr:row>20</xdr:row>
                    <xdr:rowOff>0</xdr:rowOff>
                  </from>
                  <to>
                    <xdr:col>5</xdr:col>
                    <xdr:colOff>0</xdr:colOff>
                    <xdr:row>21</xdr:row>
                    <xdr:rowOff>0</xdr:rowOff>
                  </to>
                </anchor>
              </controlPr>
            </control>
          </mc:Choice>
        </mc:AlternateContent>
        <mc:AlternateContent xmlns:mc="http://schemas.openxmlformats.org/markup-compatibility/2006">
          <mc:Choice Requires="x14">
            <control shapeId="495979" r:id="rId14" name="Button 29035">
              <controlPr defaultSize="0" print="0" autoFill="0" autoPict="0" macro="[0]!Sheet12.OC_10">
                <anchor moveWithCells="1" sizeWithCells="1">
                  <from>
                    <xdr:col>12</xdr:col>
                    <xdr:colOff>0</xdr:colOff>
                    <xdr:row>60</xdr:row>
                    <xdr:rowOff>0</xdr:rowOff>
                  </from>
                  <to>
                    <xdr:col>13</xdr:col>
                    <xdr:colOff>0</xdr:colOff>
                    <xdr:row>61</xdr:row>
                    <xdr:rowOff>0</xdr:rowOff>
                  </to>
                </anchor>
              </controlPr>
            </control>
          </mc:Choice>
        </mc:AlternateContent>
        <mc:AlternateContent xmlns:mc="http://schemas.openxmlformats.org/markup-compatibility/2006">
          <mc:Choice Requires="x14">
            <control shapeId="495980" r:id="rId15" name="Button 29036">
              <controlPr defaultSize="0" print="0" autoFill="0" autoPict="0" macro="[0]!Sheet12.OC_11">
                <anchor moveWithCells="1" sizeWithCells="1">
                  <from>
                    <xdr:col>10</xdr:col>
                    <xdr:colOff>266700</xdr:colOff>
                    <xdr:row>117</xdr:row>
                    <xdr:rowOff>190500</xdr:rowOff>
                  </from>
                  <to>
                    <xdr:col>11</xdr:col>
                    <xdr:colOff>809625</xdr:colOff>
                    <xdr:row>119</xdr:row>
                    <xdr:rowOff>76200</xdr:rowOff>
                  </to>
                </anchor>
              </controlPr>
            </control>
          </mc:Choice>
        </mc:AlternateContent>
        <mc:AlternateContent xmlns:mc="http://schemas.openxmlformats.org/markup-compatibility/2006">
          <mc:Choice Requires="x14">
            <control shapeId="495981" r:id="rId16" name="Button 29037">
              <controlPr defaultSize="0" print="0" autoFill="0" autoPict="0" macro="[0]!Sheet12.OC_12">
                <anchor moveWithCells="1" sizeWithCells="1">
                  <from>
                    <xdr:col>10</xdr:col>
                    <xdr:colOff>285750</xdr:colOff>
                    <xdr:row>125</xdr:row>
                    <xdr:rowOff>142875</xdr:rowOff>
                  </from>
                  <to>
                    <xdr:col>12</xdr:col>
                    <xdr:colOff>28575</xdr:colOff>
                    <xdr:row>127</xdr:row>
                    <xdr:rowOff>28575</xdr:rowOff>
                  </to>
                </anchor>
              </controlPr>
            </control>
          </mc:Choice>
        </mc:AlternateContent>
        <mc:AlternateContent xmlns:mc="http://schemas.openxmlformats.org/markup-compatibility/2006">
          <mc:Choice Requires="x14">
            <control shapeId="495982" r:id="rId17" name="Button 29038">
              <controlPr defaultSize="0" print="0" autoFill="0" autoPict="0" macro="[0]!Sheet12.OC_13">
                <anchor moveWithCells="1" sizeWithCells="1">
                  <from>
                    <xdr:col>2</xdr:col>
                    <xdr:colOff>1885950</xdr:colOff>
                    <xdr:row>52</xdr:row>
                    <xdr:rowOff>66675</xdr:rowOff>
                  </from>
                  <to>
                    <xdr:col>2</xdr:col>
                    <xdr:colOff>2571750</xdr:colOff>
                    <xdr:row>52</xdr:row>
                    <xdr:rowOff>66675</xdr:rowOff>
                  </to>
                </anchor>
              </controlPr>
            </control>
          </mc:Choice>
        </mc:AlternateContent>
        <mc:AlternateContent xmlns:mc="http://schemas.openxmlformats.org/markup-compatibility/2006">
          <mc:Choice Requires="x14">
            <control shapeId="56387601" r:id="rId18" name="Button 5744657">
              <controlPr defaultSize="0" print="0" autoFill="0" autoPict="0" macro="[0]!Sheet12.OC_10">
                <anchor moveWithCells="1" sizeWithCells="1">
                  <from>
                    <xdr:col>10</xdr:col>
                    <xdr:colOff>285750</xdr:colOff>
                    <xdr:row>109</xdr:row>
                    <xdr:rowOff>123825</xdr:rowOff>
                  </from>
                  <to>
                    <xdr:col>11</xdr:col>
                    <xdr:colOff>828675</xdr:colOff>
                    <xdr:row>111</xdr:row>
                    <xdr:rowOff>9525</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pageSetUpPr autoPageBreaks="0"/>
  </sheetPr>
  <dimension ref="A1:B291"/>
  <sheetViews>
    <sheetView workbookViewId="0"/>
  </sheetViews>
  <sheetFormatPr defaultColWidth="8.85546875" defaultRowHeight="12.75" customHeight="1"/>
  <cols>
    <col min="1" max="1" width="23.28515625" style="181" customWidth="1"/>
    <col min="2" max="2" width="20.7109375" style="181" customWidth="1"/>
    <col min="3" max="3" width="9.42578125" style="315" customWidth="1"/>
    <col min="4" max="4" width="19.42578125" style="315" customWidth="1"/>
    <col min="5" max="5" width="15.85546875" style="315" customWidth="1"/>
    <col min="6" max="6" width="67.85546875" style="315" bestFit="1" customWidth="1"/>
    <col min="7" max="16384" width="8.85546875" style="315"/>
  </cols>
  <sheetData>
    <row r="1" spans="1:2" s="314" customFormat="1" ht="41.25" customHeight="1">
      <c r="A1" s="433" t="s">
        <v>7</v>
      </c>
      <c r="B1" s="434" t="s">
        <v>6</v>
      </c>
    </row>
    <row r="2" spans="1:2" s="314" customFormat="1" ht="12.6" customHeight="1">
      <c r="A2" s="884" t="s">
        <v>1439</v>
      </c>
      <c r="B2" s="885" t="s">
        <v>2059</v>
      </c>
    </row>
    <row r="3" spans="1:2" s="314" customFormat="1" ht="12.6" customHeight="1">
      <c r="A3" s="884" t="s">
        <v>1316</v>
      </c>
      <c r="B3" s="885" t="s">
        <v>1334</v>
      </c>
    </row>
    <row r="4" spans="1:2" s="314" customFormat="1" ht="12.6" customHeight="1">
      <c r="A4" s="884" t="s">
        <v>1269</v>
      </c>
      <c r="B4" s="885" t="s">
        <v>1327</v>
      </c>
    </row>
    <row r="5" spans="1:2" s="314" customFormat="1" ht="12.6" customHeight="1">
      <c r="A5" s="884" t="s">
        <v>1440</v>
      </c>
      <c r="B5" s="885" t="s">
        <v>1327</v>
      </c>
    </row>
    <row r="6" spans="1:2" s="314" customFormat="1" ht="12.6" customHeight="1">
      <c r="A6" s="884" t="s">
        <v>1622</v>
      </c>
      <c r="B6" s="885" t="s">
        <v>1327</v>
      </c>
    </row>
    <row r="7" spans="1:2" s="314" customFormat="1" ht="12.6" customHeight="1">
      <c r="A7" s="884" t="s">
        <v>1623</v>
      </c>
      <c r="B7" s="885" t="s">
        <v>1327</v>
      </c>
    </row>
    <row r="8" spans="1:2" s="314" customFormat="1" ht="12.6" customHeight="1">
      <c r="A8" s="884" t="s">
        <v>1624</v>
      </c>
      <c r="B8" s="885" t="s">
        <v>1327</v>
      </c>
    </row>
    <row r="9" spans="1:2" s="314" customFormat="1" ht="12.6" customHeight="1">
      <c r="A9" s="884" t="s">
        <v>1304</v>
      </c>
      <c r="B9" s="885" t="s">
        <v>1327</v>
      </c>
    </row>
    <row r="10" spans="1:2" s="314" customFormat="1" ht="12.6" customHeight="1">
      <c r="A10" s="884" t="s">
        <v>1304</v>
      </c>
      <c r="B10" s="885" t="s">
        <v>1327</v>
      </c>
    </row>
    <row r="11" spans="1:2" s="314" customFormat="1" ht="12.6" customHeight="1">
      <c r="A11" s="884" t="s">
        <v>1626</v>
      </c>
      <c r="B11" s="885" t="s">
        <v>1327</v>
      </c>
    </row>
    <row r="12" spans="1:2" s="314" customFormat="1" ht="12.6" customHeight="1">
      <c r="A12" s="884" t="s">
        <v>1270</v>
      </c>
      <c r="B12" s="885" t="s">
        <v>1327</v>
      </c>
    </row>
    <row r="13" spans="1:2" s="314" customFormat="1" ht="12.6" customHeight="1">
      <c r="A13" s="884" t="s">
        <v>1742</v>
      </c>
      <c r="B13" s="885" t="s">
        <v>1334</v>
      </c>
    </row>
    <row r="14" spans="1:2" s="314" customFormat="1" ht="12.6" customHeight="1">
      <c r="A14" s="884" t="s">
        <v>1519</v>
      </c>
      <c r="B14" s="885" t="s">
        <v>1334</v>
      </c>
    </row>
    <row r="15" spans="1:2" s="314" customFormat="1" ht="12.6" customHeight="1">
      <c r="A15" s="884" t="s">
        <v>1511</v>
      </c>
      <c r="B15" s="885" t="s">
        <v>1334</v>
      </c>
    </row>
    <row r="16" spans="1:2" s="314" customFormat="1" ht="12.6" customHeight="1">
      <c r="A16" s="884" t="s">
        <v>1682</v>
      </c>
      <c r="B16" s="885" t="s">
        <v>1327</v>
      </c>
    </row>
    <row r="17" spans="1:2" s="314" customFormat="1" ht="12.6" customHeight="1">
      <c r="A17" s="884" t="s">
        <v>1434</v>
      </c>
      <c r="B17" s="885" t="s">
        <v>1334</v>
      </c>
    </row>
    <row r="18" spans="1:2" s="314" customFormat="1" ht="12.6" customHeight="1">
      <c r="A18" s="884" t="s">
        <v>1413</v>
      </c>
      <c r="B18" s="885" t="s">
        <v>1334</v>
      </c>
    </row>
    <row r="19" spans="1:2" s="314" customFormat="1" ht="12.6" customHeight="1">
      <c r="A19" s="884" t="s">
        <v>1413</v>
      </c>
      <c r="B19" s="885" t="s">
        <v>1334</v>
      </c>
    </row>
    <row r="20" spans="1:2" s="314" customFormat="1" ht="12.6" customHeight="1">
      <c r="A20" s="884" t="s">
        <v>1412</v>
      </c>
      <c r="B20" s="885" t="s">
        <v>1334</v>
      </c>
    </row>
    <row r="21" spans="1:2" s="314" customFormat="1" ht="12.6" customHeight="1">
      <c r="A21" s="884" t="s">
        <v>1492</v>
      </c>
      <c r="B21" s="885" t="s">
        <v>1334</v>
      </c>
    </row>
    <row r="22" spans="1:2" s="314" customFormat="1" ht="12.6" customHeight="1">
      <c r="A22" s="884" t="s">
        <v>1505</v>
      </c>
      <c r="B22" s="885" t="s">
        <v>1334</v>
      </c>
    </row>
    <row r="23" spans="1:2" s="314" customFormat="1" ht="12.6" customHeight="1">
      <c r="A23" s="884" t="s">
        <v>1441</v>
      </c>
      <c r="B23" s="885" t="s">
        <v>1327</v>
      </c>
    </row>
    <row r="24" spans="1:2" s="314" customFormat="1" ht="12.6" customHeight="1">
      <c r="A24" s="884" t="s">
        <v>1472</v>
      </c>
      <c r="B24" s="885" t="s">
        <v>1334</v>
      </c>
    </row>
    <row r="25" spans="1:2" s="314" customFormat="1" ht="12.6" customHeight="1">
      <c r="A25" s="884" t="s">
        <v>1671</v>
      </c>
      <c r="B25" s="885" t="s">
        <v>1334</v>
      </c>
    </row>
    <row r="26" spans="1:2" s="314" customFormat="1" ht="12.6" customHeight="1">
      <c r="A26" s="884" t="s">
        <v>2061</v>
      </c>
      <c r="B26" s="885" t="s">
        <v>1334</v>
      </c>
    </row>
    <row r="27" spans="1:2" s="314" customFormat="1" ht="12.6" customHeight="1">
      <c r="A27" s="884" t="s">
        <v>2016</v>
      </c>
      <c r="B27" s="885" t="s">
        <v>1334</v>
      </c>
    </row>
    <row r="28" spans="1:2" s="314" customFormat="1" ht="12.6" customHeight="1">
      <c r="A28" s="884" t="s">
        <v>2375</v>
      </c>
      <c r="B28" s="885" t="s">
        <v>1334</v>
      </c>
    </row>
    <row r="29" spans="1:2" s="314" customFormat="1" ht="12.6" customHeight="1">
      <c r="A29" s="884" t="s">
        <v>2062</v>
      </c>
      <c r="B29" s="885" t="s">
        <v>1334</v>
      </c>
    </row>
    <row r="30" spans="1:2" s="314" customFormat="1" ht="12.6" customHeight="1">
      <c r="A30" s="884" t="s">
        <v>1564</v>
      </c>
      <c r="B30" s="885" t="s">
        <v>1334</v>
      </c>
    </row>
    <row r="31" spans="1:2" s="314" customFormat="1" ht="12.6" customHeight="1">
      <c r="A31" s="884" t="s">
        <v>1704</v>
      </c>
      <c r="B31" s="885" t="s">
        <v>1327</v>
      </c>
    </row>
    <row r="32" spans="1:2" s="314" customFormat="1" ht="12.6" customHeight="1">
      <c r="A32" s="884" t="s">
        <v>1442</v>
      </c>
      <c r="B32" s="885" t="s">
        <v>1327</v>
      </c>
    </row>
    <row r="33" spans="1:2" s="314" customFormat="1" ht="12.6" customHeight="1">
      <c r="A33" s="884" t="s">
        <v>1684</v>
      </c>
      <c r="B33" s="885" t="s">
        <v>1334</v>
      </c>
    </row>
    <row r="34" spans="1:2" s="314" customFormat="1" ht="12.6" customHeight="1">
      <c r="A34" s="884" t="s">
        <v>1592</v>
      </c>
      <c r="B34" s="885" t="s">
        <v>1327</v>
      </c>
    </row>
    <row r="35" spans="1:2" s="314" customFormat="1" ht="12.6" customHeight="1">
      <c r="A35" s="884" t="s">
        <v>2017</v>
      </c>
      <c r="B35" s="885" t="s">
        <v>1334</v>
      </c>
    </row>
    <row r="36" spans="1:2" s="314" customFormat="1" ht="12.6" customHeight="1">
      <c r="A36" s="884" t="s">
        <v>2063</v>
      </c>
      <c r="B36" s="885" t="s">
        <v>1327</v>
      </c>
    </row>
    <row r="37" spans="1:2" s="314" customFormat="1" ht="12.6" customHeight="1">
      <c r="A37" s="884" t="s">
        <v>1605</v>
      </c>
      <c r="B37" s="885" t="s">
        <v>1334</v>
      </c>
    </row>
    <row r="38" spans="1:2" s="314" customFormat="1" ht="15.75" customHeight="1">
      <c r="A38" s="884" t="s">
        <v>2064</v>
      </c>
      <c r="B38" s="885" t="s">
        <v>1334</v>
      </c>
    </row>
    <row r="39" spans="1:2" s="314" customFormat="1" ht="15.75" customHeight="1">
      <c r="A39" s="884" t="s">
        <v>1697</v>
      </c>
      <c r="B39" s="885" t="s">
        <v>1334</v>
      </c>
    </row>
    <row r="40" spans="1:2" ht="12.75" customHeight="1">
      <c r="A40" s="884" t="s">
        <v>1271</v>
      </c>
      <c r="B40" s="885" t="s">
        <v>1327</v>
      </c>
    </row>
    <row r="41" spans="1:2" ht="12.75" customHeight="1">
      <c r="A41" s="884" t="s">
        <v>1692</v>
      </c>
      <c r="B41" s="885" t="s">
        <v>1327</v>
      </c>
    </row>
    <row r="42" spans="1:2" ht="12.75" customHeight="1">
      <c r="A42" s="884" t="s">
        <v>1708</v>
      </c>
      <c r="B42" s="885" t="s">
        <v>1327</v>
      </c>
    </row>
    <row r="43" spans="1:2" ht="12.75" customHeight="1">
      <c r="A43" s="884" t="s">
        <v>1674</v>
      </c>
      <c r="B43" s="885" t="s">
        <v>1327</v>
      </c>
    </row>
    <row r="44" spans="1:2" ht="12.75" customHeight="1">
      <c r="A44" s="884" t="s">
        <v>1709</v>
      </c>
      <c r="B44" s="885" t="s">
        <v>1327</v>
      </c>
    </row>
    <row r="45" spans="1:2" ht="12.75" customHeight="1">
      <c r="A45" s="884" t="s">
        <v>1904</v>
      </c>
      <c r="B45" s="885" t="s">
        <v>1334</v>
      </c>
    </row>
    <row r="46" spans="1:2" ht="12.75" customHeight="1">
      <c r="A46" s="884" t="s">
        <v>1272</v>
      </c>
      <c r="B46" s="885" t="s">
        <v>1327</v>
      </c>
    </row>
    <row r="47" spans="1:2" ht="12.75" customHeight="1">
      <c r="A47" s="884" t="s">
        <v>2094</v>
      </c>
      <c r="B47" s="885" t="s">
        <v>1327</v>
      </c>
    </row>
    <row r="48" spans="1:2" ht="12.75" customHeight="1">
      <c r="A48" s="884" t="s">
        <v>2100</v>
      </c>
      <c r="B48" s="885" t="s">
        <v>1327</v>
      </c>
    </row>
    <row r="49" spans="1:2" ht="12.75" customHeight="1">
      <c r="A49" s="884" t="s">
        <v>2072</v>
      </c>
      <c r="B49" s="885" t="s">
        <v>1327</v>
      </c>
    </row>
    <row r="50" spans="1:2" ht="12.75" customHeight="1">
      <c r="A50" s="884" t="s">
        <v>2135</v>
      </c>
      <c r="B50" s="885" t="s">
        <v>1327</v>
      </c>
    </row>
    <row r="51" spans="1:2" ht="12.75" customHeight="1">
      <c r="A51" s="884" t="s">
        <v>2139</v>
      </c>
      <c r="B51" s="885" t="s">
        <v>1327</v>
      </c>
    </row>
    <row r="52" spans="1:2" ht="12.75" customHeight="1">
      <c r="A52" s="884" t="s">
        <v>1628</v>
      </c>
      <c r="B52" s="885" t="s">
        <v>1327</v>
      </c>
    </row>
    <row r="53" spans="1:2" ht="12.75" customHeight="1">
      <c r="A53" s="884" t="s">
        <v>2236</v>
      </c>
      <c r="B53" s="885" t="s">
        <v>1334</v>
      </c>
    </row>
    <row r="54" spans="1:2" ht="12.75" customHeight="1">
      <c r="A54" s="884" t="s">
        <v>2205</v>
      </c>
      <c r="B54" s="885" t="s">
        <v>1334</v>
      </c>
    </row>
    <row r="55" spans="1:2" ht="12.75" customHeight="1">
      <c r="A55" s="884" t="s">
        <v>2206</v>
      </c>
      <c r="B55" s="885" t="s">
        <v>1334</v>
      </c>
    </row>
    <row r="56" spans="1:2" ht="12.75" customHeight="1">
      <c r="A56" s="884" t="s">
        <v>2207</v>
      </c>
      <c r="B56" s="885" t="s">
        <v>1334</v>
      </c>
    </row>
    <row r="57" spans="1:2" ht="12.75" customHeight="1">
      <c r="A57" s="884" t="s">
        <v>2241</v>
      </c>
      <c r="B57" s="885" t="s">
        <v>1334</v>
      </c>
    </row>
    <row r="58" spans="1:2" ht="12.75" customHeight="1">
      <c r="A58" s="884" t="s">
        <v>1443</v>
      </c>
      <c r="B58" s="885" t="s">
        <v>1327</v>
      </c>
    </row>
    <row r="59" spans="1:2" ht="12.75" customHeight="1">
      <c r="A59" s="884" t="s">
        <v>1444</v>
      </c>
      <c r="B59" s="885" t="s">
        <v>2059</v>
      </c>
    </row>
    <row r="60" spans="1:2" ht="12.75" customHeight="1">
      <c r="A60" s="884" t="s">
        <v>1629</v>
      </c>
      <c r="B60" s="885" t="s">
        <v>1327</v>
      </c>
    </row>
    <row r="61" spans="1:2" ht="12.75" customHeight="1">
      <c r="A61" s="884" t="s">
        <v>1630</v>
      </c>
      <c r="B61" s="885" t="s">
        <v>1327</v>
      </c>
    </row>
    <row r="62" spans="1:2" ht="12.75" customHeight="1">
      <c r="A62" s="884" t="s">
        <v>1631</v>
      </c>
      <c r="B62" s="885" t="s">
        <v>1327</v>
      </c>
    </row>
    <row r="63" spans="1:2" ht="12.75" customHeight="1">
      <c r="A63" s="884" t="s">
        <v>1445</v>
      </c>
      <c r="B63" s="885" t="s">
        <v>1327</v>
      </c>
    </row>
    <row r="64" spans="1:2" ht="12.75" customHeight="1">
      <c r="A64" s="884" t="s">
        <v>1632</v>
      </c>
      <c r="B64" s="885" t="s">
        <v>1327</v>
      </c>
    </row>
    <row r="65" spans="1:2" ht="12.75" customHeight="1">
      <c r="A65" s="884" t="s">
        <v>1273</v>
      </c>
      <c r="B65" s="885" t="s">
        <v>1327</v>
      </c>
    </row>
    <row r="66" spans="1:2" ht="12.75" customHeight="1">
      <c r="A66" s="884" t="s">
        <v>1306</v>
      </c>
      <c r="B66" s="885" t="s">
        <v>1327</v>
      </c>
    </row>
    <row r="67" spans="1:2" ht="12.75" customHeight="1">
      <c r="A67" s="884" t="s">
        <v>1446</v>
      </c>
      <c r="B67" s="885" t="s">
        <v>1327</v>
      </c>
    </row>
    <row r="68" spans="1:2" ht="12.75" customHeight="1">
      <c r="A68" s="884" t="s">
        <v>1274</v>
      </c>
      <c r="B68" s="885" t="s">
        <v>1327</v>
      </c>
    </row>
    <row r="69" spans="1:2" ht="12.75" customHeight="1">
      <c r="A69" s="884" t="s">
        <v>1308</v>
      </c>
      <c r="B69" s="885" t="s">
        <v>1327</v>
      </c>
    </row>
    <row r="70" spans="1:2" ht="12.75" customHeight="1">
      <c r="A70" s="884" t="s">
        <v>1675</v>
      </c>
      <c r="B70" s="885" t="s">
        <v>1327</v>
      </c>
    </row>
    <row r="71" spans="1:2" ht="12.75" customHeight="1">
      <c r="A71" s="884" t="s">
        <v>1275</v>
      </c>
      <c r="B71" s="885" t="s">
        <v>1327</v>
      </c>
    </row>
    <row r="72" spans="1:2" ht="12.75" customHeight="1">
      <c r="A72" s="884" t="s">
        <v>1634</v>
      </c>
      <c r="B72" s="885" t="s">
        <v>1327</v>
      </c>
    </row>
    <row r="73" spans="1:2" ht="12.75" customHeight="1">
      <c r="A73" s="884" t="s">
        <v>1635</v>
      </c>
      <c r="B73" s="885" t="s">
        <v>1327</v>
      </c>
    </row>
    <row r="74" spans="1:2" ht="12.75" customHeight="1">
      <c r="A74" s="884" t="s">
        <v>1636</v>
      </c>
      <c r="B74" s="885" t="s">
        <v>1327</v>
      </c>
    </row>
    <row r="75" spans="1:2" ht="12.75" customHeight="1">
      <c r="A75" s="884" t="s">
        <v>1637</v>
      </c>
      <c r="B75" s="885" t="s">
        <v>1327</v>
      </c>
    </row>
    <row r="76" spans="1:2" ht="12.75" customHeight="1">
      <c r="A76" s="884" t="s">
        <v>1638</v>
      </c>
      <c r="B76" s="885" t="s">
        <v>1327</v>
      </c>
    </row>
    <row r="77" spans="1:2" ht="12.75" customHeight="1">
      <c r="A77" s="884" t="s">
        <v>1639</v>
      </c>
      <c r="B77" s="885" t="s">
        <v>1327</v>
      </c>
    </row>
    <row r="78" spans="1:2" ht="12.75" customHeight="1">
      <c r="A78" s="884" t="s">
        <v>1447</v>
      </c>
      <c r="B78" s="885" t="s">
        <v>1327</v>
      </c>
    </row>
    <row r="79" spans="1:2" ht="12.75" customHeight="1">
      <c r="A79" s="884" t="s">
        <v>1309</v>
      </c>
      <c r="B79" s="885" t="s">
        <v>1327</v>
      </c>
    </row>
    <row r="80" spans="1:2" ht="12.75" customHeight="1">
      <c r="A80" s="884" t="s">
        <v>1448</v>
      </c>
      <c r="B80" s="885" t="s">
        <v>1327</v>
      </c>
    </row>
    <row r="81" spans="1:2" ht="12.75" customHeight="1">
      <c r="A81" s="884" t="s">
        <v>1449</v>
      </c>
      <c r="B81" s="885" t="s">
        <v>1327</v>
      </c>
    </row>
    <row r="82" spans="1:2" ht="12.75" customHeight="1">
      <c r="A82" s="884" t="s">
        <v>1450</v>
      </c>
      <c r="B82" s="885" t="s">
        <v>2059</v>
      </c>
    </row>
    <row r="83" spans="1:2" ht="12.75" customHeight="1">
      <c r="A83" s="884" t="s">
        <v>1640</v>
      </c>
      <c r="B83" s="885" t="s">
        <v>1327</v>
      </c>
    </row>
    <row r="84" spans="1:2" ht="12.75" customHeight="1">
      <c r="A84" s="884" t="s">
        <v>1310</v>
      </c>
      <c r="B84" s="885" t="s">
        <v>1327</v>
      </c>
    </row>
    <row r="85" spans="1:2" ht="12.75" customHeight="1">
      <c r="A85" s="884" t="s">
        <v>1641</v>
      </c>
      <c r="B85" s="885" t="s">
        <v>1327</v>
      </c>
    </row>
    <row r="86" spans="1:2" ht="12.75" customHeight="1">
      <c r="A86" s="884" t="s">
        <v>1642</v>
      </c>
      <c r="B86" s="885" t="s">
        <v>1327</v>
      </c>
    </row>
    <row r="87" spans="1:2" ht="12.75" customHeight="1">
      <c r="A87" s="884" t="s">
        <v>1451</v>
      </c>
      <c r="B87" s="885" t="s">
        <v>1327</v>
      </c>
    </row>
    <row r="88" spans="1:2" ht="12.75" customHeight="1">
      <c r="A88" s="884" t="s">
        <v>1276</v>
      </c>
      <c r="B88" s="885" t="s">
        <v>1327</v>
      </c>
    </row>
    <row r="89" spans="1:2" ht="12.75" customHeight="1">
      <c r="A89" s="884" t="s">
        <v>1276</v>
      </c>
      <c r="B89" s="885" t="s">
        <v>1327</v>
      </c>
    </row>
    <row r="90" spans="1:2" ht="12.75" customHeight="1">
      <c r="A90" s="884" t="s">
        <v>1277</v>
      </c>
      <c r="B90" s="885" t="s">
        <v>1327</v>
      </c>
    </row>
    <row r="91" spans="1:2" ht="12.75" customHeight="1">
      <c r="A91" s="884" t="s">
        <v>1643</v>
      </c>
      <c r="B91" s="885" t="s">
        <v>1327</v>
      </c>
    </row>
    <row r="92" spans="1:2" ht="12.75" customHeight="1">
      <c r="A92" s="884" t="s">
        <v>1452</v>
      </c>
      <c r="B92" s="885" t="s">
        <v>2059</v>
      </c>
    </row>
    <row r="93" spans="1:2" ht="12.75" customHeight="1">
      <c r="A93" s="884" t="s">
        <v>1452</v>
      </c>
      <c r="B93" s="885" t="s">
        <v>1327</v>
      </c>
    </row>
    <row r="94" spans="1:2" ht="12.75" customHeight="1">
      <c r="A94" s="884" t="s">
        <v>1317</v>
      </c>
      <c r="B94" s="885" t="s">
        <v>1334</v>
      </c>
    </row>
    <row r="95" spans="1:2" s="314" customFormat="1" ht="12.6" customHeight="1">
      <c r="A95" s="884" t="s">
        <v>1644</v>
      </c>
      <c r="B95" s="885" t="s">
        <v>1327</v>
      </c>
    </row>
    <row r="96" spans="1:2" s="314" customFormat="1" ht="12.6" customHeight="1">
      <c r="A96" s="884" t="s">
        <v>1645</v>
      </c>
      <c r="B96" s="885" t="s">
        <v>1327</v>
      </c>
    </row>
    <row r="97" spans="1:2" s="314" customFormat="1" ht="12.6" customHeight="1">
      <c r="A97" s="884" t="s">
        <v>1278</v>
      </c>
      <c r="B97" s="885" t="s">
        <v>1327</v>
      </c>
    </row>
    <row r="98" spans="1:2" s="314" customFormat="1" ht="12.6" customHeight="1">
      <c r="A98" s="884" t="s">
        <v>1646</v>
      </c>
      <c r="B98" s="885" t="s">
        <v>1327</v>
      </c>
    </row>
    <row r="99" spans="1:2" s="314" customFormat="1" ht="12.6" customHeight="1">
      <c r="A99" s="884" t="s">
        <v>1279</v>
      </c>
      <c r="B99" s="885" t="s">
        <v>1327</v>
      </c>
    </row>
    <row r="100" spans="1:2" s="314" customFormat="1" ht="12.6" customHeight="1">
      <c r="A100" s="884" t="s">
        <v>1280</v>
      </c>
      <c r="B100" s="885" t="s">
        <v>1327</v>
      </c>
    </row>
    <row r="101" spans="1:2" s="314" customFormat="1" ht="12.6" customHeight="1">
      <c r="A101" s="884" t="s">
        <v>1311</v>
      </c>
      <c r="B101" s="885" t="s">
        <v>1334</v>
      </c>
    </row>
    <row r="102" spans="1:2" s="314" customFormat="1" ht="12.6" customHeight="1">
      <c r="A102" s="884" t="s">
        <v>1281</v>
      </c>
      <c r="B102" s="885" t="s">
        <v>1327</v>
      </c>
    </row>
    <row r="103" spans="1:2" s="314" customFormat="1" ht="12.6" customHeight="1">
      <c r="A103" s="884" t="s">
        <v>1282</v>
      </c>
      <c r="B103" s="885" t="s">
        <v>1334</v>
      </c>
    </row>
    <row r="104" spans="1:2" s="314" customFormat="1" ht="12.6" customHeight="1">
      <c r="A104" s="884" t="s">
        <v>1556</v>
      </c>
      <c r="B104" s="885" t="s">
        <v>1334</v>
      </c>
    </row>
    <row r="105" spans="1:2" s="314" customFormat="1" ht="12.6" customHeight="1">
      <c r="A105" s="884" t="s">
        <v>1556</v>
      </c>
      <c r="B105" s="885" t="s">
        <v>1334</v>
      </c>
    </row>
    <row r="106" spans="1:2" s="314" customFormat="1" ht="12.6" customHeight="1">
      <c r="A106" s="884" t="s">
        <v>1318</v>
      </c>
      <c r="B106" s="885" t="s">
        <v>1334</v>
      </c>
    </row>
    <row r="107" spans="1:2" s="314" customFormat="1" ht="12.6" customHeight="1">
      <c r="A107" s="884" t="s">
        <v>1283</v>
      </c>
      <c r="B107" s="885" t="s">
        <v>1327</v>
      </c>
    </row>
    <row r="108" spans="1:2" s="314" customFormat="1" ht="12.6" customHeight="1">
      <c r="A108" s="884" t="s">
        <v>1284</v>
      </c>
      <c r="B108" s="885" t="s">
        <v>1334</v>
      </c>
    </row>
    <row r="109" spans="1:2" s="314" customFormat="1" ht="12.6" customHeight="1">
      <c r="A109" s="884" t="s">
        <v>1453</v>
      </c>
      <c r="B109" s="885" t="s">
        <v>2058</v>
      </c>
    </row>
    <row r="110" spans="1:2" s="314" customFormat="1" ht="12.6" customHeight="1">
      <c r="A110" s="884" t="s">
        <v>1285</v>
      </c>
      <c r="B110" s="885" t="s">
        <v>1327</v>
      </c>
    </row>
    <row r="111" spans="1:2" s="314" customFormat="1" ht="12.6" customHeight="1">
      <c r="A111" s="884" t="s">
        <v>1454</v>
      </c>
      <c r="B111" s="885" t="s">
        <v>1327</v>
      </c>
    </row>
    <row r="112" spans="1:2" s="314" customFormat="1" ht="12.6" customHeight="1">
      <c r="A112" s="884" t="s">
        <v>1325</v>
      </c>
      <c r="B112" s="885" t="s">
        <v>1334</v>
      </c>
    </row>
    <row r="113" spans="1:2" s="314" customFormat="1" ht="12.6" customHeight="1">
      <c r="A113" s="884" t="s">
        <v>1286</v>
      </c>
      <c r="B113" s="885" t="s">
        <v>1334</v>
      </c>
    </row>
    <row r="114" spans="1:2" s="314" customFormat="1" ht="12.6" customHeight="1">
      <c r="A114" s="884" t="s">
        <v>1287</v>
      </c>
      <c r="B114" s="885" t="s">
        <v>1334</v>
      </c>
    </row>
    <row r="115" spans="1:2" s="314" customFormat="1" ht="12.6" customHeight="1">
      <c r="A115" s="884" t="s">
        <v>1455</v>
      </c>
      <c r="B115" s="885" t="s">
        <v>1334</v>
      </c>
    </row>
    <row r="116" spans="1:2" s="314" customFormat="1" ht="12.6" customHeight="1">
      <c r="A116" s="884" t="s">
        <v>1288</v>
      </c>
      <c r="B116" s="885" t="s">
        <v>1334</v>
      </c>
    </row>
    <row r="117" spans="1:2" s="314" customFormat="1" ht="12.6" customHeight="1">
      <c r="A117" s="884" t="s">
        <v>1289</v>
      </c>
      <c r="B117" s="885" t="s">
        <v>1334</v>
      </c>
    </row>
    <row r="118" spans="1:2" s="314" customFormat="1" ht="12.6" customHeight="1">
      <c r="A118" s="884" t="s">
        <v>2071</v>
      </c>
      <c r="B118" s="885" t="s">
        <v>1327</v>
      </c>
    </row>
    <row r="119" spans="1:2" s="314" customFormat="1" ht="12.6" customHeight="1">
      <c r="A119" s="884" t="s">
        <v>1290</v>
      </c>
      <c r="B119" s="885" t="s">
        <v>1334</v>
      </c>
    </row>
    <row r="120" spans="1:2" s="314" customFormat="1" ht="12.6" customHeight="1">
      <c r="A120" s="884" t="s">
        <v>1291</v>
      </c>
      <c r="B120" s="885" t="s">
        <v>1334</v>
      </c>
    </row>
    <row r="121" spans="1:2" s="314" customFormat="1" ht="12.6" customHeight="1">
      <c r="A121" s="884" t="s">
        <v>1292</v>
      </c>
      <c r="B121" s="885" t="s">
        <v>1334</v>
      </c>
    </row>
    <row r="122" spans="1:2" s="314" customFormat="1" ht="12.6" customHeight="1">
      <c r="A122" s="884" t="s">
        <v>1293</v>
      </c>
      <c r="B122" s="885" t="s">
        <v>1334</v>
      </c>
    </row>
    <row r="123" spans="1:2" s="314" customFormat="1" ht="12.6" customHeight="1">
      <c r="A123" s="884" t="s">
        <v>2429</v>
      </c>
      <c r="B123" s="885" t="s">
        <v>1327</v>
      </c>
    </row>
    <row r="124" spans="1:2" s="314" customFormat="1" ht="12.6" customHeight="1">
      <c r="A124" s="884" t="s">
        <v>2430</v>
      </c>
      <c r="B124" s="885" t="s">
        <v>1327</v>
      </c>
    </row>
    <row r="125" spans="1:2" s="314" customFormat="1" ht="12.6" customHeight="1">
      <c r="A125" s="884" t="s">
        <v>2630</v>
      </c>
      <c r="B125" s="885" t="s">
        <v>1327</v>
      </c>
    </row>
    <row r="126" spans="1:2" s="314" customFormat="1" ht="12.6" customHeight="1">
      <c r="A126" s="884" t="s">
        <v>2374</v>
      </c>
      <c r="B126" s="885" t="s">
        <v>2258</v>
      </c>
    </row>
    <row r="127" spans="1:2" s="314" customFormat="1" ht="12.6" customHeight="1">
      <c r="A127" s="884" t="s">
        <v>2350</v>
      </c>
      <c r="B127" s="885" t="s">
        <v>2349</v>
      </c>
    </row>
    <row r="128" spans="1:2" ht="12.75" customHeight="1">
      <c r="A128" s="884" t="s">
        <v>1706</v>
      </c>
      <c r="B128" s="885" t="s">
        <v>1707</v>
      </c>
    </row>
    <row r="129" spans="1:2" ht="12.75" customHeight="1">
      <c r="A129" s="884" t="s">
        <v>1563</v>
      </c>
      <c r="B129" s="885" t="s">
        <v>2140</v>
      </c>
    </row>
    <row r="130" spans="1:2" ht="12.75" customHeight="1">
      <c r="A130" s="884" t="s">
        <v>1538</v>
      </c>
      <c r="B130" s="885" t="s">
        <v>1329</v>
      </c>
    </row>
    <row r="131" spans="1:2" ht="12.75" customHeight="1">
      <c r="A131" s="884" t="s">
        <v>1410</v>
      </c>
      <c r="B131" s="885" t="s">
        <v>1329</v>
      </c>
    </row>
    <row r="132" spans="1:2" ht="12.75" customHeight="1">
      <c r="A132" s="884" t="s">
        <v>1554</v>
      </c>
      <c r="B132" s="885" t="s">
        <v>1329</v>
      </c>
    </row>
    <row r="133" spans="1:2" ht="12.75" customHeight="1">
      <c r="A133" s="884" t="s">
        <v>2215</v>
      </c>
      <c r="B133" s="885" t="s">
        <v>1329</v>
      </c>
    </row>
    <row r="134" spans="1:2" ht="12.75" customHeight="1">
      <c r="A134" s="884" t="s">
        <v>2683</v>
      </c>
      <c r="B134" s="885" t="s">
        <v>1329</v>
      </c>
    </row>
    <row r="135" spans="1:2" ht="12.75" customHeight="1">
      <c r="A135" s="884" t="s">
        <v>2684</v>
      </c>
      <c r="B135" s="885" t="s">
        <v>1329</v>
      </c>
    </row>
    <row r="136" spans="1:2" ht="12.75" customHeight="1">
      <c r="A136" s="884" t="s">
        <v>2383</v>
      </c>
      <c r="B136" s="885" t="s">
        <v>2216</v>
      </c>
    </row>
    <row r="137" spans="1:2" ht="12.75" customHeight="1">
      <c r="A137" s="884" t="s">
        <v>2612</v>
      </c>
      <c r="B137" s="885" t="s">
        <v>2216</v>
      </c>
    </row>
    <row r="138" spans="1:2" ht="12.75" customHeight="1">
      <c r="A138" s="884" t="s">
        <v>2602</v>
      </c>
      <c r="B138" s="885" t="s">
        <v>2603</v>
      </c>
    </row>
    <row r="139" spans="1:2" ht="12.75" customHeight="1">
      <c r="A139" s="884" t="s">
        <v>2310</v>
      </c>
      <c r="B139" s="885" t="s">
        <v>2311</v>
      </c>
    </row>
    <row r="140" spans="1:2" ht="12.75" customHeight="1">
      <c r="A140" s="884" t="s">
        <v>2694</v>
      </c>
      <c r="B140" s="885" t="s">
        <v>2695</v>
      </c>
    </row>
    <row r="141" spans="1:2" ht="12.75" customHeight="1">
      <c r="A141" s="884" t="s">
        <v>2238</v>
      </c>
      <c r="B141" s="885" t="s">
        <v>2237</v>
      </c>
    </row>
    <row r="142" spans="1:2" ht="12.75" customHeight="1">
      <c r="A142" s="884" t="s">
        <v>2698</v>
      </c>
      <c r="B142" s="885" t="s">
        <v>2237</v>
      </c>
    </row>
    <row r="143" spans="1:2" ht="12.75" customHeight="1">
      <c r="A143" s="884" t="s">
        <v>1539</v>
      </c>
      <c r="B143" s="885" t="s">
        <v>2060</v>
      </c>
    </row>
    <row r="144" spans="1:2" ht="12.75" customHeight="1">
      <c r="A144" s="884" t="s">
        <v>1540</v>
      </c>
      <c r="B144" s="885" t="s">
        <v>2060</v>
      </c>
    </row>
    <row r="145" spans="1:2" ht="12.75" customHeight="1">
      <c r="A145" s="884" t="s">
        <v>1541</v>
      </c>
      <c r="B145" s="885" t="s">
        <v>2060</v>
      </c>
    </row>
    <row r="146" spans="1:2" ht="12.75" customHeight="1">
      <c r="A146" s="884" t="s">
        <v>1542</v>
      </c>
      <c r="B146" s="885" t="s">
        <v>2060</v>
      </c>
    </row>
    <row r="147" spans="1:2" ht="12.75" customHeight="1">
      <c r="A147" s="884" t="s">
        <v>1543</v>
      </c>
      <c r="B147" s="885" t="s">
        <v>2060</v>
      </c>
    </row>
    <row r="148" spans="1:2" ht="12.75" customHeight="1">
      <c r="A148" s="884" t="s">
        <v>1599</v>
      </c>
      <c r="B148" s="885" t="s">
        <v>2060</v>
      </c>
    </row>
    <row r="149" spans="1:2" ht="12.75" customHeight="1">
      <c r="A149" s="884" t="s">
        <v>1557</v>
      </c>
      <c r="B149" s="885" t="s">
        <v>2060</v>
      </c>
    </row>
    <row r="150" spans="1:2" ht="12.75" customHeight="1">
      <c r="A150" s="884" t="s">
        <v>1669</v>
      </c>
      <c r="B150" s="885" t="s">
        <v>2060</v>
      </c>
    </row>
    <row r="151" spans="1:2" ht="12.75" customHeight="1">
      <c r="A151" s="884" t="s">
        <v>1598</v>
      </c>
      <c r="B151" s="885" t="s">
        <v>2060</v>
      </c>
    </row>
    <row r="152" spans="1:2" ht="12.75" customHeight="1">
      <c r="A152" s="884" t="s">
        <v>1673</v>
      </c>
      <c r="B152" s="885" t="s">
        <v>2060</v>
      </c>
    </row>
    <row r="153" spans="1:2" ht="12.75" customHeight="1">
      <c r="A153" s="884" t="s">
        <v>1962</v>
      </c>
      <c r="B153" s="885" t="s">
        <v>2060</v>
      </c>
    </row>
    <row r="154" spans="1:2" ht="12.75" customHeight="1">
      <c r="A154" s="884" t="s">
        <v>2137</v>
      </c>
      <c r="B154" s="885" t="s">
        <v>2060</v>
      </c>
    </row>
    <row r="155" spans="1:2" ht="12.75" customHeight="1">
      <c r="A155" s="884" t="s">
        <v>2202</v>
      </c>
      <c r="B155" s="885" t="s">
        <v>2060</v>
      </c>
    </row>
    <row r="156" spans="1:2" ht="12.75" customHeight="1">
      <c r="A156" s="884" t="s">
        <v>1565</v>
      </c>
      <c r="B156" s="885" t="s">
        <v>2060</v>
      </c>
    </row>
    <row r="157" spans="1:2" ht="12.75" customHeight="1">
      <c r="A157" s="884" t="s">
        <v>2261</v>
      </c>
      <c r="B157" s="885" t="s">
        <v>2262</v>
      </c>
    </row>
    <row r="158" spans="1:2" ht="12.75" customHeight="1">
      <c r="A158" s="884" t="s">
        <v>1312</v>
      </c>
      <c r="B158" s="885" t="s">
        <v>1335</v>
      </c>
    </row>
    <row r="159" spans="1:2" ht="12.75" customHeight="1">
      <c r="A159" s="884" t="s">
        <v>1647</v>
      </c>
      <c r="B159" s="885" t="s">
        <v>1335</v>
      </c>
    </row>
    <row r="160" spans="1:2" ht="12.75" customHeight="1">
      <c r="A160" s="884" t="s">
        <v>1648</v>
      </c>
      <c r="B160" s="885" t="s">
        <v>1335</v>
      </c>
    </row>
    <row r="161" spans="1:2" ht="12.75" customHeight="1">
      <c r="A161" s="884" t="s">
        <v>2617</v>
      </c>
      <c r="B161" s="885" t="s">
        <v>1335</v>
      </c>
    </row>
    <row r="162" spans="1:2" ht="12.75" customHeight="1">
      <c r="A162" s="884" t="s">
        <v>1313</v>
      </c>
      <c r="B162" s="885" t="s">
        <v>1328</v>
      </c>
    </row>
    <row r="163" spans="1:2" ht="12.75" customHeight="1">
      <c r="A163" s="884" t="s">
        <v>1314</v>
      </c>
      <c r="B163" s="885" t="s">
        <v>1328</v>
      </c>
    </row>
    <row r="164" spans="1:2" ht="12.75" customHeight="1">
      <c r="A164" s="884" t="s">
        <v>2622</v>
      </c>
      <c r="B164" s="885" t="s">
        <v>1328</v>
      </c>
    </row>
    <row r="165" spans="1:2" ht="12.75" customHeight="1">
      <c r="A165" s="884" t="s">
        <v>2646</v>
      </c>
      <c r="B165" s="885" t="s">
        <v>1328</v>
      </c>
    </row>
    <row r="166" spans="1:2" ht="12.75" customHeight="1">
      <c r="A166" s="884" t="s">
        <v>2633</v>
      </c>
      <c r="B166" s="885" t="s">
        <v>1328</v>
      </c>
    </row>
    <row r="167" spans="1:2" ht="12.75" customHeight="1">
      <c r="A167" s="884" t="s">
        <v>2647</v>
      </c>
      <c r="B167" s="885" t="s">
        <v>1328</v>
      </c>
    </row>
    <row r="168" spans="1:2" ht="12.75" customHeight="1">
      <c r="A168" s="884" t="s">
        <v>2682</v>
      </c>
      <c r="B168" s="885" t="s">
        <v>1328</v>
      </c>
    </row>
    <row r="169" spans="1:2" ht="12.75" customHeight="1">
      <c r="A169" s="884" t="s">
        <v>2268</v>
      </c>
      <c r="B169" s="885" t="s">
        <v>1328</v>
      </c>
    </row>
    <row r="170" spans="1:2" ht="12.75" customHeight="1">
      <c r="A170" s="884" t="s">
        <v>1650</v>
      </c>
      <c r="B170" s="885" t="s">
        <v>1666</v>
      </c>
    </row>
    <row r="171" spans="1:2" ht="12.75" customHeight="1">
      <c r="A171" s="884" t="s">
        <v>1651</v>
      </c>
      <c r="B171" s="885" t="s">
        <v>1667</v>
      </c>
    </row>
    <row r="172" spans="1:2" ht="12.75" customHeight="1">
      <c r="A172" s="884" t="s">
        <v>1652</v>
      </c>
      <c r="B172" s="885" t="s">
        <v>1667</v>
      </c>
    </row>
    <row r="173" spans="1:2" ht="12.75" customHeight="1">
      <c r="A173" s="884" t="s">
        <v>2387</v>
      </c>
      <c r="B173" s="884" t="s">
        <v>2610</v>
      </c>
    </row>
    <row r="174" spans="1:2" ht="12.75" customHeight="1">
      <c r="A174" s="884" t="s">
        <v>2393</v>
      </c>
      <c r="B174" s="884" t="s">
        <v>2391</v>
      </c>
    </row>
    <row r="175" spans="1:2" ht="12.75" customHeight="1">
      <c r="A175" s="884" t="s">
        <v>2384</v>
      </c>
      <c r="B175" s="884" t="s">
        <v>2255</v>
      </c>
    </row>
    <row r="176" spans="1:2" ht="12.75" customHeight="1">
      <c r="A176" s="884" t="s">
        <v>1590</v>
      </c>
      <c r="B176" s="885" t="s">
        <v>1589</v>
      </c>
    </row>
    <row r="177" spans="1:2" ht="12.75" customHeight="1">
      <c r="A177" s="884" t="s">
        <v>2315</v>
      </c>
      <c r="B177" s="885" t="s">
        <v>1589</v>
      </c>
    </row>
    <row r="178" spans="1:2" ht="12.75" customHeight="1">
      <c r="A178" s="884" t="s">
        <v>2315</v>
      </c>
      <c r="B178" s="885" t="s">
        <v>2312</v>
      </c>
    </row>
    <row r="179" spans="1:2" ht="12.75" customHeight="1">
      <c r="A179" s="884" t="s">
        <v>1672</v>
      </c>
      <c r="B179" s="885" t="s">
        <v>1717</v>
      </c>
    </row>
    <row r="180" spans="1:2" ht="12.75" customHeight="1">
      <c r="A180" s="884" t="s">
        <v>1705</v>
      </c>
      <c r="B180" s="885" t="s">
        <v>1717</v>
      </c>
    </row>
    <row r="181" spans="1:2" ht="12.75" customHeight="1">
      <c r="A181" s="884" t="s">
        <v>2218</v>
      </c>
      <c r="B181" s="885" t="s">
        <v>1717</v>
      </c>
    </row>
    <row r="182" spans="1:2" ht="12.75" customHeight="1">
      <c r="A182" s="884" t="s">
        <v>1602</v>
      </c>
      <c r="B182" s="885" t="s">
        <v>1600</v>
      </c>
    </row>
    <row r="183" spans="1:2" ht="12.75" customHeight="1">
      <c r="A183" s="884" t="s">
        <v>1603</v>
      </c>
      <c r="B183" s="885" t="s">
        <v>1601</v>
      </c>
    </row>
    <row r="184" spans="1:2" ht="12.75" customHeight="1">
      <c r="A184" s="884" t="s">
        <v>2267</v>
      </c>
      <c r="B184" s="885" t="s">
        <v>1601</v>
      </c>
    </row>
    <row r="185" spans="1:2" ht="12.75" customHeight="1">
      <c r="A185" s="884" t="s">
        <v>2661</v>
      </c>
      <c r="B185" s="885" t="s">
        <v>1601</v>
      </c>
    </row>
    <row r="186" spans="1:2" ht="12.75" customHeight="1">
      <c r="A186" s="884" t="s">
        <v>1518</v>
      </c>
      <c r="B186" s="885" t="s">
        <v>1331</v>
      </c>
    </row>
    <row r="187" spans="1:2" ht="12.75" customHeight="1">
      <c r="A187" s="884" t="s">
        <v>2385</v>
      </c>
      <c r="B187" s="885" t="s">
        <v>1331</v>
      </c>
    </row>
    <row r="188" spans="1:2" ht="12.75" customHeight="1">
      <c r="A188" s="884" t="s">
        <v>1322</v>
      </c>
      <c r="B188" s="885" t="s">
        <v>1331</v>
      </c>
    </row>
    <row r="189" spans="1:2" ht="12.75" customHeight="1">
      <c r="A189" s="884" t="s">
        <v>1411</v>
      </c>
      <c r="B189" s="885" t="s">
        <v>1331</v>
      </c>
    </row>
    <row r="190" spans="1:2" ht="12.75" customHeight="1">
      <c r="A190" s="884" t="s">
        <v>1323</v>
      </c>
      <c r="B190" s="885" t="s">
        <v>1332</v>
      </c>
    </row>
    <row r="191" spans="1:2" ht="12.75" customHeight="1">
      <c r="A191" s="884" t="s">
        <v>1596</v>
      </c>
      <c r="B191" s="885" t="s">
        <v>1332</v>
      </c>
    </row>
    <row r="192" spans="1:2" ht="12.75" customHeight="1">
      <c r="A192" s="884" t="s">
        <v>1553</v>
      </c>
      <c r="B192" s="885" t="s">
        <v>1332</v>
      </c>
    </row>
    <row r="193" spans="1:2" ht="12.75" customHeight="1">
      <c r="A193" s="884" t="s">
        <v>2065</v>
      </c>
      <c r="B193" s="885" t="s">
        <v>1332</v>
      </c>
    </row>
    <row r="194" spans="1:2" ht="12.75" customHeight="1">
      <c r="A194" s="884" t="s">
        <v>1901</v>
      </c>
      <c r="B194" s="885" t="s">
        <v>1332</v>
      </c>
    </row>
    <row r="195" spans="1:2" ht="12.75" customHeight="1">
      <c r="A195" s="884" t="s">
        <v>2257</v>
      </c>
      <c r="B195" s="885" t="s">
        <v>1332</v>
      </c>
    </row>
    <row r="196" spans="1:2" ht="12.75" customHeight="1">
      <c r="A196" s="884" t="s">
        <v>1544</v>
      </c>
      <c r="B196" s="885" t="s">
        <v>1332</v>
      </c>
    </row>
    <row r="197" spans="1:2" ht="12.75" customHeight="1">
      <c r="A197" s="884" t="s">
        <v>1902</v>
      </c>
      <c r="B197" s="885" t="s">
        <v>1332</v>
      </c>
    </row>
    <row r="198" spans="1:2" ht="12.75" customHeight="1">
      <c r="A198" s="884" t="s">
        <v>2076</v>
      </c>
      <c r="B198" s="885" t="s">
        <v>1332</v>
      </c>
    </row>
    <row r="199" spans="1:2" ht="12.75" customHeight="1">
      <c r="A199" s="884" t="s">
        <v>2265</v>
      </c>
      <c r="B199" s="885" t="s">
        <v>1332</v>
      </c>
    </row>
    <row r="200" spans="1:2" ht="12.75" customHeight="1">
      <c r="A200" s="884" t="s">
        <v>2099</v>
      </c>
      <c r="B200" s="885" t="s">
        <v>1332</v>
      </c>
    </row>
    <row r="201" spans="1:2" ht="12.75" customHeight="1">
      <c r="A201" s="884" t="s">
        <v>2242</v>
      </c>
      <c r="B201" s="885" t="s">
        <v>1332</v>
      </c>
    </row>
    <row r="202" spans="1:2" ht="12.75" customHeight="1">
      <c r="A202" s="884" t="s">
        <v>2272</v>
      </c>
      <c r="B202" s="885" t="s">
        <v>1332</v>
      </c>
    </row>
    <row r="203" spans="1:2" ht="12.75" customHeight="1">
      <c r="A203" s="884" t="s">
        <v>2280</v>
      </c>
      <c r="B203" s="885" t="s">
        <v>1332</v>
      </c>
    </row>
    <row r="204" spans="1:2" ht="12.75" customHeight="1">
      <c r="A204" s="884" t="s">
        <v>2286</v>
      </c>
      <c r="B204" s="885" t="s">
        <v>1332</v>
      </c>
    </row>
    <row r="205" spans="1:2" ht="12.75" customHeight="1">
      <c r="A205" s="884" t="s">
        <v>2259</v>
      </c>
      <c r="B205" s="885" t="s">
        <v>2260</v>
      </c>
    </row>
    <row r="206" spans="1:2" ht="12.75" customHeight="1">
      <c r="A206" s="884" t="s">
        <v>2654</v>
      </c>
      <c r="B206" s="885" t="s">
        <v>2655</v>
      </c>
    </row>
    <row r="207" spans="1:2" ht="12.75" customHeight="1">
      <c r="A207" s="884" t="s">
        <v>2278</v>
      </c>
      <c r="B207" s="885" t="s">
        <v>2260</v>
      </c>
    </row>
    <row r="208" spans="1:2" ht="12.75" customHeight="1">
      <c r="A208" s="884" t="s">
        <v>1321</v>
      </c>
      <c r="B208" s="885" t="s">
        <v>1300</v>
      </c>
    </row>
    <row r="209" spans="1:2" ht="12.75" customHeight="1">
      <c r="A209" s="884" t="s">
        <v>1456</v>
      </c>
      <c r="B209" s="885" t="s">
        <v>1300</v>
      </c>
    </row>
    <row r="210" spans="1:2" ht="12.75" customHeight="1">
      <c r="A210" s="884" t="s">
        <v>2251</v>
      </c>
      <c r="B210" s="885" t="s">
        <v>2252</v>
      </c>
    </row>
    <row r="211" spans="1:2" ht="12.75" customHeight="1">
      <c r="A211" s="884" t="s">
        <v>1319</v>
      </c>
      <c r="B211" s="885" t="s">
        <v>1330</v>
      </c>
    </row>
    <row r="212" spans="1:2" ht="12.75" customHeight="1">
      <c r="A212" s="884" t="s">
        <v>1320</v>
      </c>
      <c r="B212" s="885" t="s">
        <v>1330</v>
      </c>
    </row>
    <row r="213" spans="1:2" ht="12.75" customHeight="1">
      <c r="A213" s="884" t="s">
        <v>1409</v>
      </c>
      <c r="B213" s="885" t="s">
        <v>1330</v>
      </c>
    </row>
    <row r="214" spans="1:2" ht="12.75" customHeight="1">
      <c r="A214" s="884" t="s">
        <v>1438</v>
      </c>
      <c r="B214" s="885" t="s">
        <v>1330</v>
      </c>
    </row>
    <row r="215" spans="1:2" ht="12.75" customHeight="1">
      <c r="A215" s="884" t="s">
        <v>1520</v>
      </c>
      <c r="B215" s="885" t="s">
        <v>1330</v>
      </c>
    </row>
    <row r="216" spans="1:2" ht="12.75" customHeight="1">
      <c r="A216" s="884" t="s">
        <v>1534</v>
      </c>
      <c r="B216" s="885" t="s">
        <v>1330</v>
      </c>
    </row>
    <row r="217" spans="1:2" ht="12.75" customHeight="1">
      <c r="A217" s="884" t="s">
        <v>1533</v>
      </c>
      <c r="B217" s="885" t="s">
        <v>1330</v>
      </c>
    </row>
    <row r="218" spans="1:2" ht="12.75" customHeight="1">
      <c r="A218" s="884" t="s">
        <v>1530</v>
      </c>
      <c r="B218" s="885" t="s">
        <v>1330</v>
      </c>
    </row>
    <row r="219" spans="1:2" ht="12.75" customHeight="1">
      <c r="A219" s="884" t="s">
        <v>1679</v>
      </c>
      <c r="B219" s="885" t="s">
        <v>1330</v>
      </c>
    </row>
    <row r="220" spans="1:2" ht="12.75" customHeight="1">
      <c r="A220" s="884" t="s">
        <v>1604</v>
      </c>
      <c r="B220" s="885" t="s">
        <v>1330</v>
      </c>
    </row>
    <row r="221" spans="1:2" ht="12.75" customHeight="1">
      <c r="A221" s="884" t="s">
        <v>1654</v>
      </c>
      <c r="B221" s="885" t="s">
        <v>1330</v>
      </c>
    </row>
    <row r="222" spans="1:2" ht="12.75" customHeight="1">
      <c r="A222" s="884" t="s">
        <v>2138</v>
      </c>
      <c r="B222" s="885" t="s">
        <v>1330</v>
      </c>
    </row>
    <row r="223" spans="1:2" ht="12.75" customHeight="1">
      <c r="A223" s="884" t="s">
        <v>2199</v>
      </c>
      <c r="B223" s="885" t="s">
        <v>1330</v>
      </c>
    </row>
    <row r="224" spans="1:2" ht="12.75" customHeight="1">
      <c r="A224" s="884" t="s">
        <v>2222</v>
      </c>
      <c r="B224" s="885" t="s">
        <v>1330</v>
      </c>
    </row>
    <row r="225" spans="1:2" ht="12.75" customHeight="1">
      <c r="A225" s="884" t="s">
        <v>2223</v>
      </c>
      <c r="B225" s="885" t="s">
        <v>1330</v>
      </c>
    </row>
    <row r="226" spans="1:2" ht="12.75" customHeight="1">
      <c r="A226" s="884" t="s">
        <v>2097</v>
      </c>
      <c r="B226" s="885" t="s">
        <v>2098</v>
      </c>
    </row>
    <row r="227" spans="1:2" ht="12.75" customHeight="1">
      <c r="A227" s="884" t="s">
        <v>2376</v>
      </c>
      <c r="B227" s="885" t="s">
        <v>2136</v>
      </c>
    </row>
    <row r="228" spans="1:2" ht="12.75" customHeight="1">
      <c r="A228" s="884" t="s">
        <v>2377</v>
      </c>
      <c r="B228" s="885" t="s">
        <v>2136</v>
      </c>
    </row>
    <row r="229" spans="1:2" ht="12.75" customHeight="1">
      <c r="A229" s="884" t="s">
        <v>2378</v>
      </c>
      <c r="B229" s="885" t="s">
        <v>2136</v>
      </c>
    </row>
    <row r="230" spans="1:2" ht="12.75" customHeight="1">
      <c r="A230" s="884" t="s">
        <v>2425</v>
      </c>
      <c r="B230" s="885" t="s">
        <v>2136</v>
      </c>
    </row>
    <row r="231" spans="1:2" ht="12.75" customHeight="1">
      <c r="A231" s="884" t="s">
        <v>2379</v>
      </c>
      <c r="B231" s="885" t="s">
        <v>2136</v>
      </c>
    </row>
    <row r="232" spans="1:2" ht="12.75" customHeight="1">
      <c r="A232" s="884" t="s">
        <v>2625</v>
      </c>
      <c r="B232" s="885" t="s">
        <v>2136</v>
      </c>
    </row>
    <row r="233" spans="1:2" ht="12.75" customHeight="1">
      <c r="A233" s="884" t="s">
        <v>2716</v>
      </c>
      <c r="B233" s="885" t="s">
        <v>2136</v>
      </c>
    </row>
    <row r="234" spans="1:2" ht="12.75" customHeight="1">
      <c r="A234" s="884" t="s">
        <v>2407</v>
      </c>
      <c r="B234" s="885" t="s">
        <v>2136</v>
      </c>
    </row>
    <row r="235" spans="1:2" ht="12.75" customHeight="1">
      <c r="A235" s="884" t="s">
        <v>2380</v>
      </c>
      <c r="B235" s="885" t="s">
        <v>2302</v>
      </c>
    </row>
    <row r="236" spans="1:2" ht="12.75" customHeight="1">
      <c r="A236" s="884" t="s">
        <v>2685</v>
      </c>
      <c r="B236" s="885" t="s">
        <v>2302</v>
      </c>
    </row>
    <row r="237" spans="1:2" ht="12.75" customHeight="1">
      <c r="A237" s="884" t="s">
        <v>2634</v>
      </c>
      <c r="B237" s="885" t="s">
        <v>2302</v>
      </c>
    </row>
    <row r="238" spans="1:2" ht="12.75" customHeight="1">
      <c r="A238" s="884" t="s">
        <v>2660</v>
      </c>
      <c r="B238" s="885" t="s">
        <v>2302</v>
      </c>
    </row>
    <row r="239" spans="1:2" ht="12.75" customHeight="1">
      <c r="A239" s="884" t="s">
        <v>2702</v>
      </c>
      <c r="B239" s="885" t="s">
        <v>2302</v>
      </c>
    </row>
    <row r="240" spans="1:2" ht="12.75" customHeight="1">
      <c r="A240" s="884" t="s">
        <v>2308</v>
      </c>
      <c r="B240" s="885" t="s">
        <v>2309</v>
      </c>
    </row>
    <row r="241" spans="1:2" ht="12.75" customHeight="1">
      <c r="A241" s="884" t="s">
        <v>2679</v>
      </c>
      <c r="B241" s="885" t="s">
        <v>2372</v>
      </c>
    </row>
    <row r="242" spans="1:2" ht="12.75" customHeight="1">
      <c r="A242" s="884" t="s">
        <v>2418</v>
      </c>
      <c r="B242" s="885" t="s">
        <v>2417</v>
      </c>
    </row>
    <row r="243" spans="1:2" ht="12.75" customHeight="1">
      <c r="A243" s="884" t="s">
        <v>2641</v>
      </c>
      <c r="B243" s="885" t="s">
        <v>2417</v>
      </c>
    </row>
    <row r="244" spans="1:2" ht="12.75" customHeight="1">
      <c r="A244" s="884" t="s">
        <v>2657</v>
      </c>
      <c r="B244" s="885" t="s">
        <v>2417</v>
      </c>
    </row>
    <row r="245" spans="1:2" ht="12.75" customHeight="1">
      <c r="A245" s="884" t="s">
        <v>2381</v>
      </c>
      <c r="B245" s="885" t="s">
        <v>2340</v>
      </c>
    </row>
    <row r="246" spans="1:2" ht="12.75" customHeight="1">
      <c r="A246" s="884" t="s">
        <v>2623</v>
      </c>
      <c r="B246" s="885" t="s">
        <v>2624</v>
      </c>
    </row>
    <row r="247" spans="1:2" ht="12.75" customHeight="1">
      <c r="A247" s="884" t="s">
        <v>1545</v>
      </c>
      <c r="B247" s="885" t="s">
        <v>1471</v>
      </c>
    </row>
    <row r="248" spans="1:2" ht="12.75" customHeight="1">
      <c r="A248" s="884" t="s">
        <v>1555</v>
      </c>
      <c r="B248" s="885" t="s">
        <v>1471</v>
      </c>
    </row>
    <row r="249" spans="1:2" ht="12.75" customHeight="1">
      <c r="A249" s="884" t="s">
        <v>1655</v>
      </c>
      <c r="B249" s="885" t="s">
        <v>1471</v>
      </c>
    </row>
    <row r="250" spans="1:2" ht="12.75" customHeight="1">
      <c r="A250" s="884" t="s">
        <v>1656</v>
      </c>
      <c r="B250" s="885" t="s">
        <v>1471</v>
      </c>
    </row>
    <row r="251" spans="1:2" ht="12.75" customHeight="1">
      <c r="A251" s="884" t="s">
        <v>1470</v>
      </c>
      <c r="B251" s="885" t="s">
        <v>1471</v>
      </c>
    </row>
    <row r="252" spans="1:2" ht="12.75" customHeight="1">
      <c r="A252" s="884" t="s">
        <v>1521</v>
      </c>
      <c r="B252" s="885" t="s">
        <v>1471</v>
      </c>
    </row>
    <row r="253" spans="1:2" ht="12.75" customHeight="1">
      <c r="A253" s="884" t="s">
        <v>1658</v>
      </c>
      <c r="B253" s="885" t="s">
        <v>1471</v>
      </c>
    </row>
    <row r="254" spans="1:2" ht="12.75" customHeight="1">
      <c r="A254" s="884" t="s">
        <v>1670</v>
      </c>
      <c r="B254" s="885" t="s">
        <v>1471</v>
      </c>
    </row>
    <row r="255" spans="1:2" ht="12.75" customHeight="1">
      <c r="A255" s="884" t="s">
        <v>1591</v>
      </c>
      <c r="B255" s="885" t="s">
        <v>1471</v>
      </c>
    </row>
    <row r="256" spans="1:2" ht="12.75" customHeight="1">
      <c r="A256" s="884" t="s">
        <v>1593</v>
      </c>
      <c r="B256" s="885" t="s">
        <v>1471</v>
      </c>
    </row>
    <row r="257" spans="1:2" ht="12.75" customHeight="1">
      <c r="A257" s="884" t="s">
        <v>1606</v>
      </c>
      <c r="B257" s="885" t="s">
        <v>1471</v>
      </c>
    </row>
    <row r="258" spans="1:2" ht="12.75" customHeight="1">
      <c r="A258" s="884" t="s">
        <v>1681</v>
      </c>
      <c r="B258" s="885" t="s">
        <v>1471</v>
      </c>
    </row>
    <row r="259" spans="1:2" ht="12.75" customHeight="1">
      <c r="A259" s="884" t="s">
        <v>1677</v>
      </c>
      <c r="B259" s="885" t="s">
        <v>1471</v>
      </c>
    </row>
    <row r="260" spans="1:2" ht="12.75" customHeight="1">
      <c r="A260" s="884" t="s">
        <v>2697</v>
      </c>
      <c r="B260" s="885" t="s">
        <v>1471</v>
      </c>
    </row>
    <row r="261" spans="1:2" ht="12.75" customHeight="1">
      <c r="A261" s="884" t="s">
        <v>1660</v>
      </c>
      <c r="B261" s="885" t="s">
        <v>1333</v>
      </c>
    </row>
    <row r="262" spans="1:2" ht="12.75" customHeight="1">
      <c r="A262" s="884" t="s">
        <v>1661</v>
      </c>
      <c r="B262" s="885" t="s">
        <v>1333</v>
      </c>
    </row>
    <row r="263" spans="1:2" ht="12.75" customHeight="1">
      <c r="A263" s="884" t="s">
        <v>1326</v>
      </c>
      <c r="B263" s="885" t="s">
        <v>1333</v>
      </c>
    </row>
    <row r="264" spans="1:2" ht="12.75" customHeight="1">
      <c r="A264" s="884" t="s">
        <v>1324</v>
      </c>
      <c r="B264" s="885" t="s">
        <v>1333</v>
      </c>
    </row>
    <row r="265" spans="1:2" ht="12.75" customHeight="1">
      <c r="A265" s="884" t="s">
        <v>1662</v>
      </c>
      <c r="B265" s="885" t="s">
        <v>1333</v>
      </c>
    </row>
    <row r="266" spans="1:2" ht="12.75" customHeight="1">
      <c r="A266" s="884" t="s">
        <v>1664</v>
      </c>
      <c r="B266" s="885" t="s">
        <v>1333</v>
      </c>
    </row>
    <row r="267" spans="1:2" ht="12.75" customHeight="1">
      <c r="A267" s="884" t="s">
        <v>1665</v>
      </c>
      <c r="B267" s="885" t="s">
        <v>1333</v>
      </c>
    </row>
    <row r="268" spans="1:2" ht="12.75" customHeight="1">
      <c r="A268" s="884" t="s">
        <v>2670</v>
      </c>
      <c r="B268" s="885" t="s">
        <v>1333</v>
      </c>
    </row>
    <row r="269" spans="1:2" ht="12.75" customHeight="1">
      <c r="A269" s="884" t="s">
        <v>2266</v>
      </c>
      <c r="B269" s="885" t="s">
        <v>1333</v>
      </c>
    </row>
    <row r="270" spans="1:2" ht="12.75" customHeight="1">
      <c r="A270" s="884" t="s">
        <v>2269</v>
      </c>
      <c r="B270" s="885" t="s">
        <v>1333</v>
      </c>
    </row>
    <row r="271" spans="1:2" ht="12.75" customHeight="1">
      <c r="A271" s="884" t="s">
        <v>2397</v>
      </c>
      <c r="B271" s="885" t="s">
        <v>1333</v>
      </c>
    </row>
    <row r="272" spans="1:2" ht="12.75" customHeight="1">
      <c r="A272" s="884" t="s">
        <v>2370</v>
      </c>
      <c r="B272" s="885" t="s">
        <v>1333</v>
      </c>
    </row>
    <row r="273" spans="1:2" ht="12.75" customHeight="1">
      <c r="A273" s="884" t="s">
        <v>2409</v>
      </c>
      <c r="B273" s="885" t="s">
        <v>1333</v>
      </c>
    </row>
    <row r="274" spans="1:2" ht="12.75" customHeight="1">
      <c r="A274" s="884" t="s">
        <v>2410</v>
      </c>
      <c r="B274" s="885" t="s">
        <v>1333</v>
      </c>
    </row>
    <row r="275" spans="1:2" ht="12.75" customHeight="1">
      <c r="A275" s="884" t="s">
        <v>2271</v>
      </c>
      <c r="B275" s="885" t="s">
        <v>2389</v>
      </c>
    </row>
    <row r="276" spans="1:2" ht="12.75" customHeight="1">
      <c r="A276" s="884" t="s">
        <v>2604</v>
      </c>
      <c r="B276" s="885" t="s">
        <v>2389</v>
      </c>
    </row>
    <row r="277" spans="1:2" ht="12.75" customHeight="1">
      <c r="A277" s="884" t="s">
        <v>2395</v>
      </c>
      <c r="B277" s="885" t="s">
        <v>2389</v>
      </c>
    </row>
    <row r="278" spans="1:2" ht="12.75" customHeight="1">
      <c r="A278" s="884" t="s">
        <v>2613</v>
      </c>
      <c r="B278" s="885" t="s">
        <v>2389</v>
      </c>
    </row>
    <row r="279" spans="1:2" ht="12.75" customHeight="1">
      <c r="A279" s="884" t="s">
        <v>2652</v>
      </c>
      <c r="B279" s="885" t="s">
        <v>2389</v>
      </c>
    </row>
    <row r="280" spans="1:2" ht="12.75" customHeight="1">
      <c r="A280" s="884" t="s">
        <v>2427</v>
      </c>
      <c r="B280" s="885" t="s">
        <v>2428</v>
      </c>
    </row>
    <row r="281" spans="1:2" ht="12.75" customHeight="1">
      <c r="A281" s="884" t="s">
        <v>2639</v>
      </c>
      <c r="B281" s="885" t="s">
        <v>2640</v>
      </c>
    </row>
    <row r="282" spans="1:2" ht="12.75" customHeight="1">
      <c r="A282" s="884" t="s">
        <v>2686</v>
      </c>
      <c r="B282" s="885" t="s">
        <v>2640</v>
      </c>
    </row>
    <row r="283" spans="1:2" ht="12.75" customHeight="1">
      <c r="A283" s="884" t="s">
        <v>2382</v>
      </c>
      <c r="B283" s="885" t="s">
        <v>2373</v>
      </c>
    </row>
    <row r="284" spans="1:2" ht="12.75" customHeight="1">
      <c r="A284" s="884" t="s">
        <v>2626</v>
      </c>
      <c r="B284" s="885" t="s">
        <v>2627</v>
      </c>
    </row>
    <row r="285" spans="1:2" ht="12.75" customHeight="1">
      <c r="A285" s="884" t="s">
        <v>2415</v>
      </c>
      <c r="B285" s="885" t="s">
        <v>2416</v>
      </c>
    </row>
    <row r="286" spans="1:2" ht="12.75" customHeight="1">
      <c r="A286" s="884" t="s">
        <v>2638</v>
      </c>
      <c r="B286" s="885" t="s">
        <v>2416</v>
      </c>
    </row>
    <row r="287" spans="1:2" ht="12.75" customHeight="1">
      <c r="A287" s="884" t="s">
        <v>1668</v>
      </c>
      <c r="B287" s="885" t="s">
        <v>1471</v>
      </c>
    </row>
    <row r="288" spans="1:2" ht="12.75" customHeight="1">
      <c r="A288" s="884" t="s">
        <v>1680</v>
      </c>
      <c r="B288" s="885" t="s">
        <v>1471</v>
      </c>
    </row>
    <row r="289" spans="1:2" ht="12.75" customHeight="1">
      <c r="A289" s="884" t="s">
        <v>1718</v>
      </c>
      <c r="B289" s="885" t="s">
        <v>1471</v>
      </c>
    </row>
    <row r="290" spans="1:2" ht="12.75" customHeight="1">
      <c r="A290" s="884" t="s">
        <v>1715</v>
      </c>
      <c r="B290" s="885" t="s">
        <v>1471</v>
      </c>
    </row>
    <row r="291" spans="1:2" ht="12.75" customHeight="1">
      <c r="A291" s="884" t="s">
        <v>2066</v>
      </c>
      <c r="B291" s="885" t="s">
        <v>1333</v>
      </c>
    </row>
  </sheetData>
  <sheetProtection password="ECEC" sheet="1" objects="1" scenarios="1" insertRows="0"/>
  <customSheetViews>
    <customSheetView guid="{9FD33A57-86F0-4BF5-A6C0-5833A5B59516}" scale="85" showGridLines="0">
      <pane ySplit="1" topLeftCell="A62" activePane="bottomLeft" state="frozen"/>
      <selection pane="bottomLeft"/>
      <pageMargins left="0.75" right="0.75" top="1" bottom="1" header="0.5" footer="0.5"/>
      <pageSetup paperSize="9" orientation="portrait" r:id="rId1"/>
      <headerFooter alignWithMargins="0"/>
    </customSheetView>
  </customSheetViews>
  <phoneticPr fontId="2" type="noConversion"/>
  <pageMargins left="0.75" right="0.75" top="1" bottom="1" header="0.5" footer="0.5"/>
  <pageSetup paperSize="9"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5122" r:id="rId5" name="Button 2">
              <controlPr defaultSize="0" print="0" autoFill="0" autoPict="0" macro="[0]!NameSort">
                <anchor moveWithCells="1" sizeWithCells="1">
                  <from>
                    <xdr:col>3</xdr:col>
                    <xdr:colOff>1238250</xdr:colOff>
                    <xdr:row>0</xdr:row>
                    <xdr:rowOff>104775</xdr:rowOff>
                  </from>
                  <to>
                    <xdr:col>5</xdr:col>
                    <xdr:colOff>0</xdr:colOff>
                    <xdr:row>0</xdr:row>
                    <xdr:rowOff>409575</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Q55"/>
  <sheetViews>
    <sheetView workbookViewId="0">
      <selection activeCell="E21" sqref="E21"/>
    </sheetView>
  </sheetViews>
  <sheetFormatPr defaultRowHeight="12.75"/>
  <cols>
    <col min="1" max="1" width="9.140625" style="657"/>
    <col min="2" max="2" width="14.42578125" style="657" customWidth="1"/>
    <col min="3" max="3" width="32" style="657" customWidth="1"/>
    <col min="4" max="4" width="30.140625" style="657" customWidth="1"/>
    <col min="5" max="5" width="22" style="657" customWidth="1"/>
    <col min="6" max="7" width="20.140625" style="657" customWidth="1"/>
    <col min="8" max="8" width="24.28515625" style="657" customWidth="1"/>
    <col min="9" max="9" width="9.7109375" style="657" customWidth="1"/>
    <col min="10" max="16384" width="9.140625" style="657"/>
  </cols>
  <sheetData>
    <row r="1" spans="2:17" ht="13.5" thickBot="1"/>
    <row r="2" spans="2:17" ht="26.25" customHeight="1">
      <c r="B2" s="1407" t="s">
        <v>2304</v>
      </c>
      <c r="C2" s="1408"/>
      <c r="D2" s="1408"/>
      <c r="E2" s="1408"/>
      <c r="F2" s="1408"/>
      <c r="G2" s="1408"/>
      <c r="H2" s="1409"/>
      <c r="I2" s="656"/>
    </row>
    <row r="3" spans="2:17" ht="20.25">
      <c r="B3" s="1410"/>
      <c r="C3" s="1411"/>
      <c r="D3" s="1411"/>
      <c r="E3" s="1411"/>
      <c r="F3" s="1411"/>
      <c r="G3" s="1411"/>
      <c r="H3" s="1370"/>
      <c r="I3" s="656"/>
    </row>
    <row r="4" spans="2:17" ht="0.75" customHeight="1">
      <c r="B4" s="954"/>
      <c r="C4" s="658"/>
      <c r="D4" s="658"/>
      <c r="E4" s="658"/>
      <c r="F4" s="658"/>
      <c r="G4" s="658"/>
      <c r="H4" s="958"/>
      <c r="I4" s="656"/>
    </row>
    <row r="5" spans="2:17" ht="22.5" customHeight="1">
      <c r="B5" s="954"/>
      <c r="C5" s="659"/>
      <c r="D5" s="659"/>
      <c r="E5" s="659"/>
      <c r="F5" s="659"/>
      <c r="G5" s="952" t="s">
        <v>1507</v>
      </c>
      <c r="H5" s="973">
        <f ca="1">NOW()</f>
        <v>46319.360199884257</v>
      </c>
      <c r="I5" s="656"/>
    </row>
    <row r="6" spans="2:17" ht="23.25" customHeight="1">
      <c r="B6" s="954"/>
      <c r="C6" s="659" t="s">
        <v>2363</v>
      </c>
      <c r="D6" s="659"/>
      <c r="E6" s="659"/>
      <c r="F6" s="659"/>
      <c r="G6" s="659"/>
      <c r="H6" s="955"/>
      <c r="I6" s="656"/>
    </row>
    <row r="7" spans="2:17" ht="23.25">
      <c r="B7" s="954"/>
      <c r="C7" s="659"/>
      <c r="D7" s="659"/>
      <c r="E7" s="659"/>
      <c r="F7" s="659"/>
      <c r="G7" s="659"/>
      <c r="H7" s="955"/>
      <c r="I7" s="656"/>
    </row>
    <row r="8" spans="2:17" ht="23.25">
      <c r="B8" s="954"/>
      <c r="C8" s="660" t="s">
        <v>1508</v>
      </c>
      <c r="D8" s="659"/>
      <c r="E8" s="659"/>
      <c r="F8" s="659"/>
      <c r="G8" s="659"/>
      <c r="H8" s="955"/>
      <c r="I8" s="656"/>
    </row>
    <row r="9" spans="2:17" ht="14.25" customHeight="1">
      <c r="B9" s="954" t="s">
        <v>1537</v>
      </c>
      <c r="C9" s="660"/>
      <c r="D9" s="658"/>
      <c r="E9" s="658"/>
      <c r="F9" s="658"/>
      <c r="G9" s="658"/>
      <c r="H9" s="958"/>
      <c r="I9" s="656"/>
      <c r="Q9" s="880"/>
    </row>
    <row r="10" spans="2:17" ht="27.75" customHeight="1">
      <c r="B10" s="954"/>
      <c r="C10" s="1404" t="s">
        <v>2365</v>
      </c>
      <c r="D10" s="1404"/>
      <c r="E10" s="968">
        <v>774</v>
      </c>
      <c r="F10" s="968" t="s">
        <v>1509</v>
      </c>
      <c r="G10" s="658"/>
      <c r="H10" s="958"/>
      <c r="I10" s="656"/>
    </row>
    <row r="11" spans="2:17" ht="25.5" customHeight="1">
      <c r="B11" s="954"/>
      <c r="C11" s="1404" t="s">
        <v>2364</v>
      </c>
      <c r="D11" s="1404"/>
      <c r="E11" s="969">
        <v>757</v>
      </c>
      <c r="F11" s="968" t="s">
        <v>1509</v>
      </c>
      <c r="G11" s="658"/>
      <c r="H11" s="958"/>
      <c r="I11" s="656"/>
    </row>
    <row r="12" spans="2:17" ht="28.5" customHeight="1">
      <c r="B12" s="954"/>
      <c r="C12" s="1404" t="s">
        <v>2289</v>
      </c>
      <c r="D12" s="1404"/>
      <c r="E12" s="969">
        <f>REPORT!N35</f>
        <v>0</v>
      </c>
      <c r="F12" s="968" t="s">
        <v>1509</v>
      </c>
      <c r="G12" s="658"/>
      <c r="H12" s="958"/>
      <c r="I12" s="656"/>
      <c r="M12" s="880"/>
    </row>
    <row r="13" spans="2:17" ht="15" customHeight="1">
      <c r="B13" s="954"/>
      <c r="C13" s="658"/>
      <c r="D13" s="658"/>
      <c r="E13" s="658"/>
      <c r="F13" s="658"/>
      <c r="G13" s="658"/>
      <c r="H13" s="958"/>
      <c r="I13" s="656"/>
    </row>
    <row r="14" spans="2:17" ht="21">
      <c r="B14" s="954"/>
      <c r="C14" s="660" t="s">
        <v>2369</v>
      </c>
      <c r="D14" s="660"/>
      <c r="E14" s="658"/>
      <c r="F14" s="658"/>
      <c r="G14" s="658"/>
      <c r="H14" s="958" t="s">
        <v>1537</v>
      </c>
      <c r="I14" s="656"/>
    </row>
    <row r="15" spans="2:17" ht="20.25">
      <c r="B15" s="954"/>
      <c r="C15" s="658"/>
      <c r="D15" s="658"/>
      <c r="E15" s="658"/>
      <c r="F15" s="658"/>
      <c r="G15" s="658"/>
      <c r="H15" s="958"/>
      <c r="I15" s="656"/>
    </row>
    <row r="16" spans="2:17" ht="21.75" customHeight="1">
      <c r="B16" s="954"/>
      <c r="C16" s="481"/>
      <c r="D16" s="968" t="s">
        <v>252</v>
      </c>
      <c r="E16" s="1405">
        <v>1.0003500000000001</v>
      </c>
      <c r="F16" s="1406"/>
      <c r="G16" s="658"/>
      <c r="H16" s="955"/>
      <c r="I16" s="656"/>
    </row>
    <row r="17" spans="1:9" ht="21" customHeight="1">
      <c r="A17" s="880" t="s">
        <v>2334</v>
      </c>
      <c r="B17" s="954"/>
      <c r="C17" s="481"/>
      <c r="D17" s="968" t="s">
        <v>2366</v>
      </c>
      <c r="E17" s="1413" t="s">
        <v>2674</v>
      </c>
      <c r="F17" s="1414"/>
      <c r="G17" s="658"/>
      <c r="H17" s="955"/>
      <c r="I17" s="656"/>
    </row>
    <row r="18" spans="1:9" ht="20.25">
      <c r="B18" s="954"/>
      <c r="C18" s="481"/>
      <c r="D18" s="968" t="s">
        <v>253</v>
      </c>
      <c r="E18" s="1405" t="s">
        <v>2675</v>
      </c>
      <c r="F18" s="1406"/>
      <c r="G18" s="658"/>
      <c r="H18" s="958"/>
      <c r="I18" s="656"/>
    </row>
    <row r="19" spans="1:9" ht="21" customHeight="1">
      <c r="B19" s="954"/>
      <c r="C19" s="481"/>
      <c r="D19" s="968" t="s">
        <v>266</v>
      </c>
      <c r="E19" s="968" t="s">
        <v>2676</v>
      </c>
      <c r="F19" s="968" t="s">
        <v>267</v>
      </c>
      <c r="G19" s="658"/>
      <c r="H19" s="958"/>
      <c r="I19" s="656"/>
    </row>
    <row r="20" spans="1:9" ht="20.25">
      <c r="B20" s="954" t="s">
        <v>1696</v>
      </c>
      <c r="C20" s="658"/>
      <c r="D20" s="968" t="s">
        <v>48</v>
      </c>
      <c r="E20" s="968" t="s">
        <v>2677</v>
      </c>
      <c r="F20" s="968" t="s">
        <v>49</v>
      </c>
      <c r="G20" s="658"/>
      <c r="H20" s="958"/>
      <c r="I20" s="656"/>
    </row>
    <row r="21" spans="1:9" ht="20.25">
      <c r="B21" s="954"/>
      <c r="C21" s="658"/>
      <c r="D21" s="968" t="s">
        <v>1510</v>
      </c>
      <c r="E21" s="968">
        <v>18</v>
      </c>
      <c r="F21" s="968" t="s">
        <v>2196</v>
      </c>
      <c r="G21" s="658"/>
      <c r="H21" s="958"/>
      <c r="I21" s="656"/>
    </row>
    <row r="22" spans="1:9" ht="20.25">
      <c r="B22" s="954"/>
      <c r="C22" s="658"/>
      <c r="D22" s="971"/>
      <c r="E22" s="972"/>
      <c r="F22" s="972"/>
      <c r="G22" s="658"/>
      <c r="H22" s="958"/>
      <c r="I22" s="656"/>
    </row>
    <row r="23" spans="1:9" ht="20.25">
      <c r="B23" s="954"/>
      <c r="C23" s="658"/>
      <c r="D23" s="971"/>
      <c r="E23" s="972"/>
      <c r="F23" s="972"/>
      <c r="G23" s="658"/>
      <c r="H23" s="958"/>
      <c r="I23" s="656"/>
    </row>
    <row r="24" spans="1:9" ht="20.25">
      <c r="B24" s="954"/>
      <c r="C24" s="658"/>
      <c r="D24" s="658"/>
      <c r="E24" s="658"/>
      <c r="F24" s="658"/>
      <c r="G24" s="658"/>
      <c r="H24" s="958"/>
      <c r="I24" s="656"/>
    </row>
    <row r="25" spans="1:9" ht="20.25">
      <c r="B25" s="954"/>
      <c r="C25" s="982" t="s">
        <v>2386</v>
      </c>
      <c r="D25" s="481"/>
      <c r="E25" s="658"/>
      <c r="F25" s="1412" t="s">
        <v>2298</v>
      </c>
      <c r="G25" s="1412"/>
      <c r="H25" s="958"/>
      <c r="I25" s="656"/>
    </row>
    <row r="26" spans="1:9" ht="21" thickBot="1">
      <c r="B26" s="956"/>
      <c r="C26" s="974"/>
      <c r="D26" s="974"/>
      <c r="E26" s="974"/>
      <c r="F26" s="974"/>
      <c r="G26" s="974"/>
      <c r="H26" s="957"/>
      <c r="I26" s="656"/>
    </row>
    <row r="27" spans="1:9">
      <c r="B27"/>
      <c r="C27"/>
      <c r="D27"/>
      <c r="E27"/>
      <c r="F27"/>
      <c r="G27"/>
      <c r="H27" t="s">
        <v>1594</v>
      </c>
    </row>
    <row r="28" spans="1:9">
      <c r="B28"/>
      <c r="C28"/>
      <c r="D28"/>
      <c r="E28"/>
      <c r="F28"/>
      <c r="G28"/>
      <c r="H28"/>
    </row>
    <row r="30" spans="1:9" ht="13.5" thickBot="1"/>
    <row r="31" spans="1:9" ht="22.5" customHeight="1">
      <c r="B31" s="1407" t="s">
        <v>2304</v>
      </c>
      <c r="C31" s="1408"/>
      <c r="D31" s="1408"/>
      <c r="E31" s="1408"/>
      <c r="F31" s="1408"/>
      <c r="G31" s="1408"/>
      <c r="H31" s="1409"/>
    </row>
    <row r="32" spans="1:9" ht="14.25" customHeight="1">
      <c r="B32" s="1370"/>
      <c r="C32" s="1370"/>
      <c r="D32" s="1370"/>
      <c r="E32" s="1370"/>
      <c r="F32" s="1370"/>
      <c r="G32" s="1370"/>
      <c r="H32" s="1370"/>
    </row>
    <row r="33" spans="2:8" ht="20.25">
      <c r="B33" s="954"/>
      <c r="C33" s="658"/>
      <c r="D33" s="658"/>
      <c r="E33" s="658"/>
      <c r="F33" s="658"/>
      <c r="G33" s="658"/>
      <c r="H33" s="958"/>
    </row>
    <row r="34" spans="2:8" ht="23.25">
      <c r="B34" s="954"/>
      <c r="C34" s="659"/>
      <c r="D34" s="659"/>
      <c r="E34" s="659"/>
      <c r="F34" s="659"/>
      <c r="G34" s="952" t="s">
        <v>1507</v>
      </c>
      <c r="H34" s="973">
        <f ca="1">NOW()</f>
        <v>46319.360199884257</v>
      </c>
    </row>
    <row r="35" spans="2:8" ht="23.25">
      <c r="B35" s="954"/>
      <c r="C35" s="659" t="s">
        <v>2368</v>
      </c>
      <c r="D35" s="659"/>
      <c r="E35" s="659"/>
      <c r="F35" s="659"/>
      <c r="G35" s="659"/>
      <c r="H35" s="955"/>
    </row>
    <row r="36" spans="2:8" ht="23.25">
      <c r="B36" s="954"/>
      <c r="C36" s="659"/>
      <c r="D36" s="659"/>
      <c r="E36" s="659"/>
      <c r="F36" s="659"/>
      <c r="G36" s="659"/>
      <c r="H36" s="955"/>
    </row>
    <row r="37" spans="2:8" ht="23.25">
      <c r="B37" s="954"/>
      <c r="C37" s="660" t="s">
        <v>1508</v>
      </c>
      <c r="D37" s="659"/>
      <c r="E37" s="659"/>
      <c r="F37" s="659"/>
      <c r="G37" s="659"/>
      <c r="H37" s="955"/>
    </row>
    <row r="38" spans="2:8" ht="21">
      <c r="B38" s="954" t="s">
        <v>1537</v>
      </c>
      <c r="C38" s="660"/>
      <c r="D38" s="658"/>
      <c r="E38" s="658"/>
      <c r="F38" s="658"/>
      <c r="G38" s="658"/>
      <c r="H38" s="958"/>
    </row>
    <row r="39" spans="2:8" ht="20.25">
      <c r="B39" s="954"/>
      <c r="C39" s="1370" t="s">
        <v>2365</v>
      </c>
      <c r="D39" s="1087"/>
      <c r="E39" s="968"/>
      <c r="F39" s="968" t="s">
        <v>1509</v>
      </c>
      <c r="G39" s="658"/>
      <c r="H39" s="958"/>
    </row>
    <row r="40" spans="2:8" ht="20.25">
      <c r="B40" s="954"/>
      <c r="C40" s="1370" t="s">
        <v>2364</v>
      </c>
      <c r="D40" s="1087"/>
      <c r="E40" s="969"/>
      <c r="F40" s="968" t="s">
        <v>1509</v>
      </c>
      <c r="G40" s="658"/>
      <c r="H40" s="958"/>
    </row>
    <row r="41" spans="2:8" ht="20.25">
      <c r="B41" s="954"/>
      <c r="C41" s="1370" t="s">
        <v>2289</v>
      </c>
      <c r="D41" s="1087"/>
      <c r="E41" s="969"/>
      <c r="F41" s="968" t="s">
        <v>1509</v>
      </c>
      <c r="G41" s="658"/>
      <c r="H41" s="958"/>
    </row>
    <row r="42" spans="2:8" ht="20.25">
      <c r="B42" s="954"/>
      <c r="C42" s="658"/>
      <c r="D42" s="658"/>
      <c r="E42" s="658"/>
      <c r="F42" s="658"/>
      <c r="G42" s="658"/>
      <c r="H42" s="958"/>
    </row>
    <row r="43" spans="2:8" ht="21">
      <c r="B43" s="954"/>
      <c r="C43" s="660" t="s">
        <v>2369</v>
      </c>
      <c r="D43" s="660"/>
      <c r="E43" s="658"/>
      <c r="F43" s="658"/>
      <c r="G43" s="658"/>
      <c r="H43" s="958" t="s">
        <v>1537</v>
      </c>
    </row>
    <row r="44" spans="2:8" ht="20.25">
      <c r="B44" s="954"/>
      <c r="C44" s="658"/>
      <c r="D44" s="658"/>
      <c r="E44" s="658"/>
      <c r="F44" s="658"/>
      <c r="G44" s="658"/>
      <c r="H44" s="958"/>
    </row>
    <row r="45" spans="2:8" ht="20.25">
      <c r="B45" s="954"/>
      <c r="C45" s="481"/>
      <c r="D45" s="968" t="s">
        <v>252</v>
      </c>
      <c r="E45" s="1370"/>
      <c r="F45" s="1087"/>
      <c r="G45" s="658"/>
      <c r="H45" s="955"/>
    </row>
    <row r="46" spans="2:8" ht="20.25">
      <c r="B46" s="954"/>
      <c r="C46" s="481"/>
      <c r="D46" s="968" t="s">
        <v>2366</v>
      </c>
      <c r="E46" s="1370"/>
      <c r="F46" s="1087"/>
      <c r="G46" s="658"/>
      <c r="H46" s="955"/>
    </row>
    <row r="47" spans="2:8" ht="20.25">
      <c r="B47" s="954"/>
      <c r="C47" s="481"/>
      <c r="D47" s="952" t="s">
        <v>253</v>
      </c>
      <c r="E47" s="1370"/>
      <c r="F47" s="1087"/>
      <c r="G47" s="658"/>
      <c r="H47" s="958"/>
    </row>
    <row r="48" spans="2:8" ht="20.25">
      <c r="B48" s="954"/>
      <c r="C48" s="481"/>
      <c r="D48" s="952" t="s">
        <v>266</v>
      </c>
      <c r="E48" s="952"/>
      <c r="F48" s="952" t="s">
        <v>267</v>
      </c>
      <c r="G48" s="658"/>
      <c r="H48" s="958"/>
    </row>
    <row r="49" spans="2:8" ht="20.25">
      <c r="B49" s="954" t="s">
        <v>1696</v>
      </c>
      <c r="C49" s="658"/>
      <c r="D49" s="952" t="s">
        <v>48</v>
      </c>
      <c r="E49" s="952"/>
      <c r="F49" s="952" t="s">
        <v>49</v>
      </c>
      <c r="G49" s="658"/>
      <c r="H49" s="958"/>
    </row>
    <row r="50" spans="2:8" ht="20.25">
      <c r="B50" s="954"/>
      <c r="C50" s="658"/>
      <c r="D50" s="952" t="s">
        <v>1510</v>
      </c>
      <c r="E50" s="952"/>
      <c r="F50" s="952" t="s">
        <v>2196</v>
      </c>
      <c r="G50" s="658"/>
      <c r="H50" s="958"/>
    </row>
    <row r="51" spans="2:8" ht="20.25">
      <c r="B51" s="954"/>
      <c r="C51" s="658"/>
      <c r="D51" s="971"/>
      <c r="E51" s="972"/>
      <c r="F51" s="972"/>
      <c r="G51" s="658"/>
      <c r="H51" s="958"/>
    </row>
    <row r="52" spans="2:8" ht="20.25">
      <c r="B52" s="954"/>
      <c r="C52" s="658"/>
      <c r="D52" s="971"/>
      <c r="E52" s="972"/>
      <c r="F52" s="972"/>
      <c r="G52" s="658"/>
      <c r="H52" s="958"/>
    </row>
    <row r="53" spans="2:8" ht="20.25">
      <c r="B53" s="954"/>
      <c r="C53" s="658"/>
      <c r="D53" s="658"/>
      <c r="E53" s="658"/>
      <c r="F53" s="658"/>
      <c r="G53" s="658"/>
      <c r="H53" s="958"/>
    </row>
    <row r="54" spans="2:8" ht="13.5" thickBot="1">
      <c r="B54" s="956"/>
      <c r="C54" t="s">
        <v>2367</v>
      </c>
      <c r="D54"/>
      <c r="E54"/>
      <c r="F54" s="1370" t="s">
        <v>2298</v>
      </c>
      <c r="G54" s="1370"/>
      <c r="H54"/>
    </row>
    <row r="55" spans="2:8">
      <c r="B55"/>
      <c r="C55"/>
      <c r="D55"/>
      <c r="E55"/>
      <c r="F55"/>
      <c r="G55"/>
      <c r="H55"/>
    </row>
  </sheetData>
  <customSheetViews>
    <customSheetView guid="{9FD33A57-86F0-4BF5-A6C0-5833A5B59516}" fitToPage="1" topLeftCell="A4">
      <selection activeCell="E21" sqref="E21"/>
      <pageMargins left="0.25" right="0.25" top="0.75" bottom="0.75" header="0.3" footer="0.3"/>
      <pageSetup paperSize="9" scale="90" orientation="landscape" r:id="rId1"/>
    </customSheetView>
  </customSheetViews>
  <mergeCells count="18">
    <mergeCell ref="E47:F47"/>
    <mergeCell ref="E46:F46"/>
    <mergeCell ref="F54:G54"/>
    <mergeCell ref="B2:H2"/>
    <mergeCell ref="B3:H3"/>
    <mergeCell ref="F25:G25"/>
    <mergeCell ref="C10:D10"/>
    <mergeCell ref="C11:D11"/>
    <mergeCell ref="E17:F17"/>
    <mergeCell ref="B31:H31"/>
    <mergeCell ref="C12:D12"/>
    <mergeCell ref="E16:F16"/>
    <mergeCell ref="E45:F45"/>
    <mergeCell ref="C39:D39"/>
    <mergeCell ref="E18:F18"/>
    <mergeCell ref="B32:H32"/>
    <mergeCell ref="C40:D40"/>
    <mergeCell ref="C41:D41"/>
  </mergeCells>
  <phoneticPr fontId="153" type="noConversion"/>
  <pageMargins left="0.25" right="0.25" top="0.75" bottom="0.75" header="0.3" footer="0.3"/>
  <pageSetup paperSize="9" scale="89" orientation="landscape"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BG121"/>
  <sheetViews>
    <sheetView workbookViewId="0">
      <selection activeCell="R8" sqref="R8"/>
    </sheetView>
  </sheetViews>
  <sheetFormatPr defaultRowHeight="12.75"/>
  <cols>
    <col min="1" max="1" width="2.7109375" style="164" customWidth="1"/>
    <col min="2" max="2" width="6.5703125" style="165" bestFit="1" customWidth="1"/>
    <col min="3" max="4" width="15.140625" style="165" bestFit="1" customWidth="1"/>
    <col min="5" max="5" width="22.5703125" style="165" bestFit="1" customWidth="1"/>
    <col min="6" max="6" width="44.5703125" style="165" bestFit="1" customWidth="1"/>
    <col min="7" max="7" width="53.7109375" style="165" bestFit="1" customWidth="1"/>
    <col min="8" max="8" width="6.5703125" style="165" customWidth="1"/>
    <col min="9" max="9" width="17.5703125" style="165" hidden="1" customWidth="1"/>
    <col min="10" max="10" width="24.85546875" style="165" hidden="1" customWidth="1"/>
    <col min="11" max="13" width="34" style="165" hidden="1" customWidth="1"/>
    <col min="14" max="14" width="34" hidden="1" customWidth="1"/>
    <col min="15" max="15" width="2.7109375" customWidth="1"/>
    <col min="16" max="16" width="11.7109375" customWidth="1"/>
    <col min="17" max="17" width="2.7109375" customWidth="1"/>
    <col min="18" max="18" width="23.28515625" customWidth="1"/>
    <col min="19" max="19" width="2.7109375" customWidth="1"/>
    <col min="20" max="20" width="17" customWidth="1"/>
    <col min="21" max="21" width="62.28515625" customWidth="1"/>
    <col min="22" max="22" width="48.42578125" bestFit="1" customWidth="1"/>
    <col min="23" max="23" width="2.7109375" customWidth="1"/>
    <col min="24" max="24" width="14.85546875" bestFit="1" customWidth="1"/>
    <col min="33" max="33" width="15.5703125" customWidth="1"/>
    <col min="36" max="36" width="19.42578125" customWidth="1"/>
  </cols>
  <sheetData>
    <row r="1" spans="1:59" s="24" customFormat="1" ht="27" customHeight="1">
      <c r="A1" s="23"/>
      <c r="B1" s="172" t="s">
        <v>179</v>
      </c>
      <c r="C1" s="172"/>
      <c r="D1" s="172"/>
      <c r="E1" s="172"/>
      <c r="F1" s="172"/>
      <c r="G1" s="172"/>
      <c r="H1" s="172"/>
      <c r="I1" s="172"/>
      <c r="J1" s="172"/>
      <c r="K1" s="172"/>
      <c r="L1" s="172"/>
      <c r="M1" s="172"/>
      <c r="N1" s="160"/>
      <c r="O1" s="161"/>
      <c r="P1" s="161"/>
      <c r="Q1" s="161"/>
      <c r="R1" s="161"/>
      <c r="S1" s="161"/>
      <c r="T1" s="161"/>
      <c r="U1" s="162"/>
      <c r="V1" s="161"/>
      <c r="W1" s="161"/>
      <c r="AD1" s="25"/>
      <c r="AE1" s="25"/>
      <c r="BB1" s="89"/>
      <c r="BC1" s="90">
        <v>1</v>
      </c>
      <c r="BD1" s="91"/>
      <c r="BE1" s="90" t="s">
        <v>178</v>
      </c>
      <c r="BG1" s="89"/>
    </row>
    <row r="2" spans="1:59" ht="25.15" customHeight="1">
      <c r="B2" s="166" t="s">
        <v>47</v>
      </c>
      <c r="C2" s="166" t="s">
        <v>2436</v>
      </c>
      <c r="D2" s="166" t="s">
        <v>2437</v>
      </c>
      <c r="E2" s="166" t="s">
        <v>2438</v>
      </c>
      <c r="F2" s="166" t="s">
        <v>2439</v>
      </c>
      <c r="G2" s="166" t="s">
        <v>2440</v>
      </c>
      <c r="H2" s="172"/>
      <c r="I2" s="827" t="s">
        <v>1892</v>
      </c>
      <c r="J2" s="827" t="s">
        <v>1893</v>
      </c>
      <c r="K2" s="827" t="s">
        <v>1894</v>
      </c>
      <c r="L2" s="828" t="s">
        <v>1895</v>
      </c>
      <c r="M2" s="826"/>
      <c r="N2" s="167" t="s">
        <v>113</v>
      </c>
      <c r="P2" s="101" t="s">
        <v>9</v>
      </c>
      <c r="R2" s="101" t="s">
        <v>23</v>
      </c>
      <c r="T2" s="1370" t="s">
        <v>181</v>
      </c>
      <c r="U2" s="1370"/>
      <c r="V2" s="1370"/>
    </row>
    <row r="3" spans="1:59" ht="15" customHeight="1">
      <c r="B3" s="173">
        <f t="shared" ref="B3:B34" si="0">SUMIF(DTCAUSE,G3,DEF_PROD)</f>
        <v>0</v>
      </c>
      <c r="C3" s="168" t="s">
        <v>2441</v>
      </c>
      <c r="D3" s="168" t="s">
        <v>2442</v>
      </c>
      <c r="E3" s="168" t="s">
        <v>2443</v>
      </c>
      <c r="F3" s="168" t="s">
        <v>2444</v>
      </c>
      <c r="G3" s="168" t="s">
        <v>2445</v>
      </c>
      <c r="H3" s="172"/>
      <c r="I3" s="168" t="s">
        <v>1785</v>
      </c>
      <c r="J3" s="168" t="s">
        <v>1786</v>
      </c>
      <c r="K3" s="168" t="s">
        <v>1787</v>
      </c>
      <c r="L3" s="168" t="s">
        <v>1788</v>
      </c>
      <c r="M3"/>
      <c r="N3" s="168" t="s">
        <v>1573</v>
      </c>
      <c r="P3" s="686"/>
      <c r="R3" s="103" t="s">
        <v>2671</v>
      </c>
      <c r="T3" s="78" t="s">
        <v>16</v>
      </c>
      <c r="U3" s="79" t="s">
        <v>60</v>
      </c>
      <c r="V3" s="80" t="s">
        <v>182</v>
      </c>
    </row>
    <row r="4" spans="1:59" ht="15" customHeight="1">
      <c r="B4" s="173">
        <f t="shared" si="0"/>
        <v>0</v>
      </c>
      <c r="C4" s="168" t="s">
        <v>2441</v>
      </c>
      <c r="D4" s="168" t="s">
        <v>2442</v>
      </c>
      <c r="E4" s="168" t="s">
        <v>2446</v>
      </c>
      <c r="F4" s="168" t="s">
        <v>2447</v>
      </c>
      <c r="G4" s="168" t="s">
        <v>2447</v>
      </c>
      <c r="H4" s="172"/>
      <c r="I4" s="168" t="s">
        <v>1785</v>
      </c>
      <c r="J4" s="168" t="s">
        <v>1786</v>
      </c>
      <c r="K4" s="168" t="s">
        <v>1789</v>
      </c>
      <c r="L4" s="168" t="s">
        <v>1790</v>
      </c>
      <c r="M4"/>
      <c r="N4" s="168" t="s">
        <v>114</v>
      </c>
      <c r="P4" s="106">
        <v>8</v>
      </c>
      <c r="R4" s="214" t="s">
        <v>2665</v>
      </c>
      <c r="T4" s="170">
        <v>41065</v>
      </c>
      <c r="U4" s="297" t="s">
        <v>61</v>
      </c>
      <c r="V4" s="147">
        <v>1</v>
      </c>
    </row>
    <row r="5" spans="1:59" ht="15" customHeight="1">
      <c r="B5" s="173">
        <f t="shared" si="0"/>
        <v>0</v>
      </c>
      <c r="C5" s="169" t="s">
        <v>2448</v>
      </c>
      <c r="D5" s="169" t="s">
        <v>2442</v>
      </c>
      <c r="E5" s="169" t="s">
        <v>2449</v>
      </c>
      <c r="F5" s="169" t="s">
        <v>2450</v>
      </c>
      <c r="G5" s="169" t="s">
        <v>2450</v>
      </c>
      <c r="H5" s="172"/>
      <c r="I5" s="168" t="s">
        <v>1791</v>
      </c>
      <c r="J5" s="168" t="s">
        <v>1792</v>
      </c>
      <c r="K5" s="168" t="s">
        <v>1793</v>
      </c>
      <c r="L5" s="168" t="s">
        <v>1794</v>
      </c>
      <c r="M5"/>
      <c r="N5" s="168" t="s">
        <v>115</v>
      </c>
      <c r="P5" s="106">
        <v>10</v>
      </c>
      <c r="R5" s="214" t="s">
        <v>2645</v>
      </c>
      <c r="T5" s="170">
        <v>41072</v>
      </c>
      <c r="U5" s="297" t="s">
        <v>1372</v>
      </c>
      <c r="V5" s="147">
        <v>1.1000000000000001</v>
      </c>
    </row>
    <row r="6" spans="1:59" ht="15" customHeight="1">
      <c r="B6" s="173">
        <f t="shared" si="0"/>
        <v>0</v>
      </c>
      <c r="C6" s="168" t="s">
        <v>2441</v>
      </c>
      <c r="D6" s="168" t="s">
        <v>2451</v>
      </c>
      <c r="E6" s="168" t="s">
        <v>2452</v>
      </c>
      <c r="F6" s="168" t="s">
        <v>2453</v>
      </c>
      <c r="G6" s="168" t="s">
        <v>2454</v>
      </c>
      <c r="H6" s="172"/>
      <c r="I6" s="169" t="s">
        <v>1791</v>
      </c>
      <c r="J6" s="169" t="s">
        <v>1792</v>
      </c>
      <c r="K6" s="169" t="s">
        <v>285</v>
      </c>
      <c r="L6" s="169" t="s">
        <v>285</v>
      </c>
      <c r="M6"/>
      <c r="N6" s="168" t="s">
        <v>1574</v>
      </c>
      <c r="P6" s="106">
        <v>12</v>
      </c>
      <c r="R6" s="214" t="s">
        <v>2692</v>
      </c>
      <c r="T6" s="170">
        <v>41274</v>
      </c>
      <c r="U6" s="297" t="s">
        <v>1500</v>
      </c>
      <c r="V6" s="147">
        <v>1.2</v>
      </c>
    </row>
    <row r="7" spans="1:59" ht="15" customHeight="1">
      <c r="B7" s="173">
        <f t="shared" si="0"/>
        <v>0</v>
      </c>
      <c r="C7" s="168" t="s">
        <v>2448</v>
      </c>
      <c r="D7" s="168" t="s">
        <v>2451</v>
      </c>
      <c r="E7" s="168" t="s">
        <v>2452</v>
      </c>
      <c r="F7" s="168" t="s">
        <v>2455</v>
      </c>
      <c r="G7" s="168" t="s">
        <v>2456</v>
      </c>
      <c r="H7" s="172"/>
      <c r="I7" s="168" t="s">
        <v>1791</v>
      </c>
      <c r="J7" s="168" t="s">
        <v>1795</v>
      </c>
      <c r="K7" s="168" t="s">
        <v>1796</v>
      </c>
      <c r="L7" s="168" t="s">
        <v>1797</v>
      </c>
      <c r="M7"/>
      <c r="N7" s="168" t="s">
        <v>131</v>
      </c>
      <c r="P7" s="106">
        <v>16</v>
      </c>
      <c r="R7" s="103" t="s">
        <v>2794</v>
      </c>
      <c r="T7" s="170">
        <v>41276</v>
      </c>
      <c r="U7" s="297" t="s">
        <v>1499</v>
      </c>
      <c r="V7" s="147">
        <v>1.3</v>
      </c>
    </row>
    <row r="8" spans="1:59" ht="15" customHeight="1">
      <c r="B8" s="173">
        <f t="shared" si="0"/>
        <v>0</v>
      </c>
      <c r="C8" s="168" t="s">
        <v>2441</v>
      </c>
      <c r="D8" s="168" t="s">
        <v>2442</v>
      </c>
      <c r="E8" s="168" t="s">
        <v>2443</v>
      </c>
      <c r="F8" s="168" t="s">
        <v>2444</v>
      </c>
      <c r="G8" s="169" t="s">
        <v>2457</v>
      </c>
      <c r="H8" s="172"/>
      <c r="I8" s="168" t="s">
        <v>1791</v>
      </c>
      <c r="J8" s="168" t="s">
        <v>1792</v>
      </c>
      <c r="K8" s="168" t="s">
        <v>1798</v>
      </c>
      <c r="L8" s="168" t="s">
        <v>1798</v>
      </c>
      <c r="M8"/>
      <c r="N8" s="169" t="s">
        <v>1575</v>
      </c>
      <c r="P8" s="106">
        <v>18</v>
      </c>
      <c r="T8" s="170">
        <v>41288</v>
      </c>
      <c r="U8" s="297" t="s">
        <v>1498</v>
      </c>
      <c r="V8" s="147">
        <v>1.4</v>
      </c>
    </row>
    <row r="9" spans="1:59" ht="15" customHeight="1">
      <c r="B9" s="173">
        <f t="shared" si="0"/>
        <v>0</v>
      </c>
      <c r="C9" s="168" t="s">
        <v>2441</v>
      </c>
      <c r="D9" s="168" t="s">
        <v>2442</v>
      </c>
      <c r="E9" s="168" t="s">
        <v>2443</v>
      </c>
      <c r="F9" s="168" t="s">
        <v>2458</v>
      </c>
      <c r="G9" s="168" t="s">
        <v>2459</v>
      </c>
      <c r="H9" s="172"/>
      <c r="I9" s="168" t="s">
        <v>1791</v>
      </c>
      <c r="J9" s="168" t="s">
        <v>1795</v>
      </c>
      <c r="K9" s="168" t="s">
        <v>1799</v>
      </c>
      <c r="L9" s="168" t="s">
        <v>1800</v>
      </c>
      <c r="M9"/>
      <c r="N9" s="168" t="s">
        <v>1414</v>
      </c>
      <c r="P9" s="106">
        <v>20</v>
      </c>
      <c r="T9" s="170">
        <v>41307</v>
      </c>
      <c r="U9" s="297" t="s">
        <v>1497</v>
      </c>
      <c r="V9" s="147">
        <v>1.5</v>
      </c>
    </row>
    <row r="10" spans="1:59" ht="15" customHeight="1">
      <c r="B10" s="173">
        <f t="shared" si="0"/>
        <v>0</v>
      </c>
      <c r="C10" s="169" t="s">
        <v>2441</v>
      </c>
      <c r="D10" s="169" t="s">
        <v>2442</v>
      </c>
      <c r="E10" s="169" t="s">
        <v>2443</v>
      </c>
      <c r="F10" s="169" t="s">
        <v>2460</v>
      </c>
      <c r="G10" s="168" t="s">
        <v>2461</v>
      </c>
      <c r="H10" s="172"/>
      <c r="I10" s="168" t="s">
        <v>1791</v>
      </c>
      <c r="J10" s="168" t="s">
        <v>1795</v>
      </c>
      <c r="K10" s="168" t="s">
        <v>1801</v>
      </c>
      <c r="L10" s="168" t="s">
        <v>1802</v>
      </c>
      <c r="M10"/>
      <c r="N10" s="168" t="s">
        <v>240</v>
      </c>
      <c r="P10" s="106">
        <v>21</v>
      </c>
      <c r="T10" s="170">
        <v>41373</v>
      </c>
      <c r="U10" s="297" t="s">
        <v>1501</v>
      </c>
      <c r="V10" s="147">
        <v>1.6</v>
      </c>
    </row>
    <row r="11" spans="1:59" ht="15" customHeight="1">
      <c r="B11" s="173">
        <f t="shared" si="0"/>
        <v>0</v>
      </c>
      <c r="C11" s="168" t="s">
        <v>2441</v>
      </c>
      <c r="D11" s="168" t="s">
        <v>2442</v>
      </c>
      <c r="E11" s="168" t="s">
        <v>2443</v>
      </c>
      <c r="F11" s="168" t="s">
        <v>2444</v>
      </c>
      <c r="G11" s="169" t="s">
        <v>2462</v>
      </c>
      <c r="H11" s="172"/>
      <c r="I11" s="169" t="s">
        <v>1791</v>
      </c>
      <c r="J11" s="169" t="s">
        <v>1786</v>
      </c>
      <c r="K11" s="169" t="s">
        <v>1803</v>
      </c>
      <c r="L11" s="169" t="s">
        <v>1803</v>
      </c>
      <c r="M11"/>
      <c r="N11" s="168" t="s">
        <v>170</v>
      </c>
      <c r="P11" s="106">
        <v>22</v>
      </c>
      <c r="T11" s="170"/>
      <c r="U11" s="297"/>
      <c r="V11" s="147"/>
    </row>
    <row r="12" spans="1:59" ht="15" customHeight="1">
      <c r="B12" s="173">
        <f t="shared" si="0"/>
        <v>0</v>
      </c>
      <c r="C12" s="168" t="s">
        <v>2441</v>
      </c>
      <c r="D12" s="169" t="s">
        <v>2442</v>
      </c>
      <c r="E12" s="169" t="s">
        <v>2443</v>
      </c>
      <c r="F12" s="169" t="s">
        <v>2463</v>
      </c>
      <c r="G12" s="168" t="s">
        <v>2464</v>
      </c>
      <c r="H12" s="172"/>
      <c r="I12" s="168" t="s">
        <v>1785</v>
      </c>
      <c r="J12" s="168" t="s">
        <v>1804</v>
      </c>
      <c r="K12" s="168" t="s">
        <v>1573</v>
      </c>
      <c r="L12" s="168" t="s">
        <v>1805</v>
      </c>
      <c r="M12"/>
      <c r="N12" s="168" t="s">
        <v>1576</v>
      </c>
      <c r="P12" s="106">
        <v>24</v>
      </c>
      <c r="T12" s="170"/>
      <c r="U12" s="297"/>
      <c r="V12" s="147"/>
    </row>
    <row r="13" spans="1:59" ht="15" customHeight="1">
      <c r="B13" s="173">
        <f t="shared" si="0"/>
        <v>0</v>
      </c>
      <c r="C13" s="168" t="s">
        <v>2441</v>
      </c>
      <c r="D13" s="168" t="s">
        <v>2442</v>
      </c>
      <c r="E13" s="168" t="s">
        <v>2443</v>
      </c>
      <c r="F13" s="168" t="s">
        <v>2465</v>
      </c>
      <c r="G13" s="168" t="s">
        <v>2466</v>
      </c>
      <c r="H13" s="172"/>
      <c r="I13" s="168" t="s">
        <v>1791</v>
      </c>
      <c r="J13" s="168" t="s">
        <v>1795</v>
      </c>
      <c r="K13" s="168" t="s">
        <v>1806</v>
      </c>
      <c r="L13" s="168" t="s">
        <v>1807</v>
      </c>
      <c r="M13"/>
      <c r="N13" s="168" t="s">
        <v>169</v>
      </c>
      <c r="P13" s="106">
        <v>26</v>
      </c>
      <c r="R13" s="171" t="s">
        <v>177</v>
      </c>
      <c r="T13" s="170"/>
      <c r="U13" s="297"/>
      <c r="V13" s="147"/>
    </row>
    <row r="14" spans="1:59" ht="15" customHeight="1">
      <c r="B14" s="173">
        <f t="shared" si="0"/>
        <v>0</v>
      </c>
      <c r="C14" s="168" t="s">
        <v>2441</v>
      </c>
      <c r="D14" s="168" t="s">
        <v>2442</v>
      </c>
      <c r="E14" s="168" t="s">
        <v>2443</v>
      </c>
      <c r="F14" s="168" t="s">
        <v>2467</v>
      </c>
      <c r="G14" s="169" t="s">
        <v>2468</v>
      </c>
      <c r="H14" s="172"/>
      <c r="I14" s="168" t="s">
        <v>1791</v>
      </c>
      <c r="J14" s="168" t="s">
        <v>1808</v>
      </c>
      <c r="K14" s="168" t="s">
        <v>1809</v>
      </c>
      <c r="L14" s="168" t="s">
        <v>1810</v>
      </c>
      <c r="M14"/>
      <c r="N14" s="169" t="s">
        <v>1577</v>
      </c>
      <c r="P14" s="106">
        <v>28</v>
      </c>
      <c r="R14" s="176" t="s">
        <v>271</v>
      </c>
      <c r="T14" s="170"/>
      <c r="U14" s="297"/>
      <c r="V14" s="147"/>
    </row>
    <row r="15" spans="1:59" ht="15" customHeight="1">
      <c r="B15" s="173">
        <f t="shared" si="0"/>
        <v>0</v>
      </c>
      <c r="C15" s="168" t="s">
        <v>2441</v>
      </c>
      <c r="D15" s="168" t="s">
        <v>2442</v>
      </c>
      <c r="E15" s="168" t="s">
        <v>2443</v>
      </c>
      <c r="F15" s="168" t="s">
        <v>2460</v>
      </c>
      <c r="G15" s="168" t="s">
        <v>2469</v>
      </c>
      <c r="H15" s="172"/>
      <c r="I15" s="168" t="s">
        <v>1791</v>
      </c>
      <c r="J15" s="168" t="s">
        <v>1811</v>
      </c>
      <c r="K15" s="168" t="s">
        <v>1812</v>
      </c>
      <c r="L15" s="168" t="s">
        <v>1813</v>
      </c>
      <c r="M15"/>
      <c r="N15" s="169" t="s">
        <v>241</v>
      </c>
      <c r="P15" s="106">
        <v>30</v>
      </c>
      <c r="R15" s="176" t="s">
        <v>1307</v>
      </c>
      <c r="T15" s="170"/>
      <c r="U15" s="297"/>
      <c r="V15" s="147"/>
    </row>
    <row r="16" spans="1:59" ht="15" customHeight="1">
      <c r="B16" s="173">
        <f t="shared" si="0"/>
        <v>0</v>
      </c>
      <c r="C16" s="169" t="s">
        <v>2448</v>
      </c>
      <c r="D16" s="169" t="s">
        <v>2442</v>
      </c>
      <c r="E16" s="169" t="s">
        <v>2443</v>
      </c>
      <c r="F16" s="169" t="s">
        <v>2460</v>
      </c>
      <c r="G16" s="168" t="s">
        <v>2470</v>
      </c>
      <c r="H16" s="172"/>
      <c r="I16" s="169" t="s">
        <v>1791</v>
      </c>
      <c r="J16" s="169" t="s">
        <v>1814</v>
      </c>
      <c r="K16" s="169" t="s">
        <v>1815</v>
      </c>
      <c r="L16" s="169" t="s">
        <v>1816</v>
      </c>
      <c r="M16"/>
      <c r="N16" s="168" t="s">
        <v>1578</v>
      </c>
      <c r="P16" s="106">
        <v>32</v>
      </c>
      <c r="R16" s="176" t="s">
        <v>1315</v>
      </c>
      <c r="S16" s="18"/>
      <c r="T16" s="170"/>
      <c r="U16" s="297"/>
      <c r="V16" s="147"/>
    </row>
    <row r="17" spans="2:22" ht="15" customHeight="1">
      <c r="B17" s="173">
        <f t="shared" si="0"/>
        <v>0</v>
      </c>
      <c r="C17" s="168" t="s">
        <v>2448</v>
      </c>
      <c r="D17" s="168" t="s">
        <v>2442</v>
      </c>
      <c r="E17" s="168" t="s">
        <v>2449</v>
      </c>
      <c r="F17" s="168" t="s">
        <v>2471</v>
      </c>
      <c r="G17" s="169" t="s">
        <v>2472</v>
      </c>
      <c r="H17" s="172"/>
      <c r="I17" s="168" t="s">
        <v>1791</v>
      </c>
      <c r="J17" s="168" t="s">
        <v>1814</v>
      </c>
      <c r="K17" s="168" t="s">
        <v>1817</v>
      </c>
      <c r="L17" s="168" t="s">
        <v>1818</v>
      </c>
      <c r="M17"/>
      <c r="N17" s="168" t="s">
        <v>1579</v>
      </c>
      <c r="P17" s="106">
        <v>34</v>
      </c>
      <c r="R17" s="306" t="s">
        <v>1305</v>
      </c>
      <c r="S17" s="18"/>
      <c r="T17" s="170"/>
      <c r="U17" s="297"/>
      <c r="V17" s="147"/>
    </row>
    <row r="18" spans="2:22" ht="15" customHeight="1">
      <c r="B18" s="173">
        <f t="shared" si="0"/>
        <v>0</v>
      </c>
      <c r="C18" s="168" t="s">
        <v>2448</v>
      </c>
      <c r="D18" s="168" t="s">
        <v>2442</v>
      </c>
      <c r="E18" s="168" t="s">
        <v>2449</v>
      </c>
      <c r="F18" s="168" t="s">
        <v>2473</v>
      </c>
      <c r="G18" s="168" t="s">
        <v>2474</v>
      </c>
      <c r="H18" s="172"/>
      <c r="I18" s="168" t="s">
        <v>1791</v>
      </c>
      <c r="J18" s="169" t="s">
        <v>1795</v>
      </c>
      <c r="K18" s="169" t="s">
        <v>2103</v>
      </c>
      <c r="L18" s="169" t="s">
        <v>2104</v>
      </c>
      <c r="M18"/>
      <c r="N18" s="303" t="s">
        <v>2103</v>
      </c>
      <c r="P18" s="106">
        <v>36</v>
      </c>
      <c r="R18" s="176" t="s">
        <v>2106</v>
      </c>
      <c r="S18" s="18"/>
      <c r="T18" s="170"/>
      <c r="U18" s="297"/>
      <c r="V18" s="147"/>
    </row>
    <row r="19" spans="2:22" ht="15" customHeight="1">
      <c r="B19" s="173">
        <f t="shared" si="0"/>
        <v>0</v>
      </c>
      <c r="C19" s="168" t="s">
        <v>2448</v>
      </c>
      <c r="D19" s="168" t="s">
        <v>2442</v>
      </c>
      <c r="E19" s="168" t="s">
        <v>2449</v>
      </c>
      <c r="F19" s="168" t="s">
        <v>2475</v>
      </c>
      <c r="G19" s="168" t="s">
        <v>2475</v>
      </c>
      <c r="H19" s="172"/>
      <c r="I19" s="168" t="s">
        <v>1791</v>
      </c>
      <c r="J19" s="168" t="s">
        <v>1795</v>
      </c>
      <c r="K19" s="168" t="s">
        <v>1819</v>
      </c>
      <c r="L19" s="168" t="s">
        <v>1820</v>
      </c>
      <c r="M19"/>
      <c r="N19" s="168" t="s">
        <v>1580</v>
      </c>
      <c r="P19" s="106">
        <v>38</v>
      </c>
      <c r="R19" s="176" t="s">
        <v>2107</v>
      </c>
      <c r="S19" s="18"/>
      <c r="T19" s="170"/>
      <c r="U19" s="297"/>
      <c r="V19" s="147"/>
    </row>
    <row r="20" spans="2:22" ht="15" customHeight="1">
      <c r="B20" s="173">
        <f t="shared" si="0"/>
        <v>0</v>
      </c>
      <c r="C20" s="168" t="s">
        <v>2448</v>
      </c>
      <c r="D20" s="168" t="s">
        <v>2451</v>
      </c>
      <c r="E20" s="168" t="s">
        <v>2452</v>
      </c>
      <c r="F20" s="168" t="s">
        <v>2476</v>
      </c>
      <c r="G20" s="169" t="s">
        <v>2477</v>
      </c>
      <c r="H20" s="172"/>
      <c r="I20" s="168" t="s">
        <v>1791</v>
      </c>
      <c r="J20" s="168" t="s">
        <v>1821</v>
      </c>
      <c r="K20" s="168" t="s">
        <v>1574</v>
      </c>
      <c r="L20" s="168" t="s">
        <v>1822</v>
      </c>
      <c r="M20"/>
      <c r="N20" s="168" t="s">
        <v>1588</v>
      </c>
      <c r="P20" s="106">
        <v>40</v>
      </c>
      <c r="R20" s="176" t="s">
        <v>2180</v>
      </c>
      <c r="S20" s="18"/>
      <c r="T20" s="170"/>
      <c r="U20" s="297"/>
      <c r="V20" s="147"/>
    </row>
    <row r="21" spans="2:22" ht="15" customHeight="1">
      <c r="B21" s="173">
        <f t="shared" si="0"/>
        <v>0</v>
      </c>
      <c r="C21" s="169" t="s">
        <v>2448</v>
      </c>
      <c r="D21" s="169" t="s">
        <v>2451</v>
      </c>
      <c r="E21" s="169" t="s">
        <v>2452</v>
      </c>
      <c r="F21" s="169" t="s">
        <v>2478</v>
      </c>
      <c r="G21" s="168" t="s">
        <v>2479</v>
      </c>
      <c r="H21" s="172"/>
      <c r="I21" s="168" t="s">
        <v>1791</v>
      </c>
      <c r="J21" s="168" t="s">
        <v>1821</v>
      </c>
      <c r="K21" s="168" t="s">
        <v>131</v>
      </c>
      <c r="L21" s="168" t="s">
        <v>1823</v>
      </c>
      <c r="M21"/>
      <c r="N21" s="169" t="s">
        <v>1581</v>
      </c>
      <c r="P21" s="106">
        <v>42</v>
      </c>
      <c r="R21" s="176" t="s">
        <v>1341</v>
      </c>
      <c r="S21" s="18"/>
      <c r="T21" s="170"/>
      <c r="U21" s="297"/>
      <c r="V21" s="147"/>
    </row>
    <row r="22" spans="2:22" ht="15" customHeight="1">
      <c r="B22" s="173">
        <f t="shared" si="0"/>
        <v>0</v>
      </c>
      <c r="C22" s="168" t="s">
        <v>2441</v>
      </c>
      <c r="D22" s="168" t="s">
        <v>2451</v>
      </c>
      <c r="E22" s="168" t="s">
        <v>2452</v>
      </c>
      <c r="F22" s="168" t="s">
        <v>2476</v>
      </c>
      <c r="G22" s="168" t="s">
        <v>2480</v>
      </c>
      <c r="H22" s="172"/>
      <c r="I22" s="169" t="s">
        <v>1791</v>
      </c>
      <c r="J22" s="169" t="s">
        <v>1808</v>
      </c>
      <c r="K22" s="169" t="s">
        <v>1575</v>
      </c>
      <c r="L22" s="169" t="s">
        <v>1824</v>
      </c>
      <c r="M22"/>
      <c r="N22" s="169" t="s">
        <v>1582</v>
      </c>
      <c r="P22" s="106">
        <v>44</v>
      </c>
      <c r="R22" s="176" t="s">
        <v>21</v>
      </c>
      <c r="S22" s="18"/>
      <c r="T22" s="170"/>
      <c r="U22" s="297"/>
      <c r="V22" s="147"/>
    </row>
    <row r="23" spans="2:22" ht="15" customHeight="1">
      <c r="B23" s="173">
        <f t="shared" si="0"/>
        <v>0</v>
      </c>
      <c r="C23" s="168" t="s">
        <v>2448</v>
      </c>
      <c r="D23" s="169" t="s">
        <v>2451</v>
      </c>
      <c r="E23" s="169" t="s">
        <v>2452</v>
      </c>
      <c r="F23" s="169" t="s">
        <v>2455</v>
      </c>
      <c r="G23" s="169" t="s">
        <v>2481</v>
      </c>
      <c r="H23" s="172"/>
      <c r="I23" s="168" t="s">
        <v>1791</v>
      </c>
      <c r="J23" s="168" t="s">
        <v>1786</v>
      </c>
      <c r="K23" s="168" t="s">
        <v>1825</v>
      </c>
      <c r="L23" s="168" t="s">
        <v>1826</v>
      </c>
      <c r="M23"/>
      <c r="N23" s="168" t="s">
        <v>1583</v>
      </c>
      <c r="P23" s="106">
        <v>46</v>
      </c>
      <c r="R23" s="176" t="s">
        <v>24</v>
      </c>
      <c r="S23" s="18"/>
      <c r="U23" s="174" t="s">
        <v>180</v>
      </c>
      <c r="V23" s="175">
        <f>MAX(V4:V22)</f>
        <v>1.6</v>
      </c>
    </row>
    <row r="24" spans="2:22" ht="15" customHeight="1">
      <c r="B24" s="173">
        <f t="shared" si="0"/>
        <v>0</v>
      </c>
      <c r="C24" s="168" t="s">
        <v>2441</v>
      </c>
      <c r="D24" s="168" t="s">
        <v>2451</v>
      </c>
      <c r="E24" s="168" t="s">
        <v>2452</v>
      </c>
      <c r="F24" s="168" t="s">
        <v>2482</v>
      </c>
      <c r="G24" s="168" t="s">
        <v>2482</v>
      </c>
      <c r="H24" s="172"/>
      <c r="I24" s="168" t="s">
        <v>1791</v>
      </c>
      <c r="J24" s="168" t="s">
        <v>1786</v>
      </c>
      <c r="K24" s="168" t="s">
        <v>1827</v>
      </c>
      <c r="L24" s="168" t="s">
        <v>1827</v>
      </c>
      <c r="M24"/>
      <c r="N24" s="168" t="s">
        <v>1584</v>
      </c>
      <c r="P24" s="106">
        <v>48</v>
      </c>
      <c r="R24" s="176" t="s">
        <v>168</v>
      </c>
      <c r="S24" s="18"/>
    </row>
    <row r="25" spans="2:22" ht="15" customHeight="1">
      <c r="B25" s="173">
        <f t="shared" si="0"/>
        <v>0</v>
      </c>
      <c r="C25" s="168" t="s">
        <v>2441</v>
      </c>
      <c r="D25" s="168" t="s">
        <v>2451</v>
      </c>
      <c r="E25" s="168" t="s">
        <v>2452</v>
      </c>
      <c r="F25" s="168" t="s">
        <v>2483</v>
      </c>
      <c r="G25" s="168" t="s">
        <v>2483</v>
      </c>
      <c r="H25" s="172"/>
      <c r="I25" s="169" t="s">
        <v>1785</v>
      </c>
      <c r="J25" s="169" t="s">
        <v>1786</v>
      </c>
      <c r="K25" s="169" t="s">
        <v>2101</v>
      </c>
      <c r="L25" s="169" t="s">
        <v>2102</v>
      </c>
      <c r="M25"/>
      <c r="N25" s="303" t="s">
        <v>2101</v>
      </c>
      <c r="P25" s="106">
        <v>50</v>
      </c>
      <c r="R25" s="176" t="s">
        <v>20</v>
      </c>
      <c r="S25" s="18"/>
    </row>
    <row r="26" spans="2:22" ht="15" customHeight="1">
      <c r="B26" s="173">
        <f t="shared" si="0"/>
        <v>0</v>
      </c>
      <c r="C26" s="168" t="s">
        <v>2448</v>
      </c>
      <c r="D26" s="168" t="s">
        <v>2451</v>
      </c>
      <c r="E26" s="168" t="s">
        <v>2452</v>
      </c>
      <c r="F26" s="168" t="s">
        <v>2484</v>
      </c>
      <c r="G26" s="169" t="s">
        <v>2484</v>
      </c>
      <c r="H26" s="172"/>
      <c r="I26" s="168" t="s">
        <v>1785</v>
      </c>
      <c r="J26" s="168" t="s">
        <v>1821</v>
      </c>
      <c r="K26" s="168" t="s">
        <v>1828</v>
      </c>
      <c r="L26" s="168" t="s">
        <v>1829</v>
      </c>
      <c r="M26"/>
      <c r="N26" s="168" t="s">
        <v>1585</v>
      </c>
      <c r="P26" s="106">
        <v>52</v>
      </c>
      <c r="R26" s="176" t="s">
        <v>2201</v>
      </c>
      <c r="S26" s="18"/>
    </row>
    <row r="27" spans="2:22" ht="15" customHeight="1">
      <c r="B27" s="173">
        <f t="shared" si="0"/>
        <v>0</v>
      </c>
      <c r="C27" s="169" t="s">
        <v>2441</v>
      </c>
      <c r="D27" s="169" t="s">
        <v>2451</v>
      </c>
      <c r="E27" s="169" t="s">
        <v>2452</v>
      </c>
      <c r="F27" s="169" t="s">
        <v>2485</v>
      </c>
      <c r="G27" s="168" t="s">
        <v>2486</v>
      </c>
      <c r="H27" s="172"/>
      <c r="I27" s="168" t="s">
        <v>1785</v>
      </c>
      <c r="J27" s="168" t="s">
        <v>1786</v>
      </c>
      <c r="K27" s="168" t="s">
        <v>1830</v>
      </c>
      <c r="L27" s="168" t="s">
        <v>1831</v>
      </c>
      <c r="M27"/>
      <c r="N27" s="168" t="s">
        <v>1586</v>
      </c>
      <c r="P27" s="106">
        <v>24</v>
      </c>
      <c r="R27" s="176" t="s">
        <v>272</v>
      </c>
      <c r="S27" s="18"/>
    </row>
    <row r="28" spans="2:22" ht="15" customHeight="1">
      <c r="B28" s="173">
        <f t="shared" si="0"/>
        <v>0</v>
      </c>
      <c r="C28" s="168" t="s">
        <v>2441</v>
      </c>
      <c r="D28" s="168" t="s">
        <v>2487</v>
      </c>
      <c r="E28" s="168" t="s">
        <v>2488</v>
      </c>
      <c r="F28" s="168" t="s">
        <v>2489</v>
      </c>
      <c r="G28" s="168" t="s">
        <v>2489</v>
      </c>
      <c r="H28" s="172"/>
      <c r="I28" s="169" t="s">
        <v>1791</v>
      </c>
      <c r="J28" s="169" t="s">
        <v>1786</v>
      </c>
      <c r="K28" s="169" t="s">
        <v>1832</v>
      </c>
      <c r="L28" s="169" t="s">
        <v>1833</v>
      </c>
      <c r="M28"/>
      <c r="N28" s="168" t="s">
        <v>1683</v>
      </c>
      <c r="P28" s="106">
        <v>56</v>
      </c>
      <c r="R28" s="176" t="s">
        <v>19</v>
      </c>
      <c r="S28" s="18"/>
    </row>
    <row r="29" spans="2:22" ht="15" customHeight="1">
      <c r="B29" s="173">
        <f t="shared" si="0"/>
        <v>0</v>
      </c>
      <c r="C29" s="168" t="s">
        <v>2448</v>
      </c>
      <c r="D29" s="168" t="s">
        <v>2442</v>
      </c>
      <c r="E29" s="168" t="s">
        <v>2443</v>
      </c>
      <c r="F29" s="168" t="s">
        <v>2490</v>
      </c>
      <c r="G29" s="169" t="s">
        <v>2491</v>
      </c>
      <c r="H29" s="172"/>
      <c r="I29" s="168" t="s">
        <v>1791</v>
      </c>
      <c r="J29" s="168" t="s">
        <v>1786</v>
      </c>
      <c r="K29" s="168" t="s">
        <v>1414</v>
      </c>
      <c r="L29" s="168" t="s">
        <v>1834</v>
      </c>
      <c r="M29"/>
      <c r="N29" s="168" t="s">
        <v>1587</v>
      </c>
      <c r="P29" s="106">
        <v>58</v>
      </c>
      <c r="S29" s="18"/>
    </row>
    <row r="30" spans="2:22" ht="15" customHeight="1">
      <c r="B30" s="173">
        <f t="shared" si="0"/>
        <v>0</v>
      </c>
      <c r="C30" s="168" t="s">
        <v>2441</v>
      </c>
      <c r="D30" s="168" t="s">
        <v>2442</v>
      </c>
      <c r="E30" s="168" t="s">
        <v>2443</v>
      </c>
      <c r="F30" s="168" t="s">
        <v>2490</v>
      </c>
      <c r="G30" s="168" t="s">
        <v>2492</v>
      </c>
      <c r="H30" s="172"/>
      <c r="I30" s="168" t="s">
        <v>1791</v>
      </c>
      <c r="J30" s="168" t="s">
        <v>1786</v>
      </c>
      <c r="K30" s="168" t="s">
        <v>1835</v>
      </c>
      <c r="L30" s="168" t="s">
        <v>1836</v>
      </c>
      <c r="M30"/>
      <c r="N30" s="168" t="s">
        <v>158</v>
      </c>
      <c r="P30" s="106">
        <v>60</v>
      </c>
      <c r="R30" s="380" t="s">
        <v>1343</v>
      </c>
      <c r="S30" s="18"/>
    </row>
    <row r="31" spans="2:22" ht="15" customHeight="1">
      <c r="B31" s="173">
        <f t="shared" si="0"/>
        <v>0</v>
      </c>
      <c r="C31" s="168" t="s">
        <v>2441</v>
      </c>
      <c r="D31" s="168" t="s">
        <v>2442</v>
      </c>
      <c r="E31" s="168" t="s">
        <v>2443</v>
      </c>
      <c r="F31" s="168" t="s">
        <v>2463</v>
      </c>
      <c r="G31" s="168" t="s">
        <v>2493</v>
      </c>
      <c r="H31" s="172"/>
      <c r="I31" s="168" t="s">
        <v>1791</v>
      </c>
      <c r="J31" s="168" t="s">
        <v>1795</v>
      </c>
      <c r="K31" s="168" t="s">
        <v>240</v>
      </c>
      <c r="L31" s="168" t="s">
        <v>1837</v>
      </c>
      <c r="M31"/>
      <c r="N31" s="144"/>
      <c r="P31" s="106">
        <v>62</v>
      </c>
      <c r="R31" s="381" t="s">
        <v>1327</v>
      </c>
      <c r="S31" s="18"/>
    </row>
    <row r="32" spans="2:22" ht="15" customHeight="1">
      <c r="B32" s="173">
        <f t="shared" si="0"/>
        <v>0</v>
      </c>
      <c r="C32" s="169" t="s">
        <v>2441</v>
      </c>
      <c r="D32" s="169" t="s">
        <v>2442</v>
      </c>
      <c r="E32" s="169" t="s">
        <v>2443</v>
      </c>
      <c r="F32" s="169" t="s">
        <v>2458</v>
      </c>
      <c r="G32" s="169" t="s">
        <v>2494</v>
      </c>
      <c r="H32" s="172"/>
      <c r="I32" s="168" t="s">
        <v>1785</v>
      </c>
      <c r="J32" s="168" t="s">
        <v>1786</v>
      </c>
      <c r="K32" s="168" t="s">
        <v>1838</v>
      </c>
      <c r="L32" s="168" t="s">
        <v>1839</v>
      </c>
      <c r="M32"/>
      <c r="N32" s="101" t="s">
        <v>143</v>
      </c>
      <c r="P32" s="106">
        <v>64</v>
      </c>
      <c r="R32" s="382" t="s">
        <v>1334</v>
      </c>
      <c r="S32" s="18"/>
    </row>
    <row r="33" spans="2:22" ht="15" customHeight="1">
      <c r="B33" s="173">
        <f t="shared" si="0"/>
        <v>0</v>
      </c>
      <c r="C33" s="168" t="s">
        <v>2441</v>
      </c>
      <c r="D33" s="168" t="s">
        <v>2451</v>
      </c>
      <c r="E33" s="168" t="s">
        <v>2452</v>
      </c>
      <c r="F33" s="168" t="s">
        <v>2495</v>
      </c>
      <c r="G33" s="168" t="s">
        <v>2495</v>
      </c>
      <c r="H33" s="172"/>
      <c r="I33" s="169" t="s">
        <v>1791</v>
      </c>
      <c r="J33" s="169" t="s">
        <v>1821</v>
      </c>
      <c r="K33" s="169" t="s">
        <v>1576</v>
      </c>
      <c r="L33" s="169" t="s">
        <v>1840</v>
      </c>
      <c r="M33"/>
      <c r="N33" s="146" t="s">
        <v>2155</v>
      </c>
      <c r="P33" s="106">
        <v>80</v>
      </c>
      <c r="R33" s="381" t="s">
        <v>1330</v>
      </c>
      <c r="S33" s="18"/>
      <c r="T33" s="861" t="s">
        <v>1791</v>
      </c>
      <c r="U33" s="861" t="s">
        <v>1808</v>
      </c>
      <c r="V33" s="861" t="s">
        <v>2155</v>
      </c>
    </row>
    <row r="34" spans="2:22" ht="15" customHeight="1">
      <c r="B34" s="173">
        <f t="shared" si="0"/>
        <v>0</v>
      </c>
      <c r="C34" s="168" t="s">
        <v>2441</v>
      </c>
      <c r="D34" s="169" t="s">
        <v>2442</v>
      </c>
      <c r="E34" s="169" t="s">
        <v>2443</v>
      </c>
      <c r="F34" s="169" t="s">
        <v>2463</v>
      </c>
      <c r="G34" s="168" t="s">
        <v>2496</v>
      </c>
      <c r="H34" s="172"/>
      <c r="I34" s="168" t="s">
        <v>1785</v>
      </c>
      <c r="J34" s="168" t="s">
        <v>1821</v>
      </c>
      <c r="K34" s="168" t="s">
        <v>169</v>
      </c>
      <c r="L34" s="168" t="s">
        <v>1841</v>
      </c>
      <c r="M34"/>
      <c r="N34" s="145" t="s">
        <v>144</v>
      </c>
      <c r="P34" s="106">
        <v>96</v>
      </c>
      <c r="R34" s="381" t="s">
        <v>1335</v>
      </c>
      <c r="S34" s="18"/>
      <c r="T34" s="861" t="s">
        <v>1791</v>
      </c>
      <c r="U34" s="861" t="s">
        <v>1804</v>
      </c>
      <c r="V34" s="861" t="s">
        <v>144</v>
      </c>
    </row>
    <row r="35" spans="2:22" ht="15" customHeight="1">
      <c r="B35" s="173">
        <f t="shared" ref="B35:B66" si="1">SUMIF(DTCAUSE,G35,DEF_PROD)</f>
        <v>0</v>
      </c>
      <c r="C35" s="168" t="s">
        <v>2441</v>
      </c>
      <c r="D35" s="168" t="s">
        <v>2442</v>
      </c>
      <c r="E35" s="168" t="s">
        <v>2443</v>
      </c>
      <c r="F35" s="168" t="s">
        <v>2463</v>
      </c>
      <c r="G35" s="169" t="s">
        <v>2497</v>
      </c>
      <c r="H35" s="172"/>
      <c r="I35" s="168" t="s">
        <v>1791</v>
      </c>
      <c r="J35" s="168" t="s">
        <v>1786</v>
      </c>
      <c r="K35" s="168" t="s">
        <v>1619</v>
      </c>
      <c r="L35" s="168" t="s">
        <v>1619</v>
      </c>
      <c r="M35"/>
      <c r="N35" s="145" t="s">
        <v>1888</v>
      </c>
      <c r="P35" s="107">
        <v>128</v>
      </c>
      <c r="R35" s="381" t="s">
        <v>1328</v>
      </c>
      <c r="S35" s="18"/>
      <c r="T35" s="861" t="s">
        <v>1785</v>
      </c>
      <c r="U35" s="861" t="s">
        <v>1786</v>
      </c>
      <c r="V35" s="861" t="s">
        <v>1888</v>
      </c>
    </row>
    <row r="36" spans="2:22" ht="15" customHeight="1">
      <c r="B36" s="173">
        <f t="shared" si="1"/>
        <v>0</v>
      </c>
      <c r="C36" s="168" t="s">
        <v>2441</v>
      </c>
      <c r="D36" s="168" t="s">
        <v>2442</v>
      </c>
      <c r="E36" s="168" t="s">
        <v>2443</v>
      </c>
      <c r="F36" s="168" t="s">
        <v>2463</v>
      </c>
      <c r="G36" s="168" t="s">
        <v>2498</v>
      </c>
      <c r="H36" s="172"/>
      <c r="I36" s="168" t="s">
        <v>1791</v>
      </c>
      <c r="J36" s="168" t="s">
        <v>1821</v>
      </c>
      <c r="K36" s="168" t="s">
        <v>1577</v>
      </c>
      <c r="L36" s="168" t="s">
        <v>1842</v>
      </c>
      <c r="M36"/>
      <c r="N36" s="145" t="s">
        <v>1587</v>
      </c>
      <c r="R36" s="381" t="s">
        <v>1331</v>
      </c>
      <c r="S36" s="18"/>
      <c r="T36" s="861" t="s">
        <v>1785</v>
      </c>
      <c r="U36" s="861" t="s">
        <v>1786</v>
      </c>
      <c r="V36" s="861" t="s">
        <v>1587</v>
      </c>
    </row>
    <row r="37" spans="2:22" ht="15" customHeight="1">
      <c r="B37" s="173">
        <f t="shared" si="1"/>
        <v>0</v>
      </c>
      <c r="C37" s="168" t="s">
        <v>2441</v>
      </c>
      <c r="D37" s="168" t="s">
        <v>2442</v>
      </c>
      <c r="E37" s="168" t="s">
        <v>2443</v>
      </c>
      <c r="F37" s="168" t="s">
        <v>2463</v>
      </c>
      <c r="G37" s="168" t="s">
        <v>2499</v>
      </c>
      <c r="H37" s="172"/>
      <c r="I37" s="168" t="s">
        <v>1791</v>
      </c>
      <c r="J37" s="168" t="s">
        <v>1786</v>
      </c>
      <c r="K37" s="168" t="s">
        <v>1843</v>
      </c>
      <c r="L37" s="168" t="s">
        <v>1844</v>
      </c>
      <c r="M37"/>
      <c r="N37" s="146" t="s">
        <v>158</v>
      </c>
      <c r="P37" s="1370" t="s">
        <v>289</v>
      </c>
      <c r="R37" s="381" t="s">
        <v>1329</v>
      </c>
      <c r="S37" s="18"/>
      <c r="T37" s="861" t="s">
        <v>1785</v>
      </c>
      <c r="U37" s="861" t="s">
        <v>1786</v>
      </c>
      <c r="V37" s="861" t="s">
        <v>158</v>
      </c>
    </row>
    <row r="38" spans="2:22" ht="15" customHeight="1">
      <c r="B38" s="173">
        <f t="shared" si="1"/>
        <v>0</v>
      </c>
      <c r="C38" s="169" t="s">
        <v>2441</v>
      </c>
      <c r="D38" s="169" t="s">
        <v>2442</v>
      </c>
      <c r="E38" s="169" t="s">
        <v>2443</v>
      </c>
      <c r="F38" s="169" t="s">
        <v>2460</v>
      </c>
      <c r="G38" s="169" t="s">
        <v>2500</v>
      </c>
      <c r="H38" s="172"/>
      <c r="I38" s="169" t="s">
        <v>1791</v>
      </c>
      <c r="J38" s="169" t="s">
        <v>1845</v>
      </c>
      <c r="K38" s="169" t="s">
        <v>1846</v>
      </c>
      <c r="L38" s="169" t="s">
        <v>1847</v>
      </c>
      <c r="M38"/>
      <c r="N38" s="145" t="s">
        <v>2156</v>
      </c>
      <c r="P38" s="1370"/>
      <c r="R38" s="381" t="s">
        <v>1300</v>
      </c>
      <c r="S38" s="18"/>
      <c r="T38" s="861" t="s">
        <v>1791</v>
      </c>
      <c r="U38" s="861" t="s">
        <v>1786</v>
      </c>
      <c r="V38" s="861" t="s">
        <v>2156</v>
      </c>
    </row>
    <row r="39" spans="2:22" ht="15" customHeight="1">
      <c r="B39" s="173">
        <f t="shared" si="1"/>
        <v>0</v>
      </c>
      <c r="C39" s="168" t="s">
        <v>2441</v>
      </c>
      <c r="D39" s="168" t="s">
        <v>2442</v>
      </c>
      <c r="E39" s="168" t="s">
        <v>2443</v>
      </c>
      <c r="F39" s="168" t="s">
        <v>2465</v>
      </c>
      <c r="G39" s="168" t="s">
        <v>2501</v>
      </c>
      <c r="H39" s="172"/>
      <c r="I39" s="168" t="s">
        <v>1791</v>
      </c>
      <c r="J39" s="168" t="s">
        <v>1845</v>
      </c>
      <c r="K39" s="168" t="s">
        <v>1848</v>
      </c>
      <c r="L39" s="168" t="s">
        <v>1849</v>
      </c>
      <c r="M39"/>
      <c r="N39" s="145" t="s">
        <v>2157</v>
      </c>
      <c r="P39" s="431" t="s">
        <v>288</v>
      </c>
      <c r="R39" s="381" t="s">
        <v>1471</v>
      </c>
      <c r="S39" s="18"/>
      <c r="T39" s="861" t="s">
        <v>1785</v>
      </c>
      <c r="U39" s="861" t="s">
        <v>1786</v>
      </c>
      <c r="V39" s="861" t="s">
        <v>2157</v>
      </c>
    </row>
    <row r="40" spans="2:22" ht="15" customHeight="1">
      <c r="B40" s="173">
        <f t="shared" si="1"/>
        <v>0</v>
      </c>
      <c r="C40" s="168" t="s">
        <v>2441</v>
      </c>
      <c r="D40" s="168" t="s">
        <v>2442</v>
      </c>
      <c r="E40" s="168" t="s">
        <v>2502</v>
      </c>
      <c r="F40" s="168" t="s">
        <v>2503</v>
      </c>
      <c r="G40" s="168" t="s">
        <v>2503</v>
      </c>
      <c r="H40" s="172"/>
      <c r="I40" s="168" t="s">
        <v>1791</v>
      </c>
      <c r="J40" s="168" t="s">
        <v>1808</v>
      </c>
      <c r="K40" s="168" t="s">
        <v>1850</v>
      </c>
      <c r="L40" s="168" t="s">
        <v>1851</v>
      </c>
      <c r="M40"/>
      <c r="N40" s="145" t="s">
        <v>2158</v>
      </c>
      <c r="P40" s="432" t="s">
        <v>287</v>
      </c>
      <c r="R40" s="381" t="s">
        <v>1332</v>
      </c>
      <c r="S40" s="16"/>
      <c r="T40" s="861" t="s">
        <v>1791</v>
      </c>
      <c r="U40" s="861" t="s">
        <v>1795</v>
      </c>
      <c r="V40" s="861" t="s">
        <v>2158</v>
      </c>
    </row>
    <row r="41" spans="2:22" ht="15" customHeight="1">
      <c r="B41" s="173">
        <f t="shared" si="1"/>
        <v>0</v>
      </c>
      <c r="C41" s="168" t="s">
        <v>2448</v>
      </c>
      <c r="D41" s="168" t="s">
        <v>2442</v>
      </c>
      <c r="E41" s="168" t="s">
        <v>2504</v>
      </c>
      <c r="F41" s="168" t="s">
        <v>2505</v>
      </c>
      <c r="G41" s="169" t="s">
        <v>2506</v>
      </c>
      <c r="H41" s="172"/>
      <c r="I41" s="168" t="s">
        <v>1791</v>
      </c>
      <c r="J41" s="168" t="s">
        <v>1792</v>
      </c>
      <c r="K41" s="168" t="s">
        <v>1852</v>
      </c>
      <c r="L41" s="168" t="s">
        <v>1853</v>
      </c>
      <c r="M41"/>
      <c r="N41" s="145" t="s">
        <v>2159</v>
      </c>
      <c r="R41" s="383" t="s">
        <v>1333</v>
      </c>
      <c r="S41" s="16"/>
      <c r="T41" s="861" t="s">
        <v>1791</v>
      </c>
      <c r="U41" s="861" t="s">
        <v>1795</v>
      </c>
      <c r="V41" s="861" t="s">
        <v>2159</v>
      </c>
    </row>
    <row r="42" spans="2:22" ht="15" customHeight="1">
      <c r="B42" s="173">
        <f t="shared" si="1"/>
        <v>0</v>
      </c>
      <c r="C42" s="168" t="s">
        <v>2441</v>
      </c>
      <c r="D42" s="168" t="s">
        <v>2442</v>
      </c>
      <c r="E42" s="168" t="s">
        <v>2504</v>
      </c>
      <c r="F42" s="168" t="s">
        <v>2505</v>
      </c>
      <c r="G42" s="168" t="s">
        <v>2507</v>
      </c>
      <c r="H42" s="172"/>
      <c r="I42" s="168" t="s">
        <v>1791</v>
      </c>
      <c r="J42" s="168" t="s">
        <v>1795</v>
      </c>
      <c r="K42" s="168" t="s">
        <v>1854</v>
      </c>
      <c r="L42" s="168" t="s">
        <v>1855</v>
      </c>
      <c r="M42"/>
      <c r="N42" s="146" t="s">
        <v>2160</v>
      </c>
      <c r="P42" s="1370" t="s">
        <v>1377</v>
      </c>
      <c r="S42" s="16"/>
      <c r="T42" s="861" t="s">
        <v>1785</v>
      </c>
      <c r="U42" s="861" t="s">
        <v>1786</v>
      </c>
      <c r="V42" s="861" t="s">
        <v>2160</v>
      </c>
    </row>
    <row r="43" spans="2:22" ht="15" customHeight="1">
      <c r="B43" s="173">
        <f t="shared" si="1"/>
        <v>0</v>
      </c>
      <c r="C43" s="169" t="s">
        <v>2441</v>
      </c>
      <c r="D43" s="169" t="s">
        <v>2442</v>
      </c>
      <c r="E43" s="169" t="s">
        <v>2446</v>
      </c>
      <c r="F43" s="169" t="s">
        <v>2508</v>
      </c>
      <c r="G43" s="168" t="s">
        <v>2508</v>
      </c>
      <c r="H43" s="172"/>
      <c r="I43" s="169" t="s">
        <v>1791</v>
      </c>
      <c r="J43" s="169" t="s">
        <v>1795</v>
      </c>
      <c r="K43" s="169" t="s">
        <v>1856</v>
      </c>
      <c r="L43" s="169" t="s">
        <v>1857</v>
      </c>
      <c r="M43"/>
      <c r="N43" s="146" t="s">
        <v>2161</v>
      </c>
      <c r="P43" s="1370"/>
      <c r="R43" s="101" t="s">
        <v>1750</v>
      </c>
      <c r="S43" s="16"/>
      <c r="T43" s="861" t="s">
        <v>1785</v>
      </c>
      <c r="U43" s="861" t="s">
        <v>1786</v>
      </c>
      <c r="V43" s="895" t="s">
        <v>2161</v>
      </c>
    </row>
    <row r="44" spans="2:22" ht="15" customHeight="1">
      <c r="B44" s="173">
        <f t="shared" si="1"/>
        <v>0</v>
      </c>
      <c r="C44" s="168" t="s">
        <v>2441</v>
      </c>
      <c r="D44" s="168" t="s">
        <v>2442</v>
      </c>
      <c r="E44" s="168" t="s">
        <v>2443</v>
      </c>
      <c r="F44" s="168" t="s">
        <v>2463</v>
      </c>
      <c r="G44" s="169" t="s">
        <v>2509</v>
      </c>
      <c r="H44" s="172"/>
      <c r="I44" s="168" t="s">
        <v>1791</v>
      </c>
      <c r="J44" s="168" t="s">
        <v>1795</v>
      </c>
      <c r="K44" s="168" t="s">
        <v>1858</v>
      </c>
      <c r="L44" s="168" t="s">
        <v>1859</v>
      </c>
      <c r="M44"/>
      <c r="N44" s="146" t="s">
        <v>2162</v>
      </c>
      <c r="P44" s="423" t="s">
        <v>3</v>
      </c>
      <c r="R44" s="820" t="s">
        <v>1751</v>
      </c>
      <c r="S44" s="16"/>
      <c r="T44" s="861" t="s">
        <v>1791</v>
      </c>
      <c r="U44" s="861" t="s">
        <v>1808</v>
      </c>
      <c r="V44" s="861" t="s">
        <v>2162</v>
      </c>
    </row>
    <row r="45" spans="2:22" ht="15" customHeight="1">
      <c r="B45" s="173">
        <f t="shared" si="1"/>
        <v>0</v>
      </c>
      <c r="C45" s="168" t="s">
        <v>2441</v>
      </c>
      <c r="D45" s="169" t="s">
        <v>2442</v>
      </c>
      <c r="E45" s="169" t="s">
        <v>2443</v>
      </c>
      <c r="F45" s="169" t="s">
        <v>2510</v>
      </c>
      <c r="G45" s="168" t="s">
        <v>2511</v>
      </c>
      <c r="H45" s="172"/>
      <c r="I45" s="168" t="s">
        <v>1791</v>
      </c>
      <c r="J45" s="168" t="s">
        <v>1795</v>
      </c>
      <c r="K45" s="168" t="s">
        <v>1860</v>
      </c>
      <c r="L45" s="168" t="s">
        <v>1861</v>
      </c>
      <c r="M45"/>
      <c r="N45" s="145" t="s">
        <v>2163</v>
      </c>
      <c r="P45" s="424" t="s">
        <v>286</v>
      </c>
      <c r="R45" s="821" t="s">
        <v>1752</v>
      </c>
      <c r="S45" s="16"/>
      <c r="T45" s="861" t="s">
        <v>1791</v>
      </c>
      <c r="U45" s="861" t="s">
        <v>1786</v>
      </c>
      <c r="V45" s="861" t="s">
        <v>2163</v>
      </c>
    </row>
    <row r="46" spans="2:22" ht="15" customHeight="1">
      <c r="B46" s="173">
        <f t="shared" si="1"/>
        <v>0</v>
      </c>
      <c r="C46" s="168" t="s">
        <v>2441</v>
      </c>
      <c r="D46" s="168" t="s">
        <v>2442</v>
      </c>
      <c r="E46" s="168" t="s">
        <v>2443</v>
      </c>
      <c r="F46" s="168" t="s">
        <v>2458</v>
      </c>
      <c r="G46" s="168" t="s">
        <v>2512</v>
      </c>
      <c r="H46" s="172"/>
      <c r="I46" s="168" t="s">
        <v>1785</v>
      </c>
      <c r="J46" s="168" t="s">
        <v>1821</v>
      </c>
      <c r="K46" s="168" t="s">
        <v>1862</v>
      </c>
      <c r="L46" s="168" t="s">
        <v>1863</v>
      </c>
      <c r="M46"/>
      <c r="N46" s="145" t="s">
        <v>2164</v>
      </c>
      <c r="P46" s="425" t="s">
        <v>22</v>
      </c>
      <c r="R46" s="820" t="s">
        <v>1753</v>
      </c>
      <c r="S46" s="16"/>
      <c r="T46" s="861" t="s">
        <v>1785</v>
      </c>
      <c r="U46" s="896" t="s">
        <v>1786</v>
      </c>
      <c r="V46" s="861" t="s">
        <v>2164</v>
      </c>
    </row>
    <row r="47" spans="2:22" ht="15" customHeight="1">
      <c r="B47" s="173">
        <f t="shared" si="1"/>
        <v>0</v>
      </c>
      <c r="C47" s="168" t="s">
        <v>2441</v>
      </c>
      <c r="D47" s="168" t="s">
        <v>2442</v>
      </c>
      <c r="E47" s="168" t="s">
        <v>2443</v>
      </c>
      <c r="F47" s="168" t="s">
        <v>2463</v>
      </c>
      <c r="G47" s="169" t="s">
        <v>2513</v>
      </c>
      <c r="H47" s="172"/>
      <c r="I47" s="168" t="s">
        <v>1791</v>
      </c>
      <c r="J47" s="168" t="s">
        <v>1821</v>
      </c>
      <c r="K47" s="168" t="s">
        <v>1864</v>
      </c>
      <c r="L47" s="168" t="s">
        <v>1865</v>
      </c>
      <c r="M47"/>
      <c r="N47" s="145"/>
      <c r="P47" s="426" t="s">
        <v>1301</v>
      </c>
      <c r="R47" s="820"/>
      <c r="S47" s="16"/>
    </row>
    <row r="48" spans="2:22" ht="15" customHeight="1">
      <c r="B48" s="173">
        <f t="shared" si="1"/>
        <v>0</v>
      </c>
      <c r="C48" s="168" t="s">
        <v>2441</v>
      </c>
      <c r="D48" s="168" t="s">
        <v>2442</v>
      </c>
      <c r="E48" s="168" t="s">
        <v>2443</v>
      </c>
      <c r="F48" s="168" t="s">
        <v>2463</v>
      </c>
      <c r="G48" s="168" t="s">
        <v>2514</v>
      </c>
      <c r="H48" s="172"/>
      <c r="I48" s="169" t="s">
        <v>1785</v>
      </c>
      <c r="J48" s="169" t="s">
        <v>1795</v>
      </c>
      <c r="K48" s="169" t="s">
        <v>241</v>
      </c>
      <c r="L48" s="169" t="s">
        <v>1866</v>
      </c>
      <c r="M48"/>
      <c r="N48" s="146"/>
      <c r="P48" s="427" t="s">
        <v>18</v>
      </c>
      <c r="S48" s="16"/>
    </row>
    <row r="49" spans="2:19" ht="13.5" customHeight="1">
      <c r="B49" s="173">
        <f t="shared" si="1"/>
        <v>9.69</v>
      </c>
      <c r="C49" s="169" t="s">
        <v>2441</v>
      </c>
      <c r="D49" s="169" t="s">
        <v>2442</v>
      </c>
      <c r="E49" s="169" t="s">
        <v>2502</v>
      </c>
      <c r="F49" s="169" t="s">
        <v>2515</v>
      </c>
      <c r="G49" s="168" t="s">
        <v>2516</v>
      </c>
      <c r="H49" s="172"/>
      <c r="I49" s="168" t="s">
        <v>1791</v>
      </c>
      <c r="J49" s="168" t="s">
        <v>1786</v>
      </c>
      <c r="K49" s="168" t="s">
        <v>1578</v>
      </c>
      <c r="L49" s="168" t="s">
        <v>1867</v>
      </c>
      <c r="M49"/>
      <c r="P49" s="427" t="s">
        <v>2</v>
      </c>
      <c r="R49" s="302" t="s">
        <v>276</v>
      </c>
      <c r="S49" s="16"/>
    </row>
    <row r="50" spans="2:19" ht="13.5" customHeight="1">
      <c r="B50" s="173">
        <f t="shared" si="1"/>
        <v>0</v>
      </c>
      <c r="C50" s="168" t="s">
        <v>2441</v>
      </c>
      <c r="D50" s="168" t="s">
        <v>2451</v>
      </c>
      <c r="E50" s="168" t="s">
        <v>2452</v>
      </c>
      <c r="F50" s="168" t="s">
        <v>2517</v>
      </c>
      <c r="G50" s="169" t="s">
        <v>2518</v>
      </c>
      <c r="H50" s="172"/>
      <c r="I50" s="168" t="s">
        <v>1791</v>
      </c>
      <c r="J50" s="168" t="s">
        <v>1795</v>
      </c>
      <c r="K50" s="168" t="s">
        <v>1868</v>
      </c>
      <c r="L50" s="168" t="s">
        <v>1869</v>
      </c>
      <c r="M50"/>
      <c r="N50" s="302"/>
      <c r="P50" s="427" t="s">
        <v>176</v>
      </c>
      <c r="R50" s="303" t="s">
        <v>277</v>
      </c>
      <c r="S50" s="16"/>
    </row>
    <row r="51" spans="2:19" ht="13.5" customHeight="1">
      <c r="B51" s="173">
        <f t="shared" si="1"/>
        <v>0</v>
      </c>
      <c r="C51" s="168" t="s">
        <v>2448</v>
      </c>
      <c r="D51" s="168" t="s">
        <v>2451</v>
      </c>
      <c r="E51" s="168" t="s">
        <v>2443</v>
      </c>
      <c r="F51" s="168" t="s">
        <v>2485</v>
      </c>
      <c r="G51" s="168" t="s">
        <v>2519</v>
      </c>
      <c r="H51" s="172"/>
      <c r="I51" s="168" t="s">
        <v>1785</v>
      </c>
      <c r="J51" s="168" t="s">
        <v>1786</v>
      </c>
      <c r="K51" s="168" t="s">
        <v>1870</v>
      </c>
      <c r="L51" s="168" t="s">
        <v>1871</v>
      </c>
      <c r="M51"/>
      <c r="N51" s="303"/>
      <c r="P51" s="738" t="s">
        <v>1633</v>
      </c>
      <c r="R51" s="303" t="s">
        <v>278</v>
      </c>
      <c r="S51" s="16"/>
    </row>
    <row r="52" spans="2:19" ht="13.5" customHeight="1">
      <c r="B52" s="173">
        <f t="shared" si="1"/>
        <v>0</v>
      </c>
      <c r="C52" s="168" t="s">
        <v>2441</v>
      </c>
      <c r="D52" s="168" t="s">
        <v>2442</v>
      </c>
      <c r="E52" s="168" t="s">
        <v>2443</v>
      </c>
      <c r="F52" s="168" t="s">
        <v>2460</v>
      </c>
      <c r="G52" s="168" t="s">
        <v>2520</v>
      </c>
      <c r="H52" s="172"/>
      <c r="I52" s="168" t="s">
        <v>1791</v>
      </c>
      <c r="J52" s="168" t="s">
        <v>1872</v>
      </c>
      <c r="K52" s="168" t="s">
        <v>1579</v>
      </c>
      <c r="L52" s="168" t="s">
        <v>1873</v>
      </c>
      <c r="M52"/>
      <c r="N52" s="303"/>
      <c r="P52" s="427" t="s">
        <v>1619</v>
      </c>
      <c r="R52" s="303" t="s">
        <v>279</v>
      </c>
      <c r="S52" s="16"/>
    </row>
    <row r="53" spans="2:19" ht="13.5" customHeight="1">
      <c r="B53" s="173">
        <f t="shared" si="1"/>
        <v>0</v>
      </c>
      <c r="C53" s="168" t="s">
        <v>2441</v>
      </c>
      <c r="D53" s="168" t="s">
        <v>2442</v>
      </c>
      <c r="E53" s="168" t="s">
        <v>2443</v>
      </c>
      <c r="F53" s="168" t="s">
        <v>2460</v>
      </c>
      <c r="G53" s="169" t="s">
        <v>2521</v>
      </c>
      <c r="H53" s="172"/>
      <c r="I53" s="169" t="s">
        <v>1791</v>
      </c>
      <c r="J53" s="169" t="s">
        <v>1786</v>
      </c>
      <c r="K53" s="169" t="s">
        <v>1580</v>
      </c>
      <c r="L53" s="169" t="s">
        <v>1874</v>
      </c>
      <c r="M53"/>
      <c r="N53" s="303"/>
      <c r="P53" s="738" t="s">
        <v>1756</v>
      </c>
      <c r="R53" s="303" t="s">
        <v>280</v>
      </c>
      <c r="S53" s="16"/>
    </row>
    <row r="54" spans="2:19" ht="13.5" customHeight="1">
      <c r="B54" s="173">
        <f t="shared" si="1"/>
        <v>0</v>
      </c>
      <c r="C54" s="169" t="s">
        <v>2448</v>
      </c>
      <c r="D54" s="169" t="s">
        <v>2451</v>
      </c>
      <c r="E54" s="169" t="s">
        <v>2452</v>
      </c>
      <c r="F54" s="169" t="s">
        <v>2522</v>
      </c>
      <c r="G54" s="168" t="s">
        <v>2523</v>
      </c>
      <c r="H54" s="172"/>
      <c r="I54" s="168" t="s">
        <v>1791</v>
      </c>
      <c r="J54" s="168" t="s">
        <v>1804</v>
      </c>
      <c r="K54" s="168" t="s">
        <v>144</v>
      </c>
      <c r="L54" s="168" t="s">
        <v>1875</v>
      </c>
      <c r="M54"/>
      <c r="N54" s="303"/>
      <c r="R54" s="303" t="s">
        <v>281</v>
      </c>
      <c r="S54" s="16"/>
    </row>
    <row r="55" spans="2:19" ht="13.5" customHeight="1">
      <c r="B55" s="173">
        <f t="shared" si="1"/>
        <v>0</v>
      </c>
      <c r="C55" s="168" t="s">
        <v>2441</v>
      </c>
      <c r="D55" s="168" t="s">
        <v>2442</v>
      </c>
      <c r="E55" s="168" t="s">
        <v>2443</v>
      </c>
      <c r="F55" s="168" t="s">
        <v>2460</v>
      </c>
      <c r="G55" s="168" t="s">
        <v>2524</v>
      </c>
      <c r="H55" s="172"/>
      <c r="I55" s="168" t="s">
        <v>1785</v>
      </c>
      <c r="J55" s="168" t="s">
        <v>1872</v>
      </c>
      <c r="K55" s="168" t="s">
        <v>1588</v>
      </c>
      <c r="L55" s="168" t="s">
        <v>1876</v>
      </c>
      <c r="M55"/>
      <c r="N55" s="303"/>
      <c r="P55" s="422" t="s">
        <v>164</v>
      </c>
      <c r="R55" s="303" t="s">
        <v>130</v>
      </c>
      <c r="S55" s="16"/>
    </row>
    <row r="56" spans="2:19" ht="13.5" customHeight="1">
      <c r="B56" s="173">
        <f t="shared" si="1"/>
        <v>0</v>
      </c>
      <c r="C56" s="168" t="s">
        <v>2441</v>
      </c>
      <c r="D56" s="169" t="s">
        <v>2442</v>
      </c>
      <c r="E56" s="169" t="s">
        <v>2443</v>
      </c>
      <c r="F56" s="169" t="s">
        <v>2510</v>
      </c>
      <c r="G56" s="169" t="s">
        <v>2525</v>
      </c>
      <c r="H56" s="172"/>
      <c r="I56" s="168" t="s">
        <v>1791</v>
      </c>
      <c r="J56" s="168" t="s">
        <v>1786</v>
      </c>
      <c r="K56" s="168" t="s">
        <v>1581</v>
      </c>
      <c r="L56" s="168" t="s">
        <v>1877</v>
      </c>
      <c r="M56"/>
      <c r="N56" s="303"/>
      <c r="P56" s="428">
        <v>1.25</v>
      </c>
      <c r="R56" s="303" t="s">
        <v>282</v>
      </c>
      <c r="S56" s="16"/>
    </row>
    <row r="57" spans="2:19" ht="13.5" customHeight="1">
      <c r="B57" s="173">
        <f t="shared" si="1"/>
        <v>0</v>
      </c>
      <c r="C57" s="168" t="s">
        <v>2441</v>
      </c>
      <c r="D57" s="168" t="s">
        <v>2451</v>
      </c>
      <c r="E57" s="168" t="s">
        <v>2443</v>
      </c>
      <c r="F57" s="168" t="s">
        <v>2485</v>
      </c>
      <c r="G57" s="168" t="s">
        <v>2526</v>
      </c>
      <c r="H57" s="172"/>
      <c r="I57" s="168" t="s">
        <v>1791</v>
      </c>
      <c r="J57" s="168" t="s">
        <v>1872</v>
      </c>
      <c r="K57" s="168" t="s">
        <v>1582</v>
      </c>
      <c r="L57" s="168" t="s">
        <v>1878</v>
      </c>
      <c r="M57"/>
      <c r="N57" s="303"/>
      <c r="P57" s="429">
        <v>1.5</v>
      </c>
      <c r="R57" s="303" t="s">
        <v>283</v>
      </c>
    </row>
    <row r="58" spans="2:19" ht="13.5" customHeight="1">
      <c r="B58" s="173">
        <f t="shared" si="1"/>
        <v>0</v>
      </c>
      <c r="C58" s="168" t="s">
        <v>2441</v>
      </c>
      <c r="D58" s="168" t="s">
        <v>2442</v>
      </c>
      <c r="E58" s="168" t="s">
        <v>2443</v>
      </c>
      <c r="F58" s="168" t="s">
        <v>2467</v>
      </c>
      <c r="G58" s="168" t="s">
        <v>2527</v>
      </c>
      <c r="H58" s="172"/>
      <c r="I58" s="169" t="s">
        <v>1785</v>
      </c>
      <c r="J58" s="169" t="s">
        <v>1872</v>
      </c>
      <c r="K58" s="169" t="s">
        <v>1583</v>
      </c>
      <c r="L58" s="169" t="s">
        <v>1879</v>
      </c>
      <c r="M58"/>
      <c r="N58" s="303"/>
      <c r="P58" s="429">
        <v>1.75</v>
      </c>
      <c r="R58" s="303" t="s">
        <v>284</v>
      </c>
    </row>
    <row r="59" spans="2:19" ht="13.5" customHeight="1">
      <c r="B59" s="173">
        <f t="shared" si="1"/>
        <v>0</v>
      </c>
      <c r="C59" s="168" t="s">
        <v>2441</v>
      </c>
      <c r="D59" s="168" t="s">
        <v>2487</v>
      </c>
      <c r="E59" s="168" t="s">
        <v>2488</v>
      </c>
      <c r="F59" s="168" t="s">
        <v>2528</v>
      </c>
      <c r="G59" s="169" t="s">
        <v>2528</v>
      </c>
      <c r="H59" s="172"/>
      <c r="I59" s="168" t="s">
        <v>1791</v>
      </c>
      <c r="J59" s="168" t="s">
        <v>1795</v>
      </c>
      <c r="K59" s="168" t="s">
        <v>1880</v>
      </c>
      <c r="L59" s="168" t="s">
        <v>1881</v>
      </c>
      <c r="M59"/>
      <c r="N59" s="303"/>
      <c r="P59" s="428">
        <v>2</v>
      </c>
      <c r="R59" s="303" t="s">
        <v>285</v>
      </c>
    </row>
    <row r="60" spans="2:19" ht="13.5" customHeight="1">
      <c r="B60" s="173">
        <f t="shared" si="1"/>
        <v>0</v>
      </c>
      <c r="C60" s="169" t="s">
        <v>2448</v>
      </c>
      <c r="D60" s="169" t="s">
        <v>2442</v>
      </c>
      <c r="E60" s="169" t="s">
        <v>2449</v>
      </c>
      <c r="F60" s="169" t="s">
        <v>2529</v>
      </c>
      <c r="G60" s="168" t="s">
        <v>2530</v>
      </c>
      <c r="H60" s="172"/>
      <c r="I60" s="168" t="s">
        <v>1791</v>
      </c>
      <c r="J60" s="168" t="s">
        <v>1786</v>
      </c>
      <c r="K60" s="168" t="s">
        <v>1882</v>
      </c>
      <c r="L60" s="168" t="s">
        <v>1882</v>
      </c>
      <c r="M60"/>
      <c r="N60" s="303"/>
      <c r="P60" s="430">
        <v>2.25</v>
      </c>
    </row>
    <row r="61" spans="2:19" ht="13.5" customHeight="1">
      <c r="B61" s="173">
        <f t="shared" si="1"/>
        <v>0</v>
      </c>
      <c r="C61" s="168" t="s">
        <v>2441</v>
      </c>
      <c r="D61" s="168" t="s">
        <v>2442</v>
      </c>
      <c r="E61" s="168" t="s">
        <v>2443</v>
      </c>
      <c r="F61" s="168" t="s">
        <v>2444</v>
      </c>
      <c r="G61" s="168" t="s">
        <v>2531</v>
      </c>
      <c r="H61" s="172"/>
      <c r="I61" s="168" t="s">
        <v>1785</v>
      </c>
      <c r="J61" s="168" t="s">
        <v>1795</v>
      </c>
      <c r="K61" s="168" t="s">
        <v>171</v>
      </c>
      <c r="L61" s="168" t="s">
        <v>1883</v>
      </c>
      <c r="M61"/>
      <c r="N61" s="303"/>
      <c r="P61" s="1370" t="s">
        <v>2068</v>
      </c>
    </row>
    <row r="62" spans="2:19" ht="13.5" customHeight="1">
      <c r="B62" s="173">
        <f t="shared" si="1"/>
        <v>0</v>
      </c>
      <c r="C62" s="168" t="s">
        <v>2441</v>
      </c>
      <c r="D62" s="168" t="s">
        <v>2442</v>
      </c>
      <c r="E62" s="168" t="s">
        <v>2443</v>
      </c>
      <c r="F62" s="168" t="s">
        <v>2510</v>
      </c>
      <c r="G62" s="169" t="s">
        <v>2532</v>
      </c>
      <c r="H62" s="172"/>
      <c r="I62" s="168" t="s">
        <v>1785</v>
      </c>
      <c r="J62" s="168" t="s">
        <v>1795</v>
      </c>
      <c r="K62" s="168" t="s">
        <v>1584</v>
      </c>
      <c r="L62" s="168" t="s">
        <v>1884</v>
      </c>
      <c r="M62"/>
      <c r="N62" s="303"/>
      <c r="P62" s="1370"/>
    </row>
    <row r="63" spans="2:19" ht="13.5" customHeight="1">
      <c r="B63" s="173">
        <f t="shared" si="1"/>
        <v>0</v>
      </c>
      <c r="C63" s="168" t="s">
        <v>2441</v>
      </c>
      <c r="D63" s="168" t="s">
        <v>2442</v>
      </c>
      <c r="E63" s="168" t="s">
        <v>2443</v>
      </c>
      <c r="F63" s="168" t="s">
        <v>2458</v>
      </c>
      <c r="G63" s="168" t="s">
        <v>2533</v>
      </c>
      <c r="H63" s="172"/>
      <c r="I63" s="169" t="s">
        <v>1785</v>
      </c>
      <c r="J63" s="169" t="s">
        <v>1786</v>
      </c>
      <c r="K63" s="169" t="s">
        <v>1885</v>
      </c>
      <c r="L63" s="169" t="s">
        <v>1885</v>
      </c>
      <c r="M63"/>
      <c r="N63" s="303"/>
      <c r="P63" s="859" t="s">
        <v>2069</v>
      </c>
    </row>
    <row r="64" spans="2:19" ht="13.5" customHeight="1">
      <c r="B64" s="173">
        <f t="shared" si="1"/>
        <v>0</v>
      </c>
      <c r="C64" s="168" t="s">
        <v>2441</v>
      </c>
      <c r="D64" s="168" t="s">
        <v>2442</v>
      </c>
      <c r="E64" s="168" t="s">
        <v>2443</v>
      </c>
      <c r="F64" s="168" t="s">
        <v>2465</v>
      </c>
      <c r="G64" s="168" t="s">
        <v>2534</v>
      </c>
      <c r="H64" s="172"/>
      <c r="J64" s="168" t="s">
        <v>170</v>
      </c>
      <c r="K64" s="168" t="s">
        <v>1585</v>
      </c>
      <c r="L64" s="168" t="s">
        <v>1886</v>
      </c>
      <c r="M64"/>
      <c r="N64" s="303"/>
      <c r="P64" s="860" t="s">
        <v>2070</v>
      </c>
    </row>
    <row r="65" spans="2:16" ht="13.5" customHeight="1">
      <c r="B65" s="173">
        <f t="shared" si="1"/>
        <v>0</v>
      </c>
      <c r="C65" s="169" t="s">
        <v>2441</v>
      </c>
      <c r="D65" s="169" t="s">
        <v>2442</v>
      </c>
      <c r="E65" s="169" t="s">
        <v>2443</v>
      </c>
      <c r="F65" s="169" t="s">
        <v>2460</v>
      </c>
      <c r="G65" s="169" t="s">
        <v>2535</v>
      </c>
      <c r="H65" s="172"/>
      <c r="I65" s="168" t="s">
        <v>1791</v>
      </c>
      <c r="J65" s="168" t="s">
        <v>1811</v>
      </c>
      <c r="K65" s="168" t="s">
        <v>1586</v>
      </c>
      <c r="L65" s="168" t="s">
        <v>1887</v>
      </c>
      <c r="M65"/>
      <c r="N65" s="303"/>
      <c r="P65" s="861"/>
    </row>
    <row r="66" spans="2:16" ht="13.5" customHeight="1">
      <c r="B66" s="173">
        <f t="shared" si="1"/>
        <v>0</v>
      </c>
      <c r="C66" s="168" t="s">
        <v>2441</v>
      </c>
      <c r="D66" s="168" t="s">
        <v>2442</v>
      </c>
      <c r="E66" s="168" t="s">
        <v>2443</v>
      </c>
      <c r="F66" s="168" t="s">
        <v>2458</v>
      </c>
      <c r="G66" s="168" t="s">
        <v>2536</v>
      </c>
      <c r="H66" s="172"/>
      <c r="I66" s="168" t="s">
        <v>1785</v>
      </c>
      <c r="J66" s="168" t="s">
        <v>1786</v>
      </c>
      <c r="K66" s="168" t="s">
        <v>1888</v>
      </c>
      <c r="L66" s="168" t="s">
        <v>1889</v>
      </c>
      <c r="M66"/>
      <c r="N66" s="303"/>
    </row>
    <row r="67" spans="2:16" ht="13.5" customHeight="1">
      <c r="B67" s="173">
        <f t="shared" ref="B67:B98" si="2">SUMIF(DTCAUSE,G67,DEF_PROD)</f>
        <v>0</v>
      </c>
      <c r="C67" s="168" t="s">
        <v>2441</v>
      </c>
      <c r="D67" s="169" t="s">
        <v>2442</v>
      </c>
      <c r="E67" s="169" t="s">
        <v>2443</v>
      </c>
      <c r="F67" s="169" t="s">
        <v>2467</v>
      </c>
      <c r="G67" s="168" t="s">
        <v>2537</v>
      </c>
      <c r="H67" s="172"/>
      <c r="I67" s="168" t="s">
        <v>1785</v>
      </c>
      <c r="J67" s="168" t="s">
        <v>1786</v>
      </c>
      <c r="K67" s="168" t="s">
        <v>1587</v>
      </c>
      <c r="L67" s="168" t="s">
        <v>1890</v>
      </c>
      <c r="M67"/>
      <c r="N67" s="303"/>
    </row>
    <row r="68" spans="2:16" ht="13.5" customHeight="1">
      <c r="B68" s="173">
        <f t="shared" si="2"/>
        <v>0</v>
      </c>
      <c r="C68" s="168" t="s">
        <v>2441</v>
      </c>
      <c r="D68" s="168" t="s">
        <v>2442</v>
      </c>
      <c r="E68" s="168" t="s">
        <v>2443</v>
      </c>
      <c r="F68" s="168" t="s">
        <v>2467</v>
      </c>
      <c r="G68" s="169" t="s">
        <v>2538</v>
      </c>
      <c r="H68" s="172"/>
      <c r="I68" s="169" t="s">
        <v>1785</v>
      </c>
      <c r="J68" s="169" t="s">
        <v>1786</v>
      </c>
      <c r="K68" s="169" t="s">
        <v>158</v>
      </c>
      <c r="L68" s="169" t="s">
        <v>1891</v>
      </c>
      <c r="M68"/>
      <c r="N68" s="303"/>
    </row>
    <row r="69" spans="2:16" ht="13.5" customHeight="1">
      <c r="B69" s="173">
        <f t="shared" si="2"/>
        <v>0</v>
      </c>
      <c r="C69" s="168" t="s">
        <v>2441</v>
      </c>
      <c r="D69" s="168" t="s">
        <v>2442</v>
      </c>
      <c r="E69" s="168" t="s">
        <v>2443</v>
      </c>
      <c r="F69" s="168" t="s">
        <v>2460</v>
      </c>
      <c r="G69" s="168" t="s">
        <v>2539</v>
      </c>
      <c r="H69" s="172"/>
      <c r="I69" s="169"/>
      <c r="J69" s="169"/>
      <c r="K69" s="169"/>
      <c r="L69" s="169"/>
      <c r="M69"/>
      <c r="N69" s="303"/>
    </row>
    <row r="70" spans="2:16" ht="13.5" customHeight="1">
      <c r="B70" s="173">
        <f t="shared" si="2"/>
        <v>0</v>
      </c>
      <c r="C70" s="168" t="s">
        <v>2441</v>
      </c>
      <c r="D70" s="168" t="s">
        <v>2442</v>
      </c>
      <c r="E70" s="168" t="s">
        <v>2443</v>
      </c>
      <c r="F70" s="168" t="s">
        <v>2460</v>
      </c>
      <c r="G70" s="168" t="s">
        <v>2540</v>
      </c>
      <c r="H70" s="172"/>
    </row>
    <row r="71" spans="2:16" ht="13.5" customHeight="1">
      <c r="B71" s="173">
        <f t="shared" si="2"/>
        <v>0</v>
      </c>
      <c r="C71" s="169" t="s">
        <v>2441</v>
      </c>
      <c r="D71" s="169" t="s">
        <v>2442</v>
      </c>
      <c r="E71" s="169" t="s">
        <v>2443</v>
      </c>
      <c r="F71" s="169" t="s">
        <v>2460</v>
      </c>
      <c r="G71" s="169" t="s">
        <v>2541</v>
      </c>
      <c r="H71" s="172"/>
    </row>
    <row r="72" spans="2:16" ht="13.5" customHeight="1">
      <c r="B72" s="173">
        <f t="shared" si="2"/>
        <v>0</v>
      </c>
      <c r="C72" s="168" t="s">
        <v>2441</v>
      </c>
      <c r="D72" s="168" t="s">
        <v>2442</v>
      </c>
      <c r="E72" s="168" t="s">
        <v>2443</v>
      </c>
      <c r="F72" s="168" t="s">
        <v>2460</v>
      </c>
      <c r="G72" s="168" t="s">
        <v>2542</v>
      </c>
      <c r="H72" s="172"/>
    </row>
    <row r="73" spans="2:16" ht="13.5" customHeight="1">
      <c r="B73" s="173">
        <f t="shared" si="2"/>
        <v>0</v>
      </c>
      <c r="C73" s="168" t="s">
        <v>2441</v>
      </c>
      <c r="D73" s="168" t="s">
        <v>2442</v>
      </c>
      <c r="E73" s="168" t="s">
        <v>2443</v>
      </c>
      <c r="F73" s="168" t="s">
        <v>2460</v>
      </c>
      <c r="G73" s="168" t="s">
        <v>2543</v>
      </c>
      <c r="H73" s="172"/>
    </row>
    <row r="74" spans="2:16" ht="14.25">
      <c r="B74" s="173">
        <f t="shared" si="2"/>
        <v>0</v>
      </c>
      <c r="C74" s="168" t="s">
        <v>2448</v>
      </c>
      <c r="D74" s="168" t="s">
        <v>2442</v>
      </c>
      <c r="E74" s="168" t="s">
        <v>2443</v>
      </c>
      <c r="F74" s="168" t="s">
        <v>2467</v>
      </c>
      <c r="G74" s="169" t="s">
        <v>2544</v>
      </c>
      <c r="H74" s="172"/>
    </row>
    <row r="75" spans="2:16" ht="14.25">
      <c r="B75" s="173">
        <f t="shared" si="2"/>
        <v>0</v>
      </c>
      <c r="C75" s="168" t="s">
        <v>2448</v>
      </c>
      <c r="D75" s="168" t="s">
        <v>2451</v>
      </c>
      <c r="E75" s="168" t="s">
        <v>2452</v>
      </c>
      <c r="F75" s="168" t="s">
        <v>2545</v>
      </c>
      <c r="G75" s="168" t="s">
        <v>2546</v>
      </c>
      <c r="H75" s="172"/>
    </row>
    <row r="76" spans="2:16" ht="14.25">
      <c r="B76" s="173">
        <f t="shared" si="2"/>
        <v>0</v>
      </c>
      <c r="C76" s="169" t="s">
        <v>2441</v>
      </c>
      <c r="D76" s="169" t="s">
        <v>2451</v>
      </c>
      <c r="E76" s="169" t="s">
        <v>2452</v>
      </c>
      <c r="F76" s="169" t="s">
        <v>2545</v>
      </c>
      <c r="G76" s="168" t="s">
        <v>2547</v>
      </c>
      <c r="H76" s="172"/>
    </row>
    <row r="77" spans="2:16" ht="14.25">
      <c r="B77" s="173">
        <f t="shared" si="2"/>
        <v>0</v>
      </c>
      <c r="C77" s="168" t="s">
        <v>2448</v>
      </c>
      <c r="D77" s="168" t="s">
        <v>2451</v>
      </c>
      <c r="E77" s="168" t="s">
        <v>2452</v>
      </c>
      <c r="F77" s="168" t="s">
        <v>2545</v>
      </c>
      <c r="G77" s="169" t="s">
        <v>2548</v>
      </c>
      <c r="H77" s="172"/>
    </row>
    <row r="78" spans="2:16" ht="14.25">
      <c r="B78" s="173">
        <f t="shared" si="2"/>
        <v>0</v>
      </c>
      <c r="C78" s="168" t="s">
        <v>2441</v>
      </c>
      <c r="D78" s="169" t="s">
        <v>2451</v>
      </c>
      <c r="E78" s="169" t="s">
        <v>2452</v>
      </c>
      <c r="F78" s="169" t="s">
        <v>2545</v>
      </c>
      <c r="G78" s="168" t="s">
        <v>2549</v>
      </c>
      <c r="H78" s="172"/>
    </row>
    <row r="79" spans="2:16" ht="14.25">
      <c r="B79" s="173">
        <f t="shared" si="2"/>
        <v>0</v>
      </c>
      <c r="C79" s="168" t="s">
        <v>2441</v>
      </c>
      <c r="D79" s="168" t="s">
        <v>2442</v>
      </c>
      <c r="E79" s="168" t="s">
        <v>2443</v>
      </c>
      <c r="F79" s="168" t="s">
        <v>2460</v>
      </c>
      <c r="G79" s="168" t="s">
        <v>2550</v>
      </c>
      <c r="H79" s="172"/>
    </row>
    <row r="80" spans="2:16" ht="14.25">
      <c r="B80" s="173">
        <f t="shared" si="2"/>
        <v>0</v>
      </c>
      <c r="C80" s="168" t="s">
        <v>2441</v>
      </c>
      <c r="D80" s="168" t="s">
        <v>2451</v>
      </c>
      <c r="E80" s="168" t="s">
        <v>2452</v>
      </c>
      <c r="F80" s="168" t="s">
        <v>2485</v>
      </c>
      <c r="G80" s="169" t="s">
        <v>2551</v>
      </c>
      <c r="H80" s="172"/>
    </row>
    <row r="81" spans="2:8" ht="14.25">
      <c r="B81" s="173">
        <f t="shared" si="2"/>
        <v>0</v>
      </c>
      <c r="C81" s="168" t="s">
        <v>2441</v>
      </c>
      <c r="D81" s="168" t="s">
        <v>2451</v>
      </c>
      <c r="E81" s="168" t="s">
        <v>2452</v>
      </c>
      <c r="F81" s="168" t="s">
        <v>2485</v>
      </c>
      <c r="G81" s="168" t="s">
        <v>2552</v>
      </c>
      <c r="H81" s="172"/>
    </row>
    <row r="82" spans="2:8" ht="14.25">
      <c r="B82" s="173">
        <f t="shared" si="2"/>
        <v>0</v>
      </c>
      <c r="C82" s="169" t="s">
        <v>2441</v>
      </c>
      <c r="D82" s="169" t="s">
        <v>2442</v>
      </c>
      <c r="E82" s="169" t="s">
        <v>2443</v>
      </c>
      <c r="F82" s="169" t="s">
        <v>2510</v>
      </c>
      <c r="G82" s="168" t="s">
        <v>2553</v>
      </c>
      <c r="H82" s="172"/>
    </row>
    <row r="83" spans="2:8" ht="14.25">
      <c r="B83" s="173">
        <f t="shared" si="2"/>
        <v>0</v>
      </c>
      <c r="C83" s="168" t="s">
        <v>2448</v>
      </c>
      <c r="D83" s="168" t="s">
        <v>2442</v>
      </c>
      <c r="E83" s="168" t="s">
        <v>2443</v>
      </c>
      <c r="F83" s="168" t="s">
        <v>2554</v>
      </c>
      <c r="G83" s="169" t="s">
        <v>2555</v>
      </c>
      <c r="H83" s="172"/>
    </row>
    <row r="84" spans="2:8" ht="14.25">
      <c r="B84" s="173">
        <f t="shared" si="2"/>
        <v>0</v>
      </c>
      <c r="C84" s="168" t="s">
        <v>2448</v>
      </c>
      <c r="D84" s="168" t="s">
        <v>2442</v>
      </c>
      <c r="E84" s="168" t="s">
        <v>2443</v>
      </c>
      <c r="F84" s="168" t="s">
        <v>2554</v>
      </c>
      <c r="G84" s="168" t="s">
        <v>2556</v>
      </c>
      <c r="H84" s="172"/>
    </row>
    <row r="85" spans="2:8" ht="14.25">
      <c r="B85" s="173">
        <f t="shared" si="2"/>
        <v>0</v>
      </c>
      <c r="C85" s="168" t="s">
        <v>2441</v>
      </c>
      <c r="D85" s="168" t="s">
        <v>2442</v>
      </c>
      <c r="E85" s="168" t="s">
        <v>2443</v>
      </c>
      <c r="F85" s="168" t="s">
        <v>2554</v>
      </c>
      <c r="G85" s="168" t="s">
        <v>2557</v>
      </c>
      <c r="H85" s="172"/>
    </row>
    <row r="86" spans="2:8" ht="17.25" customHeight="1">
      <c r="B86" s="173">
        <f t="shared" si="2"/>
        <v>0</v>
      </c>
      <c r="C86" s="168" t="s">
        <v>2448</v>
      </c>
      <c r="D86" s="168" t="s">
        <v>2442</v>
      </c>
      <c r="E86" s="168" t="s">
        <v>2502</v>
      </c>
      <c r="F86" s="168" t="s">
        <v>2558</v>
      </c>
      <c r="G86" s="169" t="s">
        <v>2559</v>
      </c>
      <c r="H86" s="172"/>
    </row>
    <row r="87" spans="2:8" ht="17.25" customHeight="1">
      <c r="B87" s="173">
        <f t="shared" si="2"/>
        <v>0</v>
      </c>
      <c r="C87" s="169" t="s">
        <v>2441</v>
      </c>
      <c r="D87" s="169" t="s">
        <v>2442</v>
      </c>
      <c r="E87" s="169" t="s">
        <v>2443</v>
      </c>
      <c r="F87" s="169" t="s">
        <v>2467</v>
      </c>
      <c r="G87" s="168" t="s">
        <v>2560</v>
      </c>
      <c r="H87" s="172"/>
    </row>
    <row r="88" spans="2:8" ht="17.25" customHeight="1">
      <c r="B88" s="173">
        <f t="shared" si="2"/>
        <v>0</v>
      </c>
      <c r="C88" s="168" t="s">
        <v>2441</v>
      </c>
      <c r="D88" s="168" t="s">
        <v>2442</v>
      </c>
      <c r="E88" s="168" t="s">
        <v>2443</v>
      </c>
      <c r="F88" s="168" t="s">
        <v>2467</v>
      </c>
      <c r="G88" s="168" t="s">
        <v>2561</v>
      </c>
      <c r="H88" s="172"/>
    </row>
    <row r="89" spans="2:8" ht="17.25" customHeight="1">
      <c r="B89" s="173">
        <f t="shared" si="2"/>
        <v>0</v>
      </c>
      <c r="C89" s="168" t="s">
        <v>2441</v>
      </c>
      <c r="D89" s="169" t="s">
        <v>2451</v>
      </c>
      <c r="E89" s="169" t="s">
        <v>2452</v>
      </c>
      <c r="F89" s="169" t="s">
        <v>2562</v>
      </c>
      <c r="G89" s="169" t="s">
        <v>2562</v>
      </c>
      <c r="H89" s="172"/>
    </row>
    <row r="90" spans="2:8" ht="17.25" customHeight="1">
      <c r="B90" s="173">
        <f t="shared" si="2"/>
        <v>0</v>
      </c>
      <c r="C90" s="168" t="s">
        <v>2441</v>
      </c>
      <c r="D90" s="168" t="s">
        <v>2451</v>
      </c>
      <c r="E90" s="168" t="s">
        <v>2452</v>
      </c>
      <c r="F90" s="168" t="s">
        <v>2563</v>
      </c>
      <c r="G90" s="168" t="s">
        <v>2563</v>
      </c>
      <c r="H90" s="172"/>
    </row>
    <row r="91" spans="2:8" ht="17.25" customHeight="1">
      <c r="B91" s="173">
        <f t="shared" si="2"/>
        <v>0</v>
      </c>
      <c r="C91" s="168" t="s">
        <v>2441</v>
      </c>
      <c r="D91" s="168" t="s">
        <v>2442</v>
      </c>
      <c r="E91" s="168" t="s">
        <v>2443</v>
      </c>
      <c r="F91" s="168" t="s">
        <v>2444</v>
      </c>
      <c r="G91" s="168" t="s">
        <v>2564</v>
      </c>
      <c r="H91" s="172"/>
    </row>
    <row r="92" spans="2:8" ht="17.25" customHeight="1">
      <c r="B92" s="173">
        <f t="shared" si="2"/>
        <v>0</v>
      </c>
      <c r="C92" s="168" t="s">
        <v>2441</v>
      </c>
      <c r="D92" s="168" t="s">
        <v>2442</v>
      </c>
      <c r="E92" s="168" t="s">
        <v>2443</v>
      </c>
      <c r="F92" s="168" t="s">
        <v>2465</v>
      </c>
      <c r="G92" s="169" t="s">
        <v>2565</v>
      </c>
      <c r="H92" s="172"/>
    </row>
    <row r="93" spans="2:8" ht="17.25" customHeight="1">
      <c r="B93" s="173">
        <f t="shared" si="2"/>
        <v>0</v>
      </c>
      <c r="C93" s="169" t="s">
        <v>2448</v>
      </c>
      <c r="D93" s="169" t="s">
        <v>2442</v>
      </c>
      <c r="E93" s="169" t="s">
        <v>2566</v>
      </c>
      <c r="F93" s="169" t="s">
        <v>2567</v>
      </c>
      <c r="G93" s="168" t="s">
        <v>2566</v>
      </c>
      <c r="H93" s="172"/>
    </row>
    <row r="94" spans="2:8" ht="17.25" customHeight="1">
      <c r="B94" s="173">
        <f t="shared" si="2"/>
        <v>0</v>
      </c>
      <c r="C94" s="168" t="s">
        <v>2448</v>
      </c>
      <c r="D94" s="168" t="s">
        <v>2442</v>
      </c>
      <c r="E94" s="168" t="s">
        <v>2443</v>
      </c>
      <c r="F94" s="168" t="s">
        <v>2467</v>
      </c>
      <c r="G94" s="168" t="s">
        <v>2568</v>
      </c>
      <c r="H94" s="172"/>
    </row>
    <row r="95" spans="2:8" ht="17.25" customHeight="1">
      <c r="B95" s="173">
        <f t="shared" si="2"/>
        <v>0</v>
      </c>
      <c r="C95" s="168" t="s">
        <v>2441</v>
      </c>
      <c r="D95" s="168" t="s">
        <v>2442</v>
      </c>
      <c r="E95" s="168" t="s">
        <v>2443</v>
      </c>
      <c r="F95" s="168" t="s">
        <v>2444</v>
      </c>
      <c r="G95" s="169" t="s">
        <v>2569</v>
      </c>
      <c r="H95" s="172"/>
    </row>
    <row r="96" spans="2:8" ht="17.25" customHeight="1">
      <c r="B96" s="173">
        <f t="shared" si="2"/>
        <v>0</v>
      </c>
      <c r="C96" s="168" t="s">
        <v>2441</v>
      </c>
      <c r="D96" s="168" t="s">
        <v>2442</v>
      </c>
      <c r="E96" s="168" t="s">
        <v>2443</v>
      </c>
      <c r="F96" s="168" t="s">
        <v>2510</v>
      </c>
      <c r="G96" s="168" t="s">
        <v>2570</v>
      </c>
      <c r="H96" s="172"/>
    </row>
    <row r="97" spans="2:8" ht="17.25" customHeight="1">
      <c r="B97" s="173">
        <f t="shared" si="2"/>
        <v>0</v>
      </c>
      <c r="C97" s="168" t="s">
        <v>2441</v>
      </c>
      <c r="D97" s="168" t="s">
        <v>2442</v>
      </c>
      <c r="E97" s="168" t="s">
        <v>2443</v>
      </c>
      <c r="F97" s="168" t="s">
        <v>2458</v>
      </c>
      <c r="G97" s="168" t="s">
        <v>2571</v>
      </c>
      <c r="H97" s="172"/>
    </row>
    <row r="98" spans="2:8" ht="17.25" customHeight="1">
      <c r="B98" s="173">
        <f t="shared" si="2"/>
        <v>0</v>
      </c>
      <c r="C98" s="169" t="s">
        <v>2441</v>
      </c>
      <c r="D98" s="169" t="s">
        <v>2442</v>
      </c>
      <c r="E98" s="169" t="s">
        <v>2443</v>
      </c>
      <c r="F98" s="169" t="s">
        <v>2465</v>
      </c>
      <c r="G98" s="169" t="s">
        <v>2572</v>
      </c>
      <c r="H98" s="172"/>
    </row>
    <row r="99" spans="2:8" ht="17.25" customHeight="1">
      <c r="B99" s="173">
        <f t="shared" ref="B99:B121" si="3">SUMIF(DTCAUSE,G99,DEF_PROD)</f>
        <v>0</v>
      </c>
      <c r="C99" s="168" t="s">
        <v>2441</v>
      </c>
      <c r="D99" s="168" t="s">
        <v>2451</v>
      </c>
      <c r="E99" s="168" t="s">
        <v>2452</v>
      </c>
      <c r="F99" s="168" t="s">
        <v>2573</v>
      </c>
      <c r="G99" s="168" t="s">
        <v>2573</v>
      </c>
      <c r="H99" s="172"/>
    </row>
    <row r="100" spans="2:8" ht="17.25" customHeight="1">
      <c r="B100" s="173">
        <f t="shared" si="3"/>
        <v>0</v>
      </c>
      <c r="C100" s="168" t="s">
        <v>2441</v>
      </c>
      <c r="D100" s="169" t="s">
        <v>2442</v>
      </c>
      <c r="E100" s="169" t="s">
        <v>2443</v>
      </c>
      <c r="F100" s="169" t="s">
        <v>2467</v>
      </c>
      <c r="G100" s="168" t="s">
        <v>2574</v>
      </c>
      <c r="H100" s="172"/>
    </row>
    <row r="101" spans="2:8" ht="17.25" customHeight="1">
      <c r="B101" s="173">
        <f t="shared" si="3"/>
        <v>0</v>
      </c>
      <c r="C101" s="168" t="s">
        <v>2441</v>
      </c>
      <c r="D101" s="168" t="s">
        <v>2442</v>
      </c>
      <c r="E101" s="168" t="s">
        <v>2443</v>
      </c>
      <c r="F101" s="168" t="s">
        <v>2458</v>
      </c>
      <c r="G101" s="169" t="s">
        <v>2575</v>
      </c>
      <c r="H101" s="172"/>
    </row>
    <row r="102" spans="2:8" ht="17.25" customHeight="1">
      <c r="B102" s="173">
        <f t="shared" si="3"/>
        <v>0</v>
      </c>
      <c r="C102" s="168" t="s">
        <v>2448</v>
      </c>
      <c r="D102" s="168" t="s">
        <v>2442</v>
      </c>
      <c r="E102" s="168" t="s">
        <v>2443</v>
      </c>
      <c r="F102" s="168" t="s">
        <v>2467</v>
      </c>
      <c r="G102" s="168" t="s">
        <v>2576</v>
      </c>
      <c r="H102" s="172"/>
    </row>
    <row r="103" spans="2:8" ht="17.25" customHeight="1">
      <c r="B103" s="173">
        <f t="shared" si="3"/>
        <v>0</v>
      </c>
      <c r="C103" s="168" t="s">
        <v>2441</v>
      </c>
      <c r="D103" s="168" t="s">
        <v>2487</v>
      </c>
      <c r="E103" s="168" t="s">
        <v>2488</v>
      </c>
      <c r="F103" s="168" t="s">
        <v>2577</v>
      </c>
      <c r="G103" s="168" t="s">
        <v>2578</v>
      </c>
      <c r="H103" s="172"/>
    </row>
    <row r="104" spans="2:8" ht="17.25" customHeight="1">
      <c r="B104" s="173">
        <f t="shared" si="3"/>
        <v>0</v>
      </c>
      <c r="C104" s="169" t="s">
        <v>2441</v>
      </c>
      <c r="D104" s="169" t="s">
        <v>2451</v>
      </c>
      <c r="E104" s="169" t="s">
        <v>2488</v>
      </c>
      <c r="F104" s="169" t="s">
        <v>2579</v>
      </c>
      <c r="G104" s="169" t="s">
        <v>2579</v>
      </c>
      <c r="H104" s="172"/>
    </row>
    <row r="105" spans="2:8" ht="14.25">
      <c r="B105" s="173">
        <f t="shared" si="3"/>
        <v>0</v>
      </c>
      <c r="C105" s="168" t="s">
        <v>2448</v>
      </c>
      <c r="D105" s="168" t="s">
        <v>2451</v>
      </c>
      <c r="E105" s="168" t="s">
        <v>2452</v>
      </c>
      <c r="F105" s="168" t="s">
        <v>2455</v>
      </c>
      <c r="G105" s="168" t="s">
        <v>2580</v>
      </c>
      <c r="H105" s="172"/>
    </row>
    <row r="106" spans="2:8" ht="14.25">
      <c r="B106" s="173">
        <f t="shared" si="3"/>
        <v>0</v>
      </c>
      <c r="C106" s="168" t="s">
        <v>2441</v>
      </c>
      <c r="D106" s="168" t="s">
        <v>2442</v>
      </c>
      <c r="E106" s="168" t="s">
        <v>2443</v>
      </c>
      <c r="F106" s="168" t="s">
        <v>2444</v>
      </c>
      <c r="G106" s="168" t="s">
        <v>2581</v>
      </c>
      <c r="H106" s="172"/>
    </row>
    <row r="107" spans="2:8" ht="14.25">
      <c r="B107" s="173">
        <f t="shared" si="3"/>
        <v>0</v>
      </c>
      <c r="C107" s="168" t="s">
        <v>2441</v>
      </c>
      <c r="D107" s="168" t="s">
        <v>2442</v>
      </c>
      <c r="E107" s="168" t="s">
        <v>2443</v>
      </c>
      <c r="F107" s="168" t="s">
        <v>2510</v>
      </c>
      <c r="G107" s="169" t="s">
        <v>2582</v>
      </c>
      <c r="H107" s="172"/>
    </row>
    <row r="108" spans="2:8" ht="14.25">
      <c r="B108" s="173">
        <f t="shared" si="3"/>
        <v>139.78250000000003</v>
      </c>
      <c r="C108" s="168" t="s">
        <v>2441</v>
      </c>
      <c r="D108" s="168" t="s">
        <v>2442</v>
      </c>
      <c r="E108" s="168" t="s">
        <v>2443</v>
      </c>
      <c r="F108" s="168" t="s">
        <v>2458</v>
      </c>
      <c r="G108" s="168" t="s">
        <v>2583</v>
      </c>
      <c r="H108" s="172"/>
    </row>
    <row r="109" spans="2:8" ht="14.25">
      <c r="B109" s="173">
        <f t="shared" si="3"/>
        <v>0</v>
      </c>
      <c r="C109" s="169" t="s">
        <v>2441</v>
      </c>
      <c r="D109" s="169" t="s">
        <v>2442</v>
      </c>
      <c r="E109" s="169" t="s">
        <v>2443</v>
      </c>
      <c r="F109" s="169" t="s">
        <v>2465</v>
      </c>
      <c r="G109" s="168" t="s">
        <v>2584</v>
      </c>
      <c r="H109" s="172"/>
    </row>
    <row r="110" spans="2:8" ht="14.25">
      <c r="B110" s="173">
        <f t="shared" si="3"/>
        <v>0</v>
      </c>
      <c r="C110" s="168" t="s">
        <v>2441</v>
      </c>
      <c r="D110" s="168" t="s">
        <v>2442</v>
      </c>
      <c r="E110" s="168" t="s">
        <v>2443</v>
      </c>
      <c r="F110" s="168" t="s">
        <v>2460</v>
      </c>
      <c r="G110" s="169" t="s">
        <v>2585</v>
      </c>
      <c r="H110" s="172"/>
    </row>
    <row r="111" spans="2:8" ht="14.25">
      <c r="B111" s="173">
        <f t="shared" si="3"/>
        <v>0</v>
      </c>
      <c r="C111" s="168" t="s">
        <v>2441</v>
      </c>
      <c r="D111" s="169" t="s">
        <v>2442</v>
      </c>
      <c r="E111" s="169" t="s">
        <v>2443</v>
      </c>
      <c r="F111" s="169" t="s">
        <v>2458</v>
      </c>
      <c r="G111" s="168" t="s">
        <v>2586</v>
      </c>
      <c r="H111" s="172"/>
    </row>
    <row r="112" spans="2:8" ht="14.25">
      <c r="B112" s="173">
        <f t="shared" si="3"/>
        <v>0</v>
      </c>
      <c r="C112" s="168" t="s">
        <v>2441</v>
      </c>
      <c r="D112" s="168" t="s">
        <v>2442</v>
      </c>
      <c r="E112" s="168" t="s">
        <v>2443</v>
      </c>
      <c r="F112" s="168" t="s">
        <v>2467</v>
      </c>
      <c r="G112" s="168" t="s">
        <v>2587</v>
      </c>
      <c r="H112" s="172"/>
    </row>
    <row r="113" spans="2:8" ht="14.25">
      <c r="B113" s="173">
        <f t="shared" si="3"/>
        <v>0</v>
      </c>
      <c r="C113" s="168" t="s">
        <v>2448</v>
      </c>
      <c r="D113" s="168" t="s">
        <v>2442</v>
      </c>
      <c r="E113" s="168" t="s">
        <v>2449</v>
      </c>
      <c r="F113" s="168" t="s">
        <v>2588</v>
      </c>
      <c r="G113" s="169" t="s">
        <v>2589</v>
      </c>
      <c r="H113" s="172"/>
    </row>
    <row r="114" spans="2:8" ht="14.25">
      <c r="B114" s="173">
        <f t="shared" si="3"/>
        <v>0</v>
      </c>
      <c r="C114" s="168" t="s">
        <v>2441</v>
      </c>
      <c r="D114" s="168" t="s">
        <v>2451</v>
      </c>
      <c r="E114" s="168" t="s">
        <v>2590</v>
      </c>
      <c r="F114" s="168" t="s">
        <v>2591</v>
      </c>
      <c r="G114" s="168" t="s">
        <v>2592</v>
      </c>
      <c r="H114" s="172"/>
    </row>
    <row r="115" spans="2:8" ht="14.25">
      <c r="B115" s="173">
        <f t="shared" si="3"/>
        <v>0</v>
      </c>
      <c r="C115" s="169" t="s">
        <v>2441</v>
      </c>
      <c r="D115" s="169" t="s">
        <v>2442</v>
      </c>
      <c r="E115" s="169" t="s">
        <v>2590</v>
      </c>
      <c r="F115" s="169" t="s">
        <v>2591</v>
      </c>
      <c r="G115" s="168" t="s">
        <v>2593</v>
      </c>
      <c r="H115" s="172"/>
    </row>
    <row r="116" spans="2:8" ht="14.25">
      <c r="B116" s="173">
        <f t="shared" si="3"/>
        <v>0</v>
      </c>
      <c r="C116" s="168" t="s">
        <v>2448</v>
      </c>
      <c r="D116" s="168" t="s">
        <v>2442</v>
      </c>
      <c r="E116" s="168" t="s">
        <v>2449</v>
      </c>
      <c r="F116" s="168" t="s">
        <v>2594</v>
      </c>
      <c r="G116" s="169" t="s">
        <v>2595</v>
      </c>
      <c r="H116" s="172"/>
    </row>
    <row r="117" spans="2:8" ht="14.25">
      <c r="B117" s="173">
        <f t="shared" si="3"/>
        <v>0</v>
      </c>
      <c r="C117" s="168" t="s">
        <v>2441</v>
      </c>
      <c r="D117" s="168" t="s">
        <v>2442</v>
      </c>
      <c r="E117" s="168" t="s">
        <v>2446</v>
      </c>
      <c r="F117" s="168" t="s">
        <v>2596</v>
      </c>
      <c r="G117" s="168" t="s">
        <v>2597</v>
      </c>
      <c r="H117" s="172"/>
    </row>
    <row r="118" spans="2:8" ht="14.25">
      <c r="B118" s="173">
        <f t="shared" si="3"/>
        <v>21.037500000000001</v>
      </c>
      <c r="C118" s="168" t="s">
        <v>2448</v>
      </c>
      <c r="D118" s="168" t="s">
        <v>2451</v>
      </c>
      <c r="E118" s="168" t="s">
        <v>2443</v>
      </c>
      <c r="F118" s="168" t="s">
        <v>2485</v>
      </c>
      <c r="G118" s="168" t="s">
        <v>2598</v>
      </c>
      <c r="H118" s="172"/>
    </row>
    <row r="119" spans="2:8" ht="14.25">
      <c r="B119" s="173">
        <f t="shared" si="3"/>
        <v>0</v>
      </c>
      <c r="C119" s="168" t="s">
        <v>2448</v>
      </c>
      <c r="D119" s="168" t="s">
        <v>2451</v>
      </c>
      <c r="E119" s="168" t="s">
        <v>2443</v>
      </c>
      <c r="F119" s="168" t="s">
        <v>2485</v>
      </c>
      <c r="G119" s="169" t="s">
        <v>2599</v>
      </c>
      <c r="H119" s="172"/>
    </row>
    <row r="120" spans="2:8" ht="14.25">
      <c r="B120" s="173">
        <f t="shared" si="3"/>
        <v>0</v>
      </c>
      <c r="C120" s="169" t="s">
        <v>2448</v>
      </c>
      <c r="D120" s="169" t="s">
        <v>2451</v>
      </c>
      <c r="E120" s="169" t="s">
        <v>2443</v>
      </c>
      <c r="F120" s="169" t="s">
        <v>2485</v>
      </c>
      <c r="G120" s="168" t="s">
        <v>2600</v>
      </c>
      <c r="H120" s="172"/>
    </row>
    <row r="121" spans="2:8" ht="14.25">
      <c r="B121" s="173">
        <f t="shared" si="3"/>
        <v>0</v>
      </c>
      <c r="C121" s="168" t="s">
        <v>2448</v>
      </c>
      <c r="D121" s="168" t="s">
        <v>2442</v>
      </c>
      <c r="E121" s="168" t="s">
        <v>2443</v>
      </c>
      <c r="F121" s="168" t="s">
        <v>2467</v>
      </c>
      <c r="G121" s="168" t="s">
        <v>2601</v>
      </c>
      <c r="H121" s="172"/>
    </row>
  </sheetData>
  <sheetProtection password="ECEC" sheet="1" objects="1" scenarios="1"/>
  <customSheetViews>
    <customSheetView guid="{9FD33A57-86F0-4BF5-A6C0-5833A5B59516}" showGridLines="0" fitToPage="1" hiddenColumns="1">
      <pane xSplit="2" ySplit="2" topLeftCell="C3" activePane="bottomRight" state="frozen"/>
      <selection pane="bottomRight"/>
      <pageMargins left="0.75" right="0.75" top="1" bottom="1" header="0.5" footer="0.5"/>
      <pageSetup paperSize="9" scale="13" orientation="portrait" horizontalDpi="4294967295" verticalDpi="300" r:id="rId1"/>
      <headerFooter alignWithMargins="0"/>
    </customSheetView>
  </customSheetViews>
  <mergeCells count="4">
    <mergeCell ref="T2:V2"/>
    <mergeCell ref="P37:P38"/>
    <mergeCell ref="P42:P43"/>
    <mergeCell ref="P61:P62"/>
  </mergeCells>
  <phoneticPr fontId="2" type="noConversion"/>
  <pageMargins left="0.75" right="0.75" top="1" bottom="1" header="0.5" footer="0.5"/>
  <pageSetup paperSize="9" scale="12" orientation="portrait" horizontalDpi="4294967295" verticalDpi="300" r:id="rId2"/>
  <headerFooter alignWithMargins="0"/>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AR1458"/>
  <sheetViews>
    <sheetView workbookViewId="0"/>
  </sheetViews>
  <sheetFormatPr defaultRowHeight="12.75" customHeight="1"/>
  <cols>
    <col min="1" max="1" width="4" customWidth="1"/>
    <col min="2" max="2" width="12.85546875" style="313" customWidth="1"/>
    <col min="3" max="3" width="13.85546875" style="218" customWidth="1"/>
    <col min="4" max="4" width="3.7109375" customWidth="1"/>
    <col min="5" max="5" width="12.85546875" style="313" customWidth="1"/>
    <col min="6" max="6" width="13.85546875" style="218" customWidth="1"/>
    <col min="7" max="7" width="3.7109375" customWidth="1"/>
    <col min="8" max="9" width="13.7109375" customWidth="1"/>
    <col min="10" max="10" width="3.7109375" customWidth="1"/>
    <col min="11" max="11" width="7" bestFit="1" customWidth="1"/>
    <col min="12" max="12" width="11.85546875" style="581" bestFit="1" customWidth="1"/>
    <col min="13" max="13" width="3.7109375" customWidth="1"/>
    <col min="14" max="14" width="7.5703125" bestFit="1" customWidth="1"/>
    <col min="15" max="15" width="13.28515625" style="581" bestFit="1" customWidth="1"/>
    <col min="16" max="16" width="3.7109375" customWidth="1"/>
    <col min="17" max="17" width="7.5703125" bestFit="1" customWidth="1"/>
    <col min="18" max="18" width="13.28515625" bestFit="1" customWidth="1"/>
    <col min="19" max="19" width="3.7109375" customWidth="1"/>
    <col min="20" max="20" width="7.5703125" bestFit="1" customWidth="1"/>
    <col min="21" max="21" width="13.28515625" bestFit="1" customWidth="1"/>
    <col min="22" max="22" width="3.5703125" customWidth="1"/>
    <col min="23" max="23" width="7.5703125" bestFit="1" customWidth="1"/>
    <col min="24" max="24" width="13.28515625" bestFit="1" customWidth="1"/>
    <col min="25" max="25" width="3.5703125" customWidth="1"/>
    <col min="26" max="26" width="7.5703125" bestFit="1" customWidth="1"/>
    <col min="27" max="27" width="13.28515625" style="581" customWidth="1"/>
    <col min="28" max="28" width="3.5703125" customWidth="1"/>
    <col min="29" max="29" width="8.5703125" customWidth="1"/>
    <col min="30" max="30" width="13.7109375" customWidth="1"/>
    <col min="31" max="31" width="3.7109375" customWidth="1"/>
    <col min="32" max="32" width="9.7109375" customWidth="1"/>
    <col min="33" max="33" width="13.7109375" customWidth="1"/>
    <col min="34" max="34" width="3.5703125" customWidth="1"/>
    <col min="35" max="35" width="9.7109375" customWidth="1"/>
    <col min="36" max="36" width="13.7109375" customWidth="1"/>
    <col min="37" max="37" width="3.5703125" customWidth="1"/>
    <col min="38" max="38" width="9.7109375" customWidth="1"/>
    <col min="39" max="39" width="13.7109375" customWidth="1"/>
    <col min="40" max="40" width="3.7109375" customWidth="1"/>
    <col min="42" max="42" width="11.7109375" customWidth="1"/>
  </cols>
  <sheetData>
    <row r="1" spans="1:44" s="7" customFormat="1" ht="30" customHeight="1">
      <c r="A1" s="64"/>
      <c r="B1" s="4" t="s">
        <v>1253</v>
      </c>
      <c r="C1" s="349"/>
      <c r="D1" s="55"/>
      <c r="E1" s="4"/>
      <c r="F1" s="349"/>
      <c r="G1" s="55"/>
      <c r="H1" s="4"/>
      <c r="I1" s="47"/>
      <c r="J1" s="55"/>
      <c r="K1" s="4"/>
      <c r="L1" s="270"/>
      <c r="M1" s="47"/>
      <c r="N1" s="4"/>
      <c r="O1" s="581"/>
      <c r="P1"/>
      <c r="Q1"/>
      <c r="R1"/>
      <c r="S1"/>
      <c r="T1"/>
      <c r="U1"/>
      <c r="V1"/>
      <c r="W1"/>
      <c r="X1" s="47"/>
      <c r="Y1"/>
      <c r="Z1"/>
      <c r="AA1" s="270"/>
      <c r="AB1"/>
      <c r="AC1" s="4"/>
      <c r="AD1" s="47"/>
      <c r="AE1" s="47"/>
      <c r="AF1" s="4"/>
      <c r="AG1" s="47"/>
      <c r="AH1"/>
      <c r="AI1" s="4"/>
      <c r="AJ1" s="47"/>
      <c r="AK1"/>
      <c r="AL1" s="4"/>
      <c r="AM1" s="47"/>
      <c r="AP1" s="55"/>
      <c r="AQ1" s="243"/>
      <c r="AR1" s="97"/>
    </row>
    <row r="2" spans="1:44" s="7" customFormat="1" ht="19.5" customHeight="1">
      <c r="A2" s="64"/>
      <c r="B2" s="1370" t="s">
        <v>246</v>
      </c>
      <c r="C2" s="1370"/>
      <c r="D2" s="258"/>
      <c r="E2" s="1370" t="s">
        <v>247</v>
      </c>
      <c r="F2" s="1370"/>
      <c r="G2" s="258"/>
      <c r="H2" s="1370" t="s">
        <v>1067</v>
      </c>
      <c r="I2" s="1370"/>
      <c r="J2" s="258"/>
      <c r="K2" s="1370" t="s">
        <v>1248</v>
      </c>
      <c r="L2" s="1370"/>
      <c r="M2" s="351"/>
      <c r="N2" s="1370" t="s">
        <v>1251</v>
      </c>
      <c r="O2" s="1370"/>
      <c r="P2" s="351"/>
      <c r="Q2" s="1370" t="s">
        <v>1264</v>
      </c>
      <c r="R2" s="1370"/>
      <c r="S2" s="351"/>
      <c r="T2" s="1370" t="s">
        <v>1252</v>
      </c>
      <c r="U2" s="1370"/>
      <c r="V2" s="351"/>
      <c r="W2" s="1370" t="s">
        <v>1250</v>
      </c>
      <c r="X2" s="1370"/>
      <c r="Y2" s="351"/>
      <c r="Z2" s="1370" t="s">
        <v>1357</v>
      </c>
      <c r="AA2" s="1370"/>
      <c r="AB2" s="351"/>
      <c r="AC2" s="1370" t="s">
        <v>1362</v>
      </c>
      <c r="AD2" s="1370"/>
      <c r="AE2" s="351"/>
      <c r="AF2" s="1370" t="s">
        <v>1363</v>
      </c>
      <c r="AG2" s="1370"/>
      <c r="AH2" s="351"/>
      <c r="AI2" s="1370" t="s">
        <v>1364</v>
      </c>
      <c r="AJ2" s="1370"/>
      <c r="AK2" s="351"/>
      <c r="AL2" s="1370" t="s">
        <v>1365</v>
      </c>
      <c r="AM2" s="1370"/>
      <c r="AO2" s="1370" t="s">
        <v>252</v>
      </c>
      <c r="AP2" s="1370"/>
    </row>
    <row r="3" spans="1:44" ht="21" customHeight="1">
      <c r="B3" s="259" t="s">
        <v>955</v>
      </c>
      <c r="C3" s="350" t="s">
        <v>47</v>
      </c>
      <c r="E3" s="259" t="s">
        <v>955</v>
      </c>
      <c r="F3" s="350" t="s">
        <v>47</v>
      </c>
      <c r="H3" s="259" t="s">
        <v>955</v>
      </c>
      <c r="I3" s="260" t="s">
        <v>47</v>
      </c>
      <c r="K3" s="259" t="s">
        <v>1249</v>
      </c>
      <c r="L3" s="260" t="s">
        <v>47</v>
      </c>
      <c r="M3" s="352"/>
      <c r="N3" s="259" t="s">
        <v>1249</v>
      </c>
      <c r="O3" s="260" t="s">
        <v>47</v>
      </c>
      <c r="P3" s="352"/>
      <c r="Q3" s="259" t="s">
        <v>1249</v>
      </c>
      <c r="R3" s="260" t="s">
        <v>47</v>
      </c>
      <c r="S3" s="352"/>
      <c r="T3" s="259" t="s">
        <v>1249</v>
      </c>
      <c r="U3" s="260" t="s">
        <v>47</v>
      </c>
      <c r="V3" s="352"/>
      <c r="W3" s="259" t="s">
        <v>1249</v>
      </c>
      <c r="X3" s="260" t="s">
        <v>47</v>
      </c>
      <c r="Y3" s="352"/>
      <c r="Z3" s="259" t="s">
        <v>1249</v>
      </c>
      <c r="AA3" s="260" t="s">
        <v>47</v>
      </c>
      <c r="AB3" s="352"/>
      <c r="AC3" s="259" t="s">
        <v>1249</v>
      </c>
      <c r="AD3" s="260" t="s">
        <v>47</v>
      </c>
      <c r="AE3" s="352"/>
      <c r="AF3" s="259" t="s">
        <v>1249</v>
      </c>
      <c r="AG3" s="260" t="s">
        <v>47</v>
      </c>
      <c r="AH3" s="352"/>
      <c r="AI3" s="259" t="s">
        <v>1249</v>
      </c>
      <c r="AJ3" s="260" t="s">
        <v>47</v>
      </c>
      <c r="AK3" s="352"/>
      <c r="AL3" s="259" t="s">
        <v>1249</v>
      </c>
      <c r="AM3" s="260" t="s">
        <v>47</v>
      </c>
      <c r="AO3" s="259" t="s">
        <v>950</v>
      </c>
      <c r="AP3" s="260" t="s">
        <v>951</v>
      </c>
    </row>
    <row r="4" spans="1:44">
      <c r="B4" s="261" t="s">
        <v>292</v>
      </c>
      <c r="C4" s="261">
        <v>413</v>
      </c>
      <c r="E4" s="261" t="s">
        <v>292</v>
      </c>
      <c r="F4" s="261">
        <v>377.8</v>
      </c>
      <c r="H4" s="261" t="s">
        <v>292</v>
      </c>
      <c r="I4" s="262">
        <v>53</v>
      </c>
      <c r="K4" s="261">
        <v>0</v>
      </c>
      <c r="L4" s="262">
        <v>0</v>
      </c>
      <c r="M4" s="352"/>
      <c r="N4" s="261">
        <v>0</v>
      </c>
      <c r="O4" s="262">
        <v>0</v>
      </c>
      <c r="P4" s="352"/>
      <c r="Q4" s="261">
        <v>0</v>
      </c>
      <c r="R4" s="262">
        <v>0</v>
      </c>
      <c r="S4" s="352"/>
      <c r="T4" s="261">
        <v>0</v>
      </c>
      <c r="U4" s="262">
        <v>0</v>
      </c>
      <c r="V4" s="352"/>
      <c r="W4" s="261">
        <v>0</v>
      </c>
      <c r="X4" s="262">
        <v>138.9</v>
      </c>
      <c r="Y4" s="352"/>
      <c r="Z4" s="261">
        <v>0</v>
      </c>
      <c r="AA4" s="262">
        <v>0</v>
      </c>
      <c r="AB4" s="352"/>
      <c r="AC4" s="261">
        <v>0</v>
      </c>
      <c r="AD4" s="262">
        <v>0</v>
      </c>
      <c r="AE4" s="352"/>
      <c r="AF4" s="261">
        <v>0</v>
      </c>
      <c r="AG4" s="262">
        <v>0</v>
      </c>
      <c r="AH4" s="352"/>
      <c r="AI4" s="261">
        <v>0</v>
      </c>
      <c r="AJ4" s="262">
        <v>0</v>
      </c>
      <c r="AK4" s="352"/>
      <c r="AL4" s="261"/>
      <c r="AM4" s="262"/>
      <c r="AO4" s="261">
        <v>59</v>
      </c>
      <c r="AP4" s="320">
        <v>0.99997999999999998</v>
      </c>
    </row>
    <row r="5" spans="1:44">
      <c r="B5" s="261">
        <v>0</v>
      </c>
      <c r="C5" s="261">
        <v>0</v>
      </c>
      <c r="E5" s="261">
        <v>0</v>
      </c>
      <c r="F5" s="261">
        <v>0</v>
      </c>
      <c r="H5" s="261">
        <v>0</v>
      </c>
      <c r="I5" s="262">
        <v>0</v>
      </c>
      <c r="K5" s="261">
        <v>0</v>
      </c>
      <c r="L5" s="262">
        <v>0</v>
      </c>
      <c r="M5" s="352"/>
      <c r="N5" s="261">
        <v>1</v>
      </c>
      <c r="O5" s="262">
        <v>135.66999999999999</v>
      </c>
      <c r="P5" s="352"/>
      <c r="Q5" s="261">
        <v>1</v>
      </c>
      <c r="R5" s="262">
        <v>95</v>
      </c>
      <c r="S5" s="352"/>
      <c r="T5" s="261">
        <v>1</v>
      </c>
      <c r="U5" s="262">
        <v>95</v>
      </c>
      <c r="V5" s="352"/>
      <c r="W5" s="261">
        <v>1</v>
      </c>
      <c r="X5" s="262">
        <v>146.4</v>
      </c>
      <c r="Y5" s="352"/>
      <c r="Z5" s="261">
        <v>1</v>
      </c>
      <c r="AA5" s="262">
        <v>183</v>
      </c>
      <c r="AB5" s="352"/>
      <c r="AC5" s="261">
        <v>1</v>
      </c>
      <c r="AD5" s="262">
        <v>19.170000000000002</v>
      </c>
      <c r="AE5" s="352"/>
      <c r="AF5" s="261">
        <v>1</v>
      </c>
      <c r="AG5" s="262">
        <v>82.72</v>
      </c>
      <c r="AH5" s="352"/>
      <c r="AI5" s="261">
        <v>1</v>
      </c>
      <c r="AJ5" s="262">
        <v>284</v>
      </c>
      <c r="AK5" s="352"/>
      <c r="AL5" s="261"/>
      <c r="AM5" s="262"/>
      <c r="AO5" s="261">
        <v>60</v>
      </c>
      <c r="AP5" s="320">
        <v>1</v>
      </c>
    </row>
    <row r="6" spans="1:44">
      <c r="B6" s="261" t="s">
        <v>293</v>
      </c>
      <c r="C6" s="261">
        <v>444</v>
      </c>
      <c r="E6" s="261" t="s">
        <v>293</v>
      </c>
      <c r="F6" s="261">
        <v>409.06</v>
      </c>
      <c r="H6" s="261" t="s">
        <v>293</v>
      </c>
      <c r="I6" s="262">
        <f>I4+18</f>
        <v>71</v>
      </c>
      <c r="K6" s="261">
        <v>1</v>
      </c>
      <c r="L6" s="262">
        <v>13.67</v>
      </c>
      <c r="M6" s="352"/>
      <c r="N6" s="261">
        <v>2</v>
      </c>
      <c r="O6" s="262">
        <v>146.77000000000001</v>
      </c>
      <c r="P6" s="352"/>
      <c r="Q6" s="261">
        <v>2</v>
      </c>
      <c r="R6" s="262">
        <v>99</v>
      </c>
      <c r="S6" s="352"/>
      <c r="T6" s="261">
        <v>2</v>
      </c>
      <c r="U6" s="262">
        <v>99</v>
      </c>
      <c r="V6" s="352"/>
      <c r="W6" s="261">
        <v>2</v>
      </c>
      <c r="X6" s="262">
        <v>153.9</v>
      </c>
      <c r="Y6" s="352"/>
      <c r="Z6" s="261">
        <v>2</v>
      </c>
      <c r="AA6" s="262">
        <v>190.33</v>
      </c>
      <c r="AB6" s="352"/>
      <c r="AC6" s="261">
        <v>2</v>
      </c>
      <c r="AD6" s="262">
        <v>27.64</v>
      </c>
      <c r="AE6" s="352"/>
      <c r="AF6" s="261">
        <v>2</v>
      </c>
      <c r="AG6" s="262">
        <v>127.6</v>
      </c>
      <c r="AH6" s="352"/>
      <c r="AI6" s="261">
        <v>2</v>
      </c>
      <c r="AJ6" s="262">
        <v>312</v>
      </c>
      <c r="AK6" s="352"/>
      <c r="AL6" s="261"/>
      <c r="AM6" s="262"/>
      <c r="AO6" s="261">
        <v>61</v>
      </c>
      <c r="AP6" s="320">
        <v>1.0000100000000001</v>
      </c>
    </row>
    <row r="7" spans="1:44">
      <c r="B7" s="261" t="s">
        <v>294</v>
      </c>
      <c r="C7" s="261">
        <v>476</v>
      </c>
      <c r="E7" s="261" t="s">
        <v>294</v>
      </c>
      <c r="F7" s="261">
        <v>440.32</v>
      </c>
      <c r="H7" s="261" t="s">
        <v>294</v>
      </c>
      <c r="I7" s="262">
        <v>89</v>
      </c>
      <c r="K7" s="261">
        <v>2</v>
      </c>
      <c r="L7" s="262">
        <v>17.78</v>
      </c>
      <c r="M7" s="352"/>
      <c r="N7" s="261">
        <v>3</v>
      </c>
      <c r="O7" s="262">
        <v>157.86000000000001</v>
      </c>
      <c r="P7" s="352"/>
      <c r="Q7" s="261">
        <v>3</v>
      </c>
      <c r="R7" s="262">
        <v>103</v>
      </c>
      <c r="S7" s="352"/>
      <c r="T7" s="261">
        <v>3</v>
      </c>
      <c r="U7" s="262">
        <v>103</v>
      </c>
      <c r="V7" s="352"/>
      <c r="W7" s="261">
        <v>3</v>
      </c>
      <c r="X7" s="262">
        <v>161.4</v>
      </c>
      <c r="Y7" s="352"/>
      <c r="Z7" s="261">
        <v>3</v>
      </c>
      <c r="AA7" s="262">
        <v>197.83</v>
      </c>
      <c r="AB7" s="352"/>
      <c r="AC7" s="261">
        <v>3</v>
      </c>
      <c r="AD7" s="262">
        <v>37.65</v>
      </c>
      <c r="AE7" s="352"/>
      <c r="AF7" s="261">
        <v>3</v>
      </c>
      <c r="AG7" s="262">
        <v>175.57</v>
      </c>
      <c r="AH7" s="352"/>
      <c r="AI7" s="261">
        <v>3</v>
      </c>
      <c r="AJ7" s="262">
        <v>341</v>
      </c>
      <c r="AK7" s="352"/>
      <c r="AL7" s="261"/>
      <c r="AM7" s="262"/>
      <c r="AO7" s="261">
        <v>62</v>
      </c>
      <c r="AP7" s="320">
        <v>1.0000199999999999</v>
      </c>
    </row>
    <row r="8" spans="1:44">
      <c r="B8" s="261" t="s">
        <v>295</v>
      </c>
      <c r="C8" s="261">
        <v>507</v>
      </c>
      <c r="E8" s="261" t="s">
        <v>295</v>
      </c>
      <c r="F8" s="261">
        <v>471.58</v>
      </c>
      <c r="H8" s="261" t="s">
        <v>295</v>
      </c>
      <c r="I8" s="262">
        <f>I7+18</f>
        <v>107</v>
      </c>
      <c r="K8" s="261">
        <v>3</v>
      </c>
      <c r="L8" s="262">
        <v>22.4</v>
      </c>
      <c r="M8" s="352"/>
      <c r="N8" s="261">
        <v>4</v>
      </c>
      <c r="O8" s="262">
        <v>168.96</v>
      </c>
      <c r="P8" s="352"/>
      <c r="Q8" s="261">
        <v>4</v>
      </c>
      <c r="R8" s="262">
        <v>107</v>
      </c>
      <c r="S8" s="352"/>
      <c r="T8" s="261">
        <v>4</v>
      </c>
      <c r="U8" s="262">
        <v>107</v>
      </c>
      <c r="V8" s="352"/>
      <c r="W8" s="261">
        <v>4</v>
      </c>
      <c r="X8" s="262">
        <v>168.9</v>
      </c>
      <c r="Y8" s="352"/>
      <c r="Z8" s="261">
        <v>4</v>
      </c>
      <c r="AA8" s="262">
        <v>205.33</v>
      </c>
      <c r="AB8" s="352"/>
      <c r="AC8" s="261">
        <v>4</v>
      </c>
      <c r="AD8" s="262">
        <v>49.21</v>
      </c>
      <c r="AE8" s="352"/>
      <c r="AF8" s="261">
        <v>4</v>
      </c>
      <c r="AG8" s="262">
        <v>226.64</v>
      </c>
      <c r="AH8" s="352"/>
      <c r="AI8" s="261">
        <v>4</v>
      </c>
      <c r="AJ8" s="262">
        <v>369</v>
      </c>
      <c r="AK8" s="352"/>
      <c r="AL8" s="261"/>
      <c r="AM8" s="262"/>
      <c r="AO8" s="261">
        <v>63</v>
      </c>
      <c r="AP8" s="320">
        <v>1.00003</v>
      </c>
    </row>
    <row r="9" spans="1:44">
      <c r="B9" s="261" t="s">
        <v>296</v>
      </c>
      <c r="C9" s="261">
        <v>538</v>
      </c>
      <c r="E9" s="261" t="s">
        <v>296</v>
      </c>
      <c r="F9" s="261">
        <v>502.85</v>
      </c>
      <c r="H9" s="261" t="s">
        <v>296</v>
      </c>
      <c r="I9" s="262">
        <v>124</v>
      </c>
      <c r="K9" s="261">
        <v>4</v>
      </c>
      <c r="L9" s="262">
        <v>27.42</v>
      </c>
      <c r="M9" s="352"/>
      <c r="N9" s="261">
        <v>5</v>
      </c>
      <c r="O9" s="262">
        <v>180.06</v>
      </c>
      <c r="P9" s="352"/>
      <c r="Q9" s="261">
        <v>5</v>
      </c>
      <c r="R9" s="262">
        <v>112</v>
      </c>
      <c r="S9" s="352"/>
      <c r="T9" s="261">
        <v>5</v>
      </c>
      <c r="U9" s="262">
        <v>112</v>
      </c>
      <c r="V9" s="352"/>
      <c r="W9" s="261">
        <v>5</v>
      </c>
      <c r="X9" s="262">
        <v>176.4</v>
      </c>
      <c r="Y9" s="352"/>
      <c r="Z9" s="261">
        <v>5</v>
      </c>
      <c r="AA9" s="262">
        <v>212.84</v>
      </c>
      <c r="AB9" s="352"/>
      <c r="AC9" s="261">
        <v>5</v>
      </c>
      <c r="AD9" s="262">
        <v>62.32</v>
      </c>
      <c r="AE9" s="352"/>
      <c r="AF9" s="261">
        <v>5</v>
      </c>
      <c r="AG9" s="262">
        <v>280.8</v>
      </c>
      <c r="AH9" s="352"/>
      <c r="AI9" s="261">
        <v>5</v>
      </c>
      <c r="AJ9" s="262">
        <v>397</v>
      </c>
      <c r="AK9" s="352"/>
      <c r="AL9" s="261"/>
      <c r="AM9" s="262"/>
      <c r="AO9" s="261">
        <v>64</v>
      </c>
      <c r="AP9" s="320">
        <v>1.0000500000000001</v>
      </c>
    </row>
    <row r="10" spans="1:44">
      <c r="B10" s="261" t="s">
        <v>297</v>
      </c>
      <c r="C10" s="261">
        <v>569</v>
      </c>
      <c r="E10" s="261" t="s">
        <v>297</v>
      </c>
      <c r="F10" s="261">
        <v>534.11</v>
      </c>
      <c r="H10" s="261" t="s">
        <v>297</v>
      </c>
      <c r="I10" s="262">
        <f>I9+18</f>
        <v>142</v>
      </c>
      <c r="K10" s="261">
        <v>5</v>
      </c>
      <c r="L10" s="262">
        <v>32.89</v>
      </c>
      <c r="M10" s="352"/>
      <c r="N10" s="261">
        <v>6</v>
      </c>
      <c r="O10" s="262">
        <v>191.15</v>
      </c>
      <c r="P10" s="352"/>
      <c r="Q10" s="261">
        <v>6</v>
      </c>
      <c r="R10" s="262">
        <v>116</v>
      </c>
      <c r="S10" s="352"/>
      <c r="T10" s="261">
        <v>6</v>
      </c>
      <c r="U10" s="262">
        <v>116</v>
      </c>
      <c r="V10" s="352"/>
      <c r="W10" s="261">
        <v>6</v>
      </c>
      <c r="X10" s="262">
        <v>183.9</v>
      </c>
      <c r="Y10" s="352"/>
      <c r="Z10" s="261">
        <v>6</v>
      </c>
      <c r="AA10" s="262">
        <v>220.34</v>
      </c>
      <c r="AB10" s="352"/>
      <c r="AC10" s="261">
        <v>6</v>
      </c>
      <c r="AD10" s="262">
        <v>76.97</v>
      </c>
      <c r="AE10" s="352"/>
      <c r="AF10" s="261">
        <v>6</v>
      </c>
      <c r="AG10" s="262">
        <v>338.06</v>
      </c>
      <c r="AH10" s="352"/>
      <c r="AI10" s="261">
        <v>6</v>
      </c>
      <c r="AJ10" s="262">
        <v>426</v>
      </c>
      <c r="AK10" s="352"/>
      <c r="AL10" s="261"/>
      <c r="AM10" s="262"/>
      <c r="AO10" s="261">
        <v>65</v>
      </c>
      <c r="AP10" s="320">
        <v>1.0000599999999999</v>
      </c>
    </row>
    <row r="11" spans="1:44">
      <c r="B11" s="261" t="s">
        <v>298</v>
      </c>
      <c r="C11" s="261">
        <v>601</v>
      </c>
      <c r="E11" s="261" t="s">
        <v>298</v>
      </c>
      <c r="F11" s="261">
        <v>565.36</v>
      </c>
      <c r="H11" s="261" t="s">
        <v>298</v>
      </c>
      <c r="I11" s="262">
        <v>159</v>
      </c>
      <c r="K11" s="261">
        <v>6</v>
      </c>
      <c r="L11" s="262">
        <v>38.94</v>
      </c>
      <c r="M11" s="352"/>
      <c r="N11" s="261">
        <v>7</v>
      </c>
      <c r="O11" s="262">
        <v>202.25</v>
      </c>
      <c r="P11" s="352"/>
      <c r="Q11" s="261">
        <v>7</v>
      </c>
      <c r="R11" s="262">
        <v>120</v>
      </c>
      <c r="S11" s="352"/>
      <c r="T11" s="261">
        <v>7</v>
      </c>
      <c r="U11" s="262">
        <v>120</v>
      </c>
      <c r="V11" s="352"/>
      <c r="W11" s="261">
        <v>7</v>
      </c>
      <c r="X11" s="262">
        <v>191.4</v>
      </c>
      <c r="Y11" s="352"/>
      <c r="Z11" s="261">
        <v>7</v>
      </c>
      <c r="AA11" s="262">
        <v>227.84</v>
      </c>
      <c r="AB11" s="352"/>
      <c r="AC11" s="261">
        <v>7</v>
      </c>
      <c r="AD11" s="262">
        <v>93.16</v>
      </c>
      <c r="AE11" s="352"/>
      <c r="AF11" s="261">
        <v>7</v>
      </c>
      <c r="AG11" s="262">
        <v>398.42</v>
      </c>
      <c r="AH11" s="352"/>
      <c r="AI11" s="261">
        <v>7</v>
      </c>
      <c r="AJ11" s="262">
        <v>454</v>
      </c>
      <c r="AK11" s="352"/>
      <c r="AL11" s="261"/>
      <c r="AM11" s="262"/>
      <c r="AO11" s="261">
        <v>66</v>
      </c>
      <c r="AP11" s="320">
        <v>1.00007</v>
      </c>
    </row>
    <row r="12" spans="1:44">
      <c r="B12" s="261" t="s">
        <v>299</v>
      </c>
      <c r="C12" s="261">
        <v>632</v>
      </c>
      <c r="E12" s="261" t="s">
        <v>299</v>
      </c>
      <c r="F12" s="261">
        <v>596.62</v>
      </c>
      <c r="H12" s="261" t="s">
        <v>299</v>
      </c>
      <c r="I12" s="262">
        <f>I11+18</f>
        <v>177</v>
      </c>
      <c r="K12" s="261">
        <v>7</v>
      </c>
      <c r="L12" s="262">
        <v>45.61</v>
      </c>
      <c r="M12" s="352"/>
      <c r="N12" s="261">
        <v>8</v>
      </c>
      <c r="O12" s="262">
        <v>213.34</v>
      </c>
      <c r="P12" s="352"/>
      <c r="Q12" s="261">
        <v>8</v>
      </c>
      <c r="R12" s="262">
        <v>124</v>
      </c>
      <c r="S12" s="352"/>
      <c r="T12" s="261">
        <v>8</v>
      </c>
      <c r="U12" s="262">
        <v>124</v>
      </c>
      <c r="V12" s="352"/>
      <c r="W12" s="261">
        <v>8</v>
      </c>
      <c r="X12" s="262">
        <v>198.9</v>
      </c>
      <c r="Y12" s="352"/>
      <c r="Z12" s="261">
        <v>8</v>
      </c>
      <c r="AA12" s="262">
        <v>235.34</v>
      </c>
      <c r="AB12" s="352"/>
      <c r="AC12" s="261">
        <v>8</v>
      </c>
      <c r="AD12" s="262">
        <v>110.91</v>
      </c>
      <c r="AE12" s="352"/>
      <c r="AF12" s="261">
        <v>8</v>
      </c>
      <c r="AG12" s="262">
        <v>461.88</v>
      </c>
      <c r="AH12" s="352"/>
      <c r="AI12" s="261">
        <v>8</v>
      </c>
      <c r="AJ12" s="262">
        <v>483</v>
      </c>
      <c r="AK12" s="352"/>
      <c r="AL12" s="261"/>
      <c r="AM12" s="262"/>
      <c r="AO12" s="261">
        <v>67</v>
      </c>
      <c r="AP12" s="320">
        <v>1.0000800000000001</v>
      </c>
    </row>
    <row r="13" spans="1:44">
      <c r="B13" s="261" t="s">
        <v>300</v>
      </c>
      <c r="C13" s="261">
        <v>663</v>
      </c>
      <c r="E13" s="261" t="s">
        <v>300</v>
      </c>
      <c r="F13" s="261">
        <v>627.94000000000005</v>
      </c>
      <c r="H13" s="261" t="s">
        <v>300</v>
      </c>
      <c r="I13" s="262">
        <f>I12+18</f>
        <v>195</v>
      </c>
      <c r="K13" s="261">
        <v>8</v>
      </c>
      <c r="L13" s="262">
        <v>52.9</v>
      </c>
      <c r="M13" s="352"/>
      <c r="N13" s="261">
        <v>9</v>
      </c>
      <c r="O13" s="262">
        <v>224.44</v>
      </c>
      <c r="P13" s="352"/>
      <c r="Q13" s="261">
        <v>9</v>
      </c>
      <c r="R13" s="262">
        <v>128</v>
      </c>
      <c r="S13" s="352"/>
      <c r="T13" s="261">
        <v>9</v>
      </c>
      <c r="U13" s="262">
        <v>128</v>
      </c>
      <c r="V13" s="352"/>
      <c r="W13" s="261">
        <v>9</v>
      </c>
      <c r="X13" s="262">
        <v>206.4</v>
      </c>
      <c r="Y13" s="352"/>
      <c r="Z13" s="261">
        <v>9</v>
      </c>
      <c r="AA13" s="262">
        <v>242.84</v>
      </c>
      <c r="AB13" s="352"/>
      <c r="AC13" s="261">
        <v>9</v>
      </c>
      <c r="AD13" s="262">
        <v>130.19</v>
      </c>
      <c r="AE13" s="352"/>
      <c r="AF13" s="261">
        <v>9</v>
      </c>
      <c r="AG13" s="262">
        <v>528.42999999999995</v>
      </c>
      <c r="AH13" s="352"/>
      <c r="AI13" s="261">
        <v>9</v>
      </c>
      <c r="AJ13" s="262">
        <v>511</v>
      </c>
      <c r="AK13" s="352"/>
      <c r="AL13" s="261"/>
      <c r="AM13" s="262"/>
      <c r="AO13" s="261">
        <v>68</v>
      </c>
      <c r="AP13" s="320">
        <v>1.0000899999999999</v>
      </c>
    </row>
    <row r="14" spans="1:44">
      <c r="B14" s="261" t="s">
        <v>301</v>
      </c>
      <c r="C14" s="261">
        <v>694</v>
      </c>
      <c r="E14" s="261" t="s">
        <v>301</v>
      </c>
      <c r="F14" s="261">
        <v>659.2</v>
      </c>
      <c r="H14" s="261" t="s">
        <v>301</v>
      </c>
      <c r="I14" s="262">
        <f>I13+18</f>
        <v>213</v>
      </c>
      <c r="K14" s="261">
        <v>9</v>
      </c>
      <c r="L14" s="262">
        <v>60.22</v>
      </c>
      <c r="M14" s="352"/>
      <c r="N14" s="261">
        <v>10</v>
      </c>
      <c r="O14" s="262">
        <v>235.53</v>
      </c>
      <c r="P14" s="352"/>
      <c r="Q14" s="261">
        <v>10</v>
      </c>
      <c r="R14" s="262">
        <v>132</v>
      </c>
      <c r="S14" s="352"/>
      <c r="T14" s="261">
        <v>10</v>
      </c>
      <c r="U14" s="262">
        <v>132</v>
      </c>
      <c r="V14" s="352"/>
      <c r="W14" s="261">
        <v>10</v>
      </c>
      <c r="X14" s="262">
        <v>213.9</v>
      </c>
      <c r="Y14" s="352"/>
      <c r="Z14" s="261">
        <v>10</v>
      </c>
      <c r="AA14" s="262">
        <v>250.35</v>
      </c>
      <c r="AB14" s="352"/>
      <c r="AC14" s="261">
        <v>10</v>
      </c>
      <c r="AD14" s="262">
        <v>151.02000000000001</v>
      </c>
      <c r="AE14" s="352"/>
      <c r="AF14" s="261">
        <v>10</v>
      </c>
      <c r="AG14" s="262">
        <v>596.84</v>
      </c>
      <c r="AH14" s="352"/>
      <c r="AI14" s="261">
        <v>10</v>
      </c>
      <c r="AJ14" s="262">
        <v>539</v>
      </c>
      <c r="AK14" s="352"/>
      <c r="AL14" s="261"/>
      <c r="AM14" s="262"/>
      <c r="AO14" s="261">
        <v>69</v>
      </c>
      <c r="AP14" s="320">
        <v>1.0001100000000001</v>
      </c>
    </row>
    <row r="15" spans="1:44">
      <c r="B15" s="261" t="s">
        <v>302</v>
      </c>
      <c r="C15" s="261">
        <v>726</v>
      </c>
      <c r="E15" s="261" t="s">
        <v>302</v>
      </c>
      <c r="F15" s="261">
        <v>690.51</v>
      </c>
      <c r="H15" s="261" t="s">
        <v>302</v>
      </c>
      <c r="I15" s="262">
        <v>230</v>
      </c>
      <c r="K15" s="261">
        <v>10</v>
      </c>
      <c r="L15" s="262">
        <v>67.52</v>
      </c>
      <c r="M15" s="352"/>
      <c r="N15" s="261">
        <v>11</v>
      </c>
      <c r="O15" s="262">
        <v>246.63</v>
      </c>
      <c r="P15" s="352"/>
      <c r="Q15" s="261">
        <v>11</v>
      </c>
      <c r="R15" s="262">
        <v>136</v>
      </c>
      <c r="S15" s="352"/>
      <c r="T15" s="261">
        <v>11</v>
      </c>
      <c r="U15" s="262">
        <v>136</v>
      </c>
      <c r="V15" s="352"/>
      <c r="W15" s="261">
        <v>11</v>
      </c>
      <c r="X15" s="262">
        <v>221.4</v>
      </c>
      <c r="Y15" s="352"/>
      <c r="Z15" s="261">
        <v>11</v>
      </c>
      <c r="AA15" s="262">
        <v>257.85000000000002</v>
      </c>
      <c r="AB15" s="352"/>
      <c r="AC15" s="261">
        <v>11</v>
      </c>
      <c r="AD15" s="262">
        <v>173.4</v>
      </c>
      <c r="AE15" s="352"/>
      <c r="AF15" s="261">
        <v>11</v>
      </c>
      <c r="AG15" s="262">
        <v>665.25</v>
      </c>
      <c r="AH15" s="352"/>
      <c r="AI15" s="261">
        <v>11</v>
      </c>
      <c r="AJ15" s="262">
        <v>568</v>
      </c>
      <c r="AK15" s="352"/>
      <c r="AL15" s="261"/>
      <c r="AM15" s="262"/>
      <c r="AO15" s="261">
        <v>70</v>
      </c>
      <c r="AP15" s="320">
        <v>1.0001199999999999</v>
      </c>
    </row>
    <row r="16" spans="1:44">
      <c r="B16" s="261" t="s">
        <v>303</v>
      </c>
      <c r="C16" s="261">
        <v>757</v>
      </c>
      <c r="E16" s="261" t="s">
        <v>303</v>
      </c>
      <c r="F16" s="261">
        <v>721.77</v>
      </c>
      <c r="H16" s="261" t="s">
        <v>303</v>
      </c>
      <c r="I16" s="262">
        <f>I15+18</f>
        <v>248</v>
      </c>
      <c r="K16" s="261">
        <v>11</v>
      </c>
      <c r="L16" s="262">
        <v>74.81</v>
      </c>
      <c r="M16" s="352"/>
      <c r="N16" s="261">
        <v>12</v>
      </c>
      <c r="O16" s="262">
        <v>257.73</v>
      </c>
      <c r="P16" s="352"/>
      <c r="Q16" s="261">
        <v>12</v>
      </c>
      <c r="R16" s="262">
        <v>141</v>
      </c>
      <c r="S16" s="352"/>
      <c r="T16" s="261">
        <v>12</v>
      </c>
      <c r="U16" s="262">
        <v>141</v>
      </c>
      <c r="V16" s="352"/>
      <c r="W16" s="261">
        <v>12</v>
      </c>
      <c r="X16" s="262">
        <v>228.9</v>
      </c>
      <c r="Y16" s="352"/>
      <c r="Z16" s="261">
        <v>12</v>
      </c>
      <c r="AA16" s="262">
        <v>265.35000000000002</v>
      </c>
      <c r="AB16" s="352"/>
      <c r="AC16" s="261">
        <v>12</v>
      </c>
      <c r="AD16" s="262">
        <v>197.33</v>
      </c>
      <c r="AE16" s="352"/>
      <c r="AF16" s="261">
        <v>12</v>
      </c>
      <c r="AG16" s="262">
        <v>733.65</v>
      </c>
      <c r="AH16" s="352"/>
      <c r="AI16" s="261">
        <v>12</v>
      </c>
      <c r="AJ16" s="262">
        <v>596</v>
      </c>
      <c r="AK16" s="352"/>
      <c r="AL16" s="261"/>
      <c r="AM16" s="262"/>
      <c r="AO16" s="261">
        <v>71</v>
      </c>
      <c r="AP16" s="320">
        <v>1.00013</v>
      </c>
    </row>
    <row r="17" spans="2:42">
      <c r="B17" s="331" t="s">
        <v>304</v>
      </c>
      <c r="C17" s="261">
        <v>788</v>
      </c>
      <c r="E17" s="331" t="s">
        <v>304</v>
      </c>
      <c r="F17" s="261">
        <v>753.1</v>
      </c>
      <c r="H17" s="261" t="s">
        <v>304</v>
      </c>
      <c r="I17" s="262">
        <v>265</v>
      </c>
      <c r="K17" s="261">
        <v>12</v>
      </c>
      <c r="L17" s="262">
        <v>82.1</v>
      </c>
      <c r="M17" s="352"/>
      <c r="N17" s="261">
        <v>13</v>
      </c>
      <c r="O17" s="262">
        <v>268.82</v>
      </c>
      <c r="P17" s="352"/>
      <c r="Q17" s="261">
        <v>13</v>
      </c>
      <c r="R17" s="262">
        <v>145</v>
      </c>
      <c r="S17" s="352"/>
      <c r="T17" s="261">
        <v>13</v>
      </c>
      <c r="U17" s="262">
        <v>145</v>
      </c>
      <c r="V17" s="352"/>
      <c r="W17" s="261">
        <v>13</v>
      </c>
      <c r="X17" s="262">
        <v>236.4</v>
      </c>
      <c r="Y17" s="352"/>
      <c r="Z17" s="261">
        <v>13</v>
      </c>
      <c r="AA17" s="262">
        <v>272.85000000000002</v>
      </c>
      <c r="AB17" s="352"/>
      <c r="AC17" s="261">
        <v>13</v>
      </c>
      <c r="AD17" s="262">
        <v>222.95</v>
      </c>
      <c r="AE17" s="352"/>
      <c r="AF17" s="261">
        <v>13</v>
      </c>
      <c r="AG17" s="262">
        <v>802.06</v>
      </c>
      <c r="AH17" s="352"/>
      <c r="AI17" s="261">
        <v>13</v>
      </c>
      <c r="AJ17" s="262">
        <v>625</v>
      </c>
      <c r="AK17" s="352"/>
      <c r="AL17" s="261"/>
      <c r="AM17" s="262"/>
      <c r="AO17" s="261">
        <v>72</v>
      </c>
      <c r="AP17" s="320">
        <v>1.00014</v>
      </c>
    </row>
    <row r="18" spans="2:42">
      <c r="B18" s="261" t="s">
        <v>305</v>
      </c>
      <c r="C18" s="261">
        <v>819</v>
      </c>
      <c r="E18" s="261" t="s">
        <v>305</v>
      </c>
      <c r="F18" s="261">
        <v>784.36</v>
      </c>
      <c r="H18" s="261" t="s">
        <v>305</v>
      </c>
      <c r="I18" s="262">
        <f>I17+18</f>
        <v>283</v>
      </c>
      <c r="K18" s="261">
        <v>13</v>
      </c>
      <c r="L18" s="262">
        <v>89.38</v>
      </c>
      <c r="M18" s="352"/>
      <c r="N18" s="261">
        <v>14</v>
      </c>
      <c r="O18" s="262">
        <v>279.92</v>
      </c>
      <c r="P18" s="352"/>
      <c r="Q18" s="261">
        <v>14</v>
      </c>
      <c r="R18" s="262">
        <v>149</v>
      </c>
      <c r="S18" s="352"/>
      <c r="T18" s="261">
        <v>14</v>
      </c>
      <c r="U18" s="262">
        <v>149</v>
      </c>
      <c r="V18" s="352"/>
      <c r="W18" s="261">
        <v>14</v>
      </c>
      <c r="X18" s="262">
        <v>243.9</v>
      </c>
      <c r="Y18" s="352"/>
      <c r="Z18" s="261">
        <v>14</v>
      </c>
      <c r="AA18" s="262">
        <v>280.35000000000002</v>
      </c>
      <c r="AB18" s="352"/>
      <c r="AC18" s="261">
        <v>14</v>
      </c>
      <c r="AD18" s="262">
        <v>248.57</v>
      </c>
      <c r="AE18" s="352"/>
      <c r="AF18" s="261">
        <v>14</v>
      </c>
      <c r="AG18" s="262">
        <v>870.47</v>
      </c>
      <c r="AH18" s="352"/>
      <c r="AI18" s="261">
        <v>14</v>
      </c>
      <c r="AJ18" s="262">
        <v>653</v>
      </c>
      <c r="AK18" s="352"/>
      <c r="AL18" s="261"/>
      <c r="AM18" s="262"/>
      <c r="AO18" s="261">
        <v>73</v>
      </c>
      <c r="AP18" s="320">
        <v>1.0001599999999999</v>
      </c>
    </row>
    <row r="19" spans="2:42">
      <c r="B19" s="261" t="s">
        <v>306</v>
      </c>
      <c r="C19" s="261">
        <v>851</v>
      </c>
      <c r="E19" s="261" t="s">
        <v>306</v>
      </c>
      <c r="F19" s="261">
        <v>815.69</v>
      </c>
      <c r="H19" s="261" t="s">
        <v>306</v>
      </c>
      <c r="I19" s="262">
        <v>301</v>
      </c>
      <c r="K19" s="261">
        <v>14</v>
      </c>
      <c r="L19" s="262">
        <v>96.67</v>
      </c>
      <c r="M19" s="352"/>
      <c r="N19" s="261">
        <v>15</v>
      </c>
      <c r="O19" s="262">
        <v>291.01</v>
      </c>
      <c r="P19" s="352"/>
      <c r="Q19" s="261">
        <v>15</v>
      </c>
      <c r="R19" s="262">
        <v>153</v>
      </c>
      <c r="S19" s="352"/>
      <c r="T19" s="261">
        <v>15</v>
      </c>
      <c r="U19" s="262">
        <v>153</v>
      </c>
      <c r="V19" s="352"/>
      <c r="W19" s="261">
        <v>15</v>
      </c>
      <c r="X19" s="262">
        <v>251.4</v>
      </c>
      <c r="Y19" s="352"/>
      <c r="Z19" s="261">
        <v>15</v>
      </c>
      <c r="AA19" s="262">
        <v>287.85000000000002</v>
      </c>
      <c r="AB19" s="352"/>
      <c r="AC19" s="261">
        <v>15</v>
      </c>
      <c r="AD19" s="262">
        <v>274.2</v>
      </c>
      <c r="AE19" s="352"/>
      <c r="AF19" s="261">
        <v>15</v>
      </c>
      <c r="AG19" s="262">
        <v>938.88</v>
      </c>
      <c r="AH19" s="352"/>
      <c r="AI19" s="261">
        <v>15</v>
      </c>
      <c r="AJ19" s="262">
        <v>681</v>
      </c>
      <c r="AK19" s="352"/>
      <c r="AL19" s="261"/>
      <c r="AM19" s="262"/>
      <c r="AO19" s="261">
        <v>74</v>
      </c>
      <c r="AP19" s="320">
        <v>1.00017</v>
      </c>
    </row>
    <row r="20" spans="2:42">
      <c r="B20" s="261" t="s">
        <v>307</v>
      </c>
      <c r="C20" s="261">
        <v>882</v>
      </c>
      <c r="E20" s="261" t="s">
        <v>307</v>
      </c>
      <c r="F20" s="261">
        <v>846.95</v>
      </c>
      <c r="H20" s="261" t="s">
        <v>307</v>
      </c>
      <c r="I20" s="262">
        <f>I19+18</f>
        <v>319</v>
      </c>
      <c r="K20" s="261">
        <v>15</v>
      </c>
      <c r="L20" s="262">
        <v>103.96</v>
      </c>
      <c r="M20" s="352"/>
      <c r="N20" s="261">
        <v>16</v>
      </c>
      <c r="O20" s="262">
        <v>302.11</v>
      </c>
      <c r="P20" s="352"/>
      <c r="Q20" s="261">
        <v>16</v>
      </c>
      <c r="R20" s="262">
        <v>157</v>
      </c>
      <c r="S20" s="352"/>
      <c r="T20" s="261">
        <v>16</v>
      </c>
      <c r="U20" s="262">
        <v>157</v>
      </c>
      <c r="V20" s="352"/>
      <c r="W20" s="261">
        <v>16</v>
      </c>
      <c r="X20" s="262">
        <v>258.89999999999998</v>
      </c>
      <c r="Y20" s="352"/>
      <c r="Z20" s="261">
        <v>16</v>
      </c>
      <c r="AA20" s="262">
        <v>295.36</v>
      </c>
      <c r="AB20" s="352"/>
      <c r="AC20" s="261">
        <v>16</v>
      </c>
      <c r="AD20" s="262">
        <v>299.82</v>
      </c>
      <c r="AE20" s="352"/>
      <c r="AF20" s="261">
        <v>16</v>
      </c>
      <c r="AG20" s="262">
        <v>1007.29</v>
      </c>
      <c r="AH20" s="352"/>
      <c r="AI20" s="261">
        <v>16</v>
      </c>
      <c r="AJ20" s="262">
        <v>710</v>
      </c>
      <c r="AK20" s="352"/>
      <c r="AL20" s="261"/>
      <c r="AM20" s="262"/>
      <c r="AO20" s="261">
        <v>75</v>
      </c>
      <c r="AP20" s="320">
        <v>1.0001800000000001</v>
      </c>
    </row>
    <row r="21" spans="2:42">
      <c r="B21" s="261" t="s">
        <v>308</v>
      </c>
      <c r="C21" s="261">
        <v>913</v>
      </c>
      <c r="E21" s="261" t="s">
        <v>308</v>
      </c>
      <c r="F21" s="261">
        <v>878.27</v>
      </c>
      <c r="H21" s="261" t="s">
        <v>308</v>
      </c>
      <c r="I21" s="262">
        <v>336</v>
      </c>
      <c r="K21" s="261">
        <v>16</v>
      </c>
      <c r="L21" s="262">
        <v>111.25</v>
      </c>
      <c r="M21" s="352"/>
      <c r="N21" s="261">
        <v>17</v>
      </c>
      <c r="O21" s="262">
        <v>313.20999999999998</v>
      </c>
      <c r="P21" s="352"/>
      <c r="Q21" s="261">
        <v>17</v>
      </c>
      <c r="R21" s="262">
        <v>161</v>
      </c>
      <c r="S21" s="352"/>
      <c r="T21" s="261">
        <v>17</v>
      </c>
      <c r="U21" s="262">
        <v>161</v>
      </c>
      <c r="V21" s="352"/>
      <c r="W21" s="261">
        <v>17</v>
      </c>
      <c r="X21" s="262">
        <v>266.39999999999998</v>
      </c>
      <c r="Y21" s="352"/>
      <c r="Z21" s="261">
        <v>17</v>
      </c>
      <c r="AA21" s="262">
        <v>302.86</v>
      </c>
      <c r="AB21" s="352"/>
      <c r="AC21" s="261">
        <v>17</v>
      </c>
      <c r="AD21" s="262">
        <v>325.45</v>
      </c>
      <c r="AE21" s="352"/>
      <c r="AF21" s="261">
        <v>17</v>
      </c>
      <c r="AG21" s="262">
        <v>1075.7</v>
      </c>
      <c r="AH21" s="352"/>
      <c r="AI21" s="261">
        <v>17</v>
      </c>
      <c r="AJ21" s="262">
        <v>738</v>
      </c>
      <c r="AK21" s="352"/>
      <c r="AL21" s="261"/>
      <c r="AM21" s="262"/>
      <c r="AO21" s="261">
        <v>76</v>
      </c>
      <c r="AP21" s="320">
        <v>1.0001899999999999</v>
      </c>
    </row>
    <row r="22" spans="2:42">
      <c r="B22" s="261" t="s">
        <v>309</v>
      </c>
      <c r="C22" s="261">
        <v>944</v>
      </c>
      <c r="E22" s="261" t="s">
        <v>309</v>
      </c>
      <c r="F22" s="261">
        <v>909.53</v>
      </c>
      <c r="H22" s="261" t="s">
        <v>309</v>
      </c>
      <c r="I22" s="262">
        <f>I21+18</f>
        <v>354</v>
      </c>
      <c r="K22" s="261">
        <v>17</v>
      </c>
      <c r="L22" s="262">
        <v>118.54</v>
      </c>
      <c r="M22" s="352"/>
      <c r="N22" s="261">
        <v>18</v>
      </c>
      <c r="O22" s="262">
        <v>324.3</v>
      </c>
      <c r="P22" s="352"/>
      <c r="Q22" s="261">
        <v>18</v>
      </c>
      <c r="R22" s="262">
        <v>165</v>
      </c>
      <c r="S22" s="352"/>
      <c r="T22" s="261">
        <v>18</v>
      </c>
      <c r="U22" s="262">
        <v>165</v>
      </c>
      <c r="V22" s="352"/>
      <c r="W22" s="261">
        <v>18</v>
      </c>
      <c r="X22" s="262">
        <v>273.89999999999998</v>
      </c>
      <c r="Y22" s="352"/>
      <c r="Z22" s="261">
        <v>18</v>
      </c>
      <c r="AA22" s="262">
        <v>310.36</v>
      </c>
      <c r="AB22" s="352"/>
      <c r="AC22" s="261">
        <v>18</v>
      </c>
      <c r="AD22" s="262">
        <v>351.07</v>
      </c>
      <c r="AE22" s="352"/>
      <c r="AF22" s="261">
        <v>18</v>
      </c>
      <c r="AG22" s="262">
        <v>1144.1099999999999</v>
      </c>
      <c r="AH22" s="352"/>
      <c r="AI22" s="261">
        <v>18</v>
      </c>
      <c r="AJ22" s="262">
        <v>766</v>
      </c>
      <c r="AK22" s="352"/>
      <c r="AL22" s="261"/>
      <c r="AM22" s="262"/>
      <c r="AO22" s="261">
        <v>77</v>
      </c>
      <c r="AP22" s="320">
        <v>1.00021</v>
      </c>
    </row>
    <row r="23" spans="2:42">
      <c r="B23" s="261" t="s">
        <v>310</v>
      </c>
      <c r="C23" s="261">
        <v>976</v>
      </c>
      <c r="E23" s="261" t="s">
        <v>310</v>
      </c>
      <c r="F23" s="261">
        <v>940.86</v>
      </c>
      <c r="H23" s="261" t="s">
        <v>310</v>
      </c>
      <c r="I23" s="262">
        <v>371</v>
      </c>
      <c r="K23" s="261">
        <v>18</v>
      </c>
      <c r="L23" s="262">
        <v>125.82</v>
      </c>
      <c r="M23" s="352"/>
      <c r="N23" s="261">
        <v>19</v>
      </c>
      <c r="O23" s="262">
        <v>335.4</v>
      </c>
      <c r="P23" s="352"/>
      <c r="Q23" s="261">
        <v>19</v>
      </c>
      <c r="R23" s="262">
        <v>169</v>
      </c>
      <c r="S23" s="352"/>
      <c r="T23" s="261">
        <v>19</v>
      </c>
      <c r="U23" s="262">
        <v>169</v>
      </c>
      <c r="V23" s="352"/>
      <c r="W23" s="261">
        <v>19</v>
      </c>
      <c r="X23" s="262">
        <v>281.39999999999998</v>
      </c>
      <c r="Y23" s="352"/>
      <c r="Z23" s="261">
        <v>19</v>
      </c>
      <c r="AA23" s="262">
        <v>317.86</v>
      </c>
      <c r="AB23" s="352"/>
      <c r="AC23" s="261">
        <v>19</v>
      </c>
      <c r="AD23" s="262">
        <v>376.69</v>
      </c>
      <c r="AE23" s="352"/>
      <c r="AF23" s="261">
        <v>19</v>
      </c>
      <c r="AG23" s="262">
        <v>1212.52</v>
      </c>
      <c r="AH23" s="352"/>
      <c r="AI23" s="261">
        <v>19</v>
      </c>
      <c r="AJ23" s="262">
        <v>795</v>
      </c>
      <c r="AK23" s="352"/>
      <c r="AL23" s="261"/>
      <c r="AM23" s="262"/>
      <c r="AO23" s="261">
        <v>78</v>
      </c>
      <c r="AP23" s="320">
        <v>1.0002200000000001</v>
      </c>
    </row>
    <row r="24" spans="2:42">
      <c r="B24" s="261" t="s">
        <v>311</v>
      </c>
      <c r="C24" s="261">
        <v>1007</v>
      </c>
      <c r="E24" s="261" t="s">
        <v>311</v>
      </c>
      <c r="F24" s="261">
        <v>972.12</v>
      </c>
      <c r="H24" s="261" t="s">
        <v>311</v>
      </c>
      <c r="I24" s="262">
        <f>I23+18</f>
        <v>389</v>
      </c>
      <c r="K24" s="261">
        <v>19</v>
      </c>
      <c r="L24" s="262">
        <v>133.11000000000001</v>
      </c>
      <c r="M24" s="352"/>
      <c r="N24" s="261">
        <v>20</v>
      </c>
      <c r="O24" s="262">
        <v>346.49</v>
      </c>
      <c r="P24" s="352"/>
      <c r="Q24" s="261">
        <v>20</v>
      </c>
      <c r="R24" s="262">
        <v>174</v>
      </c>
      <c r="S24" s="352"/>
      <c r="T24" s="261">
        <v>20</v>
      </c>
      <c r="U24" s="262">
        <v>174</v>
      </c>
      <c r="V24" s="352"/>
      <c r="W24" s="261">
        <v>20</v>
      </c>
      <c r="X24" s="262">
        <v>288.89999999999998</v>
      </c>
      <c r="Y24" s="352"/>
      <c r="Z24" s="261">
        <v>20</v>
      </c>
      <c r="AA24" s="262">
        <v>325.36</v>
      </c>
      <c r="AB24" s="352"/>
      <c r="AC24" s="261">
        <v>20</v>
      </c>
      <c r="AD24" s="262">
        <v>402.32</v>
      </c>
      <c r="AE24" s="352"/>
      <c r="AF24" s="261">
        <v>20</v>
      </c>
      <c r="AG24" s="262">
        <v>1280.93</v>
      </c>
      <c r="AH24" s="352"/>
      <c r="AI24" s="261">
        <v>20</v>
      </c>
      <c r="AJ24" s="262">
        <v>823</v>
      </c>
      <c r="AK24" s="352"/>
      <c r="AL24" s="261"/>
      <c r="AM24" s="262"/>
      <c r="AO24" s="261">
        <v>79</v>
      </c>
      <c r="AP24" s="320">
        <v>1.00023</v>
      </c>
    </row>
    <row r="25" spans="2:42">
      <c r="B25" s="261" t="s">
        <v>312</v>
      </c>
      <c r="C25" s="261">
        <v>1039</v>
      </c>
      <c r="E25" s="261" t="s">
        <v>312</v>
      </c>
      <c r="F25" s="261">
        <v>1003.45</v>
      </c>
      <c r="H25" s="261" t="s">
        <v>312</v>
      </c>
      <c r="I25" s="262">
        <v>406</v>
      </c>
      <c r="K25" s="261">
        <v>20</v>
      </c>
      <c r="L25" s="262">
        <v>140.41</v>
      </c>
      <c r="M25" s="352"/>
      <c r="N25" s="261">
        <v>21</v>
      </c>
      <c r="O25" s="262">
        <v>357.59</v>
      </c>
      <c r="P25" s="352"/>
      <c r="Q25" s="261">
        <v>21</v>
      </c>
      <c r="R25" s="262">
        <v>178</v>
      </c>
      <c r="S25" s="352"/>
      <c r="T25" s="261">
        <v>21</v>
      </c>
      <c r="U25" s="262">
        <v>178</v>
      </c>
      <c r="V25" s="352"/>
      <c r="W25" s="261">
        <v>21</v>
      </c>
      <c r="X25" s="262">
        <v>296.39999999999998</v>
      </c>
      <c r="Y25" s="352"/>
      <c r="Z25" s="261">
        <v>21</v>
      </c>
      <c r="AA25" s="262">
        <v>332.86</v>
      </c>
      <c r="AB25" s="352"/>
      <c r="AC25" s="261">
        <v>21</v>
      </c>
      <c r="AD25" s="262">
        <v>427.94</v>
      </c>
      <c r="AE25" s="352"/>
      <c r="AF25" s="261">
        <v>21</v>
      </c>
      <c r="AG25" s="262">
        <v>1349.34</v>
      </c>
      <c r="AH25" s="352"/>
      <c r="AI25" s="261">
        <v>21</v>
      </c>
      <c r="AJ25" s="262">
        <v>852</v>
      </c>
      <c r="AK25" s="352"/>
      <c r="AL25" s="261"/>
      <c r="AM25" s="262"/>
      <c r="AO25" s="261">
        <v>80</v>
      </c>
      <c r="AP25" s="320">
        <v>1.0002500000000001</v>
      </c>
    </row>
    <row r="26" spans="2:42">
      <c r="B26" s="261" t="s">
        <v>313</v>
      </c>
      <c r="C26" s="261">
        <v>1070</v>
      </c>
      <c r="E26" s="261" t="s">
        <v>313</v>
      </c>
      <c r="F26" s="261">
        <v>1034.71</v>
      </c>
      <c r="H26" s="261" t="s">
        <v>313</v>
      </c>
      <c r="I26" s="262">
        <f>I25+18</f>
        <v>424</v>
      </c>
      <c r="K26" s="261">
        <v>21</v>
      </c>
      <c r="L26" s="262">
        <v>147.72999999999999</v>
      </c>
      <c r="M26" s="352"/>
      <c r="N26" s="261">
        <v>22</v>
      </c>
      <c r="O26" s="262">
        <v>368.68</v>
      </c>
      <c r="P26" s="352"/>
      <c r="Q26" s="261">
        <v>22</v>
      </c>
      <c r="R26" s="262">
        <v>182</v>
      </c>
      <c r="S26" s="352"/>
      <c r="T26" s="261">
        <v>22</v>
      </c>
      <c r="U26" s="262">
        <v>182</v>
      </c>
      <c r="V26" s="352"/>
      <c r="W26" s="261">
        <v>22</v>
      </c>
      <c r="X26" s="262">
        <v>303.89999999999998</v>
      </c>
      <c r="Y26" s="352"/>
      <c r="Z26" s="261">
        <v>22</v>
      </c>
      <c r="AA26" s="262">
        <v>340.37</v>
      </c>
      <c r="AB26" s="352"/>
      <c r="AC26" s="261">
        <v>22</v>
      </c>
      <c r="AD26" s="262">
        <v>453.57</v>
      </c>
      <c r="AE26" s="352"/>
      <c r="AF26" s="261">
        <v>22</v>
      </c>
      <c r="AG26" s="262">
        <v>1417.74</v>
      </c>
      <c r="AH26" s="352"/>
      <c r="AI26" s="261">
        <v>22</v>
      </c>
      <c r="AJ26" s="262">
        <v>880</v>
      </c>
      <c r="AK26" s="352"/>
      <c r="AL26" s="261"/>
      <c r="AM26" s="262"/>
      <c r="AO26" s="261">
        <v>81</v>
      </c>
      <c r="AP26" s="320">
        <v>1.0002599999999999</v>
      </c>
    </row>
    <row r="27" spans="2:42">
      <c r="B27" s="261" t="s">
        <v>314</v>
      </c>
      <c r="C27" s="261">
        <v>1102</v>
      </c>
      <c r="E27" s="261" t="s">
        <v>314</v>
      </c>
      <c r="F27" s="261">
        <v>1066.07</v>
      </c>
      <c r="H27" s="261" t="s">
        <v>314</v>
      </c>
      <c r="I27" s="262">
        <v>442</v>
      </c>
      <c r="K27" s="261">
        <v>22</v>
      </c>
      <c r="L27" s="262">
        <v>155.05000000000001</v>
      </c>
      <c r="M27" s="352"/>
      <c r="N27" s="261">
        <v>23</v>
      </c>
      <c r="O27" s="262">
        <v>379.78</v>
      </c>
      <c r="P27" s="352"/>
      <c r="Q27" s="261">
        <v>23</v>
      </c>
      <c r="R27" s="262">
        <v>186</v>
      </c>
      <c r="S27" s="352"/>
      <c r="T27" s="261">
        <v>23</v>
      </c>
      <c r="U27" s="262">
        <v>186</v>
      </c>
      <c r="V27" s="352"/>
      <c r="W27" s="261">
        <v>23</v>
      </c>
      <c r="X27" s="262">
        <v>311.39999999999998</v>
      </c>
      <c r="Y27" s="352"/>
      <c r="Z27" s="261">
        <v>23</v>
      </c>
      <c r="AA27" s="262">
        <v>347.87</v>
      </c>
      <c r="AB27" s="352"/>
      <c r="AC27" s="261">
        <v>23</v>
      </c>
      <c r="AD27" s="262">
        <v>479.19</v>
      </c>
      <c r="AE27" s="352"/>
      <c r="AF27" s="261">
        <v>23</v>
      </c>
      <c r="AG27" s="262">
        <v>1486.15</v>
      </c>
      <c r="AH27" s="352"/>
      <c r="AI27" s="261">
        <v>23</v>
      </c>
      <c r="AJ27" s="262">
        <v>908</v>
      </c>
      <c r="AK27" s="352"/>
      <c r="AL27" s="261"/>
      <c r="AM27" s="262"/>
      <c r="AO27" s="261">
        <v>82</v>
      </c>
      <c r="AP27" s="320">
        <v>1.00027</v>
      </c>
    </row>
    <row r="28" spans="2:42">
      <c r="B28" s="261" t="s">
        <v>315</v>
      </c>
      <c r="C28" s="261">
        <v>1133</v>
      </c>
      <c r="E28" s="261" t="s">
        <v>315</v>
      </c>
      <c r="F28" s="261">
        <v>1097.33</v>
      </c>
      <c r="H28" s="261" t="s">
        <v>315</v>
      </c>
      <c r="I28" s="262">
        <f>I27+18</f>
        <v>460</v>
      </c>
      <c r="K28" s="261">
        <v>23</v>
      </c>
      <c r="L28" s="262">
        <v>162.37</v>
      </c>
      <c r="M28" s="352"/>
      <c r="N28" s="261">
        <v>24</v>
      </c>
      <c r="O28" s="262">
        <v>390.88</v>
      </c>
      <c r="P28" s="352"/>
      <c r="Q28" s="261">
        <v>24</v>
      </c>
      <c r="R28" s="262">
        <v>190</v>
      </c>
      <c r="S28" s="352"/>
      <c r="T28" s="261">
        <v>24</v>
      </c>
      <c r="U28" s="262">
        <v>190</v>
      </c>
      <c r="V28" s="352"/>
      <c r="W28" s="261">
        <v>24</v>
      </c>
      <c r="X28" s="262">
        <v>318.89999999999998</v>
      </c>
      <c r="Y28" s="352"/>
      <c r="Z28" s="261">
        <v>24</v>
      </c>
      <c r="AA28" s="262">
        <v>355.37</v>
      </c>
      <c r="AB28" s="352"/>
      <c r="AC28" s="261">
        <v>24</v>
      </c>
      <c r="AD28" s="262">
        <v>504.81</v>
      </c>
      <c r="AE28" s="352"/>
      <c r="AF28" s="261">
        <v>24</v>
      </c>
      <c r="AG28" s="262">
        <v>1554.56</v>
      </c>
      <c r="AH28" s="352"/>
      <c r="AI28" s="261">
        <v>24</v>
      </c>
      <c r="AJ28" s="262">
        <v>937</v>
      </c>
      <c r="AK28" s="352"/>
      <c r="AL28" s="261"/>
      <c r="AM28" s="262"/>
      <c r="AO28" s="261">
        <v>83</v>
      </c>
      <c r="AP28" s="320">
        <v>1.0002800000000001</v>
      </c>
    </row>
    <row r="29" spans="2:42">
      <c r="B29" s="261" t="s">
        <v>316</v>
      </c>
      <c r="C29" s="261">
        <v>1165</v>
      </c>
      <c r="E29" s="261" t="s">
        <v>316</v>
      </c>
      <c r="F29" s="261">
        <v>1128.76</v>
      </c>
      <c r="H29" s="261" t="s">
        <v>316</v>
      </c>
      <c r="I29" s="262">
        <v>477</v>
      </c>
      <c r="K29" s="261">
        <v>24</v>
      </c>
      <c r="L29" s="262">
        <v>169.69</v>
      </c>
      <c r="M29" s="352"/>
      <c r="N29" s="261">
        <v>25</v>
      </c>
      <c r="O29" s="262">
        <v>401.97</v>
      </c>
      <c r="P29" s="352"/>
      <c r="Q29" s="261">
        <v>25</v>
      </c>
      <c r="R29" s="262">
        <v>194</v>
      </c>
      <c r="S29" s="352"/>
      <c r="T29" s="261">
        <v>25</v>
      </c>
      <c r="U29" s="262">
        <v>194</v>
      </c>
      <c r="V29" s="352"/>
      <c r="W29" s="261">
        <v>25</v>
      </c>
      <c r="X29" s="262">
        <v>326.39999999999998</v>
      </c>
      <c r="Y29" s="352"/>
      <c r="Z29" s="261">
        <v>25</v>
      </c>
      <c r="AA29" s="262">
        <v>362.87</v>
      </c>
      <c r="AB29" s="352"/>
      <c r="AC29" s="261">
        <v>25</v>
      </c>
      <c r="AD29" s="262">
        <v>530.44000000000005</v>
      </c>
      <c r="AE29" s="352"/>
      <c r="AF29" s="261">
        <v>25</v>
      </c>
      <c r="AG29" s="262">
        <v>1622.97</v>
      </c>
      <c r="AH29" s="352"/>
      <c r="AI29" s="261">
        <v>25</v>
      </c>
      <c r="AJ29" s="262">
        <v>965</v>
      </c>
      <c r="AK29" s="352"/>
      <c r="AL29" s="261"/>
      <c r="AM29" s="262"/>
      <c r="AO29" s="261">
        <v>84</v>
      </c>
      <c r="AP29" s="320">
        <v>1.0003</v>
      </c>
    </row>
    <row r="30" spans="2:42">
      <c r="B30" s="261" t="s">
        <v>293</v>
      </c>
      <c r="C30" s="261">
        <v>1196</v>
      </c>
      <c r="E30" s="261" t="s">
        <v>340</v>
      </c>
      <c r="F30" s="261">
        <v>1160.02</v>
      </c>
      <c r="H30" s="261" t="s">
        <v>293</v>
      </c>
      <c r="I30" s="262">
        <f>I29+18</f>
        <v>495</v>
      </c>
      <c r="K30" s="261">
        <v>25</v>
      </c>
      <c r="L30" s="262">
        <v>177</v>
      </c>
      <c r="M30" s="352"/>
      <c r="N30" s="261">
        <v>26</v>
      </c>
      <c r="O30" s="262">
        <v>413.07</v>
      </c>
      <c r="P30" s="352"/>
      <c r="Q30" s="261">
        <v>26</v>
      </c>
      <c r="R30" s="262">
        <v>198</v>
      </c>
      <c r="S30" s="352"/>
      <c r="T30" s="261">
        <v>26</v>
      </c>
      <c r="U30" s="262">
        <v>198</v>
      </c>
      <c r="V30" s="352"/>
      <c r="W30" s="261">
        <v>26</v>
      </c>
      <c r="X30" s="262">
        <v>333.9</v>
      </c>
      <c r="Y30" s="352"/>
      <c r="Z30" s="261">
        <v>26</v>
      </c>
      <c r="AA30" s="262">
        <v>370.37</v>
      </c>
      <c r="AB30" s="352"/>
      <c r="AC30" s="261">
        <v>26</v>
      </c>
      <c r="AD30" s="262">
        <v>556.05999999999995</v>
      </c>
      <c r="AE30" s="352"/>
      <c r="AF30" s="261">
        <v>26</v>
      </c>
      <c r="AG30" s="262">
        <v>1691.38</v>
      </c>
      <c r="AH30" s="352"/>
      <c r="AI30" s="261">
        <v>26</v>
      </c>
      <c r="AJ30" s="262">
        <v>994</v>
      </c>
      <c r="AK30" s="352"/>
      <c r="AL30" s="261"/>
      <c r="AM30" s="262"/>
      <c r="AO30" s="261">
        <v>85</v>
      </c>
      <c r="AP30" s="320">
        <v>1.00031</v>
      </c>
    </row>
    <row r="31" spans="2:42">
      <c r="B31" s="261" t="s">
        <v>317</v>
      </c>
      <c r="C31" s="261">
        <v>1228</v>
      </c>
      <c r="E31" s="261" t="s">
        <v>317</v>
      </c>
      <c r="F31" s="261">
        <v>1191.43</v>
      </c>
      <c r="H31" s="261" t="s">
        <v>317</v>
      </c>
      <c r="I31" s="262">
        <v>512</v>
      </c>
      <c r="K31" s="261">
        <v>26</v>
      </c>
      <c r="L31" s="262">
        <v>184.32</v>
      </c>
      <c r="M31" s="352"/>
      <c r="N31" s="261">
        <v>27</v>
      </c>
      <c r="O31" s="262">
        <v>424.16</v>
      </c>
      <c r="P31" s="352"/>
      <c r="Q31" s="261">
        <v>27</v>
      </c>
      <c r="R31" s="262">
        <v>203</v>
      </c>
      <c r="S31" s="352"/>
      <c r="T31" s="261">
        <v>27</v>
      </c>
      <c r="U31" s="262">
        <v>203</v>
      </c>
      <c r="V31" s="352"/>
      <c r="W31" s="261">
        <v>27</v>
      </c>
      <c r="X31" s="262">
        <v>341.4</v>
      </c>
      <c r="Y31" s="352"/>
      <c r="Z31" s="261">
        <v>27</v>
      </c>
      <c r="AA31" s="262">
        <v>377.87</v>
      </c>
      <c r="AB31" s="352"/>
      <c r="AC31" s="261">
        <v>27</v>
      </c>
      <c r="AD31" s="262">
        <v>581.69000000000005</v>
      </c>
      <c r="AE31" s="352"/>
      <c r="AF31" s="261">
        <v>27</v>
      </c>
      <c r="AG31" s="262">
        <v>1759.79</v>
      </c>
      <c r="AH31" s="352"/>
      <c r="AI31" s="261">
        <v>27</v>
      </c>
      <c r="AJ31" s="262">
        <v>1022</v>
      </c>
      <c r="AK31" s="352"/>
      <c r="AL31" s="261"/>
      <c r="AM31" s="262"/>
      <c r="AO31" s="261">
        <v>86</v>
      </c>
      <c r="AP31" s="320">
        <v>1.0003200000000001</v>
      </c>
    </row>
    <row r="32" spans="2:42">
      <c r="B32" s="261" t="s">
        <v>318</v>
      </c>
      <c r="C32" s="261">
        <v>1259</v>
      </c>
      <c r="E32" s="261" t="s">
        <v>318</v>
      </c>
      <c r="F32" s="261">
        <v>1222.69</v>
      </c>
      <c r="H32" s="261" t="s">
        <v>318</v>
      </c>
      <c r="I32" s="262">
        <f>I31+18</f>
        <v>530</v>
      </c>
      <c r="K32" s="261">
        <v>27</v>
      </c>
      <c r="L32" s="262">
        <v>191.64</v>
      </c>
      <c r="M32" s="352"/>
      <c r="N32" s="261">
        <v>28</v>
      </c>
      <c r="O32" s="262">
        <v>435.26</v>
      </c>
      <c r="P32" s="352"/>
      <c r="Q32" s="261">
        <v>28</v>
      </c>
      <c r="R32" s="262">
        <v>207</v>
      </c>
      <c r="S32" s="352"/>
      <c r="T32" s="261">
        <v>28</v>
      </c>
      <c r="U32" s="262">
        <v>207</v>
      </c>
      <c r="V32" s="352"/>
      <c r="W32" s="261">
        <v>28</v>
      </c>
      <c r="X32" s="262">
        <v>348.9</v>
      </c>
      <c r="Y32" s="352"/>
      <c r="Z32" s="261">
        <v>28</v>
      </c>
      <c r="AA32" s="262">
        <v>385.38</v>
      </c>
      <c r="AB32" s="352"/>
      <c r="AC32" s="261">
        <v>28</v>
      </c>
      <c r="AD32" s="262">
        <v>607.30999999999995</v>
      </c>
      <c r="AE32" s="352"/>
      <c r="AF32" s="261">
        <v>28</v>
      </c>
      <c r="AG32" s="262">
        <v>1828.2</v>
      </c>
      <c r="AH32" s="352"/>
      <c r="AI32" s="261">
        <v>28</v>
      </c>
      <c r="AJ32" s="262">
        <v>1050</v>
      </c>
      <c r="AK32" s="352"/>
      <c r="AL32" s="261"/>
      <c r="AM32" s="262"/>
      <c r="AO32" s="261">
        <v>87</v>
      </c>
      <c r="AP32" s="320">
        <v>1.0003299999999999</v>
      </c>
    </row>
    <row r="33" spans="2:42">
      <c r="B33" s="261" t="s">
        <v>319</v>
      </c>
      <c r="C33" s="261">
        <v>1291</v>
      </c>
      <c r="E33" s="261" t="s">
        <v>319</v>
      </c>
      <c r="F33" s="261">
        <v>1254.1199999999999</v>
      </c>
      <c r="H33" s="261" t="s">
        <v>319</v>
      </c>
      <c r="I33" s="262">
        <v>548</v>
      </c>
      <c r="K33" s="261">
        <v>28</v>
      </c>
      <c r="L33" s="262">
        <v>198.96</v>
      </c>
      <c r="M33" s="352"/>
      <c r="N33" s="261">
        <v>29</v>
      </c>
      <c r="O33" s="262">
        <v>446.36</v>
      </c>
      <c r="P33" s="352"/>
      <c r="Q33" s="261">
        <v>29</v>
      </c>
      <c r="R33" s="262">
        <v>211</v>
      </c>
      <c r="S33" s="352"/>
      <c r="T33" s="261">
        <v>29</v>
      </c>
      <c r="U33" s="262">
        <v>211</v>
      </c>
      <c r="V33" s="352"/>
      <c r="W33" s="261">
        <v>29</v>
      </c>
      <c r="X33" s="262">
        <v>356.4</v>
      </c>
      <c r="Y33" s="352"/>
      <c r="Z33" s="261">
        <v>29</v>
      </c>
      <c r="AA33" s="262">
        <v>392.88</v>
      </c>
      <c r="AB33" s="352"/>
      <c r="AC33" s="261">
        <v>29</v>
      </c>
      <c r="AD33" s="262">
        <v>632.92999999999995</v>
      </c>
      <c r="AE33" s="352"/>
      <c r="AF33" s="261">
        <v>29</v>
      </c>
      <c r="AG33" s="262">
        <v>1896.61</v>
      </c>
      <c r="AH33" s="352"/>
      <c r="AI33" s="261">
        <v>29</v>
      </c>
      <c r="AJ33" s="262">
        <v>1079</v>
      </c>
      <c r="AK33" s="352"/>
      <c r="AL33" s="261"/>
      <c r="AM33" s="262"/>
      <c r="AO33" s="261">
        <v>88</v>
      </c>
      <c r="AP33" s="320">
        <v>1.0003500000000001</v>
      </c>
    </row>
    <row r="34" spans="2:42">
      <c r="B34" s="261" t="s">
        <v>320</v>
      </c>
      <c r="C34" s="261">
        <v>1322</v>
      </c>
      <c r="E34" s="261" t="s">
        <v>320</v>
      </c>
      <c r="F34" s="261">
        <v>1285.3799999999999</v>
      </c>
      <c r="H34" s="261" t="s">
        <v>320</v>
      </c>
      <c r="I34" s="262">
        <f>I33+18</f>
        <v>566</v>
      </c>
      <c r="K34" s="261">
        <v>29</v>
      </c>
      <c r="L34" s="262">
        <v>206.28</v>
      </c>
      <c r="M34" s="352"/>
      <c r="N34" s="261">
        <v>30</v>
      </c>
      <c r="O34" s="262">
        <v>457.45</v>
      </c>
      <c r="P34" s="352"/>
      <c r="Q34" s="261">
        <v>30</v>
      </c>
      <c r="R34" s="262">
        <v>215</v>
      </c>
      <c r="S34" s="352"/>
      <c r="T34" s="261">
        <v>30</v>
      </c>
      <c r="U34" s="262">
        <v>215</v>
      </c>
      <c r="V34" s="352"/>
      <c r="W34" s="261">
        <v>30</v>
      </c>
      <c r="X34" s="262">
        <v>363.9</v>
      </c>
      <c r="Y34" s="352"/>
      <c r="Z34" s="261">
        <v>30</v>
      </c>
      <c r="AA34" s="262">
        <v>400.38</v>
      </c>
      <c r="AB34" s="352"/>
      <c r="AC34" s="261">
        <v>30</v>
      </c>
      <c r="AD34" s="262">
        <v>658.56</v>
      </c>
      <c r="AE34" s="352"/>
      <c r="AF34" s="261">
        <v>30</v>
      </c>
      <c r="AG34" s="262">
        <v>1965.02</v>
      </c>
      <c r="AH34" s="352"/>
      <c r="AI34" s="261">
        <v>30</v>
      </c>
      <c r="AJ34" s="262">
        <v>1107</v>
      </c>
      <c r="AK34" s="352"/>
      <c r="AL34" s="261"/>
      <c r="AM34" s="262"/>
      <c r="AO34" s="261">
        <v>89</v>
      </c>
      <c r="AP34" s="320">
        <v>1.0003599999999999</v>
      </c>
    </row>
    <row r="35" spans="2:42">
      <c r="B35" s="261" t="s">
        <v>321</v>
      </c>
      <c r="C35" s="261">
        <v>1354</v>
      </c>
      <c r="E35" s="261" t="s">
        <v>321</v>
      </c>
      <c r="F35" s="261">
        <v>1316.8</v>
      </c>
      <c r="H35" s="261" t="s">
        <v>321</v>
      </c>
      <c r="I35" s="262">
        <v>583</v>
      </c>
      <c r="K35" s="261">
        <v>30</v>
      </c>
      <c r="L35" s="262">
        <v>213.6</v>
      </c>
      <c r="M35" s="352"/>
      <c r="N35" s="261">
        <v>31</v>
      </c>
      <c r="O35" s="262">
        <v>468.55</v>
      </c>
      <c r="P35" s="352"/>
      <c r="Q35" s="261">
        <v>31</v>
      </c>
      <c r="R35" s="262">
        <v>219</v>
      </c>
      <c r="S35" s="352"/>
      <c r="T35" s="261">
        <v>31</v>
      </c>
      <c r="U35" s="262">
        <v>219</v>
      </c>
      <c r="V35" s="352"/>
      <c r="W35" s="261">
        <v>31</v>
      </c>
      <c r="X35" s="262">
        <v>371.4</v>
      </c>
      <c r="Y35" s="352"/>
      <c r="Z35" s="261">
        <v>31</v>
      </c>
      <c r="AA35" s="262">
        <v>407.88</v>
      </c>
      <c r="AB35" s="352"/>
      <c r="AC35" s="261">
        <v>31</v>
      </c>
      <c r="AD35" s="262">
        <v>684.18</v>
      </c>
      <c r="AE35" s="352"/>
      <c r="AF35" s="261">
        <v>31</v>
      </c>
      <c r="AG35" s="262">
        <v>2033.43</v>
      </c>
      <c r="AH35" s="352"/>
      <c r="AI35" s="261">
        <v>31</v>
      </c>
      <c r="AJ35" s="262">
        <v>1136</v>
      </c>
      <c r="AK35" s="352"/>
      <c r="AL35" s="261"/>
      <c r="AM35" s="262"/>
      <c r="AO35" s="261">
        <v>90</v>
      </c>
      <c r="AP35" s="320">
        <v>1.00037</v>
      </c>
    </row>
    <row r="36" spans="2:42">
      <c r="B36" s="261" t="s">
        <v>322</v>
      </c>
      <c r="C36" s="261">
        <v>1385</v>
      </c>
      <c r="E36" s="261" t="s">
        <v>322</v>
      </c>
      <c r="F36" s="261">
        <v>1348.06</v>
      </c>
      <c r="H36" s="261" t="s">
        <v>322</v>
      </c>
      <c r="I36" s="262">
        <f>I35+18</f>
        <v>601</v>
      </c>
      <c r="K36" s="261">
        <v>31</v>
      </c>
      <c r="L36" s="262">
        <v>220.92</v>
      </c>
      <c r="M36" s="352"/>
      <c r="N36" s="261">
        <v>32</v>
      </c>
      <c r="O36" s="262">
        <v>479.64</v>
      </c>
      <c r="P36" s="352"/>
      <c r="Q36" s="261">
        <v>32</v>
      </c>
      <c r="R36" s="262">
        <v>223</v>
      </c>
      <c r="S36" s="352"/>
      <c r="T36" s="261">
        <v>32</v>
      </c>
      <c r="U36" s="262">
        <v>223</v>
      </c>
      <c r="V36" s="352"/>
      <c r="W36" s="261">
        <v>32</v>
      </c>
      <c r="X36" s="262">
        <v>378.9</v>
      </c>
      <c r="Y36" s="352"/>
      <c r="Z36" s="261">
        <v>32</v>
      </c>
      <c r="AA36" s="262">
        <v>415.38</v>
      </c>
      <c r="AB36" s="352"/>
      <c r="AC36" s="261">
        <v>32</v>
      </c>
      <c r="AD36" s="262">
        <v>709.81</v>
      </c>
      <c r="AE36" s="352"/>
      <c r="AF36" s="261">
        <v>32</v>
      </c>
      <c r="AG36" s="262">
        <v>2101.83</v>
      </c>
      <c r="AH36" s="352"/>
      <c r="AI36" s="261">
        <v>32</v>
      </c>
      <c r="AJ36" s="262">
        <v>1164</v>
      </c>
      <c r="AK36" s="352"/>
      <c r="AL36" s="261"/>
      <c r="AM36" s="262"/>
      <c r="AO36" s="261">
        <v>91</v>
      </c>
      <c r="AP36" s="320">
        <v>1.00038</v>
      </c>
    </row>
    <row r="37" spans="2:42">
      <c r="B37" s="261" t="s">
        <v>323</v>
      </c>
      <c r="C37" s="261">
        <v>1416</v>
      </c>
      <c r="E37" s="261" t="s">
        <v>323</v>
      </c>
      <c r="F37" s="261">
        <v>1379.49</v>
      </c>
      <c r="H37" s="261" t="s">
        <v>323</v>
      </c>
      <c r="I37" s="262">
        <v>618</v>
      </c>
      <c r="K37" s="261">
        <v>32</v>
      </c>
      <c r="L37" s="262">
        <v>228.23</v>
      </c>
      <c r="M37" s="352"/>
      <c r="N37" s="261">
        <v>33</v>
      </c>
      <c r="O37" s="262">
        <v>490.74</v>
      </c>
      <c r="P37" s="352"/>
      <c r="Q37" s="261">
        <v>33</v>
      </c>
      <c r="R37" s="262">
        <v>227</v>
      </c>
      <c r="S37" s="352"/>
      <c r="T37" s="261">
        <v>33</v>
      </c>
      <c r="U37" s="262">
        <v>227</v>
      </c>
      <c r="V37" s="352"/>
      <c r="W37" s="261">
        <v>33</v>
      </c>
      <c r="X37" s="262">
        <v>386.4</v>
      </c>
      <c r="Y37" s="352"/>
      <c r="Z37" s="261">
        <v>33</v>
      </c>
      <c r="AA37" s="262">
        <v>422.88</v>
      </c>
      <c r="AB37" s="352"/>
      <c r="AC37" s="261">
        <v>33</v>
      </c>
      <c r="AD37" s="262">
        <v>735.43</v>
      </c>
      <c r="AE37" s="352"/>
      <c r="AF37" s="261">
        <v>33</v>
      </c>
      <c r="AG37" s="262">
        <v>2170.2399999999998</v>
      </c>
      <c r="AH37" s="352"/>
      <c r="AI37" s="261">
        <v>33</v>
      </c>
      <c r="AJ37" s="262">
        <v>1192</v>
      </c>
      <c r="AK37" s="352"/>
      <c r="AL37" s="261"/>
      <c r="AM37" s="262"/>
      <c r="AO37" s="261">
        <v>92</v>
      </c>
      <c r="AP37" s="320">
        <v>1.0004</v>
      </c>
    </row>
    <row r="38" spans="2:42">
      <c r="B38" s="261" t="s">
        <v>324</v>
      </c>
      <c r="C38" s="261">
        <v>1447</v>
      </c>
      <c r="E38" s="261" t="s">
        <v>324</v>
      </c>
      <c r="F38" s="261">
        <v>1410.75</v>
      </c>
      <c r="H38" s="261" t="s">
        <v>324</v>
      </c>
      <c r="I38" s="262">
        <f>I37+18</f>
        <v>636</v>
      </c>
      <c r="K38" s="261">
        <v>33</v>
      </c>
      <c r="L38" s="262">
        <v>235.55</v>
      </c>
      <c r="M38" s="352"/>
      <c r="N38" s="261">
        <v>34</v>
      </c>
      <c r="O38" s="262">
        <v>501.83</v>
      </c>
      <c r="P38" s="352"/>
      <c r="Q38" s="261">
        <v>34</v>
      </c>
      <c r="R38" s="262">
        <v>231</v>
      </c>
      <c r="S38" s="352"/>
      <c r="T38" s="261">
        <v>34</v>
      </c>
      <c r="U38" s="262">
        <v>231</v>
      </c>
      <c r="V38" s="352"/>
      <c r="W38" s="261">
        <v>34</v>
      </c>
      <c r="X38" s="262">
        <v>393.8</v>
      </c>
      <c r="Y38" s="352"/>
      <c r="Z38" s="261">
        <v>34</v>
      </c>
      <c r="AA38" s="262">
        <v>430.39</v>
      </c>
      <c r="AB38" s="352"/>
      <c r="AC38" s="261">
        <v>34</v>
      </c>
      <c r="AD38" s="262">
        <v>761.05</v>
      </c>
      <c r="AE38" s="352"/>
      <c r="AF38" s="261">
        <v>34</v>
      </c>
      <c r="AG38" s="262">
        <v>2238.65</v>
      </c>
      <c r="AH38" s="352"/>
      <c r="AI38" s="261">
        <v>34</v>
      </c>
      <c r="AJ38" s="262">
        <v>1221</v>
      </c>
      <c r="AK38" s="352"/>
      <c r="AL38" s="261"/>
      <c r="AM38" s="262"/>
      <c r="AO38" s="261">
        <v>93</v>
      </c>
      <c r="AP38" s="320">
        <v>1.00041</v>
      </c>
    </row>
    <row r="39" spans="2:42">
      <c r="B39" s="261" t="s">
        <v>325</v>
      </c>
      <c r="C39" s="261">
        <v>1479</v>
      </c>
      <c r="E39" s="261" t="s">
        <v>325</v>
      </c>
      <c r="F39" s="261">
        <v>1442.17</v>
      </c>
      <c r="H39" s="261" t="s">
        <v>325</v>
      </c>
      <c r="I39" s="262">
        <v>654</v>
      </c>
      <c r="K39" s="261">
        <v>34</v>
      </c>
      <c r="L39" s="262">
        <v>242.87</v>
      </c>
      <c r="M39" s="352"/>
      <c r="N39" s="261">
        <v>35</v>
      </c>
      <c r="O39" s="262">
        <v>512.92999999999995</v>
      </c>
      <c r="P39" s="352"/>
      <c r="Q39" s="261">
        <v>35</v>
      </c>
      <c r="R39" s="262">
        <v>236</v>
      </c>
      <c r="S39" s="352"/>
      <c r="T39" s="261">
        <v>35</v>
      </c>
      <c r="U39" s="262">
        <v>236</v>
      </c>
      <c r="V39" s="352"/>
      <c r="W39" s="261">
        <v>35</v>
      </c>
      <c r="X39" s="262">
        <v>401.3</v>
      </c>
      <c r="Y39" s="352"/>
      <c r="Z39" s="261">
        <v>35</v>
      </c>
      <c r="AA39" s="262">
        <v>437.89</v>
      </c>
      <c r="AB39" s="352"/>
      <c r="AC39" s="261">
        <v>35</v>
      </c>
      <c r="AD39" s="262">
        <v>786.68</v>
      </c>
      <c r="AE39" s="352"/>
      <c r="AF39" s="261">
        <v>35</v>
      </c>
      <c r="AG39" s="262">
        <v>2307.06</v>
      </c>
      <c r="AH39" s="352"/>
      <c r="AI39" s="261">
        <v>35</v>
      </c>
      <c r="AJ39" s="262">
        <v>1249</v>
      </c>
      <c r="AK39" s="352"/>
      <c r="AL39" s="261"/>
      <c r="AM39" s="262"/>
      <c r="AO39" s="261">
        <v>94</v>
      </c>
      <c r="AP39" s="320">
        <v>1.0004200000000001</v>
      </c>
    </row>
    <row r="40" spans="2:42">
      <c r="B40" s="261" t="s">
        <v>326</v>
      </c>
      <c r="C40" s="261">
        <v>1510</v>
      </c>
      <c r="E40" s="261" t="s">
        <v>326</v>
      </c>
      <c r="F40" s="261">
        <v>1473.43</v>
      </c>
      <c r="H40" s="261" t="s">
        <v>326</v>
      </c>
      <c r="I40" s="262">
        <f>I39+18</f>
        <v>672</v>
      </c>
      <c r="K40" s="261">
        <v>35</v>
      </c>
      <c r="L40" s="262">
        <v>250.2</v>
      </c>
      <c r="M40" s="352"/>
      <c r="N40" s="261">
        <v>36</v>
      </c>
      <c r="O40" s="262">
        <v>524.03</v>
      </c>
      <c r="P40" s="352"/>
      <c r="Q40" s="261">
        <v>36</v>
      </c>
      <c r="R40" s="262">
        <v>240</v>
      </c>
      <c r="S40" s="352"/>
      <c r="T40" s="261">
        <v>36</v>
      </c>
      <c r="U40" s="262">
        <v>240</v>
      </c>
      <c r="V40" s="352"/>
      <c r="W40" s="261">
        <v>36</v>
      </c>
      <c r="X40" s="262">
        <v>408.8</v>
      </c>
      <c r="Y40" s="352"/>
      <c r="Z40" s="261">
        <v>36</v>
      </c>
      <c r="AA40" s="262">
        <v>445.39</v>
      </c>
      <c r="AB40" s="352"/>
      <c r="AC40" s="261">
        <v>36</v>
      </c>
      <c r="AD40" s="262">
        <v>812.3</v>
      </c>
      <c r="AE40" s="352"/>
      <c r="AF40" s="261">
        <v>36</v>
      </c>
      <c r="AG40" s="262">
        <v>2375.4699999999998</v>
      </c>
      <c r="AH40" s="352"/>
      <c r="AI40" s="261">
        <v>36</v>
      </c>
      <c r="AJ40" s="262">
        <v>1278</v>
      </c>
      <c r="AK40" s="352"/>
      <c r="AL40" s="261"/>
      <c r="AM40" s="262"/>
      <c r="AO40" s="261">
        <v>95</v>
      </c>
      <c r="AP40" s="320">
        <v>1.0004299999999999</v>
      </c>
    </row>
    <row r="41" spans="2:42">
      <c r="B41" s="261" t="s">
        <v>327</v>
      </c>
      <c r="C41" s="261">
        <v>1542</v>
      </c>
      <c r="E41" s="261" t="s">
        <v>327</v>
      </c>
      <c r="F41" s="261">
        <v>1504.84</v>
      </c>
      <c r="H41" s="261" t="s">
        <v>327</v>
      </c>
      <c r="I41" s="262">
        <v>689</v>
      </c>
      <c r="K41" s="261">
        <v>36</v>
      </c>
      <c r="L41" s="262">
        <v>257.54000000000002</v>
      </c>
      <c r="M41" s="352"/>
      <c r="N41" s="261">
        <v>37</v>
      </c>
      <c r="O41" s="262">
        <v>535.12</v>
      </c>
      <c r="P41" s="352"/>
      <c r="Q41" s="261">
        <v>37</v>
      </c>
      <c r="R41" s="262">
        <v>244</v>
      </c>
      <c r="S41" s="352"/>
      <c r="T41" s="261">
        <v>37</v>
      </c>
      <c r="U41" s="262">
        <v>244</v>
      </c>
      <c r="V41" s="352"/>
      <c r="W41" s="261">
        <v>37</v>
      </c>
      <c r="X41" s="262">
        <v>416.3</v>
      </c>
      <c r="Y41" s="352"/>
      <c r="Z41" s="261">
        <v>37</v>
      </c>
      <c r="AA41" s="262">
        <v>452.89</v>
      </c>
      <c r="AB41" s="352"/>
      <c r="AC41" s="261">
        <v>37</v>
      </c>
      <c r="AD41" s="262">
        <v>837.93</v>
      </c>
      <c r="AE41" s="352"/>
      <c r="AF41" s="261">
        <v>37</v>
      </c>
      <c r="AG41" s="262">
        <v>2443.88</v>
      </c>
      <c r="AH41" s="352"/>
      <c r="AI41" s="261">
        <v>37</v>
      </c>
      <c r="AJ41" s="262">
        <v>1306</v>
      </c>
      <c r="AK41" s="352"/>
      <c r="AL41" s="261"/>
      <c r="AM41" s="262"/>
      <c r="AO41" s="261">
        <v>96</v>
      </c>
      <c r="AP41" s="320">
        <v>1.0004500000000001</v>
      </c>
    </row>
    <row r="42" spans="2:42">
      <c r="B42" s="261" t="s">
        <v>328</v>
      </c>
      <c r="C42" s="261">
        <v>1573</v>
      </c>
      <c r="E42" s="261" t="s">
        <v>328</v>
      </c>
      <c r="F42" s="261">
        <v>1536.1</v>
      </c>
      <c r="H42" s="261" t="s">
        <v>328</v>
      </c>
      <c r="I42" s="262">
        <f>I41+18</f>
        <v>707</v>
      </c>
      <c r="K42" s="261">
        <v>37</v>
      </c>
      <c r="L42" s="262">
        <v>264.86</v>
      </c>
      <c r="M42" s="352"/>
      <c r="N42" s="261">
        <v>38</v>
      </c>
      <c r="O42" s="262">
        <v>546.22</v>
      </c>
      <c r="P42" s="352"/>
      <c r="Q42" s="261">
        <v>38</v>
      </c>
      <c r="R42" s="262">
        <v>248</v>
      </c>
      <c r="S42" s="352"/>
      <c r="T42" s="261">
        <v>38</v>
      </c>
      <c r="U42" s="262">
        <v>248</v>
      </c>
      <c r="V42" s="352"/>
      <c r="W42" s="261">
        <v>38</v>
      </c>
      <c r="X42" s="262">
        <v>423.8</v>
      </c>
      <c r="Y42" s="352"/>
      <c r="Z42" s="261">
        <v>38</v>
      </c>
      <c r="AA42" s="262">
        <v>460.39</v>
      </c>
      <c r="AB42" s="352"/>
      <c r="AC42" s="261">
        <v>38</v>
      </c>
      <c r="AD42" s="262">
        <v>863.55</v>
      </c>
      <c r="AE42" s="352"/>
      <c r="AF42" s="261">
        <v>38</v>
      </c>
      <c r="AG42" s="262">
        <v>2512.29</v>
      </c>
      <c r="AH42" s="352"/>
      <c r="AI42" s="261">
        <v>38</v>
      </c>
      <c r="AJ42" s="262">
        <v>1334</v>
      </c>
      <c r="AK42" s="352"/>
      <c r="AL42" s="261"/>
      <c r="AM42" s="262"/>
      <c r="AO42" s="261">
        <v>97</v>
      </c>
      <c r="AP42" s="320">
        <v>1.0004599999999999</v>
      </c>
    </row>
    <row r="43" spans="2:42">
      <c r="B43" s="261" t="s">
        <v>329</v>
      </c>
      <c r="C43" s="261">
        <v>1604</v>
      </c>
      <c r="E43" s="261" t="s">
        <v>329</v>
      </c>
      <c r="F43" s="261">
        <v>1567.53</v>
      </c>
      <c r="H43" s="261" t="s">
        <v>329</v>
      </c>
      <c r="I43" s="262">
        <v>724</v>
      </c>
      <c r="K43" s="261">
        <v>38</v>
      </c>
      <c r="L43" s="262">
        <v>272.19</v>
      </c>
      <c r="M43" s="352"/>
      <c r="N43" s="261">
        <v>39</v>
      </c>
      <c r="O43" s="262">
        <v>557.30999999999995</v>
      </c>
      <c r="P43" s="352"/>
      <c r="Q43" s="261">
        <v>39</v>
      </c>
      <c r="R43" s="262">
        <v>252</v>
      </c>
      <c r="S43" s="352"/>
      <c r="T43" s="261">
        <v>39</v>
      </c>
      <c r="U43" s="262">
        <v>252</v>
      </c>
      <c r="V43" s="352"/>
      <c r="W43" s="261">
        <v>39</v>
      </c>
      <c r="X43" s="262">
        <v>431.3</v>
      </c>
      <c r="Y43" s="352"/>
      <c r="Z43" s="261">
        <v>39</v>
      </c>
      <c r="AA43" s="262">
        <v>467.89</v>
      </c>
      <c r="AB43" s="352"/>
      <c r="AC43" s="261">
        <v>39</v>
      </c>
      <c r="AD43" s="262">
        <v>889.17</v>
      </c>
      <c r="AE43" s="352"/>
      <c r="AF43" s="261">
        <v>39</v>
      </c>
      <c r="AG43" s="262">
        <v>2580.6999999999998</v>
      </c>
      <c r="AH43" s="352"/>
      <c r="AI43" s="261">
        <v>39</v>
      </c>
      <c r="AJ43" s="262">
        <v>1363</v>
      </c>
      <c r="AK43" s="352"/>
      <c r="AL43" s="261"/>
      <c r="AM43" s="262"/>
      <c r="AO43" s="261">
        <v>98</v>
      </c>
      <c r="AP43" s="320">
        <v>1.00047</v>
      </c>
    </row>
    <row r="44" spans="2:42">
      <c r="B44" s="261" t="s">
        <v>330</v>
      </c>
      <c r="C44" s="261">
        <v>1635</v>
      </c>
      <c r="E44" s="261" t="s">
        <v>330</v>
      </c>
      <c r="F44" s="261">
        <v>1598.79</v>
      </c>
      <c r="H44" s="261" t="s">
        <v>330</v>
      </c>
      <c r="I44" s="262">
        <f>I43+18</f>
        <v>742</v>
      </c>
      <c r="K44" s="261">
        <v>39</v>
      </c>
      <c r="L44" s="262">
        <v>279.52999999999997</v>
      </c>
      <c r="M44" s="352"/>
      <c r="N44" s="261">
        <v>40</v>
      </c>
      <c r="O44" s="262">
        <v>568.41</v>
      </c>
      <c r="P44" s="352"/>
      <c r="Q44" s="261">
        <v>40</v>
      </c>
      <c r="R44" s="262">
        <v>256</v>
      </c>
      <c r="S44" s="352"/>
      <c r="T44" s="261">
        <v>40</v>
      </c>
      <c r="U44" s="262">
        <v>256</v>
      </c>
      <c r="V44" s="352"/>
      <c r="W44" s="261">
        <v>40</v>
      </c>
      <c r="X44" s="262">
        <v>438.8</v>
      </c>
      <c r="Y44" s="352"/>
      <c r="Z44" s="261">
        <v>40</v>
      </c>
      <c r="AA44" s="262">
        <v>475.4</v>
      </c>
      <c r="AB44" s="352"/>
      <c r="AC44" s="261">
        <v>40</v>
      </c>
      <c r="AD44" s="262">
        <v>914.8</v>
      </c>
      <c r="AE44" s="352"/>
      <c r="AF44" s="261">
        <v>40</v>
      </c>
      <c r="AG44" s="262">
        <v>2649.11</v>
      </c>
      <c r="AH44" s="352"/>
      <c r="AI44" s="261">
        <v>40</v>
      </c>
      <c r="AJ44" s="262">
        <v>1391</v>
      </c>
      <c r="AK44" s="352"/>
      <c r="AL44" s="261"/>
      <c r="AM44" s="262"/>
      <c r="AO44" s="261">
        <v>99</v>
      </c>
      <c r="AP44" s="320">
        <v>1.0004900000000001</v>
      </c>
    </row>
    <row r="45" spans="2:42">
      <c r="B45" s="261" t="s">
        <v>331</v>
      </c>
      <c r="C45" s="261">
        <v>1667</v>
      </c>
      <c r="E45" s="261" t="s">
        <v>331</v>
      </c>
      <c r="F45" s="261">
        <v>1630.21</v>
      </c>
      <c r="H45" s="261" t="s">
        <v>331</v>
      </c>
      <c r="I45" s="262">
        <v>759</v>
      </c>
      <c r="K45" s="261">
        <v>40</v>
      </c>
      <c r="L45" s="262">
        <v>286.85000000000002</v>
      </c>
      <c r="M45" s="352"/>
      <c r="N45" s="261">
        <v>41</v>
      </c>
      <c r="O45" s="262">
        <v>579.51</v>
      </c>
      <c r="P45" s="352"/>
      <c r="Q45" s="261">
        <v>41</v>
      </c>
      <c r="R45" s="262">
        <v>260</v>
      </c>
      <c r="S45" s="352"/>
      <c r="T45" s="261">
        <v>41</v>
      </c>
      <c r="U45" s="262">
        <v>260</v>
      </c>
      <c r="V45" s="352"/>
      <c r="W45" s="261">
        <v>41</v>
      </c>
      <c r="X45" s="262">
        <v>446.3</v>
      </c>
      <c r="Y45" s="352"/>
      <c r="Z45" s="261">
        <v>41</v>
      </c>
      <c r="AA45" s="262">
        <v>482.9</v>
      </c>
      <c r="AB45" s="352"/>
      <c r="AC45" s="261">
        <v>41</v>
      </c>
      <c r="AD45" s="262">
        <v>940.42</v>
      </c>
      <c r="AE45" s="352"/>
      <c r="AF45" s="261">
        <v>41</v>
      </c>
      <c r="AG45" s="262">
        <v>2717.52</v>
      </c>
      <c r="AH45" s="352"/>
      <c r="AI45" s="261">
        <v>41</v>
      </c>
      <c r="AJ45" s="262">
        <v>1420</v>
      </c>
      <c r="AK45" s="352"/>
      <c r="AL45" s="261"/>
      <c r="AM45" s="262"/>
      <c r="AO45" s="261">
        <v>100</v>
      </c>
      <c r="AP45" s="320">
        <v>1.0004999999999999</v>
      </c>
    </row>
    <row r="46" spans="2:42">
      <c r="B46" s="261" t="s">
        <v>332</v>
      </c>
      <c r="C46" s="261">
        <v>1698</v>
      </c>
      <c r="E46" s="261" t="s">
        <v>332</v>
      </c>
      <c r="F46" s="261">
        <v>1661.47</v>
      </c>
      <c r="H46" s="261" t="s">
        <v>332</v>
      </c>
      <c r="I46" s="262">
        <f>I45+18</f>
        <v>777</v>
      </c>
      <c r="K46" s="261">
        <v>41</v>
      </c>
      <c r="L46" s="262">
        <v>294.18</v>
      </c>
      <c r="M46" s="352"/>
      <c r="N46" s="261">
        <v>42</v>
      </c>
      <c r="O46" s="262">
        <v>590.6</v>
      </c>
      <c r="P46" s="352"/>
      <c r="Q46" s="261">
        <v>42</v>
      </c>
      <c r="R46" s="262">
        <v>265</v>
      </c>
      <c r="S46" s="352"/>
      <c r="T46" s="261">
        <v>42</v>
      </c>
      <c r="U46" s="262">
        <v>265</v>
      </c>
      <c r="V46" s="352"/>
      <c r="W46" s="261">
        <v>42</v>
      </c>
      <c r="X46" s="262">
        <v>453.8</v>
      </c>
      <c r="Y46" s="352"/>
      <c r="Z46" s="261">
        <v>42</v>
      </c>
      <c r="AA46" s="262">
        <v>490.4</v>
      </c>
      <c r="AB46" s="352"/>
      <c r="AC46" s="261">
        <v>42</v>
      </c>
      <c r="AD46" s="262">
        <v>966.05</v>
      </c>
      <c r="AE46" s="352"/>
      <c r="AF46" s="261">
        <v>42</v>
      </c>
      <c r="AG46" s="262">
        <v>2785.92</v>
      </c>
      <c r="AH46" s="352"/>
      <c r="AI46" s="261">
        <v>42</v>
      </c>
      <c r="AJ46" s="262">
        <v>1448</v>
      </c>
      <c r="AK46" s="352"/>
      <c r="AL46" s="261"/>
      <c r="AM46" s="262"/>
      <c r="AO46" s="261">
        <v>101</v>
      </c>
      <c r="AP46" s="320">
        <v>1.00051</v>
      </c>
    </row>
    <row r="47" spans="2:42">
      <c r="B47" s="261" t="s">
        <v>333</v>
      </c>
      <c r="C47" s="261">
        <v>1730</v>
      </c>
      <c r="E47" s="261" t="s">
        <v>333</v>
      </c>
      <c r="F47" s="261">
        <v>1692.88</v>
      </c>
      <c r="H47" s="261" t="s">
        <v>333</v>
      </c>
      <c r="I47" s="262">
        <v>795</v>
      </c>
      <c r="K47" s="261">
        <v>42</v>
      </c>
      <c r="L47" s="262">
        <v>301.51</v>
      </c>
      <c r="M47" s="352"/>
      <c r="N47" s="261">
        <v>43</v>
      </c>
      <c r="O47" s="262">
        <v>601.70000000000005</v>
      </c>
      <c r="P47" s="352"/>
      <c r="Q47" s="261">
        <v>43</v>
      </c>
      <c r="R47" s="262">
        <v>269</v>
      </c>
      <c r="S47" s="352"/>
      <c r="T47" s="261">
        <v>43</v>
      </c>
      <c r="U47" s="262">
        <v>269</v>
      </c>
      <c r="V47" s="352"/>
      <c r="W47" s="261">
        <v>43</v>
      </c>
      <c r="X47" s="262">
        <v>461.3</v>
      </c>
      <c r="Y47" s="352"/>
      <c r="Z47" s="261">
        <v>43</v>
      </c>
      <c r="AA47" s="262">
        <v>497.9</v>
      </c>
      <c r="AB47" s="352"/>
      <c r="AC47" s="261">
        <v>43</v>
      </c>
      <c r="AD47" s="262">
        <v>991.67</v>
      </c>
      <c r="AE47" s="352"/>
      <c r="AF47" s="261">
        <v>43</v>
      </c>
      <c r="AG47" s="262">
        <v>2854.33</v>
      </c>
      <c r="AH47" s="352"/>
      <c r="AI47" s="261">
        <v>43</v>
      </c>
      <c r="AJ47" s="262">
        <v>1476</v>
      </c>
      <c r="AK47" s="352"/>
      <c r="AL47" s="261"/>
      <c r="AM47" s="262"/>
      <c r="AO47" s="261">
        <v>102</v>
      </c>
      <c r="AP47" s="320">
        <v>1.0005200000000001</v>
      </c>
    </row>
    <row r="48" spans="2:42">
      <c r="B48" s="261" t="s">
        <v>334</v>
      </c>
      <c r="C48" s="261">
        <v>1761</v>
      </c>
      <c r="E48" s="261" t="s">
        <v>334</v>
      </c>
      <c r="F48" s="261">
        <v>1724.14</v>
      </c>
      <c r="H48" s="261" t="s">
        <v>334</v>
      </c>
      <c r="I48" s="262">
        <f>I47+18</f>
        <v>813</v>
      </c>
      <c r="K48" s="261">
        <v>43</v>
      </c>
      <c r="L48" s="262">
        <v>308.83999999999997</v>
      </c>
      <c r="M48" s="352"/>
      <c r="N48" s="261">
        <v>44</v>
      </c>
      <c r="O48" s="262">
        <v>612.79</v>
      </c>
      <c r="P48" s="352"/>
      <c r="Q48" s="261">
        <v>44</v>
      </c>
      <c r="R48" s="262">
        <v>273</v>
      </c>
      <c r="S48" s="352"/>
      <c r="T48" s="261">
        <v>44</v>
      </c>
      <c r="U48" s="262">
        <v>273</v>
      </c>
      <c r="V48" s="352"/>
      <c r="W48" s="261">
        <v>44</v>
      </c>
      <c r="X48" s="262">
        <v>468.8</v>
      </c>
      <c r="Y48" s="352"/>
      <c r="Z48" s="261">
        <v>44</v>
      </c>
      <c r="AA48" s="262">
        <v>505.4</v>
      </c>
      <c r="AB48" s="352"/>
      <c r="AC48" s="261">
        <v>44</v>
      </c>
      <c r="AD48" s="262">
        <v>1017.29</v>
      </c>
      <c r="AE48" s="352"/>
      <c r="AF48" s="261">
        <v>44</v>
      </c>
      <c r="AG48" s="262">
        <v>2922.74</v>
      </c>
      <c r="AH48" s="352"/>
      <c r="AI48" s="261">
        <v>44</v>
      </c>
      <c r="AJ48" s="262">
        <v>1505</v>
      </c>
      <c r="AK48" s="352"/>
      <c r="AL48" s="261"/>
      <c r="AM48" s="262"/>
      <c r="AO48" s="261">
        <v>103</v>
      </c>
      <c r="AP48" s="320">
        <v>1.00054</v>
      </c>
    </row>
    <row r="49" spans="2:42">
      <c r="B49" s="261" t="s">
        <v>335</v>
      </c>
      <c r="C49" s="261">
        <v>1792</v>
      </c>
      <c r="E49" s="261" t="s">
        <v>335</v>
      </c>
      <c r="F49" s="261">
        <v>1755.52</v>
      </c>
      <c r="H49" s="261" t="s">
        <v>335</v>
      </c>
      <c r="I49" s="262">
        <v>830</v>
      </c>
      <c r="K49" s="261">
        <v>44</v>
      </c>
      <c r="L49" s="262">
        <v>316.16000000000003</v>
      </c>
      <c r="M49" s="352"/>
      <c r="N49" s="261">
        <v>45</v>
      </c>
      <c r="O49" s="262">
        <v>623.89</v>
      </c>
      <c r="P49" s="352"/>
      <c r="Q49" s="261">
        <v>45</v>
      </c>
      <c r="R49" s="262">
        <v>277</v>
      </c>
      <c r="S49" s="352"/>
      <c r="T49" s="261">
        <v>45</v>
      </c>
      <c r="U49" s="262">
        <v>277</v>
      </c>
      <c r="V49" s="352"/>
      <c r="W49" s="261">
        <v>45</v>
      </c>
      <c r="X49" s="262">
        <v>476.3</v>
      </c>
      <c r="Y49" s="352"/>
      <c r="Z49" s="261">
        <v>45</v>
      </c>
      <c r="AA49" s="262">
        <v>512.9</v>
      </c>
      <c r="AB49" s="352"/>
      <c r="AC49" s="261">
        <v>45</v>
      </c>
      <c r="AD49" s="262">
        <v>1042.92</v>
      </c>
      <c r="AE49" s="352"/>
      <c r="AF49" s="261">
        <v>45</v>
      </c>
      <c r="AG49" s="262">
        <v>2991.15</v>
      </c>
      <c r="AH49" s="352"/>
      <c r="AI49" s="261">
        <v>45</v>
      </c>
      <c r="AJ49" s="262">
        <v>1533</v>
      </c>
      <c r="AK49" s="352"/>
      <c r="AL49" s="261"/>
      <c r="AM49" s="262"/>
      <c r="AO49" s="261">
        <v>104</v>
      </c>
      <c r="AP49" s="320">
        <v>1.0005500000000001</v>
      </c>
    </row>
    <row r="50" spans="2:42">
      <c r="B50" s="261" t="s">
        <v>336</v>
      </c>
      <c r="C50" s="261">
        <v>1823</v>
      </c>
      <c r="E50" s="261" t="s">
        <v>336</v>
      </c>
      <c r="F50" s="261">
        <v>1786.78</v>
      </c>
      <c r="H50" s="261" t="s">
        <v>336</v>
      </c>
      <c r="I50" s="262">
        <f>I49+18</f>
        <v>848</v>
      </c>
      <c r="K50" s="261">
        <v>45</v>
      </c>
      <c r="L50" s="262">
        <v>323.49</v>
      </c>
      <c r="M50" s="352"/>
      <c r="N50" s="261">
        <v>46</v>
      </c>
      <c r="O50" s="262">
        <v>634.99</v>
      </c>
      <c r="P50" s="352"/>
      <c r="Q50" s="261">
        <v>46</v>
      </c>
      <c r="R50" s="262">
        <v>281</v>
      </c>
      <c r="S50" s="352"/>
      <c r="T50" s="261">
        <v>46</v>
      </c>
      <c r="U50" s="262">
        <v>281</v>
      </c>
      <c r="V50" s="352"/>
      <c r="W50" s="261">
        <v>46</v>
      </c>
      <c r="X50" s="262">
        <v>483.8</v>
      </c>
      <c r="Y50" s="352"/>
      <c r="Z50" s="261">
        <v>46</v>
      </c>
      <c r="AA50" s="262">
        <v>520.41</v>
      </c>
      <c r="AB50" s="352"/>
      <c r="AC50" s="261">
        <v>46</v>
      </c>
      <c r="AD50" s="262">
        <v>1068.54</v>
      </c>
      <c r="AE50" s="352"/>
      <c r="AF50" s="261">
        <v>46</v>
      </c>
      <c r="AG50" s="262">
        <v>3059.56</v>
      </c>
      <c r="AH50" s="352"/>
      <c r="AI50" s="261">
        <v>46</v>
      </c>
      <c r="AJ50" s="262">
        <v>1562</v>
      </c>
      <c r="AK50" s="352"/>
      <c r="AL50" s="261"/>
      <c r="AM50" s="262"/>
      <c r="AO50" s="261">
        <v>105</v>
      </c>
      <c r="AP50" s="320">
        <v>1.0005599999999999</v>
      </c>
    </row>
    <row r="51" spans="2:42">
      <c r="B51" s="261" t="s">
        <v>337</v>
      </c>
      <c r="C51" s="261">
        <v>1855</v>
      </c>
      <c r="E51" s="261" t="s">
        <v>337</v>
      </c>
      <c r="F51" s="261">
        <v>1818.16</v>
      </c>
      <c r="H51" s="261" t="s">
        <v>337</v>
      </c>
      <c r="I51" s="262">
        <v>865</v>
      </c>
      <c r="K51" s="261">
        <v>46</v>
      </c>
      <c r="L51" s="262">
        <v>330.82</v>
      </c>
      <c r="M51" s="352"/>
      <c r="N51" s="261">
        <v>47</v>
      </c>
      <c r="O51" s="262">
        <v>646.08000000000004</v>
      </c>
      <c r="P51" s="352"/>
      <c r="Q51" s="261">
        <v>47</v>
      </c>
      <c r="R51" s="262">
        <v>285</v>
      </c>
      <c r="S51" s="352"/>
      <c r="T51" s="261">
        <v>47</v>
      </c>
      <c r="U51" s="262">
        <v>285</v>
      </c>
      <c r="V51" s="352"/>
      <c r="W51" s="261">
        <v>47</v>
      </c>
      <c r="X51" s="262">
        <v>491.3</v>
      </c>
      <c r="Y51" s="352"/>
      <c r="Z51" s="261">
        <v>47</v>
      </c>
      <c r="AA51" s="262">
        <v>527.91</v>
      </c>
      <c r="AB51" s="352"/>
      <c r="AC51" s="261">
        <v>47</v>
      </c>
      <c r="AD51" s="262">
        <v>1094.17</v>
      </c>
      <c r="AE51" s="352"/>
      <c r="AF51" s="261">
        <v>47</v>
      </c>
      <c r="AG51" s="262">
        <v>3127.97</v>
      </c>
      <c r="AH51" s="352"/>
      <c r="AI51" s="261">
        <v>47</v>
      </c>
      <c r="AJ51" s="262">
        <v>1590</v>
      </c>
      <c r="AK51" s="352"/>
      <c r="AL51" s="261"/>
      <c r="AM51" s="262"/>
      <c r="AO51" s="261">
        <v>106</v>
      </c>
      <c r="AP51" s="320">
        <v>1.00057</v>
      </c>
    </row>
    <row r="52" spans="2:42">
      <c r="B52" s="261" t="s">
        <v>338</v>
      </c>
      <c r="C52" s="261">
        <v>1886</v>
      </c>
      <c r="E52" s="261" t="s">
        <v>338</v>
      </c>
      <c r="F52" s="261">
        <v>1849.42</v>
      </c>
      <c r="H52" s="261" t="s">
        <v>338</v>
      </c>
      <c r="I52" s="262">
        <f>I51+18</f>
        <v>883</v>
      </c>
      <c r="K52" s="261">
        <v>47</v>
      </c>
      <c r="L52" s="262">
        <v>338.14</v>
      </c>
      <c r="M52" s="352"/>
      <c r="N52" s="261">
        <v>48</v>
      </c>
      <c r="O52" s="262">
        <v>657.18</v>
      </c>
      <c r="P52" s="352"/>
      <c r="Q52" s="261">
        <v>48</v>
      </c>
      <c r="R52" s="262">
        <v>289</v>
      </c>
      <c r="S52" s="352"/>
      <c r="T52" s="261">
        <v>48</v>
      </c>
      <c r="U52" s="262">
        <v>289</v>
      </c>
      <c r="V52" s="352"/>
      <c r="W52" s="261">
        <v>48</v>
      </c>
      <c r="X52" s="262">
        <v>498.8</v>
      </c>
      <c r="Y52" s="352"/>
      <c r="Z52" s="261">
        <v>48</v>
      </c>
      <c r="AA52" s="262">
        <v>535.41</v>
      </c>
      <c r="AB52" s="352"/>
      <c r="AC52" s="261">
        <v>48</v>
      </c>
      <c r="AD52" s="262">
        <v>1119.79</v>
      </c>
      <c r="AE52" s="352"/>
      <c r="AF52" s="261">
        <v>48</v>
      </c>
      <c r="AG52" s="262">
        <v>3196.38</v>
      </c>
      <c r="AH52" s="352"/>
      <c r="AI52" s="261">
        <v>48</v>
      </c>
      <c r="AJ52" s="262">
        <v>1618</v>
      </c>
      <c r="AK52" s="352"/>
      <c r="AL52" s="261"/>
      <c r="AM52" s="262"/>
      <c r="AO52" s="261">
        <v>107</v>
      </c>
      <c r="AP52" s="320">
        <v>1.0005900000000001</v>
      </c>
    </row>
    <row r="53" spans="2:42">
      <c r="B53" s="261" t="s">
        <v>339</v>
      </c>
      <c r="C53" s="261">
        <v>1917</v>
      </c>
      <c r="E53" s="261" t="s">
        <v>339</v>
      </c>
      <c r="F53" s="261">
        <v>1880.8</v>
      </c>
      <c r="H53" s="261" t="s">
        <v>339</v>
      </c>
      <c r="I53" s="262">
        <v>901</v>
      </c>
      <c r="K53" s="261">
        <v>48</v>
      </c>
      <c r="L53" s="262">
        <v>345.47</v>
      </c>
      <c r="M53" s="352"/>
      <c r="N53" s="261">
        <v>49</v>
      </c>
      <c r="O53" s="262">
        <v>668.27</v>
      </c>
      <c r="P53" s="352"/>
      <c r="Q53" s="261">
        <v>49</v>
      </c>
      <c r="R53" s="262">
        <v>293</v>
      </c>
      <c r="S53" s="352"/>
      <c r="T53" s="261">
        <v>49</v>
      </c>
      <c r="U53" s="262">
        <v>293</v>
      </c>
      <c r="V53" s="352"/>
      <c r="W53" s="261">
        <v>49</v>
      </c>
      <c r="X53" s="262">
        <v>506.3</v>
      </c>
      <c r="Y53" s="352"/>
      <c r="Z53" s="261">
        <v>49</v>
      </c>
      <c r="AA53" s="262">
        <v>542.91</v>
      </c>
      <c r="AB53" s="352"/>
      <c r="AC53" s="261">
        <v>49</v>
      </c>
      <c r="AD53" s="262">
        <v>1145.4100000000001</v>
      </c>
      <c r="AE53" s="352"/>
      <c r="AF53" s="261">
        <v>49</v>
      </c>
      <c r="AG53" s="262">
        <v>3264.79</v>
      </c>
      <c r="AH53" s="352"/>
      <c r="AI53" s="261">
        <v>49</v>
      </c>
      <c r="AJ53" s="262">
        <v>1647</v>
      </c>
      <c r="AK53" s="352"/>
      <c r="AL53" s="261"/>
      <c r="AM53" s="262"/>
      <c r="AO53" s="261">
        <v>108</v>
      </c>
      <c r="AP53" s="320">
        <v>1.0005999999999999</v>
      </c>
    </row>
    <row r="54" spans="2:42">
      <c r="B54" s="261" t="s">
        <v>1068</v>
      </c>
      <c r="C54" s="261">
        <v>1948</v>
      </c>
      <c r="E54" s="261" t="s">
        <v>1068</v>
      </c>
      <c r="F54" s="261">
        <v>1912.06</v>
      </c>
      <c r="H54" s="261" t="s">
        <v>340</v>
      </c>
      <c r="I54" s="262">
        <f>I53+18</f>
        <v>919</v>
      </c>
      <c r="K54" s="261">
        <v>49</v>
      </c>
      <c r="L54" s="262">
        <v>352.8</v>
      </c>
      <c r="M54" s="352"/>
      <c r="N54" s="261">
        <v>50</v>
      </c>
      <c r="O54" s="262">
        <v>679.37</v>
      </c>
      <c r="P54" s="352"/>
      <c r="Q54" s="261">
        <v>50</v>
      </c>
      <c r="R54" s="262">
        <v>298</v>
      </c>
      <c r="S54" s="352"/>
      <c r="T54" s="261">
        <v>50</v>
      </c>
      <c r="U54" s="262">
        <v>298</v>
      </c>
      <c r="V54" s="352"/>
      <c r="W54" s="261">
        <v>50</v>
      </c>
      <c r="X54" s="262">
        <v>513.79999999999995</v>
      </c>
      <c r="Y54" s="352"/>
      <c r="Z54" s="261">
        <v>50</v>
      </c>
      <c r="AA54" s="262">
        <v>550.41</v>
      </c>
      <c r="AB54" s="352"/>
      <c r="AC54" s="261">
        <v>50</v>
      </c>
      <c r="AD54" s="262">
        <v>1171.04</v>
      </c>
      <c r="AE54" s="352"/>
      <c r="AF54" s="261">
        <v>50</v>
      </c>
      <c r="AG54" s="262">
        <v>3333.2</v>
      </c>
      <c r="AH54" s="352"/>
      <c r="AI54" s="261">
        <v>50</v>
      </c>
      <c r="AJ54" s="262">
        <v>1675</v>
      </c>
      <c r="AK54" s="352"/>
      <c r="AL54" s="261"/>
      <c r="AM54" s="262"/>
      <c r="AO54" s="261">
        <v>109</v>
      </c>
      <c r="AP54" s="320">
        <v>1.00061</v>
      </c>
    </row>
    <row r="55" spans="2:42">
      <c r="B55" s="261" t="s">
        <v>341</v>
      </c>
      <c r="C55" s="261">
        <v>1980</v>
      </c>
      <c r="E55" s="261" t="s">
        <v>341</v>
      </c>
      <c r="F55" s="261">
        <v>1943.43</v>
      </c>
      <c r="H55" s="261" t="s">
        <v>341</v>
      </c>
      <c r="I55" s="262">
        <v>936</v>
      </c>
      <c r="K55" s="261">
        <v>50</v>
      </c>
      <c r="L55" s="262">
        <v>360.12</v>
      </c>
      <c r="M55" s="352"/>
      <c r="N55" s="261">
        <v>51</v>
      </c>
      <c r="O55" s="262">
        <v>690.46</v>
      </c>
      <c r="P55" s="352"/>
      <c r="Q55" s="261">
        <v>51</v>
      </c>
      <c r="R55" s="262">
        <v>302</v>
      </c>
      <c r="S55" s="352"/>
      <c r="T55" s="261">
        <v>51</v>
      </c>
      <c r="U55" s="262">
        <v>302</v>
      </c>
      <c r="V55" s="352"/>
      <c r="W55" s="261">
        <v>51</v>
      </c>
      <c r="X55" s="262">
        <v>521.20000000000005</v>
      </c>
      <c r="Y55" s="352"/>
      <c r="Z55" s="261">
        <v>51</v>
      </c>
      <c r="AA55" s="262">
        <v>557.91</v>
      </c>
      <c r="AB55" s="352"/>
      <c r="AC55" s="261">
        <v>51</v>
      </c>
      <c r="AD55" s="262">
        <v>1196.6600000000001</v>
      </c>
      <c r="AE55" s="352"/>
      <c r="AF55" s="261">
        <v>51</v>
      </c>
      <c r="AG55" s="262">
        <v>3401.61</v>
      </c>
      <c r="AH55" s="352"/>
      <c r="AI55" s="261">
        <v>51</v>
      </c>
      <c r="AJ55" s="262">
        <v>1704</v>
      </c>
      <c r="AK55" s="352"/>
      <c r="AL55" s="261"/>
      <c r="AM55" s="262"/>
      <c r="AO55" s="261">
        <v>110</v>
      </c>
      <c r="AP55" s="320">
        <v>1.0006299999999999</v>
      </c>
    </row>
    <row r="56" spans="2:42">
      <c r="B56" s="261" t="s">
        <v>1069</v>
      </c>
      <c r="C56" s="261">
        <v>2011</v>
      </c>
      <c r="E56" s="261" t="s">
        <v>1069</v>
      </c>
      <c r="F56" s="261">
        <v>1974.69</v>
      </c>
      <c r="H56" s="261" t="s">
        <v>318</v>
      </c>
      <c r="I56" s="262">
        <f>I55+18</f>
        <v>954</v>
      </c>
      <c r="K56" s="261">
        <v>51</v>
      </c>
      <c r="L56" s="262">
        <v>367.44</v>
      </c>
      <c r="M56" s="352"/>
      <c r="N56" s="261">
        <v>52</v>
      </c>
      <c r="O56" s="262">
        <v>701.56</v>
      </c>
      <c r="P56" s="352"/>
      <c r="Q56" s="261">
        <v>52</v>
      </c>
      <c r="R56" s="262">
        <v>306</v>
      </c>
      <c r="S56" s="352"/>
      <c r="T56" s="261">
        <v>52</v>
      </c>
      <c r="U56" s="262">
        <v>306</v>
      </c>
      <c r="V56" s="352"/>
      <c r="W56" s="261">
        <v>52</v>
      </c>
      <c r="X56" s="262">
        <v>528.70000000000005</v>
      </c>
      <c r="Y56" s="352"/>
      <c r="Z56" s="261">
        <v>52</v>
      </c>
      <c r="AA56" s="262">
        <v>565.41999999999996</v>
      </c>
      <c r="AB56" s="352"/>
      <c r="AC56" s="261">
        <v>52</v>
      </c>
      <c r="AD56" s="262">
        <v>1222.6600000000001</v>
      </c>
      <c r="AE56" s="352"/>
      <c r="AF56" s="261">
        <v>52</v>
      </c>
      <c r="AG56" s="262">
        <v>3470.02</v>
      </c>
      <c r="AH56" s="352"/>
      <c r="AI56" s="261">
        <v>52</v>
      </c>
      <c r="AJ56" s="262">
        <v>1732</v>
      </c>
      <c r="AK56" s="352"/>
      <c r="AL56" s="261"/>
      <c r="AM56" s="262"/>
      <c r="AO56" s="261">
        <v>111</v>
      </c>
      <c r="AP56" s="320">
        <v>1.00064</v>
      </c>
    </row>
    <row r="57" spans="2:42">
      <c r="B57" s="261" t="s">
        <v>342</v>
      </c>
      <c r="C57" s="261">
        <v>2042</v>
      </c>
      <c r="E57" s="261" t="s">
        <v>342</v>
      </c>
      <c r="F57" s="261">
        <v>2006.04</v>
      </c>
      <c r="H57" s="261" t="s">
        <v>342</v>
      </c>
      <c r="I57" s="262">
        <v>971</v>
      </c>
      <c r="K57" s="261">
        <v>52</v>
      </c>
      <c r="L57" s="262">
        <v>374.77</v>
      </c>
      <c r="M57" s="352"/>
      <c r="N57" s="261">
        <v>53</v>
      </c>
      <c r="O57" s="262">
        <v>712.66</v>
      </c>
      <c r="P57" s="352"/>
      <c r="Q57" s="261">
        <v>53</v>
      </c>
      <c r="R57" s="262">
        <v>310</v>
      </c>
      <c r="S57" s="352"/>
      <c r="T57" s="261">
        <v>53</v>
      </c>
      <c r="U57" s="262">
        <v>310</v>
      </c>
      <c r="V57" s="352"/>
      <c r="W57" s="261">
        <v>53</v>
      </c>
      <c r="X57" s="262">
        <v>536.20000000000005</v>
      </c>
      <c r="Y57" s="352"/>
      <c r="Z57" s="261">
        <v>53</v>
      </c>
      <c r="AA57" s="262">
        <v>572.91999999999996</v>
      </c>
      <c r="AB57" s="352"/>
      <c r="AC57" s="261">
        <v>53</v>
      </c>
      <c r="AD57" s="262">
        <v>1247.9100000000001</v>
      </c>
      <c r="AE57" s="352"/>
      <c r="AF57" s="261">
        <v>53</v>
      </c>
      <c r="AG57" s="262">
        <v>3538.42</v>
      </c>
      <c r="AH57" s="352"/>
      <c r="AI57" s="261">
        <v>53</v>
      </c>
      <c r="AJ57" s="262">
        <v>1761</v>
      </c>
      <c r="AK57" s="352"/>
      <c r="AL57" s="261"/>
      <c r="AM57" s="262"/>
      <c r="AO57" s="261">
        <v>112</v>
      </c>
      <c r="AP57" s="320">
        <v>1.00065</v>
      </c>
    </row>
    <row r="58" spans="2:42">
      <c r="B58" s="261" t="s">
        <v>1070</v>
      </c>
      <c r="C58" s="261">
        <v>2073</v>
      </c>
      <c r="E58" s="261" t="s">
        <v>1070</v>
      </c>
      <c r="F58" s="261">
        <v>2037.3</v>
      </c>
      <c r="H58" s="261" t="s">
        <v>320</v>
      </c>
      <c r="I58" s="262">
        <f>I57+18</f>
        <v>989</v>
      </c>
      <c r="K58" s="261">
        <v>53</v>
      </c>
      <c r="L58" s="262">
        <v>382.09</v>
      </c>
      <c r="M58" s="352"/>
      <c r="N58" s="261">
        <v>54</v>
      </c>
      <c r="O58" s="262">
        <v>723.75</v>
      </c>
      <c r="P58" s="352"/>
      <c r="Q58" s="261">
        <v>54</v>
      </c>
      <c r="R58" s="262">
        <v>314</v>
      </c>
      <c r="S58" s="352"/>
      <c r="T58" s="261">
        <v>54</v>
      </c>
      <c r="U58" s="262">
        <v>314</v>
      </c>
      <c r="V58" s="352"/>
      <c r="W58" s="261">
        <v>54</v>
      </c>
      <c r="X58" s="262">
        <v>543.70000000000005</v>
      </c>
      <c r="Y58" s="352"/>
      <c r="Z58" s="261">
        <v>54</v>
      </c>
      <c r="AA58" s="262">
        <v>580.41999999999996</v>
      </c>
      <c r="AB58" s="352"/>
      <c r="AC58" s="261">
        <v>54</v>
      </c>
      <c r="AD58" s="262">
        <v>1273.53</v>
      </c>
      <c r="AE58" s="352"/>
      <c r="AF58" s="261">
        <v>54</v>
      </c>
      <c r="AG58" s="262">
        <v>3606.83</v>
      </c>
      <c r="AH58" s="352"/>
      <c r="AI58" s="261">
        <v>54</v>
      </c>
      <c r="AJ58" s="262">
        <v>1789</v>
      </c>
      <c r="AK58" s="352"/>
      <c r="AL58" s="261"/>
      <c r="AM58" s="262"/>
      <c r="AO58" s="261">
        <v>113</v>
      </c>
      <c r="AP58" s="320">
        <v>1.0006600000000001</v>
      </c>
    </row>
    <row r="59" spans="2:42">
      <c r="B59" s="261" t="s">
        <v>343</v>
      </c>
      <c r="C59" s="261">
        <v>2105</v>
      </c>
      <c r="E59" s="261" t="s">
        <v>343</v>
      </c>
      <c r="F59" s="261">
        <v>2068.67</v>
      </c>
      <c r="H59" s="261" t="s">
        <v>343</v>
      </c>
      <c r="I59" s="262">
        <v>1007</v>
      </c>
      <c r="K59" s="261">
        <v>54</v>
      </c>
      <c r="L59" s="262">
        <v>389.41</v>
      </c>
      <c r="M59" s="352"/>
      <c r="N59" s="261">
        <v>55</v>
      </c>
      <c r="O59" s="262">
        <v>734.85</v>
      </c>
      <c r="P59" s="352"/>
      <c r="Q59" s="261">
        <v>55</v>
      </c>
      <c r="R59" s="262">
        <v>318</v>
      </c>
      <c r="S59" s="352"/>
      <c r="T59" s="261">
        <v>55</v>
      </c>
      <c r="U59" s="262">
        <v>318</v>
      </c>
      <c r="V59" s="352"/>
      <c r="W59" s="261">
        <v>55</v>
      </c>
      <c r="X59" s="262">
        <v>551.20000000000005</v>
      </c>
      <c r="Y59" s="352"/>
      <c r="Z59" s="261">
        <v>55</v>
      </c>
      <c r="AA59" s="262">
        <v>587.91999999999996</v>
      </c>
      <c r="AB59" s="352"/>
      <c r="AC59" s="261">
        <v>55</v>
      </c>
      <c r="AD59" s="262">
        <v>1299.1600000000001</v>
      </c>
      <c r="AE59" s="352"/>
      <c r="AF59" s="261">
        <v>55</v>
      </c>
      <c r="AG59" s="262">
        <v>3675.24</v>
      </c>
      <c r="AH59" s="352"/>
      <c r="AI59" s="261">
        <v>55</v>
      </c>
      <c r="AJ59" s="262">
        <v>1817</v>
      </c>
      <c r="AK59" s="352"/>
      <c r="AL59" s="261"/>
      <c r="AM59" s="262"/>
      <c r="AO59" s="261">
        <v>114</v>
      </c>
      <c r="AP59" s="320">
        <v>1.00068</v>
      </c>
    </row>
    <row r="60" spans="2:42">
      <c r="B60" s="261" t="s">
        <v>344</v>
      </c>
      <c r="C60" s="261">
        <v>2136</v>
      </c>
      <c r="E60" s="261" t="s">
        <v>344</v>
      </c>
      <c r="F60" s="261">
        <v>2099.9300000000003</v>
      </c>
      <c r="H60" s="261" t="s">
        <v>344</v>
      </c>
      <c r="I60" s="262">
        <f>I59+18</f>
        <v>1025</v>
      </c>
      <c r="K60" s="261">
        <v>55</v>
      </c>
      <c r="L60" s="262">
        <v>396.72</v>
      </c>
      <c r="M60" s="352"/>
      <c r="N60" s="261">
        <v>56</v>
      </c>
      <c r="O60" s="262">
        <v>745.94</v>
      </c>
      <c r="P60" s="352"/>
      <c r="Q60" s="261">
        <v>56</v>
      </c>
      <c r="R60" s="262">
        <v>322</v>
      </c>
      <c r="S60" s="352"/>
      <c r="T60" s="261">
        <v>56</v>
      </c>
      <c r="U60" s="262">
        <v>322</v>
      </c>
      <c r="V60" s="352"/>
      <c r="W60" s="261">
        <v>56</v>
      </c>
      <c r="X60" s="262">
        <v>558.70000000000005</v>
      </c>
      <c r="Y60" s="352"/>
      <c r="Z60" s="261">
        <v>56</v>
      </c>
      <c r="AA60" s="262">
        <v>595.41999999999996</v>
      </c>
      <c r="AB60" s="352"/>
      <c r="AC60" s="261">
        <v>56</v>
      </c>
      <c r="AD60" s="262">
        <v>1324.78</v>
      </c>
      <c r="AE60" s="352"/>
      <c r="AF60" s="261">
        <v>56</v>
      </c>
      <c r="AG60" s="262">
        <v>3743.65</v>
      </c>
      <c r="AH60" s="352"/>
      <c r="AI60" s="261">
        <v>56</v>
      </c>
      <c r="AJ60" s="262">
        <v>1846</v>
      </c>
      <c r="AK60" s="352"/>
      <c r="AL60" s="261"/>
      <c r="AM60" s="262"/>
      <c r="AO60" s="261">
        <v>115</v>
      </c>
      <c r="AP60" s="320">
        <v>1.0006900000000001</v>
      </c>
    </row>
    <row r="61" spans="2:42">
      <c r="B61" s="261" t="s">
        <v>345</v>
      </c>
      <c r="C61" s="261">
        <v>2167</v>
      </c>
      <c r="E61" s="261" t="s">
        <v>345</v>
      </c>
      <c r="F61" s="261">
        <v>2131.2800000000002</v>
      </c>
      <c r="H61" s="261" t="s">
        <v>345</v>
      </c>
      <c r="I61" s="262">
        <v>1042</v>
      </c>
      <c r="K61" s="261">
        <v>56</v>
      </c>
      <c r="L61" s="262">
        <v>404.04</v>
      </c>
      <c r="M61" s="352"/>
      <c r="N61" s="261">
        <v>57</v>
      </c>
      <c r="O61" s="262">
        <v>757.04</v>
      </c>
      <c r="P61" s="352"/>
      <c r="Q61" s="261">
        <v>57</v>
      </c>
      <c r="R61" s="262">
        <v>326</v>
      </c>
      <c r="S61" s="352"/>
      <c r="T61" s="261">
        <v>57</v>
      </c>
      <c r="U61" s="262">
        <v>327</v>
      </c>
      <c r="V61" s="352"/>
      <c r="W61" s="261">
        <v>57</v>
      </c>
      <c r="X61" s="262">
        <v>566.20000000000005</v>
      </c>
      <c r="Y61" s="352"/>
      <c r="Z61" s="261">
        <v>57</v>
      </c>
      <c r="AA61" s="262">
        <v>602.91999999999996</v>
      </c>
      <c r="AB61" s="352"/>
      <c r="AC61" s="261">
        <v>57</v>
      </c>
      <c r="AD61" s="262">
        <v>1350.41</v>
      </c>
      <c r="AE61" s="352"/>
      <c r="AF61" s="261">
        <v>57</v>
      </c>
      <c r="AG61" s="262">
        <v>3812.06</v>
      </c>
      <c r="AH61" s="352"/>
      <c r="AI61" s="261">
        <v>57</v>
      </c>
      <c r="AJ61" s="262">
        <v>1874</v>
      </c>
      <c r="AK61" s="352"/>
      <c r="AL61" s="261"/>
      <c r="AM61" s="262"/>
      <c r="AO61" s="261">
        <v>116</v>
      </c>
      <c r="AP61" s="320">
        <v>1.0006999999999999</v>
      </c>
    </row>
    <row r="62" spans="2:42">
      <c r="B62" s="261" t="s">
        <v>346</v>
      </c>
      <c r="C62" s="261">
        <v>2198</v>
      </c>
      <c r="E62" s="261" t="s">
        <v>346</v>
      </c>
      <c r="F62" s="261">
        <v>2162.5400000000004</v>
      </c>
      <c r="H62" s="261" t="s">
        <v>346</v>
      </c>
      <c r="I62" s="262">
        <f>I61+18</f>
        <v>1060</v>
      </c>
      <c r="K62" s="261">
        <v>57</v>
      </c>
      <c r="L62" s="262">
        <v>411.36</v>
      </c>
      <c r="M62" s="352"/>
      <c r="N62" s="261">
        <v>58</v>
      </c>
      <c r="O62" s="262">
        <v>768.14</v>
      </c>
      <c r="P62" s="352"/>
      <c r="Q62" s="261">
        <v>58</v>
      </c>
      <c r="R62" s="262">
        <v>331</v>
      </c>
      <c r="S62" s="352"/>
      <c r="T62" s="261">
        <v>58</v>
      </c>
      <c r="U62" s="262">
        <v>331</v>
      </c>
      <c r="V62" s="352"/>
      <c r="W62" s="261">
        <v>58</v>
      </c>
      <c r="X62" s="262">
        <v>573.70000000000005</v>
      </c>
      <c r="Y62" s="352"/>
      <c r="Z62" s="261">
        <v>58</v>
      </c>
      <c r="AA62" s="262">
        <v>610.42999999999995</v>
      </c>
      <c r="AB62" s="352"/>
      <c r="AC62" s="261">
        <v>58</v>
      </c>
      <c r="AD62" s="262">
        <v>1376.03</v>
      </c>
      <c r="AE62" s="352"/>
      <c r="AF62" s="261">
        <v>58</v>
      </c>
      <c r="AG62" s="262">
        <v>3880.47</v>
      </c>
      <c r="AH62" s="352"/>
      <c r="AI62" s="261">
        <v>58</v>
      </c>
      <c r="AJ62" s="262">
        <v>1903</v>
      </c>
      <c r="AK62" s="352"/>
      <c r="AL62" s="261"/>
      <c r="AM62" s="262"/>
      <c r="AO62" s="261">
        <v>117</v>
      </c>
      <c r="AP62" s="320">
        <v>1.0007200000000001</v>
      </c>
    </row>
    <row r="63" spans="2:42">
      <c r="B63" s="261" t="s">
        <v>347</v>
      </c>
      <c r="C63" s="261">
        <v>2230</v>
      </c>
      <c r="E63" s="261" t="s">
        <v>347</v>
      </c>
      <c r="F63" s="261">
        <v>2193.9</v>
      </c>
      <c r="H63" s="261" t="s">
        <v>347</v>
      </c>
      <c r="I63" s="262">
        <v>1077</v>
      </c>
      <c r="K63" s="261">
        <v>58</v>
      </c>
      <c r="L63" s="262">
        <v>418.68</v>
      </c>
      <c r="M63" s="352"/>
      <c r="N63" s="261">
        <v>59</v>
      </c>
      <c r="O63" s="262">
        <v>779.23</v>
      </c>
      <c r="P63" s="352"/>
      <c r="Q63" s="261">
        <v>59</v>
      </c>
      <c r="R63" s="262">
        <v>335</v>
      </c>
      <c r="S63" s="352"/>
      <c r="T63" s="261">
        <v>59</v>
      </c>
      <c r="U63" s="262">
        <v>335</v>
      </c>
      <c r="V63" s="352"/>
      <c r="W63" s="261">
        <v>59</v>
      </c>
      <c r="X63" s="262">
        <v>581.20000000000005</v>
      </c>
      <c r="Y63" s="352"/>
      <c r="Z63" s="261">
        <v>59</v>
      </c>
      <c r="AA63" s="262">
        <v>617.92999999999995</v>
      </c>
      <c r="AB63" s="352"/>
      <c r="AC63" s="261">
        <v>59</v>
      </c>
      <c r="AD63" s="262">
        <v>1401.65</v>
      </c>
      <c r="AE63" s="352"/>
      <c r="AF63" s="261">
        <v>59</v>
      </c>
      <c r="AG63" s="262">
        <v>3948.88</v>
      </c>
      <c r="AH63" s="352"/>
      <c r="AI63" s="261">
        <v>59</v>
      </c>
      <c r="AJ63" s="262">
        <v>1931</v>
      </c>
      <c r="AK63" s="352"/>
      <c r="AL63" s="261"/>
      <c r="AM63" s="262"/>
      <c r="AO63" s="261">
        <v>118</v>
      </c>
      <c r="AP63" s="320">
        <v>1.0007299999999999</v>
      </c>
    </row>
    <row r="64" spans="2:42">
      <c r="B64" s="261" t="s">
        <v>348</v>
      </c>
      <c r="C64" s="261">
        <v>2261</v>
      </c>
      <c r="E64" s="261" t="s">
        <v>348</v>
      </c>
      <c r="F64" s="261">
        <v>2225.1600000000003</v>
      </c>
      <c r="H64" s="261" t="s">
        <v>348</v>
      </c>
      <c r="I64" s="262">
        <f>I63+18</f>
        <v>1095</v>
      </c>
      <c r="K64" s="261">
        <v>59</v>
      </c>
      <c r="L64" s="262">
        <v>426</v>
      </c>
      <c r="M64" s="352"/>
      <c r="N64" s="261">
        <v>60</v>
      </c>
      <c r="O64" s="262">
        <v>790.33</v>
      </c>
      <c r="P64" s="352"/>
      <c r="Q64" s="261">
        <v>60</v>
      </c>
      <c r="R64" s="262">
        <v>339</v>
      </c>
      <c r="S64" s="352"/>
      <c r="T64" s="261">
        <v>60</v>
      </c>
      <c r="U64" s="262">
        <v>339</v>
      </c>
      <c r="V64" s="352"/>
      <c r="W64" s="261">
        <v>60</v>
      </c>
      <c r="X64" s="262">
        <v>588.70000000000005</v>
      </c>
      <c r="Y64" s="352"/>
      <c r="Z64" s="261">
        <v>60</v>
      </c>
      <c r="AA64" s="262">
        <v>625.42999999999995</v>
      </c>
      <c r="AB64" s="352"/>
      <c r="AC64" s="261">
        <v>60</v>
      </c>
      <c r="AD64" s="262">
        <v>1427.28</v>
      </c>
      <c r="AE64" s="352"/>
      <c r="AF64" s="261">
        <v>60</v>
      </c>
      <c r="AG64" s="262">
        <v>4017.29</v>
      </c>
      <c r="AH64" s="352"/>
      <c r="AI64" s="261">
        <v>60</v>
      </c>
      <c r="AJ64" s="262">
        <v>1960</v>
      </c>
      <c r="AK64" s="352"/>
      <c r="AL64" s="261"/>
      <c r="AM64" s="262"/>
      <c r="AO64" s="261">
        <v>119</v>
      </c>
      <c r="AP64" s="320">
        <v>1.00074</v>
      </c>
    </row>
    <row r="65" spans="2:42">
      <c r="B65" s="261" t="s">
        <v>349</v>
      </c>
      <c r="C65" s="261">
        <v>2292</v>
      </c>
      <c r="E65" s="261" t="s">
        <v>349</v>
      </c>
      <c r="F65" s="261">
        <v>2256.5100000000002</v>
      </c>
      <c r="H65" s="261" t="s">
        <v>349</v>
      </c>
      <c r="I65" s="262">
        <v>1112</v>
      </c>
      <c r="K65" s="261">
        <v>60</v>
      </c>
      <c r="L65" s="262">
        <v>433.32</v>
      </c>
      <c r="M65" s="352"/>
      <c r="N65" s="261">
        <v>61</v>
      </c>
      <c r="O65" s="262">
        <v>801.42</v>
      </c>
      <c r="P65" s="352"/>
      <c r="Q65" s="261">
        <v>61</v>
      </c>
      <c r="R65" s="262">
        <v>343</v>
      </c>
      <c r="S65" s="352"/>
      <c r="T65" s="261">
        <v>61</v>
      </c>
      <c r="U65" s="262">
        <v>343</v>
      </c>
      <c r="V65" s="352"/>
      <c r="W65" s="261">
        <v>61</v>
      </c>
      <c r="X65" s="262">
        <v>596.20000000000005</v>
      </c>
      <c r="Y65" s="352"/>
      <c r="Z65" s="261">
        <v>61</v>
      </c>
      <c r="AA65" s="262">
        <v>632.92999999999995</v>
      </c>
      <c r="AB65" s="352"/>
      <c r="AC65" s="261">
        <v>61</v>
      </c>
      <c r="AD65" s="262">
        <v>1452.9</v>
      </c>
      <c r="AE65" s="352"/>
      <c r="AF65" s="261">
        <v>61</v>
      </c>
      <c r="AG65" s="262">
        <v>4085.7</v>
      </c>
      <c r="AH65" s="352"/>
      <c r="AI65" s="261">
        <v>61</v>
      </c>
      <c r="AJ65" s="262">
        <v>1988</v>
      </c>
      <c r="AK65" s="352"/>
      <c r="AL65" s="261"/>
      <c r="AM65" s="262"/>
      <c r="AO65" s="261">
        <v>120</v>
      </c>
      <c r="AP65" s="320">
        <v>1.00075</v>
      </c>
    </row>
    <row r="66" spans="2:42">
      <c r="B66" s="261" t="s">
        <v>350</v>
      </c>
      <c r="C66" s="261">
        <v>2323</v>
      </c>
      <c r="E66" s="261" t="s">
        <v>350</v>
      </c>
      <c r="F66" s="261">
        <v>2287.7700000000004</v>
      </c>
      <c r="H66" s="261" t="s">
        <v>350</v>
      </c>
      <c r="I66" s="262">
        <f>I65+18</f>
        <v>1130</v>
      </c>
      <c r="K66" s="261">
        <v>61</v>
      </c>
      <c r="L66" s="262">
        <v>440.63</v>
      </c>
      <c r="M66" s="352"/>
      <c r="N66" s="261">
        <v>62</v>
      </c>
      <c r="O66" s="262">
        <v>812.52</v>
      </c>
      <c r="P66" s="352"/>
      <c r="Q66" s="261">
        <v>62</v>
      </c>
      <c r="R66" s="262">
        <v>347</v>
      </c>
      <c r="S66" s="352"/>
      <c r="T66" s="261">
        <v>62</v>
      </c>
      <c r="U66" s="262">
        <v>347</v>
      </c>
      <c r="V66" s="352"/>
      <c r="W66" s="261">
        <v>62</v>
      </c>
      <c r="X66" s="262">
        <v>603.70000000000005</v>
      </c>
      <c r="Y66" s="352"/>
      <c r="Z66" s="261">
        <v>62</v>
      </c>
      <c r="AA66" s="262">
        <v>640.42999999999995</v>
      </c>
      <c r="AB66" s="352"/>
      <c r="AC66" s="261">
        <v>62</v>
      </c>
      <c r="AD66" s="262">
        <v>1478.53</v>
      </c>
      <c r="AE66" s="352"/>
      <c r="AF66" s="261">
        <v>62</v>
      </c>
      <c r="AG66" s="262">
        <v>4154.1000000000004</v>
      </c>
      <c r="AH66" s="352"/>
      <c r="AI66" s="261">
        <v>62</v>
      </c>
      <c r="AJ66" s="262">
        <v>2017</v>
      </c>
      <c r="AK66" s="352"/>
      <c r="AL66" s="261"/>
      <c r="AM66" s="262"/>
      <c r="AO66" s="261">
        <v>121</v>
      </c>
      <c r="AP66" s="320">
        <v>1.0007699999999999</v>
      </c>
    </row>
    <row r="67" spans="2:42">
      <c r="B67" s="261" t="s">
        <v>351</v>
      </c>
      <c r="C67" s="261">
        <v>2355</v>
      </c>
      <c r="E67" s="261" t="s">
        <v>351</v>
      </c>
      <c r="F67" s="261">
        <v>2319.13</v>
      </c>
      <c r="H67" s="261" t="s">
        <v>351</v>
      </c>
      <c r="I67" s="262">
        <v>1148</v>
      </c>
      <c r="K67" s="261">
        <v>62</v>
      </c>
      <c r="L67" s="262">
        <v>447.95</v>
      </c>
      <c r="M67" s="352"/>
      <c r="N67" s="261">
        <v>63</v>
      </c>
      <c r="O67" s="262">
        <v>823.61</v>
      </c>
      <c r="P67" s="352"/>
      <c r="Q67" s="261">
        <v>63</v>
      </c>
      <c r="R67" s="262">
        <v>351</v>
      </c>
      <c r="S67" s="352"/>
      <c r="T67" s="261">
        <v>63</v>
      </c>
      <c r="U67" s="262">
        <v>351</v>
      </c>
      <c r="V67" s="352"/>
      <c r="W67" s="261">
        <v>63</v>
      </c>
      <c r="X67" s="262">
        <v>611.20000000000005</v>
      </c>
      <c r="Y67" s="352"/>
      <c r="Z67" s="261">
        <v>63</v>
      </c>
      <c r="AA67" s="262">
        <v>647.92999999999995</v>
      </c>
      <c r="AB67" s="352"/>
      <c r="AC67" s="261">
        <v>63</v>
      </c>
      <c r="AD67" s="262">
        <v>1504.15</v>
      </c>
      <c r="AE67" s="352"/>
      <c r="AF67" s="261">
        <v>63</v>
      </c>
      <c r="AG67" s="262">
        <v>4222.51</v>
      </c>
      <c r="AH67" s="352"/>
      <c r="AI67" s="261">
        <v>63</v>
      </c>
      <c r="AJ67" s="262">
        <v>2045</v>
      </c>
      <c r="AK67" s="352"/>
      <c r="AL67" s="261"/>
      <c r="AM67" s="262"/>
      <c r="AO67" s="261">
        <v>122</v>
      </c>
      <c r="AP67" s="320">
        <v>1.00078</v>
      </c>
    </row>
    <row r="68" spans="2:42">
      <c r="B68" s="261" t="s">
        <v>352</v>
      </c>
      <c r="C68" s="261">
        <v>2386</v>
      </c>
      <c r="E68" s="261" t="s">
        <v>352</v>
      </c>
      <c r="F68" s="261">
        <v>2350.3900000000003</v>
      </c>
      <c r="H68" s="261" t="s">
        <v>352</v>
      </c>
      <c r="I68" s="262">
        <f>I67+18</f>
        <v>1166</v>
      </c>
      <c r="K68" s="261">
        <v>63</v>
      </c>
      <c r="L68" s="262">
        <v>455.28</v>
      </c>
      <c r="M68" s="352"/>
      <c r="N68" s="261">
        <v>64</v>
      </c>
      <c r="O68" s="262">
        <v>834.71</v>
      </c>
      <c r="P68" s="352"/>
      <c r="Q68" s="261">
        <v>64</v>
      </c>
      <c r="R68" s="262">
        <v>355</v>
      </c>
      <c r="S68" s="352"/>
      <c r="T68" s="261">
        <v>64</v>
      </c>
      <c r="U68" s="262">
        <v>355</v>
      </c>
      <c r="V68" s="352"/>
      <c r="W68" s="261">
        <v>64</v>
      </c>
      <c r="X68" s="262">
        <v>618.70000000000005</v>
      </c>
      <c r="Y68" s="352"/>
      <c r="Z68" s="261">
        <v>64</v>
      </c>
      <c r="AA68" s="262">
        <v>655.44</v>
      </c>
      <c r="AB68" s="352"/>
      <c r="AC68" s="261">
        <v>64</v>
      </c>
      <c r="AD68" s="262">
        <v>1529.77</v>
      </c>
      <c r="AE68" s="352"/>
      <c r="AF68" s="261">
        <v>64</v>
      </c>
      <c r="AG68" s="262">
        <v>4290.92</v>
      </c>
      <c r="AH68" s="352"/>
      <c r="AI68" s="261">
        <v>64</v>
      </c>
      <c r="AJ68" s="262">
        <v>2074</v>
      </c>
      <c r="AK68" s="352"/>
      <c r="AL68" s="261"/>
      <c r="AM68" s="262"/>
      <c r="AO68" s="261">
        <v>123</v>
      </c>
      <c r="AP68" s="320">
        <v>1.0007900000000001</v>
      </c>
    </row>
    <row r="69" spans="2:42">
      <c r="B69" s="261" t="s">
        <v>353</v>
      </c>
      <c r="C69" s="261">
        <v>2417</v>
      </c>
      <c r="E69" s="261" t="s">
        <v>353</v>
      </c>
      <c r="F69" s="261">
        <v>2381.75</v>
      </c>
      <c r="H69" s="261" t="s">
        <v>353</v>
      </c>
      <c r="I69" s="262">
        <v>1183</v>
      </c>
      <c r="K69" s="261">
        <v>64</v>
      </c>
      <c r="L69" s="262">
        <v>462.6</v>
      </c>
      <c r="M69" s="352"/>
      <c r="N69" s="261">
        <v>65</v>
      </c>
      <c r="O69" s="262">
        <v>845.81</v>
      </c>
      <c r="P69" s="352"/>
      <c r="Q69" s="261">
        <v>65</v>
      </c>
      <c r="R69" s="262">
        <v>360</v>
      </c>
      <c r="S69" s="352"/>
      <c r="T69" s="261">
        <v>65</v>
      </c>
      <c r="U69" s="262">
        <v>360</v>
      </c>
      <c r="V69" s="352"/>
      <c r="W69" s="261">
        <v>65</v>
      </c>
      <c r="X69" s="262">
        <v>626.20000000000005</v>
      </c>
      <c r="Y69" s="352"/>
      <c r="Z69" s="261">
        <v>65</v>
      </c>
      <c r="AA69" s="262">
        <v>662.94</v>
      </c>
      <c r="AB69" s="352"/>
      <c r="AC69" s="261">
        <v>65</v>
      </c>
      <c r="AD69" s="262">
        <v>1555.4</v>
      </c>
      <c r="AE69" s="352"/>
      <c r="AF69" s="261">
        <v>65</v>
      </c>
      <c r="AG69" s="262">
        <v>4359.33</v>
      </c>
      <c r="AH69" s="352"/>
      <c r="AI69" s="261">
        <v>65</v>
      </c>
      <c r="AJ69" s="262">
        <v>2102</v>
      </c>
      <c r="AK69" s="352"/>
      <c r="AL69" s="261"/>
      <c r="AM69" s="262"/>
      <c r="AO69" s="261">
        <v>124</v>
      </c>
      <c r="AP69" s="320">
        <v>1.00081</v>
      </c>
    </row>
    <row r="70" spans="2:42">
      <c r="B70" s="261" t="s">
        <v>354</v>
      </c>
      <c r="C70" s="261">
        <v>2448</v>
      </c>
      <c r="E70" s="261" t="s">
        <v>354</v>
      </c>
      <c r="F70" s="261">
        <v>2413.0100000000002</v>
      </c>
      <c r="H70" s="261" t="s">
        <v>354</v>
      </c>
      <c r="I70" s="262">
        <f>I69+18</f>
        <v>1201</v>
      </c>
      <c r="K70" s="261">
        <v>65</v>
      </c>
      <c r="L70" s="262">
        <v>469.92</v>
      </c>
      <c r="M70" s="352"/>
      <c r="N70" s="261">
        <v>66</v>
      </c>
      <c r="O70" s="262">
        <v>856.9</v>
      </c>
      <c r="P70" s="352"/>
      <c r="Q70" s="261">
        <v>66</v>
      </c>
      <c r="R70" s="262">
        <v>364</v>
      </c>
      <c r="S70" s="352"/>
      <c r="T70" s="261">
        <v>66</v>
      </c>
      <c r="U70" s="262">
        <v>364</v>
      </c>
      <c r="V70" s="352"/>
      <c r="W70" s="261">
        <v>66</v>
      </c>
      <c r="X70" s="262">
        <v>633.70000000000005</v>
      </c>
      <c r="Y70" s="352"/>
      <c r="Z70" s="261">
        <v>66</v>
      </c>
      <c r="AA70" s="262">
        <v>670.44</v>
      </c>
      <c r="AB70" s="352"/>
      <c r="AC70" s="261">
        <v>66</v>
      </c>
      <c r="AD70" s="262">
        <v>1581.02</v>
      </c>
      <c r="AE70" s="352"/>
      <c r="AF70" s="261">
        <v>66</v>
      </c>
      <c r="AG70" s="262">
        <v>4427.74</v>
      </c>
      <c r="AH70" s="352"/>
      <c r="AI70" s="261">
        <v>66</v>
      </c>
      <c r="AJ70" s="262">
        <v>2130</v>
      </c>
      <c r="AK70" s="352"/>
      <c r="AL70" s="261"/>
      <c r="AM70" s="262"/>
      <c r="AO70" s="261">
        <v>125</v>
      </c>
      <c r="AP70" s="320">
        <v>1.00082</v>
      </c>
    </row>
    <row r="71" spans="2:42">
      <c r="B71" s="261" t="s">
        <v>355</v>
      </c>
      <c r="C71" s="261">
        <v>2480</v>
      </c>
      <c r="E71" s="261" t="s">
        <v>355</v>
      </c>
      <c r="F71" s="261">
        <v>2444.36</v>
      </c>
      <c r="H71" s="261" t="s">
        <v>355</v>
      </c>
      <c r="I71" s="262">
        <v>1218</v>
      </c>
      <c r="K71" s="261">
        <v>66</v>
      </c>
      <c r="L71" s="262">
        <v>477.25</v>
      </c>
      <c r="M71" s="352"/>
      <c r="N71" s="261">
        <v>67</v>
      </c>
      <c r="O71" s="262">
        <v>868</v>
      </c>
      <c r="P71" s="352"/>
      <c r="Q71" s="261">
        <v>67</v>
      </c>
      <c r="R71" s="262">
        <v>368</v>
      </c>
      <c r="S71" s="352"/>
      <c r="T71" s="261">
        <v>67</v>
      </c>
      <c r="U71" s="262">
        <v>368</v>
      </c>
      <c r="V71" s="352"/>
      <c r="W71" s="261">
        <v>67</v>
      </c>
      <c r="X71" s="262">
        <v>641.20000000000005</v>
      </c>
      <c r="Y71" s="352"/>
      <c r="Z71" s="261">
        <v>67</v>
      </c>
      <c r="AA71" s="262">
        <v>677.94</v>
      </c>
      <c r="AB71" s="352"/>
      <c r="AC71" s="261">
        <v>67</v>
      </c>
      <c r="AD71" s="262">
        <v>1606.65</v>
      </c>
      <c r="AE71" s="352"/>
      <c r="AF71" s="261">
        <v>67</v>
      </c>
      <c r="AG71" s="262">
        <v>4496.1499999999996</v>
      </c>
      <c r="AH71" s="352"/>
      <c r="AI71" s="261">
        <v>67</v>
      </c>
      <c r="AJ71" s="262">
        <v>2159</v>
      </c>
      <c r="AK71" s="352"/>
      <c r="AL71" s="261"/>
      <c r="AM71" s="262"/>
      <c r="AO71" s="261">
        <v>126</v>
      </c>
      <c r="AP71" s="320">
        <v>1.0008300000000001</v>
      </c>
    </row>
    <row r="72" spans="2:42">
      <c r="B72" s="261" t="s">
        <v>356</v>
      </c>
      <c r="C72" s="261">
        <v>2511</v>
      </c>
      <c r="E72" s="261" t="s">
        <v>356</v>
      </c>
      <c r="F72" s="261">
        <v>2475.6200000000003</v>
      </c>
      <c r="H72" s="261" t="s">
        <v>356</v>
      </c>
      <c r="I72" s="262">
        <f>I71+18</f>
        <v>1236</v>
      </c>
      <c r="K72" s="261">
        <v>67</v>
      </c>
      <c r="L72" s="262">
        <v>484.57</v>
      </c>
      <c r="M72" s="352"/>
      <c r="N72" s="261">
        <v>68</v>
      </c>
      <c r="O72" s="262">
        <v>879.09</v>
      </c>
      <c r="P72" s="352"/>
      <c r="Q72" s="261">
        <v>68</v>
      </c>
      <c r="R72" s="262">
        <v>372</v>
      </c>
      <c r="S72" s="352"/>
      <c r="T72" s="261">
        <v>68</v>
      </c>
      <c r="U72" s="262">
        <v>372</v>
      </c>
      <c r="V72" s="352"/>
      <c r="W72" s="261">
        <v>68</v>
      </c>
      <c r="X72" s="262">
        <v>648.70000000000005</v>
      </c>
      <c r="Y72" s="352"/>
      <c r="Z72" s="261">
        <v>68</v>
      </c>
      <c r="AA72" s="262">
        <v>685.44</v>
      </c>
      <c r="AB72" s="352"/>
      <c r="AC72" s="261">
        <v>68</v>
      </c>
      <c r="AD72" s="262">
        <v>1632.27</v>
      </c>
      <c r="AE72" s="352"/>
      <c r="AF72" s="261">
        <v>68</v>
      </c>
      <c r="AG72" s="262">
        <v>4564.5600000000004</v>
      </c>
      <c r="AH72" s="352"/>
      <c r="AI72" s="261">
        <v>68</v>
      </c>
      <c r="AJ72" s="262">
        <v>2187</v>
      </c>
      <c r="AK72" s="352"/>
      <c r="AL72" s="261"/>
      <c r="AM72" s="262"/>
      <c r="AO72" s="261">
        <v>127</v>
      </c>
      <c r="AP72" s="320">
        <v>1.00084</v>
      </c>
    </row>
    <row r="73" spans="2:42">
      <c r="B73" s="261" t="s">
        <v>357</v>
      </c>
      <c r="C73" s="261">
        <v>2542</v>
      </c>
      <c r="E73" s="261" t="s">
        <v>357</v>
      </c>
      <c r="F73" s="261">
        <v>2506.98</v>
      </c>
      <c r="H73" s="261" t="s">
        <v>357</v>
      </c>
      <c r="I73" s="262">
        <v>1254</v>
      </c>
      <c r="K73" s="261">
        <v>68</v>
      </c>
      <c r="L73" s="262">
        <v>491.9</v>
      </c>
      <c r="M73" s="352"/>
      <c r="N73" s="261">
        <v>69</v>
      </c>
      <c r="O73" s="262">
        <v>890.19</v>
      </c>
      <c r="P73" s="352"/>
      <c r="Q73" s="261">
        <v>69</v>
      </c>
      <c r="R73" s="262">
        <v>376</v>
      </c>
      <c r="S73" s="352"/>
      <c r="T73" s="261">
        <v>69</v>
      </c>
      <c r="U73" s="262">
        <v>376</v>
      </c>
      <c r="V73" s="352"/>
      <c r="W73" s="261">
        <v>69</v>
      </c>
      <c r="X73" s="262">
        <v>656.2</v>
      </c>
      <c r="Y73" s="352"/>
      <c r="Z73" s="261">
        <v>69</v>
      </c>
      <c r="AA73" s="262">
        <v>692.94</v>
      </c>
      <c r="AB73" s="352"/>
      <c r="AC73" s="261">
        <v>69</v>
      </c>
      <c r="AD73" s="262">
        <v>1657.89</v>
      </c>
      <c r="AE73" s="352"/>
      <c r="AF73" s="261">
        <v>69</v>
      </c>
      <c r="AG73" s="262">
        <v>4632.97</v>
      </c>
      <c r="AH73" s="352"/>
      <c r="AI73" s="261">
        <v>69</v>
      </c>
      <c r="AJ73" s="262">
        <v>2216</v>
      </c>
      <c r="AK73" s="352"/>
      <c r="AL73" s="261"/>
      <c r="AM73" s="262"/>
      <c r="AO73" s="261">
        <v>128</v>
      </c>
      <c r="AP73" s="320">
        <v>1.0008600000000001</v>
      </c>
    </row>
    <row r="74" spans="2:42">
      <c r="B74" s="261" t="s">
        <v>358</v>
      </c>
      <c r="C74" s="261">
        <v>2573</v>
      </c>
      <c r="E74" s="261" t="s">
        <v>358</v>
      </c>
      <c r="F74" s="261">
        <v>2538.2400000000002</v>
      </c>
      <c r="H74" s="261" t="s">
        <v>358</v>
      </c>
      <c r="I74" s="262">
        <f>I73+18</f>
        <v>1272</v>
      </c>
      <c r="K74" s="261">
        <v>69</v>
      </c>
      <c r="L74" s="262">
        <v>499.22</v>
      </c>
      <c r="M74" s="352"/>
      <c r="N74" s="261">
        <v>70</v>
      </c>
      <c r="O74" s="262">
        <v>901.29</v>
      </c>
      <c r="P74" s="352"/>
      <c r="Q74" s="261">
        <v>70</v>
      </c>
      <c r="R74" s="262">
        <v>380</v>
      </c>
      <c r="S74" s="352"/>
      <c r="T74" s="261">
        <v>70</v>
      </c>
      <c r="U74" s="262">
        <v>380</v>
      </c>
      <c r="V74" s="352"/>
      <c r="W74" s="261">
        <v>70</v>
      </c>
      <c r="X74" s="262">
        <v>663.7</v>
      </c>
      <c r="Y74" s="352"/>
      <c r="Z74" s="261">
        <v>70</v>
      </c>
      <c r="AA74" s="262">
        <v>700.45</v>
      </c>
      <c r="AB74" s="352"/>
      <c r="AC74" s="261">
        <v>70</v>
      </c>
      <c r="AD74" s="262">
        <v>1683.52</v>
      </c>
      <c r="AE74" s="352"/>
      <c r="AF74" s="261">
        <v>70</v>
      </c>
      <c r="AG74" s="262">
        <v>4701.38</v>
      </c>
      <c r="AH74" s="352"/>
      <c r="AI74" s="261">
        <v>70</v>
      </c>
      <c r="AJ74" s="262">
        <v>2244</v>
      </c>
      <c r="AK74" s="352"/>
      <c r="AL74" s="261"/>
      <c r="AM74" s="262"/>
      <c r="AO74" s="261">
        <v>129</v>
      </c>
      <c r="AP74" s="320">
        <v>1.0008699999999999</v>
      </c>
    </row>
    <row r="75" spans="2:42">
      <c r="B75" s="261" t="s">
        <v>359</v>
      </c>
      <c r="C75" s="261">
        <v>2605</v>
      </c>
      <c r="E75" s="261" t="s">
        <v>359</v>
      </c>
      <c r="F75" s="261">
        <v>2569.5500000000002</v>
      </c>
      <c r="H75" s="261" t="s">
        <v>359</v>
      </c>
      <c r="I75" s="262">
        <v>1289</v>
      </c>
      <c r="K75" s="261">
        <v>70</v>
      </c>
      <c r="L75" s="262">
        <v>506.55</v>
      </c>
      <c r="M75" s="352"/>
      <c r="N75" s="261">
        <v>71</v>
      </c>
      <c r="O75" s="262">
        <v>912.38</v>
      </c>
      <c r="P75" s="352"/>
      <c r="Q75" s="261">
        <v>71</v>
      </c>
      <c r="R75" s="262">
        <v>384</v>
      </c>
      <c r="S75" s="352"/>
      <c r="T75" s="261">
        <v>71</v>
      </c>
      <c r="U75" s="262">
        <v>384</v>
      </c>
      <c r="V75" s="352"/>
      <c r="W75" s="261">
        <v>71</v>
      </c>
      <c r="X75" s="262">
        <v>671.2</v>
      </c>
      <c r="Y75" s="352"/>
      <c r="Z75" s="261">
        <v>71</v>
      </c>
      <c r="AA75" s="262">
        <v>707.95</v>
      </c>
      <c r="AB75" s="352"/>
      <c r="AC75" s="261">
        <v>71</v>
      </c>
      <c r="AD75" s="262">
        <v>1709.14</v>
      </c>
      <c r="AE75" s="352"/>
      <c r="AF75" s="261">
        <v>71</v>
      </c>
      <c r="AG75" s="262">
        <v>4769.79</v>
      </c>
      <c r="AH75" s="352"/>
      <c r="AI75" s="261">
        <v>71</v>
      </c>
      <c r="AJ75" s="262">
        <v>2273</v>
      </c>
      <c r="AK75" s="352"/>
      <c r="AL75" s="261"/>
      <c r="AM75" s="262"/>
      <c r="AO75" s="261">
        <v>130</v>
      </c>
      <c r="AP75" s="320">
        <v>1.00088</v>
      </c>
    </row>
    <row r="76" spans="2:42">
      <c r="B76" s="261" t="s">
        <v>360</v>
      </c>
      <c r="C76" s="261">
        <v>2636</v>
      </c>
      <c r="E76" s="261" t="s">
        <v>360</v>
      </c>
      <c r="F76" s="261">
        <v>2600.8100000000004</v>
      </c>
      <c r="H76" s="261" t="s">
        <v>360</v>
      </c>
      <c r="I76" s="262">
        <f>I75+18</f>
        <v>1307</v>
      </c>
      <c r="K76" s="261">
        <v>71</v>
      </c>
      <c r="L76" s="262">
        <v>513.87</v>
      </c>
      <c r="M76" s="352"/>
      <c r="N76" s="261">
        <v>72</v>
      </c>
      <c r="O76" s="262">
        <v>923.48</v>
      </c>
      <c r="P76" s="352"/>
      <c r="Q76" s="261">
        <v>72</v>
      </c>
      <c r="R76" s="262">
        <v>388</v>
      </c>
      <c r="S76" s="352"/>
      <c r="T76" s="261">
        <v>72</v>
      </c>
      <c r="U76" s="262">
        <v>389</v>
      </c>
      <c r="V76" s="352"/>
      <c r="W76" s="261">
        <v>72</v>
      </c>
      <c r="X76" s="262">
        <v>678.7</v>
      </c>
      <c r="Y76" s="352"/>
      <c r="Z76" s="261">
        <v>72</v>
      </c>
      <c r="AA76" s="262">
        <v>715.45</v>
      </c>
      <c r="AB76" s="352"/>
      <c r="AC76" s="261">
        <v>72</v>
      </c>
      <c r="AD76" s="262">
        <v>1734.77</v>
      </c>
      <c r="AE76" s="352"/>
      <c r="AF76" s="261">
        <v>72</v>
      </c>
      <c r="AG76" s="262">
        <v>4838.1899999999996</v>
      </c>
      <c r="AH76" s="352"/>
      <c r="AI76" s="261">
        <v>72</v>
      </c>
      <c r="AJ76" s="262">
        <v>2301</v>
      </c>
      <c r="AK76" s="352"/>
      <c r="AL76" s="261"/>
      <c r="AM76" s="262"/>
      <c r="AO76" s="261">
        <v>131</v>
      </c>
      <c r="AP76" s="320">
        <v>1.0008999999999999</v>
      </c>
    </row>
    <row r="77" spans="2:42">
      <c r="B77" s="261" t="s">
        <v>361</v>
      </c>
      <c r="C77" s="261">
        <v>2667</v>
      </c>
      <c r="E77" s="261" t="s">
        <v>361</v>
      </c>
      <c r="F77" s="261">
        <v>2632.11</v>
      </c>
      <c r="H77" s="261" t="s">
        <v>361</v>
      </c>
      <c r="I77" s="262">
        <v>1324</v>
      </c>
      <c r="K77" s="261">
        <v>72</v>
      </c>
      <c r="L77" s="262">
        <v>521.19000000000005</v>
      </c>
      <c r="M77" s="352"/>
      <c r="N77" s="261">
        <v>73</v>
      </c>
      <c r="O77" s="262">
        <v>934.57</v>
      </c>
      <c r="P77" s="352"/>
      <c r="Q77" s="261">
        <v>73</v>
      </c>
      <c r="R77" s="262">
        <v>393</v>
      </c>
      <c r="S77" s="352"/>
      <c r="T77" s="261">
        <v>73</v>
      </c>
      <c r="U77" s="262">
        <v>393</v>
      </c>
      <c r="V77" s="352"/>
      <c r="W77" s="261">
        <v>73</v>
      </c>
      <c r="X77" s="262">
        <v>686.2</v>
      </c>
      <c r="Y77" s="352"/>
      <c r="Z77" s="261">
        <v>73</v>
      </c>
      <c r="AA77" s="262">
        <v>722.95</v>
      </c>
      <c r="AB77" s="352"/>
      <c r="AC77" s="261">
        <v>73</v>
      </c>
      <c r="AD77" s="262">
        <v>1760.39</v>
      </c>
      <c r="AE77" s="352"/>
      <c r="AF77" s="261">
        <v>73</v>
      </c>
      <c r="AG77" s="262">
        <v>4906.6000000000004</v>
      </c>
      <c r="AH77" s="352"/>
      <c r="AI77" s="261">
        <v>73</v>
      </c>
      <c r="AJ77" s="262">
        <v>2330</v>
      </c>
      <c r="AK77" s="352"/>
      <c r="AL77" s="261"/>
      <c r="AM77" s="262"/>
      <c r="AO77" s="261">
        <v>132</v>
      </c>
      <c r="AP77" s="320">
        <v>1.00091</v>
      </c>
    </row>
    <row r="78" spans="2:42">
      <c r="B78" s="261" t="s">
        <v>362</v>
      </c>
      <c r="C78" s="261">
        <v>2698</v>
      </c>
      <c r="E78" s="261" t="s">
        <v>362</v>
      </c>
      <c r="F78" s="261">
        <v>2663.3700000000003</v>
      </c>
      <c r="H78" s="261" t="s">
        <v>362</v>
      </c>
      <c r="I78" s="262">
        <f>I77+18</f>
        <v>1342</v>
      </c>
      <c r="K78" s="261">
        <v>73</v>
      </c>
      <c r="L78" s="262">
        <v>528.52</v>
      </c>
      <c r="M78" s="352"/>
      <c r="N78" s="261">
        <v>74</v>
      </c>
      <c r="O78" s="262">
        <v>945.67</v>
      </c>
      <c r="P78" s="352"/>
      <c r="Q78" s="261">
        <v>74</v>
      </c>
      <c r="R78" s="262">
        <v>397</v>
      </c>
      <c r="S78" s="352"/>
      <c r="T78" s="261">
        <v>74</v>
      </c>
      <c r="U78" s="262">
        <v>397</v>
      </c>
      <c r="V78" s="352"/>
      <c r="W78" s="261">
        <v>74</v>
      </c>
      <c r="X78" s="262">
        <v>693.7</v>
      </c>
      <c r="Y78" s="352"/>
      <c r="Z78" s="261">
        <v>74</v>
      </c>
      <c r="AA78" s="262">
        <v>730.45</v>
      </c>
      <c r="AB78" s="352"/>
      <c r="AC78" s="261">
        <v>74</v>
      </c>
      <c r="AD78" s="262">
        <v>1786.01</v>
      </c>
      <c r="AE78" s="352"/>
      <c r="AF78" s="261">
        <v>74</v>
      </c>
      <c r="AG78" s="262">
        <v>4975.01</v>
      </c>
      <c r="AH78" s="352"/>
      <c r="AI78" s="261">
        <v>74</v>
      </c>
      <c r="AJ78" s="262">
        <v>2358</v>
      </c>
      <c r="AK78" s="352"/>
      <c r="AL78" s="261"/>
      <c r="AM78" s="262"/>
      <c r="AO78" s="261">
        <v>133</v>
      </c>
      <c r="AP78" s="320">
        <v>1.00092</v>
      </c>
    </row>
    <row r="79" spans="2:42">
      <c r="B79" s="261" t="s">
        <v>363</v>
      </c>
      <c r="C79" s="261">
        <v>2730</v>
      </c>
      <c r="E79" s="261" t="s">
        <v>363</v>
      </c>
      <c r="F79" s="261">
        <v>2694.68</v>
      </c>
      <c r="H79" s="261" t="s">
        <v>363</v>
      </c>
      <c r="I79" s="262">
        <v>1360</v>
      </c>
      <c r="K79" s="261">
        <v>74</v>
      </c>
      <c r="L79" s="262">
        <v>535.84</v>
      </c>
      <c r="M79" s="352"/>
      <c r="N79" s="261">
        <v>75</v>
      </c>
      <c r="O79" s="262">
        <v>956.77</v>
      </c>
      <c r="P79" s="352"/>
      <c r="Q79" s="261">
        <v>75</v>
      </c>
      <c r="R79" s="262">
        <v>401</v>
      </c>
      <c r="S79" s="352"/>
      <c r="T79" s="261">
        <v>75</v>
      </c>
      <c r="U79" s="262">
        <v>401</v>
      </c>
      <c r="V79" s="352"/>
      <c r="W79" s="261">
        <v>75</v>
      </c>
      <c r="X79" s="262">
        <v>701.2</v>
      </c>
      <c r="Y79" s="352"/>
      <c r="Z79" s="261">
        <v>75</v>
      </c>
      <c r="AA79" s="262">
        <v>737.95</v>
      </c>
      <c r="AB79" s="352"/>
      <c r="AC79" s="261">
        <v>75</v>
      </c>
      <c r="AD79" s="262">
        <v>1811.64</v>
      </c>
      <c r="AE79" s="352"/>
      <c r="AF79" s="261">
        <v>75</v>
      </c>
      <c r="AG79" s="262">
        <v>5043.42</v>
      </c>
      <c r="AH79" s="352"/>
      <c r="AI79" s="261">
        <v>75</v>
      </c>
      <c r="AJ79" s="262">
        <v>2387</v>
      </c>
      <c r="AK79" s="352"/>
      <c r="AL79" s="261"/>
      <c r="AM79" s="262"/>
      <c r="AO79" s="261">
        <v>134</v>
      </c>
      <c r="AP79" s="320">
        <v>1.0009399999999999</v>
      </c>
    </row>
    <row r="80" spans="2:42">
      <c r="B80" s="261" t="s">
        <v>364</v>
      </c>
      <c r="C80" s="261">
        <v>2761</v>
      </c>
      <c r="E80" s="261" t="s">
        <v>364</v>
      </c>
      <c r="F80" s="261">
        <v>2725.94</v>
      </c>
      <c r="H80" s="261" t="s">
        <v>364</v>
      </c>
      <c r="I80" s="262">
        <f>I79+18</f>
        <v>1378</v>
      </c>
      <c r="K80" s="261">
        <v>75</v>
      </c>
      <c r="L80" s="262">
        <v>543.16999999999996</v>
      </c>
      <c r="M80" s="352"/>
      <c r="N80" s="261">
        <v>76</v>
      </c>
      <c r="O80" s="262">
        <v>967.86</v>
      </c>
      <c r="P80" s="352"/>
      <c r="Q80" s="261">
        <v>76</v>
      </c>
      <c r="R80" s="262">
        <v>405</v>
      </c>
      <c r="S80" s="352"/>
      <c r="T80" s="261">
        <v>76</v>
      </c>
      <c r="U80" s="262">
        <v>405</v>
      </c>
      <c r="V80" s="352"/>
      <c r="W80" s="261">
        <v>76</v>
      </c>
      <c r="X80" s="262">
        <v>708.7</v>
      </c>
      <c r="Y80" s="352"/>
      <c r="Z80" s="261">
        <v>76</v>
      </c>
      <c r="AA80" s="262">
        <v>745.46</v>
      </c>
      <c r="AB80" s="352"/>
      <c r="AC80" s="261">
        <v>76</v>
      </c>
      <c r="AD80" s="262">
        <v>1837.26</v>
      </c>
      <c r="AE80" s="352"/>
      <c r="AF80" s="261">
        <v>76</v>
      </c>
      <c r="AG80" s="262">
        <v>5111.83</v>
      </c>
      <c r="AH80" s="352"/>
      <c r="AI80" s="261">
        <v>76</v>
      </c>
      <c r="AJ80" s="262">
        <v>2415</v>
      </c>
      <c r="AK80" s="352"/>
      <c r="AL80" s="261"/>
      <c r="AM80" s="262"/>
      <c r="AO80" s="261">
        <v>135</v>
      </c>
      <c r="AP80" s="320">
        <v>1.00095</v>
      </c>
    </row>
    <row r="81" spans="2:42">
      <c r="B81" s="261" t="s">
        <v>365</v>
      </c>
      <c r="C81" s="261">
        <v>2792</v>
      </c>
      <c r="E81" s="261" t="s">
        <v>365</v>
      </c>
      <c r="F81" s="261">
        <v>2757.24</v>
      </c>
      <c r="H81" s="261" t="s">
        <v>365</v>
      </c>
      <c r="I81" s="262">
        <v>1395</v>
      </c>
      <c r="K81" s="261">
        <v>76</v>
      </c>
      <c r="L81" s="262">
        <v>550.49</v>
      </c>
      <c r="M81" s="352"/>
      <c r="N81" s="261">
        <v>77</v>
      </c>
      <c r="O81" s="262">
        <v>978.96</v>
      </c>
      <c r="P81" s="352"/>
      <c r="Q81" s="261">
        <v>77</v>
      </c>
      <c r="R81" s="262">
        <v>409</v>
      </c>
      <c r="S81" s="352"/>
      <c r="T81" s="261">
        <v>77</v>
      </c>
      <c r="U81" s="262">
        <v>409</v>
      </c>
      <c r="V81" s="352"/>
      <c r="W81" s="261">
        <v>77</v>
      </c>
      <c r="X81" s="262">
        <v>716.3</v>
      </c>
      <c r="Y81" s="352"/>
      <c r="Z81" s="261">
        <v>77</v>
      </c>
      <c r="AA81" s="262">
        <v>752.96</v>
      </c>
      <c r="AB81" s="352"/>
      <c r="AC81" s="261">
        <v>77</v>
      </c>
      <c r="AD81" s="262">
        <v>1862.89</v>
      </c>
      <c r="AE81" s="352"/>
      <c r="AF81" s="261">
        <v>77</v>
      </c>
      <c r="AG81" s="262">
        <v>5180.24</v>
      </c>
      <c r="AH81" s="352"/>
      <c r="AI81" s="261">
        <v>77</v>
      </c>
      <c r="AJ81" s="262">
        <v>2443</v>
      </c>
      <c r="AK81" s="352"/>
      <c r="AL81" s="261"/>
      <c r="AM81" s="262"/>
      <c r="AO81" s="261">
        <v>136</v>
      </c>
      <c r="AP81" s="320">
        <v>1.0009600000000001</v>
      </c>
    </row>
    <row r="82" spans="2:42">
      <c r="B82" s="261" t="s">
        <v>366</v>
      </c>
      <c r="C82" s="261">
        <v>2823</v>
      </c>
      <c r="E82" s="261" t="s">
        <v>366</v>
      </c>
      <c r="F82" s="261">
        <v>2788.5</v>
      </c>
      <c r="H82" s="261" t="s">
        <v>366</v>
      </c>
      <c r="I82" s="262">
        <f>I81+18</f>
        <v>1413</v>
      </c>
      <c r="K82" s="261">
        <v>77</v>
      </c>
      <c r="L82" s="262">
        <v>557.82000000000005</v>
      </c>
      <c r="M82" s="352"/>
      <c r="N82" s="261">
        <v>78</v>
      </c>
      <c r="O82" s="262">
        <v>990.05</v>
      </c>
      <c r="P82" s="352"/>
      <c r="Q82" s="261">
        <v>78</v>
      </c>
      <c r="R82" s="262">
        <v>413</v>
      </c>
      <c r="S82" s="352"/>
      <c r="T82" s="261">
        <v>78</v>
      </c>
      <c r="U82" s="262">
        <v>413</v>
      </c>
      <c r="V82" s="352"/>
      <c r="W82" s="261">
        <v>78</v>
      </c>
      <c r="X82" s="262">
        <v>723.8</v>
      </c>
      <c r="Y82" s="352"/>
      <c r="Z82" s="261">
        <v>78</v>
      </c>
      <c r="AA82" s="262">
        <v>760.46</v>
      </c>
      <c r="AB82" s="352"/>
      <c r="AC82" s="261">
        <v>78</v>
      </c>
      <c r="AD82" s="262">
        <v>1888.51</v>
      </c>
      <c r="AE82" s="352"/>
      <c r="AF82" s="261">
        <v>78</v>
      </c>
      <c r="AG82" s="262">
        <v>5248.65</v>
      </c>
      <c r="AH82" s="352"/>
      <c r="AI82" s="261">
        <v>78</v>
      </c>
      <c r="AJ82" s="262">
        <v>2472</v>
      </c>
      <c r="AK82" s="352"/>
      <c r="AL82" s="261"/>
      <c r="AM82" s="262"/>
      <c r="AO82" s="261">
        <v>137</v>
      </c>
      <c r="AP82" s="320">
        <v>1.0009699999999999</v>
      </c>
    </row>
    <row r="83" spans="2:42">
      <c r="B83" s="261" t="s">
        <v>367</v>
      </c>
      <c r="C83" s="261">
        <v>2855</v>
      </c>
      <c r="E83" s="261" t="s">
        <v>367</v>
      </c>
      <c r="F83" s="261">
        <v>2819.81</v>
      </c>
      <c r="H83" s="261" t="s">
        <v>367</v>
      </c>
      <c r="I83" s="262">
        <v>1430</v>
      </c>
      <c r="K83" s="261">
        <v>78</v>
      </c>
      <c r="L83" s="262">
        <v>565.14</v>
      </c>
      <c r="M83" s="352"/>
      <c r="N83" s="261">
        <v>79</v>
      </c>
      <c r="O83" s="262">
        <v>1001.15</v>
      </c>
      <c r="P83" s="352"/>
      <c r="Q83" s="261">
        <v>79</v>
      </c>
      <c r="R83" s="262">
        <v>417</v>
      </c>
      <c r="S83" s="352"/>
      <c r="T83" s="261">
        <v>79</v>
      </c>
      <c r="U83" s="262">
        <v>417</v>
      </c>
      <c r="V83" s="352"/>
      <c r="W83" s="261">
        <v>79</v>
      </c>
      <c r="X83" s="262">
        <v>731.3</v>
      </c>
      <c r="Y83" s="352"/>
      <c r="Z83" s="261">
        <v>79</v>
      </c>
      <c r="AA83" s="262">
        <v>767.96</v>
      </c>
      <c r="AB83" s="352"/>
      <c r="AC83" s="261">
        <v>79</v>
      </c>
      <c r="AD83" s="262">
        <v>1914.13</v>
      </c>
      <c r="AE83" s="352"/>
      <c r="AF83" s="261">
        <v>79</v>
      </c>
      <c r="AG83" s="262">
        <v>5317.06</v>
      </c>
      <c r="AH83" s="352"/>
      <c r="AI83" s="261">
        <v>79</v>
      </c>
      <c r="AJ83" s="262">
        <v>2500</v>
      </c>
      <c r="AK83" s="352"/>
      <c r="AL83" s="261"/>
      <c r="AM83" s="262"/>
      <c r="AO83" s="261">
        <v>138</v>
      </c>
      <c r="AP83" s="320">
        <v>1.00099</v>
      </c>
    </row>
    <row r="84" spans="2:42">
      <c r="B84" s="261" t="s">
        <v>368</v>
      </c>
      <c r="C84" s="261">
        <v>2886</v>
      </c>
      <c r="E84" s="261" t="s">
        <v>368</v>
      </c>
      <c r="F84" s="261">
        <v>2851.07</v>
      </c>
      <c r="H84" s="261" t="s">
        <v>368</v>
      </c>
      <c r="I84" s="262">
        <f>I83+18</f>
        <v>1448</v>
      </c>
      <c r="K84" s="261">
        <v>79</v>
      </c>
      <c r="L84" s="262">
        <v>572.47</v>
      </c>
      <c r="M84" s="352"/>
      <c r="N84" s="261">
        <v>80</v>
      </c>
      <c r="O84" s="262">
        <v>1012.24</v>
      </c>
      <c r="P84" s="352"/>
      <c r="Q84" s="261">
        <v>80</v>
      </c>
      <c r="R84" s="262">
        <v>422</v>
      </c>
      <c r="S84" s="352"/>
      <c r="T84" s="261">
        <v>80</v>
      </c>
      <c r="U84" s="262">
        <v>422</v>
      </c>
      <c r="V84" s="352"/>
      <c r="W84" s="261">
        <v>80</v>
      </c>
      <c r="X84" s="262">
        <v>738.8</v>
      </c>
      <c r="Y84" s="352"/>
      <c r="Z84" s="261">
        <v>80</v>
      </c>
      <c r="AA84" s="262">
        <v>775.46</v>
      </c>
      <c r="AB84" s="352"/>
      <c r="AC84" s="261">
        <v>80</v>
      </c>
      <c r="AD84" s="262">
        <v>1939.76</v>
      </c>
      <c r="AE84" s="352"/>
      <c r="AF84" s="261">
        <v>80</v>
      </c>
      <c r="AG84" s="262">
        <v>5385.47</v>
      </c>
      <c r="AH84" s="352"/>
      <c r="AI84" s="261">
        <v>80</v>
      </c>
      <c r="AJ84" s="262">
        <v>2529</v>
      </c>
      <c r="AK84" s="352"/>
      <c r="AL84" s="261"/>
      <c r="AM84" s="262"/>
      <c r="AO84" s="261">
        <v>139</v>
      </c>
      <c r="AP84" s="320">
        <v>1.0009999999999999</v>
      </c>
    </row>
    <row r="85" spans="2:42">
      <c r="B85" s="261" t="s">
        <v>369</v>
      </c>
      <c r="C85" s="261">
        <v>2917</v>
      </c>
      <c r="E85" s="261" t="s">
        <v>369</v>
      </c>
      <c r="F85" s="261">
        <v>2882.37</v>
      </c>
      <c r="H85" s="261" t="s">
        <v>369</v>
      </c>
      <c r="I85" s="262">
        <v>1465</v>
      </c>
      <c r="K85" s="261">
        <v>80</v>
      </c>
      <c r="L85" s="262">
        <v>579.79</v>
      </c>
      <c r="M85" s="352"/>
      <c r="N85" s="261">
        <v>81</v>
      </c>
      <c r="O85" s="262">
        <v>1023.34</v>
      </c>
      <c r="P85" s="352"/>
      <c r="Q85" s="261">
        <v>81</v>
      </c>
      <c r="R85" s="262">
        <v>426</v>
      </c>
      <c r="S85" s="352"/>
      <c r="T85" s="261">
        <v>81</v>
      </c>
      <c r="U85" s="262">
        <v>426</v>
      </c>
      <c r="V85" s="352"/>
      <c r="W85" s="261">
        <v>81</v>
      </c>
      <c r="X85" s="262">
        <v>746.3</v>
      </c>
      <c r="Y85" s="352"/>
      <c r="Z85" s="261">
        <v>81</v>
      </c>
      <c r="AA85" s="262">
        <v>782.96</v>
      </c>
      <c r="AB85" s="352"/>
      <c r="AC85" s="261">
        <v>81</v>
      </c>
      <c r="AD85" s="262">
        <v>1965.38</v>
      </c>
      <c r="AE85" s="352"/>
      <c r="AF85" s="261">
        <v>81</v>
      </c>
      <c r="AG85" s="262">
        <v>5453.88</v>
      </c>
      <c r="AH85" s="352"/>
      <c r="AI85" s="261">
        <v>81</v>
      </c>
      <c r="AJ85" s="262">
        <v>2557</v>
      </c>
      <c r="AK85" s="352"/>
      <c r="AL85" s="261"/>
      <c r="AM85" s="262"/>
      <c r="AO85" s="261">
        <v>140</v>
      </c>
      <c r="AP85" s="320">
        <v>1.00101</v>
      </c>
    </row>
    <row r="86" spans="2:42">
      <c r="B86" s="261" t="s">
        <v>370</v>
      </c>
      <c r="C86" s="261">
        <v>2948</v>
      </c>
      <c r="E86" s="261" t="s">
        <v>370</v>
      </c>
      <c r="F86" s="261">
        <v>2913.63</v>
      </c>
      <c r="H86" s="261" t="s">
        <v>370</v>
      </c>
      <c r="I86" s="262">
        <f>I85+18</f>
        <v>1483</v>
      </c>
      <c r="K86" s="261">
        <v>81</v>
      </c>
      <c r="L86" s="262">
        <v>587.11</v>
      </c>
      <c r="M86" s="352"/>
      <c r="N86" s="261">
        <v>82</v>
      </c>
      <c r="O86" s="262">
        <v>1034.44</v>
      </c>
      <c r="P86" s="352"/>
      <c r="Q86" s="261">
        <v>82</v>
      </c>
      <c r="R86" s="262">
        <v>430</v>
      </c>
      <c r="S86" s="352"/>
      <c r="T86" s="261">
        <v>82</v>
      </c>
      <c r="U86" s="262">
        <v>430</v>
      </c>
      <c r="V86" s="352"/>
      <c r="W86" s="261">
        <v>82</v>
      </c>
      <c r="X86" s="262">
        <v>753.8</v>
      </c>
      <c r="Y86" s="352"/>
      <c r="Z86" s="261">
        <v>82</v>
      </c>
      <c r="AA86" s="262">
        <v>790.47</v>
      </c>
      <c r="AB86" s="352"/>
      <c r="AC86" s="261">
        <v>82</v>
      </c>
      <c r="AD86" s="262">
        <v>1991.01</v>
      </c>
      <c r="AE86" s="352"/>
      <c r="AF86" s="261">
        <v>82</v>
      </c>
      <c r="AG86" s="262">
        <v>5522.28</v>
      </c>
      <c r="AH86" s="352"/>
      <c r="AI86" s="261">
        <v>82</v>
      </c>
      <c r="AJ86" s="262">
        <v>2586</v>
      </c>
      <c r="AK86" s="352"/>
      <c r="AL86" s="261"/>
      <c r="AM86" s="262"/>
      <c r="AO86" s="261">
        <v>141</v>
      </c>
      <c r="AP86" s="320">
        <v>1.0010300000000001</v>
      </c>
    </row>
    <row r="87" spans="2:42">
      <c r="B87" s="261" t="s">
        <v>371</v>
      </c>
      <c r="C87" s="261">
        <v>2980</v>
      </c>
      <c r="E87" s="261" t="s">
        <v>371</v>
      </c>
      <c r="F87" s="261">
        <v>2944.94</v>
      </c>
      <c r="H87" s="261" t="s">
        <v>371</v>
      </c>
      <c r="I87" s="262">
        <v>1501</v>
      </c>
      <c r="K87" s="261">
        <v>82</v>
      </c>
      <c r="L87" s="262">
        <v>594.44000000000005</v>
      </c>
      <c r="M87" s="352"/>
      <c r="N87" s="261">
        <v>83</v>
      </c>
      <c r="O87" s="262">
        <v>1045.53</v>
      </c>
      <c r="P87" s="352"/>
      <c r="Q87" s="261">
        <v>83</v>
      </c>
      <c r="R87" s="262">
        <v>434</v>
      </c>
      <c r="S87" s="352"/>
      <c r="T87" s="261">
        <v>83</v>
      </c>
      <c r="U87" s="262">
        <v>434</v>
      </c>
      <c r="V87" s="352"/>
      <c r="W87" s="261">
        <v>83</v>
      </c>
      <c r="X87" s="262">
        <v>761.3</v>
      </c>
      <c r="Y87" s="352"/>
      <c r="Z87" s="261">
        <v>83</v>
      </c>
      <c r="AA87" s="262">
        <v>797.97</v>
      </c>
      <c r="AB87" s="352"/>
      <c r="AC87" s="261">
        <v>83</v>
      </c>
      <c r="AD87" s="262">
        <v>2016.63</v>
      </c>
      <c r="AE87" s="352"/>
      <c r="AF87" s="261">
        <v>83</v>
      </c>
      <c r="AG87" s="262">
        <v>5590.69</v>
      </c>
      <c r="AH87" s="352"/>
      <c r="AI87" s="261">
        <v>83</v>
      </c>
      <c r="AJ87" s="262">
        <v>2614</v>
      </c>
      <c r="AK87" s="352"/>
      <c r="AL87" s="261"/>
      <c r="AM87" s="262"/>
      <c r="AO87" s="261">
        <v>142</v>
      </c>
      <c r="AP87" s="320">
        <v>1.0010399999999999</v>
      </c>
    </row>
    <row r="88" spans="2:42">
      <c r="B88" s="261" t="s">
        <v>372</v>
      </c>
      <c r="C88" s="261">
        <v>3011</v>
      </c>
      <c r="E88" s="261" t="s">
        <v>372</v>
      </c>
      <c r="F88" s="261">
        <v>2976.2000000000003</v>
      </c>
      <c r="H88" s="261" t="s">
        <v>372</v>
      </c>
      <c r="I88" s="262">
        <f>I87+18</f>
        <v>1519</v>
      </c>
      <c r="K88" s="261">
        <v>83</v>
      </c>
      <c r="L88" s="262">
        <v>601.76</v>
      </c>
      <c r="M88" s="352"/>
      <c r="N88" s="261">
        <v>84</v>
      </c>
      <c r="O88" s="262">
        <v>1056.6300000000001</v>
      </c>
      <c r="P88" s="352"/>
      <c r="Q88" s="261">
        <v>84</v>
      </c>
      <c r="R88" s="262">
        <v>438</v>
      </c>
      <c r="S88" s="352"/>
      <c r="T88" s="261">
        <v>84</v>
      </c>
      <c r="U88" s="262">
        <v>438</v>
      </c>
      <c r="V88" s="352"/>
      <c r="W88" s="261">
        <v>84</v>
      </c>
      <c r="X88" s="262">
        <v>768.8</v>
      </c>
      <c r="Y88" s="352"/>
      <c r="Z88" s="261">
        <v>84</v>
      </c>
      <c r="AA88" s="262">
        <v>805.47</v>
      </c>
      <c r="AB88" s="352"/>
      <c r="AC88" s="261">
        <v>84</v>
      </c>
      <c r="AD88" s="262">
        <v>2042.25</v>
      </c>
      <c r="AE88" s="352"/>
      <c r="AF88" s="261">
        <v>84</v>
      </c>
      <c r="AG88" s="262">
        <v>5659.1</v>
      </c>
      <c r="AH88" s="352"/>
      <c r="AI88" s="261">
        <v>84</v>
      </c>
      <c r="AJ88" s="262">
        <v>2643</v>
      </c>
      <c r="AK88" s="352"/>
      <c r="AL88" s="261"/>
      <c r="AM88" s="262"/>
      <c r="AO88" s="261">
        <v>143</v>
      </c>
      <c r="AP88" s="320">
        <v>1.00105</v>
      </c>
    </row>
    <row r="89" spans="2:42">
      <c r="B89" s="261" t="s">
        <v>373</v>
      </c>
      <c r="C89" s="261">
        <v>3042</v>
      </c>
      <c r="E89" s="261" t="s">
        <v>373</v>
      </c>
      <c r="F89" s="261">
        <v>3007.51</v>
      </c>
      <c r="H89" s="261" t="s">
        <v>373</v>
      </c>
      <c r="I89" s="262">
        <v>1536</v>
      </c>
      <c r="K89" s="261">
        <v>84</v>
      </c>
      <c r="L89" s="262">
        <v>609.09</v>
      </c>
      <c r="M89" s="352"/>
      <c r="N89" s="261">
        <v>85</v>
      </c>
      <c r="O89" s="262">
        <v>1067.72</v>
      </c>
      <c r="P89" s="352"/>
      <c r="Q89" s="261">
        <v>85</v>
      </c>
      <c r="R89" s="262">
        <v>442</v>
      </c>
      <c r="S89" s="352"/>
      <c r="T89" s="261">
        <v>85</v>
      </c>
      <c r="U89" s="262">
        <v>442</v>
      </c>
      <c r="V89" s="352"/>
      <c r="W89" s="261">
        <v>85</v>
      </c>
      <c r="X89" s="262">
        <v>776.3</v>
      </c>
      <c r="Y89" s="352"/>
      <c r="Z89" s="261">
        <v>85</v>
      </c>
      <c r="AA89" s="262">
        <v>812.97</v>
      </c>
      <c r="AB89" s="352"/>
      <c r="AC89" s="261">
        <v>85</v>
      </c>
      <c r="AD89" s="262">
        <v>2067.88</v>
      </c>
      <c r="AE89" s="352"/>
      <c r="AF89" s="261">
        <v>85</v>
      </c>
      <c r="AG89" s="262">
        <v>5727.51</v>
      </c>
      <c r="AH89" s="352"/>
      <c r="AI89" s="261">
        <v>85</v>
      </c>
      <c r="AJ89" s="262">
        <v>2671</v>
      </c>
      <c r="AK89" s="352"/>
      <c r="AL89" s="261"/>
      <c r="AM89" s="262"/>
      <c r="AO89" s="261">
        <v>144</v>
      </c>
      <c r="AP89" s="320">
        <v>1.0010699999999999</v>
      </c>
    </row>
    <row r="90" spans="2:42">
      <c r="B90" s="261" t="s">
        <v>374</v>
      </c>
      <c r="C90" s="261">
        <v>3073</v>
      </c>
      <c r="E90" s="261" t="s">
        <v>374</v>
      </c>
      <c r="F90" s="261">
        <v>3038.7700000000004</v>
      </c>
      <c r="H90" s="261" t="s">
        <v>374</v>
      </c>
      <c r="I90" s="262">
        <f>I89+18</f>
        <v>1554</v>
      </c>
      <c r="K90" s="261">
        <v>85</v>
      </c>
      <c r="L90" s="262">
        <v>616.41</v>
      </c>
      <c r="M90" s="352"/>
      <c r="N90" s="261">
        <v>86</v>
      </c>
      <c r="O90" s="262">
        <v>1078.82</v>
      </c>
      <c r="P90" s="352"/>
      <c r="Q90" s="261">
        <v>86</v>
      </c>
      <c r="R90" s="262">
        <v>446</v>
      </c>
      <c r="S90" s="352"/>
      <c r="T90" s="261">
        <v>86</v>
      </c>
      <c r="U90" s="262">
        <v>446</v>
      </c>
      <c r="V90" s="352"/>
      <c r="W90" s="261">
        <v>86</v>
      </c>
      <c r="X90" s="262">
        <v>783.8</v>
      </c>
      <c r="Y90" s="352"/>
      <c r="Z90" s="261">
        <v>86</v>
      </c>
      <c r="AA90" s="262">
        <v>820.47</v>
      </c>
      <c r="AB90" s="352"/>
      <c r="AC90" s="261">
        <v>86</v>
      </c>
      <c r="AD90" s="262">
        <v>2093.5</v>
      </c>
      <c r="AE90" s="352"/>
      <c r="AF90" s="261">
        <v>86</v>
      </c>
      <c r="AG90" s="262">
        <v>5795.92</v>
      </c>
      <c r="AH90" s="352"/>
      <c r="AI90" s="261">
        <v>86</v>
      </c>
      <c r="AJ90" s="262">
        <v>2699</v>
      </c>
      <c r="AK90" s="352"/>
      <c r="AL90" s="261"/>
      <c r="AM90" s="262"/>
      <c r="AO90" s="261">
        <v>145</v>
      </c>
      <c r="AP90" s="320">
        <v>1.00108</v>
      </c>
    </row>
    <row r="91" spans="2:42">
      <c r="B91" s="261" t="s">
        <v>375</v>
      </c>
      <c r="C91" s="261">
        <v>3105</v>
      </c>
      <c r="E91" s="261" t="s">
        <v>375</v>
      </c>
      <c r="F91" s="261">
        <v>3070.07</v>
      </c>
      <c r="H91" s="261" t="s">
        <v>375</v>
      </c>
      <c r="I91" s="262">
        <v>1571</v>
      </c>
      <c r="K91" s="261">
        <v>86</v>
      </c>
      <c r="L91" s="262">
        <v>623.74</v>
      </c>
      <c r="M91" s="352"/>
      <c r="N91" s="261">
        <v>87</v>
      </c>
      <c r="O91" s="262">
        <v>1089.92</v>
      </c>
      <c r="P91" s="352"/>
      <c r="Q91" s="261">
        <v>87</v>
      </c>
      <c r="R91" s="262">
        <v>450</v>
      </c>
      <c r="S91" s="352"/>
      <c r="T91" s="261">
        <v>87</v>
      </c>
      <c r="U91" s="262">
        <v>451</v>
      </c>
      <c r="V91" s="352"/>
      <c r="W91" s="261">
        <v>87</v>
      </c>
      <c r="X91" s="262">
        <v>791.3</v>
      </c>
      <c r="Y91" s="352"/>
      <c r="Z91" s="261">
        <v>87</v>
      </c>
      <c r="AA91" s="262">
        <v>827.97</v>
      </c>
      <c r="AB91" s="352"/>
      <c r="AC91" s="261">
        <v>87</v>
      </c>
      <c r="AD91" s="262">
        <v>2119.13</v>
      </c>
      <c r="AE91" s="352"/>
      <c r="AF91" s="261">
        <v>87</v>
      </c>
      <c r="AG91" s="262">
        <v>5864.33</v>
      </c>
      <c r="AH91" s="352"/>
      <c r="AI91" s="261">
        <v>87</v>
      </c>
      <c r="AJ91" s="262">
        <v>2728</v>
      </c>
      <c r="AK91" s="352"/>
      <c r="AL91" s="261"/>
      <c r="AM91" s="262"/>
      <c r="AO91" s="261">
        <v>146</v>
      </c>
      <c r="AP91" s="320">
        <v>1.00109</v>
      </c>
    </row>
    <row r="92" spans="2:42">
      <c r="B92" s="261" t="s">
        <v>376</v>
      </c>
      <c r="C92" s="261">
        <v>3136</v>
      </c>
      <c r="E92" s="261" t="s">
        <v>376</v>
      </c>
      <c r="F92" s="261">
        <v>3101.3300000000004</v>
      </c>
      <c r="H92" s="261" t="s">
        <v>376</v>
      </c>
      <c r="I92" s="262">
        <f>I91+18</f>
        <v>1589</v>
      </c>
      <c r="K92" s="261">
        <v>87</v>
      </c>
      <c r="L92" s="262">
        <v>631.05999999999995</v>
      </c>
      <c r="M92" s="352"/>
      <c r="N92" s="261">
        <v>88</v>
      </c>
      <c r="O92" s="262">
        <v>1101.01</v>
      </c>
      <c r="P92" s="352"/>
      <c r="Q92" s="261">
        <v>88</v>
      </c>
      <c r="R92" s="262">
        <v>455</v>
      </c>
      <c r="S92" s="352"/>
      <c r="T92" s="261">
        <v>88</v>
      </c>
      <c r="U92" s="262">
        <v>455</v>
      </c>
      <c r="V92" s="352"/>
      <c r="W92" s="261">
        <v>88</v>
      </c>
      <c r="X92" s="262">
        <v>798.8</v>
      </c>
      <c r="Y92" s="352"/>
      <c r="Z92" s="261">
        <v>88</v>
      </c>
      <c r="AA92" s="262">
        <v>835.48</v>
      </c>
      <c r="AB92" s="352"/>
      <c r="AC92" s="261">
        <v>88</v>
      </c>
      <c r="AD92" s="262">
        <v>2144.75</v>
      </c>
      <c r="AE92" s="352"/>
      <c r="AF92" s="261">
        <v>88</v>
      </c>
      <c r="AG92" s="262">
        <v>5932.74</v>
      </c>
      <c r="AH92" s="352"/>
      <c r="AI92" s="261">
        <v>88</v>
      </c>
      <c r="AJ92" s="262">
        <v>2756</v>
      </c>
      <c r="AK92" s="352"/>
      <c r="AL92" s="261"/>
      <c r="AM92" s="262"/>
      <c r="AO92" s="261">
        <v>147</v>
      </c>
      <c r="AP92" s="320">
        <v>1.0011000000000001</v>
      </c>
    </row>
    <row r="93" spans="2:42">
      <c r="B93" s="261" t="s">
        <v>377</v>
      </c>
      <c r="C93" s="261">
        <v>3167</v>
      </c>
      <c r="E93" s="261" t="s">
        <v>377</v>
      </c>
      <c r="F93" s="261">
        <v>3132.64</v>
      </c>
      <c r="H93" s="261" t="s">
        <v>377</v>
      </c>
      <c r="I93" s="262">
        <v>1607</v>
      </c>
      <c r="K93" s="261">
        <v>88</v>
      </c>
      <c r="L93" s="262">
        <v>638.38</v>
      </c>
      <c r="M93" s="352"/>
      <c r="N93" s="261">
        <v>89</v>
      </c>
      <c r="O93" s="262">
        <v>1112.1099999999999</v>
      </c>
      <c r="P93" s="352"/>
      <c r="Q93" s="261">
        <v>89</v>
      </c>
      <c r="R93" s="262">
        <v>459</v>
      </c>
      <c r="S93" s="352"/>
      <c r="T93" s="261">
        <v>89</v>
      </c>
      <c r="U93" s="262">
        <v>459</v>
      </c>
      <c r="V93" s="352"/>
      <c r="W93" s="261">
        <v>89</v>
      </c>
      <c r="X93" s="262">
        <v>806.3</v>
      </c>
      <c r="Y93" s="352"/>
      <c r="Z93" s="261">
        <v>89</v>
      </c>
      <c r="AA93" s="262">
        <v>842.98</v>
      </c>
      <c r="AB93" s="352"/>
      <c r="AC93" s="261">
        <v>89</v>
      </c>
      <c r="AD93" s="262">
        <v>2170.37</v>
      </c>
      <c r="AE93" s="352"/>
      <c r="AF93" s="261">
        <v>89</v>
      </c>
      <c r="AG93" s="262">
        <v>6001.15</v>
      </c>
      <c r="AH93" s="352"/>
      <c r="AI93" s="261">
        <v>89</v>
      </c>
      <c r="AJ93" s="262">
        <v>2785</v>
      </c>
      <c r="AK93" s="352"/>
      <c r="AL93" s="261"/>
      <c r="AM93" s="262"/>
      <c r="AO93" s="261">
        <v>148</v>
      </c>
      <c r="AP93" s="320">
        <v>1.00112</v>
      </c>
    </row>
    <row r="94" spans="2:42">
      <c r="B94" s="261" t="s">
        <v>378</v>
      </c>
      <c r="C94" s="261">
        <v>3198</v>
      </c>
      <c r="E94" s="261" t="s">
        <v>378</v>
      </c>
      <c r="F94" s="261">
        <v>3163.9</v>
      </c>
      <c r="H94" s="261" t="s">
        <v>378</v>
      </c>
      <c r="I94" s="262">
        <f>I93+18</f>
        <v>1625</v>
      </c>
      <c r="K94" s="261">
        <v>89</v>
      </c>
      <c r="L94" s="262">
        <v>645.71</v>
      </c>
      <c r="M94" s="352"/>
      <c r="N94" s="261">
        <v>90</v>
      </c>
      <c r="O94" s="262">
        <v>1123.2</v>
      </c>
      <c r="P94" s="352"/>
      <c r="Q94" s="261">
        <v>90</v>
      </c>
      <c r="R94" s="262">
        <v>463</v>
      </c>
      <c r="S94" s="352"/>
      <c r="T94" s="261">
        <v>90</v>
      </c>
      <c r="U94" s="262">
        <v>463</v>
      </c>
      <c r="V94" s="352"/>
      <c r="W94" s="261">
        <v>90</v>
      </c>
      <c r="X94" s="262">
        <v>813.8</v>
      </c>
      <c r="Y94" s="352"/>
      <c r="Z94" s="261">
        <v>90</v>
      </c>
      <c r="AA94" s="262">
        <v>850.48</v>
      </c>
      <c r="AB94" s="352"/>
      <c r="AC94" s="261">
        <v>90</v>
      </c>
      <c r="AD94" s="262">
        <v>2196</v>
      </c>
      <c r="AE94" s="352"/>
      <c r="AF94" s="261">
        <v>90</v>
      </c>
      <c r="AG94" s="262">
        <v>6069.56</v>
      </c>
      <c r="AH94" s="352"/>
      <c r="AI94" s="261">
        <v>90</v>
      </c>
      <c r="AJ94" s="262">
        <v>2813</v>
      </c>
      <c r="AK94" s="352"/>
      <c r="AL94" s="261"/>
      <c r="AM94" s="262"/>
      <c r="AO94" s="261">
        <v>149</v>
      </c>
      <c r="AP94" s="320">
        <v>1.0011300000000001</v>
      </c>
    </row>
    <row r="95" spans="2:42">
      <c r="B95" s="261" t="s">
        <v>379</v>
      </c>
      <c r="C95" s="261">
        <v>3229</v>
      </c>
      <c r="E95" s="261" t="s">
        <v>379</v>
      </c>
      <c r="F95" s="261">
        <v>3195.2</v>
      </c>
      <c r="H95" s="261" t="s">
        <v>379</v>
      </c>
      <c r="I95" s="262">
        <v>1642</v>
      </c>
      <c r="K95" s="261">
        <v>90</v>
      </c>
      <c r="L95" s="262">
        <v>653.03</v>
      </c>
      <c r="M95" s="352"/>
      <c r="N95" s="261">
        <v>91</v>
      </c>
      <c r="O95" s="262">
        <v>1134.3</v>
      </c>
      <c r="P95" s="352"/>
      <c r="Q95" s="261">
        <v>91</v>
      </c>
      <c r="R95" s="262">
        <v>467</v>
      </c>
      <c r="S95" s="352"/>
      <c r="T95" s="261">
        <v>91</v>
      </c>
      <c r="U95" s="262">
        <v>467</v>
      </c>
      <c r="V95" s="352"/>
      <c r="W95" s="261">
        <v>91</v>
      </c>
      <c r="X95" s="262">
        <v>821.3</v>
      </c>
      <c r="Y95" s="352"/>
      <c r="Z95" s="261">
        <v>91</v>
      </c>
      <c r="AA95" s="262">
        <v>857.98</v>
      </c>
      <c r="AB95" s="352"/>
      <c r="AC95" s="261">
        <v>91</v>
      </c>
      <c r="AD95" s="262">
        <v>2221.62</v>
      </c>
      <c r="AE95" s="352"/>
      <c r="AF95" s="261">
        <v>91</v>
      </c>
      <c r="AG95" s="262">
        <v>6137.97</v>
      </c>
      <c r="AH95" s="352"/>
      <c r="AI95" s="261">
        <v>91</v>
      </c>
      <c r="AJ95" s="262">
        <v>2841</v>
      </c>
      <c r="AK95" s="352"/>
      <c r="AL95" s="261"/>
      <c r="AM95" s="262"/>
      <c r="AO95" s="261">
        <v>150</v>
      </c>
      <c r="AP95" s="320">
        <v>1.0011399999999999</v>
      </c>
    </row>
    <row r="96" spans="2:42">
      <c r="B96" s="261" t="s">
        <v>380</v>
      </c>
      <c r="C96" s="261">
        <v>3260</v>
      </c>
      <c r="E96" s="261" t="s">
        <v>380</v>
      </c>
      <c r="F96" s="261">
        <v>3226.46</v>
      </c>
      <c r="H96" s="261" t="s">
        <v>380</v>
      </c>
      <c r="I96" s="262">
        <f>I95+18</f>
        <v>1660</v>
      </c>
      <c r="K96" s="261">
        <v>91</v>
      </c>
      <c r="L96" s="262">
        <v>660.35</v>
      </c>
      <c r="M96" s="352"/>
      <c r="N96" s="261">
        <v>92</v>
      </c>
      <c r="O96" s="262">
        <v>1145.3900000000001</v>
      </c>
      <c r="P96" s="352"/>
      <c r="Q96" s="261">
        <v>92</v>
      </c>
      <c r="R96" s="262">
        <v>471</v>
      </c>
      <c r="S96" s="352"/>
      <c r="T96" s="261">
        <v>92</v>
      </c>
      <c r="U96" s="262">
        <v>471</v>
      </c>
      <c r="V96" s="352"/>
      <c r="W96" s="261">
        <v>92</v>
      </c>
      <c r="X96" s="262">
        <v>828.8</v>
      </c>
      <c r="Y96" s="352"/>
      <c r="Z96" s="261">
        <v>92</v>
      </c>
      <c r="AA96" s="262">
        <v>865.48</v>
      </c>
      <c r="AB96" s="352"/>
      <c r="AC96" s="261">
        <v>92</v>
      </c>
      <c r="AD96" s="262">
        <v>2247.25</v>
      </c>
      <c r="AE96" s="352"/>
      <c r="AF96" s="261">
        <v>92</v>
      </c>
      <c r="AG96" s="262">
        <v>6206.37</v>
      </c>
      <c r="AH96" s="352"/>
      <c r="AI96" s="261">
        <v>92</v>
      </c>
      <c r="AJ96" s="262">
        <v>2870</v>
      </c>
      <c r="AK96" s="352"/>
      <c r="AL96" s="261"/>
      <c r="AM96" s="262"/>
      <c r="AO96" s="261">
        <v>151</v>
      </c>
      <c r="AP96" s="320">
        <v>1.00116</v>
      </c>
    </row>
    <row r="97" spans="2:42">
      <c r="B97" s="261" t="s">
        <v>381</v>
      </c>
      <c r="C97" s="261">
        <v>3292</v>
      </c>
      <c r="E97" s="261" t="s">
        <v>381</v>
      </c>
      <c r="F97" s="261">
        <v>3257.77</v>
      </c>
      <c r="H97" s="261" t="s">
        <v>381</v>
      </c>
      <c r="I97" s="262">
        <v>1677</v>
      </c>
      <c r="K97" s="261">
        <v>92</v>
      </c>
      <c r="L97" s="262">
        <v>667.68</v>
      </c>
      <c r="M97" s="352"/>
      <c r="N97" s="261">
        <v>93</v>
      </c>
      <c r="O97" s="262">
        <v>1156.49</v>
      </c>
      <c r="P97" s="352"/>
      <c r="Q97" s="261">
        <v>93</v>
      </c>
      <c r="R97" s="262">
        <v>475</v>
      </c>
      <c r="S97" s="352"/>
      <c r="T97" s="261">
        <v>93</v>
      </c>
      <c r="U97" s="262">
        <v>475</v>
      </c>
      <c r="V97" s="352"/>
      <c r="W97" s="261">
        <v>93</v>
      </c>
      <c r="X97" s="262">
        <v>836.3</v>
      </c>
      <c r="Y97" s="352"/>
      <c r="Z97" s="261">
        <v>93</v>
      </c>
      <c r="AA97" s="262">
        <v>872.98</v>
      </c>
      <c r="AB97" s="352"/>
      <c r="AC97" s="261">
        <v>93</v>
      </c>
      <c r="AD97" s="262">
        <v>2272.87</v>
      </c>
      <c r="AE97" s="352"/>
      <c r="AF97" s="261">
        <v>93</v>
      </c>
      <c r="AG97" s="262">
        <v>6274.78</v>
      </c>
      <c r="AH97" s="352"/>
      <c r="AI97" s="261">
        <v>93</v>
      </c>
      <c r="AJ97" s="262">
        <v>2898</v>
      </c>
      <c r="AK97" s="352"/>
      <c r="AL97" s="261"/>
      <c r="AM97" s="262"/>
      <c r="AO97" s="261">
        <v>152</v>
      </c>
      <c r="AP97" s="320">
        <v>1.0011699999999999</v>
      </c>
    </row>
    <row r="98" spans="2:42">
      <c r="B98" s="261" t="s">
        <v>382</v>
      </c>
      <c r="C98" s="261">
        <v>3323</v>
      </c>
      <c r="E98" s="261" t="s">
        <v>382</v>
      </c>
      <c r="F98" s="261">
        <v>3289.03</v>
      </c>
      <c r="H98" s="261" t="s">
        <v>382</v>
      </c>
      <c r="I98" s="262">
        <f>I97+18</f>
        <v>1695</v>
      </c>
      <c r="K98" s="261">
        <v>93</v>
      </c>
      <c r="L98" s="262">
        <v>675</v>
      </c>
      <c r="M98" s="352"/>
      <c r="N98" s="261">
        <v>94</v>
      </c>
      <c r="O98" s="262">
        <v>1167.5899999999999</v>
      </c>
      <c r="P98" s="352"/>
      <c r="Q98" s="261">
        <v>94</v>
      </c>
      <c r="R98" s="262">
        <v>479</v>
      </c>
      <c r="S98" s="352"/>
      <c r="T98" s="261">
        <v>94</v>
      </c>
      <c r="U98" s="262">
        <v>479</v>
      </c>
      <c r="V98" s="352"/>
      <c r="W98" s="261">
        <v>94</v>
      </c>
      <c r="X98" s="262">
        <v>843.8</v>
      </c>
      <c r="Y98" s="352"/>
      <c r="Z98" s="261">
        <v>94</v>
      </c>
      <c r="AA98" s="262">
        <v>880.49</v>
      </c>
      <c r="AB98" s="352"/>
      <c r="AC98" s="261">
        <v>94</v>
      </c>
      <c r="AD98" s="262">
        <v>2298.4899999999998</v>
      </c>
      <c r="AE98" s="352"/>
      <c r="AF98" s="261">
        <v>94</v>
      </c>
      <c r="AG98" s="262">
        <v>6343.19</v>
      </c>
      <c r="AH98" s="352"/>
      <c r="AI98" s="261">
        <v>94</v>
      </c>
      <c r="AJ98" s="262">
        <v>2927</v>
      </c>
      <c r="AK98" s="352"/>
      <c r="AL98" s="261"/>
      <c r="AM98" s="262"/>
      <c r="AO98" s="261">
        <v>153</v>
      </c>
      <c r="AP98" s="320">
        <v>1.00118</v>
      </c>
    </row>
    <row r="99" spans="2:42">
      <c r="B99" s="261" t="s">
        <v>383</v>
      </c>
      <c r="C99" s="261">
        <v>3354</v>
      </c>
      <c r="E99" s="261" t="s">
        <v>383</v>
      </c>
      <c r="F99" s="261">
        <v>3320.34</v>
      </c>
      <c r="H99" s="261" t="s">
        <v>383</v>
      </c>
      <c r="I99" s="262">
        <v>1712</v>
      </c>
      <c r="K99" s="261">
        <v>94</v>
      </c>
      <c r="L99" s="262">
        <v>682.32</v>
      </c>
      <c r="M99" s="352"/>
      <c r="N99" s="261">
        <v>95</v>
      </c>
      <c r="O99" s="262">
        <v>1178.68</v>
      </c>
      <c r="P99" s="352"/>
      <c r="Q99" s="261">
        <v>95</v>
      </c>
      <c r="R99" s="262">
        <v>484</v>
      </c>
      <c r="S99" s="352"/>
      <c r="T99" s="261">
        <v>95</v>
      </c>
      <c r="U99" s="262">
        <v>484</v>
      </c>
      <c r="V99" s="352"/>
      <c r="W99" s="261">
        <v>95</v>
      </c>
      <c r="X99" s="262">
        <v>851.3</v>
      </c>
      <c r="Y99" s="352"/>
      <c r="Z99" s="261">
        <v>95</v>
      </c>
      <c r="AA99" s="262">
        <v>887.99</v>
      </c>
      <c r="AB99" s="352"/>
      <c r="AC99" s="261">
        <v>95</v>
      </c>
      <c r="AD99" s="262">
        <v>2324.12</v>
      </c>
      <c r="AE99" s="352"/>
      <c r="AF99" s="261">
        <v>95</v>
      </c>
      <c r="AG99" s="262">
        <v>6411.6</v>
      </c>
      <c r="AH99" s="352"/>
      <c r="AI99" s="261">
        <v>95</v>
      </c>
      <c r="AJ99" s="262">
        <v>2955</v>
      </c>
      <c r="AK99" s="352"/>
      <c r="AL99" s="261"/>
      <c r="AM99" s="262"/>
      <c r="AO99" s="261">
        <v>154</v>
      </c>
      <c r="AP99" s="320">
        <v>1.0012000000000001</v>
      </c>
    </row>
    <row r="100" spans="2:42">
      <c r="B100" s="261" t="s">
        <v>384</v>
      </c>
      <c r="C100" s="261">
        <v>3385</v>
      </c>
      <c r="E100" s="261" t="s">
        <v>384</v>
      </c>
      <c r="F100" s="261">
        <v>3351.6000000000004</v>
      </c>
      <c r="H100" s="261" t="s">
        <v>384</v>
      </c>
      <c r="I100" s="262">
        <f>I99+18</f>
        <v>1730</v>
      </c>
      <c r="K100" s="261">
        <v>95</v>
      </c>
      <c r="L100" s="262">
        <v>689.65</v>
      </c>
      <c r="M100" s="352"/>
      <c r="N100" s="261">
        <v>96</v>
      </c>
      <c r="O100" s="262">
        <v>1189.78</v>
      </c>
      <c r="P100" s="352"/>
      <c r="Q100" s="261">
        <v>96</v>
      </c>
      <c r="R100" s="262">
        <v>488</v>
      </c>
      <c r="S100" s="352"/>
      <c r="T100" s="261">
        <v>96</v>
      </c>
      <c r="U100" s="262">
        <v>488</v>
      </c>
      <c r="V100" s="352"/>
      <c r="W100" s="261">
        <v>96</v>
      </c>
      <c r="X100" s="262">
        <v>858.8</v>
      </c>
      <c r="Y100" s="352"/>
      <c r="Z100" s="261">
        <v>96</v>
      </c>
      <c r="AA100" s="262">
        <v>895.49</v>
      </c>
      <c r="AB100" s="352"/>
      <c r="AC100" s="261">
        <v>96</v>
      </c>
      <c r="AD100" s="262">
        <v>2349.7399999999998</v>
      </c>
      <c r="AE100" s="352"/>
      <c r="AF100" s="261">
        <v>96</v>
      </c>
      <c r="AG100" s="262">
        <v>6480.01</v>
      </c>
      <c r="AH100" s="352"/>
      <c r="AI100" s="261">
        <v>96</v>
      </c>
      <c r="AJ100" s="262">
        <v>2983</v>
      </c>
      <c r="AK100" s="352"/>
      <c r="AL100" s="261"/>
      <c r="AM100" s="262"/>
      <c r="AO100" s="261">
        <v>155</v>
      </c>
      <c r="AP100" s="320">
        <v>1.0012099999999999</v>
      </c>
    </row>
    <row r="101" spans="2:42">
      <c r="B101" s="261" t="s">
        <v>385</v>
      </c>
      <c r="C101" s="261">
        <v>3417</v>
      </c>
      <c r="E101" s="261" t="s">
        <v>385</v>
      </c>
      <c r="F101" s="261">
        <v>3382.9</v>
      </c>
      <c r="H101" s="261" t="s">
        <v>385</v>
      </c>
      <c r="I101" s="262">
        <v>1748</v>
      </c>
      <c r="K101" s="261">
        <v>96</v>
      </c>
      <c r="L101" s="262">
        <v>696.97</v>
      </c>
      <c r="M101" s="352"/>
      <c r="N101" s="261">
        <v>97</v>
      </c>
      <c r="O101" s="262">
        <v>1200.8699999999999</v>
      </c>
      <c r="P101" s="352"/>
      <c r="Q101" s="261">
        <v>97</v>
      </c>
      <c r="R101" s="262">
        <v>492</v>
      </c>
      <c r="S101" s="352"/>
      <c r="T101" s="261">
        <v>97</v>
      </c>
      <c r="U101" s="262">
        <v>492</v>
      </c>
      <c r="V101" s="352"/>
      <c r="W101" s="261">
        <v>97</v>
      </c>
      <c r="X101" s="262">
        <v>866.3</v>
      </c>
      <c r="Y101" s="352"/>
      <c r="Z101" s="261">
        <v>97</v>
      </c>
      <c r="AA101" s="262">
        <v>902.99</v>
      </c>
      <c r="AB101" s="352"/>
      <c r="AC101" s="261">
        <v>97</v>
      </c>
      <c r="AD101" s="262">
        <v>2375.37</v>
      </c>
      <c r="AE101" s="352"/>
      <c r="AF101" s="261">
        <v>97</v>
      </c>
      <c r="AG101" s="262">
        <v>6548.42</v>
      </c>
      <c r="AH101" s="352"/>
      <c r="AI101" s="261">
        <v>97</v>
      </c>
      <c r="AJ101" s="262">
        <v>3012</v>
      </c>
      <c r="AK101" s="352"/>
      <c r="AL101" s="261"/>
      <c r="AM101" s="262"/>
      <c r="AO101" s="261">
        <v>156</v>
      </c>
      <c r="AP101" s="320">
        <v>1.00122</v>
      </c>
    </row>
    <row r="102" spans="2:42">
      <c r="B102" s="261" t="s">
        <v>386</v>
      </c>
      <c r="C102" s="261">
        <v>3448</v>
      </c>
      <c r="E102" s="261" t="s">
        <v>386</v>
      </c>
      <c r="F102" s="261">
        <v>3414.1600000000003</v>
      </c>
      <c r="H102" s="261" t="s">
        <v>386</v>
      </c>
      <c r="I102" s="262">
        <f>I101+18</f>
        <v>1766</v>
      </c>
      <c r="K102" s="261">
        <v>97</v>
      </c>
      <c r="L102" s="262">
        <v>704.3</v>
      </c>
      <c r="M102" s="352"/>
      <c r="N102" s="261">
        <v>98</v>
      </c>
      <c r="O102" s="262">
        <v>1211.97</v>
      </c>
      <c r="P102" s="352"/>
      <c r="Q102" s="261">
        <v>98</v>
      </c>
      <c r="R102" s="262">
        <v>496</v>
      </c>
      <c r="S102" s="352"/>
      <c r="T102" s="261">
        <v>98</v>
      </c>
      <c r="U102" s="262">
        <v>496</v>
      </c>
      <c r="V102" s="352"/>
      <c r="W102" s="261">
        <v>98</v>
      </c>
      <c r="X102" s="262">
        <v>873.8</v>
      </c>
      <c r="Y102" s="352"/>
      <c r="Z102" s="261">
        <v>98</v>
      </c>
      <c r="AA102" s="262">
        <v>910.49</v>
      </c>
      <c r="AB102" s="352"/>
      <c r="AC102" s="261">
        <v>98</v>
      </c>
      <c r="AD102" s="262">
        <v>2400.9899999999998</v>
      </c>
      <c r="AE102" s="352"/>
      <c r="AF102" s="261">
        <v>98</v>
      </c>
      <c r="AG102" s="262">
        <v>6616.83</v>
      </c>
      <c r="AH102" s="352"/>
      <c r="AI102" s="261">
        <v>98</v>
      </c>
      <c r="AJ102" s="262">
        <v>3040</v>
      </c>
      <c r="AK102" s="352"/>
      <c r="AL102" s="261"/>
      <c r="AM102" s="262"/>
      <c r="AO102" s="261">
        <v>157</v>
      </c>
      <c r="AP102" s="320">
        <v>1.0012399999999999</v>
      </c>
    </row>
    <row r="103" spans="2:42">
      <c r="B103" s="261" t="s">
        <v>387</v>
      </c>
      <c r="C103" s="261">
        <v>3479</v>
      </c>
      <c r="E103" s="261" t="s">
        <v>387</v>
      </c>
      <c r="F103" s="261">
        <v>3445.47</v>
      </c>
      <c r="H103" s="261" t="s">
        <v>387</v>
      </c>
      <c r="I103" s="262">
        <v>1783</v>
      </c>
      <c r="K103" s="261">
        <v>98</v>
      </c>
      <c r="L103" s="262">
        <v>711.62</v>
      </c>
      <c r="M103" s="352"/>
      <c r="N103" s="261">
        <v>99</v>
      </c>
      <c r="O103" s="262">
        <v>1223.07</v>
      </c>
      <c r="P103" s="352"/>
      <c r="Q103" s="261">
        <v>99</v>
      </c>
      <c r="R103" s="262">
        <v>500</v>
      </c>
      <c r="S103" s="352"/>
      <c r="T103" s="261">
        <v>99</v>
      </c>
      <c r="U103" s="262">
        <v>500</v>
      </c>
      <c r="V103" s="352"/>
      <c r="W103" s="261">
        <v>99</v>
      </c>
      <c r="X103" s="262">
        <v>881.4</v>
      </c>
      <c r="Y103" s="352"/>
      <c r="Z103" s="261">
        <v>99</v>
      </c>
      <c r="AA103" s="262">
        <v>917.99</v>
      </c>
      <c r="AB103" s="352"/>
      <c r="AC103" s="261">
        <v>99</v>
      </c>
      <c r="AD103" s="262">
        <v>2426.61</v>
      </c>
      <c r="AE103" s="352"/>
      <c r="AF103" s="261">
        <v>99</v>
      </c>
      <c r="AG103" s="262">
        <v>6685.24</v>
      </c>
      <c r="AH103" s="352"/>
      <c r="AI103" s="261">
        <v>99</v>
      </c>
      <c r="AJ103" s="262">
        <v>3069</v>
      </c>
      <c r="AK103" s="352"/>
      <c r="AL103" s="261"/>
      <c r="AM103" s="262"/>
      <c r="AO103" s="261">
        <v>158</v>
      </c>
      <c r="AP103" s="320">
        <v>1.00125</v>
      </c>
    </row>
    <row r="104" spans="2:42">
      <c r="B104" s="261" t="s">
        <v>388</v>
      </c>
      <c r="C104" s="261">
        <v>3510</v>
      </c>
      <c r="E104" s="261" t="s">
        <v>388</v>
      </c>
      <c r="F104" s="261">
        <v>3476.73</v>
      </c>
      <c r="H104" s="261" t="s">
        <v>388</v>
      </c>
      <c r="I104" s="262">
        <f>I103+18</f>
        <v>1801</v>
      </c>
      <c r="K104" s="261">
        <v>99</v>
      </c>
      <c r="L104" s="262">
        <v>718.94</v>
      </c>
      <c r="M104" s="352"/>
      <c r="N104" s="261">
        <v>100</v>
      </c>
      <c r="O104" s="262">
        <v>1234.1600000000001</v>
      </c>
      <c r="P104" s="352"/>
      <c r="Q104" s="261">
        <v>100</v>
      </c>
      <c r="R104" s="262">
        <v>504</v>
      </c>
      <c r="S104" s="352"/>
      <c r="T104" s="261">
        <v>100</v>
      </c>
      <c r="U104" s="262">
        <v>504</v>
      </c>
      <c r="V104" s="352"/>
      <c r="W104" s="261">
        <v>100</v>
      </c>
      <c r="X104" s="262">
        <v>888.9</v>
      </c>
      <c r="Y104" s="352"/>
      <c r="Z104" s="261">
        <v>100</v>
      </c>
      <c r="AA104" s="262">
        <v>925.5</v>
      </c>
      <c r="AB104" s="352"/>
      <c r="AC104" s="261">
        <v>100</v>
      </c>
      <c r="AD104" s="262">
        <v>2452.2399999999998</v>
      </c>
      <c r="AE104" s="352"/>
      <c r="AF104" s="261">
        <v>100</v>
      </c>
      <c r="AG104" s="262">
        <v>6753.65</v>
      </c>
      <c r="AH104" s="352"/>
      <c r="AI104" s="261">
        <v>100</v>
      </c>
      <c r="AJ104" s="262">
        <v>3097</v>
      </c>
      <c r="AK104" s="352"/>
      <c r="AL104" s="261"/>
      <c r="AM104" s="262"/>
      <c r="AO104" s="261">
        <v>159</v>
      </c>
      <c r="AP104" s="320">
        <v>1.00126</v>
      </c>
    </row>
    <row r="105" spans="2:42">
      <c r="B105" s="261" t="s">
        <v>389</v>
      </c>
      <c r="C105" s="261">
        <v>3542</v>
      </c>
      <c r="E105" s="261" t="s">
        <v>389</v>
      </c>
      <c r="F105" s="261">
        <v>3508.03</v>
      </c>
      <c r="H105" s="261" t="s">
        <v>389</v>
      </c>
      <c r="I105" s="262">
        <v>1818</v>
      </c>
      <c r="K105" s="261">
        <v>100</v>
      </c>
      <c r="L105" s="262">
        <v>726.27</v>
      </c>
      <c r="M105" s="352"/>
      <c r="N105" s="261">
        <v>101</v>
      </c>
      <c r="O105" s="262">
        <v>1245.26</v>
      </c>
      <c r="P105" s="352"/>
      <c r="Q105" s="261">
        <v>101</v>
      </c>
      <c r="R105" s="262">
        <v>508</v>
      </c>
      <c r="S105" s="352"/>
      <c r="T105" s="261">
        <v>101</v>
      </c>
      <c r="U105" s="262">
        <v>508</v>
      </c>
      <c r="V105" s="352"/>
      <c r="W105" s="261">
        <v>101</v>
      </c>
      <c r="X105" s="262">
        <v>896.4</v>
      </c>
      <c r="Y105" s="352"/>
      <c r="Z105" s="261">
        <v>101</v>
      </c>
      <c r="AA105" s="262">
        <v>933</v>
      </c>
      <c r="AB105" s="352"/>
      <c r="AC105" s="261">
        <v>101</v>
      </c>
      <c r="AD105" s="262">
        <v>2477.86</v>
      </c>
      <c r="AE105" s="352"/>
      <c r="AF105" s="261">
        <v>101</v>
      </c>
      <c r="AG105" s="262">
        <v>6822.06</v>
      </c>
      <c r="AH105" s="352"/>
      <c r="AI105" s="261">
        <v>101</v>
      </c>
      <c r="AJ105" s="262">
        <v>3125</v>
      </c>
      <c r="AK105" s="352"/>
      <c r="AL105" s="261"/>
      <c r="AM105" s="262"/>
      <c r="AO105" s="261">
        <v>160</v>
      </c>
      <c r="AP105" s="320">
        <v>1.0012799999999999</v>
      </c>
    </row>
    <row r="106" spans="2:42">
      <c r="B106" s="261" t="s">
        <v>390</v>
      </c>
      <c r="C106" s="261">
        <v>3573</v>
      </c>
      <c r="E106" s="261" t="s">
        <v>390</v>
      </c>
      <c r="F106" s="261">
        <v>3539.2900000000004</v>
      </c>
      <c r="H106" s="261" t="s">
        <v>390</v>
      </c>
      <c r="I106" s="262">
        <f>I105+18</f>
        <v>1836</v>
      </c>
      <c r="K106" s="261">
        <v>101</v>
      </c>
      <c r="L106" s="262">
        <v>733.59</v>
      </c>
      <c r="M106" s="352"/>
      <c r="N106" s="261">
        <v>102</v>
      </c>
      <c r="O106" s="262">
        <v>1256.3499999999999</v>
      </c>
      <c r="P106" s="352"/>
      <c r="Q106" s="261">
        <v>102</v>
      </c>
      <c r="R106" s="262">
        <v>512</v>
      </c>
      <c r="S106" s="352"/>
      <c r="T106" s="261">
        <v>102</v>
      </c>
      <c r="U106" s="262">
        <v>513</v>
      </c>
      <c r="V106" s="352"/>
      <c r="W106" s="261">
        <v>102</v>
      </c>
      <c r="X106" s="262">
        <v>903.9</v>
      </c>
      <c r="Y106" s="352"/>
      <c r="Z106" s="261">
        <v>102</v>
      </c>
      <c r="AA106" s="262">
        <v>940.5</v>
      </c>
      <c r="AB106" s="352"/>
      <c r="AC106" s="261">
        <v>102</v>
      </c>
      <c r="AD106" s="262">
        <v>2503.4899999999998</v>
      </c>
      <c r="AE106" s="352"/>
      <c r="AF106" s="261">
        <v>102</v>
      </c>
      <c r="AG106" s="262">
        <v>6890.46</v>
      </c>
      <c r="AH106" s="352"/>
      <c r="AI106" s="261">
        <v>102</v>
      </c>
      <c r="AJ106" s="262">
        <v>3154</v>
      </c>
      <c r="AK106" s="352"/>
      <c r="AL106" s="261"/>
      <c r="AM106" s="262"/>
      <c r="AO106" s="261">
        <v>161</v>
      </c>
      <c r="AP106" s="320">
        <v>1.00129</v>
      </c>
    </row>
    <row r="107" spans="2:42">
      <c r="B107" s="261" t="s">
        <v>391</v>
      </c>
      <c r="C107" s="261">
        <v>3604</v>
      </c>
      <c r="E107" s="261" t="s">
        <v>391</v>
      </c>
      <c r="F107" s="261">
        <v>3570.6</v>
      </c>
      <c r="H107" s="261" t="s">
        <v>391</v>
      </c>
      <c r="I107" s="262">
        <v>1854</v>
      </c>
      <c r="K107" s="261">
        <v>102</v>
      </c>
      <c r="L107" s="262">
        <v>740.92</v>
      </c>
      <c r="M107" s="352"/>
      <c r="N107" s="261">
        <v>103</v>
      </c>
      <c r="O107" s="262">
        <v>1267.45</v>
      </c>
      <c r="P107" s="352"/>
      <c r="Q107" s="261">
        <v>103</v>
      </c>
      <c r="R107" s="262">
        <v>517</v>
      </c>
      <c r="S107" s="352"/>
      <c r="T107" s="261">
        <v>103</v>
      </c>
      <c r="U107" s="262">
        <v>517</v>
      </c>
      <c r="V107" s="352"/>
      <c r="W107" s="261">
        <v>103</v>
      </c>
      <c r="X107" s="262">
        <v>911.4</v>
      </c>
      <c r="Y107" s="352"/>
      <c r="Z107" s="261">
        <v>103</v>
      </c>
      <c r="AA107" s="262">
        <v>948</v>
      </c>
      <c r="AB107" s="352"/>
      <c r="AC107" s="261">
        <v>103</v>
      </c>
      <c r="AD107" s="262">
        <v>2529.11</v>
      </c>
      <c r="AE107" s="352"/>
      <c r="AF107" s="261">
        <v>103</v>
      </c>
      <c r="AG107" s="262">
        <v>6958.87</v>
      </c>
      <c r="AH107" s="352"/>
      <c r="AI107" s="261">
        <v>103</v>
      </c>
      <c r="AJ107" s="262">
        <v>3182</v>
      </c>
      <c r="AK107" s="352"/>
      <c r="AL107" s="261"/>
      <c r="AM107" s="262"/>
      <c r="AO107" s="261">
        <v>162</v>
      </c>
      <c r="AP107" s="320">
        <v>1.0013000000000001</v>
      </c>
    </row>
    <row r="108" spans="2:42">
      <c r="B108" s="261" t="s">
        <v>392</v>
      </c>
      <c r="C108" s="261">
        <v>3635</v>
      </c>
      <c r="E108" s="261" t="s">
        <v>392</v>
      </c>
      <c r="F108" s="261">
        <v>3601.86</v>
      </c>
      <c r="H108" s="261" t="s">
        <v>392</v>
      </c>
      <c r="I108" s="262">
        <f>I107+18</f>
        <v>1872</v>
      </c>
      <c r="K108" s="261">
        <v>103</v>
      </c>
      <c r="L108" s="262">
        <v>748.24</v>
      </c>
      <c r="M108" s="352"/>
      <c r="N108" s="261">
        <v>104</v>
      </c>
      <c r="O108" s="262">
        <v>1278.55</v>
      </c>
      <c r="P108" s="352"/>
      <c r="Q108" s="261">
        <v>104</v>
      </c>
      <c r="R108" s="262">
        <v>521</v>
      </c>
      <c r="S108" s="352"/>
      <c r="T108" s="261">
        <v>104</v>
      </c>
      <c r="U108" s="262">
        <v>521</v>
      </c>
      <c r="V108" s="352"/>
      <c r="W108" s="261">
        <v>104</v>
      </c>
      <c r="X108" s="262">
        <v>918.9</v>
      </c>
      <c r="Y108" s="352"/>
      <c r="Z108" s="261">
        <v>104</v>
      </c>
      <c r="AA108" s="262">
        <v>955.5</v>
      </c>
      <c r="AB108" s="352"/>
      <c r="AC108" s="261">
        <v>104</v>
      </c>
      <c r="AD108" s="262">
        <v>2554.73</v>
      </c>
      <c r="AE108" s="352"/>
      <c r="AF108" s="261">
        <v>104</v>
      </c>
      <c r="AG108" s="262">
        <v>7027.28</v>
      </c>
      <c r="AH108" s="352"/>
      <c r="AI108" s="261">
        <v>104</v>
      </c>
      <c r="AJ108" s="262">
        <v>3211</v>
      </c>
      <c r="AK108" s="352"/>
      <c r="AL108" s="261"/>
      <c r="AM108" s="262"/>
      <c r="AO108" s="261">
        <v>163</v>
      </c>
      <c r="AP108" s="320">
        <v>1.00132</v>
      </c>
    </row>
    <row r="109" spans="2:42">
      <c r="B109" s="261" t="s">
        <v>393</v>
      </c>
      <c r="C109" s="261">
        <v>3667</v>
      </c>
      <c r="E109" s="261" t="s">
        <v>393</v>
      </c>
      <c r="F109" s="261">
        <v>3633.17</v>
      </c>
      <c r="H109" s="261" t="s">
        <v>393</v>
      </c>
      <c r="I109" s="262">
        <v>1889</v>
      </c>
      <c r="K109" s="261">
        <v>104</v>
      </c>
      <c r="L109" s="262">
        <v>755.57</v>
      </c>
      <c r="M109" s="352"/>
      <c r="N109" s="261">
        <v>105</v>
      </c>
      <c r="O109" s="262">
        <v>1289.6400000000001</v>
      </c>
      <c r="P109" s="352"/>
      <c r="Q109" s="261">
        <v>105</v>
      </c>
      <c r="R109" s="262">
        <v>525</v>
      </c>
      <c r="S109" s="352"/>
      <c r="T109" s="261">
        <v>105</v>
      </c>
      <c r="U109" s="262">
        <v>525</v>
      </c>
      <c r="V109" s="352"/>
      <c r="W109" s="261">
        <v>105</v>
      </c>
      <c r="X109" s="262">
        <v>926.4</v>
      </c>
      <c r="Y109" s="352"/>
      <c r="Z109" s="261">
        <v>105</v>
      </c>
      <c r="AA109" s="262">
        <v>963</v>
      </c>
      <c r="AB109" s="352"/>
      <c r="AC109" s="261">
        <v>105</v>
      </c>
      <c r="AD109" s="262">
        <v>2580.36</v>
      </c>
      <c r="AE109" s="352"/>
      <c r="AF109" s="261">
        <v>105</v>
      </c>
      <c r="AG109" s="262">
        <v>7095.69</v>
      </c>
      <c r="AH109" s="352"/>
      <c r="AI109" s="261">
        <v>105</v>
      </c>
      <c r="AJ109" s="262">
        <v>3239</v>
      </c>
      <c r="AK109" s="352"/>
      <c r="AL109" s="261"/>
      <c r="AM109" s="262"/>
      <c r="AO109" s="261">
        <v>164</v>
      </c>
      <c r="AP109" s="320">
        <v>1.0013300000000001</v>
      </c>
    </row>
    <row r="110" spans="2:42">
      <c r="B110" s="261" t="s">
        <v>394</v>
      </c>
      <c r="C110" s="261">
        <v>3698</v>
      </c>
      <c r="E110" s="261" t="s">
        <v>394</v>
      </c>
      <c r="F110" s="261">
        <v>3664.4300000000003</v>
      </c>
      <c r="H110" s="261" t="s">
        <v>394</v>
      </c>
      <c r="I110" s="262">
        <f>I109+18</f>
        <v>1907</v>
      </c>
      <c r="K110" s="261">
        <v>105</v>
      </c>
      <c r="L110" s="262">
        <v>762.89</v>
      </c>
      <c r="M110" s="352"/>
      <c r="N110" s="261">
        <v>106</v>
      </c>
      <c r="O110" s="262">
        <v>1300.74</v>
      </c>
      <c r="P110" s="352"/>
      <c r="Q110" s="261">
        <v>106</v>
      </c>
      <c r="R110" s="262">
        <v>529</v>
      </c>
      <c r="S110" s="352"/>
      <c r="T110" s="261">
        <v>106</v>
      </c>
      <c r="U110" s="262">
        <v>529</v>
      </c>
      <c r="V110" s="352"/>
      <c r="W110" s="261">
        <v>106</v>
      </c>
      <c r="X110" s="262">
        <v>933.9</v>
      </c>
      <c r="Y110" s="352"/>
      <c r="Z110" s="261">
        <v>106</v>
      </c>
      <c r="AA110" s="262">
        <v>970.51</v>
      </c>
      <c r="AB110" s="352"/>
      <c r="AC110" s="261">
        <v>106</v>
      </c>
      <c r="AD110" s="262">
        <v>2605.98</v>
      </c>
      <c r="AE110" s="352"/>
      <c r="AF110" s="261">
        <v>106</v>
      </c>
      <c r="AG110" s="262">
        <v>7164.1</v>
      </c>
      <c r="AH110" s="352"/>
      <c r="AI110" s="261">
        <v>106</v>
      </c>
      <c r="AJ110" s="262">
        <v>3267</v>
      </c>
      <c r="AK110" s="352"/>
      <c r="AL110" s="261"/>
      <c r="AM110" s="262"/>
      <c r="AO110" s="261">
        <v>165</v>
      </c>
      <c r="AP110" s="320">
        <v>1.0013399999999999</v>
      </c>
    </row>
    <row r="111" spans="2:42">
      <c r="B111" s="261" t="s">
        <v>395</v>
      </c>
      <c r="C111" s="261">
        <v>3730</v>
      </c>
      <c r="E111" s="261" t="s">
        <v>395</v>
      </c>
      <c r="F111" s="261">
        <v>3695.73</v>
      </c>
      <c r="H111" s="261" t="s">
        <v>395</v>
      </c>
      <c r="I111" s="262">
        <v>1924</v>
      </c>
      <c r="K111" s="261">
        <v>106</v>
      </c>
      <c r="L111" s="262">
        <v>770.21</v>
      </c>
      <c r="M111" s="352"/>
      <c r="N111" s="261">
        <v>107</v>
      </c>
      <c r="O111" s="262">
        <v>1311.83</v>
      </c>
      <c r="P111" s="352"/>
      <c r="Q111" s="261">
        <v>107</v>
      </c>
      <c r="R111" s="262">
        <v>533</v>
      </c>
      <c r="S111" s="352"/>
      <c r="T111" s="261">
        <v>107</v>
      </c>
      <c r="U111" s="262">
        <v>533</v>
      </c>
      <c r="V111" s="352"/>
      <c r="W111" s="261">
        <v>107</v>
      </c>
      <c r="X111" s="262">
        <v>914.4</v>
      </c>
      <c r="Y111" s="352"/>
      <c r="Z111" s="261">
        <v>107</v>
      </c>
      <c r="AA111" s="262">
        <v>978.01</v>
      </c>
      <c r="AB111" s="352"/>
      <c r="AC111" s="261">
        <v>107</v>
      </c>
      <c r="AD111" s="262">
        <v>2631.6120000000001</v>
      </c>
      <c r="AE111" s="352"/>
      <c r="AF111" s="261">
        <v>107</v>
      </c>
      <c r="AG111" s="262">
        <v>7232.51</v>
      </c>
      <c r="AH111" s="352"/>
      <c r="AI111" s="261">
        <v>107</v>
      </c>
      <c r="AJ111" s="262">
        <v>3296</v>
      </c>
      <c r="AK111" s="352"/>
      <c r="AL111" s="261"/>
      <c r="AM111" s="262"/>
      <c r="AO111" s="261">
        <v>166</v>
      </c>
      <c r="AP111" s="320">
        <v>1.00135</v>
      </c>
    </row>
    <row r="112" spans="2:42">
      <c r="B112" s="261" t="s">
        <v>396</v>
      </c>
      <c r="C112" s="261">
        <v>3761</v>
      </c>
      <c r="E112" s="261" t="s">
        <v>396</v>
      </c>
      <c r="F112" s="261">
        <v>3726.9900000000002</v>
      </c>
      <c r="H112" s="261" t="s">
        <v>396</v>
      </c>
      <c r="I112" s="262">
        <f>I111+18</f>
        <v>1942</v>
      </c>
      <c r="K112" s="261">
        <v>107</v>
      </c>
      <c r="L112" s="262">
        <v>777.53</v>
      </c>
      <c r="M112" s="352"/>
      <c r="N112" s="261">
        <v>108</v>
      </c>
      <c r="O112" s="262">
        <v>1322.93</v>
      </c>
      <c r="P112" s="352"/>
      <c r="Q112" s="261">
        <v>108</v>
      </c>
      <c r="R112" s="262">
        <v>537</v>
      </c>
      <c r="S112" s="352"/>
      <c r="T112" s="261">
        <v>108</v>
      </c>
      <c r="U112" s="262">
        <v>537</v>
      </c>
      <c r="V112" s="352"/>
      <c r="W112" s="261">
        <v>108</v>
      </c>
      <c r="X112" s="262">
        <v>948.9</v>
      </c>
      <c r="Y112" s="352"/>
      <c r="Z112" s="261">
        <v>108</v>
      </c>
      <c r="AA112" s="262">
        <v>985.51</v>
      </c>
      <c r="AB112" s="352"/>
      <c r="AC112" s="261">
        <v>108</v>
      </c>
      <c r="AD112" s="262">
        <v>2657.23</v>
      </c>
      <c r="AE112" s="352"/>
      <c r="AF112" s="261">
        <v>108</v>
      </c>
      <c r="AG112" s="262">
        <v>7300.92</v>
      </c>
      <c r="AH112" s="352"/>
      <c r="AI112" s="261">
        <v>108</v>
      </c>
      <c r="AJ112" s="262">
        <v>3324</v>
      </c>
      <c r="AK112" s="352"/>
      <c r="AL112" s="261"/>
      <c r="AM112" s="262"/>
    </row>
    <row r="113" spans="2:39">
      <c r="B113" s="261" t="s">
        <v>397</v>
      </c>
      <c r="C113" s="261">
        <v>3793</v>
      </c>
      <c r="E113" s="261" t="s">
        <v>397</v>
      </c>
      <c r="F113" s="261">
        <v>3758.3</v>
      </c>
      <c r="H113" s="261" t="s">
        <v>397</v>
      </c>
      <c r="I113" s="262">
        <v>1959</v>
      </c>
      <c r="K113" s="261">
        <v>108</v>
      </c>
      <c r="L113" s="262">
        <v>784.85</v>
      </c>
      <c r="M113" s="352"/>
      <c r="N113" s="261">
        <v>109</v>
      </c>
      <c r="O113" s="262">
        <v>1334.02</v>
      </c>
      <c r="P113" s="352"/>
      <c r="Q113" s="261">
        <v>109</v>
      </c>
      <c r="R113" s="262">
        <v>541</v>
      </c>
      <c r="S113" s="352"/>
      <c r="T113" s="261">
        <v>109</v>
      </c>
      <c r="U113" s="262">
        <v>541</v>
      </c>
      <c r="V113" s="352"/>
      <c r="W113" s="261">
        <v>109</v>
      </c>
      <c r="X113" s="262">
        <v>956.4</v>
      </c>
      <c r="Y113" s="352"/>
      <c r="Z113" s="261">
        <v>109</v>
      </c>
      <c r="AA113" s="262">
        <v>993.01</v>
      </c>
      <c r="AB113" s="352"/>
      <c r="AC113" s="261">
        <v>109</v>
      </c>
      <c r="AD113" s="262">
        <v>2682.85</v>
      </c>
      <c r="AE113" s="352"/>
      <c r="AF113" s="261">
        <v>109</v>
      </c>
      <c r="AG113" s="262">
        <v>7369.33</v>
      </c>
      <c r="AH113" s="352"/>
      <c r="AI113" s="261">
        <v>109</v>
      </c>
      <c r="AJ113" s="262">
        <v>3353</v>
      </c>
      <c r="AK113" s="352"/>
      <c r="AL113" s="261"/>
      <c r="AM113" s="262"/>
    </row>
    <row r="114" spans="2:39">
      <c r="B114" s="261" t="s">
        <v>398</v>
      </c>
      <c r="C114" s="261">
        <v>3824</v>
      </c>
      <c r="E114" s="261" t="s">
        <v>398</v>
      </c>
      <c r="F114" s="261">
        <v>3789.5600000000004</v>
      </c>
      <c r="H114" s="261" t="s">
        <v>398</v>
      </c>
      <c r="I114" s="262">
        <f>I113+18</f>
        <v>1977</v>
      </c>
      <c r="K114" s="261">
        <v>109</v>
      </c>
      <c r="L114" s="262">
        <v>792.17</v>
      </c>
      <c r="M114" s="352"/>
      <c r="N114" s="261">
        <v>110</v>
      </c>
      <c r="O114" s="262">
        <v>1345.12</v>
      </c>
      <c r="P114" s="352"/>
      <c r="Q114" s="261">
        <v>110</v>
      </c>
      <c r="R114" s="262">
        <v>546</v>
      </c>
      <c r="S114" s="352"/>
      <c r="T114" s="261">
        <v>110</v>
      </c>
      <c r="U114" s="262">
        <v>546</v>
      </c>
      <c r="V114" s="352"/>
      <c r="W114" s="261">
        <v>110</v>
      </c>
      <c r="X114" s="262">
        <v>963.9</v>
      </c>
      <c r="Y114" s="352"/>
      <c r="Z114" s="261">
        <v>110</v>
      </c>
      <c r="AA114" s="262">
        <v>1000.51</v>
      </c>
      <c r="AB114" s="352"/>
      <c r="AC114" s="261">
        <v>110</v>
      </c>
      <c r="AD114" s="262">
        <v>2708.48</v>
      </c>
      <c r="AE114" s="352"/>
      <c r="AF114" s="261">
        <v>110</v>
      </c>
      <c r="AG114" s="262">
        <v>7437.74</v>
      </c>
      <c r="AH114" s="352"/>
      <c r="AI114" s="261">
        <v>110</v>
      </c>
      <c r="AJ114" s="262">
        <v>3381</v>
      </c>
      <c r="AK114" s="352"/>
      <c r="AL114" s="261"/>
      <c r="AM114" s="262"/>
    </row>
    <row r="115" spans="2:39">
      <c r="B115" s="261" t="s">
        <v>399</v>
      </c>
      <c r="C115" s="261">
        <v>3855</v>
      </c>
      <c r="E115" s="261" t="s">
        <v>399</v>
      </c>
      <c r="F115" s="261">
        <v>3820.87</v>
      </c>
      <c r="H115" s="261" t="s">
        <v>399</v>
      </c>
      <c r="I115" s="262">
        <v>1995</v>
      </c>
      <c r="K115" s="261">
        <v>110</v>
      </c>
      <c r="L115" s="262">
        <v>799.49</v>
      </c>
      <c r="M115" s="352"/>
      <c r="N115" s="261">
        <v>111</v>
      </c>
      <c r="O115" s="262">
        <v>1356.22</v>
      </c>
      <c r="P115" s="352"/>
      <c r="Q115" s="261">
        <v>111</v>
      </c>
      <c r="R115" s="262">
        <v>550</v>
      </c>
      <c r="S115" s="352"/>
      <c r="T115" s="261">
        <v>111</v>
      </c>
      <c r="U115" s="262">
        <v>550</v>
      </c>
      <c r="V115" s="352"/>
      <c r="W115" s="261">
        <v>111</v>
      </c>
      <c r="X115" s="262">
        <v>971.4</v>
      </c>
      <c r="Y115" s="352"/>
      <c r="Z115" s="261">
        <v>111</v>
      </c>
      <c r="AA115" s="262">
        <v>1008.02</v>
      </c>
      <c r="AB115" s="352"/>
      <c r="AC115" s="261">
        <v>111</v>
      </c>
      <c r="AD115" s="262">
        <v>2734.1</v>
      </c>
      <c r="AE115" s="352"/>
      <c r="AF115" s="261">
        <v>111</v>
      </c>
      <c r="AG115" s="262">
        <v>7506.15</v>
      </c>
      <c r="AH115" s="352"/>
      <c r="AI115" s="261">
        <v>111</v>
      </c>
      <c r="AJ115" s="262">
        <v>3409</v>
      </c>
      <c r="AK115" s="352"/>
      <c r="AL115" s="261"/>
      <c r="AM115" s="262"/>
    </row>
    <row r="116" spans="2:39">
      <c r="B116" s="261" t="s">
        <v>400</v>
      </c>
      <c r="C116" s="261">
        <v>3886</v>
      </c>
      <c r="E116" s="261" t="s">
        <v>400</v>
      </c>
      <c r="F116" s="261">
        <v>3852.13</v>
      </c>
      <c r="H116" s="261" t="s">
        <v>400</v>
      </c>
      <c r="I116" s="262">
        <f>I115+18</f>
        <v>2013</v>
      </c>
      <c r="K116" s="261">
        <v>111</v>
      </c>
      <c r="L116" s="262">
        <v>806.81</v>
      </c>
      <c r="M116" s="352"/>
      <c r="N116" s="261">
        <v>112</v>
      </c>
      <c r="O116" s="262">
        <v>1367.31</v>
      </c>
      <c r="P116" s="352"/>
      <c r="Q116" s="261">
        <v>112</v>
      </c>
      <c r="R116" s="262">
        <v>554</v>
      </c>
      <c r="S116" s="352"/>
      <c r="T116" s="261">
        <v>112</v>
      </c>
      <c r="U116" s="262">
        <v>554</v>
      </c>
      <c r="V116" s="352"/>
      <c r="W116" s="261">
        <v>112</v>
      </c>
      <c r="X116" s="262">
        <v>978.9</v>
      </c>
      <c r="Y116" s="352"/>
      <c r="Z116" s="261">
        <v>112</v>
      </c>
      <c r="AA116" s="262">
        <v>1015.52</v>
      </c>
      <c r="AB116" s="352"/>
      <c r="AC116" s="261">
        <v>112</v>
      </c>
      <c r="AD116" s="262">
        <v>2759.732</v>
      </c>
      <c r="AE116" s="352"/>
      <c r="AF116" s="261">
        <v>112</v>
      </c>
      <c r="AG116" s="262">
        <v>7574.55</v>
      </c>
      <c r="AH116" s="352"/>
      <c r="AI116" s="261">
        <v>112</v>
      </c>
      <c r="AJ116" s="262">
        <v>3438</v>
      </c>
      <c r="AK116" s="352"/>
      <c r="AL116" s="261"/>
      <c r="AM116" s="262"/>
    </row>
    <row r="117" spans="2:39">
      <c r="B117" s="261" t="s">
        <v>401</v>
      </c>
      <c r="C117" s="261">
        <v>3918</v>
      </c>
      <c r="E117" s="261" t="s">
        <v>401</v>
      </c>
      <c r="F117" s="261">
        <v>3883.43</v>
      </c>
      <c r="H117" s="261" t="s">
        <v>401</v>
      </c>
      <c r="I117" s="262">
        <v>2030</v>
      </c>
      <c r="K117" s="261">
        <v>112</v>
      </c>
      <c r="L117" s="262">
        <v>814.12</v>
      </c>
      <c r="M117" s="352"/>
      <c r="N117" s="261">
        <v>113</v>
      </c>
      <c r="O117" s="262">
        <v>1378.41</v>
      </c>
      <c r="P117" s="352"/>
      <c r="Q117" s="261">
        <v>113</v>
      </c>
      <c r="R117" s="262">
        <v>558</v>
      </c>
      <c r="S117" s="352"/>
      <c r="T117" s="261">
        <v>113</v>
      </c>
      <c r="U117" s="262">
        <v>558</v>
      </c>
      <c r="V117" s="352"/>
      <c r="W117" s="261">
        <v>113</v>
      </c>
      <c r="X117" s="262">
        <v>986.4</v>
      </c>
      <c r="Y117" s="352"/>
      <c r="Z117" s="261">
        <v>113</v>
      </c>
      <c r="AA117" s="262">
        <v>1023.02</v>
      </c>
      <c r="AB117" s="352"/>
      <c r="AC117" s="261">
        <v>113</v>
      </c>
      <c r="AD117" s="262">
        <v>2785.35</v>
      </c>
      <c r="AE117" s="352"/>
      <c r="AF117" s="261">
        <v>113</v>
      </c>
      <c r="AG117" s="262">
        <v>7642.96</v>
      </c>
      <c r="AH117" s="352"/>
      <c r="AI117" s="261">
        <v>113</v>
      </c>
      <c r="AJ117" s="262">
        <v>3466</v>
      </c>
      <c r="AK117" s="352"/>
      <c r="AL117" s="261"/>
      <c r="AM117" s="262"/>
    </row>
    <row r="118" spans="2:39">
      <c r="B118" s="261" t="s">
        <v>402</v>
      </c>
      <c r="C118" s="261">
        <v>3949</v>
      </c>
      <c r="E118" s="261" t="s">
        <v>402</v>
      </c>
      <c r="F118" s="261">
        <v>3914.69</v>
      </c>
      <c r="H118" s="261" t="s">
        <v>402</v>
      </c>
      <c r="I118" s="262">
        <f>I117+18</f>
        <v>2048</v>
      </c>
      <c r="K118" s="261">
        <v>113</v>
      </c>
      <c r="L118" s="262">
        <v>821.44</v>
      </c>
      <c r="M118" s="352"/>
      <c r="N118" s="261">
        <v>114</v>
      </c>
      <c r="O118" s="262">
        <v>1389.5</v>
      </c>
      <c r="P118" s="352"/>
      <c r="Q118" s="261">
        <v>114</v>
      </c>
      <c r="R118" s="262">
        <v>562</v>
      </c>
      <c r="S118" s="352"/>
      <c r="T118" s="261">
        <v>114</v>
      </c>
      <c r="U118" s="262">
        <v>562</v>
      </c>
      <c r="V118" s="352"/>
      <c r="W118" s="261">
        <v>114</v>
      </c>
      <c r="X118" s="262">
        <v>993.9</v>
      </c>
      <c r="Y118" s="352"/>
      <c r="Z118" s="261">
        <v>114</v>
      </c>
      <c r="AA118" s="262">
        <v>1030.52</v>
      </c>
      <c r="AB118" s="352"/>
      <c r="AC118" s="261">
        <v>114</v>
      </c>
      <c r="AD118" s="262">
        <v>2810.97</v>
      </c>
      <c r="AE118" s="352"/>
      <c r="AF118" s="261">
        <v>114</v>
      </c>
      <c r="AG118" s="262">
        <v>7711.37</v>
      </c>
      <c r="AH118" s="352"/>
      <c r="AI118" s="261">
        <v>114</v>
      </c>
      <c r="AJ118" s="262">
        <v>3495</v>
      </c>
      <c r="AK118" s="352"/>
      <c r="AL118" s="261"/>
      <c r="AM118" s="262"/>
    </row>
    <row r="119" spans="2:39">
      <c r="B119" s="261" t="s">
        <v>403</v>
      </c>
      <c r="C119" s="261">
        <v>3981</v>
      </c>
      <c r="E119" s="261" t="s">
        <v>403</v>
      </c>
      <c r="F119" s="261">
        <v>3946</v>
      </c>
      <c r="H119" s="261" t="s">
        <v>403</v>
      </c>
      <c r="I119" s="262">
        <v>2065</v>
      </c>
      <c r="K119" s="261">
        <v>114</v>
      </c>
      <c r="L119" s="262">
        <v>828.76</v>
      </c>
      <c r="M119" s="352"/>
      <c r="N119" s="261">
        <v>115</v>
      </c>
      <c r="O119" s="262">
        <v>1400.6</v>
      </c>
      <c r="P119" s="352"/>
      <c r="Q119" s="261">
        <v>115</v>
      </c>
      <c r="R119" s="262">
        <v>566</v>
      </c>
      <c r="S119" s="352"/>
      <c r="T119" s="261">
        <v>115</v>
      </c>
      <c r="U119" s="262">
        <v>566</v>
      </c>
      <c r="V119" s="352"/>
      <c r="W119" s="261">
        <v>115</v>
      </c>
      <c r="X119" s="262">
        <v>1001.4</v>
      </c>
      <c r="Y119" s="352"/>
      <c r="Z119" s="261">
        <v>115</v>
      </c>
      <c r="AA119" s="262">
        <v>1038.02</v>
      </c>
      <c r="AB119" s="352"/>
      <c r="AC119" s="261">
        <v>115</v>
      </c>
      <c r="AD119" s="262">
        <v>2836.6</v>
      </c>
      <c r="AE119" s="352"/>
      <c r="AF119" s="261">
        <v>115</v>
      </c>
      <c r="AG119" s="262">
        <v>7779.78</v>
      </c>
      <c r="AH119" s="352"/>
      <c r="AI119" s="261">
        <v>115</v>
      </c>
      <c r="AJ119" s="262">
        <v>3523</v>
      </c>
      <c r="AK119" s="352"/>
      <c r="AL119" s="261"/>
      <c r="AM119" s="262"/>
    </row>
    <row r="120" spans="2:39">
      <c r="B120" s="261" t="s">
        <v>404</v>
      </c>
      <c r="C120" s="261">
        <v>4012</v>
      </c>
      <c r="E120" s="261" t="s">
        <v>404</v>
      </c>
      <c r="F120" s="261">
        <v>3977.26</v>
      </c>
      <c r="H120" s="261" t="s">
        <v>404</v>
      </c>
      <c r="I120" s="262">
        <f>I119+18</f>
        <v>2083</v>
      </c>
      <c r="K120" s="261">
        <v>115</v>
      </c>
      <c r="L120" s="262">
        <v>836.08</v>
      </c>
      <c r="M120" s="352"/>
      <c r="N120" s="261">
        <v>116</v>
      </c>
      <c r="O120" s="262">
        <v>1411.7</v>
      </c>
      <c r="P120" s="352"/>
      <c r="Q120" s="261">
        <v>116</v>
      </c>
      <c r="R120" s="262">
        <v>570</v>
      </c>
      <c r="S120" s="352"/>
      <c r="T120" s="261">
        <v>116</v>
      </c>
      <c r="U120" s="262">
        <v>570</v>
      </c>
      <c r="V120" s="352"/>
      <c r="W120" s="261">
        <v>116</v>
      </c>
      <c r="X120" s="262">
        <v>1008.9</v>
      </c>
      <c r="Y120" s="352"/>
      <c r="Z120" s="261">
        <v>116</v>
      </c>
      <c r="AA120" s="262">
        <v>1045.52</v>
      </c>
      <c r="AB120" s="352"/>
      <c r="AC120" s="261">
        <v>116</v>
      </c>
      <c r="AD120" s="262">
        <v>2862.22</v>
      </c>
      <c r="AE120" s="352"/>
      <c r="AF120" s="261">
        <v>116</v>
      </c>
      <c r="AG120" s="262">
        <v>7848.19</v>
      </c>
      <c r="AH120" s="352"/>
      <c r="AI120" s="261">
        <v>116</v>
      </c>
      <c r="AJ120" s="262">
        <v>3551</v>
      </c>
      <c r="AK120" s="352"/>
      <c r="AL120" s="261"/>
      <c r="AM120" s="262"/>
    </row>
    <row r="121" spans="2:39">
      <c r="B121" s="261" t="s">
        <v>405</v>
      </c>
      <c r="C121" s="261">
        <v>4044</v>
      </c>
      <c r="E121" s="261" t="s">
        <v>405</v>
      </c>
      <c r="F121" s="261">
        <v>4008.56</v>
      </c>
      <c r="H121" s="261" t="s">
        <v>405</v>
      </c>
      <c r="I121" s="262">
        <v>2101</v>
      </c>
      <c r="K121" s="261">
        <v>116</v>
      </c>
      <c r="L121" s="262">
        <v>843.4</v>
      </c>
      <c r="M121" s="352"/>
      <c r="N121" s="261">
        <v>117</v>
      </c>
      <c r="O121" s="262">
        <v>1422.79</v>
      </c>
      <c r="P121" s="352"/>
      <c r="Q121" s="261">
        <v>117</v>
      </c>
      <c r="R121" s="262">
        <v>574</v>
      </c>
      <c r="S121" s="352"/>
      <c r="T121" s="261">
        <v>117</v>
      </c>
      <c r="U121" s="262">
        <v>575</v>
      </c>
      <c r="V121" s="352"/>
      <c r="W121" s="261">
        <v>117</v>
      </c>
      <c r="X121" s="262">
        <v>1016.4</v>
      </c>
      <c r="Y121" s="352"/>
      <c r="Z121" s="261">
        <v>117</v>
      </c>
      <c r="AA121" s="262">
        <v>1053.03</v>
      </c>
      <c r="AB121" s="352"/>
      <c r="AC121" s="261">
        <v>117</v>
      </c>
      <c r="AD121" s="262">
        <v>2887.8519999999999</v>
      </c>
      <c r="AE121" s="352"/>
      <c r="AF121" s="261">
        <v>117</v>
      </c>
      <c r="AG121" s="262">
        <v>7916.6</v>
      </c>
      <c r="AH121" s="352"/>
      <c r="AI121" s="261">
        <v>117</v>
      </c>
      <c r="AJ121" s="262">
        <v>3580</v>
      </c>
      <c r="AK121" s="352"/>
      <c r="AL121" s="261"/>
      <c r="AM121" s="262"/>
    </row>
    <row r="122" spans="2:39">
      <c r="B122" s="261" t="s">
        <v>406</v>
      </c>
      <c r="C122" s="261">
        <v>4075</v>
      </c>
      <c r="E122" s="261" t="s">
        <v>406</v>
      </c>
      <c r="F122" s="261">
        <v>4039.82</v>
      </c>
      <c r="H122" s="261" t="s">
        <v>406</v>
      </c>
      <c r="I122" s="262">
        <f>I121+18</f>
        <v>2119</v>
      </c>
      <c r="K122" s="261">
        <v>117</v>
      </c>
      <c r="L122" s="262">
        <v>850.72</v>
      </c>
      <c r="M122" s="352"/>
      <c r="N122" s="261">
        <v>118</v>
      </c>
      <c r="O122" s="262">
        <v>1433.89</v>
      </c>
      <c r="P122" s="352"/>
      <c r="Q122" s="261">
        <v>118</v>
      </c>
      <c r="R122" s="262">
        <v>579</v>
      </c>
      <c r="S122" s="352"/>
      <c r="T122" s="261">
        <v>118</v>
      </c>
      <c r="U122" s="262">
        <v>579</v>
      </c>
      <c r="V122" s="352"/>
      <c r="W122" s="261">
        <v>118</v>
      </c>
      <c r="X122" s="262">
        <v>1024</v>
      </c>
      <c r="Y122" s="352"/>
      <c r="Z122" s="261">
        <v>118</v>
      </c>
      <c r="AA122" s="262">
        <v>1060.53</v>
      </c>
      <c r="AB122" s="352"/>
      <c r="AC122" s="261">
        <v>118</v>
      </c>
      <c r="AD122" s="262">
        <v>2913.47</v>
      </c>
      <c r="AE122" s="352"/>
      <c r="AF122" s="261">
        <v>118</v>
      </c>
      <c r="AG122" s="262">
        <v>7985.1</v>
      </c>
      <c r="AH122" s="352"/>
      <c r="AI122" s="261">
        <v>118</v>
      </c>
      <c r="AJ122" s="262">
        <v>3608</v>
      </c>
      <c r="AK122" s="352"/>
      <c r="AL122" s="261"/>
      <c r="AM122" s="262"/>
    </row>
    <row r="123" spans="2:39">
      <c r="B123" s="261" t="s">
        <v>407</v>
      </c>
      <c r="C123" s="261">
        <v>4106</v>
      </c>
      <c r="E123" s="261" t="s">
        <v>407</v>
      </c>
      <c r="F123" s="261">
        <v>4071.14</v>
      </c>
      <c r="H123" s="261" t="s">
        <v>407</v>
      </c>
      <c r="I123" s="262">
        <v>2136</v>
      </c>
      <c r="K123" s="261">
        <v>118</v>
      </c>
      <c r="L123" s="262">
        <v>858.04</v>
      </c>
      <c r="M123" s="352"/>
      <c r="N123" s="261">
        <v>119</v>
      </c>
      <c r="O123" s="262">
        <v>1444.98</v>
      </c>
      <c r="P123" s="352"/>
      <c r="Q123" s="261">
        <v>119</v>
      </c>
      <c r="R123" s="262">
        <v>583</v>
      </c>
      <c r="S123" s="352"/>
      <c r="T123" s="261">
        <v>119</v>
      </c>
      <c r="U123" s="262">
        <v>583</v>
      </c>
      <c r="V123" s="352"/>
      <c r="W123" s="261">
        <v>119</v>
      </c>
      <c r="X123" s="262">
        <v>1031.5</v>
      </c>
      <c r="Y123" s="352"/>
      <c r="Z123" s="261">
        <v>119</v>
      </c>
      <c r="AA123" s="262">
        <v>1068.03</v>
      </c>
      <c r="AB123" s="352"/>
      <c r="AC123" s="261">
        <v>119</v>
      </c>
      <c r="AD123" s="262">
        <v>2939.09</v>
      </c>
      <c r="AE123" s="352"/>
      <c r="AF123" s="261">
        <v>119</v>
      </c>
      <c r="AG123" s="262">
        <v>8053.42</v>
      </c>
      <c r="AH123" s="352"/>
      <c r="AI123" s="261">
        <v>119</v>
      </c>
      <c r="AJ123" s="262">
        <v>3637</v>
      </c>
      <c r="AK123" s="352"/>
      <c r="AL123" s="261"/>
      <c r="AM123" s="262"/>
    </row>
    <row r="124" spans="2:39">
      <c r="B124" s="261" t="s">
        <v>408</v>
      </c>
      <c r="C124" s="261">
        <v>4137</v>
      </c>
      <c r="E124" s="261" t="s">
        <v>408</v>
      </c>
      <c r="F124" s="261">
        <v>4102.3999999999996</v>
      </c>
      <c r="H124" s="261" t="s">
        <v>408</v>
      </c>
      <c r="I124" s="262">
        <f>I123+18</f>
        <v>2154</v>
      </c>
      <c r="K124" s="261">
        <v>119</v>
      </c>
      <c r="L124" s="262">
        <v>865.35</v>
      </c>
      <c r="M124" s="352"/>
      <c r="N124" s="261">
        <v>120</v>
      </c>
      <c r="O124" s="262">
        <v>1456.08</v>
      </c>
      <c r="P124" s="352"/>
      <c r="Q124" s="261">
        <v>120</v>
      </c>
      <c r="R124" s="262">
        <v>587</v>
      </c>
      <c r="S124" s="352"/>
      <c r="T124" s="261">
        <v>120</v>
      </c>
      <c r="U124" s="262">
        <v>587</v>
      </c>
      <c r="V124" s="352"/>
      <c r="W124" s="261">
        <v>120</v>
      </c>
      <c r="X124" s="262">
        <v>1039</v>
      </c>
      <c r="Y124" s="352"/>
      <c r="Z124" s="261">
        <v>120</v>
      </c>
      <c r="AA124" s="262">
        <v>1075.53</v>
      </c>
      <c r="AB124" s="352"/>
      <c r="AC124" s="261">
        <v>120</v>
      </c>
      <c r="AD124" s="262">
        <v>2964.72</v>
      </c>
      <c r="AE124" s="352"/>
      <c r="AF124" s="261">
        <v>120</v>
      </c>
      <c r="AG124" s="262">
        <v>8121.83</v>
      </c>
      <c r="AH124" s="352"/>
      <c r="AI124" s="261">
        <v>120</v>
      </c>
      <c r="AJ124" s="262">
        <v>3665</v>
      </c>
      <c r="AK124" s="352"/>
      <c r="AL124" s="261"/>
      <c r="AM124" s="262"/>
    </row>
    <row r="125" spans="2:39">
      <c r="B125" s="261" t="s">
        <v>409</v>
      </c>
      <c r="C125" s="261">
        <v>4169</v>
      </c>
      <c r="E125" s="261" t="s">
        <v>409</v>
      </c>
      <c r="F125" s="261">
        <v>4133.7</v>
      </c>
      <c r="H125" s="261" t="s">
        <v>409</v>
      </c>
      <c r="I125" s="262">
        <v>2171</v>
      </c>
      <c r="K125" s="261">
        <v>120</v>
      </c>
      <c r="L125" s="262">
        <v>872.67</v>
      </c>
      <c r="M125" s="352"/>
      <c r="N125" s="261">
        <v>121</v>
      </c>
      <c r="O125" s="262">
        <v>1467.17</v>
      </c>
      <c r="P125" s="352"/>
      <c r="Q125" s="261">
        <v>121</v>
      </c>
      <c r="R125" s="262">
        <v>591</v>
      </c>
      <c r="S125" s="352"/>
      <c r="T125" s="261">
        <v>121</v>
      </c>
      <c r="U125" s="262">
        <v>591</v>
      </c>
      <c r="V125" s="352"/>
      <c r="W125" s="261">
        <v>121</v>
      </c>
      <c r="X125" s="262">
        <v>1046.5</v>
      </c>
      <c r="Y125" s="352"/>
      <c r="Z125" s="261">
        <v>121</v>
      </c>
      <c r="AA125" s="262">
        <v>1083.03</v>
      </c>
      <c r="AB125" s="352"/>
      <c r="AC125" s="261">
        <v>121</v>
      </c>
      <c r="AD125" s="262">
        <v>2990.34</v>
      </c>
      <c r="AE125" s="352"/>
      <c r="AF125" s="261">
        <v>121</v>
      </c>
      <c r="AG125" s="262">
        <v>8190.24</v>
      </c>
      <c r="AH125" s="352"/>
      <c r="AI125" s="261">
        <v>121</v>
      </c>
      <c r="AJ125" s="262">
        <v>3693</v>
      </c>
      <c r="AK125" s="352"/>
      <c r="AL125" s="261"/>
      <c r="AM125" s="262"/>
    </row>
    <row r="126" spans="2:39">
      <c r="B126" s="261" t="s">
        <v>410</v>
      </c>
      <c r="C126" s="261">
        <v>4200</v>
      </c>
      <c r="E126" s="261" t="s">
        <v>410</v>
      </c>
      <c r="F126" s="261">
        <v>4164.96</v>
      </c>
      <c r="H126" s="261" t="s">
        <v>410</v>
      </c>
      <c r="I126" s="262">
        <f>I125+18</f>
        <v>2189</v>
      </c>
      <c r="K126" s="261">
        <v>121</v>
      </c>
      <c r="L126" s="262">
        <v>879.99</v>
      </c>
      <c r="M126" s="352"/>
      <c r="N126" s="261">
        <v>122</v>
      </c>
      <c r="O126" s="262">
        <v>1478.27</v>
      </c>
      <c r="P126" s="352"/>
      <c r="Q126" s="261">
        <v>122</v>
      </c>
      <c r="R126" s="262">
        <v>595</v>
      </c>
      <c r="S126" s="352"/>
      <c r="T126" s="261">
        <v>122</v>
      </c>
      <c r="U126" s="262">
        <v>595</v>
      </c>
      <c r="V126" s="352"/>
      <c r="W126" s="261">
        <v>122</v>
      </c>
      <c r="X126" s="262">
        <v>1054</v>
      </c>
      <c r="Y126" s="352"/>
      <c r="Z126" s="261">
        <v>122</v>
      </c>
      <c r="AA126" s="262">
        <v>1090.53</v>
      </c>
      <c r="AB126" s="352"/>
      <c r="AC126" s="261">
        <v>122</v>
      </c>
      <c r="AD126" s="262">
        <v>3015.9719999999998</v>
      </c>
      <c r="AE126" s="352"/>
      <c r="AF126" s="261">
        <v>122</v>
      </c>
      <c r="AG126" s="262">
        <v>8258.64</v>
      </c>
      <c r="AH126" s="352"/>
      <c r="AI126" s="261">
        <v>122</v>
      </c>
      <c r="AJ126" s="262">
        <v>3722</v>
      </c>
      <c r="AK126" s="352"/>
      <c r="AL126" s="261"/>
      <c r="AM126" s="262"/>
    </row>
    <row r="127" spans="2:39">
      <c r="B127" s="261" t="s">
        <v>411</v>
      </c>
      <c r="C127" s="261">
        <v>4232</v>
      </c>
      <c r="E127" s="261" t="s">
        <v>411</v>
      </c>
      <c r="F127" s="261">
        <v>4196.26</v>
      </c>
      <c r="H127" s="261" t="s">
        <v>411</v>
      </c>
      <c r="I127" s="262">
        <v>2206</v>
      </c>
      <c r="K127" s="261">
        <v>122</v>
      </c>
      <c r="L127" s="262">
        <v>887.31</v>
      </c>
      <c r="M127" s="352"/>
      <c r="N127" s="261">
        <v>123</v>
      </c>
      <c r="O127" s="262">
        <v>1489.37</v>
      </c>
      <c r="P127" s="352"/>
      <c r="Q127" s="261">
        <v>123</v>
      </c>
      <c r="R127" s="262">
        <v>599</v>
      </c>
      <c r="S127" s="352"/>
      <c r="T127" s="261">
        <v>123</v>
      </c>
      <c r="U127" s="262">
        <v>599</v>
      </c>
      <c r="V127" s="352"/>
      <c r="W127" s="261">
        <v>123</v>
      </c>
      <c r="X127" s="262">
        <v>1061.5</v>
      </c>
      <c r="Y127" s="352"/>
      <c r="Z127" s="261">
        <v>123</v>
      </c>
      <c r="AA127" s="262">
        <v>1098.04</v>
      </c>
      <c r="AB127" s="352"/>
      <c r="AC127" s="261">
        <v>123</v>
      </c>
      <c r="AD127" s="262">
        <v>3041.59</v>
      </c>
      <c r="AE127" s="352"/>
      <c r="AF127" s="261">
        <v>123</v>
      </c>
      <c r="AG127" s="262">
        <v>8327.0499999999993</v>
      </c>
      <c r="AH127" s="352"/>
      <c r="AI127" s="261">
        <v>123</v>
      </c>
      <c r="AJ127" s="262">
        <v>3750</v>
      </c>
      <c r="AK127" s="352"/>
      <c r="AL127" s="261"/>
      <c r="AM127" s="262"/>
    </row>
    <row r="128" spans="2:39">
      <c r="B128" s="261" t="s">
        <v>412</v>
      </c>
      <c r="C128" s="261">
        <v>4263</v>
      </c>
      <c r="E128" s="261" t="s">
        <v>412</v>
      </c>
      <c r="F128" s="261">
        <v>4227.5200000000004</v>
      </c>
      <c r="H128" s="261" t="s">
        <v>412</v>
      </c>
      <c r="I128" s="262">
        <f>I127+18</f>
        <v>2224</v>
      </c>
      <c r="K128" s="261">
        <v>123</v>
      </c>
      <c r="L128" s="262">
        <v>894.63</v>
      </c>
      <c r="M128" s="352"/>
      <c r="N128" s="261">
        <v>124</v>
      </c>
      <c r="O128" s="262">
        <v>1500.46</v>
      </c>
      <c r="P128" s="352"/>
      <c r="Q128" s="261">
        <v>124</v>
      </c>
      <c r="R128" s="262">
        <v>603</v>
      </c>
      <c r="S128" s="352"/>
      <c r="T128" s="261">
        <v>124</v>
      </c>
      <c r="U128" s="262">
        <v>603</v>
      </c>
      <c r="V128" s="352"/>
      <c r="W128" s="261">
        <v>124</v>
      </c>
      <c r="X128" s="262">
        <v>1069</v>
      </c>
      <c r="Y128" s="352"/>
      <c r="Z128" s="261">
        <v>124</v>
      </c>
      <c r="AA128" s="262">
        <v>1105.54</v>
      </c>
      <c r="AB128" s="352"/>
      <c r="AC128" s="261">
        <v>124</v>
      </c>
      <c r="AD128" s="262">
        <v>3067.21</v>
      </c>
      <c r="AE128" s="352"/>
      <c r="AF128" s="261">
        <v>124</v>
      </c>
      <c r="AG128" s="262">
        <v>8395.4599999999991</v>
      </c>
      <c r="AH128" s="352"/>
      <c r="AI128" s="261">
        <v>124</v>
      </c>
      <c r="AJ128" s="262">
        <v>3779</v>
      </c>
      <c r="AK128" s="352"/>
      <c r="AL128" s="261"/>
      <c r="AM128" s="262"/>
    </row>
    <row r="129" spans="2:39">
      <c r="B129" s="261" t="s">
        <v>413</v>
      </c>
      <c r="C129" s="261">
        <v>4295</v>
      </c>
      <c r="E129" s="261" t="s">
        <v>413</v>
      </c>
      <c r="F129" s="261">
        <v>4258.84</v>
      </c>
      <c r="H129" s="261" t="s">
        <v>413</v>
      </c>
      <c r="I129" s="262">
        <v>2242</v>
      </c>
      <c r="K129" s="261">
        <v>124</v>
      </c>
      <c r="L129" s="262">
        <v>901.95</v>
      </c>
      <c r="M129" s="352"/>
      <c r="N129" s="261">
        <v>125</v>
      </c>
      <c r="O129" s="262">
        <v>1511.56</v>
      </c>
      <c r="P129" s="352"/>
      <c r="Q129" s="261">
        <v>125</v>
      </c>
      <c r="R129" s="262">
        <v>608</v>
      </c>
      <c r="S129" s="352"/>
      <c r="T129" s="261">
        <v>125</v>
      </c>
      <c r="U129" s="262">
        <v>608</v>
      </c>
      <c r="V129" s="352"/>
      <c r="W129" s="261">
        <v>125</v>
      </c>
      <c r="X129" s="262">
        <v>1076.5</v>
      </c>
      <c r="Y129" s="352"/>
      <c r="Z129" s="261">
        <v>125</v>
      </c>
      <c r="AA129" s="262">
        <v>1113.05</v>
      </c>
      <c r="AB129" s="352"/>
      <c r="AC129" s="261">
        <v>125</v>
      </c>
      <c r="AD129" s="262">
        <v>3092.84</v>
      </c>
      <c r="AE129" s="352"/>
      <c r="AF129" s="261">
        <v>125</v>
      </c>
      <c r="AG129" s="262">
        <v>8463.8700000000008</v>
      </c>
      <c r="AH129" s="352"/>
      <c r="AI129" s="261">
        <v>125</v>
      </c>
      <c r="AJ129" s="262">
        <v>3807</v>
      </c>
      <c r="AK129" s="352"/>
      <c r="AL129" s="261"/>
      <c r="AM129" s="262"/>
    </row>
    <row r="130" spans="2:39">
      <c r="B130" s="261" t="s">
        <v>414</v>
      </c>
      <c r="C130" s="261">
        <v>4326</v>
      </c>
      <c r="E130" s="261" t="s">
        <v>414</v>
      </c>
      <c r="F130" s="261">
        <v>4290.1000000000004</v>
      </c>
      <c r="H130" s="261" t="s">
        <v>414</v>
      </c>
      <c r="I130" s="262">
        <f>I129+18</f>
        <v>2260</v>
      </c>
      <c r="K130" s="261">
        <v>125</v>
      </c>
      <c r="L130" s="262">
        <v>909.27</v>
      </c>
      <c r="M130" s="352"/>
      <c r="N130" s="261">
        <v>126</v>
      </c>
      <c r="O130" s="262">
        <v>1522.65</v>
      </c>
      <c r="P130" s="352"/>
      <c r="Q130" s="261">
        <v>126</v>
      </c>
      <c r="R130" s="262">
        <v>612</v>
      </c>
      <c r="S130" s="352"/>
      <c r="T130" s="261">
        <v>126</v>
      </c>
      <c r="U130" s="262">
        <v>612</v>
      </c>
      <c r="V130" s="352"/>
      <c r="W130" s="261">
        <v>126</v>
      </c>
      <c r="X130" s="262">
        <v>1084</v>
      </c>
      <c r="Y130" s="352"/>
      <c r="Z130" s="261">
        <v>126</v>
      </c>
      <c r="AA130" s="262">
        <v>1120.56</v>
      </c>
      <c r="AB130" s="352"/>
      <c r="AC130" s="261">
        <v>126</v>
      </c>
      <c r="AD130" s="262">
        <v>3118.46</v>
      </c>
      <c r="AE130" s="352"/>
      <c r="AF130" s="261">
        <v>126</v>
      </c>
      <c r="AG130" s="262">
        <v>8532.2800000000007</v>
      </c>
      <c r="AH130" s="352"/>
      <c r="AI130" s="261">
        <v>126</v>
      </c>
      <c r="AJ130" s="262">
        <v>3835</v>
      </c>
      <c r="AK130" s="352"/>
      <c r="AL130" s="261"/>
      <c r="AM130" s="262"/>
    </row>
    <row r="131" spans="2:39">
      <c r="B131" s="261" t="s">
        <v>415</v>
      </c>
      <c r="C131" s="261">
        <v>4357</v>
      </c>
      <c r="E131" s="261" t="s">
        <v>415</v>
      </c>
      <c r="F131" s="261">
        <v>4321.3900000000003</v>
      </c>
      <c r="H131" s="261" t="s">
        <v>415</v>
      </c>
      <c r="I131" s="262">
        <v>2277</v>
      </c>
      <c r="K131" s="261">
        <v>126</v>
      </c>
      <c r="L131" s="262">
        <v>916.58</v>
      </c>
      <c r="M131" s="352"/>
      <c r="N131" s="261">
        <v>127</v>
      </c>
      <c r="O131" s="262">
        <v>1533.75</v>
      </c>
      <c r="P131" s="352"/>
      <c r="Q131" s="261">
        <v>127</v>
      </c>
      <c r="R131" s="262">
        <v>616</v>
      </c>
      <c r="S131" s="352"/>
      <c r="T131" s="261">
        <v>127</v>
      </c>
      <c r="U131" s="262">
        <v>616</v>
      </c>
      <c r="V131" s="352"/>
      <c r="W131" s="261">
        <v>127</v>
      </c>
      <c r="X131" s="262">
        <v>1091.5</v>
      </c>
      <c r="Y131" s="352"/>
      <c r="Z131" s="261">
        <v>127</v>
      </c>
      <c r="AA131" s="262">
        <v>1128.06</v>
      </c>
      <c r="AB131" s="352"/>
      <c r="AC131" s="261">
        <v>127</v>
      </c>
      <c r="AD131" s="262">
        <v>3144.0919999999996</v>
      </c>
      <c r="AE131" s="352"/>
      <c r="AF131" s="261">
        <v>127</v>
      </c>
      <c r="AG131" s="262">
        <v>8600.69</v>
      </c>
      <c r="AH131" s="352"/>
      <c r="AI131" s="261">
        <v>127</v>
      </c>
      <c r="AJ131" s="262">
        <v>3864</v>
      </c>
      <c r="AK131" s="352"/>
      <c r="AL131" s="261"/>
      <c r="AM131" s="262"/>
    </row>
    <row r="132" spans="2:39">
      <c r="B132" s="261" t="s">
        <v>416</v>
      </c>
      <c r="C132" s="261">
        <v>4388</v>
      </c>
      <c r="E132" s="261" t="s">
        <v>416</v>
      </c>
      <c r="F132" s="261">
        <v>4352.6500000000005</v>
      </c>
      <c r="H132" s="261" t="s">
        <v>416</v>
      </c>
      <c r="I132" s="262">
        <f>I131+18</f>
        <v>2295</v>
      </c>
      <c r="K132" s="261">
        <v>127</v>
      </c>
      <c r="L132" s="262">
        <v>923.9</v>
      </c>
      <c r="M132" s="352"/>
      <c r="N132" s="261">
        <v>128</v>
      </c>
      <c r="O132" s="262">
        <v>1544.85</v>
      </c>
      <c r="P132" s="352"/>
      <c r="Q132" s="261">
        <v>128</v>
      </c>
      <c r="R132" s="262">
        <v>620</v>
      </c>
      <c r="S132" s="352"/>
      <c r="T132" s="261">
        <v>128</v>
      </c>
      <c r="U132" s="262">
        <v>620</v>
      </c>
      <c r="V132" s="352"/>
      <c r="W132" s="261">
        <v>128</v>
      </c>
      <c r="X132" s="262">
        <v>1099</v>
      </c>
      <c r="Y132" s="352"/>
      <c r="Z132" s="261">
        <v>128</v>
      </c>
      <c r="AA132" s="262">
        <v>1135.57</v>
      </c>
      <c r="AB132" s="352"/>
      <c r="AC132" s="261">
        <v>128</v>
      </c>
      <c r="AD132" s="262">
        <v>3169.71</v>
      </c>
      <c r="AE132" s="352"/>
      <c r="AF132" s="261">
        <v>128</v>
      </c>
      <c r="AG132" s="262">
        <v>8669.1</v>
      </c>
      <c r="AH132" s="352"/>
      <c r="AI132" s="261">
        <v>128</v>
      </c>
      <c r="AJ132" s="262">
        <v>3892</v>
      </c>
      <c r="AK132" s="352"/>
      <c r="AL132" s="261"/>
      <c r="AM132" s="262"/>
    </row>
    <row r="133" spans="2:39">
      <c r="B133" s="261" t="s">
        <v>417</v>
      </c>
      <c r="C133" s="261">
        <v>4420</v>
      </c>
      <c r="E133" s="261" t="s">
        <v>417</v>
      </c>
      <c r="F133" s="261">
        <v>4383.97</v>
      </c>
      <c r="H133" s="261" t="s">
        <v>417</v>
      </c>
      <c r="I133" s="262">
        <v>2312</v>
      </c>
      <c r="K133" s="261">
        <v>128</v>
      </c>
      <c r="L133" s="262">
        <v>931.22</v>
      </c>
      <c r="M133" s="352"/>
      <c r="N133" s="261">
        <v>129</v>
      </c>
      <c r="O133" s="262">
        <v>1555.94</v>
      </c>
      <c r="P133" s="352"/>
      <c r="Q133" s="261">
        <v>129</v>
      </c>
      <c r="R133" s="262">
        <v>624</v>
      </c>
      <c r="S133" s="352"/>
      <c r="T133" s="261">
        <v>129</v>
      </c>
      <c r="U133" s="262">
        <v>624</v>
      </c>
      <c r="V133" s="352"/>
      <c r="W133" s="261">
        <v>129</v>
      </c>
      <c r="X133" s="262">
        <v>1106.5</v>
      </c>
      <c r="Y133" s="352"/>
      <c r="Z133" s="261">
        <v>129</v>
      </c>
      <c r="AA133" s="262">
        <v>1143.08</v>
      </c>
      <c r="AB133" s="352"/>
      <c r="AC133" s="261">
        <v>129</v>
      </c>
      <c r="AD133" s="262">
        <v>3195.33</v>
      </c>
      <c r="AE133" s="352"/>
      <c r="AF133" s="261">
        <v>129</v>
      </c>
      <c r="AG133" s="262">
        <v>8737.51</v>
      </c>
      <c r="AH133" s="352"/>
      <c r="AI133" s="261">
        <v>129</v>
      </c>
      <c r="AJ133" s="262">
        <v>3921</v>
      </c>
      <c r="AK133" s="352"/>
      <c r="AL133" s="261"/>
      <c r="AM133" s="262"/>
    </row>
    <row r="134" spans="2:39">
      <c r="B134" s="261" t="s">
        <v>418</v>
      </c>
      <c r="C134" s="261">
        <v>4451</v>
      </c>
      <c r="E134" s="261" t="s">
        <v>418</v>
      </c>
      <c r="F134" s="261">
        <v>4415.2300000000005</v>
      </c>
      <c r="H134" s="261" t="s">
        <v>418</v>
      </c>
      <c r="I134" s="262">
        <f>I133+18</f>
        <v>2330</v>
      </c>
      <c r="K134" s="261">
        <v>129</v>
      </c>
      <c r="L134" s="262">
        <v>938.54</v>
      </c>
      <c r="M134" s="352"/>
      <c r="N134" s="261">
        <v>130</v>
      </c>
      <c r="O134" s="262">
        <v>1567.04</v>
      </c>
      <c r="P134" s="352"/>
      <c r="Q134" s="261">
        <v>130</v>
      </c>
      <c r="R134" s="262">
        <v>628</v>
      </c>
      <c r="S134" s="352"/>
      <c r="T134" s="261">
        <v>130</v>
      </c>
      <c r="U134" s="262">
        <v>628</v>
      </c>
      <c r="V134" s="352"/>
      <c r="W134" s="261">
        <v>130</v>
      </c>
      <c r="X134" s="262">
        <v>1114</v>
      </c>
      <c r="Y134" s="352"/>
      <c r="Z134" s="261">
        <v>130</v>
      </c>
      <c r="AA134" s="262">
        <v>1150.58</v>
      </c>
      <c r="AB134" s="352"/>
      <c r="AC134" s="261">
        <v>130</v>
      </c>
      <c r="AD134" s="262">
        <v>3220.96</v>
      </c>
      <c r="AE134" s="352"/>
      <c r="AF134" s="261">
        <v>130</v>
      </c>
      <c r="AG134" s="262">
        <v>8805.92</v>
      </c>
      <c r="AH134" s="352"/>
      <c r="AI134" s="261">
        <v>130</v>
      </c>
      <c r="AJ134" s="262">
        <v>3949</v>
      </c>
      <c r="AK134" s="352"/>
      <c r="AL134" s="261"/>
      <c r="AM134" s="262"/>
    </row>
    <row r="135" spans="2:39">
      <c r="B135" s="261" t="s">
        <v>419</v>
      </c>
      <c r="C135" s="261">
        <v>4483</v>
      </c>
      <c r="E135" s="261" t="s">
        <v>419</v>
      </c>
      <c r="F135" s="261">
        <v>4446.53</v>
      </c>
      <c r="H135" s="261" t="s">
        <v>419</v>
      </c>
      <c r="I135" s="262">
        <v>2348</v>
      </c>
      <c r="K135" s="261">
        <v>130</v>
      </c>
      <c r="L135" s="262">
        <v>945.86</v>
      </c>
      <c r="M135" s="352"/>
      <c r="N135" s="261">
        <v>131</v>
      </c>
      <c r="O135" s="262">
        <v>1578.13</v>
      </c>
      <c r="P135" s="352"/>
      <c r="Q135" s="261">
        <v>131</v>
      </c>
      <c r="R135" s="262">
        <v>632</v>
      </c>
      <c r="S135" s="352"/>
      <c r="T135" s="261">
        <v>131</v>
      </c>
      <c r="U135" s="262">
        <v>632</v>
      </c>
      <c r="V135" s="352"/>
      <c r="W135" s="261">
        <v>131</v>
      </c>
      <c r="X135" s="262">
        <v>1121.5</v>
      </c>
      <c r="Y135" s="352"/>
      <c r="Z135" s="261">
        <v>131</v>
      </c>
      <c r="AA135" s="262">
        <v>1158.0899999999999</v>
      </c>
      <c r="AB135" s="352"/>
      <c r="AC135" s="261">
        <v>131</v>
      </c>
      <c r="AD135" s="262">
        <v>3246.58</v>
      </c>
      <c r="AE135" s="352"/>
      <c r="AF135" s="261">
        <v>131</v>
      </c>
      <c r="AG135" s="262">
        <v>8874.33</v>
      </c>
      <c r="AH135" s="352"/>
      <c r="AI135" s="261">
        <v>131</v>
      </c>
      <c r="AJ135" s="262">
        <v>3977</v>
      </c>
      <c r="AK135" s="352"/>
      <c r="AL135" s="261"/>
      <c r="AM135" s="262"/>
    </row>
    <row r="136" spans="2:39">
      <c r="B136" s="261" t="s">
        <v>420</v>
      </c>
      <c r="C136" s="261">
        <v>4514</v>
      </c>
      <c r="E136" s="261" t="s">
        <v>420</v>
      </c>
      <c r="F136" s="261">
        <v>4477.79</v>
      </c>
      <c r="H136" s="261" t="s">
        <v>420</v>
      </c>
      <c r="I136" s="262">
        <f>I135+18</f>
        <v>2366</v>
      </c>
      <c r="K136" s="261">
        <v>131</v>
      </c>
      <c r="L136" s="262">
        <v>953.18</v>
      </c>
      <c r="M136" s="352"/>
      <c r="N136" s="261">
        <v>132</v>
      </c>
      <c r="O136" s="262">
        <v>1589.23</v>
      </c>
      <c r="P136" s="352"/>
      <c r="Q136" s="261">
        <v>132</v>
      </c>
      <c r="R136" s="262">
        <v>636</v>
      </c>
      <c r="S136" s="352"/>
      <c r="T136" s="261">
        <v>132</v>
      </c>
      <c r="U136" s="262">
        <v>637</v>
      </c>
      <c r="V136" s="352"/>
      <c r="W136" s="261">
        <v>132</v>
      </c>
      <c r="X136" s="262">
        <v>1129.0999999999999</v>
      </c>
      <c r="Y136" s="352"/>
      <c r="Z136" s="261">
        <v>132</v>
      </c>
      <c r="AA136" s="262">
        <v>1165.5999999999999</v>
      </c>
      <c r="AB136" s="352"/>
      <c r="AC136" s="261">
        <v>132</v>
      </c>
      <c r="AD136" s="262">
        <v>3272.2119999999995</v>
      </c>
      <c r="AE136" s="352"/>
      <c r="AF136" s="261">
        <v>132</v>
      </c>
      <c r="AG136" s="262">
        <v>8942.73</v>
      </c>
      <c r="AH136" s="352"/>
      <c r="AI136" s="261">
        <v>132</v>
      </c>
      <c r="AJ136" s="262">
        <v>4006</v>
      </c>
      <c r="AK136" s="352"/>
      <c r="AL136" s="261"/>
      <c r="AM136" s="262"/>
    </row>
    <row r="137" spans="2:39">
      <c r="B137" s="261" t="s">
        <v>421</v>
      </c>
      <c r="C137" s="261">
        <v>4546</v>
      </c>
      <c r="E137" s="261" t="s">
        <v>421</v>
      </c>
      <c r="F137" s="261">
        <v>4509.09</v>
      </c>
      <c r="H137" s="261" t="s">
        <v>421</v>
      </c>
      <c r="I137" s="262">
        <v>2383</v>
      </c>
      <c r="K137" s="261">
        <v>132</v>
      </c>
      <c r="L137" s="262">
        <v>960.5</v>
      </c>
      <c r="M137" s="352"/>
      <c r="N137" s="261">
        <v>133</v>
      </c>
      <c r="O137" s="262">
        <v>1600.32</v>
      </c>
      <c r="P137" s="352"/>
      <c r="Q137" s="261">
        <v>133</v>
      </c>
      <c r="R137" s="262">
        <v>641</v>
      </c>
      <c r="S137" s="352"/>
      <c r="T137" s="261">
        <v>133</v>
      </c>
      <c r="U137" s="262">
        <v>641</v>
      </c>
      <c r="V137" s="352"/>
      <c r="W137" s="261">
        <v>133</v>
      </c>
      <c r="X137" s="262">
        <v>1136.5999999999999</v>
      </c>
      <c r="Y137" s="352"/>
      <c r="Z137" s="261">
        <v>133</v>
      </c>
      <c r="AA137" s="262">
        <v>1173.0999999999999</v>
      </c>
      <c r="AB137" s="352"/>
      <c r="AC137" s="261">
        <v>133</v>
      </c>
      <c r="AD137" s="262">
        <v>3297.83</v>
      </c>
      <c r="AE137" s="352"/>
      <c r="AF137" s="261">
        <v>133</v>
      </c>
      <c r="AG137" s="262">
        <v>9011.14</v>
      </c>
      <c r="AH137" s="352"/>
      <c r="AI137" s="261">
        <v>133</v>
      </c>
      <c r="AJ137" s="262">
        <v>4034</v>
      </c>
      <c r="AK137" s="352"/>
      <c r="AL137" s="261"/>
      <c r="AM137" s="262"/>
    </row>
    <row r="138" spans="2:39">
      <c r="B138" s="261" t="s">
        <v>422</v>
      </c>
      <c r="C138" s="261">
        <v>4577</v>
      </c>
      <c r="E138" s="261" t="s">
        <v>422</v>
      </c>
      <c r="F138" s="261">
        <v>4540.3500000000004</v>
      </c>
      <c r="H138" s="261" t="s">
        <v>422</v>
      </c>
      <c r="I138" s="262">
        <f>I137+18</f>
        <v>2401</v>
      </c>
      <c r="K138" s="261">
        <v>133</v>
      </c>
      <c r="L138" s="262">
        <v>967.81</v>
      </c>
      <c r="M138" s="352"/>
      <c r="N138" s="261">
        <v>134</v>
      </c>
      <c r="O138" s="262">
        <v>1611.42</v>
      </c>
      <c r="P138" s="352"/>
      <c r="Q138" s="261">
        <v>134</v>
      </c>
      <c r="R138" s="262">
        <v>645</v>
      </c>
      <c r="S138" s="352"/>
      <c r="T138" s="261">
        <v>134</v>
      </c>
      <c r="U138" s="262">
        <v>645</v>
      </c>
      <c r="V138" s="352"/>
      <c r="W138" s="261">
        <v>134</v>
      </c>
      <c r="X138" s="262">
        <v>1144.0999999999999</v>
      </c>
      <c r="Y138" s="352"/>
      <c r="Z138" s="261">
        <v>134</v>
      </c>
      <c r="AA138" s="262">
        <v>1180.6099999999999</v>
      </c>
      <c r="AB138" s="352"/>
      <c r="AC138" s="261">
        <v>134</v>
      </c>
      <c r="AD138" s="262">
        <v>3323.45</v>
      </c>
      <c r="AE138" s="352"/>
      <c r="AF138" s="261">
        <v>134</v>
      </c>
      <c r="AG138" s="262">
        <v>9079.5499999999993</v>
      </c>
      <c r="AH138" s="352"/>
      <c r="AI138" s="261">
        <v>134</v>
      </c>
      <c r="AJ138" s="262">
        <v>4062</v>
      </c>
      <c r="AK138" s="352"/>
      <c r="AL138" s="261"/>
      <c r="AM138" s="262"/>
    </row>
    <row r="139" spans="2:39">
      <c r="B139" s="261" t="s">
        <v>423</v>
      </c>
      <c r="C139" s="261">
        <v>4609</v>
      </c>
      <c r="E139" s="261" t="s">
        <v>423</v>
      </c>
      <c r="F139" s="261">
        <v>4571.67</v>
      </c>
      <c r="H139" s="261" t="s">
        <v>423</v>
      </c>
      <c r="I139" s="262">
        <v>2418</v>
      </c>
      <c r="K139" s="261">
        <v>134</v>
      </c>
      <c r="L139" s="262">
        <v>975.13</v>
      </c>
      <c r="M139" s="352"/>
      <c r="N139" s="261">
        <v>135</v>
      </c>
      <c r="O139" s="262">
        <v>1622.52</v>
      </c>
      <c r="P139" s="352"/>
      <c r="Q139" s="261">
        <v>135</v>
      </c>
      <c r="R139" s="262">
        <v>649</v>
      </c>
      <c r="S139" s="352"/>
      <c r="T139" s="261">
        <v>135</v>
      </c>
      <c r="U139" s="262">
        <v>649</v>
      </c>
      <c r="V139" s="352"/>
      <c r="W139" s="261">
        <v>135</v>
      </c>
      <c r="X139" s="262">
        <v>1151.5999999999999</v>
      </c>
      <c r="Y139" s="352"/>
      <c r="Z139" s="261">
        <v>135</v>
      </c>
      <c r="AA139" s="262">
        <v>1188.1199999999999</v>
      </c>
      <c r="AB139" s="352"/>
      <c r="AC139" s="261">
        <v>135</v>
      </c>
      <c r="AD139" s="262">
        <v>3349.08</v>
      </c>
      <c r="AE139" s="352"/>
      <c r="AF139" s="261">
        <v>135</v>
      </c>
      <c r="AG139" s="262">
        <v>9147.9599999999991</v>
      </c>
      <c r="AH139" s="352"/>
      <c r="AI139" s="261">
        <v>135</v>
      </c>
      <c r="AJ139" s="262">
        <v>4091</v>
      </c>
      <c r="AK139" s="352"/>
      <c r="AL139" s="261"/>
      <c r="AM139" s="262"/>
    </row>
    <row r="140" spans="2:39">
      <c r="B140" s="261" t="s">
        <v>424</v>
      </c>
      <c r="C140" s="261">
        <v>4640</v>
      </c>
      <c r="E140" s="261" t="s">
        <v>424</v>
      </c>
      <c r="F140" s="261">
        <v>4602.93</v>
      </c>
      <c r="H140" s="261" t="s">
        <v>424</v>
      </c>
      <c r="I140" s="262">
        <f>I139+18</f>
        <v>2436</v>
      </c>
      <c r="K140" s="261">
        <v>135</v>
      </c>
      <c r="L140" s="262">
        <v>982.45</v>
      </c>
      <c r="M140" s="352"/>
      <c r="N140" s="261">
        <v>136</v>
      </c>
      <c r="O140" s="262">
        <v>1633.61</v>
      </c>
      <c r="P140" s="352"/>
      <c r="Q140" s="261">
        <v>136</v>
      </c>
      <c r="R140" s="262">
        <v>653</v>
      </c>
      <c r="S140" s="352"/>
      <c r="T140" s="261">
        <v>136</v>
      </c>
      <c r="U140" s="262">
        <v>653</v>
      </c>
      <c r="V140" s="352"/>
      <c r="W140" s="261">
        <v>136</v>
      </c>
      <c r="X140" s="262">
        <v>1159.0999999999999</v>
      </c>
      <c r="Y140" s="352"/>
      <c r="Z140" s="261">
        <v>136</v>
      </c>
      <c r="AA140" s="262">
        <v>1195.6199999999999</v>
      </c>
      <c r="AB140" s="352"/>
      <c r="AC140" s="261">
        <v>136</v>
      </c>
      <c r="AD140" s="262">
        <v>3374.7</v>
      </c>
      <c r="AE140" s="352"/>
      <c r="AF140" s="261">
        <v>136</v>
      </c>
      <c r="AG140" s="262">
        <v>9216.3700000000008</v>
      </c>
      <c r="AH140" s="352"/>
      <c r="AI140" s="261">
        <v>136</v>
      </c>
      <c r="AJ140" s="262">
        <v>4119</v>
      </c>
      <c r="AK140" s="352"/>
      <c r="AL140" s="261"/>
      <c r="AM140" s="262"/>
    </row>
    <row r="141" spans="2:39">
      <c r="B141" s="261" t="s">
        <v>425</v>
      </c>
      <c r="C141" s="261">
        <v>4671</v>
      </c>
      <c r="E141" s="261" t="s">
        <v>425</v>
      </c>
      <c r="F141" s="261">
        <v>4634.22</v>
      </c>
      <c r="H141" s="261" t="s">
        <v>425</v>
      </c>
      <c r="I141" s="262">
        <v>2453</v>
      </c>
      <c r="K141" s="261">
        <v>136</v>
      </c>
      <c r="L141" s="262">
        <v>989.77</v>
      </c>
      <c r="M141" s="352"/>
      <c r="N141" s="261">
        <v>137</v>
      </c>
      <c r="O141" s="262">
        <v>1644.71</v>
      </c>
      <c r="P141" s="352"/>
      <c r="Q141" s="261">
        <v>137</v>
      </c>
      <c r="R141" s="262">
        <v>657</v>
      </c>
      <c r="S141" s="352"/>
      <c r="T141" s="261">
        <v>137</v>
      </c>
      <c r="U141" s="262">
        <v>657</v>
      </c>
      <c r="V141" s="352"/>
      <c r="W141" s="261">
        <v>137</v>
      </c>
      <c r="X141" s="262">
        <v>1166.5999999999999</v>
      </c>
      <c r="Y141" s="352"/>
      <c r="Z141" s="261">
        <v>137</v>
      </c>
      <c r="AA141" s="262">
        <v>1203.1300000000001</v>
      </c>
      <c r="AB141" s="352"/>
      <c r="AC141" s="261">
        <v>137</v>
      </c>
      <c r="AD141" s="262">
        <v>3400.3319999999994</v>
      </c>
      <c r="AE141" s="352"/>
      <c r="AF141" s="261">
        <v>137</v>
      </c>
      <c r="AG141" s="262">
        <v>9284.7800000000007</v>
      </c>
      <c r="AH141" s="352"/>
      <c r="AI141" s="261">
        <v>137</v>
      </c>
      <c r="AJ141" s="262">
        <v>4148</v>
      </c>
      <c r="AK141" s="352"/>
      <c r="AL141" s="261"/>
      <c r="AM141" s="262"/>
    </row>
    <row r="142" spans="2:39">
      <c r="B142" s="261" t="s">
        <v>426</v>
      </c>
      <c r="C142" s="261">
        <v>4702</v>
      </c>
      <c r="E142" s="261" t="s">
        <v>426</v>
      </c>
      <c r="F142" s="261">
        <v>4665.4800000000005</v>
      </c>
      <c r="H142" s="261" t="s">
        <v>426</v>
      </c>
      <c r="I142" s="262">
        <f>I141+18</f>
        <v>2471</v>
      </c>
      <c r="K142" s="261">
        <v>137</v>
      </c>
      <c r="L142" s="262">
        <v>997.09</v>
      </c>
      <c r="M142" s="352"/>
      <c r="N142" s="261">
        <v>138</v>
      </c>
      <c r="O142" s="262">
        <v>1655.8</v>
      </c>
      <c r="P142" s="352"/>
      <c r="Q142" s="261">
        <v>138</v>
      </c>
      <c r="R142" s="262">
        <v>661</v>
      </c>
      <c r="S142" s="352"/>
      <c r="T142" s="261">
        <v>138</v>
      </c>
      <c r="U142" s="262">
        <v>661</v>
      </c>
      <c r="V142" s="352"/>
      <c r="W142" s="261">
        <v>138</v>
      </c>
      <c r="X142" s="262">
        <v>1174.0999999999999</v>
      </c>
      <c r="Y142" s="352"/>
      <c r="Z142" s="261">
        <v>138</v>
      </c>
      <c r="AA142" s="262">
        <v>1210.6400000000001</v>
      </c>
      <c r="AB142" s="352"/>
      <c r="AC142" s="261">
        <v>138</v>
      </c>
      <c r="AD142" s="262">
        <v>3425.95</v>
      </c>
      <c r="AE142" s="352"/>
      <c r="AF142" s="261">
        <v>138</v>
      </c>
      <c r="AG142" s="262">
        <v>9353.19</v>
      </c>
      <c r="AH142" s="352"/>
      <c r="AI142" s="261">
        <v>138</v>
      </c>
      <c r="AJ142" s="262">
        <v>4176</v>
      </c>
      <c r="AK142" s="352"/>
      <c r="AL142" s="261"/>
      <c r="AM142" s="262"/>
    </row>
    <row r="143" spans="2:39">
      <c r="B143" s="261" t="s">
        <v>427</v>
      </c>
      <c r="C143" s="261">
        <v>4734</v>
      </c>
      <c r="E143" s="261" t="s">
        <v>427</v>
      </c>
      <c r="F143" s="261">
        <v>4696.8</v>
      </c>
      <c r="H143" s="261" t="s">
        <v>427</v>
      </c>
      <c r="I143" s="262">
        <v>2489</v>
      </c>
      <c r="K143" s="261">
        <v>138</v>
      </c>
      <c r="L143" s="262">
        <v>1004.41</v>
      </c>
      <c r="M143" s="352"/>
      <c r="N143" s="261">
        <v>139</v>
      </c>
      <c r="O143" s="262">
        <v>1666.9</v>
      </c>
      <c r="P143" s="352"/>
      <c r="Q143" s="261">
        <v>139</v>
      </c>
      <c r="R143" s="262">
        <v>665</v>
      </c>
      <c r="S143" s="352"/>
      <c r="T143" s="261">
        <v>139</v>
      </c>
      <c r="U143" s="262">
        <v>665</v>
      </c>
      <c r="V143" s="352"/>
      <c r="W143" s="261">
        <v>139</v>
      </c>
      <c r="X143" s="262">
        <v>1181.5999999999999</v>
      </c>
      <c r="Y143" s="352"/>
      <c r="Z143" s="261">
        <v>139</v>
      </c>
      <c r="AA143" s="262">
        <v>1218.1400000000001</v>
      </c>
      <c r="AB143" s="352"/>
      <c r="AC143" s="261">
        <v>139</v>
      </c>
      <c r="AD143" s="262">
        <v>3451.57</v>
      </c>
      <c r="AE143" s="352"/>
      <c r="AF143" s="261">
        <v>139</v>
      </c>
      <c r="AG143" s="262">
        <v>9421.6</v>
      </c>
      <c r="AH143" s="352"/>
      <c r="AI143" s="261">
        <v>139</v>
      </c>
      <c r="AJ143" s="262">
        <v>4204</v>
      </c>
      <c r="AK143" s="352"/>
      <c r="AL143" s="261"/>
      <c r="AM143" s="262"/>
    </row>
    <row r="144" spans="2:39">
      <c r="B144" s="261" t="s">
        <v>428</v>
      </c>
      <c r="C144" s="261">
        <v>4765</v>
      </c>
      <c r="E144" s="261" t="s">
        <v>428</v>
      </c>
      <c r="F144" s="261">
        <v>4728.0600000000004</v>
      </c>
      <c r="H144" s="261" t="s">
        <v>428</v>
      </c>
      <c r="I144" s="262">
        <f>I143+18</f>
        <v>2507</v>
      </c>
      <c r="K144" s="261">
        <v>139</v>
      </c>
      <c r="L144" s="262">
        <v>1011.73</v>
      </c>
      <c r="M144" s="352"/>
      <c r="N144" s="261">
        <v>140</v>
      </c>
      <c r="O144" s="262">
        <v>1678</v>
      </c>
      <c r="P144" s="352"/>
      <c r="Q144" s="261">
        <v>140</v>
      </c>
      <c r="R144" s="262">
        <v>670</v>
      </c>
      <c r="S144" s="352"/>
      <c r="T144" s="261">
        <v>140</v>
      </c>
      <c r="U144" s="262">
        <v>670</v>
      </c>
      <c r="V144" s="352"/>
      <c r="W144" s="261">
        <v>140</v>
      </c>
      <c r="X144" s="262">
        <v>1189.0999999999999</v>
      </c>
      <c r="Y144" s="352"/>
      <c r="Z144" s="261">
        <v>140</v>
      </c>
      <c r="AA144" s="262">
        <v>1225.6500000000001</v>
      </c>
      <c r="AB144" s="352"/>
      <c r="AC144" s="261">
        <v>140</v>
      </c>
      <c r="AD144" s="262">
        <v>3477.2</v>
      </c>
      <c r="AE144" s="352"/>
      <c r="AF144" s="261">
        <v>140</v>
      </c>
      <c r="AG144" s="262">
        <v>9490.1</v>
      </c>
      <c r="AH144" s="352"/>
      <c r="AI144" s="261">
        <v>140</v>
      </c>
      <c r="AJ144" s="262">
        <v>4233</v>
      </c>
      <c r="AK144" s="352"/>
      <c r="AL144" s="261"/>
      <c r="AM144" s="262"/>
    </row>
    <row r="145" spans="2:39">
      <c r="B145" s="261" t="s">
        <v>429</v>
      </c>
      <c r="C145" s="261">
        <v>4797</v>
      </c>
      <c r="E145" s="261" t="s">
        <v>429</v>
      </c>
      <c r="F145" s="261">
        <v>4759.3599999999997</v>
      </c>
      <c r="H145" s="261" t="s">
        <v>429</v>
      </c>
      <c r="I145" s="262">
        <v>2524</v>
      </c>
      <c r="K145" s="261">
        <v>140</v>
      </c>
      <c r="L145" s="262">
        <v>1019.04</v>
      </c>
      <c r="M145" s="352"/>
      <c r="N145" s="261">
        <v>141</v>
      </c>
      <c r="O145" s="262">
        <v>1689.09</v>
      </c>
      <c r="P145" s="352"/>
      <c r="Q145" s="261">
        <v>141</v>
      </c>
      <c r="R145" s="262">
        <v>674</v>
      </c>
      <c r="S145" s="352"/>
      <c r="T145" s="261">
        <v>141</v>
      </c>
      <c r="U145" s="262">
        <v>674</v>
      </c>
      <c r="V145" s="352"/>
      <c r="W145" s="261">
        <v>141</v>
      </c>
      <c r="X145" s="262">
        <v>1196.5999999999999</v>
      </c>
      <c r="Y145" s="352"/>
      <c r="Z145" s="261">
        <v>141</v>
      </c>
      <c r="AA145" s="262">
        <v>1233.1600000000001</v>
      </c>
      <c r="AB145" s="352"/>
      <c r="AC145" s="261">
        <v>141</v>
      </c>
      <c r="AD145" s="262">
        <v>3502.82</v>
      </c>
      <c r="AE145" s="352"/>
      <c r="AF145" s="261">
        <v>141</v>
      </c>
      <c r="AG145" s="262">
        <v>9558.43</v>
      </c>
      <c r="AH145" s="352"/>
      <c r="AI145" s="261">
        <v>141</v>
      </c>
      <c r="AJ145" s="262">
        <v>4261</v>
      </c>
      <c r="AK145" s="352"/>
      <c r="AL145" s="261"/>
      <c r="AM145" s="262"/>
    </row>
    <row r="146" spans="2:39">
      <c r="B146" s="261" t="s">
        <v>430</v>
      </c>
      <c r="C146" s="261">
        <v>4828</v>
      </c>
      <c r="E146" s="261" t="s">
        <v>430</v>
      </c>
      <c r="F146" s="261">
        <v>4790.62</v>
      </c>
      <c r="H146" s="261" t="s">
        <v>430</v>
      </c>
      <c r="I146" s="262">
        <f>I145+18</f>
        <v>2542</v>
      </c>
      <c r="K146" s="261">
        <v>141</v>
      </c>
      <c r="L146" s="262">
        <v>1026.3599999999999</v>
      </c>
      <c r="M146" s="352"/>
      <c r="N146" s="261">
        <v>142</v>
      </c>
      <c r="O146" s="262">
        <v>1700.19</v>
      </c>
      <c r="P146" s="352"/>
      <c r="Q146" s="261">
        <v>142</v>
      </c>
      <c r="R146" s="262">
        <v>678</v>
      </c>
      <c r="S146" s="352"/>
      <c r="T146" s="261">
        <v>142</v>
      </c>
      <c r="U146" s="262">
        <v>678</v>
      </c>
      <c r="V146" s="352"/>
      <c r="W146" s="261">
        <v>142</v>
      </c>
      <c r="X146" s="262">
        <v>1204.0999999999999</v>
      </c>
      <c r="Y146" s="352"/>
      <c r="Z146" s="261">
        <v>142</v>
      </c>
      <c r="AA146" s="262">
        <v>1240.6600000000001</v>
      </c>
      <c r="AB146" s="352"/>
      <c r="AC146" s="261">
        <v>142</v>
      </c>
      <c r="AD146" s="262">
        <v>3528.4519999999993</v>
      </c>
      <c r="AE146" s="352"/>
      <c r="AF146" s="261">
        <v>142</v>
      </c>
      <c r="AG146" s="262">
        <v>9626.82</v>
      </c>
      <c r="AH146" s="352"/>
      <c r="AI146" s="261">
        <v>142</v>
      </c>
      <c r="AJ146" s="262">
        <v>4290</v>
      </c>
      <c r="AK146" s="352"/>
      <c r="AL146" s="261"/>
      <c r="AM146" s="262"/>
    </row>
    <row r="147" spans="2:39">
      <c r="B147" s="261" t="s">
        <v>431</v>
      </c>
      <c r="C147" s="261">
        <v>4860</v>
      </c>
      <c r="E147" s="261" t="s">
        <v>431</v>
      </c>
      <c r="F147" s="261">
        <v>4821.92</v>
      </c>
      <c r="H147" s="261" t="s">
        <v>431</v>
      </c>
      <c r="I147" s="262">
        <v>2559</v>
      </c>
      <c r="K147" s="261">
        <v>142</v>
      </c>
      <c r="L147" s="262">
        <v>1033.68</v>
      </c>
      <c r="M147" s="352"/>
      <c r="N147" s="261">
        <v>143</v>
      </c>
      <c r="O147" s="262">
        <v>1711.28</v>
      </c>
      <c r="P147" s="352"/>
      <c r="Q147" s="261">
        <v>143</v>
      </c>
      <c r="R147" s="262">
        <v>682</v>
      </c>
      <c r="S147" s="352"/>
      <c r="T147" s="261">
        <v>143</v>
      </c>
      <c r="U147" s="262">
        <v>682</v>
      </c>
      <c r="V147" s="352"/>
      <c r="W147" s="261">
        <v>143</v>
      </c>
      <c r="X147" s="262">
        <v>1211.5999999999999</v>
      </c>
      <c r="Y147" s="352"/>
      <c r="Z147" s="261">
        <v>143</v>
      </c>
      <c r="AA147" s="262">
        <v>1248.17</v>
      </c>
      <c r="AB147" s="352"/>
      <c r="AC147" s="261">
        <v>143</v>
      </c>
      <c r="AD147" s="262">
        <v>3554.07</v>
      </c>
      <c r="AE147" s="352"/>
      <c r="AF147" s="261">
        <v>143</v>
      </c>
      <c r="AG147" s="262">
        <v>9695.23</v>
      </c>
      <c r="AH147" s="352"/>
      <c r="AI147" s="261">
        <v>143</v>
      </c>
      <c r="AJ147" s="262">
        <v>4318</v>
      </c>
      <c r="AK147" s="352"/>
      <c r="AL147" s="261"/>
      <c r="AM147" s="262"/>
    </row>
    <row r="148" spans="2:39">
      <c r="B148" s="261" t="s">
        <v>432</v>
      </c>
      <c r="C148" s="261">
        <v>4891</v>
      </c>
      <c r="E148" s="261" t="s">
        <v>432</v>
      </c>
      <c r="F148" s="261">
        <v>4853.18</v>
      </c>
      <c r="H148" s="261" t="s">
        <v>432</v>
      </c>
      <c r="I148" s="262">
        <f>I147+18</f>
        <v>2577</v>
      </c>
      <c r="K148" s="261">
        <v>143</v>
      </c>
      <c r="L148" s="262">
        <v>1041</v>
      </c>
      <c r="M148" s="352"/>
      <c r="N148" s="261">
        <v>144</v>
      </c>
      <c r="O148" s="262">
        <v>1722.38</v>
      </c>
      <c r="P148" s="352"/>
      <c r="Q148" s="261">
        <v>144</v>
      </c>
      <c r="R148" s="262">
        <v>686</v>
      </c>
      <c r="S148" s="352"/>
      <c r="T148" s="261">
        <v>144</v>
      </c>
      <c r="U148" s="262">
        <v>686</v>
      </c>
      <c r="V148" s="352"/>
      <c r="W148" s="261">
        <v>144</v>
      </c>
      <c r="X148" s="262">
        <v>1219.0999999999999</v>
      </c>
      <c r="Y148" s="352"/>
      <c r="Z148" s="261">
        <v>144</v>
      </c>
      <c r="AA148" s="262">
        <v>1255.68</v>
      </c>
      <c r="AB148" s="352"/>
      <c r="AC148" s="261">
        <v>144</v>
      </c>
      <c r="AD148" s="262">
        <v>3579.73</v>
      </c>
      <c r="AE148" s="352"/>
      <c r="AF148" s="261">
        <v>144</v>
      </c>
      <c r="AG148" s="262">
        <v>9763.64</v>
      </c>
      <c r="AH148" s="352"/>
      <c r="AI148" s="261">
        <v>144</v>
      </c>
      <c r="AJ148" s="262">
        <v>4346</v>
      </c>
      <c r="AK148" s="352"/>
      <c r="AL148" s="261"/>
      <c r="AM148" s="262"/>
    </row>
    <row r="149" spans="2:39">
      <c r="B149" s="261" t="s">
        <v>433</v>
      </c>
      <c r="C149" s="261">
        <v>4922</v>
      </c>
      <c r="E149" s="261" t="s">
        <v>433</v>
      </c>
      <c r="F149" s="261">
        <v>4884.5</v>
      </c>
      <c r="H149" s="261" t="s">
        <v>433</v>
      </c>
      <c r="I149" s="262">
        <v>2595</v>
      </c>
      <c r="K149" s="261">
        <v>144</v>
      </c>
      <c r="L149" s="262">
        <v>1048.32</v>
      </c>
      <c r="M149" s="352"/>
      <c r="N149" s="261">
        <v>145</v>
      </c>
      <c r="O149" s="262">
        <v>1733.48</v>
      </c>
      <c r="P149" s="352"/>
      <c r="Q149" s="261">
        <v>145</v>
      </c>
      <c r="R149" s="262">
        <v>690</v>
      </c>
      <c r="S149" s="352"/>
      <c r="T149" s="261">
        <v>145</v>
      </c>
      <c r="U149" s="262">
        <v>690</v>
      </c>
      <c r="V149" s="352"/>
      <c r="W149" s="261">
        <v>145</v>
      </c>
      <c r="X149" s="262">
        <v>1226.5999999999999</v>
      </c>
      <c r="Y149" s="352"/>
      <c r="Z149" s="261">
        <v>145</v>
      </c>
      <c r="AA149" s="262">
        <v>1263.18</v>
      </c>
      <c r="AB149" s="352"/>
      <c r="AC149" s="261">
        <v>145</v>
      </c>
      <c r="AD149" s="262">
        <v>3605.39</v>
      </c>
      <c r="AE149" s="352"/>
      <c r="AF149" s="261">
        <v>145</v>
      </c>
      <c r="AG149" s="262">
        <v>9832.0499999999993</v>
      </c>
      <c r="AH149" s="352"/>
      <c r="AI149" s="261">
        <v>145</v>
      </c>
      <c r="AJ149" s="262">
        <v>4375</v>
      </c>
      <c r="AK149" s="352"/>
      <c r="AL149" s="261"/>
      <c r="AM149" s="262"/>
    </row>
    <row r="150" spans="2:39">
      <c r="B150" s="261" t="s">
        <v>434</v>
      </c>
      <c r="C150" s="261">
        <v>4953</v>
      </c>
      <c r="E150" s="261" t="s">
        <v>434</v>
      </c>
      <c r="F150" s="261">
        <v>4915.76</v>
      </c>
      <c r="H150" s="261" t="s">
        <v>434</v>
      </c>
      <c r="I150" s="262">
        <f>I149+18</f>
        <v>2613</v>
      </c>
      <c r="K150" s="261">
        <v>145</v>
      </c>
      <c r="L150" s="262">
        <v>1055.6400000000001</v>
      </c>
      <c r="M150" s="352"/>
      <c r="N150" s="261">
        <v>146</v>
      </c>
      <c r="O150" s="262">
        <v>1744.57</v>
      </c>
      <c r="P150" s="352"/>
      <c r="Q150" s="261">
        <v>146</v>
      </c>
      <c r="R150" s="262">
        <v>694</v>
      </c>
      <c r="S150" s="352"/>
      <c r="T150" s="261">
        <v>146</v>
      </c>
      <c r="U150" s="262">
        <v>694</v>
      </c>
      <c r="V150" s="352"/>
      <c r="W150" s="261">
        <v>146</v>
      </c>
      <c r="X150" s="262">
        <v>1234.0999999999999</v>
      </c>
      <c r="Y150" s="352"/>
      <c r="Z150" s="261">
        <v>146</v>
      </c>
      <c r="AA150" s="262">
        <v>1270.69</v>
      </c>
      <c r="AB150" s="352"/>
      <c r="AC150" s="261">
        <v>146</v>
      </c>
      <c r="AD150" s="262">
        <v>3631.06</v>
      </c>
      <c r="AE150" s="352"/>
      <c r="AF150" s="261">
        <v>146</v>
      </c>
      <c r="AG150" s="262">
        <v>9900.4599999999991</v>
      </c>
      <c r="AH150" s="352"/>
      <c r="AI150" s="261">
        <v>146</v>
      </c>
      <c r="AJ150" s="262">
        <v>4403</v>
      </c>
      <c r="AK150" s="352"/>
      <c r="AL150" s="261"/>
      <c r="AM150" s="262"/>
    </row>
    <row r="151" spans="2:39">
      <c r="B151" s="261" t="s">
        <v>435</v>
      </c>
      <c r="C151" s="261">
        <v>4985</v>
      </c>
      <c r="E151" s="261" t="s">
        <v>435</v>
      </c>
      <c r="F151" s="261">
        <v>4947.05</v>
      </c>
      <c r="H151" s="261" t="s">
        <v>435</v>
      </c>
      <c r="I151" s="262">
        <v>2630</v>
      </c>
      <c r="K151" s="261">
        <v>146</v>
      </c>
      <c r="L151" s="262">
        <v>1062.96</v>
      </c>
      <c r="M151" s="352"/>
      <c r="N151" s="261">
        <v>147</v>
      </c>
      <c r="O151" s="262">
        <v>1755.67</v>
      </c>
      <c r="P151" s="352"/>
      <c r="Q151" s="261">
        <v>147</v>
      </c>
      <c r="R151" s="262">
        <v>698</v>
      </c>
      <c r="S151" s="352"/>
      <c r="T151" s="261">
        <v>147</v>
      </c>
      <c r="U151" s="262">
        <v>699</v>
      </c>
      <c r="V151" s="352"/>
      <c r="W151" s="261">
        <v>147</v>
      </c>
      <c r="X151" s="262">
        <v>1241.5999999999999</v>
      </c>
      <c r="Y151" s="352"/>
      <c r="Z151" s="261">
        <v>147</v>
      </c>
      <c r="AA151" s="262">
        <v>1278.2</v>
      </c>
      <c r="AB151" s="352"/>
      <c r="AC151" s="261">
        <v>147</v>
      </c>
      <c r="AD151" s="262">
        <v>3656.72</v>
      </c>
      <c r="AE151" s="352"/>
      <c r="AF151" s="261">
        <v>147</v>
      </c>
      <c r="AG151" s="262">
        <v>9968.8700000000008</v>
      </c>
      <c r="AH151" s="352"/>
      <c r="AI151" s="261">
        <v>147</v>
      </c>
      <c r="AJ151" s="262">
        <v>4432</v>
      </c>
      <c r="AK151" s="352"/>
      <c r="AL151" s="261"/>
      <c r="AM151" s="262"/>
    </row>
    <row r="152" spans="2:39">
      <c r="B152" s="261" t="s">
        <v>436</v>
      </c>
      <c r="C152" s="261">
        <v>5016</v>
      </c>
      <c r="E152" s="261" t="s">
        <v>436</v>
      </c>
      <c r="F152" s="261">
        <v>4978.3100000000004</v>
      </c>
      <c r="H152" s="261" t="s">
        <v>436</v>
      </c>
      <c r="I152" s="262">
        <f>I151+18</f>
        <v>2648</v>
      </c>
      <c r="K152" s="261">
        <v>147</v>
      </c>
      <c r="L152" s="262">
        <v>1070.27</v>
      </c>
      <c r="M152" s="352"/>
      <c r="N152" s="261">
        <v>148</v>
      </c>
      <c r="O152" s="262">
        <v>1766.76</v>
      </c>
      <c r="P152" s="352"/>
      <c r="Q152" s="261">
        <v>148</v>
      </c>
      <c r="R152" s="262">
        <v>703</v>
      </c>
      <c r="S152" s="352"/>
      <c r="T152" s="261">
        <v>148</v>
      </c>
      <c r="U152" s="262">
        <v>703</v>
      </c>
      <c r="V152" s="352"/>
      <c r="W152" s="261">
        <v>148</v>
      </c>
      <c r="X152" s="262">
        <v>1249.0999999999999</v>
      </c>
      <c r="Y152" s="352"/>
      <c r="Z152" s="261">
        <v>148</v>
      </c>
      <c r="AA152" s="262">
        <v>1285.7</v>
      </c>
      <c r="AB152" s="352"/>
      <c r="AC152" s="261">
        <v>148</v>
      </c>
      <c r="AD152" s="262">
        <v>3682.38</v>
      </c>
      <c r="AE152" s="352"/>
      <c r="AF152" s="261">
        <v>148</v>
      </c>
      <c r="AG152" s="262">
        <v>10037.280000000001</v>
      </c>
      <c r="AH152" s="352"/>
      <c r="AI152" s="261">
        <v>148</v>
      </c>
      <c r="AJ152" s="262">
        <v>4460</v>
      </c>
      <c r="AK152" s="352"/>
      <c r="AL152" s="261"/>
      <c r="AM152" s="262"/>
    </row>
    <row r="153" spans="2:39">
      <c r="B153" s="261" t="s">
        <v>437</v>
      </c>
      <c r="C153" s="261">
        <v>5048</v>
      </c>
      <c r="E153" s="261" t="s">
        <v>437</v>
      </c>
      <c r="F153" s="261">
        <v>5009.63</v>
      </c>
      <c r="H153" s="261" t="s">
        <v>437</v>
      </c>
      <c r="I153" s="262">
        <v>2665</v>
      </c>
      <c r="K153" s="261">
        <v>148</v>
      </c>
      <c r="L153" s="262">
        <v>1077.5899999999999</v>
      </c>
      <c r="M153" s="352"/>
      <c r="N153" s="261">
        <v>149</v>
      </c>
      <c r="O153" s="262">
        <v>1777.86</v>
      </c>
      <c r="P153" s="352"/>
      <c r="Q153" s="261">
        <v>149</v>
      </c>
      <c r="R153" s="262">
        <v>707</v>
      </c>
      <c r="S153" s="352"/>
      <c r="T153" s="261">
        <v>149</v>
      </c>
      <c r="U153" s="262">
        <v>707</v>
      </c>
      <c r="V153" s="352"/>
      <c r="W153" s="261">
        <v>149</v>
      </c>
      <c r="X153" s="262">
        <v>1256.5999999999999</v>
      </c>
      <c r="Y153" s="352"/>
      <c r="Z153" s="261">
        <v>149</v>
      </c>
      <c r="AA153" s="262">
        <v>1293.21</v>
      </c>
      <c r="AB153" s="352"/>
      <c r="AC153" s="261">
        <v>149</v>
      </c>
      <c r="AD153" s="262">
        <v>3708.04</v>
      </c>
      <c r="AE153" s="352"/>
      <c r="AF153" s="261">
        <v>149</v>
      </c>
      <c r="AG153" s="262">
        <v>10105.69</v>
      </c>
      <c r="AH153" s="352"/>
      <c r="AI153" s="261">
        <v>149</v>
      </c>
      <c r="AJ153" s="262">
        <v>4488</v>
      </c>
      <c r="AK153" s="352"/>
      <c r="AL153" s="261"/>
      <c r="AM153" s="262"/>
    </row>
    <row r="154" spans="2:39">
      <c r="B154" s="261" t="s">
        <v>438</v>
      </c>
      <c r="C154" s="261">
        <v>5079</v>
      </c>
      <c r="E154" s="261" t="s">
        <v>438</v>
      </c>
      <c r="F154" s="261">
        <v>5040.8900000000003</v>
      </c>
      <c r="H154" s="261" t="s">
        <v>438</v>
      </c>
      <c r="I154" s="262">
        <f>I153+18</f>
        <v>2683</v>
      </c>
      <c r="K154" s="261">
        <v>149</v>
      </c>
      <c r="L154" s="262">
        <v>1084.9100000000001</v>
      </c>
      <c r="M154" s="352"/>
      <c r="N154" s="261">
        <v>150</v>
      </c>
      <c r="O154" s="262">
        <v>1788.95</v>
      </c>
      <c r="P154" s="352"/>
      <c r="Q154" s="261">
        <v>150</v>
      </c>
      <c r="R154" s="262">
        <v>711</v>
      </c>
      <c r="S154" s="352"/>
      <c r="T154" s="261">
        <v>150</v>
      </c>
      <c r="U154" s="262">
        <v>711</v>
      </c>
      <c r="V154" s="352"/>
      <c r="W154" s="261">
        <v>150</v>
      </c>
      <c r="X154" s="262">
        <v>1264.2</v>
      </c>
      <c r="Y154" s="352"/>
      <c r="Z154" s="261">
        <v>150</v>
      </c>
      <c r="AA154" s="262">
        <v>1300.72</v>
      </c>
      <c r="AB154" s="352"/>
      <c r="AC154" s="261">
        <v>150</v>
      </c>
      <c r="AD154" s="262">
        <v>3733.7</v>
      </c>
      <c r="AE154" s="352"/>
      <c r="AF154" s="261">
        <v>150</v>
      </c>
      <c r="AG154" s="262">
        <v>10174.1</v>
      </c>
      <c r="AH154" s="352"/>
      <c r="AI154" s="261">
        <v>150</v>
      </c>
      <c r="AJ154" s="262">
        <v>4517</v>
      </c>
      <c r="AK154" s="352"/>
      <c r="AL154" s="261"/>
      <c r="AM154" s="262"/>
    </row>
    <row r="155" spans="2:39">
      <c r="B155" s="261" t="s">
        <v>439</v>
      </c>
      <c r="C155" s="261">
        <v>5111</v>
      </c>
      <c r="E155" s="261" t="s">
        <v>439</v>
      </c>
      <c r="F155" s="261">
        <v>5072.1899999999996</v>
      </c>
      <c r="H155" s="261" t="s">
        <v>439</v>
      </c>
      <c r="I155" s="262">
        <v>2700</v>
      </c>
      <c r="K155" s="261">
        <v>150</v>
      </c>
      <c r="L155" s="262">
        <v>1092.23</v>
      </c>
      <c r="M155" s="352"/>
      <c r="N155" s="261">
        <v>151</v>
      </c>
      <c r="O155" s="262">
        <v>1800.05</v>
      </c>
      <c r="P155" s="352"/>
      <c r="Q155" s="261">
        <v>151</v>
      </c>
      <c r="R155" s="262">
        <v>715</v>
      </c>
      <c r="S155" s="352"/>
      <c r="T155" s="261">
        <v>151</v>
      </c>
      <c r="U155" s="262">
        <v>715</v>
      </c>
      <c r="V155" s="352"/>
      <c r="W155" s="261">
        <v>151</v>
      </c>
      <c r="X155" s="262">
        <v>1271.7</v>
      </c>
      <c r="Y155" s="352"/>
      <c r="Z155" s="261">
        <v>151</v>
      </c>
      <c r="AA155" s="262">
        <v>1308.22</v>
      </c>
      <c r="AB155" s="352"/>
      <c r="AC155" s="261">
        <v>151</v>
      </c>
      <c r="AD155" s="262">
        <v>3759.37</v>
      </c>
      <c r="AE155" s="352"/>
      <c r="AF155" s="261">
        <v>151</v>
      </c>
      <c r="AG155" s="262">
        <v>10242.51</v>
      </c>
      <c r="AH155" s="352"/>
      <c r="AI155" s="261">
        <v>151</v>
      </c>
      <c r="AJ155" s="262">
        <v>4545</v>
      </c>
      <c r="AK155" s="352"/>
      <c r="AL155" s="261"/>
      <c r="AM155" s="262"/>
    </row>
    <row r="156" spans="2:39">
      <c r="B156" s="261" t="s">
        <v>440</v>
      </c>
      <c r="C156" s="261">
        <v>5142</v>
      </c>
      <c r="E156" s="261" t="s">
        <v>440</v>
      </c>
      <c r="F156" s="261">
        <v>5103.45</v>
      </c>
      <c r="H156" s="261" t="s">
        <v>440</v>
      </c>
      <c r="I156" s="262">
        <f>I155+18</f>
        <v>2718</v>
      </c>
      <c r="K156" s="261">
        <v>151</v>
      </c>
      <c r="L156" s="262">
        <v>1099.55</v>
      </c>
      <c r="M156" s="352"/>
      <c r="N156" s="261">
        <v>152</v>
      </c>
      <c r="O156" s="262">
        <v>1811.15</v>
      </c>
      <c r="P156" s="352"/>
      <c r="Q156" s="261">
        <v>152</v>
      </c>
      <c r="R156" s="262">
        <v>719</v>
      </c>
      <c r="S156" s="352"/>
      <c r="T156" s="261">
        <v>152</v>
      </c>
      <c r="U156" s="262">
        <v>719</v>
      </c>
      <c r="V156" s="352"/>
      <c r="W156" s="261">
        <v>152</v>
      </c>
      <c r="X156" s="262">
        <v>1279.2</v>
      </c>
      <c r="Y156" s="352"/>
      <c r="Z156" s="261">
        <v>152</v>
      </c>
      <c r="AA156" s="262">
        <v>1315.73</v>
      </c>
      <c r="AB156" s="352"/>
      <c r="AC156" s="261">
        <v>152</v>
      </c>
      <c r="AD156" s="262">
        <v>3785.03</v>
      </c>
      <c r="AE156" s="352"/>
      <c r="AF156" s="261">
        <v>152</v>
      </c>
      <c r="AG156" s="262">
        <v>10310.91</v>
      </c>
      <c r="AH156" s="352"/>
      <c r="AI156" s="261">
        <v>152</v>
      </c>
      <c r="AJ156" s="262">
        <v>4574</v>
      </c>
      <c r="AK156" s="352"/>
      <c r="AL156" s="261"/>
      <c r="AM156" s="262"/>
    </row>
    <row r="157" spans="2:39">
      <c r="B157" s="261" t="s">
        <v>441</v>
      </c>
      <c r="C157" s="261">
        <v>5173</v>
      </c>
      <c r="E157" s="261" t="s">
        <v>441</v>
      </c>
      <c r="F157" s="261">
        <v>5134.75</v>
      </c>
      <c r="H157" s="261" t="s">
        <v>441</v>
      </c>
      <c r="I157" s="262">
        <v>2736</v>
      </c>
      <c r="K157" s="261">
        <v>152</v>
      </c>
      <c r="L157" s="262">
        <v>1106.8699999999999</v>
      </c>
      <c r="M157" s="352"/>
      <c r="N157" s="261">
        <v>153</v>
      </c>
      <c r="O157" s="262">
        <v>1822.24</v>
      </c>
      <c r="P157" s="352"/>
      <c r="Q157" s="261">
        <v>153</v>
      </c>
      <c r="R157" s="262">
        <v>723</v>
      </c>
      <c r="S157" s="352"/>
      <c r="T157" s="261">
        <v>153</v>
      </c>
      <c r="U157" s="262">
        <v>723</v>
      </c>
      <c r="V157" s="352"/>
      <c r="W157" s="261">
        <v>153</v>
      </c>
      <c r="X157" s="262">
        <v>1286.7</v>
      </c>
      <c r="Y157" s="352"/>
      <c r="Z157" s="261">
        <v>153</v>
      </c>
      <c r="AA157" s="262">
        <v>1323.24</v>
      </c>
      <c r="AB157" s="352"/>
      <c r="AC157" s="261">
        <v>153</v>
      </c>
      <c r="AD157" s="262">
        <v>3810.69</v>
      </c>
      <c r="AE157" s="352"/>
      <c r="AF157" s="261">
        <v>153</v>
      </c>
      <c r="AG157" s="262">
        <v>10379.32</v>
      </c>
      <c r="AH157" s="352"/>
      <c r="AI157" s="261">
        <v>153</v>
      </c>
      <c r="AJ157" s="262">
        <v>4602</v>
      </c>
      <c r="AK157" s="352"/>
      <c r="AL157" s="261"/>
      <c r="AM157" s="262"/>
    </row>
    <row r="158" spans="2:39">
      <c r="B158" s="261" t="s">
        <v>442</v>
      </c>
      <c r="C158" s="261">
        <v>5204</v>
      </c>
      <c r="E158" s="261" t="s">
        <v>442</v>
      </c>
      <c r="F158" s="261">
        <v>5166.01</v>
      </c>
      <c r="H158" s="261" t="s">
        <v>442</v>
      </c>
      <c r="I158" s="262">
        <f>I157+18</f>
        <v>2754</v>
      </c>
      <c r="K158" s="261">
        <v>153</v>
      </c>
      <c r="L158" s="262">
        <v>1114.19</v>
      </c>
      <c r="M158" s="352"/>
      <c r="N158" s="261">
        <v>154</v>
      </c>
      <c r="O158" s="262">
        <v>1833.34</v>
      </c>
      <c r="P158" s="352"/>
      <c r="Q158" s="261">
        <v>154</v>
      </c>
      <c r="R158" s="262">
        <v>727</v>
      </c>
      <c r="S158" s="352"/>
      <c r="T158" s="261">
        <v>154</v>
      </c>
      <c r="U158" s="262">
        <v>727</v>
      </c>
      <c r="V158" s="352"/>
      <c r="W158" s="261">
        <v>154</v>
      </c>
      <c r="X158" s="262">
        <v>1294.2</v>
      </c>
      <c r="Y158" s="352"/>
      <c r="Z158" s="261">
        <v>154</v>
      </c>
      <c r="AA158" s="262">
        <v>1330.74</v>
      </c>
      <c r="AB158" s="352"/>
      <c r="AC158" s="261">
        <v>154</v>
      </c>
      <c r="AD158" s="262">
        <v>3836.35</v>
      </c>
      <c r="AE158" s="352"/>
      <c r="AF158" s="261">
        <v>154</v>
      </c>
      <c r="AG158" s="262">
        <v>10447.73</v>
      </c>
      <c r="AH158" s="352"/>
      <c r="AI158" s="261">
        <v>154</v>
      </c>
      <c r="AJ158" s="262">
        <v>4630</v>
      </c>
      <c r="AK158" s="352"/>
      <c r="AL158" s="261"/>
      <c r="AM158" s="262"/>
    </row>
    <row r="159" spans="2:39">
      <c r="B159" s="261" t="s">
        <v>443</v>
      </c>
      <c r="C159" s="261">
        <v>5236</v>
      </c>
      <c r="E159" s="261" t="s">
        <v>443</v>
      </c>
      <c r="F159" s="261">
        <v>5197.33</v>
      </c>
      <c r="H159" s="261" t="s">
        <v>443</v>
      </c>
      <c r="I159" s="262">
        <v>2771</v>
      </c>
      <c r="K159" s="261">
        <v>154</v>
      </c>
      <c r="L159" s="262">
        <v>1121.5</v>
      </c>
      <c r="M159" s="352"/>
      <c r="N159" s="261">
        <v>155</v>
      </c>
      <c r="O159" s="262">
        <v>1844.43</v>
      </c>
      <c r="P159" s="352"/>
      <c r="Q159" s="261">
        <v>155</v>
      </c>
      <c r="R159" s="262">
        <v>731</v>
      </c>
      <c r="S159" s="352"/>
      <c r="T159" s="261">
        <v>155</v>
      </c>
      <c r="U159" s="262">
        <v>732</v>
      </c>
      <c r="V159" s="352"/>
      <c r="W159" s="261">
        <v>155</v>
      </c>
      <c r="X159" s="262">
        <v>1301.7</v>
      </c>
      <c r="Y159" s="352"/>
      <c r="Z159" s="261">
        <v>155</v>
      </c>
      <c r="AA159" s="262">
        <v>1338.25</v>
      </c>
      <c r="AB159" s="352"/>
      <c r="AC159" s="261">
        <v>155</v>
      </c>
      <c r="AD159" s="262">
        <v>3862.01</v>
      </c>
      <c r="AE159" s="352"/>
      <c r="AF159" s="261">
        <v>155</v>
      </c>
      <c r="AG159" s="262">
        <v>10516.14</v>
      </c>
      <c r="AH159" s="352"/>
      <c r="AI159" s="261">
        <v>155</v>
      </c>
      <c r="AJ159" s="262">
        <v>4659</v>
      </c>
      <c r="AK159" s="352"/>
      <c r="AL159" s="261"/>
      <c r="AM159" s="262"/>
    </row>
    <row r="160" spans="2:39">
      <c r="B160" s="261" t="s">
        <v>444</v>
      </c>
      <c r="C160" s="261">
        <v>5267</v>
      </c>
      <c r="E160" s="261" t="s">
        <v>444</v>
      </c>
      <c r="F160" s="261">
        <v>5228.59</v>
      </c>
      <c r="H160" s="261" t="s">
        <v>444</v>
      </c>
      <c r="I160" s="262">
        <f>I159+18</f>
        <v>2789</v>
      </c>
      <c r="K160" s="261">
        <v>155</v>
      </c>
      <c r="L160" s="262">
        <v>1128.83</v>
      </c>
      <c r="M160" s="352"/>
      <c r="N160" s="261">
        <v>156</v>
      </c>
      <c r="O160" s="262">
        <v>1855.53</v>
      </c>
      <c r="P160" s="352"/>
      <c r="Q160" s="261">
        <v>156</v>
      </c>
      <c r="R160" s="262">
        <v>736</v>
      </c>
      <c r="S160" s="352"/>
      <c r="T160" s="261">
        <v>156</v>
      </c>
      <c r="U160" s="262">
        <v>736</v>
      </c>
      <c r="V160" s="352"/>
      <c r="W160" s="261">
        <v>156</v>
      </c>
      <c r="X160" s="262">
        <v>1309.2</v>
      </c>
      <c r="Y160" s="352"/>
      <c r="Z160" s="261">
        <v>156</v>
      </c>
      <c r="AA160" s="262">
        <v>1345.76</v>
      </c>
      <c r="AB160" s="352"/>
      <c r="AC160" s="261">
        <v>156</v>
      </c>
      <c r="AD160" s="262">
        <v>3887.68</v>
      </c>
      <c r="AE160" s="352"/>
      <c r="AF160" s="261">
        <v>156</v>
      </c>
      <c r="AG160" s="262">
        <v>10584.55</v>
      </c>
      <c r="AH160" s="352"/>
      <c r="AI160" s="261">
        <v>156</v>
      </c>
      <c r="AJ160" s="262">
        <v>4687</v>
      </c>
      <c r="AK160" s="352"/>
      <c r="AL160" s="261"/>
      <c r="AM160" s="262"/>
    </row>
    <row r="161" spans="2:39">
      <c r="B161" s="261" t="s">
        <v>445</v>
      </c>
      <c r="C161" s="261">
        <v>5299</v>
      </c>
      <c r="E161" s="261" t="s">
        <v>445</v>
      </c>
      <c r="F161" s="261">
        <v>5259.89</v>
      </c>
      <c r="H161" s="261" t="s">
        <v>445</v>
      </c>
      <c r="I161" s="262">
        <v>2806</v>
      </c>
      <c r="K161" s="261">
        <v>156</v>
      </c>
      <c r="L161" s="262">
        <v>1136.1400000000001</v>
      </c>
      <c r="M161" s="352"/>
      <c r="N161" s="261">
        <v>157</v>
      </c>
      <c r="O161" s="262">
        <v>1866.63</v>
      </c>
      <c r="P161" s="352"/>
      <c r="Q161" s="261">
        <v>157</v>
      </c>
      <c r="R161" s="262">
        <v>740</v>
      </c>
      <c r="S161" s="352"/>
      <c r="T161" s="261">
        <v>157</v>
      </c>
      <c r="U161" s="262">
        <v>740</v>
      </c>
      <c r="V161" s="352"/>
      <c r="W161" s="261">
        <v>157</v>
      </c>
      <c r="X161" s="262">
        <v>1316.7</v>
      </c>
      <c r="Y161" s="352"/>
      <c r="Z161" s="261">
        <v>157</v>
      </c>
      <c r="AA161" s="262">
        <v>1353.26</v>
      </c>
      <c r="AB161" s="352"/>
      <c r="AC161" s="261">
        <v>157</v>
      </c>
      <c r="AD161" s="262">
        <v>3913.34</v>
      </c>
      <c r="AE161" s="352"/>
      <c r="AF161" s="261">
        <v>157</v>
      </c>
      <c r="AG161" s="262">
        <v>10652.96</v>
      </c>
      <c r="AH161" s="352"/>
      <c r="AI161" s="261">
        <v>157</v>
      </c>
      <c r="AJ161" s="262">
        <v>4716</v>
      </c>
      <c r="AK161" s="352"/>
      <c r="AL161" s="261"/>
      <c r="AM161" s="262"/>
    </row>
    <row r="162" spans="2:39">
      <c r="B162" s="261" t="s">
        <v>446</v>
      </c>
      <c r="C162" s="261">
        <v>5330</v>
      </c>
      <c r="E162" s="261" t="s">
        <v>446</v>
      </c>
      <c r="F162" s="261">
        <v>5291.1500000000005</v>
      </c>
      <c r="H162" s="261" t="s">
        <v>446</v>
      </c>
      <c r="I162" s="262">
        <f>I161+18</f>
        <v>2824</v>
      </c>
      <c r="K162" s="261">
        <v>157</v>
      </c>
      <c r="L162" s="262">
        <v>1143.46</v>
      </c>
      <c r="M162" s="352"/>
      <c r="N162" s="261">
        <v>158</v>
      </c>
      <c r="O162" s="262">
        <v>1877.72</v>
      </c>
      <c r="P162" s="352"/>
      <c r="Q162" s="261">
        <v>158</v>
      </c>
      <c r="R162" s="262">
        <v>744</v>
      </c>
      <c r="S162" s="352"/>
      <c r="T162" s="261">
        <v>158</v>
      </c>
      <c r="U162" s="262">
        <v>744</v>
      </c>
      <c r="V162" s="352"/>
      <c r="W162" s="261">
        <v>158</v>
      </c>
      <c r="X162" s="262">
        <v>1324.2</v>
      </c>
      <c r="Y162" s="352"/>
      <c r="Z162" s="261">
        <v>158</v>
      </c>
      <c r="AA162" s="262">
        <v>1360.77</v>
      </c>
      <c r="AB162" s="352"/>
      <c r="AC162" s="261">
        <v>158</v>
      </c>
      <c r="AD162" s="262">
        <v>3939</v>
      </c>
      <c r="AE162" s="352"/>
      <c r="AF162" s="261">
        <v>158</v>
      </c>
      <c r="AG162" s="262">
        <v>10721.37</v>
      </c>
      <c r="AH162" s="352"/>
      <c r="AI162" s="261">
        <v>158</v>
      </c>
      <c r="AJ162" s="262">
        <v>4744</v>
      </c>
      <c r="AK162" s="352"/>
      <c r="AL162" s="261"/>
      <c r="AM162" s="262"/>
    </row>
    <row r="163" spans="2:39">
      <c r="B163" s="261" t="s">
        <v>447</v>
      </c>
      <c r="C163" s="261">
        <v>5362</v>
      </c>
      <c r="E163" s="261" t="s">
        <v>447</v>
      </c>
      <c r="F163" s="261">
        <v>5322.46</v>
      </c>
      <c r="H163" s="261" t="s">
        <v>447</v>
      </c>
      <c r="I163" s="262">
        <v>2842</v>
      </c>
      <c r="K163" s="261">
        <v>158</v>
      </c>
      <c r="L163" s="262">
        <v>1150.78</v>
      </c>
      <c r="M163" s="352"/>
      <c r="N163" s="261">
        <v>159</v>
      </c>
      <c r="O163" s="262">
        <v>1888.82</v>
      </c>
      <c r="P163" s="352"/>
      <c r="Q163" s="261">
        <v>159</v>
      </c>
      <c r="R163" s="262">
        <v>748</v>
      </c>
      <c r="S163" s="352"/>
      <c r="T163" s="261">
        <v>159</v>
      </c>
      <c r="U163" s="262">
        <v>748</v>
      </c>
      <c r="V163" s="352"/>
      <c r="W163" s="261">
        <v>159</v>
      </c>
      <c r="X163" s="262">
        <v>1331.7</v>
      </c>
      <c r="Y163" s="352"/>
      <c r="Z163" s="261">
        <v>159</v>
      </c>
      <c r="AA163" s="262">
        <v>1368.28</v>
      </c>
      <c r="AB163" s="352"/>
      <c r="AC163" s="261">
        <v>159</v>
      </c>
      <c r="AD163" s="262">
        <v>3964.66</v>
      </c>
      <c r="AE163" s="352"/>
      <c r="AF163" s="261">
        <v>159</v>
      </c>
      <c r="AG163" s="262">
        <v>10789.78</v>
      </c>
      <c r="AH163" s="352"/>
      <c r="AI163" s="261">
        <v>159</v>
      </c>
      <c r="AJ163" s="262">
        <v>4772</v>
      </c>
      <c r="AK163" s="352"/>
      <c r="AL163" s="261"/>
      <c r="AM163" s="262"/>
    </row>
    <row r="164" spans="2:39">
      <c r="B164" s="261" t="s">
        <v>448</v>
      </c>
      <c r="C164" s="261">
        <v>5393</v>
      </c>
      <c r="E164" s="261" t="s">
        <v>448</v>
      </c>
      <c r="F164" s="261">
        <v>5353.72</v>
      </c>
      <c r="H164" s="261" t="s">
        <v>448</v>
      </c>
      <c r="I164" s="262">
        <f>I163+18</f>
        <v>2860</v>
      </c>
      <c r="K164" s="261">
        <v>159</v>
      </c>
      <c r="L164" s="262">
        <v>1158.0999999999999</v>
      </c>
      <c r="M164" s="352"/>
      <c r="N164" s="261">
        <v>160</v>
      </c>
      <c r="O164" s="262">
        <v>1899.91</v>
      </c>
      <c r="P164" s="352"/>
      <c r="Q164" s="261">
        <v>160</v>
      </c>
      <c r="R164" s="262">
        <v>752</v>
      </c>
      <c r="S164" s="352"/>
      <c r="T164" s="261">
        <v>160</v>
      </c>
      <c r="U164" s="262">
        <v>752</v>
      </c>
      <c r="V164" s="352"/>
      <c r="W164" s="261">
        <v>160</v>
      </c>
      <c r="X164" s="262">
        <v>1339.2</v>
      </c>
      <c r="Y164" s="352"/>
      <c r="Z164" s="261">
        <v>160</v>
      </c>
      <c r="AA164" s="262">
        <v>1375.78</v>
      </c>
      <c r="AB164" s="352"/>
      <c r="AC164" s="261">
        <v>160</v>
      </c>
      <c r="AD164" s="262">
        <v>3990.32</v>
      </c>
      <c r="AE164" s="352"/>
      <c r="AF164" s="261">
        <v>160</v>
      </c>
      <c r="AG164" s="262">
        <v>10858.19</v>
      </c>
      <c r="AH164" s="352"/>
      <c r="AI164" s="261">
        <v>160</v>
      </c>
      <c r="AJ164" s="262">
        <v>4801</v>
      </c>
      <c r="AK164" s="352"/>
      <c r="AL164" s="261"/>
      <c r="AM164" s="262"/>
    </row>
    <row r="165" spans="2:39">
      <c r="B165" s="261" t="s">
        <v>449</v>
      </c>
      <c r="C165" s="261">
        <v>5425</v>
      </c>
      <c r="E165" s="261" t="s">
        <v>449</v>
      </c>
      <c r="F165" s="261">
        <v>5385.02</v>
      </c>
      <c r="H165" s="261" t="s">
        <v>449</v>
      </c>
      <c r="I165" s="262">
        <v>2877</v>
      </c>
      <c r="K165" s="261">
        <v>160</v>
      </c>
      <c r="L165" s="262">
        <v>1165.42</v>
      </c>
      <c r="M165" s="352"/>
      <c r="N165" s="261">
        <v>161</v>
      </c>
      <c r="O165" s="262">
        <v>1911.01</v>
      </c>
      <c r="P165" s="352"/>
      <c r="Q165" s="261">
        <v>161</v>
      </c>
      <c r="R165" s="262">
        <v>756</v>
      </c>
      <c r="S165" s="352"/>
      <c r="T165" s="261">
        <v>161</v>
      </c>
      <c r="U165" s="262">
        <v>756</v>
      </c>
      <c r="V165" s="352"/>
      <c r="W165" s="261">
        <v>161</v>
      </c>
      <c r="X165" s="262">
        <v>1346.7</v>
      </c>
      <c r="Y165" s="352"/>
      <c r="Z165" s="261">
        <v>161</v>
      </c>
      <c r="AA165" s="262">
        <v>1383.29</v>
      </c>
      <c r="AB165" s="352"/>
      <c r="AC165" s="261">
        <v>161</v>
      </c>
      <c r="AD165" s="262">
        <v>4015.99</v>
      </c>
      <c r="AE165" s="352"/>
      <c r="AF165" s="261">
        <v>161</v>
      </c>
      <c r="AG165" s="262">
        <v>10926.6</v>
      </c>
      <c r="AH165" s="352"/>
      <c r="AI165" s="261">
        <v>161</v>
      </c>
      <c r="AJ165" s="262">
        <v>4829</v>
      </c>
      <c r="AK165" s="352"/>
      <c r="AL165" s="261"/>
      <c r="AM165" s="262"/>
    </row>
    <row r="166" spans="2:39">
      <c r="B166" s="261" t="s">
        <v>450</v>
      </c>
      <c r="C166" s="261">
        <v>5456</v>
      </c>
      <c r="E166" s="261" t="s">
        <v>450</v>
      </c>
      <c r="F166" s="261">
        <v>5416.2800000000007</v>
      </c>
      <c r="H166" s="261" t="s">
        <v>450</v>
      </c>
      <c r="I166" s="262">
        <f>I165+18</f>
        <v>2895</v>
      </c>
      <c r="K166" s="261">
        <v>161</v>
      </c>
      <c r="L166" s="262">
        <v>1172.74</v>
      </c>
      <c r="M166" s="352"/>
      <c r="N166" s="261">
        <v>162</v>
      </c>
      <c r="O166" s="262">
        <v>1922.1</v>
      </c>
      <c r="P166" s="352"/>
      <c r="Q166" s="261">
        <v>162</v>
      </c>
      <c r="R166" s="262">
        <v>760</v>
      </c>
      <c r="S166" s="352"/>
      <c r="T166" s="261">
        <v>162</v>
      </c>
      <c r="U166" s="262">
        <v>761</v>
      </c>
      <c r="V166" s="352"/>
      <c r="W166" s="261">
        <v>162</v>
      </c>
      <c r="X166" s="262">
        <v>1354.2</v>
      </c>
      <c r="Y166" s="352"/>
      <c r="Z166" s="261">
        <v>162</v>
      </c>
      <c r="AA166" s="262">
        <v>1390.8</v>
      </c>
      <c r="AB166" s="352"/>
      <c r="AC166" s="261">
        <v>162</v>
      </c>
      <c r="AD166" s="262">
        <v>4041.65</v>
      </c>
      <c r="AE166" s="352"/>
      <c r="AF166" s="261">
        <v>162</v>
      </c>
      <c r="AG166" s="262">
        <v>10995</v>
      </c>
      <c r="AH166" s="352"/>
      <c r="AI166" s="261">
        <v>162</v>
      </c>
      <c r="AJ166" s="262">
        <v>4858</v>
      </c>
      <c r="AK166" s="352"/>
      <c r="AL166" s="261"/>
      <c r="AM166" s="262"/>
    </row>
    <row r="167" spans="2:39">
      <c r="B167" s="261" t="s">
        <v>451</v>
      </c>
      <c r="C167" s="261">
        <v>5487</v>
      </c>
      <c r="E167" s="261" t="s">
        <v>451</v>
      </c>
      <c r="F167" s="261">
        <v>5447.59</v>
      </c>
      <c r="H167" s="261" t="s">
        <v>451</v>
      </c>
      <c r="I167" s="262">
        <v>2912</v>
      </c>
      <c r="K167" s="261">
        <v>162</v>
      </c>
      <c r="L167" s="262">
        <v>1180.06</v>
      </c>
      <c r="M167" s="352"/>
      <c r="N167" s="261">
        <v>163</v>
      </c>
      <c r="O167" s="262">
        <v>1933.2</v>
      </c>
      <c r="P167" s="352"/>
      <c r="Q167" s="261">
        <v>163</v>
      </c>
      <c r="R167" s="262">
        <v>765</v>
      </c>
      <c r="S167" s="352"/>
      <c r="T167" s="261">
        <v>163</v>
      </c>
      <c r="U167" s="262">
        <v>765</v>
      </c>
      <c r="V167" s="352"/>
      <c r="W167" s="261">
        <v>163</v>
      </c>
      <c r="X167" s="262">
        <v>1361.7</v>
      </c>
      <c r="Y167" s="352"/>
      <c r="Z167" s="261">
        <v>163</v>
      </c>
      <c r="AA167" s="262">
        <v>1398.3</v>
      </c>
      <c r="AB167" s="352"/>
      <c r="AC167" s="261">
        <v>163</v>
      </c>
      <c r="AD167" s="262">
        <v>4067.31</v>
      </c>
      <c r="AE167" s="352"/>
      <c r="AF167" s="261">
        <v>163</v>
      </c>
      <c r="AG167" s="262">
        <v>11063.41</v>
      </c>
      <c r="AH167" s="352"/>
      <c r="AI167" s="261">
        <v>163</v>
      </c>
      <c r="AJ167" s="262">
        <v>4886</v>
      </c>
      <c r="AK167" s="352"/>
      <c r="AL167" s="261"/>
      <c r="AM167" s="262"/>
    </row>
    <row r="168" spans="2:39">
      <c r="B168" s="261" t="s">
        <v>452</v>
      </c>
      <c r="C168" s="261">
        <v>5518</v>
      </c>
      <c r="E168" s="261" t="s">
        <v>452</v>
      </c>
      <c r="F168" s="261">
        <v>5478.85</v>
      </c>
      <c r="H168" s="261" t="s">
        <v>452</v>
      </c>
      <c r="I168" s="262">
        <f>I167+18</f>
        <v>2930</v>
      </c>
      <c r="K168" s="261">
        <v>163</v>
      </c>
      <c r="L168" s="262">
        <v>1187.3800000000001</v>
      </c>
      <c r="M168" s="352"/>
      <c r="N168" s="261">
        <v>164</v>
      </c>
      <c r="O168" s="262">
        <v>1944.3</v>
      </c>
      <c r="P168" s="352"/>
      <c r="Q168" s="261">
        <v>164</v>
      </c>
      <c r="R168" s="262">
        <v>769</v>
      </c>
      <c r="S168" s="352"/>
      <c r="T168" s="261">
        <v>164</v>
      </c>
      <c r="U168" s="262">
        <v>769</v>
      </c>
      <c r="V168" s="352"/>
      <c r="W168" s="261">
        <v>164</v>
      </c>
      <c r="X168" s="262">
        <v>1369.2</v>
      </c>
      <c r="Y168" s="352"/>
      <c r="Z168" s="261">
        <v>164</v>
      </c>
      <c r="AA168" s="262">
        <v>1405.81</v>
      </c>
      <c r="AB168" s="352"/>
      <c r="AC168" s="261">
        <v>164</v>
      </c>
      <c r="AD168" s="262">
        <v>4092.97</v>
      </c>
      <c r="AE168" s="352"/>
      <c r="AF168" s="261">
        <v>164</v>
      </c>
      <c r="AG168" s="262">
        <v>11131.82</v>
      </c>
      <c r="AH168" s="352"/>
      <c r="AI168" s="261">
        <v>164</v>
      </c>
      <c r="AJ168" s="262">
        <v>4914</v>
      </c>
      <c r="AK168" s="352"/>
      <c r="AL168" s="261"/>
      <c r="AM168" s="262"/>
    </row>
    <row r="169" spans="2:39">
      <c r="B169" s="261" t="s">
        <v>453</v>
      </c>
      <c r="C169" s="261">
        <v>5550</v>
      </c>
      <c r="E169" s="261" t="s">
        <v>453</v>
      </c>
      <c r="F169" s="261">
        <v>5510.16</v>
      </c>
      <c r="H169" s="261" t="s">
        <v>453</v>
      </c>
      <c r="I169" s="262">
        <v>2947</v>
      </c>
      <c r="K169" s="261">
        <v>164</v>
      </c>
      <c r="L169" s="262">
        <v>1194.7</v>
      </c>
      <c r="M169" s="352"/>
      <c r="N169" s="261">
        <v>165</v>
      </c>
      <c r="O169" s="262">
        <v>1955.39</v>
      </c>
      <c r="P169" s="352"/>
      <c r="Q169" s="261">
        <v>165</v>
      </c>
      <c r="R169" s="262">
        <v>773</v>
      </c>
      <c r="S169" s="352"/>
      <c r="T169" s="261">
        <v>165</v>
      </c>
      <c r="U169" s="262">
        <v>773</v>
      </c>
      <c r="V169" s="352"/>
      <c r="W169" s="261">
        <v>165</v>
      </c>
      <c r="X169" s="262">
        <v>1376.7</v>
      </c>
      <c r="Y169" s="352"/>
      <c r="Z169" s="261">
        <v>165</v>
      </c>
      <c r="AA169" s="262">
        <v>1413.32</v>
      </c>
      <c r="AB169" s="352"/>
      <c r="AC169" s="261">
        <v>165</v>
      </c>
      <c r="AD169" s="262">
        <v>4118.63</v>
      </c>
      <c r="AE169" s="352"/>
      <c r="AF169" s="261">
        <v>165</v>
      </c>
      <c r="AG169" s="262">
        <v>11200.23</v>
      </c>
      <c r="AH169" s="352"/>
      <c r="AI169" s="261">
        <v>165</v>
      </c>
      <c r="AJ169" s="262">
        <v>4943</v>
      </c>
      <c r="AK169" s="352"/>
      <c r="AL169" s="261"/>
      <c r="AM169" s="262"/>
    </row>
    <row r="170" spans="2:39">
      <c r="B170" s="261" t="s">
        <v>454</v>
      </c>
      <c r="C170" s="261">
        <v>5581</v>
      </c>
      <c r="E170" s="261" t="s">
        <v>454</v>
      </c>
      <c r="F170" s="261">
        <v>5541.42</v>
      </c>
      <c r="H170" s="261" t="s">
        <v>454</v>
      </c>
      <c r="I170" s="262">
        <f>I169+18</f>
        <v>2965</v>
      </c>
      <c r="K170" s="261">
        <v>165</v>
      </c>
      <c r="L170" s="262">
        <v>1202.02</v>
      </c>
      <c r="M170" s="352"/>
      <c r="N170" s="261">
        <v>166</v>
      </c>
      <c r="O170" s="262">
        <v>1966.49</v>
      </c>
      <c r="P170" s="352"/>
      <c r="Q170" s="261">
        <v>166</v>
      </c>
      <c r="R170" s="262">
        <v>777</v>
      </c>
      <c r="S170" s="352"/>
      <c r="T170" s="261">
        <v>166</v>
      </c>
      <c r="U170" s="262">
        <v>777</v>
      </c>
      <c r="V170" s="352"/>
      <c r="W170" s="261">
        <v>166</v>
      </c>
      <c r="X170" s="262">
        <v>1384.2</v>
      </c>
      <c r="Y170" s="352"/>
      <c r="Z170" s="261">
        <v>166</v>
      </c>
      <c r="AA170" s="262">
        <v>1420.82</v>
      </c>
      <c r="AB170" s="352"/>
      <c r="AC170" s="261">
        <v>166</v>
      </c>
      <c r="AD170" s="262">
        <v>4144.3</v>
      </c>
      <c r="AE170" s="352"/>
      <c r="AF170" s="261">
        <v>166</v>
      </c>
      <c r="AG170" s="262">
        <v>11268.64</v>
      </c>
      <c r="AH170" s="352"/>
      <c r="AI170" s="261">
        <v>166</v>
      </c>
      <c r="AJ170" s="262">
        <v>4971</v>
      </c>
      <c r="AK170" s="352"/>
      <c r="AL170" s="261"/>
      <c r="AM170" s="262"/>
    </row>
    <row r="171" spans="2:39">
      <c r="B171" s="261" t="s">
        <v>455</v>
      </c>
      <c r="C171" s="261">
        <v>5613</v>
      </c>
      <c r="E171" s="261" t="s">
        <v>455</v>
      </c>
      <c r="F171" s="261">
        <v>5572.72</v>
      </c>
      <c r="H171" s="261" t="s">
        <v>455</v>
      </c>
      <c r="I171" s="262">
        <v>2983</v>
      </c>
      <c r="K171" s="261">
        <v>166</v>
      </c>
      <c r="L171" s="262">
        <v>1209.3399999999999</v>
      </c>
      <c r="M171" s="352"/>
      <c r="N171" s="261">
        <v>167</v>
      </c>
      <c r="O171" s="262">
        <v>1977.58</v>
      </c>
      <c r="P171" s="352"/>
      <c r="Q171" s="261">
        <v>167</v>
      </c>
      <c r="R171" s="262">
        <v>781</v>
      </c>
      <c r="S171" s="352"/>
      <c r="T171" s="261">
        <v>167</v>
      </c>
      <c r="U171" s="262">
        <v>781</v>
      </c>
      <c r="V171" s="352"/>
      <c r="W171" s="261">
        <v>167</v>
      </c>
      <c r="X171" s="262">
        <v>1391.7</v>
      </c>
      <c r="Y171" s="352"/>
      <c r="Z171" s="261">
        <v>167</v>
      </c>
      <c r="AA171" s="262">
        <v>1428.33</v>
      </c>
      <c r="AB171" s="352"/>
      <c r="AC171" s="261">
        <v>167</v>
      </c>
      <c r="AD171" s="262">
        <v>4169.96</v>
      </c>
      <c r="AE171" s="352"/>
      <c r="AF171" s="261">
        <v>167</v>
      </c>
      <c r="AG171" s="262">
        <v>11337.05</v>
      </c>
      <c r="AH171" s="352"/>
      <c r="AI171" s="261">
        <v>167</v>
      </c>
      <c r="AJ171" s="262">
        <v>5000</v>
      </c>
      <c r="AK171" s="352"/>
      <c r="AL171" s="261"/>
      <c r="AM171" s="262"/>
    </row>
    <row r="172" spans="2:39">
      <c r="B172" s="261" t="s">
        <v>456</v>
      </c>
      <c r="C172" s="261">
        <v>5644</v>
      </c>
      <c r="E172" s="261" t="s">
        <v>456</v>
      </c>
      <c r="F172" s="261">
        <v>5603.9800000000005</v>
      </c>
      <c r="H172" s="261" t="s">
        <v>456</v>
      </c>
      <c r="I172" s="262">
        <f>I171+18</f>
        <v>3001</v>
      </c>
      <c r="K172" s="261">
        <v>167</v>
      </c>
      <c r="L172" s="262">
        <v>1216.6500000000001</v>
      </c>
      <c r="M172" s="352"/>
      <c r="N172" s="261">
        <v>168</v>
      </c>
      <c r="O172" s="262">
        <v>1982.68</v>
      </c>
      <c r="P172" s="352"/>
      <c r="Q172" s="261">
        <v>168</v>
      </c>
      <c r="R172" s="262">
        <v>785</v>
      </c>
      <c r="S172" s="352"/>
      <c r="T172" s="261">
        <v>168</v>
      </c>
      <c r="U172" s="262">
        <v>785</v>
      </c>
      <c r="V172" s="352"/>
      <c r="W172" s="261">
        <v>168</v>
      </c>
      <c r="X172" s="262">
        <v>1399.3</v>
      </c>
      <c r="Y172" s="352"/>
      <c r="Z172" s="261">
        <v>168</v>
      </c>
      <c r="AA172" s="262">
        <v>1435.84</v>
      </c>
      <c r="AB172" s="352"/>
      <c r="AC172" s="261">
        <v>168</v>
      </c>
      <c r="AD172" s="262">
        <v>4195.62</v>
      </c>
      <c r="AE172" s="352"/>
      <c r="AF172" s="261">
        <v>168</v>
      </c>
      <c r="AG172" s="262">
        <v>11405.46</v>
      </c>
      <c r="AH172" s="352"/>
      <c r="AI172" s="261">
        <v>168</v>
      </c>
      <c r="AJ172" s="262">
        <v>5028</v>
      </c>
      <c r="AK172" s="352"/>
      <c r="AL172" s="261"/>
      <c r="AM172" s="262"/>
    </row>
    <row r="173" spans="2:39">
      <c r="B173" s="261" t="s">
        <v>457</v>
      </c>
      <c r="C173" s="261">
        <v>5676</v>
      </c>
      <c r="E173" s="261" t="s">
        <v>457</v>
      </c>
      <c r="F173" s="261">
        <v>5635.29</v>
      </c>
      <c r="H173" s="261" t="s">
        <v>457</v>
      </c>
      <c r="I173" s="262">
        <v>3018</v>
      </c>
      <c r="K173" s="261">
        <v>168</v>
      </c>
      <c r="L173" s="262">
        <v>1223.97</v>
      </c>
      <c r="M173" s="352"/>
      <c r="N173" s="261">
        <v>169</v>
      </c>
      <c r="O173" s="262">
        <v>1999.78</v>
      </c>
      <c r="P173" s="352"/>
      <c r="Q173" s="261">
        <v>169</v>
      </c>
      <c r="R173" s="262">
        <v>789</v>
      </c>
      <c r="S173" s="352"/>
      <c r="T173" s="261">
        <v>169</v>
      </c>
      <c r="U173" s="262">
        <v>789</v>
      </c>
      <c r="V173" s="352"/>
      <c r="W173" s="261">
        <v>169</v>
      </c>
      <c r="X173" s="262">
        <v>1406.8</v>
      </c>
      <c r="Y173" s="352"/>
      <c r="Z173" s="261">
        <v>169</v>
      </c>
      <c r="AA173" s="262">
        <v>1443.34</v>
      </c>
      <c r="AB173" s="352"/>
      <c r="AC173" s="261">
        <v>169</v>
      </c>
      <c r="AD173" s="262">
        <v>4221.28</v>
      </c>
      <c r="AE173" s="352"/>
      <c r="AF173" s="261">
        <v>169</v>
      </c>
      <c r="AG173" s="262">
        <v>11473.87</v>
      </c>
      <c r="AH173" s="352"/>
      <c r="AI173" s="261">
        <v>169</v>
      </c>
      <c r="AJ173" s="262">
        <v>5056</v>
      </c>
      <c r="AK173" s="352"/>
      <c r="AL173" s="261"/>
      <c r="AM173" s="262"/>
    </row>
    <row r="174" spans="2:39">
      <c r="B174" s="261" t="s">
        <v>458</v>
      </c>
      <c r="C174" s="261">
        <v>5707</v>
      </c>
      <c r="E174" s="261" t="s">
        <v>458</v>
      </c>
      <c r="F174" s="261">
        <v>5666.55</v>
      </c>
      <c r="H174" s="261" t="s">
        <v>458</v>
      </c>
      <c r="I174" s="262">
        <f>I173+18</f>
        <v>3036</v>
      </c>
      <c r="K174" s="261">
        <v>169</v>
      </c>
      <c r="L174" s="262">
        <v>1231.29</v>
      </c>
      <c r="M174" s="352"/>
      <c r="N174" s="261">
        <v>170</v>
      </c>
      <c r="O174" s="262">
        <v>2010.87</v>
      </c>
      <c r="P174" s="352"/>
      <c r="Q174" s="261">
        <v>170</v>
      </c>
      <c r="R174" s="262">
        <v>793</v>
      </c>
      <c r="S174" s="352"/>
      <c r="T174" s="261">
        <v>170</v>
      </c>
      <c r="U174" s="262">
        <v>794</v>
      </c>
      <c r="V174" s="352"/>
      <c r="W174" s="261">
        <v>170</v>
      </c>
      <c r="X174" s="262">
        <v>1414.3</v>
      </c>
      <c r="Y174" s="352"/>
      <c r="Z174" s="261">
        <v>170</v>
      </c>
      <c r="AA174" s="262">
        <v>1450.85</v>
      </c>
      <c r="AB174" s="352"/>
      <c r="AC174" s="261">
        <v>170</v>
      </c>
      <c r="AD174" s="262">
        <v>4246.9399999999996</v>
      </c>
      <c r="AE174" s="352"/>
      <c r="AF174" s="261">
        <v>170</v>
      </c>
      <c r="AG174" s="262">
        <v>11542.28</v>
      </c>
      <c r="AH174" s="352"/>
      <c r="AI174" s="261">
        <v>170</v>
      </c>
      <c r="AJ174" s="262">
        <v>5085</v>
      </c>
      <c r="AK174" s="352"/>
      <c r="AL174" s="261"/>
      <c r="AM174" s="262"/>
    </row>
    <row r="175" spans="2:39">
      <c r="B175" s="261" t="s">
        <v>459</v>
      </c>
      <c r="C175" s="261">
        <v>5738</v>
      </c>
      <c r="E175" s="261" t="s">
        <v>459</v>
      </c>
      <c r="F175" s="261">
        <v>5697.86</v>
      </c>
      <c r="H175" s="261" t="s">
        <v>459</v>
      </c>
      <c r="I175" s="262">
        <v>3053</v>
      </c>
      <c r="K175" s="261">
        <v>170</v>
      </c>
      <c r="L175" s="262">
        <v>1238.5999999999999</v>
      </c>
      <c r="M175" s="352"/>
      <c r="N175" s="261">
        <v>171</v>
      </c>
      <c r="O175" s="262">
        <v>2021.97</v>
      </c>
      <c r="P175" s="352"/>
      <c r="Q175" s="261">
        <v>171</v>
      </c>
      <c r="R175" s="262">
        <v>798</v>
      </c>
      <c r="S175" s="352"/>
      <c r="T175" s="261">
        <v>171</v>
      </c>
      <c r="U175" s="262">
        <v>798</v>
      </c>
      <c r="V175" s="352"/>
      <c r="W175" s="261">
        <v>171</v>
      </c>
      <c r="X175" s="262">
        <v>1421.8</v>
      </c>
      <c r="Y175" s="352"/>
      <c r="Z175" s="261">
        <v>171</v>
      </c>
      <c r="AA175" s="262">
        <v>1458.36</v>
      </c>
      <c r="AB175" s="352"/>
      <c r="AC175" s="261">
        <v>171</v>
      </c>
      <c r="AD175" s="262">
        <v>4272.6099999999997</v>
      </c>
      <c r="AE175" s="352"/>
      <c r="AF175" s="261">
        <v>171</v>
      </c>
      <c r="AG175" s="262">
        <v>11610.69</v>
      </c>
      <c r="AH175" s="352"/>
      <c r="AI175" s="261">
        <v>171</v>
      </c>
      <c r="AJ175" s="262">
        <v>5113</v>
      </c>
      <c r="AK175" s="352"/>
      <c r="AL175" s="261"/>
      <c r="AM175" s="262"/>
    </row>
    <row r="176" spans="2:39">
      <c r="B176" s="261" t="s">
        <v>460</v>
      </c>
      <c r="C176" s="261">
        <v>5769</v>
      </c>
      <c r="E176" s="261" t="s">
        <v>460</v>
      </c>
      <c r="F176" s="261">
        <v>5729.12</v>
      </c>
      <c r="H176" s="261" t="s">
        <v>460</v>
      </c>
      <c r="I176" s="262">
        <f>I175+18</f>
        <v>3071</v>
      </c>
      <c r="K176" s="261">
        <v>171</v>
      </c>
      <c r="L176" s="262">
        <v>1245.93</v>
      </c>
      <c r="M176" s="352"/>
      <c r="N176" s="261">
        <v>172</v>
      </c>
      <c r="O176" s="262">
        <v>2033.06</v>
      </c>
      <c r="P176" s="352"/>
      <c r="Q176" s="261">
        <v>172</v>
      </c>
      <c r="R176" s="262">
        <v>802</v>
      </c>
      <c r="S176" s="352"/>
      <c r="T176" s="261">
        <v>172</v>
      </c>
      <c r="U176" s="262">
        <v>802</v>
      </c>
      <c r="V176" s="352"/>
      <c r="W176" s="261">
        <v>172</v>
      </c>
      <c r="X176" s="262">
        <v>1429.3</v>
      </c>
      <c r="Y176" s="352"/>
      <c r="Z176" s="261">
        <v>172</v>
      </c>
      <c r="AA176" s="262">
        <v>1465.86</v>
      </c>
      <c r="AB176" s="352"/>
      <c r="AC176" s="261">
        <v>172</v>
      </c>
      <c r="AD176" s="262">
        <v>4298.2700000000004</v>
      </c>
      <c r="AE176" s="352"/>
      <c r="AF176" s="261">
        <v>172</v>
      </c>
      <c r="AG176" s="262">
        <v>11679.09</v>
      </c>
      <c r="AH176" s="352"/>
      <c r="AI176" s="261">
        <v>172</v>
      </c>
      <c r="AJ176" s="262">
        <v>5142</v>
      </c>
      <c r="AK176" s="352"/>
      <c r="AL176" s="261"/>
      <c r="AM176" s="262"/>
    </row>
    <row r="177" spans="2:39">
      <c r="B177" s="261" t="s">
        <v>461</v>
      </c>
      <c r="C177" s="261">
        <v>5801</v>
      </c>
      <c r="E177" s="261" t="s">
        <v>461</v>
      </c>
      <c r="F177" s="261">
        <v>5760.42</v>
      </c>
      <c r="H177" s="261" t="s">
        <v>461</v>
      </c>
      <c r="I177" s="262">
        <v>3089</v>
      </c>
      <c r="K177" s="261">
        <v>172</v>
      </c>
      <c r="L177" s="262">
        <v>1253.25</v>
      </c>
      <c r="M177" s="352"/>
      <c r="N177" s="261">
        <v>173</v>
      </c>
      <c r="O177" s="262">
        <v>2044.16</v>
      </c>
      <c r="P177" s="352"/>
      <c r="Q177" s="261">
        <v>173</v>
      </c>
      <c r="R177" s="262">
        <v>806</v>
      </c>
      <c r="S177" s="352"/>
      <c r="T177" s="261">
        <v>173</v>
      </c>
      <c r="U177" s="262">
        <v>806</v>
      </c>
      <c r="V177" s="352"/>
      <c r="W177" s="261">
        <v>173</v>
      </c>
      <c r="X177" s="262">
        <v>1436.8</v>
      </c>
      <c r="Y177" s="352"/>
      <c r="Z177" s="261">
        <v>173</v>
      </c>
      <c r="AA177" s="262">
        <v>1473.37</v>
      </c>
      <c r="AB177" s="352"/>
      <c r="AC177" s="261">
        <v>173</v>
      </c>
      <c r="AD177" s="262">
        <v>4323.93</v>
      </c>
      <c r="AE177" s="352"/>
      <c r="AF177" s="261">
        <v>173</v>
      </c>
      <c r="AG177" s="262">
        <v>11747.5</v>
      </c>
      <c r="AH177" s="352"/>
      <c r="AI177" s="261">
        <v>173</v>
      </c>
      <c r="AJ177" s="262">
        <v>5170</v>
      </c>
      <c r="AK177" s="352"/>
      <c r="AL177" s="261"/>
      <c r="AM177" s="262"/>
    </row>
    <row r="178" spans="2:39">
      <c r="B178" s="261" t="s">
        <v>462</v>
      </c>
      <c r="C178" s="261">
        <v>5832</v>
      </c>
      <c r="E178" s="261" t="s">
        <v>462</v>
      </c>
      <c r="F178" s="261">
        <v>5791.68</v>
      </c>
      <c r="H178" s="261" t="s">
        <v>462</v>
      </c>
      <c r="I178" s="262">
        <f>I177+18</f>
        <v>3107</v>
      </c>
      <c r="K178" s="261">
        <v>173</v>
      </c>
      <c r="L178" s="262">
        <v>1260.57</v>
      </c>
      <c r="M178" s="352"/>
      <c r="N178" s="261">
        <v>174</v>
      </c>
      <c r="O178" s="262">
        <v>2055.2600000000002</v>
      </c>
      <c r="P178" s="352"/>
      <c r="Q178" s="261">
        <v>174</v>
      </c>
      <c r="R178" s="262">
        <v>810</v>
      </c>
      <c r="S178" s="352"/>
      <c r="T178" s="261">
        <v>174</v>
      </c>
      <c r="U178" s="262">
        <v>810</v>
      </c>
      <c r="V178" s="352"/>
      <c r="W178" s="261">
        <v>174</v>
      </c>
      <c r="X178" s="262">
        <v>1444.3</v>
      </c>
      <c r="Y178" s="352"/>
      <c r="Z178" s="261">
        <v>174</v>
      </c>
      <c r="AA178" s="262">
        <v>1480.88</v>
      </c>
      <c r="AB178" s="352"/>
      <c r="AC178" s="261">
        <v>174</v>
      </c>
      <c r="AD178" s="262">
        <v>4349.59</v>
      </c>
      <c r="AE178" s="352"/>
      <c r="AF178" s="261">
        <v>174</v>
      </c>
      <c r="AG178" s="262">
        <v>11815.91</v>
      </c>
      <c r="AH178" s="352"/>
      <c r="AI178" s="261">
        <v>174</v>
      </c>
      <c r="AJ178" s="262">
        <v>5199</v>
      </c>
      <c r="AK178" s="352"/>
      <c r="AL178" s="261"/>
      <c r="AM178" s="262"/>
    </row>
    <row r="179" spans="2:39">
      <c r="B179" s="261" t="s">
        <v>463</v>
      </c>
      <c r="C179" s="261">
        <v>5864</v>
      </c>
      <c r="E179" s="261" t="s">
        <v>463</v>
      </c>
      <c r="F179" s="261">
        <v>5822.99</v>
      </c>
      <c r="H179" s="261" t="s">
        <v>463</v>
      </c>
      <c r="I179" s="262">
        <v>3124</v>
      </c>
      <c r="K179" s="261">
        <v>174</v>
      </c>
      <c r="L179" s="262">
        <v>1267.8900000000001</v>
      </c>
      <c r="M179" s="352"/>
      <c r="N179" s="261">
        <v>175</v>
      </c>
      <c r="O179" s="262">
        <v>2066.35</v>
      </c>
      <c r="P179" s="352"/>
      <c r="Q179" s="261">
        <v>175</v>
      </c>
      <c r="R179" s="262">
        <v>814</v>
      </c>
      <c r="S179" s="352"/>
      <c r="T179" s="261">
        <v>175</v>
      </c>
      <c r="U179" s="262">
        <v>814</v>
      </c>
      <c r="V179" s="352"/>
      <c r="W179" s="261">
        <v>175</v>
      </c>
      <c r="X179" s="262">
        <v>1451.8</v>
      </c>
      <c r="Y179" s="352"/>
      <c r="Z179" s="261">
        <v>175</v>
      </c>
      <c r="AA179" s="262">
        <v>1488.38</v>
      </c>
      <c r="AB179" s="352"/>
      <c r="AC179" s="261">
        <v>175</v>
      </c>
      <c r="AD179" s="262">
        <v>4375.25</v>
      </c>
      <c r="AE179" s="352"/>
      <c r="AF179" s="261">
        <v>175</v>
      </c>
      <c r="AG179" s="262">
        <v>11884.32</v>
      </c>
      <c r="AH179" s="352"/>
      <c r="AI179" s="261">
        <v>175</v>
      </c>
      <c r="AJ179" s="262">
        <v>5227</v>
      </c>
      <c r="AK179" s="352"/>
      <c r="AL179" s="261"/>
      <c r="AM179" s="262"/>
    </row>
    <row r="180" spans="2:39">
      <c r="B180" s="261" t="s">
        <v>464</v>
      </c>
      <c r="C180" s="261">
        <v>5895</v>
      </c>
      <c r="E180" s="261" t="s">
        <v>464</v>
      </c>
      <c r="F180" s="261">
        <v>5854.25</v>
      </c>
      <c r="H180" s="261" t="s">
        <v>464</v>
      </c>
      <c r="I180" s="262">
        <f>I179+18</f>
        <v>3142</v>
      </c>
      <c r="K180" s="261">
        <v>175</v>
      </c>
      <c r="L180" s="262">
        <v>1275.2</v>
      </c>
      <c r="M180" s="352"/>
      <c r="N180" s="261">
        <v>176</v>
      </c>
      <c r="O180" s="262">
        <v>2077.4499999999998</v>
      </c>
      <c r="P180" s="352"/>
      <c r="Q180" s="261">
        <v>176</v>
      </c>
      <c r="R180" s="262">
        <v>818</v>
      </c>
      <c r="S180" s="352"/>
      <c r="T180" s="261">
        <v>176</v>
      </c>
      <c r="U180" s="262">
        <v>818</v>
      </c>
      <c r="V180" s="352"/>
      <c r="W180" s="261">
        <v>176</v>
      </c>
      <c r="X180" s="262">
        <v>1459.3</v>
      </c>
      <c r="Y180" s="352"/>
      <c r="Z180" s="261">
        <v>176</v>
      </c>
      <c r="AA180" s="262">
        <v>1495.89</v>
      </c>
      <c r="AB180" s="352"/>
      <c r="AC180" s="261">
        <v>176</v>
      </c>
      <c r="AD180" s="262">
        <v>4400.92</v>
      </c>
      <c r="AE180" s="352"/>
      <c r="AF180" s="261">
        <v>176</v>
      </c>
      <c r="AG180" s="262">
        <v>11952.73</v>
      </c>
      <c r="AH180" s="352"/>
      <c r="AI180" s="261">
        <v>176</v>
      </c>
      <c r="AJ180" s="262">
        <v>5255</v>
      </c>
      <c r="AK180" s="352"/>
      <c r="AL180" s="261"/>
      <c r="AM180" s="262"/>
    </row>
    <row r="181" spans="2:39">
      <c r="B181" s="261" t="s">
        <v>465</v>
      </c>
      <c r="C181" s="261">
        <v>5927</v>
      </c>
      <c r="E181" s="261" t="s">
        <v>465</v>
      </c>
      <c r="F181" s="261">
        <v>5885.56</v>
      </c>
      <c r="H181" s="261" t="s">
        <v>465</v>
      </c>
      <c r="I181" s="262">
        <v>3159</v>
      </c>
      <c r="K181" s="261">
        <v>176</v>
      </c>
      <c r="L181" s="262">
        <v>1282.52</v>
      </c>
      <c r="M181" s="352"/>
      <c r="N181" s="261">
        <v>177</v>
      </c>
      <c r="O181" s="262">
        <v>2088.54</v>
      </c>
      <c r="P181" s="352"/>
      <c r="Q181" s="261">
        <v>177</v>
      </c>
      <c r="R181" s="262">
        <v>822</v>
      </c>
      <c r="S181" s="352"/>
      <c r="T181" s="261">
        <v>177</v>
      </c>
      <c r="U181" s="262">
        <v>823</v>
      </c>
      <c r="V181" s="352"/>
      <c r="W181" s="261">
        <v>177</v>
      </c>
      <c r="X181" s="262">
        <v>1466.8</v>
      </c>
      <c r="Y181" s="352"/>
      <c r="Z181" s="261">
        <v>177</v>
      </c>
      <c r="AA181" s="262">
        <v>1503.4</v>
      </c>
      <c r="AB181" s="352"/>
      <c r="AC181" s="261">
        <v>177</v>
      </c>
      <c r="AD181" s="262">
        <v>4426.58</v>
      </c>
      <c r="AE181" s="352"/>
      <c r="AF181" s="261">
        <v>177</v>
      </c>
      <c r="AG181" s="262">
        <v>12021.14</v>
      </c>
      <c r="AH181" s="352"/>
      <c r="AI181" s="261">
        <v>177</v>
      </c>
      <c r="AJ181" s="262">
        <v>5284</v>
      </c>
      <c r="AK181" s="352"/>
      <c r="AL181" s="261"/>
      <c r="AM181" s="262"/>
    </row>
    <row r="182" spans="2:39">
      <c r="B182" s="261" t="s">
        <v>466</v>
      </c>
      <c r="C182" s="261">
        <v>5958</v>
      </c>
      <c r="E182" s="261" t="s">
        <v>466</v>
      </c>
      <c r="F182" s="261">
        <v>5916.8200000000006</v>
      </c>
      <c r="H182" s="261" t="s">
        <v>466</v>
      </c>
      <c r="I182" s="262">
        <f>I181+18</f>
        <v>3177</v>
      </c>
      <c r="K182" s="261">
        <v>177</v>
      </c>
      <c r="L182" s="262">
        <v>1289.8399999999999</v>
      </c>
      <c r="M182" s="352"/>
      <c r="N182" s="261">
        <v>178</v>
      </c>
      <c r="O182" s="262">
        <v>2099.64</v>
      </c>
      <c r="P182" s="352"/>
      <c r="Q182" s="261">
        <v>178</v>
      </c>
      <c r="R182" s="262">
        <v>826</v>
      </c>
      <c r="S182" s="352"/>
      <c r="T182" s="261">
        <v>178</v>
      </c>
      <c r="U182" s="262">
        <v>827</v>
      </c>
      <c r="V182" s="352"/>
      <c r="W182" s="261">
        <v>178</v>
      </c>
      <c r="X182" s="262">
        <v>1474.3</v>
      </c>
      <c r="Y182" s="352"/>
      <c r="Z182" s="261">
        <v>178</v>
      </c>
      <c r="AA182" s="262">
        <v>1510.9</v>
      </c>
      <c r="AB182" s="352"/>
      <c r="AC182" s="261">
        <v>178</v>
      </c>
      <c r="AD182" s="262">
        <v>4452.24</v>
      </c>
      <c r="AE182" s="352"/>
      <c r="AF182" s="261">
        <v>178</v>
      </c>
      <c r="AG182" s="262">
        <v>12089.55</v>
      </c>
      <c r="AH182" s="352"/>
      <c r="AI182" s="261">
        <v>178</v>
      </c>
      <c r="AJ182" s="262">
        <v>5312</v>
      </c>
      <c r="AK182" s="352"/>
      <c r="AL182" s="261"/>
      <c r="AM182" s="262"/>
    </row>
    <row r="183" spans="2:39">
      <c r="B183" s="261" t="s">
        <v>467</v>
      </c>
      <c r="C183" s="261">
        <v>5989</v>
      </c>
      <c r="E183" s="261" t="s">
        <v>467</v>
      </c>
      <c r="F183" s="261">
        <v>5948.15</v>
      </c>
      <c r="H183" s="261" t="s">
        <v>467</v>
      </c>
      <c r="I183" s="262">
        <v>3194</v>
      </c>
      <c r="K183" s="261">
        <v>178</v>
      </c>
      <c r="L183" s="262">
        <v>1297.1600000000001</v>
      </c>
      <c r="M183" s="352"/>
      <c r="N183" s="261">
        <v>179</v>
      </c>
      <c r="O183" s="262">
        <v>2110.73</v>
      </c>
      <c r="P183" s="352"/>
      <c r="Q183" s="261">
        <v>179</v>
      </c>
      <c r="R183" s="262">
        <v>831</v>
      </c>
      <c r="S183" s="352"/>
      <c r="T183" s="261">
        <v>179</v>
      </c>
      <c r="U183" s="262">
        <v>831</v>
      </c>
      <c r="V183" s="352"/>
      <c r="W183" s="261">
        <v>179</v>
      </c>
      <c r="X183" s="262">
        <v>1481.8</v>
      </c>
      <c r="Y183" s="352"/>
      <c r="Z183" s="261">
        <v>179</v>
      </c>
      <c r="AA183" s="262">
        <v>1518.41</v>
      </c>
      <c r="AB183" s="352"/>
      <c r="AC183" s="261">
        <v>179</v>
      </c>
      <c r="AD183" s="262">
        <v>4477.8999999999996</v>
      </c>
      <c r="AE183" s="352"/>
      <c r="AF183" s="261">
        <v>179</v>
      </c>
      <c r="AG183" s="262">
        <v>12157.96</v>
      </c>
      <c r="AH183" s="352"/>
      <c r="AI183" s="261">
        <v>179</v>
      </c>
      <c r="AJ183" s="262">
        <v>5341</v>
      </c>
      <c r="AK183" s="352"/>
      <c r="AL183" s="261"/>
      <c r="AM183" s="262"/>
    </row>
    <row r="184" spans="2:39">
      <c r="B184" s="261" t="s">
        <v>468</v>
      </c>
      <c r="C184" s="261">
        <v>6020</v>
      </c>
      <c r="E184" s="261" t="s">
        <v>468</v>
      </c>
      <c r="F184" s="261">
        <v>5979.41</v>
      </c>
      <c r="H184" s="261" t="s">
        <v>468</v>
      </c>
      <c r="I184" s="262">
        <f>I183+18</f>
        <v>3212</v>
      </c>
      <c r="K184" s="261">
        <v>179</v>
      </c>
      <c r="L184" s="262">
        <v>1304.48</v>
      </c>
      <c r="M184" s="352"/>
      <c r="N184" s="261">
        <v>180</v>
      </c>
      <c r="O184" s="262">
        <v>2121.83</v>
      </c>
      <c r="P184" s="352"/>
      <c r="Q184" s="261">
        <v>180</v>
      </c>
      <c r="R184" s="262">
        <v>835</v>
      </c>
      <c r="S184" s="352"/>
      <c r="T184" s="261">
        <v>180</v>
      </c>
      <c r="U184" s="262">
        <v>835</v>
      </c>
      <c r="V184" s="352"/>
      <c r="W184" s="261">
        <v>180</v>
      </c>
      <c r="X184" s="262">
        <v>1489.3</v>
      </c>
      <c r="Y184" s="352"/>
      <c r="Z184" s="261">
        <v>180</v>
      </c>
      <c r="AA184" s="262">
        <v>1525.92</v>
      </c>
      <c r="AB184" s="352"/>
      <c r="AC184" s="261">
        <v>180</v>
      </c>
      <c r="AD184" s="262">
        <v>4503.5600000000004</v>
      </c>
      <c r="AE184" s="352"/>
      <c r="AF184" s="261">
        <v>180</v>
      </c>
      <c r="AG184" s="262">
        <v>12226.37</v>
      </c>
      <c r="AH184" s="352"/>
      <c r="AI184" s="261">
        <v>180</v>
      </c>
      <c r="AJ184" s="262">
        <v>5369</v>
      </c>
      <c r="AK184" s="352"/>
      <c r="AL184" s="261"/>
      <c r="AM184" s="262"/>
    </row>
    <row r="185" spans="2:39">
      <c r="B185" s="261" t="s">
        <v>469</v>
      </c>
      <c r="C185" s="261">
        <v>6052</v>
      </c>
      <c r="E185" s="261" t="s">
        <v>469</v>
      </c>
      <c r="F185" s="261">
        <v>6010.74</v>
      </c>
      <c r="H185" s="261" t="s">
        <v>469</v>
      </c>
      <c r="I185" s="262">
        <v>3230</v>
      </c>
      <c r="K185" s="261">
        <v>180</v>
      </c>
      <c r="L185" s="262">
        <v>1311.8</v>
      </c>
      <c r="M185" s="352"/>
      <c r="N185" s="261">
        <v>181</v>
      </c>
      <c r="O185" s="262">
        <v>2132.9299999999998</v>
      </c>
      <c r="P185" s="352"/>
      <c r="Q185" s="261">
        <v>181</v>
      </c>
      <c r="R185" s="262">
        <v>839</v>
      </c>
      <c r="S185" s="352"/>
      <c r="T185" s="261">
        <v>181</v>
      </c>
      <c r="U185" s="262">
        <v>839</v>
      </c>
      <c r="V185" s="352"/>
      <c r="W185" s="261">
        <v>181</v>
      </c>
      <c r="X185" s="262">
        <v>1496.8</v>
      </c>
      <c r="Y185" s="352"/>
      <c r="Z185" s="261">
        <v>181</v>
      </c>
      <c r="AA185" s="262">
        <v>1533.42</v>
      </c>
      <c r="AB185" s="352"/>
      <c r="AC185" s="261">
        <v>181</v>
      </c>
      <c r="AD185" s="262">
        <v>4529.2299999999996</v>
      </c>
      <c r="AE185" s="352"/>
      <c r="AF185" s="261">
        <v>181</v>
      </c>
      <c r="AG185" s="262">
        <v>12294.78</v>
      </c>
      <c r="AH185" s="352"/>
      <c r="AI185" s="261">
        <v>181</v>
      </c>
      <c r="AJ185" s="262">
        <v>5397</v>
      </c>
      <c r="AK185" s="352"/>
      <c r="AL185" s="261"/>
      <c r="AM185" s="262"/>
    </row>
    <row r="186" spans="2:39">
      <c r="B186" s="261" t="s">
        <v>470</v>
      </c>
      <c r="C186" s="261">
        <v>6083</v>
      </c>
      <c r="E186" s="261" t="s">
        <v>470</v>
      </c>
      <c r="F186" s="261">
        <v>6042</v>
      </c>
      <c r="H186" s="261" t="s">
        <v>470</v>
      </c>
      <c r="I186" s="262">
        <f>I185+18</f>
        <v>3248</v>
      </c>
      <c r="K186" s="261">
        <v>181</v>
      </c>
      <c r="L186" s="262">
        <v>1319.12</v>
      </c>
      <c r="M186" s="352"/>
      <c r="N186" s="261">
        <v>182</v>
      </c>
      <c r="O186" s="262">
        <v>2144.02</v>
      </c>
      <c r="P186" s="352"/>
      <c r="Q186" s="261">
        <v>182</v>
      </c>
      <c r="R186" s="262">
        <v>843</v>
      </c>
      <c r="S186" s="352"/>
      <c r="T186" s="261">
        <v>182</v>
      </c>
      <c r="U186" s="262">
        <v>843</v>
      </c>
      <c r="V186" s="352"/>
      <c r="W186" s="261">
        <v>182</v>
      </c>
      <c r="X186" s="262">
        <v>1504.3</v>
      </c>
      <c r="Y186" s="352"/>
      <c r="Z186" s="261">
        <v>182</v>
      </c>
      <c r="AA186" s="262">
        <v>1540.93</v>
      </c>
      <c r="AB186" s="352"/>
      <c r="AC186" s="261">
        <v>182</v>
      </c>
      <c r="AD186" s="262">
        <v>4554.8900000000003</v>
      </c>
      <c r="AE186" s="352"/>
      <c r="AF186" s="261">
        <v>182</v>
      </c>
      <c r="AG186" s="262">
        <v>12363.18</v>
      </c>
      <c r="AH186" s="352"/>
      <c r="AI186" s="261">
        <v>182</v>
      </c>
      <c r="AJ186" s="262">
        <v>5426</v>
      </c>
      <c r="AK186" s="352"/>
      <c r="AL186" s="261"/>
      <c r="AM186" s="262"/>
    </row>
    <row r="187" spans="2:39">
      <c r="B187" s="261" t="s">
        <v>471</v>
      </c>
      <c r="C187" s="261">
        <v>6115</v>
      </c>
      <c r="E187" s="261" t="s">
        <v>471</v>
      </c>
      <c r="F187" s="261">
        <v>6073.33</v>
      </c>
      <c r="H187" s="261" t="s">
        <v>471</v>
      </c>
      <c r="I187" s="262">
        <v>3265</v>
      </c>
      <c r="K187" s="261">
        <v>182</v>
      </c>
      <c r="L187" s="262">
        <v>1326.43</v>
      </c>
      <c r="M187" s="352"/>
      <c r="N187" s="261">
        <v>183</v>
      </c>
      <c r="O187" s="262">
        <v>2155.12</v>
      </c>
      <c r="P187" s="352"/>
      <c r="Q187" s="261">
        <v>183</v>
      </c>
      <c r="R187" s="262">
        <v>847</v>
      </c>
      <c r="S187" s="352"/>
      <c r="T187" s="261">
        <v>183</v>
      </c>
      <c r="U187" s="262">
        <v>847</v>
      </c>
      <c r="V187" s="352"/>
      <c r="W187" s="261">
        <v>183</v>
      </c>
      <c r="X187" s="262">
        <v>1511.8</v>
      </c>
      <c r="Y187" s="352"/>
      <c r="Z187" s="261">
        <v>183</v>
      </c>
      <c r="AA187" s="262">
        <v>1548.44</v>
      </c>
      <c r="AB187" s="352"/>
      <c r="AC187" s="261">
        <v>183</v>
      </c>
      <c r="AD187" s="262">
        <v>4580.55</v>
      </c>
      <c r="AE187" s="352"/>
      <c r="AF187" s="261">
        <v>183</v>
      </c>
      <c r="AG187" s="262">
        <v>12431.59</v>
      </c>
      <c r="AH187" s="352"/>
      <c r="AI187" s="261">
        <v>183</v>
      </c>
      <c r="AJ187" s="262">
        <v>5454</v>
      </c>
      <c r="AK187" s="352"/>
      <c r="AL187" s="261"/>
      <c r="AM187" s="262"/>
    </row>
    <row r="188" spans="2:39">
      <c r="B188" s="261" t="s">
        <v>472</v>
      </c>
      <c r="C188" s="261">
        <v>6146</v>
      </c>
      <c r="E188" s="261" t="s">
        <v>472</v>
      </c>
      <c r="F188" s="261">
        <v>6104.59</v>
      </c>
      <c r="H188" s="261" t="s">
        <v>472</v>
      </c>
      <c r="I188" s="262">
        <f>I187+18</f>
        <v>3283</v>
      </c>
      <c r="K188" s="261">
        <v>183</v>
      </c>
      <c r="L188" s="262">
        <v>1333.75</v>
      </c>
      <c r="M188" s="352"/>
      <c r="N188" s="261">
        <v>184</v>
      </c>
      <c r="O188" s="262">
        <v>2166.21</v>
      </c>
      <c r="P188" s="352"/>
      <c r="Q188" s="261">
        <v>184</v>
      </c>
      <c r="R188" s="262">
        <v>851</v>
      </c>
      <c r="S188" s="352"/>
      <c r="T188" s="261">
        <v>184</v>
      </c>
      <c r="U188" s="262">
        <v>851</v>
      </c>
      <c r="V188" s="352"/>
      <c r="W188" s="261">
        <v>184</v>
      </c>
      <c r="X188" s="262">
        <v>1519.3</v>
      </c>
      <c r="Y188" s="352"/>
      <c r="Z188" s="261">
        <v>184</v>
      </c>
      <c r="AA188" s="262">
        <v>1555.94</v>
      </c>
      <c r="AB188" s="352"/>
      <c r="AC188" s="261">
        <v>184</v>
      </c>
      <c r="AD188" s="262">
        <v>4606.21</v>
      </c>
      <c r="AE188" s="352"/>
      <c r="AF188" s="261">
        <v>184</v>
      </c>
      <c r="AG188" s="262">
        <v>12500</v>
      </c>
      <c r="AH188" s="352"/>
      <c r="AI188" s="261">
        <v>184</v>
      </c>
      <c r="AJ188" s="262">
        <v>5483</v>
      </c>
      <c r="AK188" s="352"/>
      <c r="AL188" s="261"/>
      <c r="AM188" s="262"/>
    </row>
    <row r="189" spans="2:39">
      <c r="B189" s="261" t="s">
        <v>473</v>
      </c>
      <c r="C189" s="261">
        <v>6178</v>
      </c>
      <c r="E189" s="261" t="s">
        <v>473</v>
      </c>
      <c r="F189" s="261">
        <v>6135.91</v>
      </c>
      <c r="H189" s="261" t="s">
        <v>473</v>
      </c>
      <c r="I189" s="262">
        <v>3300</v>
      </c>
      <c r="K189" s="261">
        <v>184</v>
      </c>
      <c r="L189" s="262">
        <v>1341.07</v>
      </c>
      <c r="M189" s="352"/>
      <c r="N189" s="261">
        <v>185</v>
      </c>
      <c r="O189" s="262">
        <v>2177.31</v>
      </c>
      <c r="P189" s="352"/>
      <c r="Q189" s="261">
        <v>185</v>
      </c>
      <c r="R189" s="262">
        <v>855</v>
      </c>
      <c r="S189" s="352"/>
      <c r="T189" s="261">
        <v>185</v>
      </c>
      <c r="U189" s="262">
        <v>856</v>
      </c>
      <c r="V189" s="352"/>
      <c r="W189" s="261">
        <v>185</v>
      </c>
      <c r="X189" s="262">
        <v>1526.8</v>
      </c>
      <c r="Y189" s="352"/>
      <c r="Z189" s="261">
        <v>185</v>
      </c>
      <c r="AA189" s="262">
        <v>1563.45</v>
      </c>
      <c r="AB189" s="352"/>
      <c r="AC189" s="261">
        <v>185</v>
      </c>
      <c r="AD189" s="262">
        <v>4631.87</v>
      </c>
      <c r="AE189" s="352"/>
      <c r="AF189" s="261">
        <v>185</v>
      </c>
      <c r="AG189" s="262">
        <v>12568.41</v>
      </c>
      <c r="AH189" s="352"/>
      <c r="AI189" s="261">
        <v>185</v>
      </c>
      <c r="AJ189" s="262">
        <v>5511</v>
      </c>
      <c r="AK189" s="352"/>
      <c r="AL189" s="261"/>
      <c r="AM189" s="262"/>
    </row>
    <row r="190" spans="2:39">
      <c r="B190" s="261" t="s">
        <v>474</v>
      </c>
      <c r="C190" s="261">
        <v>6209</v>
      </c>
      <c r="E190" s="261" t="s">
        <v>474</v>
      </c>
      <c r="F190" s="261">
        <v>6167.17</v>
      </c>
      <c r="H190" s="261" t="s">
        <v>474</v>
      </c>
      <c r="I190" s="262">
        <f>I189+18</f>
        <v>3318</v>
      </c>
      <c r="K190" s="261">
        <v>185</v>
      </c>
      <c r="L190" s="262">
        <v>1348.39</v>
      </c>
      <c r="M190" s="352"/>
      <c r="N190" s="261">
        <v>186</v>
      </c>
      <c r="O190" s="262">
        <v>2188.41</v>
      </c>
      <c r="P190" s="352"/>
      <c r="Q190" s="261">
        <v>186</v>
      </c>
      <c r="R190" s="262">
        <v>860</v>
      </c>
      <c r="S190" s="352"/>
      <c r="T190" s="261">
        <v>186</v>
      </c>
      <c r="U190" s="262">
        <v>860</v>
      </c>
      <c r="V190" s="352"/>
      <c r="W190" s="261">
        <v>186</v>
      </c>
      <c r="X190" s="262">
        <v>1534.3</v>
      </c>
      <c r="Y190" s="352"/>
      <c r="Z190" s="261">
        <v>186</v>
      </c>
      <c r="AA190" s="262">
        <v>1570.96</v>
      </c>
      <c r="AB190" s="352"/>
      <c r="AC190" s="261">
        <v>186</v>
      </c>
      <c r="AD190" s="262">
        <v>4657.54</v>
      </c>
      <c r="AE190" s="352"/>
      <c r="AF190" s="261">
        <v>186</v>
      </c>
      <c r="AG190" s="262">
        <v>12636.82</v>
      </c>
      <c r="AH190" s="352"/>
      <c r="AI190" s="261">
        <v>186</v>
      </c>
      <c r="AJ190" s="262">
        <v>5539</v>
      </c>
      <c r="AK190" s="352"/>
      <c r="AL190" s="261"/>
      <c r="AM190" s="262"/>
    </row>
    <row r="191" spans="2:39">
      <c r="B191" s="261" t="s">
        <v>475</v>
      </c>
      <c r="C191" s="261">
        <v>6241</v>
      </c>
      <c r="E191" s="261" t="s">
        <v>475</v>
      </c>
      <c r="F191" s="261">
        <v>6198.89</v>
      </c>
      <c r="H191" s="261" t="s">
        <v>475</v>
      </c>
      <c r="I191" s="262">
        <v>3336</v>
      </c>
      <c r="K191" s="261">
        <v>186</v>
      </c>
      <c r="L191" s="262">
        <v>1355.71</v>
      </c>
      <c r="M191" s="352"/>
      <c r="N191" s="261">
        <v>187</v>
      </c>
      <c r="O191" s="262">
        <v>2199.5</v>
      </c>
      <c r="P191" s="352"/>
      <c r="Q191" s="261">
        <v>187</v>
      </c>
      <c r="R191" s="262">
        <v>864</v>
      </c>
      <c r="S191" s="352"/>
      <c r="T191" s="261">
        <v>187</v>
      </c>
      <c r="U191" s="262">
        <v>864</v>
      </c>
      <c r="V191" s="352"/>
      <c r="W191" s="261">
        <v>187</v>
      </c>
      <c r="X191" s="262">
        <v>1541.8</v>
      </c>
      <c r="Y191" s="352"/>
      <c r="Z191" s="261">
        <v>187</v>
      </c>
      <c r="AA191" s="262">
        <v>1578.46</v>
      </c>
      <c r="AB191" s="352"/>
      <c r="AC191" s="261">
        <v>187</v>
      </c>
      <c r="AD191" s="262">
        <v>4683.2</v>
      </c>
      <c r="AE191" s="352"/>
      <c r="AF191" s="261">
        <v>187</v>
      </c>
      <c r="AG191" s="262">
        <v>12705.23</v>
      </c>
      <c r="AH191" s="352"/>
      <c r="AI191" s="261">
        <v>187</v>
      </c>
      <c r="AJ191" s="262">
        <v>5568</v>
      </c>
      <c r="AK191" s="352"/>
      <c r="AL191" s="261"/>
      <c r="AM191" s="262"/>
    </row>
    <row r="192" spans="2:39">
      <c r="B192" s="261" t="s">
        <v>476</v>
      </c>
      <c r="C192" s="261">
        <v>6272</v>
      </c>
      <c r="E192" s="261" t="s">
        <v>476</v>
      </c>
      <c r="F192" s="261">
        <v>6230.1500000000005</v>
      </c>
      <c r="H192" s="261" t="s">
        <v>476</v>
      </c>
      <c r="I192" s="262">
        <f>I191+18</f>
        <v>3354</v>
      </c>
      <c r="K192" s="261">
        <v>187</v>
      </c>
      <c r="L192" s="262">
        <v>1363.03</v>
      </c>
      <c r="M192" s="352"/>
      <c r="N192" s="261">
        <v>188</v>
      </c>
      <c r="O192" s="262">
        <v>2210.6</v>
      </c>
      <c r="P192" s="352"/>
      <c r="Q192" s="261">
        <v>188</v>
      </c>
      <c r="R192" s="262">
        <v>868</v>
      </c>
      <c r="S192" s="352"/>
      <c r="T192" s="261">
        <v>188</v>
      </c>
      <c r="U192" s="262">
        <v>868</v>
      </c>
      <c r="V192" s="352"/>
      <c r="W192" s="261">
        <v>188</v>
      </c>
      <c r="X192" s="262">
        <v>1549.4</v>
      </c>
      <c r="Y192" s="352"/>
      <c r="Z192" s="261">
        <v>188</v>
      </c>
      <c r="AA192" s="262">
        <v>1585.97</v>
      </c>
      <c r="AB192" s="352"/>
      <c r="AC192" s="261">
        <v>188</v>
      </c>
      <c r="AD192" s="262">
        <v>4708.8599999999997</v>
      </c>
      <c r="AE192" s="352"/>
      <c r="AF192" s="261">
        <v>188</v>
      </c>
      <c r="AG192" s="262">
        <v>12773.64</v>
      </c>
      <c r="AH192" s="352"/>
      <c r="AI192" s="261">
        <v>188</v>
      </c>
      <c r="AJ192" s="262">
        <v>5596</v>
      </c>
      <c r="AK192" s="352"/>
      <c r="AL192" s="261"/>
      <c r="AM192" s="262"/>
    </row>
    <row r="193" spans="2:39">
      <c r="B193" s="261" t="s">
        <v>477</v>
      </c>
      <c r="C193" s="261">
        <v>6303</v>
      </c>
      <c r="E193" s="261" t="s">
        <v>477</v>
      </c>
      <c r="F193" s="261">
        <v>6261.09</v>
      </c>
      <c r="H193" s="261" t="s">
        <v>477</v>
      </c>
      <c r="I193" s="262">
        <v>3371</v>
      </c>
      <c r="K193" s="261">
        <v>188</v>
      </c>
      <c r="L193" s="262">
        <v>1370.35</v>
      </c>
      <c r="M193" s="352"/>
      <c r="N193" s="261">
        <v>189</v>
      </c>
      <c r="O193" s="262">
        <v>2221.69</v>
      </c>
      <c r="P193" s="352"/>
      <c r="Q193" s="261">
        <v>189</v>
      </c>
      <c r="R193" s="262">
        <v>872</v>
      </c>
      <c r="S193" s="352"/>
      <c r="T193" s="261">
        <v>189</v>
      </c>
      <c r="U193" s="262">
        <v>872</v>
      </c>
      <c r="V193" s="352"/>
      <c r="W193" s="261">
        <v>189</v>
      </c>
      <c r="X193" s="262">
        <v>1556.9</v>
      </c>
      <c r="Y193" s="352"/>
      <c r="Z193" s="261">
        <v>189</v>
      </c>
      <c r="AA193" s="262">
        <v>1593.48</v>
      </c>
      <c r="AB193" s="352"/>
      <c r="AC193" s="261">
        <v>189</v>
      </c>
      <c r="AD193" s="262">
        <v>4734.5200000000004</v>
      </c>
      <c r="AE193" s="352"/>
      <c r="AF193" s="261">
        <v>189</v>
      </c>
      <c r="AG193" s="262">
        <v>12842.05</v>
      </c>
      <c r="AH193" s="352"/>
      <c r="AI193" s="261">
        <v>189</v>
      </c>
      <c r="AJ193" s="262">
        <v>5625</v>
      </c>
      <c r="AK193" s="352"/>
      <c r="AL193" s="261"/>
      <c r="AM193" s="262"/>
    </row>
    <row r="194" spans="2:39">
      <c r="B194" s="261" t="s">
        <v>478</v>
      </c>
      <c r="C194" s="261">
        <v>6334</v>
      </c>
      <c r="E194" s="261" t="s">
        <v>478</v>
      </c>
      <c r="F194" s="261">
        <v>6292.35</v>
      </c>
      <c r="H194" s="261" t="s">
        <v>478</v>
      </c>
      <c r="I194" s="262">
        <f>I193+18</f>
        <v>3389</v>
      </c>
      <c r="K194" s="261">
        <v>189</v>
      </c>
      <c r="L194" s="262">
        <v>1377.66</v>
      </c>
      <c r="M194" s="352"/>
      <c r="N194" s="261">
        <v>190</v>
      </c>
      <c r="O194" s="262">
        <v>2232.79</v>
      </c>
      <c r="P194" s="352"/>
      <c r="Q194" s="261">
        <v>190</v>
      </c>
      <c r="R194" s="262">
        <v>876</v>
      </c>
      <c r="S194" s="352"/>
      <c r="T194" s="261">
        <v>190</v>
      </c>
      <c r="U194" s="262">
        <v>876</v>
      </c>
      <c r="V194" s="352"/>
      <c r="W194" s="261">
        <v>190</v>
      </c>
      <c r="X194" s="262">
        <v>1564.4</v>
      </c>
      <c r="Y194" s="352"/>
      <c r="Z194" s="261">
        <v>190</v>
      </c>
      <c r="AA194" s="262">
        <v>1600.98</v>
      </c>
      <c r="AB194" s="352"/>
      <c r="AC194" s="261">
        <v>190</v>
      </c>
      <c r="AD194" s="262">
        <v>4760.18</v>
      </c>
      <c r="AE194" s="352"/>
      <c r="AF194" s="261">
        <v>190</v>
      </c>
      <c r="AG194" s="262">
        <v>12910.46</v>
      </c>
      <c r="AH194" s="352"/>
      <c r="AI194" s="261">
        <v>190</v>
      </c>
      <c r="AJ194" s="262">
        <v>5653</v>
      </c>
      <c r="AK194" s="352"/>
      <c r="AL194" s="261"/>
      <c r="AM194" s="262"/>
    </row>
    <row r="195" spans="2:39">
      <c r="B195" s="261" t="s">
        <v>479</v>
      </c>
      <c r="C195" s="261">
        <v>6366</v>
      </c>
      <c r="E195" s="261" t="s">
        <v>479</v>
      </c>
      <c r="F195" s="261">
        <v>6323.67</v>
      </c>
      <c r="H195" s="261" t="s">
        <v>479</v>
      </c>
      <c r="I195" s="262">
        <v>3406</v>
      </c>
      <c r="K195" s="261">
        <v>190</v>
      </c>
      <c r="L195" s="262">
        <v>1384.98</v>
      </c>
      <c r="M195" s="352"/>
      <c r="N195" s="261">
        <v>191</v>
      </c>
      <c r="O195" s="262">
        <v>2243.88</v>
      </c>
      <c r="P195" s="352"/>
      <c r="Q195" s="261">
        <v>191</v>
      </c>
      <c r="R195" s="262">
        <v>880</v>
      </c>
      <c r="S195" s="352"/>
      <c r="T195" s="261">
        <v>191</v>
      </c>
      <c r="U195" s="262">
        <v>880</v>
      </c>
      <c r="V195" s="352"/>
      <c r="W195" s="261">
        <v>191</v>
      </c>
      <c r="X195" s="262">
        <v>1571.9</v>
      </c>
      <c r="Y195" s="352"/>
      <c r="Z195" s="261">
        <v>191</v>
      </c>
      <c r="AA195" s="262">
        <v>1608.49</v>
      </c>
      <c r="AB195" s="352"/>
      <c r="AC195" s="261">
        <v>191</v>
      </c>
      <c r="AD195" s="262">
        <v>4785.8500000000004</v>
      </c>
      <c r="AE195" s="352"/>
      <c r="AF195" s="261">
        <v>191</v>
      </c>
      <c r="AG195" s="262">
        <v>12978.87</v>
      </c>
      <c r="AH195" s="352"/>
      <c r="AI195" s="261">
        <v>191</v>
      </c>
      <c r="AJ195" s="262">
        <v>5681</v>
      </c>
      <c r="AK195" s="352"/>
      <c r="AL195" s="261"/>
      <c r="AM195" s="262"/>
    </row>
    <row r="196" spans="2:39">
      <c r="B196" s="261" t="s">
        <v>480</v>
      </c>
      <c r="C196" s="261">
        <v>6397</v>
      </c>
      <c r="E196" s="261" t="s">
        <v>480</v>
      </c>
      <c r="F196" s="261">
        <v>6354.93</v>
      </c>
      <c r="H196" s="261" t="s">
        <v>480</v>
      </c>
      <c r="I196" s="262">
        <f>I195+18</f>
        <v>3424</v>
      </c>
      <c r="K196" s="261">
        <v>191</v>
      </c>
      <c r="L196" s="262">
        <v>1392.3</v>
      </c>
      <c r="M196" s="352"/>
      <c r="N196" s="261">
        <v>192</v>
      </c>
      <c r="O196" s="262">
        <v>2254.98</v>
      </c>
      <c r="P196" s="352"/>
      <c r="Q196" s="261">
        <v>192</v>
      </c>
      <c r="R196" s="262">
        <v>884</v>
      </c>
      <c r="S196" s="352"/>
      <c r="T196" s="261">
        <v>192</v>
      </c>
      <c r="U196" s="262">
        <v>885</v>
      </c>
      <c r="V196" s="352"/>
      <c r="W196" s="261">
        <v>192</v>
      </c>
      <c r="X196" s="262">
        <v>1579.4</v>
      </c>
      <c r="Y196" s="352"/>
      <c r="Z196" s="261">
        <v>192</v>
      </c>
      <c r="AA196" s="262">
        <v>1616</v>
      </c>
      <c r="AB196" s="352"/>
      <c r="AC196" s="261">
        <v>192</v>
      </c>
      <c r="AD196" s="262">
        <v>4811.51</v>
      </c>
      <c r="AE196" s="352"/>
      <c r="AF196" s="261">
        <v>192</v>
      </c>
      <c r="AG196" s="262">
        <v>13047.27</v>
      </c>
      <c r="AH196" s="352"/>
      <c r="AI196" s="261">
        <v>192</v>
      </c>
      <c r="AJ196" s="262">
        <v>5710</v>
      </c>
      <c r="AK196" s="352"/>
      <c r="AL196" s="261"/>
      <c r="AM196" s="262"/>
    </row>
    <row r="197" spans="2:39">
      <c r="B197" s="261" t="s">
        <v>481</v>
      </c>
      <c r="C197" s="261">
        <v>6429</v>
      </c>
      <c r="E197" s="261" t="s">
        <v>481</v>
      </c>
      <c r="F197" s="261">
        <v>6386.26</v>
      </c>
      <c r="H197" s="261" t="s">
        <v>481</v>
      </c>
      <c r="I197" s="262">
        <v>3441</v>
      </c>
      <c r="K197" s="261">
        <v>192</v>
      </c>
      <c r="L197" s="262">
        <v>1399.61</v>
      </c>
      <c r="M197" s="352"/>
      <c r="N197" s="261">
        <v>193</v>
      </c>
      <c r="O197" s="262">
        <v>2266.08</v>
      </c>
      <c r="P197" s="352"/>
      <c r="Q197" s="261">
        <v>193</v>
      </c>
      <c r="R197" s="262">
        <v>888</v>
      </c>
      <c r="S197" s="352"/>
      <c r="T197" s="261">
        <v>193</v>
      </c>
      <c r="U197" s="262">
        <v>889</v>
      </c>
      <c r="V197" s="352"/>
      <c r="W197" s="261">
        <v>193</v>
      </c>
      <c r="X197" s="262">
        <v>1586.9</v>
      </c>
      <c r="Y197" s="352"/>
      <c r="Z197" s="261">
        <v>193</v>
      </c>
      <c r="AA197" s="262">
        <v>1623.51</v>
      </c>
      <c r="AB197" s="352"/>
      <c r="AC197" s="261">
        <v>193</v>
      </c>
      <c r="AD197" s="262">
        <v>4837.17</v>
      </c>
      <c r="AE197" s="352"/>
      <c r="AF197" s="261">
        <v>193</v>
      </c>
      <c r="AG197" s="262">
        <v>13115.68</v>
      </c>
      <c r="AH197" s="352"/>
      <c r="AI197" s="261">
        <v>193</v>
      </c>
      <c r="AJ197" s="262">
        <v>5738</v>
      </c>
      <c r="AK197" s="352"/>
      <c r="AL197" s="261"/>
      <c r="AM197" s="262"/>
    </row>
    <row r="198" spans="2:39">
      <c r="B198" s="261" t="s">
        <v>482</v>
      </c>
      <c r="C198" s="261">
        <v>6460</v>
      </c>
      <c r="E198" s="261" t="s">
        <v>482</v>
      </c>
      <c r="F198" s="261">
        <v>6417.52</v>
      </c>
      <c r="H198" s="261" t="s">
        <v>482</v>
      </c>
      <c r="I198" s="262">
        <f>I197+18</f>
        <v>3459</v>
      </c>
      <c r="K198" s="261">
        <v>193</v>
      </c>
      <c r="L198" s="262">
        <v>1406.94</v>
      </c>
      <c r="M198" s="352"/>
      <c r="N198" s="261">
        <v>194</v>
      </c>
      <c r="O198" s="262">
        <v>2277.17</v>
      </c>
      <c r="P198" s="352"/>
      <c r="Q198" s="261">
        <v>194</v>
      </c>
      <c r="R198" s="262">
        <v>893</v>
      </c>
      <c r="S198" s="352"/>
      <c r="T198" s="261">
        <v>194</v>
      </c>
      <c r="U198" s="262">
        <v>893</v>
      </c>
      <c r="V198" s="352"/>
      <c r="W198" s="261">
        <v>194</v>
      </c>
      <c r="X198" s="262">
        <v>1594.4</v>
      </c>
      <c r="Y198" s="352"/>
      <c r="Z198" s="261">
        <v>194</v>
      </c>
      <c r="AA198" s="262">
        <v>1631.01</v>
      </c>
      <c r="AB198" s="352"/>
      <c r="AC198" s="261">
        <v>194</v>
      </c>
      <c r="AD198" s="262">
        <v>4862.83</v>
      </c>
      <c r="AE198" s="352"/>
      <c r="AF198" s="261">
        <v>194</v>
      </c>
      <c r="AG198" s="262">
        <v>13184.09</v>
      </c>
      <c r="AH198" s="352"/>
      <c r="AI198" s="261">
        <v>194</v>
      </c>
      <c r="AJ198" s="262">
        <v>5767</v>
      </c>
      <c r="AK198" s="352"/>
      <c r="AL198" s="261"/>
      <c r="AM198" s="262"/>
    </row>
    <row r="199" spans="2:39">
      <c r="B199" s="261" t="s">
        <v>483</v>
      </c>
      <c r="C199" s="261">
        <v>6492</v>
      </c>
      <c r="E199" s="261" t="s">
        <v>483</v>
      </c>
      <c r="F199" s="261">
        <v>6448.85</v>
      </c>
      <c r="H199" s="261" t="s">
        <v>483</v>
      </c>
      <c r="I199" s="262">
        <v>3477</v>
      </c>
      <c r="K199" s="261">
        <v>194</v>
      </c>
      <c r="L199" s="262">
        <v>1414.25</v>
      </c>
      <c r="M199" s="352"/>
      <c r="N199" s="261">
        <v>195</v>
      </c>
      <c r="O199" s="262">
        <v>2288.27</v>
      </c>
      <c r="P199" s="352"/>
      <c r="Q199" s="261">
        <v>195</v>
      </c>
      <c r="R199" s="262">
        <v>897</v>
      </c>
      <c r="S199" s="352"/>
      <c r="T199" s="261">
        <v>195</v>
      </c>
      <c r="U199" s="262">
        <v>897</v>
      </c>
      <c r="V199" s="352"/>
      <c r="W199" s="261">
        <v>195</v>
      </c>
      <c r="X199" s="262">
        <v>1601.9</v>
      </c>
      <c r="Y199" s="352"/>
      <c r="Z199" s="261">
        <v>195</v>
      </c>
      <c r="AA199" s="262">
        <v>1638.52</v>
      </c>
      <c r="AB199" s="352"/>
      <c r="AC199" s="261">
        <v>195</v>
      </c>
      <c r="AD199" s="262">
        <v>4888.49</v>
      </c>
      <c r="AE199" s="352"/>
      <c r="AF199" s="261">
        <v>195</v>
      </c>
      <c r="AG199" s="262">
        <v>13252.5</v>
      </c>
      <c r="AH199" s="352"/>
      <c r="AI199" s="261">
        <v>195</v>
      </c>
      <c r="AJ199" s="262">
        <v>5795</v>
      </c>
      <c r="AK199" s="352"/>
      <c r="AL199" s="261"/>
      <c r="AM199" s="262"/>
    </row>
    <row r="200" spans="2:39">
      <c r="B200" s="261" t="s">
        <v>484</v>
      </c>
      <c r="C200" s="261">
        <v>6523</v>
      </c>
      <c r="E200" s="261" t="s">
        <v>484</v>
      </c>
      <c r="F200" s="261">
        <v>6480.1100000000006</v>
      </c>
      <c r="H200" s="261" t="s">
        <v>484</v>
      </c>
      <c r="I200" s="262">
        <f>I199+18</f>
        <v>3495</v>
      </c>
      <c r="K200" s="261">
        <v>195</v>
      </c>
      <c r="L200" s="262">
        <v>1421.57</v>
      </c>
      <c r="M200" s="352"/>
      <c r="N200" s="261">
        <v>196</v>
      </c>
      <c r="O200" s="262">
        <v>2299.36</v>
      </c>
      <c r="P200" s="352"/>
      <c r="Q200" s="261">
        <v>196</v>
      </c>
      <c r="R200" s="262">
        <v>901</v>
      </c>
      <c r="S200" s="352"/>
      <c r="T200" s="261">
        <v>196</v>
      </c>
      <c r="U200" s="262">
        <v>901</v>
      </c>
      <c r="V200" s="352"/>
      <c r="W200" s="261">
        <v>196</v>
      </c>
      <c r="X200" s="262">
        <v>1609.4</v>
      </c>
      <c r="Y200" s="352"/>
      <c r="Z200" s="261">
        <v>196</v>
      </c>
      <c r="AA200" s="262">
        <v>1646.02</v>
      </c>
      <c r="AB200" s="352"/>
      <c r="AC200" s="261">
        <v>196</v>
      </c>
      <c r="AD200" s="262">
        <v>4914.16</v>
      </c>
      <c r="AE200" s="352"/>
      <c r="AF200" s="261">
        <v>196</v>
      </c>
      <c r="AG200" s="262">
        <v>13320.91</v>
      </c>
      <c r="AH200" s="352"/>
      <c r="AI200" s="261">
        <v>196</v>
      </c>
      <c r="AJ200" s="262">
        <v>5823</v>
      </c>
      <c r="AK200" s="352"/>
      <c r="AL200" s="261"/>
      <c r="AM200" s="262"/>
    </row>
    <row r="201" spans="2:39">
      <c r="B201" s="261" t="s">
        <v>485</v>
      </c>
      <c r="C201" s="261">
        <v>6554</v>
      </c>
      <c r="E201" s="261" t="s">
        <v>485</v>
      </c>
      <c r="F201" s="261">
        <v>6511.43</v>
      </c>
      <c r="H201" s="261" t="s">
        <v>485</v>
      </c>
      <c r="I201" s="262">
        <v>3512</v>
      </c>
      <c r="K201" s="261">
        <v>196</v>
      </c>
      <c r="L201" s="262">
        <v>1428.87</v>
      </c>
      <c r="M201" s="352"/>
      <c r="N201" s="261">
        <v>197</v>
      </c>
      <c r="O201" s="262">
        <v>2310.46</v>
      </c>
      <c r="P201" s="352"/>
      <c r="Q201" s="261">
        <v>197</v>
      </c>
      <c r="R201" s="262">
        <v>905</v>
      </c>
      <c r="S201" s="352"/>
      <c r="T201" s="261">
        <v>197</v>
      </c>
      <c r="U201" s="262">
        <v>905</v>
      </c>
      <c r="V201" s="352"/>
      <c r="W201" s="261">
        <v>197</v>
      </c>
      <c r="X201" s="262">
        <v>1616.9</v>
      </c>
      <c r="Y201" s="352"/>
      <c r="Z201" s="261">
        <v>197</v>
      </c>
      <c r="AA201" s="262">
        <v>1653.53</v>
      </c>
      <c r="AB201" s="352"/>
      <c r="AC201" s="261">
        <v>197</v>
      </c>
      <c r="AD201" s="262">
        <v>4939.82</v>
      </c>
      <c r="AE201" s="352"/>
      <c r="AF201" s="261">
        <v>197</v>
      </c>
      <c r="AG201" s="262">
        <v>13389.32</v>
      </c>
      <c r="AH201" s="352"/>
      <c r="AI201" s="261">
        <v>197</v>
      </c>
      <c r="AJ201" s="262">
        <v>5852</v>
      </c>
      <c r="AK201" s="352"/>
      <c r="AL201" s="261"/>
      <c r="AM201" s="262"/>
    </row>
    <row r="202" spans="2:39">
      <c r="B202" s="261" t="s">
        <v>486</v>
      </c>
      <c r="C202" s="261">
        <v>6585</v>
      </c>
      <c r="E202" s="261" t="s">
        <v>486</v>
      </c>
      <c r="F202" s="261">
        <v>6542.6900000000005</v>
      </c>
      <c r="H202" s="261" t="s">
        <v>486</v>
      </c>
      <c r="I202" s="262">
        <f>I201+18</f>
        <v>3530</v>
      </c>
      <c r="K202" s="261">
        <v>197</v>
      </c>
      <c r="L202" s="262">
        <v>1436.18</v>
      </c>
      <c r="M202" s="352"/>
      <c r="N202" s="261">
        <v>198</v>
      </c>
      <c r="O202" s="262">
        <v>2321.56</v>
      </c>
      <c r="P202" s="352"/>
      <c r="Q202" s="261">
        <v>198</v>
      </c>
      <c r="R202" s="262">
        <v>909</v>
      </c>
      <c r="S202" s="352"/>
      <c r="T202" s="261">
        <v>198</v>
      </c>
      <c r="U202" s="262">
        <v>909</v>
      </c>
      <c r="V202" s="352"/>
      <c r="W202" s="261">
        <v>198</v>
      </c>
      <c r="X202" s="262">
        <v>1624.4</v>
      </c>
      <c r="Y202" s="352"/>
      <c r="Z202" s="261">
        <v>198</v>
      </c>
      <c r="AA202" s="262">
        <v>1661.04</v>
      </c>
      <c r="AB202" s="352"/>
      <c r="AC202" s="261">
        <v>198</v>
      </c>
      <c r="AD202" s="262">
        <v>4965.4799999999996</v>
      </c>
      <c r="AE202" s="352"/>
      <c r="AF202" s="261">
        <v>198</v>
      </c>
      <c r="AG202" s="262">
        <v>13457.73</v>
      </c>
      <c r="AH202" s="352"/>
      <c r="AI202" s="261">
        <v>198</v>
      </c>
      <c r="AJ202" s="262">
        <v>5880</v>
      </c>
      <c r="AK202" s="352"/>
      <c r="AL202" s="261"/>
      <c r="AM202" s="262"/>
    </row>
    <row r="203" spans="2:39">
      <c r="B203" s="261" t="s">
        <v>487</v>
      </c>
      <c r="C203" s="261">
        <v>6617</v>
      </c>
      <c r="E203" s="261" t="s">
        <v>487</v>
      </c>
      <c r="F203" s="261">
        <v>6574.02</v>
      </c>
      <c r="H203" s="261" t="s">
        <v>487</v>
      </c>
      <c r="I203" s="262">
        <v>3547</v>
      </c>
      <c r="K203" s="261">
        <v>198</v>
      </c>
      <c r="L203" s="262">
        <v>1443.48</v>
      </c>
      <c r="M203" s="352"/>
      <c r="N203" s="261">
        <v>199</v>
      </c>
      <c r="O203" s="262">
        <v>2332.65</v>
      </c>
      <c r="P203" s="352"/>
      <c r="Q203" s="261">
        <v>199</v>
      </c>
      <c r="R203" s="262">
        <v>913</v>
      </c>
      <c r="S203" s="352"/>
      <c r="T203" s="261">
        <v>199</v>
      </c>
      <c r="U203" s="262">
        <v>913</v>
      </c>
      <c r="V203" s="352"/>
      <c r="W203" s="261">
        <v>199</v>
      </c>
      <c r="X203" s="262">
        <v>1631.9</v>
      </c>
      <c r="Y203" s="352"/>
      <c r="Z203" s="261">
        <v>199</v>
      </c>
      <c r="AA203" s="262">
        <v>1668.55</v>
      </c>
      <c r="AB203" s="352"/>
      <c r="AC203" s="261">
        <v>199</v>
      </c>
      <c r="AD203" s="262">
        <v>4991.1400000000003</v>
      </c>
      <c r="AE203" s="352"/>
      <c r="AF203" s="261">
        <v>199</v>
      </c>
      <c r="AG203" s="262">
        <v>13526.14</v>
      </c>
      <c r="AH203" s="352"/>
      <c r="AI203" s="261">
        <v>199</v>
      </c>
      <c r="AJ203" s="262">
        <v>5909</v>
      </c>
      <c r="AK203" s="352"/>
      <c r="AL203" s="261"/>
      <c r="AM203" s="262"/>
    </row>
    <row r="204" spans="2:39">
      <c r="B204" s="261" t="s">
        <v>488</v>
      </c>
      <c r="C204" s="261">
        <v>6648</v>
      </c>
      <c r="E204" s="261" t="s">
        <v>488</v>
      </c>
      <c r="F204" s="261">
        <v>6605.2800000000007</v>
      </c>
      <c r="H204" s="261" t="s">
        <v>488</v>
      </c>
      <c r="I204" s="262">
        <f>I203+18</f>
        <v>3565</v>
      </c>
      <c r="K204" s="261">
        <v>199</v>
      </c>
      <c r="L204" s="262">
        <v>1450.78</v>
      </c>
      <c r="M204" s="352"/>
      <c r="N204" s="261">
        <v>200</v>
      </c>
      <c r="O204" s="262">
        <v>2343.75</v>
      </c>
      <c r="P204" s="352"/>
      <c r="Q204" s="261">
        <v>200</v>
      </c>
      <c r="R204" s="262">
        <v>917</v>
      </c>
      <c r="S204" s="352"/>
      <c r="T204" s="261">
        <v>200</v>
      </c>
      <c r="U204" s="262">
        <v>918</v>
      </c>
      <c r="V204" s="352"/>
      <c r="W204" s="261">
        <v>200</v>
      </c>
      <c r="X204" s="262">
        <v>1639.4</v>
      </c>
      <c r="Y204" s="352"/>
      <c r="Z204" s="261">
        <v>200</v>
      </c>
      <c r="AA204" s="262">
        <v>1676.05</v>
      </c>
      <c r="AB204" s="352"/>
      <c r="AC204" s="261">
        <v>200</v>
      </c>
      <c r="AD204" s="262">
        <v>5016.8</v>
      </c>
      <c r="AE204" s="352"/>
      <c r="AF204" s="261">
        <v>200</v>
      </c>
      <c r="AG204" s="262">
        <v>13594.55</v>
      </c>
      <c r="AH204" s="352"/>
      <c r="AI204" s="261">
        <v>200</v>
      </c>
      <c r="AJ204" s="262">
        <v>5937</v>
      </c>
      <c r="AK204" s="352"/>
      <c r="AL204" s="261"/>
      <c r="AM204" s="262"/>
    </row>
    <row r="205" spans="2:39">
      <c r="B205" s="261" t="s">
        <v>489</v>
      </c>
      <c r="C205" s="261">
        <v>6680</v>
      </c>
      <c r="E205" s="261" t="s">
        <v>489</v>
      </c>
      <c r="F205" s="261">
        <v>6636.61</v>
      </c>
      <c r="H205" s="261" t="s">
        <v>489</v>
      </c>
      <c r="I205" s="262">
        <v>3583</v>
      </c>
      <c r="K205" s="261">
        <v>200</v>
      </c>
      <c r="L205" s="262">
        <v>1458.09</v>
      </c>
      <c r="M205" s="352"/>
      <c r="N205" s="261">
        <v>201</v>
      </c>
      <c r="O205" s="262">
        <v>2354.84</v>
      </c>
      <c r="P205" s="352"/>
      <c r="Q205" s="261">
        <v>201</v>
      </c>
      <c r="R205" s="262">
        <v>921</v>
      </c>
      <c r="S205" s="352"/>
      <c r="T205" s="261">
        <v>201</v>
      </c>
      <c r="U205" s="262">
        <v>922</v>
      </c>
      <c r="V205" s="352"/>
      <c r="W205" s="261">
        <v>201</v>
      </c>
      <c r="X205" s="262">
        <v>1646.9</v>
      </c>
      <c r="Y205" s="352"/>
      <c r="Z205" s="261">
        <v>201</v>
      </c>
      <c r="AA205" s="262">
        <v>1683.56</v>
      </c>
      <c r="AB205" s="352"/>
      <c r="AC205" s="261">
        <v>201</v>
      </c>
      <c r="AD205" s="262">
        <v>5042.47</v>
      </c>
      <c r="AE205" s="352"/>
      <c r="AF205" s="261">
        <v>201</v>
      </c>
      <c r="AG205" s="262">
        <v>13662.96</v>
      </c>
      <c r="AH205" s="352"/>
      <c r="AI205" s="261">
        <v>201</v>
      </c>
      <c r="AJ205" s="262">
        <v>5965</v>
      </c>
      <c r="AK205" s="352"/>
      <c r="AL205" s="261"/>
      <c r="AM205" s="262"/>
    </row>
    <row r="206" spans="2:39">
      <c r="B206" s="261" t="s">
        <v>490</v>
      </c>
      <c r="C206" s="261">
        <v>6711</v>
      </c>
      <c r="E206" s="261" t="s">
        <v>490</v>
      </c>
      <c r="F206" s="261">
        <v>6667.87</v>
      </c>
      <c r="H206" s="261" t="s">
        <v>490</v>
      </c>
      <c r="I206" s="262">
        <f>I205+18</f>
        <v>3601</v>
      </c>
      <c r="K206" s="261">
        <v>201</v>
      </c>
      <c r="L206" s="262">
        <v>1465.39</v>
      </c>
      <c r="M206" s="352"/>
      <c r="N206" s="261">
        <v>202</v>
      </c>
      <c r="O206" s="262">
        <v>2365.94</v>
      </c>
      <c r="P206" s="352"/>
      <c r="Q206" s="261">
        <v>202</v>
      </c>
      <c r="R206" s="262">
        <v>926</v>
      </c>
      <c r="S206" s="352"/>
      <c r="T206" s="261">
        <v>202</v>
      </c>
      <c r="U206" s="262">
        <v>926</v>
      </c>
      <c r="V206" s="352"/>
      <c r="W206" s="261">
        <v>202</v>
      </c>
      <c r="X206" s="262">
        <v>1654.4</v>
      </c>
      <c r="Y206" s="352"/>
      <c r="Z206" s="261">
        <v>202</v>
      </c>
      <c r="AA206" s="262">
        <v>1691.07</v>
      </c>
      <c r="AB206" s="352"/>
      <c r="AC206" s="261">
        <v>202</v>
      </c>
      <c r="AD206" s="262">
        <v>5068.13</v>
      </c>
      <c r="AE206" s="352"/>
      <c r="AF206" s="261">
        <v>202</v>
      </c>
      <c r="AG206" s="262">
        <v>13731.36</v>
      </c>
      <c r="AH206" s="352"/>
      <c r="AI206" s="261">
        <v>202</v>
      </c>
      <c r="AJ206" s="262">
        <v>5994</v>
      </c>
      <c r="AK206" s="352"/>
      <c r="AL206" s="261"/>
      <c r="AM206" s="262"/>
    </row>
    <row r="207" spans="2:39">
      <c r="B207" s="261" t="s">
        <v>491</v>
      </c>
      <c r="C207" s="261">
        <v>6743</v>
      </c>
      <c r="E207" s="261" t="s">
        <v>491</v>
      </c>
      <c r="F207" s="261">
        <v>6699.2</v>
      </c>
      <c r="H207" s="261" t="s">
        <v>491</v>
      </c>
      <c r="I207" s="262">
        <v>3618</v>
      </c>
      <c r="K207" s="261">
        <v>202</v>
      </c>
      <c r="L207" s="262">
        <v>1472.7</v>
      </c>
      <c r="M207" s="352"/>
      <c r="N207" s="261">
        <v>203</v>
      </c>
      <c r="O207" s="262">
        <v>2377.0300000000002</v>
      </c>
      <c r="P207" s="352"/>
      <c r="Q207" s="261">
        <v>203</v>
      </c>
      <c r="R207" s="262">
        <v>930</v>
      </c>
      <c r="S207" s="352"/>
      <c r="T207" s="261">
        <v>203</v>
      </c>
      <c r="U207" s="262">
        <v>930</v>
      </c>
      <c r="V207" s="352"/>
      <c r="W207" s="261">
        <v>203</v>
      </c>
      <c r="X207" s="262">
        <v>1661.9</v>
      </c>
      <c r="Y207" s="352"/>
      <c r="Z207" s="261">
        <v>203</v>
      </c>
      <c r="AA207" s="262">
        <v>1698.57</v>
      </c>
      <c r="AB207" s="352"/>
      <c r="AC207" s="261">
        <v>203</v>
      </c>
      <c r="AD207" s="262">
        <v>5093.79</v>
      </c>
      <c r="AE207" s="352"/>
      <c r="AF207" s="261">
        <v>203</v>
      </c>
      <c r="AG207" s="262">
        <v>13799.77</v>
      </c>
      <c r="AH207" s="352"/>
      <c r="AI207" s="261">
        <v>203</v>
      </c>
      <c r="AJ207" s="262">
        <v>6022</v>
      </c>
      <c r="AK207" s="352"/>
      <c r="AL207" s="261"/>
      <c r="AM207" s="262"/>
    </row>
    <row r="208" spans="2:39">
      <c r="B208" s="261" t="s">
        <v>492</v>
      </c>
      <c r="C208" s="261">
        <v>6774</v>
      </c>
      <c r="E208" s="261" t="s">
        <v>492</v>
      </c>
      <c r="F208" s="261">
        <v>6730.46</v>
      </c>
      <c r="H208" s="261" t="s">
        <v>492</v>
      </c>
      <c r="I208" s="262">
        <f>I207+18</f>
        <v>3636</v>
      </c>
      <c r="K208" s="261">
        <v>203</v>
      </c>
      <c r="L208" s="262">
        <v>1480.01</v>
      </c>
      <c r="M208" s="352"/>
      <c r="N208" s="261">
        <v>204</v>
      </c>
      <c r="O208" s="262">
        <v>2388.13</v>
      </c>
      <c r="P208" s="352"/>
      <c r="Q208" s="261">
        <v>204</v>
      </c>
      <c r="R208" s="262">
        <v>934</v>
      </c>
      <c r="S208" s="352"/>
      <c r="T208" s="261">
        <v>204</v>
      </c>
      <c r="U208" s="262">
        <v>934</v>
      </c>
      <c r="V208" s="352"/>
      <c r="W208" s="261">
        <v>204</v>
      </c>
      <c r="X208" s="262">
        <v>1669.4</v>
      </c>
      <c r="Y208" s="352"/>
      <c r="Z208" s="261">
        <v>204</v>
      </c>
      <c r="AA208" s="262">
        <v>1706.08</v>
      </c>
      <c r="AB208" s="352"/>
      <c r="AC208" s="261">
        <v>204</v>
      </c>
      <c r="AD208" s="262">
        <v>5119.45</v>
      </c>
      <c r="AE208" s="352"/>
      <c r="AF208" s="261">
        <v>204</v>
      </c>
      <c r="AG208" s="262">
        <v>13868.18</v>
      </c>
      <c r="AH208" s="352"/>
      <c r="AI208" s="261">
        <v>204</v>
      </c>
      <c r="AJ208" s="262">
        <v>6051</v>
      </c>
      <c r="AK208" s="352"/>
      <c r="AL208" s="261"/>
      <c r="AM208" s="262"/>
    </row>
    <row r="209" spans="2:39">
      <c r="B209" s="261" t="s">
        <v>493</v>
      </c>
      <c r="C209" s="261">
        <v>6806</v>
      </c>
      <c r="E209" s="261" t="s">
        <v>493</v>
      </c>
      <c r="F209" s="261">
        <v>6761.79</v>
      </c>
      <c r="H209" s="261" t="s">
        <v>493</v>
      </c>
      <c r="I209" s="262">
        <v>3653</v>
      </c>
      <c r="K209" s="261">
        <v>204</v>
      </c>
      <c r="L209" s="262">
        <v>1487.31</v>
      </c>
      <c r="M209" s="352"/>
      <c r="N209" s="261">
        <v>205</v>
      </c>
      <c r="O209" s="262">
        <v>2399.23</v>
      </c>
      <c r="P209" s="352"/>
      <c r="Q209" s="261">
        <v>205</v>
      </c>
      <c r="R209" s="262">
        <v>938</v>
      </c>
      <c r="S209" s="352"/>
      <c r="T209" s="261">
        <v>205</v>
      </c>
      <c r="U209" s="262">
        <v>938</v>
      </c>
      <c r="V209" s="352"/>
      <c r="W209" s="261">
        <v>205</v>
      </c>
      <c r="X209" s="262">
        <v>1676.9</v>
      </c>
      <c r="Y209" s="352"/>
      <c r="Z209" s="261">
        <v>205</v>
      </c>
      <c r="AA209" s="262">
        <v>1713.59</v>
      </c>
      <c r="AB209" s="352"/>
      <c r="AC209" s="261">
        <v>205</v>
      </c>
      <c r="AD209" s="262">
        <v>5145.1099999999997</v>
      </c>
      <c r="AE209" s="352"/>
      <c r="AF209" s="261">
        <v>205</v>
      </c>
      <c r="AG209" s="262">
        <v>13936.59</v>
      </c>
      <c r="AH209" s="352"/>
      <c r="AI209" s="261">
        <v>205</v>
      </c>
      <c r="AJ209" s="262">
        <v>6079</v>
      </c>
      <c r="AK209" s="352"/>
      <c r="AL209" s="261"/>
      <c r="AM209" s="262"/>
    </row>
    <row r="210" spans="2:39">
      <c r="B210" s="261" t="s">
        <v>494</v>
      </c>
      <c r="C210" s="261">
        <v>6837</v>
      </c>
      <c r="E210" s="261" t="s">
        <v>494</v>
      </c>
      <c r="F210" s="261">
        <v>6793.05</v>
      </c>
      <c r="H210" s="261" t="s">
        <v>494</v>
      </c>
      <c r="I210" s="262">
        <f>I209+18</f>
        <v>3671</v>
      </c>
      <c r="K210" s="261">
        <v>205</v>
      </c>
      <c r="L210" s="262">
        <v>1494.62</v>
      </c>
      <c r="M210" s="352"/>
      <c r="N210" s="261">
        <v>206</v>
      </c>
      <c r="O210" s="262">
        <v>2410.3200000000002</v>
      </c>
      <c r="P210" s="352"/>
      <c r="Q210" s="261">
        <v>206</v>
      </c>
      <c r="R210" s="262">
        <v>942</v>
      </c>
      <c r="S210" s="352"/>
      <c r="T210" s="261">
        <v>206</v>
      </c>
      <c r="U210" s="262">
        <v>942</v>
      </c>
      <c r="V210" s="352"/>
      <c r="W210" s="261">
        <v>206</v>
      </c>
      <c r="X210" s="262">
        <v>1684.4</v>
      </c>
      <c r="Y210" s="352"/>
      <c r="Z210" s="261">
        <v>206</v>
      </c>
      <c r="AA210" s="262">
        <v>1721.09</v>
      </c>
      <c r="AB210" s="352"/>
      <c r="AC210" s="261">
        <v>206</v>
      </c>
      <c r="AD210" s="262">
        <v>5170.78</v>
      </c>
      <c r="AE210" s="352"/>
      <c r="AF210" s="261">
        <v>206</v>
      </c>
      <c r="AG210" s="262">
        <v>14005</v>
      </c>
      <c r="AH210" s="352"/>
      <c r="AI210" s="261">
        <v>206</v>
      </c>
      <c r="AJ210" s="262">
        <v>6107</v>
      </c>
      <c r="AK210" s="352"/>
      <c r="AL210" s="261"/>
      <c r="AM210" s="262"/>
    </row>
    <row r="211" spans="2:39">
      <c r="B211" s="261" t="s">
        <v>495</v>
      </c>
      <c r="C211" s="261">
        <v>6868</v>
      </c>
      <c r="E211" s="261" t="s">
        <v>495</v>
      </c>
      <c r="F211" s="261">
        <v>6824.37</v>
      </c>
      <c r="H211" s="261" t="s">
        <v>495</v>
      </c>
      <c r="I211" s="262">
        <v>3688</v>
      </c>
      <c r="K211" s="261">
        <v>206</v>
      </c>
      <c r="L211" s="262">
        <v>1501.93</v>
      </c>
      <c r="M211" s="352"/>
      <c r="N211" s="261">
        <v>207</v>
      </c>
      <c r="O211" s="262">
        <v>2421.42</v>
      </c>
      <c r="P211" s="352"/>
      <c r="Q211" s="261">
        <v>207</v>
      </c>
      <c r="R211" s="262">
        <v>946</v>
      </c>
      <c r="S211" s="352"/>
      <c r="T211" s="261">
        <v>207</v>
      </c>
      <c r="U211" s="262">
        <v>947</v>
      </c>
      <c r="V211" s="352"/>
      <c r="W211" s="261">
        <v>207</v>
      </c>
      <c r="X211" s="262">
        <v>1691.9</v>
      </c>
      <c r="Y211" s="352"/>
      <c r="Z211" s="261">
        <v>207</v>
      </c>
      <c r="AA211" s="262">
        <v>1728.6</v>
      </c>
      <c r="AB211" s="352"/>
      <c r="AC211" s="261">
        <v>207</v>
      </c>
      <c r="AD211" s="262">
        <v>5196.4399999999996</v>
      </c>
      <c r="AE211" s="352"/>
      <c r="AF211" s="261">
        <v>207</v>
      </c>
      <c r="AG211" s="262">
        <v>14073.41</v>
      </c>
      <c r="AH211" s="352"/>
      <c r="AI211" s="261">
        <v>207</v>
      </c>
      <c r="AJ211" s="262">
        <v>6136</v>
      </c>
      <c r="AK211" s="352"/>
      <c r="AL211" s="261"/>
      <c r="AM211" s="262"/>
    </row>
    <row r="212" spans="2:39">
      <c r="B212" s="261" t="s">
        <v>496</v>
      </c>
      <c r="C212" s="261">
        <v>6899</v>
      </c>
      <c r="E212" s="261" t="s">
        <v>496</v>
      </c>
      <c r="F212" s="261">
        <v>6855.63</v>
      </c>
      <c r="H212" s="261" t="s">
        <v>496</v>
      </c>
      <c r="I212" s="262">
        <f>I211+18</f>
        <v>3706</v>
      </c>
      <c r="K212" s="261">
        <v>207</v>
      </c>
      <c r="L212" s="262">
        <v>1509.23</v>
      </c>
      <c r="M212" s="352"/>
      <c r="N212" s="261">
        <v>208</v>
      </c>
      <c r="O212" s="262">
        <v>2432.5100000000002</v>
      </c>
      <c r="P212" s="352"/>
      <c r="Q212" s="261">
        <v>208</v>
      </c>
      <c r="R212" s="262">
        <v>950</v>
      </c>
      <c r="S212" s="352"/>
      <c r="T212" s="261">
        <v>208</v>
      </c>
      <c r="U212" s="262">
        <v>951</v>
      </c>
      <c r="V212" s="352"/>
      <c r="W212" s="261">
        <v>208</v>
      </c>
      <c r="X212" s="262">
        <v>1699.5</v>
      </c>
      <c r="Y212" s="352"/>
      <c r="Z212" s="261">
        <v>208</v>
      </c>
      <c r="AA212" s="262">
        <v>1736.11</v>
      </c>
      <c r="AB212" s="352"/>
      <c r="AC212" s="261">
        <v>208</v>
      </c>
      <c r="AD212" s="262">
        <v>5222.0999999999949</v>
      </c>
      <c r="AE212" s="352"/>
      <c r="AF212" s="261">
        <v>208</v>
      </c>
      <c r="AG212" s="262">
        <v>14141.82</v>
      </c>
      <c r="AH212" s="352"/>
      <c r="AI212" s="261">
        <v>208</v>
      </c>
      <c r="AJ212" s="262">
        <v>6164</v>
      </c>
      <c r="AK212" s="352"/>
      <c r="AL212" s="261"/>
      <c r="AM212" s="262"/>
    </row>
    <row r="213" spans="2:39">
      <c r="B213" s="261" t="s">
        <v>497</v>
      </c>
      <c r="C213" s="261">
        <v>6931</v>
      </c>
      <c r="E213" s="261" t="s">
        <v>497</v>
      </c>
      <c r="F213" s="261">
        <v>6886.96</v>
      </c>
      <c r="H213" s="261" t="s">
        <v>497</v>
      </c>
      <c r="I213" s="262">
        <v>3724</v>
      </c>
      <c r="K213" s="261">
        <v>208</v>
      </c>
      <c r="L213" s="262">
        <v>1516.53</v>
      </c>
      <c r="M213" s="352"/>
      <c r="N213" s="261">
        <v>209</v>
      </c>
      <c r="O213" s="262">
        <v>2443.61</v>
      </c>
      <c r="P213" s="352"/>
      <c r="Q213" s="261">
        <v>209</v>
      </c>
      <c r="R213" s="262">
        <v>955</v>
      </c>
      <c r="S213" s="352"/>
      <c r="T213" s="261">
        <v>209</v>
      </c>
      <c r="U213" s="262">
        <v>955</v>
      </c>
      <c r="V213" s="352"/>
      <c r="W213" s="261">
        <v>209</v>
      </c>
      <c r="X213" s="262">
        <v>1707</v>
      </c>
      <c r="Y213" s="352"/>
      <c r="Z213" s="261">
        <v>209</v>
      </c>
      <c r="AA213" s="262">
        <v>1743.61</v>
      </c>
      <c r="AB213" s="352"/>
      <c r="AC213" s="261">
        <v>209</v>
      </c>
      <c r="AD213" s="262">
        <v>5247.76</v>
      </c>
      <c r="AE213" s="352"/>
      <c r="AF213" s="261">
        <v>209</v>
      </c>
      <c r="AG213" s="262">
        <v>14210.23</v>
      </c>
      <c r="AH213" s="352"/>
      <c r="AI213" s="261">
        <v>209</v>
      </c>
      <c r="AJ213" s="262">
        <v>6193</v>
      </c>
      <c r="AK213" s="352"/>
      <c r="AL213" s="261"/>
      <c r="AM213" s="262"/>
    </row>
    <row r="214" spans="2:39">
      <c r="B214" s="261" t="s">
        <v>498</v>
      </c>
      <c r="C214" s="261">
        <v>6962</v>
      </c>
      <c r="E214" s="261" t="s">
        <v>498</v>
      </c>
      <c r="F214" s="261">
        <v>6918.22</v>
      </c>
      <c r="H214" s="261" t="s">
        <v>498</v>
      </c>
      <c r="I214" s="262">
        <f>I213+18</f>
        <v>3742</v>
      </c>
      <c r="K214" s="261">
        <v>209</v>
      </c>
      <c r="L214" s="262">
        <v>1523.84</v>
      </c>
      <c r="M214" s="352"/>
      <c r="N214" s="261">
        <v>210</v>
      </c>
      <c r="O214" s="262">
        <v>2454.71</v>
      </c>
      <c r="P214" s="352"/>
      <c r="Q214" s="261">
        <v>210</v>
      </c>
      <c r="R214" s="262">
        <v>959</v>
      </c>
      <c r="S214" s="352"/>
      <c r="T214" s="261">
        <v>210</v>
      </c>
      <c r="U214" s="262">
        <v>959</v>
      </c>
      <c r="V214" s="352"/>
      <c r="W214" s="261">
        <v>210</v>
      </c>
      <c r="X214" s="262">
        <v>1714.5</v>
      </c>
      <c r="Y214" s="352"/>
      <c r="Z214" s="261">
        <v>210</v>
      </c>
      <c r="AA214" s="262">
        <v>1751.12</v>
      </c>
      <c r="AB214" s="352"/>
      <c r="AC214" s="261">
        <v>210</v>
      </c>
      <c r="AD214" s="262">
        <v>5273.4199999999946</v>
      </c>
      <c r="AE214" s="352"/>
      <c r="AF214" s="261">
        <v>210</v>
      </c>
      <c r="AG214" s="262">
        <v>14278.64</v>
      </c>
      <c r="AH214" s="352"/>
      <c r="AI214" s="261">
        <v>210</v>
      </c>
      <c r="AJ214" s="262">
        <v>6221</v>
      </c>
      <c r="AK214" s="352"/>
      <c r="AL214" s="261"/>
      <c r="AM214" s="262"/>
    </row>
    <row r="215" spans="2:39">
      <c r="B215" s="261" t="s">
        <v>499</v>
      </c>
      <c r="C215" s="261">
        <v>6994</v>
      </c>
      <c r="E215" s="261" t="s">
        <v>499</v>
      </c>
      <c r="F215" s="261">
        <v>6949.55</v>
      </c>
      <c r="H215" s="261" t="s">
        <v>499</v>
      </c>
      <c r="I215" s="262">
        <v>3759</v>
      </c>
      <c r="K215" s="261">
        <v>210</v>
      </c>
      <c r="L215" s="262">
        <v>1531.14</v>
      </c>
      <c r="M215" s="352"/>
      <c r="N215" s="261">
        <v>211</v>
      </c>
      <c r="O215" s="262">
        <v>2465.8000000000002</v>
      </c>
      <c r="P215" s="352"/>
      <c r="Q215" s="261">
        <v>211</v>
      </c>
      <c r="R215" s="262">
        <v>963</v>
      </c>
      <c r="S215" s="352"/>
      <c r="T215" s="261">
        <v>211</v>
      </c>
      <c r="U215" s="262">
        <v>963</v>
      </c>
      <c r="V215" s="352"/>
      <c r="W215" s="261">
        <v>211</v>
      </c>
      <c r="X215" s="262">
        <v>1722</v>
      </c>
      <c r="Y215" s="352"/>
      <c r="Z215" s="261">
        <v>211</v>
      </c>
      <c r="AA215" s="262">
        <v>1758.63</v>
      </c>
      <c r="AB215" s="352"/>
      <c r="AC215" s="261">
        <v>211</v>
      </c>
      <c r="AD215" s="262">
        <v>5299.0899999999947</v>
      </c>
      <c r="AE215" s="352"/>
      <c r="AF215" s="261">
        <v>211</v>
      </c>
      <c r="AG215" s="262">
        <v>14347.05</v>
      </c>
      <c r="AH215" s="352"/>
      <c r="AI215" s="261">
        <v>211</v>
      </c>
      <c r="AJ215" s="262">
        <v>6249</v>
      </c>
      <c r="AK215" s="352"/>
      <c r="AL215" s="261"/>
      <c r="AM215" s="262"/>
    </row>
    <row r="216" spans="2:39">
      <c r="B216" s="261" t="s">
        <v>500</v>
      </c>
      <c r="C216" s="261">
        <v>7025</v>
      </c>
      <c r="E216" s="261" t="s">
        <v>500</v>
      </c>
      <c r="F216" s="261">
        <v>6980.81</v>
      </c>
      <c r="H216" s="261" t="s">
        <v>500</v>
      </c>
      <c r="I216" s="262">
        <f>I215+18</f>
        <v>3777</v>
      </c>
      <c r="K216" s="261">
        <v>211</v>
      </c>
      <c r="L216" s="262">
        <v>1538.45</v>
      </c>
      <c r="M216" s="352"/>
      <c r="N216" s="261">
        <v>212</v>
      </c>
      <c r="O216" s="262">
        <v>2476.9</v>
      </c>
      <c r="P216" s="352"/>
      <c r="Q216" s="261">
        <v>212</v>
      </c>
      <c r="R216" s="262">
        <v>967</v>
      </c>
      <c r="S216" s="352"/>
      <c r="T216" s="261">
        <v>212</v>
      </c>
      <c r="U216" s="262">
        <v>967</v>
      </c>
      <c r="V216" s="352"/>
      <c r="W216" s="261">
        <v>212</v>
      </c>
      <c r="X216" s="262">
        <v>1729.5</v>
      </c>
      <c r="Y216" s="352"/>
      <c r="Z216" s="261">
        <v>212</v>
      </c>
      <c r="AA216" s="262">
        <v>1766.13</v>
      </c>
      <c r="AB216" s="352"/>
      <c r="AC216" s="261">
        <v>212</v>
      </c>
      <c r="AD216" s="262">
        <v>5324.7499999999945</v>
      </c>
      <c r="AE216" s="352"/>
      <c r="AF216" s="261">
        <v>212</v>
      </c>
      <c r="AG216" s="262">
        <v>14415.45</v>
      </c>
      <c r="AH216" s="352"/>
      <c r="AI216" s="261">
        <v>212</v>
      </c>
      <c r="AJ216" s="262">
        <v>6278</v>
      </c>
      <c r="AK216" s="352"/>
      <c r="AL216" s="261"/>
      <c r="AM216" s="262"/>
    </row>
    <row r="217" spans="2:39">
      <c r="B217" s="261" t="s">
        <v>501</v>
      </c>
      <c r="C217" s="261">
        <v>7057</v>
      </c>
      <c r="E217" s="261" t="s">
        <v>501</v>
      </c>
      <c r="F217" s="261">
        <v>7012.14</v>
      </c>
      <c r="H217" s="261" t="s">
        <v>501</v>
      </c>
      <c r="I217" s="262">
        <v>3794</v>
      </c>
      <c r="K217" s="261">
        <v>212</v>
      </c>
      <c r="L217" s="262">
        <v>1545.75</v>
      </c>
      <c r="M217" s="352"/>
      <c r="N217" s="261">
        <v>213</v>
      </c>
      <c r="O217" s="262">
        <v>2487.9899999999998</v>
      </c>
      <c r="P217" s="352"/>
      <c r="Q217" s="261">
        <v>213</v>
      </c>
      <c r="R217" s="262">
        <v>971</v>
      </c>
      <c r="S217" s="352"/>
      <c r="T217" s="261">
        <v>213</v>
      </c>
      <c r="U217" s="262">
        <v>971</v>
      </c>
      <c r="V217" s="352"/>
      <c r="W217" s="261">
        <v>213</v>
      </c>
      <c r="X217" s="262">
        <v>1737</v>
      </c>
      <c r="Y217" s="352"/>
      <c r="Z217" s="261">
        <v>213</v>
      </c>
      <c r="AA217" s="262">
        <v>1773.64</v>
      </c>
      <c r="AB217" s="352"/>
      <c r="AC217" s="261">
        <v>213</v>
      </c>
      <c r="AD217" s="262">
        <v>5350.4099999999944</v>
      </c>
      <c r="AE217" s="352"/>
      <c r="AF217" s="261">
        <v>213</v>
      </c>
      <c r="AG217" s="262">
        <v>14483.86</v>
      </c>
      <c r="AH217" s="352"/>
      <c r="AI217" s="261">
        <v>213</v>
      </c>
      <c r="AJ217" s="262">
        <v>6306</v>
      </c>
      <c r="AK217" s="352"/>
      <c r="AL217" s="261"/>
      <c r="AM217" s="262"/>
    </row>
    <row r="218" spans="2:39">
      <c r="B218" s="261" t="s">
        <v>502</v>
      </c>
      <c r="C218" s="261">
        <v>7088</v>
      </c>
      <c r="E218" s="261" t="s">
        <v>502</v>
      </c>
      <c r="F218" s="261">
        <v>7043.4000000000005</v>
      </c>
      <c r="H218" s="261" t="s">
        <v>502</v>
      </c>
      <c r="I218" s="262">
        <f>I217+18</f>
        <v>3812</v>
      </c>
      <c r="K218" s="261">
        <v>213</v>
      </c>
      <c r="L218" s="262">
        <v>1553.06</v>
      </c>
      <c r="M218" s="352"/>
      <c r="N218" s="261">
        <v>214</v>
      </c>
      <c r="O218" s="262">
        <v>2499.09</v>
      </c>
      <c r="P218" s="352"/>
      <c r="Q218" s="261">
        <v>214</v>
      </c>
      <c r="R218" s="262">
        <v>975</v>
      </c>
      <c r="S218" s="352"/>
      <c r="T218" s="261">
        <v>214</v>
      </c>
      <c r="U218" s="262">
        <v>975</v>
      </c>
      <c r="V218" s="352"/>
      <c r="W218" s="261">
        <v>214</v>
      </c>
      <c r="X218" s="262">
        <v>1744.5</v>
      </c>
      <c r="Y218" s="352"/>
      <c r="Z218" s="261">
        <v>214</v>
      </c>
      <c r="AA218" s="262">
        <v>1781.15</v>
      </c>
      <c r="AB218" s="352"/>
      <c r="AC218" s="261">
        <v>214</v>
      </c>
      <c r="AD218" s="262">
        <v>5376.0699999999943</v>
      </c>
      <c r="AE218" s="352"/>
      <c r="AF218" s="261">
        <v>214</v>
      </c>
      <c r="AG218" s="262">
        <v>14552.27</v>
      </c>
      <c r="AH218" s="352"/>
      <c r="AI218" s="261">
        <v>214</v>
      </c>
      <c r="AJ218" s="262">
        <v>6335</v>
      </c>
      <c r="AK218" s="352"/>
      <c r="AL218" s="261"/>
      <c r="AM218" s="262"/>
    </row>
    <row r="219" spans="2:39">
      <c r="B219" s="261" t="s">
        <v>503</v>
      </c>
      <c r="C219" s="261">
        <v>7119</v>
      </c>
      <c r="E219" s="261" t="s">
        <v>503</v>
      </c>
      <c r="F219" s="261">
        <v>7074.73</v>
      </c>
      <c r="H219" s="261" t="s">
        <v>503</v>
      </c>
      <c r="I219" s="262">
        <v>3830</v>
      </c>
      <c r="K219" s="261">
        <v>214</v>
      </c>
      <c r="L219" s="262">
        <v>1560.36</v>
      </c>
      <c r="M219" s="352"/>
      <c r="N219" s="261">
        <v>215</v>
      </c>
      <c r="O219" s="262">
        <v>2510.19</v>
      </c>
      <c r="P219" s="352"/>
      <c r="Q219" s="261">
        <v>215</v>
      </c>
      <c r="R219" s="262">
        <v>979</v>
      </c>
      <c r="S219" s="352"/>
      <c r="T219" s="261">
        <v>215</v>
      </c>
      <c r="U219" s="262">
        <v>980</v>
      </c>
      <c r="V219" s="352"/>
      <c r="W219" s="261">
        <v>215</v>
      </c>
      <c r="X219" s="262">
        <v>1752</v>
      </c>
      <c r="Y219" s="352"/>
      <c r="Z219" s="261">
        <v>215</v>
      </c>
      <c r="AA219" s="262">
        <v>1788.65</v>
      </c>
      <c r="AB219" s="352"/>
      <c r="AC219" s="261">
        <v>215</v>
      </c>
      <c r="AD219" s="262">
        <v>5401.7299999999941</v>
      </c>
      <c r="AE219" s="352"/>
      <c r="AF219" s="261">
        <v>215</v>
      </c>
      <c r="AG219" s="262">
        <v>14620.68</v>
      </c>
      <c r="AH219" s="352"/>
      <c r="AI219" s="261">
        <v>215</v>
      </c>
      <c r="AJ219" s="262">
        <v>6363</v>
      </c>
      <c r="AK219" s="352"/>
      <c r="AL219" s="261"/>
      <c r="AM219" s="262"/>
    </row>
    <row r="220" spans="2:39">
      <c r="B220" s="261" t="s">
        <v>504</v>
      </c>
      <c r="C220" s="261">
        <v>7150</v>
      </c>
      <c r="E220" s="261" t="s">
        <v>504</v>
      </c>
      <c r="F220" s="261">
        <v>7105.99</v>
      </c>
      <c r="H220" s="261" t="s">
        <v>504</v>
      </c>
      <c r="I220" s="262">
        <f>I219+18</f>
        <v>3848</v>
      </c>
      <c r="K220" s="261">
        <v>215</v>
      </c>
      <c r="L220" s="262">
        <v>1567.67</v>
      </c>
      <c r="M220" s="352"/>
      <c r="N220" s="261">
        <v>216</v>
      </c>
      <c r="O220" s="262">
        <v>2521.2800000000002</v>
      </c>
      <c r="P220" s="352"/>
      <c r="Q220" s="261">
        <v>216</v>
      </c>
      <c r="R220" s="262">
        <v>983</v>
      </c>
      <c r="S220" s="352"/>
      <c r="T220" s="261">
        <v>216</v>
      </c>
      <c r="U220" s="262">
        <v>984</v>
      </c>
      <c r="V220" s="352"/>
      <c r="W220" s="261">
        <v>216</v>
      </c>
      <c r="X220" s="262">
        <v>1759.5</v>
      </c>
      <c r="Y220" s="352"/>
      <c r="Z220" s="261">
        <v>216</v>
      </c>
      <c r="AA220" s="262">
        <v>1796.16</v>
      </c>
      <c r="AB220" s="352"/>
      <c r="AC220" s="261">
        <v>216</v>
      </c>
      <c r="AD220" s="262">
        <v>5427.3999999999942</v>
      </c>
      <c r="AE220" s="352"/>
      <c r="AF220" s="261">
        <v>216</v>
      </c>
      <c r="AG220" s="262">
        <v>14689.09</v>
      </c>
      <c r="AH220" s="352"/>
      <c r="AI220" s="261">
        <v>216</v>
      </c>
      <c r="AJ220" s="262">
        <v>6392</v>
      </c>
      <c r="AK220" s="352"/>
      <c r="AL220" s="261"/>
      <c r="AM220" s="262"/>
    </row>
    <row r="221" spans="2:39">
      <c r="B221" s="261" t="s">
        <v>505</v>
      </c>
      <c r="C221" s="261">
        <v>7182</v>
      </c>
      <c r="E221" s="261" t="s">
        <v>505</v>
      </c>
      <c r="F221" s="261">
        <v>7137.31</v>
      </c>
      <c r="H221" s="261" t="s">
        <v>505</v>
      </c>
      <c r="I221" s="262">
        <v>3865</v>
      </c>
      <c r="K221" s="261">
        <v>216</v>
      </c>
      <c r="L221" s="262">
        <v>1574.97</v>
      </c>
      <c r="M221" s="352"/>
      <c r="N221" s="261">
        <v>217</v>
      </c>
      <c r="O221" s="262">
        <v>2532.38</v>
      </c>
      <c r="P221" s="352"/>
      <c r="Q221" s="261">
        <v>217</v>
      </c>
      <c r="R221" s="262">
        <v>988</v>
      </c>
      <c r="S221" s="352"/>
      <c r="T221" s="261">
        <v>217</v>
      </c>
      <c r="U221" s="262">
        <v>988</v>
      </c>
      <c r="V221" s="352"/>
      <c r="W221" s="261">
        <v>217</v>
      </c>
      <c r="X221" s="262">
        <v>1767</v>
      </c>
      <c r="Y221" s="352"/>
      <c r="Z221" s="261">
        <v>217</v>
      </c>
      <c r="AA221" s="262">
        <v>1803.67</v>
      </c>
      <c r="AB221" s="352"/>
      <c r="AC221" s="261">
        <v>217</v>
      </c>
      <c r="AD221" s="262">
        <v>5453.059999999994</v>
      </c>
      <c r="AE221" s="352"/>
      <c r="AF221" s="261">
        <v>217</v>
      </c>
      <c r="AG221" s="262">
        <v>14757.5</v>
      </c>
      <c r="AH221" s="352"/>
      <c r="AI221" s="261">
        <v>217</v>
      </c>
      <c r="AJ221" s="262">
        <v>6420</v>
      </c>
      <c r="AK221" s="352"/>
      <c r="AL221" s="261"/>
      <c r="AM221" s="262"/>
    </row>
    <row r="222" spans="2:39">
      <c r="B222" s="261" t="s">
        <v>506</v>
      </c>
      <c r="C222" s="261">
        <v>7213</v>
      </c>
      <c r="E222" s="261" t="s">
        <v>506</v>
      </c>
      <c r="F222" s="261">
        <v>7168.5700000000006</v>
      </c>
      <c r="H222" s="261" t="s">
        <v>506</v>
      </c>
      <c r="I222" s="262">
        <f>I221+18</f>
        <v>3883</v>
      </c>
      <c r="K222" s="261">
        <v>217</v>
      </c>
      <c r="L222" s="262">
        <v>1582.28</v>
      </c>
      <c r="M222" s="352"/>
      <c r="N222" s="261">
        <v>218</v>
      </c>
      <c r="O222" s="262">
        <v>2543.4699999999998</v>
      </c>
      <c r="P222" s="352"/>
      <c r="Q222" s="261">
        <v>218</v>
      </c>
      <c r="R222" s="262">
        <v>992</v>
      </c>
      <c r="S222" s="352"/>
      <c r="T222" s="261">
        <v>218</v>
      </c>
      <c r="U222" s="262">
        <v>992</v>
      </c>
      <c r="V222" s="352"/>
      <c r="W222" s="261">
        <v>218</v>
      </c>
      <c r="X222" s="262">
        <v>1774.5</v>
      </c>
      <c r="Y222" s="352"/>
      <c r="Z222" s="261">
        <v>218</v>
      </c>
      <c r="AA222" s="262">
        <v>1811.17</v>
      </c>
      <c r="AB222" s="352"/>
      <c r="AC222" s="261">
        <v>218</v>
      </c>
      <c r="AD222" s="262">
        <v>5478.7199999999939</v>
      </c>
      <c r="AE222" s="352"/>
      <c r="AF222" s="261">
        <v>218</v>
      </c>
      <c r="AG222" s="262">
        <v>14825.91</v>
      </c>
      <c r="AH222" s="352"/>
      <c r="AI222" s="261">
        <v>218</v>
      </c>
      <c r="AJ222" s="262">
        <v>6448</v>
      </c>
      <c r="AK222" s="352"/>
      <c r="AL222" s="261"/>
      <c r="AM222" s="262"/>
    </row>
    <row r="223" spans="2:39">
      <c r="B223" s="261" t="s">
        <v>507</v>
      </c>
      <c r="C223" s="261">
        <v>7245</v>
      </c>
      <c r="E223" s="261" t="s">
        <v>507</v>
      </c>
      <c r="F223" s="261">
        <v>7199.9</v>
      </c>
      <c r="H223" s="261" t="s">
        <v>507</v>
      </c>
      <c r="I223" s="262">
        <v>3900</v>
      </c>
      <c r="K223" s="261">
        <v>218</v>
      </c>
      <c r="L223" s="262">
        <v>1589.59</v>
      </c>
      <c r="M223" s="352"/>
      <c r="N223" s="261">
        <v>219</v>
      </c>
      <c r="O223" s="262">
        <v>2554.5700000000002</v>
      </c>
      <c r="P223" s="352"/>
      <c r="Q223" s="261">
        <v>219</v>
      </c>
      <c r="R223" s="262">
        <v>996</v>
      </c>
      <c r="S223" s="352"/>
      <c r="T223" s="261">
        <v>219</v>
      </c>
      <c r="U223" s="262">
        <v>996</v>
      </c>
      <c r="V223" s="352"/>
      <c r="W223" s="261">
        <v>219</v>
      </c>
      <c r="X223" s="262">
        <v>1782</v>
      </c>
      <c r="Y223" s="352"/>
      <c r="Z223" s="261">
        <v>219</v>
      </c>
      <c r="AA223" s="262">
        <v>1818.68</v>
      </c>
      <c r="AB223" s="352"/>
      <c r="AC223" s="261">
        <v>219</v>
      </c>
      <c r="AD223" s="262">
        <v>5504.3799999999937</v>
      </c>
      <c r="AE223" s="352"/>
      <c r="AF223" s="261">
        <v>219</v>
      </c>
      <c r="AG223" s="262">
        <v>14894.32</v>
      </c>
      <c r="AH223" s="352"/>
      <c r="AI223" s="261">
        <v>219</v>
      </c>
      <c r="AJ223" s="262">
        <v>6477</v>
      </c>
      <c r="AK223" s="352"/>
      <c r="AL223" s="261"/>
      <c r="AM223" s="262"/>
    </row>
    <row r="224" spans="2:39">
      <c r="B224" s="261" t="s">
        <v>508</v>
      </c>
      <c r="C224" s="261">
        <v>7276</v>
      </c>
      <c r="E224" s="261" t="s">
        <v>508</v>
      </c>
      <c r="F224" s="261">
        <v>7231.16</v>
      </c>
      <c r="H224" s="261" t="s">
        <v>508</v>
      </c>
      <c r="I224" s="262">
        <f>I223+18</f>
        <v>3918</v>
      </c>
      <c r="K224" s="261">
        <v>219</v>
      </c>
      <c r="L224" s="262">
        <v>1596.89</v>
      </c>
      <c r="M224" s="352"/>
      <c r="N224" s="261">
        <v>220</v>
      </c>
      <c r="O224" s="262">
        <v>2565.66</v>
      </c>
      <c r="P224" s="352"/>
      <c r="Q224" s="261">
        <v>220</v>
      </c>
      <c r="R224" s="262">
        <v>1000</v>
      </c>
      <c r="S224" s="352"/>
      <c r="T224" s="261">
        <v>220</v>
      </c>
      <c r="U224" s="262">
        <v>1000</v>
      </c>
      <c r="V224" s="352"/>
      <c r="W224" s="261">
        <v>220</v>
      </c>
      <c r="X224" s="262">
        <v>1789.5</v>
      </c>
      <c r="Y224" s="352"/>
      <c r="Z224" s="261">
        <v>220</v>
      </c>
      <c r="AA224" s="262">
        <v>1826.19</v>
      </c>
      <c r="AB224" s="352"/>
      <c r="AC224" s="261">
        <v>220</v>
      </c>
      <c r="AD224" s="262">
        <v>5530.0399999999936</v>
      </c>
      <c r="AE224" s="352"/>
      <c r="AF224" s="261">
        <v>220</v>
      </c>
      <c r="AG224" s="262">
        <v>14962.73</v>
      </c>
      <c r="AH224" s="352"/>
      <c r="AI224" s="261">
        <v>220</v>
      </c>
      <c r="AJ224" s="262">
        <v>6505</v>
      </c>
      <c r="AK224" s="352"/>
      <c r="AL224" s="261"/>
      <c r="AM224" s="262"/>
    </row>
    <row r="225" spans="2:39">
      <c r="B225" s="261" t="s">
        <v>509</v>
      </c>
      <c r="C225" s="261">
        <v>7308</v>
      </c>
      <c r="E225" s="261" t="s">
        <v>509</v>
      </c>
      <c r="F225" s="261">
        <v>7262.49</v>
      </c>
      <c r="H225" s="261" t="s">
        <v>509</v>
      </c>
      <c r="I225" s="262">
        <v>3935</v>
      </c>
      <c r="K225" s="261">
        <v>220</v>
      </c>
      <c r="L225" s="262">
        <v>1604.2</v>
      </c>
      <c r="M225" s="352"/>
      <c r="N225" s="261">
        <v>221</v>
      </c>
      <c r="O225" s="262">
        <v>2576.7600000000002</v>
      </c>
      <c r="P225" s="352"/>
      <c r="Q225" s="261">
        <v>221</v>
      </c>
      <c r="R225" s="262">
        <v>1004</v>
      </c>
      <c r="S225" s="352"/>
      <c r="T225" s="261">
        <v>221</v>
      </c>
      <c r="U225" s="262">
        <v>1004</v>
      </c>
      <c r="V225" s="352"/>
      <c r="W225" s="261">
        <v>221</v>
      </c>
      <c r="X225" s="262">
        <v>1797</v>
      </c>
      <c r="Y225" s="352"/>
      <c r="Z225" s="261">
        <v>221</v>
      </c>
      <c r="AA225" s="262">
        <v>1833.69</v>
      </c>
      <c r="AB225" s="352"/>
      <c r="AC225" s="261">
        <v>221</v>
      </c>
      <c r="AD225" s="262">
        <v>5555.7099999999937</v>
      </c>
      <c r="AE225" s="352"/>
      <c r="AF225" s="261">
        <v>221</v>
      </c>
      <c r="AG225" s="262">
        <v>15031.14</v>
      </c>
      <c r="AH225" s="352"/>
      <c r="AI225" s="261">
        <v>221</v>
      </c>
      <c r="AJ225" s="262">
        <v>6534</v>
      </c>
      <c r="AK225" s="352"/>
      <c r="AL225" s="261"/>
      <c r="AM225" s="262"/>
    </row>
    <row r="226" spans="2:39">
      <c r="B226" s="261" t="s">
        <v>510</v>
      </c>
      <c r="C226" s="261">
        <v>7339</v>
      </c>
      <c r="E226" s="261" t="s">
        <v>510</v>
      </c>
      <c r="F226" s="261">
        <v>7293.75</v>
      </c>
      <c r="H226" s="261" t="s">
        <v>510</v>
      </c>
      <c r="I226" s="262">
        <f>I225+18</f>
        <v>3953</v>
      </c>
      <c r="K226" s="261">
        <v>221</v>
      </c>
      <c r="L226" s="262">
        <v>1611.5</v>
      </c>
      <c r="M226" s="352"/>
      <c r="N226" s="261">
        <v>222</v>
      </c>
      <c r="O226" s="262">
        <v>2587.86</v>
      </c>
      <c r="P226" s="352"/>
      <c r="Q226" s="261">
        <v>222</v>
      </c>
      <c r="R226" s="262">
        <v>1008</v>
      </c>
      <c r="S226" s="352"/>
      <c r="T226" s="261">
        <v>222</v>
      </c>
      <c r="U226" s="262">
        <v>1009</v>
      </c>
      <c r="V226" s="352"/>
      <c r="W226" s="261">
        <v>222</v>
      </c>
      <c r="X226" s="262">
        <v>1804.5</v>
      </c>
      <c r="Y226" s="352"/>
      <c r="Z226" s="261">
        <v>222</v>
      </c>
      <c r="AA226" s="262">
        <v>1841.2</v>
      </c>
      <c r="AB226" s="352"/>
      <c r="AC226" s="261">
        <v>222</v>
      </c>
      <c r="AD226" s="262">
        <v>5581.3699999999935</v>
      </c>
      <c r="AE226" s="352"/>
      <c r="AF226" s="261">
        <v>222</v>
      </c>
      <c r="AG226" s="262">
        <v>15099.54</v>
      </c>
      <c r="AH226" s="352"/>
      <c r="AI226" s="261">
        <v>222</v>
      </c>
      <c r="AJ226" s="262">
        <v>6562</v>
      </c>
      <c r="AK226" s="352"/>
      <c r="AL226" s="261"/>
      <c r="AM226" s="262"/>
    </row>
    <row r="227" spans="2:39">
      <c r="B227" s="261" t="s">
        <v>511</v>
      </c>
      <c r="C227" s="261">
        <v>7371</v>
      </c>
      <c r="E227" s="261" t="s">
        <v>511</v>
      </c>
      <c r="F227" s="261">
        <v>7325.07</v>
      </c>
      <c r="H227" s="261" t="s">
        <v>511</v>
      </c>
      <c r="I227" s="262">
        <v>3971</v>
      </c>
      <c r="K227" s="261">
        <v>222</v>
      </c>
      <c r="L227" s="262">
        <v>1618.81</v>
      </c>
      <c r="M227" s="352"/>
      <c r="N227" s="261">
        <v>223</v>
      </c>
      <c r="O227" s="262">
        <v>2598.9499999999998</v>
      </c>
      <c r="P227" s="352"/>
      <c r="Q227" s="261">
        <v>223</v>
      </c>
      <c r="R227" s="262">
        <v>1012</v>
      </c>
      <c r="S227" s="352"/>
      <c r="T227" s="261">
        <v>223</v>
      </c>
      <c r="U227" s="262">
        <v>1013</v>
      </c>
      <c r="V227" s="352"/>
      <c r="W227" s="261">
        <v>223</v>
      </c>
      <c r="X227" s="262">
        <v>1812</v>
      </c>
      <c r="Y227" s="352"/>
      <c r="Z227" s="261">
        <v>223</v>
      </c>
      <c r="AA227" s="262">
        <v>1848.71</v>
      </c>
      <c r="AB227" s="352"/>
      <c r="AC227" s="261">
        <v>223</v>
      </c>
      <c r="AD227" s="262">
        <v>5607.0299999999934</v>
      </c>
      <c r="AE227" s="352"/>
      <c r="AF227" s="261">
        <v>223</v>
      </c>
      <c r="AG227" s="262">
        <v>15167.95</v>
      </c>
      <c r="AH227" s="352"/>
      <c r="AI227" s="261">
        <v>223</v>
      </c>
      <c r="AJ227" s="262">
        <v>6590</v>
      </c>
      <c r="AK227" s="352"/>
      <c r="AL227" s="261"/>
      <c r="AM227" s="262"/>
    </row>
    <row r="228" spans="2:39">
      <c r="B228" s="261" t="s">
        <v>512</v>
      </c>
      <c r="C228" s="261">
        <v>7402</v>
      </c>
      <c r="E228" s="261" t="s">
        <v>512</v>
      </c>
      <c r="F228" s="261">
        <v>7356.33</v>
      </c>
      <c r="H228" s="261" t="s">
        <v>512</v>
      </c>
      <c r="I228" s="262">
        <f>I227+18</f>
        <v>3989</v>
      </c>
      <c r="K228" s="261">
        <v>223</v>
      </c>
      <c r="L228" s="262">
        <v>1626.11</v>
      </c>
      <c r="M228" s="352"/>
      <c r="N228" s="261">
        <v>224</v>
      </c>
      <c r="O228" s="262">
        <v>2610.0500000000002</v>
      </c>
      <c r="P228" s="352"/>
      <c r="Q228" s="261">
        <v>224</v>
      </c>
      <c r="R228" s="262">
        <v>1016</v>
      </c>
      <c r="S228" s="352"/>
      <c r="T228" s="261">
        <v>224</v>
      </c>
      <c r="U228" s="262">
        <v>1017</v>
      </c>
      <c r="V228" s="352"/>
      <c r="W228" s="261">
        <v>224</v>
      </c>
      <c r="X228" s="262">
        <v>1819.5</v>
      </c>
      <c r="Y228" s="352"/>
      <c r="Z228" s="261">
        <v>224</v>
      </c>
      <c r="AA228" s="262">
        <v>1856.21</v>
      </c>
      <c r="AB228" s="352"/>
      <c r="AC228" s="261">
        <v>224</v>
      </c>
      <c r="AD228" s="262">
        <v>5632.6899999999932</v>
      </c>
      <c r="AE228" s="352"/>
      <c r="AF228" s="261">
        <v>224</v>
      </c>
      <c r="AG228" s="262">
        <v>15236.36</v>
      </c>
      <c r="AH228" s="352"/>
      <c r="AI228" s="261">
        <v>224</v>
      </c>
      <c r="AJ228" s="262">
        <v>6619</v>
      </c>
      <c r="AK228" s="352"/>
      <c r="AL228" s="261"/>
      <c r="AM228" s="262"/>
    </row>
    <row r="229" spans="2:39">
      <c r="B229" s="261" t="s">
        <v>513</v>
      </c>
      <c r="C229" s="261">
        <v>7433</v>
      </c>
      <c r="E229" s="261" t="s">
        <v>513</v>
      </c>
      <c r="F229" s="261">
        <v>7387.67</v>
      </c>
      <c r="H229" s="261" t="s">
        <v>513</v>
      </c>
      <c r="I229" s="262">
        <v>4006</v>
      </c>
      <c r="K229" s="261">
        <v>224</v>
      </c>
      <c r="L229" s="262">
        <v>1633.42</v>
      </c>
      <c r="M229" s="352"/>
      <c r="N229" s="261">
        <v>225</v>
      </c>
      <c r="O229" s="262">
        <v>2621.14</v>
      </c>
      <c r="P229" s="352"/>
      <c r="Q229" s="261">
        <v>225</v>
      </c>
      <c r="R229" s="262">
        <v>1021</v>
      </c>
      <c r="S229" s="352"/>
      <c r="T229" s="261">
        <v>225</v>
      </c>
      <c r="U229" s="262">
        <v>1021</v>
      </c>
      <c r="V229" s="352"/>
      <c r="W229" s="261">
        <v>225</v>
      </c>
      <c r="X229" s="262">
        <v>1827</v>
      </c>
      <c r="Y229" s="352"/>
      <c r="Z229" s="261">
        <v>225</v>
      </c>
      <c r="AA229" s="262">
        <v>1863.72</v>
      </c>
      <c r="AB229" s="352"/>
      <c r="AC229" s="261">
        <v>225</v>
      </c>
      <c r="AD229" s="262">
        <v>5658.3499999999931</v>
      </c>
      <c r="AE229" s="352"/>
      <c r="AF229" s="261">
        <v>225</v>
      </c>
      <c r="AG229" s="262">
        <v>15304.77</v>
      </c>
      <c r="AH229" s="352"/>
      <c r="AI229" s="261">
        <v>225</v>
      </c>
      <c r="AJ229" s="262">
        <v>6647</v>
      </c>
      <c r="AK229" s="352"/>
      <c r="AL229" s="261"/>
      <c r="AM229" s="262"/>
    </row>
    <row r="230" spans="2:39">
      <c r="B230" s="261" t="s">
        <v>514</v>
      </c>
      <c r="C230" s="261">
        <v>7464</v>
      </c>
      <c r="E230" s="261" t="s">
        <v>514</v>
      </c>
      <c r="F230" s="261">
        <v>7418.93</v>
      </c>
      <c r="H230" s="261" t="s">
        <v>514</v>
      </c>
      <c r="I230" s="262">
        <f>I229+18</f>
        <v>4024</v>
      </c>
      <c r="K230" s="261">
        <v>225</v>
      </c>
      <c r="L230" s="262">
        <v>1640.72</v>
      </c>
      <c r="M230" s="352"/>
      <c r="N230" s="261">
        <v>226</v>
      </c>
      <c r="O230" s="262">
        <v>2632.24</v>
      </c>
      <c r="P230" s="352"/>
      <c r="Q230" s="261">
        <v>226</v>
      </c>
      <c r="R230" s="262">
        <v>1025</v>
      </c>
      <c r="S230" s="352"/>
      <c r="T230" s="261">
        <v>226</v>
      </c>
      <c r="U230" s="262">
        <v>1025</v>
      </c>
      <c r="V230" s="352"/>
      <c r="W230" s="261">
        <v>226</v>
      </c>
      <c r="X230" s="262">
        <v>1834.5</v>
      </c>
      <c r="Y230" s="352"/>
      <c r="Z230" s="261">
        <v>226</v>
      </c>
      <c r="AA230" s="262">
        <v>1871.23</v>
      </c>
      <c r="AB230" s="352"/>
      <c r="AC230" s="261">
        <v>226</v>
      </c>
      <c r="AD230" s="262">
        <v>5684.0199999999932</v>
      </c>
      <c r="AE230" s="352"/>
      <c r="AF230" s="261">
        <v>226</v>
      </c>
      <c r="AG230" s="262">
        <v>15373.18</v>
      </c>
      <c r="AH230" s="352"/>
      <c r="AI230" s="261">
        <v>226</v>
      </c>
      <c r="AJ230" s="262">
        <v>6676</v>
      </c>
      <c r="AK230" s="352"/>
      <c r="AL230" s="261"/>
      <c r="AM230" s="262"/>
    </row>
    <row r="231" spans="2:39">
      <c r="B231" s="261" t="s">
        <v>515</v>
      </c>
      <c r="C231" s="261">
        <v>7496</v>
      </c>
      <c r="E231" s="261" t="s">
        <v>515</v>
      </c>
      <c r="F231" s="261">
        <v>7450.25</v>
      </c>
      <c r="H231" s="261" t="s">
        <v>515</v>
      </c>
      <c r="I231" s="262">
        <v>4041</v>
      </c>
      <c r="K231" s="261">
        <v>226</v>
      </c>
      <c r="L231" s="262">
        <v>1648.02</v>
      </c>
      <c r="M231" s="352"/>
      <c r="N231" s="261">
        <v>227</v>
      </c>
      <c r="O231" s="262">
        <v>2643.34</v>
      </c>
      <c r="P231" s="352"/>
      <c r="Q231" s="261">
        <v>227</v>
      </c>
      <c r="R231" s="262">
        <v>1029</v>
      </c>
      <c r="S231" s="352"/>
      <c r="T231" s="261">
        <v>227</v>
      </c>
      <c r="U231" s="262">
        <v>1029</v>
      </c>
      <c r="V231" s="352"/>
      <c r="W231" s="261">
        <v>227</v>
      </c>
      <c r="X231" s="262">
        <v>1842</v>
      </c>
      <c r="Y231" s="352"/>
      <c r="Z231" s="261">
        <v>227</v>
      </c>
      <c r="AA231" s="262">
        <v>1878.73</v>
      </c>
      <c r="AB231" s="352"/>
      <c r="AC231" s="261">
        <v>227</v>
      </c>
      <c r="AD231" s="262">
        <v>5709.679999999993</v>
      </c>
      <c r="AE231" s="352"/>
      <c r="AF231" s="261">
        <v>227</v>
      </c>
      <c r="AG231" s="262">
        <v>15441.59</v>
      </c>
      <c r="AH231" s="352"/>
      <c r="AI231" s="261">
        <v>227</v>
      </c>
      <c r="AJ231" s="262">
        <v>6704</v>
      </c>
      <c r="AK231" s="352"/>
      <c r="AL231" s="261"/>
      <c r="AM231" s="262"/>
    </row>
    <row r="232" spans="2:39">
      <c r="B232" s="261" t="s">
        <v>516</v>
      </c>
      <c r="C232" s="261">
        <v>7527</v>
      </c>
      <c r="E232" s="261" t="s">
        <v>516</v>
      </c>
      <c r="F232" s="261">
        <v>7481.51</v>
      </c>
      <c r="H232" s="261" t="s">
        <v>516</v>
      </c>
      <c r="I232" s="262">
        <f>I231+18</f>
        <v>4059</v>
      </c>
      <c r="K232" s="261">
        <v>227</v>
      </c>
      <c r="L232" s="262">
        <v>1655.33</v>
      </c>
      <c r="M232" s="352"/>
      <c r="N232" s="261">
        <v>228</v>
      </c>
      <c r="O232" s="262">
        <v>2654.43</v>
      </c>
      <c r="P232" s="352"/>
      <c r="Q232" s="261">
        <v>228</v>
      </c>
      <c r="R232" s="262">
        <v>1033</v>
      </c>
      <c r="S232" s="352"/>
      <c r="T232" s="261">
        <v>228</v>
      </c>
      <c r="U232" s="262">
        <v>1033</v>
      </c>
      <c r="V232" s="352"/>
      <c r="W232" s="261">
        <v>228</v>
      </c>
      <c r="X232" s="262">
        <v>1828</v>
      </c>
      <c r="Y232" s="352"/>
      <c r="Z232" s="261">
        <v>228</v>
      </c>
      <c r="AA232" s="262">
        <v>1886.24</v>
      </c>
      <c r="AB232" s="352"/>
      <c r="AC232" s="261">
        <v>228</v>
      </c>
      <c r="AD232" s="262">
        <v>5735.3399999999929</v>
      </c>
      <c r="AE232" s="352"/>
      <c r="AF232" s="261">
        <v>228</v>
      </c>
      <c r="AG232" s="262">
        <v>15510</v>
      </c>
      <c r="AH232" s="352"/>
      <c r="AI232" s="261">
        <v>228</v>
      </c>
      <c r="AJ232" s="262">
        <v>6732</v>
      </c>
      <c r="AK232" s="352"/>
      <c r="AL232" s="261"/>
      <c r="AM232" s="262"/>
    </row>
    <row r="233" spans="2:39">
      <c r="B233" s="261" t="s">
        <v>517</v>
      </c>
      <c r="C233" s="261">
        <v>7559</v>
      </c>
      <c r="E233" s="261" t="s">
        <v>517</v>
      </c>
      <c r="F233" s="261">
        <v>7512.83</v>
      </c>
      <c r="H233" s="261" t="s">
        <v>517</v>
      </c>
      <c r="I233" s="262">
        <v>4077</v>
      </c>
      <c r="K233" s="261">
        <v>228</v>
      </c>
      <c r="L233" s="262">
        <v>1662.64</v>
      </c>
      <c r="M233" s="352"/>
      <c r="N233" s="261">
        <v>229</v>
      </c>
      <c r="O233" s="262">
        <v>2665.53</v>
      </c>
      <c r="P233" s="352"/>
      <c r="Q233" s="261">
        <v>229</v>
      </c>
      <c r="R233" s="262">
        <v>1037</v>
      </c>
      <c r="S233" s="352"/>
      <c r="T233" s="261">
        <v>229</v>
      </c>
      <c r="U233" s="262">
        <v>1037</v>
      </c>
      <c r="V233" s="352"/>
      <c r="W233" s="261">
        <v>229</v>
      </c>
      <c r="X233" s="262">
        <v>1836</v>
      </c>
      <c r="Y233" s="352"/>
      <c r="Z233" s="261">
        <v>229</v>
      </c>
      <c r="AA233" s="262">
        <v>1893.75</v>
      </c>
      <c r="AB233" s="352"/>
      <c r="AC233" s="261">
        <v>229</v>
      </c>
      <c r="AD233" s="262">
        <v>5760.9999999999927</v>
      </c>
      <c r="AE233" s="352"/>
      <c r="AF233" s="261">
        <v>229</v>
      </c>
      <c r="AG233" s="262">
        <v>15578.41</v>
      </c>
      <c r="AH233" s="352"/>
      <c r="AI233" s="261">
        <v>229</v>
      </c>
      <c r="AJ233" s="262">
        <v>6761</v>
      </c>
      <c r="AK233" s="352"/>
      <c r="AL233" s="261"/>
      <c r="AM233" s="262"/>
    </row>
    <row r="234" spans="2:39">
      <c r="B234" s="261" t="s">
        <v>518</v>
      </c>
      <c r="C234" s="261">
        <v>7590</v>
      </c>
      <c r="E234" s="261" t="s">
        <v>518</v>
      </c>
      <c r="F234" s="261">
        <v>7544.09</v>
      </c>
      <c r="H234" s="261" t="s">
        <v>518</v>
      </c>
      <c r="I234" s="262">
        <f>I233+18</f>
        <v>4095</v>
      </c>
      <c r="K234" s="261">
        <v>229</v>
      </c>
      <c r="L234" s="262">
        <v>1669.94</v>
      </c>
      <c r="M234" s="352"/>
      <c r="N234" s="261">
        <v>230</v>
      </c>
      <c r="O234" s="262">
        <v>2676.62</v>
      </c>
      <c r="P234" s="352"/>
      <c r="Q234" s="261">
        <v>230</v>
      </c>
      <c r="R234" s="262">
        <v>1041</v>
      </c>
      <c r="S234" s="352"/>
      <c r="T234" s="261">
        <v>230</v>
      </c>
      <c r="U234" s="262">
        <v>1042</v>
      </c>
      <c r="V234" s="352"/>
      <c r="W234" s="261">
        <v>230</v>
      </c>
      <c r="X234" s="262">
        <v>1843</v>
      </c>
      <c r="Y234" s="352"/>
      <c r="Z234" s="261">
        <v>230</v>
      </c>
      <c r="AA234" s="262">
        <v>1901.25</v>
      </c>
      <c r="AB234" s="352"/>
      <c r="AC234" s="261">
        <v>230</v>
      </c>
      <c r="AD234" s="262">
        <v>5786.6599999999926</v>
      </c>
      <c r="AE234" s="352"/>
      <c r="AF234" s="261">
        <v>230</v>
      </c>
      <c r="AG234" s="262">
        <v>15646.83</v>
      </c>
      <c r="AH234" s="352"/>
      <c r="AI234" s="261">
        <v>230</v>
      </c>
      <c r="AJ234" s="262">
        <v>6789</v>
      </c>
      <c r="AK234" s="352"/>
      <c r="AL234" s="261"/>
      <c r="AM234" s="262"/>
    </row>
    <row r="235" spans="2:39">
      <c r="B235" s="261" t="s">
        <v>519</v>
      </c>
      <c r="C235" s="261">
        <v>7622</v>
      </c>
      <c r="E235" s="261" t="s">
        <v>519</v>
      </c>
      <c r="F235" s="261">
        <v>7575.42</v>
      </c>
      <c r="H235" s="261" t="s">
        <v>519</v>
      </c>
      <c r="I235" s="262">
        <v>4112</v>
      </c>
      <c r="K235" s="261">
        <v>230</v>
      </c>
      <c r="L235" s="262">
        <v>1677.25</v>
      </c>
      <c r="M235" s="352"/>
      <c r="N235" s="261">
        <v>231</v>
      </c>
      <c r="O235" s="262">
        <v>2687.72</v>
      </c>
      <c r="P235" s="352"/>
      <c r="Q235" s="261">
        <v>231</v>
      </c>
      <c r="R235" s="262">
        <v>1045</v>
      </c>
      <c r="S235" s="352"/>
      <c r="T235" s="261">
        <v>231</v>
      </c>
      <c r="U235" s="262">
        <v>1046</v>
      </c>
      <c r="V235" s="352"/>
      <c r="W235" s="261">
        <v>231</v>
      </c>
      <c r="X235" s="262">
        <v>1851</v>
      </c>
      <c r="Y235" s="352"/>
      <c r="Z235" s="261">
        <v>231</v>
      </c>
      <c r="AA235" s="262">
        <v>1908.76</v>
      </c>
      <c r="AB235" s="352"/>
      <c r="AC235" s="261">
        <v>231</v>
      </c>
      <c r="AD235" s="262">
        <v>5812.3299999999927</v>
      </c>
      <c r="AE235" s="352"/>
      <c r="AF235" s="261">
        <v>231</v>
      </c>
      <c r="AG235" s="262">
        <v>15715.26</v>
      </c>
      <c r="AH235" s="352"/>
      <c r="AI235" s="261">
        <v>231</v>
      </c>
      <c r="AJ235" s="262">
        <v>6818</v>
      </c>
      <c r="AK235" s="352"/>
      <c r="AL235" s="261"/>
      <c r="AM235" s="262"/>
    </row>
    <row r="236" spans="2:39">
      <c r="B236" s="261" t="s">
        <v>520</v>
      </c>
      <c r="C236" s="261">
        <v>7653</v>
      </c>
      <c r="E236" s="261" t="s">
        <v>520</v>
      </c>
      <c r="F236" s="261">
        <v>7606.68</v>
      </c>
      <c r="H236" s="261" t="s">
        <v>520</v>
      </c>
      <c r="I236" s="262">
        <f>I235+18</f>
        <v>4130</v>
      </c>
      <c r="K236" s="261">
        <v>231</v>
      </c>
      <c r="L236" s="262">
        <v>1684.56</v>
      </c>
      <c r="M236" s="352"/>
      <c r="N236" s="261">
        <v>232</v>
      </c>
      <c r="O236" s="262">
        <v>2698.81</v>
      </c>
      <c r="P236" s="352"/>
      <c r="Q236" s="261">
        <v>232</v>
      </c>
      <c r="R236" s="262">
        <v>1050</v>
      </c>
      <c r="S236" s="352"/>
      <c r="T236" s="261">
        <v>232</v>
      </c>
      <c r="U236" s="262">
        <v>1050</v>
      </c>
      <c r="V236" s="352"/>
      <c r="W236" s="261">
        <v>232</v>
      </c>
      <c r="X236" s="262">
        <v>1858</v>
      </c>
      <c r="Y236" s="352"/>
      <c r="Z236" s="261">
        <v>232</v>
      </c>
      <c r="AA236" s="262">
        <v>1916.27</v>
      </c>
      <c r="AB236" s="352"/>
      <c r="AC236" s="261">
        <v>232</v>
      </c>
      <c r="AD236" s="262">
        <v>5837.9899999999925</v>
      </c>
      <c r="AE236" s="352"/>
      <c r="AF236" s="261">
        <v>232</v>
      </c>
      <c r="AG236" s="262">
        <v>15783.68</v>
      </c>
      <c r="AH236" s="352"/>
      <c r="AI236" s="261">
        <v>232</v>
      </c>
      <c r="AJ236" s="262">
        <v>6846</v>
      </c>
      <c r="AK236" s="352"/>
      <c r="AL236" s="261"/>
      <c r="AM236" s="262"/>
    </row>
    <row r="237" spans="2:39">
      <c r="B237" s="261" t="s">
        <v>521</v>
      </c>
      <c r="C237" s="261">
        <v>7685</v>
      </c>
      <c r="E237" s="261" t="s">
        <v>521</v>
      </c>
      <c r="F237" s="261">
        <v>7638.01</v>
      </c>
      <c r="H237" s="261" t="s">
        <v>521</v>
      </c>
      <c r="I237" s="262">
        <v>4147</v>
      </c>
      <c r="K237" s="261">
        <v>232</v>
      </c>
      <c r="L237" s="262">
        <v>1691.86</v>
      </c>
      <c r="M237" s="352"/>
      <c r="N237" s="261">
        <v>233</v>
      </c>
      <c r="O237" s="262">
        <v>2709.91</v>
      </c>
      <c r="P237" s="352"/>
      <c r="Q237" s="261">
        <v>233</v>
      </c>
      <c r="R237" s="262">
        <v>1054</v>
      </c>
      <c r="S237" s="352"/>
      <c r="T237" s="261">
        <v>233</v>
      </c>
      <c r="U237" s="262">
        <v>1054</v>
      </c>
      <c r="V237" s="352"/>
      <c r="W237" s="261">
        <v>233</v>
      </c>
      <c r="X237" s="262">
        <v>1866</v>
      </c>
      <c r="Y237" s="352"/>
      <c r="Z237" s="261">
        <v>233</v>
      </c>
      <c r="AA237" s="262">
        <v>1923.77</v>
      </c>
      <c r="AB237" s="352"/>
      <c r="AC237" s="261">
        <v>233</v>
      </c>
      <c r="AD237" s="262">
        <v>5863.6499999999924</v>
      </c>
      <c r="AE237" s="352"/>
      <c r="AF237" s="261">
        <v>233</v>
      </c>
      <c r="AG237" s="262">
        <v>15852.1</v>
      </c>
      <c r="AH237" s="352"/>
      <c r="AI237" s="261">
        <v>233</v>
      </c>
      <c r="AJ237" s="262">
        <v>6874</v>
      </c>
      <c r="AK237" s="352"/>
      <c r="AL237" s="261"/>
      <c r="AM237" s="262"/>
    </row>
    <row r="238" spans="2:39">
      <c r="B238" s="261" t="s">
        <v>522</v>
      </c>
      <c r="C238" s="261">
        <v>7716</v>
      </c>
      <c r="E238" s="261" t="s">
        <v>522</v>
      </c>
      <c r="F238" s="261">
        <v>7669.27</v>
      </c>
      <c r="H238" s="261" t="s">
        <v>522</v>
      </c>
      <c r="I238" s="262">
        <f>I237+18</f>
        <v>4165</v>
      </c>
      <c r="K238" s="261">
        <v>233</v>
      </c>
      <c r="L238" s="262">
        <v>1699.16</v>
      </c>
      <c r="M238" s="352"/>
      <c r="N238" s="261">
        <v>234</v>
      </c>
      <c r="O238" s="262">
        <v>2721.01</v>
      </c>
      <c r="P238" s="352"/>
      <c r="Q238" s="261">
        <v>234</v>
      </c>
      <c r="R238" s="262">
        <v>1058</v>
      </c>
      <c r="S238" s="352"/>
      <c r="T238" s="261">
        <v>234</v>
      </c>
      <c r="U238" s="262">
        <v>1058</v>
      </c>
      <c r="V238" s="352"/>
      <c r="W238" s="261">
        <v>234</v>
      </c>
      <c r="X238" s="262">
        <v>1873</v>
      </c>
      <c r="Y238" s="352"/>
      <c r="Z238" s="261">
        <v>234</v>
      </c>
      <c r="AA238" s="262">
        <v>1931.28</v>
      </c>
      <c r="AB238" s="352"/>
      <c r="AC238" s="261">
        <v>234</v>
      </c>
      <c r="AD238" s="262">
        <v>5889.3099999999922</v>
      </c>
      <c r="AE238" s="352"/>
      <c r="AF238" s="261">
        <v>234</v>
      </c>
      <c r="AG238" s="262">
        <v>15920.53</v>
      </c>
      <c r="AH238" s="352"/>
      <c r="AI238" s="261">
        <v>234</v>
      </c>
      <c r="AJ238" s="262">
        <v>6903</v>
      </c>
      <c r="AK238" s="352"/>
      <c r="AL238" s="261"/>
      <c r="AM238" s="262"/>
    </row>
    <row r="239" spans="2:39">
      <c r="B239" s="261" t="s">
        <v>523</v>
      </c>
      <c r="C239" s="261">
        <v>7747</v>
      </c>
      <c r="E239" s="261" t="s">
        <v>523</v>
      </c>
      <c r="F239" s="261">
        <v>7700.6</v>
      </c>
      <c r="H239" s="261" t="s">
        <v>523</v>
      </c>
      <c r="I239" s="262">
        <v>4183</v>
      </c>
      <c r="K239" s="261">
        <v>234</v>
      </c>
      <c r="L239" s="262">
        <v>1706.47</v>
      </c>
      <c r="M239" s="352"/>
      <c r="N239" s="261">
        <v>235</v>
      </c>
      <c r="O239" s="262">
        <v>2732.1</v>
      </c>
      <c r="P239" s="352"/>
      <c r="Q239" s="261">
        <v>235</v>
      </c>
      <c r="R239" s="262">
        <v>1062</v>
      </c>
      <c r="S239" s="352"/>
      <c r="T239" s="261">
        <v>235</v>
      </c>
      <c r="U239" s="262">
        <v>1062</v>
      </c>
      <c r="V239" s="352"/>
      <c r="W239" s="261">
        <v>235</v>
      </c>
      <c r="X239" s="262">
        <v>1881</v>
      </c>
      <c r="Y239" s="352"/>
      <c r="Z239" s="261">
        <v>235</v>
      </c>
      <c r="AA239" s="262">
        <v>1938.79</v>
      </c>
      <c r="AB239" s="352"/>
      <c r="AC239" s="261">
        <v>235</v>
      </c>
      <c r="AD239" s="262">
        <v>5914.9699999999921</v>
      </c>
      <c r="AE239" s="352"/>
      <c r="AF239" s="261">
        <v>235</v>
      </c>
      <c r="AG239" s="262">
        <v>15988.95</v>
      </c>
      <c r="AH239" s="352"/>
      <c r="AI239" s="261">
        <v>235</v>
      </c>
      <c r="AJ239" s="262">
        <v>6931</v>
      </c>
      <c r="AK239" s="352"/>
      <c r="AL239" s="261"/>
      <c r="AM239" s="262"/>
    </row>
    <row r="240" spans="2:39">
      <c r="B240" s="261" t="s">
        <v>524</v>
      </c>
      <c r="C240" s="261">
        <v>7778</v>
      </c>
      <c r="E240" s="261" t="s">
        <v>524</v>
      </c>
      <c r="F240" s="261">
        <v>7731.8600000000006</v>
      </c>
      <c r="H240" s="261" t="s">
        <v>524</v>
      </c>
      <c r="I240" s="262">
        <f>I239+18</f>
        <v>4201</v>
      </c>
      <c r="K240" s="261">
        <v>235</v>
      </c>
      <c r="L240" s="262">
        <v>1713.77</v>
      </c>
      <c r="M240" s="352"/>
      <c r="N240" s="261">
        <v>236</v>
      </c>
      <c r="O240" s="262">
        <v>2743.2</v>
      </c>
      <c r="P240" s="352"/>
      <c r="Q240" s="261">
        <v>236</v>
      </c>
      <c r="R240" s="262">
        <v>1066</v>
      </c>
      <c r="S240" s="352"/>
      <c r="T240" s="261">
        <v>236</v>
      </c>
      <c r="U240" s="262">
        <v>1066</v>
      </c>
      <c r="V240" s="352"/>
      <c r="W240" s="261">
        <v>236</v>
      </c>
      <c r="X240" s="262">
        <v>1888</v>
      </c>
      <c r="Y240" s="352"/>
      <c r="Z240" s="261">
        <v>236</v>
      </c>
      <c r="AA240" s="262">
        <v>1946.29</v>
      </c>
      <c r="AB240" s="352"/>
      <c r="AC240" s="261">
        <v>236</v>
      </c>
      <c r="AD240" s="262">
        <v>5940.6399999999921</v>
      </c>
      <c r="AE240" s="352"/>
      <c r="AF240" s="261">
        <v>236</v>
      </c>
      <c r="AG240" s="262">
        <v>16057.38</v>
      </c>
      <c r="AH240" s="352"/>
      <c r="AI240" s="261">
        <v>236</v>
      </c>
      <c r="AJ240" s="262">
        <v>6960</v>
      </c>
      <c r="AK240" s="352"/>
      <c r="AL240" s="261"/>
      <c r="AM240" s="262"/>
    </row>
    <row r="241" spans="2:39">
      <c r="B241" s="261" t="s">
        <v>525</v>
      </c>
      <c r="C241" s="261">
        <v>7810</v>
      </c>
      <c r="E241" s="261" t="s">
        <v>525</v>
      </c>
      <c r="F241" s="261">
        <v>7763.18</v>
      </c>
      <c r="H241" s="261" t="s">
        <v>525</v>
      </c>
      <c r="I241" s="262">
        <v>4218</v>
      </c>
      <c r="K241" s="261">
        <v>236</v>
      </c>
      <c r="L241" s="262">
        <v>1721.08</v>
      </c>
      <c r="M241" s="352"/>
      <c r="N241" s="261">
        <v>237</v>
      </c>
      <c r="O241" s="262">
        <v>2754.29</v>
      </c>
      <c r="P241" s="352"/>
      <c r="Q241" s="261">
        <v>237</v>
      </c>
      <c r="R241" s="262">
        <v>1070</v>
      </c>
      <c r="S241" s="352"/>
      <c r="T241" s="261">
        <v>237</v>
      </c>
      <c r="U241" s="262">
        <v>1071</v>
      </c>
      <c r="V241" s="352"/>
      <c r="W241" s="261">
        <v>237</v>
      </c>
      <c r="X241" s="262">
        <v>1896</v>
      </c>
      <c r="Y241" s="352"/>
      <c r="Z241" s="261">
        <v>237</v>
      </c>
      <c r="AA241" s="262">
        <v>1953.8</v>
      </c>
      <c r="AB241" s="352"/>
      <c r="AC241" s="261">
        <v>237</v>
      </c>
      <c r="AD241" s="262">
        <v>5966.299999999992</v>
      </c>
      <c r="AE241" s="352"/>
      <c r="AF241" s="261">
        <v>237</v>
      </c>
      <c r="AG241" s="262">
        <v>16125.8</v>
      </c>
      <c r="AH241" s="352"/>
      <c r="AI241" s="261">
        <v>237</v>
      </c>
      <c r="AJ241" s="262">
        <v>6988</v>
      </c>
      <c r="AK241" s="352"/>
      <c r="AL241" s="261"/>
      <c r="AM241" s="262"/>
    </row>
    <row r="242" spans="2:39">
      <c r="B242" s="261" t="s">
        <v>526</v>
      </c>
      <c r="C242" s="261">
        <v>7841</v>
      </c>
      <c r="E242" s="261" t="s">
        <v>526</v>
      </c>
      <c r="F242" s="261">
        <v>7794.4400000000005</v>
      </c>
      <c r="H242" s="261" t="s">
        <v>526</v>
      </c>
      <c r="I242" s="262">
        <f>I241+18</f>
        <v>4236</v>
      </c>
      <c r="K242" s="261">
        <v>237</v>
      </c>
      <c r="L242" s="262">
        <v>1728.38</v>
      </c>
      <c r="M242" s="352"/>
      <c r="N242" s="261">
        <v>238</v>
      </c>
      <c r="O242" s="262">
        <v>2765.39</v>
      </c>
      <c r="P242" s="352"/>
      <c r="Q242" s="261">
        <v>238</v>
      </c>
      <c r="R242" s="262">
        <v>1074</v>
      </c>
      <c r="S242" s="352"/>
      <c r="T242" s="261">
        <v>238</v>
      </c>
      <c r="U242" s="262">
        <v>1075</v>
      </c>
      <c r="V242" s="352"/>
      <c r="W242" s="261">
        <v>238</v>
      </c>
      <c r="X242" s="262">
        <v>1903</v>
      </c>
      <c r="Y242" s="352"/>
      <c r="Z242" s="261">
        <v>238</v>
      </c>
      <c r="AA242" s="262">
        <v>1961.31</v>
      </c>
      <c r="AB242" s="352"/>
      <c r="AC242" s="261">
        <v>238</v>
      </c>
      <c r="AD242" s="262">
        <v>5991.9599999999919</v>
      </c>
      <c r="AE242" s="352"/>
      <c r="AF242" s="261">
        <v>238</v>
      </c>
      <c r="AG242" s="262">
        <v>16194.22</v>
      </c>
      <c r="AH242" s="352"/>
      <c r="AI242" s="261">
        <v>238</v>
      </c>
      <c r="AJ242" s="262">
        <v>7016</v>
      </c>
      <c r="AK242" s="352"/>
      <c r="AL242" s="261"/>
      <c r="AM242" s="262"/>
    </row>
    <row r="243" spans="2:39">
      <c r="B243" s="261" t="s">
        <v>527</v>
      </c>
      <c r="C243" s="261">
        <v>7873</v>
      </c>
      <c r="E243" s="261" t="s">
        <v>527</v>
      </c>
      <c r="F243" s="261">
        <v>7825.78</v>
      </c>
      <c r="H243" s="261" t="s">
        <v>527</v>
      </c>
      <c r="I243" s="262">
        <v>4253</v>
      </c>
      <c r="K243" s="261">
        <v>238</v>
      </c>
      <c r="L243" s="262">
        <v>1735.69</v>
      </c>
      <c r="M243" s="352"/>
      <c r="N243" s="261">
        <v>239</v>
      </c>
      <c r="O243" s="262">
        <v>2776.49</v>
      </c>
      <c r="P243" s="352"/>
      <c r="Q243" s="261">
        <v>239</v>
      </c>
      <c r="R243" s="262">
        <v>1078</v>
      </c>
      <c r="S243" s="352"/>
      <c r="T243" s="261">
        <v>239</v>
      </c>
      <c r="U243" s="262">
        <v>1079</v>
      </c>
      <c r="V243" s="352"/>
      <c r="W243" s="261">
        <v>239</v>
      </c>
      <c r="X243" s="262">
        <v>1911</v>
      </c>
      <c r="Y243" s="352"/>
      <c r="Z243" s="261">
        <v>239</v>
      </c>
      <c r="AA243" s="262">
        <v>1968.81</v>
      </c>
      <c r="AB243" s="352"/>
      <c r="AC243" s="261">
        <v>239</v>
      </c>
      <c r="AD243" s="262">
        <v>6017.6199999999917</v>
      </c>
      <c r="AE243" s="352"/>
      <c r="AF243" s="261">
        <v>239</v>
      </c>
      <c r="AG243" s="262">
        <v>16262.65</v>
      </c>
      <c r="AH243" s="352"/>
      <c r="AI243" s="261">
        <v>239</v>
      </c>
      <c r="AJ243" s="262">
        <v>7045</v>
      </c>
      <c r="AK243" s="352"/>
      <c r="AL243" s="261"/>
      <c r="AM243" s="262"/>
    </row>
    <row r="244" spans="2:39">
      <c r="B244" s="261" t="s">
        <v>528</v>
      </c>
      <c r="C244" s="261">
        <v>7904</v>
      </c>
      <c r="E244" s="261" t="s">
        <v>528</v>
      </c>
      <c r="F244" s="261">
        <v>7857.04</v>
      </c>
      <c r="H244" s="261" t="s">
        <v>528</v>
      </c>
      <c r="I244" s="262">
        <f>I243+18</f>
        <v>4271</v>
      </c>
      <c r="K244" s="261">
        <v>239</v>
      </c>
      <c r="L244" s="262">
        <v>1742.99</v>
      </c>
      <c r="M244" s="352"/>
      <c r="N244" s="261">
        <v>240</v>
      </c>
      <c r="O244" s="262">
        <v>2787.58</v>
      </c>
      <c r="P244" s="352"/>
      <c r="Q244" s="261">
        <v>240</v>
      </c>
      <c r="R244" s="262">
        <v>1083</v>
      </c>
      <c r="S244" s="352"/>
      <c r="T244" s="261">
        <v>240</v>
      </c>
      <c r="U244" s="262">
        <v>1083</v>
      </c>
      <c r="V244" s="352"/>
      <c r="W244" s="261">
        <v>240</v>
      </c>
      <c r="X244" s="262">
        <v>1918</v>
      </c>
      <c r="Y244" s="352"/>
      <c r="Z244" s="261">
        <v>240</v>
      </c>
      <c r="AA244" s="262">
        <v>1976.32</v>
      </c>
      <c r="AB244" s="352"/>
      <c r="AC244" s="261">
        <v>240</v>
      </c>
      <c r="AD244" s="262">
        <v>6043.2799999999916</v>
      </c>
      <c r="AE244" s="352"/>
      <c r="AF244" s="261">
        <v>240</v>
      </c>
      <c r="AG244" s="262">
        <v>16331.07</v>
      </c>
      <c r="AH244" s="352"/>
      <c r="AI244" s="261">
        <v>240</v>
      </c>
      <c r="AJ244" s="262">
        <v>7073</v>
      </c>
      <c r="AK244" s="352"/>
      <c r="AL244" s="261"/>
      <c r="AM244" s="262"/>
    </row>
    <row r="245" spans="2:39">
      <c r="B245" s="261" t="s">
        <v>529</v>
      </c>
      <c r="C245" s="261">
        <v>7936</v>
      </c>
      <c r="E245" s="261" t="s">
        <v>529</v>
      </c>
      <c r="F245" s="261">
        <v>7888.36</v>
      </c>
      <c r="H245" s="261" t="s">
        <v>529</v>
      </c>
      <c r="I245" s="262">
        <v>4288</v>
      </c>
      <c r="K245" s="261">
        <v>240</v>
      </c>
      <c r="L245" s="262">
        <v>1750.3</v>
      </c>
      <c r="M245" s="352"/>
      <c r="N245" s="261">
        <v>241</v>
      </c>
      <c r="O245" s="262">
        <v>2798.68</v>
      </c>
      <c r="P245" s="352"/>
      <c r="Q245" s="261">
        <v>241</v>
      </c>
      <c r="R245" s="262">
        <v>1087</v>
      </c>
      <c r="S245" s="352"/>
      <c r="T245" s="261">
        <v>241</v>
      </c>
      <c r="U245" s="262">
        <v>1087</v>
      </c>
      <c r="V245" s="352"/>
      <c r="W245" s="261">
        <v>241</v>
      </c>
      <c r="X245" s="262">
        <v>1926</v>
      </c>
      <c r="Y245" s="352"/>
      <c r="Z245" s="261">
        <v>241</v>
      </c>
      <c r="AA245" s="262">
        <v>1983.83</v>
      </c>
      <c r="AB245" s="352"/>
      <c r="AC245" s="261">
        <v>241</v>
      </c>
      <c r="AD245" s="262">
        <v>6068.9499999999916</v>
      </c>
      <c r="AE245" s="352"/>
      <c r="AF245" s="261">
        <v>241</v>
      </c>
      <c r="AG245" s="262">
        <v>16399.5</v>
      </c>
      <c r="AH245" s="352"/>
      <c r="AI245" s="261">
        <v>241</v>
      </c>
      <c r="AJ245" s="262">
        <v>7102</v>
      </c>
      <c r="AK245" s="352"/>
      <c r="AL245" s="261"/>
      <c r="AM245" s="262"/>
    </row>
    <row r="246" spans="2:39">
      <c r="B246" s="261" t="s">
        <v>530</v>
      </c>
      <c r="C246" s="261">
        <v>7967</v>
      </c>
      <c r="E246" s="261" t="s">
        <v>530</v>
      </c>
      <c r="F246" s="261">
        <v>7919.62</v>
      </c>
      <c r="H246" s="261" t="s">
        <v>530</v>
      </c>
      <c r="I246" s="262">
        <f>I245+18</f>
        <v>4306</v>
      </c>
      <c r="K246" s="261">
        <v>241</v>
      </c>
      <c r="L246" s="262">
        <v>1757.61</v>
      </c>
      <c r="M246" s="352"/>
      <c r="N246" s="261">
        <v>242</v>
      </c>
      <c r="O246" s="262">
        <v>2809.78</v>
      </c>
      <c r="P246" s="352"/>
      <c r="Q246" s="261">
        <v>242</v>
      </c>
      <c r="R246" s="262">
        <v>1091</v>
      </c>
      <c r="S246" s="352"/>
      <c r="T246" s="261">
        <v>242</v>
      </c>
      <c r="U246" s="262">
        <v>1091</v>
      </c>
      <c r="V246" s="352"/>
      <c r="W246" s="261">
        <v>242</v>
      </c>
      <c r="X246" s="262">
        <v>1933</v>
      </c>
      <c r="Y246" s="352"/>
      <c r="Z246" s="261">
        <v>242</v>
      </c>
      <c r="AA246" s="262">
        <v>1991.33</v>
      </c>
      <c r="AB246" s="352"/>
      <c r="AC246" s="261">
        <v>242</v>
      </c>
      <c r="AD246" s="262">
        <v>6094.6099999999915</v>
      </c>
      <c r="AE246" s="352"/>
      <c r="AF246" s="261">
        <v>242</v>
      </c>
      <c r="AG246" s="262">
        <v>16467.919999999998</v>
      </c>
      <c r="AH246" s="352"/>
      <c r="AI246" s="261">
        <v>242</v>
      </c>
      <c r="AJ246" s="262">
        <v>7130</v>
      </c>
      <c r="AK246" s="352"/>
      <c r="AL246" s="261"/>
      <c r="AM246" s="262"/>
    </row>
    <row r="247" spans="2:39">
      <c r="B247" s="261" t="s">
        <v>531</v>
      </c>
      <c r="C247" s="261">
        <v>7999</v>
      </c>
      <c r="E247" s="261" t="s">
        <v>531</v>
      </c>
      <c r="F247" s="261">
        <v>7950.95</v>
      </c>
      <c r="H247" s="261" t="s">
        <v>531</v>
      </c>
      <c r="I247" s="262">
        <v>4324</v>
      </c>
      <c r="K247" s="261">
        <v>242</v>
      </c>
      <c r="L247" s="262">
        <v>1764.91</v>
      </c>
      <c r="M247" s="352"/>
      <c r="N247" s="261">
        <v>243</v>
      </c>
      <c r="O247" s="262">
        <v>2820.82</v>
      </c>
      <c r="P247" s="352"/>
      <c r="Q247" s="261">
        <v>243</v>
      </c>
      <c r="R247" s="262">
        <v>1095</v>
      </c>
      <c r="S247" s="352"/>
      <c r="T247" s="261">
        <v>243</v>
      </c>
      <c r="U247" s="262">
        <v>1095</v>
      </c>
      <c r="V247" s="352"/>
      <c r="W247" s="261">
        <v>243</v>
      </c>
      <c r="X247" s="262">
        <v>1941</v>
      </c>
      <c r="Y247" s="352"/>
      <c r="Z247" s="261">
        <v>243</v>
      </c>
      <c r="AA247" s="262">
        <v>1998.84</v>
      </c>
      <c r="AB247" s="352"/>
      <c r="AC247" s="261">
        <v>243</v>
      </c>
      <c r="AD247" s="262">
        <v>6120.2699999999913</v>
      </c>
      <c r="AE247" s="352"/>
      <c r="AF247" s="261">
        <v>243</v>
      </c>
      <c r="AG247" s="262">
        <v>16536.34</v>
      </c>
      <c r="AH247" s="352"/>
      <c r="AI247" s="261">
        <v>243</v>
      </c>
      <c r="AJ247" s="262">
        <v>7158</v>
      </c>
      <c r="AK247" s="352"/>
      <c r="AL247" s="261"/>
      <c r="AM247" s="262"/>
    </row>
    <row r="248" spans="2:39">
      <c r="B248" s="261" t="s">
        <v>532</v>
      </c>
      <c r="C248" s="261">
        <v>8030</v>
      </c>
      <c r="E248" s="261" t="s">
        <v>532</v>
      </c>
      <c r="F248" s="261">
        <v>7982.21</v>
      </c>
      <c r="H248" s="261" t="s">
        <v>532</v>
      </c>
      <c r="I248" s="262">
        <f>I247+18</f>
        <v>4342</v>
      </c>
      <c r="K248" s="261">
        <v>243</v>
      </c>
      <c r="L248" s="262">
        <v>1772.22</v>
      </c>
      <c r="M248" s="352"/>
      <c r="N248" s="261">
        <v>244</v>
      </c>
      <c r="O248" s="262">
        <v>2831.98</v>
      </c>
      <c r="P248" s="352"/>
      <c r="Q248" s="261">
        <v>244</v>
      </c>
      <c r="R248" s="262">
        <v>1099</v>
      </c>
      <c r="S248" s="352"/>
      <c r="T248" s="261">
        <v>244</v>
      </c>
      <c r="U248" s="262">
        <v>1099</v>
      </c>
      <c r="V248" s="352"/>
      <c r="W248" s="261">
        <v>244</v>
      </c>
      <c r="X248" s="262">
        <v>1948</v>
      </c>
      <c r="Y248" s="352"/>
      <c r="Z248" s="261">
        <v>244</v>
      </c>
      <c r="AA248" s="262">
        <v>2006.35</v>
      </c>
      <c r="AB248" s="352"/>
      <c r="AC248" s="261">
        <v>244</v>
      </c>
      <c r="AD248" s="262">
        <v>6145.9299999999912</v>
      </c>
      <c r="AE248" s="352"/>
      <c r="AF248" s="261">
        <v>244</v>
      </c>
      <c r="AG248" s="262">
        <v>16604.77</v>
      </c>
      <c r="AH248" s="352"/>
      <c r="AI248" s="261">
        <v>244</v>
      </c>
      <c r="AJ248" s="262">
        <v>7187</v>
      </c>
      <c r="AK248" s="352"/>
      <c r="AL248" s="261"/>
      <c r="AM248" s="262"/>
    </row>
    <row r="249" spans="2:39">
      <c r="B249" s="261" t="s">
        <v>533</v>
      </c>
      <c r="C249" s="261">
        <v>8061</v>
      </c>
      <c r="E249" s="261" t="s">
        <v>533</v>
      </c>
      <c r="F249" s="261">
        <v>8013.54</v>
      </c>
      <c r="H249" s="261" t="s">
        <v>533</v>
      </c>
      <c r="I249" s="262">
        <v>4359</v>
      </c>
      <c r="K249" s="261">
        <v>244</v>
      </c>
      <c r="L249" s="262">
        <v>1779.52</v>
      </c>
      <c r="M249" s="352"/>
      <c r="N249" s="261">
        <v>245</v>
      </c>
      <c r="O249" s="262">
        <v>2843.07</v>
      </c>
      <c r="P249" s="352"/>
      <c r="Q249" s="261">
        <v>245</v>
      </c>
      <c r="R249" s="262">
        <v>1103</v>
      </c>
      <c r="S249" s="352"/>
      <c r="T249" s="261">
        <v>245</v>
      </c>
      <c r="U249" s="262">
        <v>1104</v>
      </c>
      <c r="V249" s="352"/>
      <c r="W249" s="261">
        <v>245</v>
      </c>
      <c r="X249" s="262">
        <v>1956</v>
      </c>
      <c r="Y249" s="352"/>
      <c r="Z249" s="261">
        <v>245</v>
      </c>
      <c r="AA249" s="262">
        <v>2013.85</v>
      </c>
      <c r="AB249" s="352"/>
      <c r="AC249" s="261">
        <v>245</v>
      </c>
      <c r="AD249" s="262">
        <v>6171.5899999999911</v>
      </c>
      <c r="AE249" s="352"/>
      <c r="AF249" s="261">
        <v>245</v>
      </c>
      <c r="AG249" s="262">
        <v>16673.189999999999</v>
      </c>
      <c r="AH249" s="352"/>
      <c r="AI249" s="261">
        <v>245</v>
      </c>
      <c r="AJ249" s="262">
        <v>7215</v>
      </c>
      <c r="AK249" s="352"/>
      <c r="AL249" s="261"/>
      <c r="AM249" s="262"/>
    </row>
    <row r="250" spans="2:39">
      <c r="B250" s="261" t="s">
        <v>534</v>
      </c>
      <c r="C250" s="261">
        <v>8092</v>
      </c>
      <c r="E250" s="261" t="s">
        <v>534</v>
      </c>
      <c r="F250" s="261">
        <v>8044.8</v>
      </c>
      <c r="H250" s="261" t="s">
        <v>534</v>
      </c>
      <c r="I250" s="262">
        <f>I249+18</f>
        <v>4377</v>
      </c>
      <c r="K250" s="261">
        <v>245</v>
      </c>
      <c r="L250" s="262">
        <v>1786.83</v>
      </c>
      <c r="M250" s="352"/>
      <c r="N250" s="261">
        <v>246</v>
      </c>
      <c r="O250" s="262">
        <v>2854.17</v>
      </c>
      <c r="P250" s="352"/>
      <c r="Q250" s="261">
        <v>246</v>
      </c>
      <c r="R250" s="262">
        <v>1107</v>
      </c>
      <c r="S250" s="352"/>
      <c r="T250" s="261">
        <v>246</v>
      </c>
      <c r="U250" s="262">
        <v>1108</v>
      </c>
      <c r="V250" s="352"/>
      <c r="W250" s="261">
        <v>246</v>
      </c>
      <c r="X250" s="262">
        <v>1963</v>
      </c>
      <c r="Y250" s="352"/>
      <c r="Z250" s="261">
        <v>246</v>
      </c>
      <c r="AA250" s="262">
        <v>2021.36</v>
      </c>
      <c r="AB250" s="352"/>
      <c r="AC250" s="261">
        <v>246</v>
      </c>
      <c r="AD250" s="262">
        <v>6197.2599999999911</v>
      </c>
      <c r="AE250" s="352"/>
      <c r="AF250" s="261">
        <v>246</v>
      </c>
      <c r="AG250" s="262">
        <v>16741.62</v>
      </c>
      <c r="AH250" s="352"/>
      <c r="AI250" s="261">
        <v>246</v>
      </c>
      <c r="AJ250" s="262">
        <v>7244</v>
      </c>
      <c r="AK250" s="352"/>
      <c r="AL250" s="261"/>
      <c r="AM250" s="262"/>
    </row>
    <row r="251" spans="2:39">
      <c r="B251" s="261" t="s">
        <v>535</v>
      </c>
      <c r="C251" s="261">
        <v>8124</v>
      </c>
      <c r="E251" s="261" t="s">
        <v>535</v>
      </c>
      <c r="F251" s="261">
        <v>8076.12</v>
      </c>
      <c r="H251" s="261" t="s">
        <v>535</v>
      </c>
      <c r="I251" s="262">
        <v>4394</v>
      </c>
      <c r="K251" s="261">
        <v>246</v>
      </c>
      <c r="L251" s="262">
        <v>1794.13</v>
      </c>
      <c r="M251" s="352"/>
      <c r="N251" s="261">
        <v>247</v>
      </c>
      <c r="O251" s="262">
        <v>2865.27</v>
      </c>
      <c r="P251" s="352"/>
      <c r="Q251" s="261">
        <v>247</v>
      </c>
      <c r="R251" s="262">
        <v>1112</v>
      </c>
      <c r="S251" s="352"/>
      <c r="T251" s="261">
        <v>247</v>
      </c>
      <c r="U251" s="262">
        <v>1112</v>
      </c>
      <c r="V251" s="352"/>
      <c r="W251" s="261">
        <v>247</v>
      </c>
      <c r="X251" s="262">
        <v>1971</v>
      </c>
      <c r="Y251" s="352"/>
      <c r="Z251" s="261">
        <v>247</v>
      </c>
      <c r="AA251" s="262">
        <v>2028.87</v>
      </c>
      <c r="AB251" s="352"/>
      <c r="AC251" s="261">
        <v>247</v>
      </c>
      <c r="AD251" s="262">
        <v>6222.919999999991</v>
      </c>
      <c r="AE251" s="352"/>
      <c r="AF251" s="261">
        <v>247</v>
      </c>
      <c r="AG251" s="262">
        <v>16810.04</v>
      </c>
      <c r="AH251" s="352"/>
      <c r="AI251" s="261">
        <v>247</v>
      </c>
      <c r="AJ251" s="262">
        <v>7272</v>
      </c>
      <c r="AK251" s="352"/>
      <c r="AL251" s="261"/>
      <c r="AM251" s="262"/>
    </row>
    <row r="252" spans="2:39">
      <c r="B252" s="261" t="s">
        <v>536</v>
      </c>
      <c r="C252" s="261">
        <v>8155</v>
      </c>
      <c r="E252" s="261" t="s">
        <v>536</v>
      </c>
      <c r="F252" s="261">
        <v>8107.38</v>
      </c>
      <c r="H252" s="261" t="s">
        <v>536</v>
      </c>
      <c r="I252" s="262">
        <f>I251+18</f>
        <v>4412</v>
      </c>
      <c r="K252" s="261">
        <v>247</v>
      </c>
      <c r="L252" s="262">
        <v>1801.44</v>
      </c>
      <c r="M252" s="352"/>
      <c r="N252" s="261">
        <v>248</v>
      </c>
      <c r="O252" s="262">
        <v>2876.37</v>
      </c>
      <c r="P252" s="352"/>
      <c r="Q252" s="261">
        <v>248</v>
      </c>
      <c r="R252" s="262">
        <v>1116</v>
      </c>
      <c r="S252" s="352"/>
      <c r="T252" s="261">
        <v>248</v>
      </c>
      <c r="U252" s="262">
        <v>1116</v>
      </c>
      <c r="V252" s="352"/>
      <c r="W252" s="261">
        <v>248</v>
      </c>
      <c r="X252" s="262">
        <v>1978</v>
      </c>
      <c r="Y252" s="352"/>
      <c r="Z252" s="261">
        <v>248</v>
      </c>
      <c r="AA252" s="262">
        <v>2036.37</v>
      </c>
      <c r="AB252" s="352"/>
      <c r="AC252" s="261">
        <v>248</v>
      </c>
      <c r="AD252" s="262">
        <v>6248.5799999999908</v>
      </c>
      <c r="AE252" s="352"/>
      <c r="AF252" s="261">
        <v>248</v>
      </c>
      <c r="AG252" s="262">
        <v>16878.46</v>
      </c>
      <c r="AH252" s="352"/>
      <c r="AI252" s="261">
        <v>248</v>
      </c>
      <c r="AJ252" s="262">
        <v>7300</v>
      </c>
      <c r="AK252" s="352"/>
      <c r="AL252" s="261"/>
      <c r="AM252" s="262"/>
    </row>
    <row r="253" spans="2:39">
      <c r="B253" s="261" t="s">
        <v>537</v>
      </c>
      <c r="C253" s="261">
        <v>8187</v>
      </c>
      <c r="E253" s="261" t="s">
        <v>537</v>
      </c>
      <c r="F253" s="261">
        <v>8138.71</v>
      </c>
      <c r="H253" s="261" t="s">
        <v>537</v>
      </c>
      <c r="I253" s="262">
        <v>4430</v>
      </c>
      <c r="K253" s="261">
        <v>248</v>
      </c>
      <c r="L253" s="262">
        <v>1808.74</v>
      </c>
      <c r="M253" s="352"/>
      <c r="N253" s="261">
        <v>249</v>
      </c>
      <c r="O253" s="262">
        <v>2887.47</v>
      </c>
      <c r="P253" s="352"/>
      <c r="Q253" s="261">
        <v>249</v>
      </c>
      <c r="R253" s="262">
        <v>1120</v>
      </c>
      <c r="S253" s="352"/>
      <c r="T253" s="261">
        <v>249</v>
      </c>
      <c r="U253" s="262">
        <v>1120</v>
      </c>
      <c r="V253" s="352"/>
      <c r="W253" s="261">
        <v>249</v>
      </c>
      <c r="X253" s="262">
        <v>1986</v>
      </c>
      <c r="Y253" s="352"/>
      <c r="Z253" s="261">
        <v>249</v>
      </c>
      <c r="AA253" s="262">
        <v>2043.88</v>
      </c>
      <c r="AB253" s="352"/>
      <c r="AC253" s="261">
        <v>249</v>
      </c>
      <c r="AD253" s="262">
        <v>6274.2399999999907</v>
      </c>
      <c r="AE253" s="352"/>
      <c r="AF253" s="261">
        <v>249</v>
      </c>
      <c r="AG253" s="262">
        <v>16946.89</v>
      </c>
      <c r="AH253" s="352"/>
      <c r="AI253" s="261">
        <v>249</v>
      </c>
      <c r="AJ253" s="262">
        <v>7329</v>
      </c>
      <c r="AK253" s="352"/>
      <c r="AL253" s="261"/>
      <c r="AM253" s="262"/>
    </row>
    <row r="254" spans="2:39">
      <c r="B254" s="261" t="s">
        <v>538</v>
      </c>
      <c r="C254" s="261">
        <v>8218</v>
      </c>
      <c r="E254" s="261" t="s">
        <v>538</v>
      </c>
      <c r="F254" s="261">
        <v>8169.97</v>
      </c>
      <c r="H254" s="261" t="s">
        <v>538</v>
      </c>
      <c r="I254" s="262">
        <f>I253+18</f>
        <v>4448</v>
      </c>
      <c r="K254" s="261">
        <v>249</v>
      </c>
      <c r="L254" s="262">
        <v>1816.05</v>
      </c>
      <c r="M254" s="352"/>
      <c r="N254" s="261">
        <v>250</v>
      </c>
      <c r="O254" s="262">
        <v>2898.57</v>
      </c>
      <c r="P254" s="352"/>
      <c r="Q254" s="261">
        <v>250</v>
      </c>
      <c r="R254" s="262">
        <v>1124</v>
      </c>
      <c r="S254" s="352"/>
      <c r="T254" s="261">
        <v>250</v>
      </c>
      <c r="U254" s="262">
        <v>1124</v>
      </c>
      <c r="V254" s="352"/>
      <c r="W254" s="261">
        <v>250</v>
      </c>
      <c r="X254" s="262">
        <v>1993</v>
      </c>
      <c r="Y254" s="352"/>
      <c r="Z254" s="261">
        <v>250</v>
      </c>
      <c r="AA254" s="262">
        <v>2051.39</v>
      </c>
      <c r="AB254" s="352"/>
      <c r="AC254" s="261">
        <v>250</v>
      </c>
      <c r="AD254" s="262">
        <v>6299.8999999999905</v>
      </c>
      <c r="AE254" s="352"/>
      <c r="AF254" s="261">
        <v>250</v>
      </c>
      <c r="AG254" s="262">
        <v>17015.310000000001</v>
      </c>
      <c r="AH254" s="352"/>
      <c r="AI254" s="261">
        <v>250</v>
      </c>
      <c r="AJ254" s="262">
        <v>7357</v>
      </c>
      <c r="AK254" s="352"/>
      <c r="AL254" s="261"/>
      <c r="AM254" s="262"/>
    </row>
    <row r="255" spans="2:39">
      <c r="B255" s="261" t="s">
        <v>539</v>
      </c>
      <c r="C255" s="261">
        <v>8250</v>
      </c>
      <c r="E255" s="261" t="s">
        <v>539</v>
      </c>
      <c r="F255" s="261">
        <v>8201.2999999999993</v>
      </c>
      <c r="H255" s="261" t="s">
        <v>539</v>
      </c>
      <c r="I255" s="262">
        <v>4465</v>
      </c>
      <c r="K255" s="261">
        <v>250</v>
      </c>
      <c r="L255" s="262">
        <v>1823.35</v>
      </c>
      <c r="M255" s="352"/>
      <c r="N255" s="261">
        <v>251</v>
      </c>
      <c r="O255" s="262">
        <v>2909.66</v>
      </c>
      <c r="P255" s="352"/>
      <c r="Q255" s="261">
        <v>251</v>
      </c>
      <c r="R255" s="262">
        <v>1128</v>
      </c>
      <c r="S255" s="352"/>
      <c r="T255" s="261">
        <v>251</v>
      </c>
      <c r="U255" s="262">
        <v>1128</v>
      </c>
      <c r="V255" s="352"/>
      <c r="W255" s="261">
        <v>251</v>
      </c>
      <c r="X255" s="262">
        <v>2001</v>
      </c>
      <c r="Y255" s="352"/>
      <c r="Z255" s="261">
        <v>251</v>
      </c>
      <c r="AA255" s="262">
        <v>2058.89</v>
      </c>
      <c r="AB255" s="352"/>
      <c r="AC255" s="261">
        <v>251</v>
      </c>
      <c r="AD255" s="262">
        <v>6325.5699999999906</v>
      </c>
      <c r="AE255" s="352"/>
      <c r="AF255" s="261">
        <v>251</v>
      </c>
      <c r="AG255" s="262">
        <v>17083.740000000002</v>
      </c>
      <c r="AH255" s="352"/>
      <c r="AI255" s="261">
        <v>251</v>
      </c>
      <c r="AJ255" s="262">
        <v>7386</v>
      </c>
      <c r="AK255" s="352"/>
      <c r="AL255" s="261"/>
      <c r="AM255" s="262"/>
    </row>
    <row r="256" spans="2:39">
      <c r="B256" s="261" t="s">
        <v>540</v>
      </c>
      <c r="C256" s="261">
        <v>8281</v>
      </c>
      <c r="E256" s="261" t="s">
        <v>540</v>
      </c>
      <c r="F256" s="261">
        <v>8232.56</v>
      </c>
      <c r="H256" s="261" t="s">
        <v>540</v>
      </c>
      <c r="I256" s="262">
        <f>I255+18</f>
        <v>4483</v>
      </c>
      <c r="K256" s="261">
        <v>251</v>
      </c>
      <c r="L256" s="262">
        <v>1830.66</v>
      </c>
      <c r="M256" s="352"/>
      <c r="N256" s="261">
        <v>252</v>
      </c>
      <c r="O256" s="262">
        <v>2920.76</v>
      </c>
      <c r="P256" s="352"/>
      <c r="Q256" s="261">
        <v>252</v>
      </c>
      <c r="R256" s="262">
        <v>1132</v>
      </c>
      <c r="S256" s="352"/>
      <c r="T256" s="261">
        <v>252</v>
      </c>
      <c r="U256" s="262">
        <v>1133</v>
      </c>
      <c r="V256" s="352"/>
      <c r="W256" s="261">
        <v>252</v>
      </c>
      <c r="X256" s="262">
        <v>2008</v>
      </c>
      <c r="Y256" s="352"/>
      <c r="Z256" s="261">
        <v>252</v>
      </c>
      <c r="AA256" s="262">
        <v>2066.4</v>
      </c>
      <c r="AB256" s="352"/>
      <c r="AC256" s="261">
        <v>252</v>
      </c>
      <c r="AD256" s="262">
        <v>6351.2299999999905</v>
      </c>
      <c r="AE256" s="352"/>
      <c r="AF256" s="261">
        <v>252</v>
      </c>
      <c r="AG256" s="262">
        <v>17152.16</v>
      </c>
      <c r="AH256" s="352"/>
      <c r="AI256" s="261">
        <v>252</v>
      </c>
      <c r="AJ256" s="262">
        <v>7414</v>
      </c>
      <c r="AK256" s="352"/>
      <c r="AL256" s="261"/>
      <c r="AM256" s="262"/>
    </row>
    <row r="257" spans="2:39">
      <c r="B257" s="261" t="s">
        <v>541</v>
      </c>
      <c r="C257" s="261">
        <v>8312</v>
      </c>
      <c r="E257" s="261" t="s">
        <v>541</v>
      </c>
      <c r="F257" s="261">
        <v>8263.8799999999992</v>
      </c>
      <c r="H257" s="261" t="s">
        <v>541</v>
      </c>
      <c r="I257" s="262">
        <v>4500</v>
      </c>
      <c r="K257" s="261">
        <v>252</v>
      </c>
      <c r="L257" s="262">
        <v>1837.96</v>
      </c>
      <c r="M257" s="352"/>
      <c r="N257" s="261">
        <v>253</v>
      </c>
      <c r="O257" s="262">
        <v>2931.86</v>
      </c>
      <c r="P257" s="352"/>
      <c r="Q257" s="261">
        <v>253</v>
      </c>
      <c r="R257" s="262">
        <v>1136</v>
      </c>
      <c r="S257" s="352"/>
      <c r="T257" s="261">
        <v>253</v>
      </c>
      <c r="U257" s="262">
        <v>1137</v>
      </c>
      <c r="V257" s="352"/>
      <c r="W257" s="261">
        <v>253</v>
      </c>
      <c r="X257" s="262">
        <v>2016</v>
      </c>
      <c r="Y257" s="352"/>
      <c r="Z257" s="261">
        <v>253</v>
      </c>
      <c r="AA257" s="262">
        <v>2073.91</v>
      </c>
      <c r="AB257" s="352"/>
      <c r="AC257" s="261">
        <v>253</v>
      </c>
      <c r="AD257" s="262">
        <v>6376.8899999999903</v>
      </c>
      <c r="AE257" s="352"/>
      <c r="AF257" s="261">
        <v>253</v>
      </c>
      <c r="AG257" s="262">
        <v>17220.580000000002</v>
      </c>
      <c r="AH257" s="352"/>
      <c r="AI257" s="261">
        <v>253</v>
      </c>
      <c r="AJ257" s="262">
        <v>7442</v>
      </c>
      <c r="AK257" s="352"/>
      <c r="AL257" s="261"/>
      <c r="AM257" s="262"/>
    </row>
    <row r="258" spans="2:39">
      <c r="B258" s="261" t="s">
        <v>542</v>
      </c>
      <c r="C258" s="261">
        <v>8343</v>
      </c>
      <c r="E258" s="261" t="s">
        <v>542</v>
      </c>
      <c r="F258" s="261">
        <v>8295.14</v>
      </c>
      <c r="H258" s="261" t="s">
        <v>542</v>
      </c>
      <c r="I258" s="262">
        <f>I257+18</f>
        <v>4518</v>
      </c>
      <c r="K258" s="261">
        <v>253</v>
      </c>
      <c r="L258" s="262">
        <v>1845.27</v>
      </c>
      <c r="M258" s="352"/>
      <c r="N258" s="261">
        <v>254</v>
      </c>
      <c r="O258" s="262">
        <v>2942.96</v>
      </c>
      <c r="P258" s="352"/>
      <c r="Q258" s="261">
        <v>254</v>
      </c>
      <c r="R258" s="262">
        <v>1140</v>
      </c>
      <c r="S258" s="352"/>
      <c r="T258" s="261">
        <v>254</v>
      </c>
      <c r="U258" s="262">
        <v>1141</v>
      </c>
      <c r="V258" s="352"/>
      <c r="W258" s="261">
        <v>254</v>
      </c>
      <c r="X258" s="262">
        <v>2023</v>
      </c>
      <c r="Y258" s="352"/>
      <c r="Z258" s="261">
        <v>254</v>
      </c>
      <c r="AA258" s="262">
        <v>2081.41</v>
      </c>
      <c r="AB258" s="352"/>
      <c r="AC258" s="261">
        <v>254</v>
      </c>
      <c r="AD258" s="262">
        <v>6402.5499999999902</v>
      </c>
      <c r="AE258" s="352"/>
      <c r="AF258" s="261">
        <v>254</v>
      </c>
      <c r="AG258" s="262">
        <v>17289.009999999998</v>
      </c>
      <c r="AH258" s="352"/>
      <c r="AI258" s="261">
        <v>254</v>
      </c>
      <c r="AJ258" s="262">
        <v>7471</v>
      </c>
      <c r="AK258" s="352"/>
      <c r="AL258" s="261"/>
      <c r="AM258" s="262"/>
    </row>
    <row r="259" spans="2:39">
      <c r="B259" s="261" t="s">
        <v>543</v>
      </c>
      <c r="C259" s="261">
        <v>8375</v>
      </c>
      <c r="E259" s="261" t="s">
        <v>543</v>
      </c>
      <c r="F259" s="261">
        <v>8326.48</v>
      </c>
      <c r="H259" s="261" t="s">
        <v>543</v>
      </c>
      <c r="I259" s="262">
        <v>4535</v>
      </c>
      <c r="K259" s="261">
        <v>254</v>
      </c>
      <c r="L259" s="262">
        <v>1852.58</v>
      </c>
      <c r="M259" s="352"/>
      <c r="N259" s="261">
        <v>255</v>
      </c>
      <c r="O259" s="262">
        <v>2954.06</v>
      </c>
      <c r="P259" s="352"/>
      <c r="Q259" s="261">
        <v>255</v>
      </c>
      <c r="R259" s="262">
        <v>1145</v>
      </c>
      <c r="S259" s="352"/>
      <c r="T259" s="261">
        <v>255</v>
      </c>
      <c r="U259" s="262">
        <v>1145</v>
      </c>
      <c r="V259" s="352"/>
      <c r="W259" s="261">
        <v>255</v>
      </c>
      <c r="X259" s="262">
        <v>2031</v>
      </c>
      <c r="Y259" s="352"/>
      <c r="Z259" s="261">
        <v>255</v>
      </c>
      <c r="AA259" s="262">
        <v>2088.92</v>
      </c>
      <c r="AB259" s="352"/>
      <c r="AC259" s="261">
        <v>255</v>
      </c>
      <c r="AD259" s="262">
        <v>6428.20999999999</v>
      </c>
      <c r="AE259" s="352"/>
      <c r="AF259" s="261">
        <v>255</v>
      </c>
      <c r="AG259" s="262">
        <v>17357.43</v>
      </c>
      <c r="AH259" s="352"/>
      <c r="AI259" s="261">
        <v>255</v>
      </c>
      <c r="AJ259" s="262">
        <v>7499</v>
      </c>
      <c r="AK259" s="352"/>
      <c r="AL259" s="261"/>
      <c r="AM259" s="262"/>
    </row>
    <row r="260" spans="2:39">
      <c r="B260" s="261" t="s">
        <v>544</v>
      </c>
      <c r="C260" s="261">
        <v>8406</v>
      </c>
      <c r="E260" s="261" t="s">
        <v>544</v>
      </c>
      <c r="F260" s="261">
        <v>8357.74</v>
      </c>
      <c r="H260" s="261" t="s">
        <v>544</v>
      </c>
      <c r="I260" s="262">
        <f>I259+18</f>
        <v>4553</v>
      </c>
      <c r="K260" s="261">
        <v>255</v>
      </c>
      <c r="L260" s="262">
        <v>1859.88</v>
      </c>
      <c r="M260" s="352"/>
      <c r="N260" s="261">
        <v>256</v>
      </c>
      <c r="O260" s="262">
        <v>2965.16</v>
      </c>
      <c r="P260" s="352"/>
      <c r="Q260" s="261">
        <v>256</v>
      </c>
      <c r="R260" s="262">
        <v>1149</v>
      </c>
      <c r="S260" s="352"/>
      <c r="T260" s="261">
        <v>256</v>
      </c>
      <c r="U260" s="262">
        <v>1149</v>
      </c>
      <c r="V260" s="352"/>
      <c r="W260" s="261">
        <v>256</v>
      </c>
      <c r="X260" s="262">
        <v>2038</v>
      </c>
      <c r="Y260" s="352"/>
      <c r="Z260" s="261">
        <v>256</v>
      </c>
      <c r="AA260" s="262">
        <v>2096.4299999999998</v>
      </c>
      <c r="AB260" s="352"/>
      <c r="AC260" s="261">
        <v>256</v>
      </c>
      <c r="AD260" s="262">
        <v>6453.8799999999901</v>
      </c>
      <c r="AE260" s="352"/>
      <c r="AF260" s="261">
        <v>256</v>
      </c>
      <c r="AG260" s="262">
        <v>17425.86</v>
      </c>
      <c r="AH260" s="352"/>
      <c r="AI260" s="261">
        <v>256</v>
      </c>
      <c r="AJ260" s="262">
        <v>7528</v>
      </c>
      <c r="AK260" s="352"/>
      <c r="AL260" s="261"/>
      <c r="AM260" s="262"/>
    </row>
    <row r="261" spans="2:39">
      <c r="B261" s="261" t="s">
        <v>545</v>
      </c>
      <c r="C261" s="261">
        <v>8438</v>
      </c>
      <c r="E261" s="261" t="s">
        <v>545</v>
      </c>
      <c r="F261" s="261">
        <v>8389.06</v>
      </c>
      <c r="H261" s="261" t="s">
        <v>545</v>
      </c>
      <c r="I261" s="262">
        <v>4571</v>
      </c>
      <c r="K261" s="261">
        <v>256</v>
      </c>
      <c r="L261" s="262">
        <v>1867.19</v>
      </c>
      <c r="M261" s="352"/>
      <c r="N261" s="261">
        <v>257</v>
      </c>
      <c r="O261" s="262">
        <v>2976.25</v>
      </c>
      <c r="P261" s="352"/>
      <c r="Q261" s="261">
        <v>257</v>
      </c>
      <c r="R261" s="262">
        <v>1153</v>
      </c>
      <c r="S261" s="352"/>
      <c r="T261" s="261">
        <v>257</v>
      </c>
      <c r="U261" s="262">
        <v>1153</v>
      </c>
      <c r="V261" s="352"/>
      <c r="W261" s="261">
        <v>257</v>
      </c>
      <c r="X261" s="262">
        <v>2046</v>
      </c>
      <c r="Y261" s="352"/>
      <c r="Z261" s="261">
        <v>257</v>
      </c>
      <c r="AA261" s="262">
        <v>2103.9299999999998</v>
      </c>
      <c r="AB261" s="352"/>
      <c r="AC261" s="261">
        <v>257</v>
      </c>
      <c r="AD261" s="262">
        <v>6479.53999999999</v>
      </c>
      <c r="AE261" s="352"/>
      <c r="AF261" s="261">
        <v>257</v>
      </c>
      <c r="AG261" s="262">
        <v>17494.28</v>
      </c>
      <c r="AH261" s="352"/>
      <c r="AI261" s="261">
        <v>257</v>
      </c>
      <c r="AJ261" s="262">
        <v>7556</v>
      </c>
      <c r="AK261" s="352"/>
      <c r="AL261" s="261"/>
      <c r="AM261" s="262"/>
    </row>
    <row r="262" spans="2:39">
      <c r="B262" s="261" t="s">
        <v>546</v>
      </c>
      <c r="C262" s="261">
        <v>8469</v>
      </c>
      <c r="E262" s="261" t="s">
        <v>546</v>
      </c>
      <c r="F262" s="261">
        <v>8420.32</v>
      </c>
      <c r="H262" s="261" t="s">
        <v>546</v>
      </c>
      <c r="I262" s="262">
        <f>I261+18</f>
        <v>4589</v>
      </c>
      <c r="K262" s="261">
        <v>257</v>
      </c>
      <c r="L262" s="262">
        <v>1874.49</v>
      </c>
      <c r="M262" s="352"/>
      <c r="N262" s="261">
        <v>258</v>
      </c>
      <c r="O262" s="262">
        <v>2987.35</v>
      </c>
      <c r="P262" s="352"/>
      <c r="Q262" s="261">
        <v>258</v>
      </c>
      <c r="R262" s="262">
        <v>1157</v>
      </c>
      <c r="S262" s="352"/>
      <c r="T262" s="261">
        <v>258</v>
      </c>
      <c r="U262" s="262">
        <v>1157</v>
      </c>
      <c r="V262" s="352"/>
      <c r="W262" s="261">
        <v>258</v>
      </c>
      <c r="X262" s="262">
        <v>2053</v>
      </c>
      <c r="Y262" s="352"/>
      <c r="Z262" s="261">
        <v>258</v>
      </c>
      <c r="AA262" s="262">
        <v>2111.44</v>
      </c>
      <c r="AB262" s="352"/>
      <c r="AC262" s="261">
        <v>258</v>
      </c>
      <c r="AD262" s="262">
        <v>6505.1999999999898</v>
      </c>
      <c r="AE262" s="352"/>
      <c r="AF262" s="261">
        <v>258</v>
      </c>
      <c r="AG262" s="262">
        <v>17562.7</v>
      </c>
      <c r="AH262" s="352"/>
      <c r="AI262" s="261">
        <v>258</v>
      </c>
      <c r="AJ262" s="262">
        <v>7585</v>
      </c>
      <c r="AK262" s="352"/>
      <c r="AL262" s="261"/>
      <c r="AM262" s="262"/>
    </row>
    <row r="263" spans="2:39">
      <c r="B263" s="261" t="s">
        <v>547</v>
      </c>
      <c r="C263" s="261">
        <v>8501</v>
      </c>
      <c r="E263" s="261" t="s">
        <v>547</v>
      </c>
      <c r="F263" s="261">
        <v>8451.65</v>
      </c>
      <c r="H263" s="261" t="s">
        <v>547</v>
      </c>
      <c r="I263" s="262">
        <v>4606</v>
      </c>
      <c r="K263" s="261">
        <v>258</v>
      </c>
      <c r="L263" s="262">
        <v>1881.8</v>
      </c>
      <c r="M263" s="352"/>
      <c r="N263" s="261">
        <v>259</v>
      </c>
      <c r="O263" s="262">
        <v>2998.45</v>
      </c>
      <c r="P263" s="352"/>
      <c r="Q263" s="261">
        <v>259</v>
      </c>
      <c r="R263" s="262">
        <v>1161</v>
      </c>
      <c r="S263" s="352"/>
      <c r="T263" s="261">
        <v>259</v>
      </c>
      <c r="U263" s="262">
        <v>1161</v>
      </c>
      <c r="V263" s="352"/>
      <c r="W263" s="261">
        <v>259</v>
      </c>
      <c r="X263" s="262">
        <v>2061</v>
      </c>
      <c r="Y263" s="352"/>
      <c r="Z263" s="261">
        <v>259</v>
      </c>
      <c r="AA263" s="262">
        <v>2118.9499999999998</v>
      </c>
      <c r="AB263" s="352"/>
      <c r="AC263" s="261">
        <v>259</v>
      </c>
      <c r="AD263" s="262">
        <v>6530.8599999999897</v>
      </c>
      <c r="AE263" s="352"/>
      <c r="AF263" s="261">
        <v>259</v>
      </c>
      <c r="AG263" s="262">
        <v>17631.13</v>
      </c>
      <c r="AH263" s="352"/>
      <c r="AI263" s="261">
        <v>259</v>
      </c>
      <c r="AJ263" s="262">
        <v>7613</v>
      </c>
      <c r="AK263" s="352"/>
      <c r="AL263" s="261"/>
      <c r="AM263" s="262"/>
    </row>
    <row r="264" spans="2:39">
      <c r="B264" s="261" t="s">
        <v>548</v>
      </c>
      <c r="C264" s="261">
        <v>8532</v>
      </c>
      <c r="E264" s="261" t="s">
        <v>548</v>
      </c>
      <c r="F264" s="261">
        <v>8482.91</v>
      </c>
      <c r="H264" s="261" t="s">
        <v>548</v>
      </c>
      <c r="I264" s="262">
        <f>I263+18</f>
        <v>4624</v>
      </c>
      <c r="K264" s="261">
        <v>259</v>
      </c>
      <c r="L264" s="262">
        <v>1889.1</v>
      </c>
      <c r="M264" s="352"/>
      <c r="N264" s="261">
        <v>260</v>
      </c>
      <c r="O264" s="262">
        <v>3009.55</v>
      </c>
      <c r="P264" s="352"/>
      <c r="Q264" s="261">
        <v>260</v>
      </c>
      <c r="R264" s="262">
        <v>1165</v>
      </c>
      <c r="S264" s="352"/>
      <c r="T264" s="261">
        <v>260</v>
      </c>
      <c r="U264" s="262">
        <v>1166</v>
      </c>
      <c r="V264" s="352"/>
      <c r="W264" s="261">
        <v>260</v>
      </c>
      <c r="X264" s="262">
        <v>2068</v>
      </c>
      <c r="Y264" s="352"/>
      <c r="Z264" s="261">
        <v>260</v>
      </c>
      <c r="AA264" s="262">
        <v>2126.4499999999998</v>
      </c>
      <c r="AB264" s="352"/>
      <c r="AC264" s="261">
        <v>260</v>
      </c>
      <c r="AD264" s="262">
        <v>6556.5199999999895</v>
      </c>
      <c r="AE264" s="352"/>
      <c r="AF264" s="261">
        <v>260</v>
      </c>
      <c r="AG264" s="262">
        <v>17699.55</v>
      </c>
      <c r="AH264" s="352"/>
      <c r="AI264" s="261">
        <v>260</v>
      </c>
      <c r="AJ264" s="262">
        <v>7641</v>
      </c>
      <c r="AK264" s="352"/>
      <c r="AL264" s="261"/>
      <c r="AM264" s="262"/>
    </row>
    <row r="265" spans="2:39">
      <c r="B265" s="261" t="s">
        <v>549</v>
      </c>
      <c r="C265" s="261">
        <v>8564</v>
      </c>
      <c r="E265" s="261" t="s">
        <v>549</v>
      </c>
      <c r="F265" s="261">
        <v>8514.23</v>
      </c>
      <c r="H265" s="261" t="s">
        <v>549</v>
      </c>
      <c r="I265" s="262">
        <v>4641</v>
      </c>
      <c r="K265" s="261">
        <v>260</v>
      </c>
      <c r="L265" s="262">
        <v>1896.4</v>
      </c>
      <c r="M265" s="352"/>
      <c r="N265" s="261">
        <v>261</v>
      </c>
      <c r="O265" s="262">
        <v>3020.65</v>
      </c>
      <c r="P265" s="352"/>
      <c r="Q265" s="261">
        <v>261</v>
      </c>
      <c r="R265" s="262">
        <v>1169</v>
      </c>
      <c r="S265" s="352"/>
      <c r="T265" s="261">
        <v>261</v>
      </c>
      <c r="U265" s="262">
        <v>1170</v>
      </c>
      <c r="V265" s="352"/>
      <c r="W265" s="261">
        <v>261</v>
      </c>
      <c r="X265" s="262">
        <v>2076</v>
      </c>
      <c r="Y265" s="352"/>
      <c r="Z265" s="261">
        <v>261</v>
      </c>
      <c r="AA265" s="262">
        <v>2133.96</v>
      </c>
      <c r="AB265" s="352"/>
      <c r="AC265" s="261">
        <v>261</v>
      </c>
      <c r="AD265" s="262">
        <v>6582.1899999999896</v>
      </c>
      <c r="AE265" s="352"/>
      <c r="AF265" s="261">
        <v>261</v>
      </c>
      <c r="AG265" s="262">
        <v>17767.98</v>
      </c>
      <c r="AH265" s="352"/>
      <c r="AI265" s="261">
        <v>261</v>
      </c>
      <c r="AJ265" s="262">
        <v>7670</v>
      </c>
      <c r="AK265" s="352"/>
      <c r="AL265" s="261"/>
      <c r="AM265" s="262"/>
    </row>
    <row r="266" spans="2:39">
      <c r="B266" s="261" t="s">
        <v>550</v>
      </c>
      <c r="C266" s="261">
        <v>8595</v>
      </c>
      <c r="E266" s="261" t="s">
        <v>550</v>
      </c>
      <c r="F266" s="261">
        <v>8545.49</v>
      </c>
      <c r="H266" s="261" t="s">
        <v>550</v>
      </c>
      <c r="I266" s="262">
        <f>I265+18</f>
        <v>4659</v>
      </c>
      <c r="K266" s="261">
        <v>261</v>
      </c>
      <c r="L266" s="262">
        <v>1903.71</v>
      </c>
      <c r="M266" s="352"/>
      <c r="N266" s="261">
        <v>262</v>
      </c>
      <c r="O266" s="262">
        <v>3031.75</v>
      </c>
      <c r="P266" s="352"/>
      <c r="Q266" s="261">
        <v>262</v>
      </c>
      <c r="R266" s="262">
        <v>1173</v>
      </c>
      <c r="S266" s="352"/>
      <c r="T266" s="261">
        <v>262</v>
      </c>
      <c r="U266" s="262">
        <v>1174</v>
      </c>
      <c r="V266" s="352"/>
      <c r="W266" s="261">
        <v>262</v>
      </c>
      <c r="X266" s="262">
        <v>2083</v>
      </c>
      <c r="Y266" s="352"/>
      <c r="Z266" s="261">
        <v>262</v>
      </c>
      <c r="AA266" s="262">
        <v>2141.4699999999998</v>
      </c>
      <c r="AB266" s="352"/>
      <c r="AC266" s="261">
        <v>262</v>
      </c>
      <c r="AD266" s="262">
        <v>6607.8499999999894</v>
      </c>
      <c r="AE266" s="352"/>
      <c r="AF266" s="261">
        <v>262</v>
      </c>
      <c r="AG266" s="262">
        <v>17836.400000000001</v>
      </c>
      <c r="AH266" s="352"/>
      <c r="AI266" s="261">
        <v>262</v>
      </c>
      <c r="AJ266" s="262">
        <v>7698</v>
      </c>
      <c r="AK266" s="352"/>
      <c r="AL266" s="261"/>
      <c r="AM266" s="262"/>
    </row>
    <row r="267" spans="2:39">
      <c r="B267" s="261" t="s">
        <v>551</v>
      </c>
      <c r="C267" s="261">
        <v>8626</v>
      </c>
      <c r="E267" s="261" t="s">
        <v>551</v>
      </c>
      <c r="F267" s="261">
        <v>8576.82</v>
      </c>
      <c r="H267" s="261" t="s">
        <v>551</v>
      </c>
      <c r="I267" s="262">
        <v>4677</v>
      </c>
      <c r="K267" s="261">
        <v>262</v>
      </c>
      <c r="L267" s="262">
        <v>1911.01</v>
      </c>
      <c r="M267" s="352"/>
      <c r="N267" s="261">
        <v>263</v>
      </c>
      <c r="O267" s="262">
        <v>3042.85</v>
      </c>
      <c r="P267" s="352"/>
      <c r="Q267" s="261">
        <v>263</v>
      </c>
      <c r="R267" s="262">
        <v>1178</v>
      </c>
      <c r="S267" s="352"/>
      <c r="T267" s="261">
        <v>263</v>
      </c>
      <c r="U267" s="262">
        <v>1178</v>
      </c>
      <c r="V267" s="352"/>
      <c r="W267" s="261">
        <v>263</v>
      </c>
      <c r="X267" s="262">
        <v>2091</v>
      </c>
      <c r="Y267" s="352"/>
      <c r="Z267" s="261">
        <v>263</v>
      </c>
      <c r="AA267" s="262">
        <v>2148.9699999999998</v>
      </c>
      <c r="AB267" s="352"/>
      <c r="AC267" s="261">
        <v>263</v>
      </c>
      <c r="AD267" s="262">
        <v>6633.5099999999893</v>
      </c>
      <c r="AE267" s="352"/>
      <c r="AF267" s="261">
        <v>263</v>
      </c>
      <c r="AG267" s="262">
        <v>17904.82</v>
      </c>
      <c r="AH267" s="352"/>
      <c r="AI267" s="261">
        <v>263</v>
      </c>
      <c r="AJ267" s="262">
        <v>7727</v>
      </c>
      <c r="AK267" s="352"/>
      <c r="AL267" s="261"/>
      <c r="AM267" s="262"/>
    </row>
    <row r="268" spans="2:39">
      <c r="B268" s="261" t="s">
        <v>552</v>
      </c>
      <c r="C268" s="261">
        <v>8657</v>
      </c>
      <c r="E268" s="261" t="s">
        <v>552</v>
      </c>
      <c r="F268" s="261">
        <v>8608.08</v>
      </c>
      <c r="H268" s="261" t="s">
        <v>552</v>
      </c>
      <c r="I268" s="262">
        <f>I267+18</f>
        <v>4695</v>
      </c>
      <c r="K268" s="261">
        <v>263</v>
      </c>
      <c r="L268" s="262">
        <v>1918.32</v>
      </c>
      <c r="M268" s="352"/>
      <c r="N268" s="261">
        <v>264</v>
      </c>
      <c r="O268" s="262">
        <v>3053.94</v>
      </c>
      <c r="P268" s="352"/>
      <c r="Q268" s="261">
        <v>264</v>
      </c>
      <c r="R268" s="262">
        <v>1182</v>
      </c>
      <c r="S268" s="352"/>
      <c r="T268" s="261">
        <v>264</v>
      </c>
      <c r="U268" s="262">
        <v>1182</v>
      </c>
      <c r="V268" s="352"/>
      <c r="W268" s="261">
        <v>264</v>
      </c>
      <c r="X268" s="262">
        <v>2098</v>
      </c>
      <c r="Y268" s="352"/>
      <c r="Z268" s="261">
        <v>264</v>
      </c>
      <c r="AA268" s="262">
        <v>2156.48</v>
      </c>
      <c r="AB268" s="352"/>
      <c r="AC268" s="261">
        <v>264</v>
      </c>
      <c r="AD268" s="262">
        <v>6659.1699999999892</v>
      </c>
      <c r="AE268" s="352"/>
      <c r="AF268" s="261">
        <v>264</v>
      </c>
      <c r="AG268" s="262">
        <v>17973.25</v>
      </c>
      <c r="AH268" s="352"/>
      <c r="AI268" s="261">
        <v>264</v>
      </c>
      <c r="AJ268" s="262">
        <v>7755</v>
      </c>
      <c r="AK268" s="352"/>
      <c r="AL268" s="261"/>
      <c r="AM268" s="262"/>
    </row>
    <row r="269" spans="2:39">
      <c r="B269" s="261" t="s">
        <v>553</v>
      </c>
      <c r="C269" s="261">
        <v>8689</v>
      </c>
      <c r="E269" s="261" t="s">
        <v>553</v>
      </c>
      <c r="F269" s="261">
        <v>8639.41</v>
      </c>
      <c r="H269" s="261" t="s">
        <v>553</v>
      </c>
      <c r="I269" s="262">
        <v>4712</v>
      </c>
      <c r="K269" s="261">
        <v>264</v>
      </c>
      <c r="L269" s="262">
        <v>1925.63</v>
      </c>
      <c r="M269" s="352"/>
      <c r="N269" s="261">
        <v>265</v>
      </c>
      <c r="O269" s="262">
        <v>3065.04</v>
      </c>
      <c r="P269" s="352"/>
      <c r="Q269" s="261">
        <v>265</v>
      </c>
      <c r="R269" s="262">
        <v>1186</v>
      </c>
      <c r="S269" s="352"/>
      <c r="T269" s="261">
        <v>265</v>
      </c>
      <c r="U269" s="262">
        <v>1186</v>
      </c>
      <c r="V269" s="352"/>
      <c r="W269" s="261">
        <v>265</v>
      </c>
      <c r="X269" s="262">
        <v>2106</v>
      </c>
      <c r="Y269" s="352"/>
      <c r="Z269" s="261">
        <v>265</v>
      </c>
      <c r="AA269" s="262">
        <v>2163.9899999999998</v>
      </c>
      <c r="AB269" s="352"/>
      <c r="AC269" s="261">
        <v>265</v>
      </c>
      <c r="AD269" s="262">
        <v>6684.829999999989</v>
      </c>
      <c r="AE269" s="352"/>
      <c r="AF269" s="261">
        <v>265</v>
      </c>
      <c r="AG269" s="262">
        <v>18041.669999999998</v>
      </c>
      <c r="AH269" s="352"/>
      <c r="AI269" s="261">
        <v>265</v>
      </c>
      <c r="AJ269" s="262">
        <v>7783</v>
      </c>
      <c r="AK269" s="352"/>
      <c r="AL269" s="261"/>
      <c r="AM269" s="262"/>
    </row>
    <row r="270" spans="2:39">
      <c r="B270" s="261" t="s">
        <v>554</v>
      </c>
      <c r="C270" s="261">
        <v>8720</v>
      </c>
      <c r="E270" s="261" t="s">
        <v>554</v>
      </c>
      <c r="F270" s="261">
        <v>8670.67</v>
      </c>
      <c r="H270" s="261" t="s">
        <v>554</v>
      </c>
      <c r="I270" s="262">
        <f>I269+18</f>
        <v>4730</v>
      </c>
      <c r="K270" s="261">
        <v>265</v>
      </c>
      <c r="L270" s="262">
        <v>1932.93</v>
      </c>
      <c r="M270" s="352"/>
      <c r="N270" s="261">
        <v>266</v>
      </c>
      <c r="O270" s="262">
        <v>3076.14</v>
      </c>
      <c r="P270" s="352"/>
      <c r="Q270" s="261">
        <v>266</v>
      </c>
      <c r="R270" s="262">
        <v>1190</v>
      </c>
      <c r="S270" s="352"/>
      <c r="T270" s="261">
        <v>266</v>
      </c>
      <c r="U270" s="262">
        <v>1190</v>
      </c>
      <c r="V270" s="352"/>
      <c r="W270" s="261">
        <v>266</v>
      </c>
      <c r="X270" s="262">
        <v>2134.6999999999998</v>
      </c>
      <c r="Y270" s="352"/>
      <c r="Z270" s="261">
        <v>266</v>
      </c>
      <c r="AA270" s="262">
        <v>2171.4899999999998</v>
      </c>
      <c r="AB270" s="352"/>
      <c r="AC270" s="261">
        <v>266</v>
      </c>
      <c r="AD270" s="262">
        <v>6710.4999999999891</v>
      </c>
      <c r="AE270" s="352"/>
      <c r="AF270" s="261">
        <v>266</v>
      </c>
      <c r="AG270" s="262">
        <v>18110.099999999999</v>
      </c>
      <c r="AH270" s="352"/>
      <c r="AI270" s="261">
        <v>266</v>
      </c>
      <c r="AJ270" s="262">
        <v>7812</v>
      </c>
      <c r="AK270" s="352"/>
      <c r="AL270" s="261"/>
      <c r="AM270" s="262"/>
    </row>
    <row r="271" spans="2:39">
      <c r="B271" s="261" t="s">
        <v>555</v>
      </c>
      <c r="C271" s="261">
        <v>8752</v>
      </c>
      <c r="E271" s="261" t="s">
        <v>555</v>
      </c>
      <c r="F271" s="261">
        <v>8702</v>
      </c>
      <c r="H271" s="261" t="s">
        <v>555</v>
      </c>
      <c r="I271" s="262">
        <v>4747</v>
      </c>
      <c r="K271" s="261">
        <v>266</v>
      </c>
      <c r="L271" s="262">
        <v>1940.24</v>
      </c>
      <c r="M271" s="352"/>
      <c r="N271" s="261">
        <v>267</v>
      </c>
      <c r="O271" s="262">
        <v>3087.24</v>
      </c>
      <c r="P271" s="352"/>
      <c r="Q271" s="261">
        <v>267</v>
      </c>
      <c r="R271" s="262">
        <v>1194</v>
      </c>
      <c r="S271" s="352"/>
      <c r="T271" s="261">
        <v>267</v>
      </c>
      <c r="U271" s="262">
        <v>1195</v>
      </c>
      <c r="V271" s="352"/>
      <c r="W271" s="261">
        <v>267</v>
      </c>
      <c r="X271" s="262">
        <v>2142.1999999999998</v>
      </c>
      <c r="Y271" s="352"/>
      <c r="Z271" s="261">
        <v>267</v>
      </c>
      <c r="AA271" s="262">
        <v>2179</v>
      </c>
      <c r="AB271" s="352"/>
      <c r="AC271" s="261">
        <v>267</v>
      </c>
      <c r="AD271" s="262">
        <v>6736.1599999999889</v>
      </c>
      <c r="AE271" s="352"/>
      <c r="AF271" s="261">
        <v>267</v>
      </c>
      <c r="AG271" s="262">
        <v>18178.52</v>
      </c>
      <c r="AH271" s="352"/>
      <c r="AI271" s="261">
        <v>267</v>
      </c>
      <c r="AJ271" s="262">
        <v>7840</v>
      </c>
      <c r="AK271" s="352"/>
      <c r="AL271" s="261"/>
      <c r="AM271" s="262"/>
    </row>
    <row r="272" spans="2:39">
      <c r="B272" s="261" t="s">
        <v>556</v>
      </c>
      <c r="C272" s="261">
        <v>8783</v>
      </c>
      <c r="E272" s="261" t="s">
        <v>556</v>
      </c>
      <c r="F272" s="261">
        <v>8733.26</v>
      </c>
      <c r="H272" s="261" t="s">
        <v>556</v>
      </c>
      <c r="I272" s="262">
        <f>I271+18</f>
        <v>4765</v>
      </c>
      <c r="K272" s="261">
        <v>267</v>
      </c>
      <c r="L272" s="262">
        <v>1947.54</v>
      </c>
      <c r="M272" s="352"/>
      <c r="N272" s="261">
        <v>268</v>
      </c>
      <c r="O272" s="262">
        <v>3098.34</v>
      </c>
      <c r="P272" s="352"/>
      <c r="Q272" s="261">
        <v>268</v>
      </c>
      <c r="R272" s="262">
        <v>1198</v>
      </c>
      <c r="S272" s="352"/>
      <c r="T272" s="261">
        <v>268</v>
      </c>
      <c r="U272" s="262">
        <v>1199</v>
      </c>
      <c r="V272" s="352"/>
      <c r="W272" s="261">
        <v>268</v>
      </c>
      <c r="X272" s="262">
        <v>2149.6999999999998</v>
      </c>
      <c r="Y272" s="352"/>
      <c r="Z272" s="261">
        <v>268</v>
      </c>
      <c r="AA272" s="262">
        <v>2186.5100000000002</v>
      </c>
      <c r="AB272" s="352"/>
      <c r="AC272" s="261">
        <v>268</v>
      </c>
      <c r="AD272" s="262">
        <v>6761.8199999999888</v>
      </c>
      <c r="AE272" s="352"/>
      <c r="AF272" s="261">
        <v>268</v>
      </c>
      <c r="AG272" s="262">
        <v>18246.939999999999</v>
      </c>
      <c r="AH272" s="352"/>
      <c r="AI272" s="261">
        <v>268</v>
      </c>
      <c r="AJ272" s="262">
        <v>7869</v>
      </c>
      <c r="AK272" s="352"/>
      <c r="AL272" s="261"/>
      <c r="AM272" s="262"/>
    </row>
    <row r="273" spans="2:39">
      <c r="B273" s="261" t="s">
        <v>557</v>
      </c>
      <c r="C273" s="261">
        <v>8815</v>
      </c>
      <c r="E273" s="261" t="s">
        <v>557</v>
      </c>
      <c r="F273" s="261">
        <v>8764.59</v>
      </c>
      <c r="H273" s="261" t="s">
        <v>557</v>
      </c>
      <c r="I273" s="262">
        <v>4783</v>
      </c>
      <c r="K273" s="261">
        <v>268</v>
      </c>
      <c r="L273" s="262">
        <v>1954.85</v>
      </c>
      <c r="M273" s="352"/>
      <c r="N273" s="261">
        <v>269</v>
      </c>
      <c r="O273" s="262">
        <v>3109.44</v>
      </c>
      <c r="P273" s="352"/>
      <c r="Q273" s="261">
        <v>269</v>
      </c>
      <c r="R273" s="262">
        <v>1202</v>
      </c>
      <c r="S273" s="352"/>
      <c r="T273" s="261">
        <v>269</v>
      </c>
      <c r="U273" s="262">
        <v>1203</v>
      </c>
      <c r="V273" s="352"/>
      <c r="W273" s="261">
        <v>269</v>
      </c>
      <c r="X273" s="262">
        <v>2157.1999999999998</v>
      </c>
      <c r="Y273" s="352"/>
      <c r="Z273" s="261">
        <v>269</v>
      </c>
      <c r="AA273" s="262">
        <v>2194.02</v>
      </c>
      <c r="AB273" s="352"/>
      <c r="AC273" s="261">
        <v>269</v>
      </c>
      <c r="AD273" s="262">
        <v>6787.4799999999886</v>
      </c>
      <c r="AE273" s="352"/>
      <c r="AF273" s="261">
        <v>269</v>
      </c>
      <c r="AG273" s="262">
        <v>18315.37</v>
      </c>
      <c r="AH273" s="352"/>
      <c r="AI273" s="261">
        <v>269</v>
      </c>
      <c r="AJ273" s="262">
        <v>7897</v>
      </c>
      <c r="AK273" s="352"/>
      <c r="AL273" s="261"/>
      <c r="AM273" s="262"/>
    </row>
    <row r="274" spans="2:39">
      <c r="B274" s="261" t="s">
        <v>558</v>
      </c>
      <c r="C274" s="261">
        <v>8846</v>
      </c>
      <c r="E274" s="261" t="s">
        <v>558</v>
      </c>
      <c r="F274" s="261">
        <v>8795.85</v>
      </c>
      <c r="H274" s="261" t="s">
        <v>558</v>
      </c>
      <c r="I274" s="262">
        <f>I273+18</f>
        <v>4801</v>
      </c>
      <c r="K274" s="261">
        <v>269</v>
      </c>
      <c r="L274" s="262">
        <v>1962.15</v>
      </c>
      <c r="M274" s="352"/>
      <c r="N274" s="261">
        <v>270</v>
      </c>
      <c r="O274" s="262">
        <v>3120.53</v>
      </c>
      <c r="P274" s="352"/>
      <c r="Q274" s="261">
        <v>270</v>
      </c>
      <c r="R274" s="262">
        <v>1207</v>
      </c>
      <c r="S274" s="352"/>
      <c r="T274" s="261">
        <v>270</v>
      </c>
      <c r="U274" s="262">
        <v>1207</v>
      </c>
      <c r="V274" s="352"/>
      <c r="W274" s="261">
        <v>270</v>
      </c>
      <c r="X274" s="262">
        <v>2164.6999999999998</v>
      </c>
      <c r="Y274" s="352"/>
      <c r="Z274" s="261">
        <v>270</v>
      </c>
      <c r="AA274" s="262">
        <v>2201.52</v>
      </c>
      <c r="AB274" s="352"/>
      <c r="AC274" s="261">
        <v>270</v>
      </c>
      <c r="AD274" s="262">
        <v>6813.1399999999885</v>
      </c>
      <c r="AE274" s="352"/>
      <c r="AF274" s="261">
        <v>270</v>
      </c>
      <c r="AG274" s="262">
        <v>18383.79</v>
      </c>
      <c r="AH274" s="352"/>
      <c r="AI274" s="261">
        <v>270</v>
      </c>
      <c r="AJ274" s="262">
        <v>7925</v>
      </c>
      <c r="AK274" s="352"/>
      <c r="AL274" s="261"/>
      <c r="AM274" s="262"/>
    </row>
    <row r="275" spans="2:39">
      <c r="B275" s="261" t="s">
        <v>559</v>
      </c>
      <c r="C275" s="261">
        <v>8878</v>
      </c>
      <c r="E275" s="261" t="s">
        <v>559</v>
      </c>
      <c r="F275" s="261">
        <v>8827.17</v>
      </c>
      <c r="H275" s="261" t="s">
        <v>559</v>
      </c>
      <c r="I275" s="262">
        <v>4818</v>
      </c>
      <c r="K275" s="261">
        <v>270</v>
      </c>
      <c r="L275" s="262">
        <v>1969.46</v>
      </c>
      <c r="M275" s="352"/>
      <c r="N275" s="261">
        <v>271</v>
      </c>
      <c r="O275" s="262">
        <v>3131.63</v>
      </c>
      <c r="P275" s="352"/>
      <c r="Q275" s="261">
        <v>271</v>
      </c>
      <c r="R275" s="262">
        <v>1211</v>
      </c>
      <c r="S275" s="352"/>
      <c r="T275" s="261">
        <v>271</v>
      </c>
      <c r="U275" s="262">
        <v>1211</v>
      </c>
      <c r="V275" s="352"/>
      <c r="W275" s="261">
        <v>271</v>
      </c>
      <c r="X275" s="262">
        <v>2172.1999999999998</v>
      </c>
      <c r="Y275" s="352"/>
      <c r="Z275" s="261">
        <v>271</v>
      </c>
      <c r="AA275" s="262">
        <v>2209.0300000000002</v>
      </c>
      <c r="AB275" s="352"/>
      <c r="AC275" s="261">
        <v>271</v>
      </c>
      <c r="AD275" s="262">
        <v>6838.8099999999886</v>
      </c>
      <c r="AE275" s="352"/>
      <c r="AF275" s="261">
        <v>271</v>
      </c>
      <c r="AG275" s="262">
        <v>18452.22</v>
      </c>
      <c r="AH275" s="352"/>
      <c r="AI275" s="261">
        <v>271</v>
      </c>
      <c r="AJ275" s="262">
        <v>7954</v>
      </c>
      <c r="AK275" s="352"/>
      <c r="AL275" s="261"/>
      <c r="AM275" s="262"/>
    </row>
    <row r="276" spans="2:39">
      <c r="B276" s="261" t="s">
        <v>560</v>
      </c>
      <c r="C276" s="261">
        <v>8909</v>
      </c>
      <c r="E276" s="261" t="s">
        <v>560</v>
      </c>
      <c r="F276" s="261">
        <v>8858.43</v>
      </c>
      <c r="H276" s="261" t="s">
        <v>560</v>
      </c>
      <c r="I276" s="262">
        <f>I275+18</f>
        <v>4836</v>
      </c>
      <c r="K276" s="261">
        <v>271</v>
      </c>
      <c r="L276" s="262">
        <v>1976.76</v>
      </c>
      <c r="M276" s="352"/>
      <c r="N276" s="261">
        <v>272</v>
      </c>
      <c r="O276" s="262">
        <v>3142.73</v>
      </c>
      <c r="P276" s="352"/>
      <c r="Q276" s="261">
        <v>272</v>
      </c>
      <c r="R276" s="262">
        <v>1215</v>
      </c>
      <c r="S276" s="352"/>
      <c r="T276" s="261">
        <v>272</v>
      </c>
      <c r="U276" s="262">
        <v>1215</v>
      </c>
      <c r="V276" s="352"/>
      <c r="W276" s="261">
        <v>272</v>
      </c>
      <c r="X276" s="262">
        <v>2179.6999999999998</v>
      </c>
      <c r="Y276" s="352"/>
      <c r="Z276" s="261">
        <v>272</v>
      </c>
      <c r="AA276" s="262">
        <v>2216.54</v>
      </c>
      <c r="AB276" s="352"/>
      <c r="AC276" s="261">
        <v>272</v>
      </c>
      <c r="AD276" s="262">
        <v>6864.4699999999884</v>
      </c>
      <c r="AE276" s="352"/>
      <c r="AF276" s="261">
        <v>272</v>
      </c>
      <c r="AG276" s="262">
        <v>18520.64</v>
      </c>
      <c r="AH276" s="352"/>
      <c r="AI276" s="261">
        <v>272</v>
      </c>
      <c r="AJ276" s="262">
        <v>7982</v>
      </c>
      <c r="AK276" s="352"/>
      <c r="AL276" s="261"/>
      <c r="AM276" s="262"/>
    </row>
    <row r="277" spans="2:39">
      <c r="B277" s="261" t="s">
        <v>561</v>
      </c>
      <c r="C277" s="261">
        <v>8940</v>
      </c>
      <c r="E277" s="261" t="s">
        <v>561</v>
      </c>
      <c r="F277" s="261">
        <v>8889.76</v>
      </c>
      <c r="H277" s="261" t="s">
        <v>561</v>
      </c>
      <c r="I277" s="262">
        <v>4853</v>
      </c>
      <c r="K277" s="261">
        <v>272</v>
      </c>
      <c r="L277" s="262">
        <v>1984.07</v>
      </c>
      <c r="M277" s="352"/>
      <c r="N277" s="261">
        <v>273</v>
      </c>
      <c r="O277" s="262">
        <v>3153.83</v>
      </c>
      <c r="P277" s="352"/>
      <c r="Q277" s="261">
        <v>273</v>
      </c>
      <c r="R277" s="262">
        <v>1219</v>
      </c>
      <c r="S277" s="352"/>
      <c r="T277" s="261">
        <v>273</v>
      </c>
      <c r="U277" s="262">
        <v>1219</v>
      </c>
      <c r="V277" s="352"/>
      <c r="W277" s="261">
        <v>273</v>
      </c>
      <c r="X277" s="262">
        <v>2187.3000000000002</v>
      </c>
      <c r="Y277" s="352"/>
      <c r="Z277" s="261">
        <v>273</v>
      </c>
      <c r="AA277" s="262">
        <v>2224.04</v>
      </c>
      <c r="AB277" s="352"/>
      <c r="AC277" s="261">
        <v>273</v>
      </c>
      <c r="AD277" s="262">
        <v>6890.1299999999883</v>
      </c>
      <c r="AE277" s="352"/>
      <c r="AF277" s="261">
        <v>273</v>
      </c>
      <c r="AG277" s="262">
        <v>18589.060000000001</v>
      </c>
      <c r="AH277" s="352"/>
      <c r="AI277" s="261">
        <v>273</v>
      </c>
      <c r="AJ277" s="262">
        <v>8011</v>
      </c>
      <c r="AK277" s="352"/>
      <c r="AL277" s="261"/>
      <c r="AM277" s="262"/>
    </row>
    <row r="278" spans="2:39">
      <c r="B278" s="261" t="s">
        <v>562</v>
      </c>
      <c r="C278" s="261">
        <v>8971</v>
      </c>
      <c r="E278" s="261" t="s">
        <v>562</v>
      </c>
      <c r="F278" s="261">
        <v>8921.02</v>
      </c>
      <c r="H278" s="261" t="s">
        <v>562</v>
      </c>
      <c r="I278" s="262">
        <f>I277+18</f>
        <v>4871</v>
      </c>
      <c r="K278" s="261">
        <v>273</v>
      </c>
      <c r="L278" s="262">
        <v>1991.37</v>
      </c>
      <c r="M278" s="352"/>
      <c r="N278" s="261">
        <v>274</v>
      </c>
      <c r="O278" s="262">
        <v>3164.93</v>
      </c>
      <c r="P278" s="352"/>
      <c r="Q278" s="261">
        <v>274</v>
      </c>
      <c r="R278" s="262">
        <v>1223</v>
      </c>
      <c r="S278" s="352"/>
      <c r="T278" s="261">
        <v>274</v>
      </c>
      <c r="U278" s="262">
        <v>1223</v>
      </c>
      <c r="V278" s="352"/>
      <c r="W278" s="261">
        <v>274</v>
      </c>
      <c r="X278" s="262">
        <v>2194.8000000000002</v>
      </c>
      <c r="Y278" s="352"/>
      <c r="Z278" s="261">
        <v>274</v>
      </c>
      <c r="AA278" s="262">
        <v>2231.5500000000002</v>
      </c>
      <c r="AB278" s="352"/>
      <c r="AC278" s="261">
        <v>274</v>
      </c>
      <c r="AD278" s="262">
        <v>6915.7899999999881</v>
      </c>
      <c r="AE278" s="352"/>
      <c r="AF278" s="261">
        <v>274</v>
      </c>
      <c r="AG278" s="262">
        <v>18657.490000000002</v>
      </c>
      <c r="AH278" s="352"/>
      <c r="AI278" s="261">
        <v>274</v>
      </c>
      <c r="AJ278" s="262">
        <v>8039</v>
      </c>
      <c r="AK278" s="352"/>
      <c r="AL278" s="261"/>
      <c r="AM278" s="262"/>
    </row>
    <row r="279" spans="2:39">
      <c r="B279" s="261" t="s">
        <v>563</v>
      </c>
      <c r="C279" s="261">
        <v>9003</v>
      </c>
      <c r="E279" s="261" t="s">
        <v>563</v>
      </c>
      <c r="F279" s="261">
        <v>8952.35</v>
      </c>
      <c r="H279" s="261" t="s">
        <v>563</v>
      </c>
      <c r="I279" s="262">
        <v>4888</v>
      </c>
      <c r="K279" s="261">
        <v>274</v>
      </c>
      <c r="L279" s="262">
        <v>1998.68</v>
      </c>
      <c r="M279" s="352"/>
      <c r="N279" s="261">
        <v>275</v>
      </c>
      <c r="O279" s="262">
        <v>3176.03</v>
      </c>
      <c r="P279" s="352"/>
      <c r="Q279" s="261">
        <v>275</v>
      </c>
      <c r="R279" s="262">
        <v>1227</v>
      </c>
      <c r="S279" s="352"/>
      <c r="T279" s="261">
        <v>275</v>
      </c>
      <c r="U279" s="262">
        <v>1228</v>
      </c>
      <c r="V279" s="352"/>
      <c r="W279" s="261">
        <v>275</v>
      </c>
      <c r="X279" s="262">
        <v>2202.3000000000002</v>
      </c>
      <c r="Y279" s="352"/>
      <c r="Z279" s="261">
        <v>275</v>
      </c>
      <c r="AA279" s="262">
        <v>2239.06</v>
      </c>
      <c r="AB279" s="352"/>
      <c r="AC279" s="261">
        <v>275</v>
      </c>
      <c r="AD279" s="262">
        <v>6941.449999999988</v>
      </c>
      <c r="AE279" s="352"/>
      <c r="AF279" s="261">
        <v>275</v>
      </c>
      <c r="AG279" s="262">
        <v>18725.91</v>
      </c>
      <c r="AH279" s="352"/>
      <c r="AI279" s="261">
        <v>275</v>
      </c>
      <c r="AJ279" s="262">
        <v>8067</v>
      </c>
      <c r="AK279" s="352"/>
      <c r="AL279" s="261"/>
      <c r="AM279" s="262"/>
    </row>
    <row r="280" spans="2:39">
      <c r="B280" s="261" t="s">
        <v>564</v>
      </c>
      <c r="C280" s="261">
        <v>9034</v>
      </c>
      <c r="E280" s="261" t="s">
        <v>564</v>
      </c>
      <c r="F280" s="261">
        <v>8983.61</v>
      </c>
      <c r="H280" s="261" t="s">
        <v>564</v>
      </c>
      <c r="I280" s="262">
        <f>I279+18</f>
        <v>4906</v>
      </c>
      <c r="K280" s="261">
        <v>275</v>
      </c>
      <c r="L280" s="262">
        <v>2005.98</v>
      </c>
      <c r="M280" s="352"/>
      <c r="N280" s="261">
        <v>276</v>
      </c>
      <c r="O280" s="262">
        <v>3187.12</v>
      </c>
      <c r="P280" s="352"/>
      <c r="Q280" s="261">
        <v>276</v>
      </c>
      <c r="R280" s="262">
        <v>1231</v>
      </c>
      <c r="S280" s="352"/>
      <c r="T280" s="261">
        <v>276</v>
      </c>
      <c r="U280" s="262">
        <v>1232</v>
      </c>
      <c r="V280" s="352"/>
      <c r="W280" s="261">
        <v>276</v>
      </c>
      <c r="X280" s="262">
        <v>2209.8000000000002</v>
      </c>
      <c r="Y280" s="352"/>
      <c r="Z280" s="261">
        <v>276</v>
      </c>
      <c r="AA280" s="262">
        <v>2246.5700000000002</v>
      </c>
      <c r="AB280" s="352"/>
      <c r="AC280" s="261">
        <v>276</v>
      </c>
      <c r="AD280" s="262">
        <v>6967.1199999999881</v>
      </c>
      <c r="AE280" s="352"/>
      <c r="AF280" s="261">
        <v>276</v>
      </c>
      <c r="AG280" s="262">
        <v>18794.34</v>
      </c>
      <c r="AH280" s="352"/>
      <c r="AI280" s="261">
        <v>276</v>
      </c>
      <c r="AJ280" s="262">
        <v>8096</v>
      </c>
      <c r="AK280" s="352"/>
      <c r="AL280" s="261"/>
      <c r="AM280" s="262"/>
    </row>
    <row r="281" spans="2:39">
      <c r="B281" s="261" t="s">
        <v>565</v>
      </c>
      <c r="C281" s="261">
        <v>9066</v>
      </c>
      <c r="E281" s="261" t="s">
        <v>565</v>
      </c>
      <c r="F281" s="261">
        <v>9014.93</v>
      </c>
      <c r="H281" s="261" t="s">
        <v>565</v>
      </c>
      <c r="I281" s="262">
        <v>4924</v>
      </c>
      <c r="K281" s="261">
        <v>276</v>
      </c>
      <c r="L281" s="262">
        <v>2013.29</v>
      </c>
      <c r="M281" s="352"/>
      <c r="N281" s="261">
        <v>277</v>
      </c>
      <c r="O281" s="262">
        <v>3198.22</v>
      </c>
      <c r="P281" s="352"/>
      <c r="Q281" s="261">
        <v>277</v>
      </c>
      <c r="R281" s="262">
        <v>1235</v>
      </c>
      <c r="S281" s="352"/>
      <c r="T281" s="261">
        <v>277</v>
      </c>
      <c r="U281" s="262">
        <v>1236</v>
      </c>
      <c r="V281" s="352"/>
      <c r="W281" s="261">
        <v>277</v>
      </c>
      <c r="X281" s="262">
        <v>2217.3000000000002</v>
      </c>
      <c r="Y281" s="352"/>
      <c r="Z281" s="261">
        <v>277</v>
      </c>
      <c r="AA281" s="262">
        <v>2254.08</v>
      </c>
      <c r="AB281" s="352"/>
      <c r="AC281" s="261">
        <v>277</v>
      </c>
      <c r="AD281" s="262">
        <v>6992.7799999999879</v>
      </c>
      <c r="AE281" s="352"/>
      <c r="AF281" s="261">
        <v>277</v>
      </c>
      <c r="AG281" s="262">
        <v>18862.759999999998</v>
      </c>
      <c r="AH281" s="352"/>
      <c r="AI281" s="261">
        <v>277</v>
      </c>
      <c r="AJ281" s="262">
        <v>8124</v>
      </c>
      <c r="AK281" s="352"/>
      <c r="AL281" s="261"/>
      <c r="AM281" s="262"/>
    </row>
    <row r="282" spans="2:39">
      <c r="B282" s="261" t="s">
        <v>566</v>
      </c>
      <c r="C282" s="261">
        <v>9097</v>
      </c>
      <c r="E282" s="261" t="s">
        <v>566</v>
      </c>
      <c r="F282" s="261">
        <v>9046.19</v>
      </c>
      <c r="H282" s="261" t="s">
        <v>566</v>
      </c>
      <c r="I282" s="262">
        <f>I281+18</f>
        <v>4942</v>
      </c>
      <c r="K282" s="261">
        <v>277</v>
      </c>
      <c r="L282" s="262">
        <v>2020.6</v>
      </c>
      <c r="M282" s="352"/>
      <c r="N282" s="261">
        <v>278</v>
      </c>
      <c r="O282" s="262">
        <v>3209.32</v>
      </c>
      <c r="P282" s="352"/>
      <c r="Q282" s="261">
        <v>278</v>
      </c>
      <c r="R282" s="262">
        <v>1240</v>
      </c>
      <c r="S282" s="352"/>
      <c r="T282" s="261">
        <v>278</v>
      </c>
      <c r="U282" s="262">
        <v>1240</v>
      </c>
      <c r="V282" s="352"/>
      <c r="W282" s="261">
        <v>278</v>
      </c>
      <c r="X282" s="262">
        <v>2224.8000000000002</v>
      </c>
      <c r="Y282" s="352"/>
      <c r="Z282" s="261">
        <v>278</v>
      </c>
      <c r="AA282" s="262">
        <v>2261.59</v>
      </c>
      <c r="AB282" s="352"/>
      <c r="AC282" s="261">
        <v>278</v>
      </c>
      <c r="AD282" s="262">
        <v>7018.4399999999878</v>
      </c>
      <c r="AE282" s="352"/>
      <c r="AF282" s="261">
        <v>278</v>
      </c>
      <c r="AG282" s="262">
        <v>18931.18</v>
      </c>
      <c r="AH282" s="352"/>
      <c r="AI282" s="261">
        <v>278</v>
      </c>
      <c r="AJ282" s="262">
        <v>8153</v>
      </c>
      <c r="AK282" s="352"/>
      <c r="AL282" s="261"/>
      <c r="AM282" s="262"/>
    </row>
    <row r="283" spans="2:39">
      <c r="B283" s="261" t="s">
        <v>567</v>
      </c>
      <c r="C283" s="261">
        <v>9129</v>
      </c>
      <c r="E283" s="261" t="s">
        <v>567</v>
      </c>
      <c r="F283" s="261">
        <v>9077.52</v>
      </c>
      <c r="H283" s="261" t="s">
        <v>567</v>
      </c>
      <c r="I283" s="262">
        <v>4959</v>
      </c>
      <c r="K283" s="261">
        <v>278</v>
      </c>
      <c r="L283" s="262">
        <v>2027.9</v>
      </c>
      <c r="M283" s="352"/>
      <c r="N283" s="261">
        <v>279</v>
      </c>
      <c r="O283" s="262">
        <v>3220.42</v>
      </c>
      <c r="P283" s="352"/>
      <c r="Q283" s="261">
        <v>279</v>
      </c>
      <c r="R283" s="262">
        <v>1244</v>
      </c>
      <c r="S283" s="352"/>
      <c r="T283" s="261">
        <v>279</v>
      </c>
      <c r="U283" s="262">
        <v>1244</v>
      </c>
      <c r="V283" s="352"/>
      <c r="W283" s="261">
        <v>279</v>
      </c>
      <c r="X283" s="262">
        <v>2232.3000000000002</v>
      </c>
      <c r="Y283" s="352"/>
      <c r="Z283" s="261">
        <v>279</v>
      </c>
      <c r="AA283" s="262">
        <v>2269.1</v>
      </c>
      <c r="AB283" s="352"/>
      <c r="AC283" s="261">
        <v>279</v>
      </c>
      <c r="AD283" s="262">
        <v>7044.0999999999876</v>
      </c>
      <c r="AE283" s="352"/>
      <c r="AF283" s="261">
        <v>279</v>
      </c>
      <c r="AG283" s="262">
        <v>18999.61</v>
      </c>
      <c r="AH283" s="352"/>
      <c r="AI283" s="261">
        <v>279</v>
      </c>
      <c r="AJ283" s="262">
        <v>8181</v>
      </c>
      <c r="AK283" s="352"/>
      <c r="AL283" s="261"/>
      <c r="AM283" s="262"/>
    </row>
    <row r="284" spans="2:39">
      <c r="B284" s="261" t="s">
        <v>568</v>
      </c>
      <c r="C284" s="261">
        <v>9160</v>
      </c>
      <c r="E284" s="261" t="s">
        <v>568</v>
      </c>
      <c r="F284" s="261">
        <v>9108.7800000000007</v>
      </c>
      <c r="H284" s="261" t="s">
        <v>568</v>
      </c>
      <c r="I284" s="262">
        <f>I283+18</f>
        <v>4977</v>
      </c>
      <c r="K284" s="261">
        <v>279</v>
      </c>
      <c r="L284" s="262">
        <v>2035.21</v>
      </c>
      <c r="M284" s="352"/>
      <c r="N284" s="261">
        <v>280</v>
      </c>
      <c r="O284" s="262">
        <v>3231.52</v>
      </c>
      <c r="P284" s="352"/>
      <c r="Q284" s="261">
        <v>280</v>
      </c>
      <c r="R284" s="262">
        <v>1248</v>
      </c>
      <c r="S284" s="352"/>
      <c r="T284" s="261">
        <v>280</v>
      </c>
      <c r="U284" s="262">
        <v>1248</v>
      </c>
      <c r="V284" s="352"/>
      <c r="W284" s="261">
        <v>280</v>
      </c>
      <c r="X284" s="262">
        <v>2239.8000000000002</v>
      </c>
      <c r="Y284" s="352"/>
      <c r="Z284" s="261">
        <v>280</v>
      </c>
      <c r="AA284" s="262">
        <v>2276.62</v>
      </c>
      <c r="AB284" s="352"/>
      <c r="AC284" s="261">
        <v>280</v>
      </c>
      <c r="AD284" s="262">
        <v>7069.7599999999875</v>
      </c>
      <c r="AE284" s="352"/>
      <c r="AF284" s="261">
        <v>280</v>
      </c>
      <c r="AG284" s="262">
        <v>19068.03</v>
      </c>
      <c r="AH284" s="352"/>
      <c r="AI284" s="261">
        <v>280</v>
      </c>
      <c r="AJ284" s="262">
        <v>8209</v>
      </c>
      <c r="AK284" s="352"/>
      <c r="AL284" s="261"/>
      <c r="AM284" s="262"/>
    </row>
    <row r="285" spans="2:39">
      <c r="B285" s="261" t="s">
        <v>569</v>
      </c>
      <c r="C285" s="261">
        <v>9191</v>
      </c>
      <c r="E285" s="261" t="s">
        <v>569</v>
      </c>
      <c r="F285" s="261">
        <v>9140.11</v>
      </c>
      <c r="H285" s="261" t="s">
        <v>569</v>
      </c>
      <c r="I285" s="262">
        <v>4994</v>
      </c>
      <c r="K285" s="261">
        <v>280</v>
      </c>
      <c r="L285" s="262">
        <v>2042.51</v>
      </c>
      <c r="M285" s="352"/>
      <c r="N285" s="261">
        <v>281</v>
      </c>
      <c r="O285" s="262">
        <v>3242.62</v>
      </c>
      <c r="P285" s="352"/>
      <c r="Q285" s="261">
        <v>281</v>
      </c>
      <c r="R285" s="262">
        <v>1252</v>
      </c>
      <c r="S285" s="352"/>
      <c r="T285" s="261">
        <v>281</v>
      </c>
      <c r="U285" s="262">
        <v>1252</v>
      </c>
      <c r="V285" s="352"/>
      <c r="W285" s="261">
        <v>281</v>
      </c>
      <c r="X285" s="262">
        <v>2247.3000000000002</v>
      </c>
      <c r="Y285" s="352"/>
      <c r="Z285" s="261">
        <v>281</v>
      </c>
      <c r="AA285" s="262">
        <v>2284.13</v>
      </c>
      <c r="AB285" s="352"/>
      <c r="AC285" s="261">
        <v>281</v>
      </c>
      <c r="AD285" s="262">
        <v>7095.4299999999876</v>
      </c>
      <c r="AE285" s="352"/>
      <c r="AF285" s="261">
        <v>281</v>
      </c>
      <c r="AG285" s="262">
        <v>19136.46</v>
      </c>
      <c r="AH285" s="352"/>
      <c r="AI285" s="261">
        <v>281</v>
      </c>
      <c r="AJ285" s="262">
        <v>8238</v>
      </c>
      <c r="AK285" s="352"/>
      <c r="AL285" s="261"/>
      <c r="AM285" s="262"/>
    </row>
    <row r="286" spans="2:39">
      <c r="B286" s="261" t="s">
        <v>570</v>
      </c>
      <c r="C286" s="261">
        <v>9222</v>
      </c>
      <c r="E286" s="261" t="s">
        <v>570</v>
      </c>
      <c r="F286" s="261">
        <v>9171.3700000000008</v>
      </c>
      <c r="H286" s="261" t="s">
        <v>570</v>
      </c>
      <c r="I286" s="262">
        <f>I285+18</f>
        <v>5012</v>
      </c>
      <c r="K286" s="261">
        <v>281</v>
      </c>
      <c r="L286" s="262">
        <v>2049.8200000000002</v>
      </c>
      <c r="M286" s="352"/>
      <c r="N286" s="261">
        <v>282</v>
      </c>
      <c r="O286" s="262">
        <v>3253.72</v>
      </c>
      <c r="P286" s="352"/>
      <c r="Q286" s="261">
        <v>282</v>
      </c>
      <c r="R286" s="262">
        <v>1256</v>
      </c>
      <c r="S286" s="352"/>
      <c r="T286" s="261">
        <v>282</v>
      </c>
      <c r="U286" s="262">
        <v>1257</v>
      </c>
      <c r="V286" s="352"/>
      <c r="W286" s="261">
        <v>282</v>
      </c>
      <c r="X286" s="262">
        <v>2254.9</v>
      </c>
      <c r="Y286" s="352"/>
      <c r="Z286" s="261">
        <v>282</v>
      </c>
      <c r="AA286" s="262">
        <v>2291.64</v>
      </c>
      <c r="AB286" s="352"/>
      <c r="AC286" s="261">
        <v>282</v>
      </c>
      <c r="AD286" s="262">
        <v>7121.0899999999874</v>
      </c>
      <c r="AE286" s="352"/>
      <c r="AF286" s="261">
        <v>282</v>
      </c>
      <c r="AG286" s="262">
        <v>19204.88</v>
      </c>
      <c r="AH286" s="352"/>
      <c r="AI286" s="261">
        <v>282</v>
      </c>
      <c r="AJ286" s="262">
        <v>8266</v>
      </c>
      <c r="AK286" s="352"/>
      <c r="AL286" s="261"/>
      <c r="AM286" s="262"/>
    </row>
    <row r="287" spans="2:39">
      <c r="B287" s="261" t="s">
        <v>571</v>
      </c>
      <c r="C287" s="261">
        <v>9254</v>
      </c>
      <c r="E287" s="261" t="s">
        <v>571</v>
      </c>
      <c r="F287" s="261">
        <v>9202.69</v>
      </c>
      <c r="H287" s="261" t="s">
        <v>571</v>
      </c>
      <c r="I287" s="262">
        <v>5030</v>
      </c>
      <c r="K287" s="261">
        <v>282</v>
      </c>
      <c r="L287" s="262">
        <v>2057.12</v>
      </c>
      <c r="M287" s="352"/>
      <c r="N287" s="261">
        <v>283</v>
      </c>
      <c r="O287" s="262">
        <v>3264.81</v>
      </c>
      <c r="P287" s="352"/>
      <c r="Q287" s="261">
        <v>283</v>
      </c>
      <c r="R287" s="262">
        <v>1260</v>
      </c>
      <c r="S287" s="352"/>
      <c r="T287" s="261">
        <v>283</v>
      </c>
      <c r="U287" s="262">
        <v>1261</v>
      </c>
      <c r="V287" s="352"/>
      <c r="W287" s="261">
        <v>283</v>
      </c>
      <c r="X287" s="262">
        <v>2262.4</v>
      </c>
      <c r="Y287" s="352"/>
      <c r="Z287" s="261">
        <v>283</v>
      </c>
      <c r="AA287" s="262">
        <v>2299.15</v>
      </c>
      <c r="AB287" s="352"/>
      <c r="AC287" s="261">
        <v>283</v>
      </c>
      <c r="AD287" s="262">
        <v>7146.7499999999873</v>
      </c>
      <c r="AE287" s="352"/>
      <c r="AF287" s="261">
        <v>283</v>
      </c>
      <c r="AG287" s="262">
        <v>19273.3</v>
      </c>
      <c r="AH287" s="352"/>
      <c r="AI287" s="261">
        <v>283</v>
      </c>
      <c r="AJ287" s="262">
        <v>8295</v>
      </c>
      <c r="AK287" s="352"/>
      <c r="AL287" s="261"/>
      <c r="AM287" s="262"/>
    </row>
    <row r="288" spans="2:39">
      <c r="B288" s="261" t="s">
        <v>572</v>
      </c>
      <c r="C288" s="261">
        <v>9285</v>
      </c>
      <c r="E288" s="261" t="s">
        <v>572</v>
      </c>
      <c r="F288" s="261">
        <v>9233.9500000000007</v>
      </c>
      <c r="H288" s="261" t="s">
        <v>572</v>
      </c>
      <c r="I288" s="262">
        <f>I287+18</f>
        <v>5048</v>
      </c>
      <c r="K288" s="261">
        <v>283</v>
      </c>
      <c r="L288" s="262">
        <v>2064.4299999999998</v>
      </c>
      <c r="M288" s="352"/>
      <c r="N288" s="261">
        <v>284</v>
      </c>
      <c r="O288" s="262">
        <v>3275.91</v>
      </c>
      <c r="P288" s="352"/>
      <c r="Q288" s="261">
        <v>284</v>
      </c>
      <c r="R288" s="262">
        <v>1264</v>
      </c>
      <c r="S288" s="352"/>
      <c r="T288" s="261">
        <v>284</v>
      </c>
      <c r="U288" s="262">
        <v>1265</v>
      </c>
      <c r="V288" s="352"/>
      <c r="W288" s="261">
        <v>284</v>
      </c>
      <c r="X288" s="262">
        <v>2269.9</v>
      </c>
      <c r="Y288" s="352"/>
      <c r="Z288" s="261">
        <v>284</v>
      </c>
      <c r="AA288" s="262">
        <v>2306.67</v>
      </c>
      <c r="AB288" s="352"/>
      <c r="AC288" s="261">
        <v>284</v>
      </c>
      <c r="AD288" s="262">
        <v>7172.4099999999871</v>
      </c>
      <c r="AE288" s="352"/>
      <c r="AF288" s="261">
        <v>284</v>
      </c>
      <c r="AG288" s="262">
        <v>19341.73</v>
      </c>
      <c r="AH288" s="352"/>
      <c r="AI288" s="261">
        <v>284</v>
      </c>
      <c r="AJ288" s="262">
        <v>8323</v>
      </c>
      <c r="AK288" s="352"/>
      <c r="AL288" s="261"/>
      <c r="AM288" s="262"/>
    </row>
    <row r="289" spans="2:39">
      <c r="B289" s="261" t="s">
        <v>573</v>
      </c>
      <c r="C289" s="261">
        <v>9317</v>
      </c>
      <c r="E289" s="261" t="s">
        <v>573</v>
      </c>
      <c r="F289" s="261">
        <v>9265.2900000000009</v>
      </c>
      <c r="H289" s="261" t="s">
        <v>573</v>
      </c>
      <c r="I289" s="262">
        <v>5065</v>
      </c>
      <c r="K289" s="261">
        <v>284</v>
      </c>
      <c r="L289" s="262">
        <v>2071.73</v>
      </c>
      <c r="M289" s="352"/>
      <c r="N289" s="261">
        <v>285</v>
      </c>
      <c r="O289" s="262">
        <v>3287.01</v>
      </c>
      <c r="P289" s="352"/>
      <c r="Q289" s="261">
        <v>285</v>
      </c>
      <c r="R289" s="262">
        <v>1268</v>
      </c>
      <c r="S289" s="352"/>
      <c r="T289" s="261">
        <v>285</v>
      </c>
      <c r="U289" s="262">
        <v>1269</v>
      </c>
      <c r="V289" s="352"/>
      <c r="W289" s="261">
        <v>285</v>
      </c>
      <c r="X289" s="262">
        <v>2277.4</v>
      </c>
      <c r="Y289" s="352"/>
      <c r="Z289" s="261">
        <v>285</v>
      </c>
      <c r="AA289" s="262">
        <v>2314.1799999999998</v>
      </c>
      <c r="AB289" s="352"/>
      <c r="AC289" s="261">
        <v>285</v>
      </c>
      <c r="AD289" s="262">
        <v>7198.069999999987</v>
      </c>
      <c r="AE289" s="352"/>
      <c r="AF289" s="261">
        <v>285</v>
      </c>
      <c r="AG289" s="262">
        <v>19410.150000000001</v>
      </c>
      <c r="AH289" s="352"/>
      <c r="AI289" s="261">
        <v>285</v>
      </c>
      <c r="AJ289" s="262">
        <v>8351</v>
      </c>
      <c r="AK289" s="352"/>
      <c r="AL289" s="261"/>
      <c r="AM289" s="262"/>
    </row>
    <row r="290" spans="2:39">
      <c r="B290" s="261" t="s">
        <v>574</v>
      </c>
      <c r="C290" s="261">
        <v>9348</v>
      </c>
      <c r="E290" s="261" t="s">
        <v>574</v>
      </c>
      <c r="F290" s="261">
        <v>9296.5500000000011</v>
      </c>
      <c r="H290" s="261" t="s">
        <v>574</v>
      </c>
      <c r="I290" s="262">
        <f>I289+18</f>
        <v>5083</v>
      </c>
      <c r="K290" s="261">
        <v>285</v>
      </c>
      <c r="L290" s="262">
        <v>2079.0300000000002</v>
      </c>
      <c r="M290" s="352"/>
      <c r="N290" s="261">
        <v>286</v>
      </c>
      <c r="O290" s="262">
        <v>3298.11</v>
      </c>
      <c r="P290" s="352"/>
      <c r="Q290" s="261">
        <v>286</v>
      </c>
      <c r="R290" s="262">
        <v>1273</v>
      </c>
      <c r="S290" s="352"/>
      <c r="T290" s="261">
        <v>286</v>
      </c>
      <c r="U290" s="262">
        <v>1273</v>
      </c>
      <c r="V290" s="352"/>
      <c r="W290" s="261">
        <v>286</v>
      </c>
      <c r="X290" s="262">
        <v>2284.9</v>
      </c>
      <c r="Y290" s="352"/>
      <c r="Z290" s="261">
        <v>286</v>
      </c>
      <c r="AA290" s="262">
        <v>2321.69</v>
      </c>
      <c r="AB290" s="352"/>
      <c r="AC290" s="261">
        <v>286</v>
      </c>
      <c r="AD290" s="262">
        <v>7223.739999999987</v>
      </c>
      <c r="AE290" s="352"/>
      <c r="AF290" s="261">
        <v>286</v>
      </c>
      <c r="AG290" s="262">
        <v>19478.580000000002</v>
      </c>
      <c r="AH290" s="352"/>
      <c r="AI290" s="261">
        <v>286</v>
      </c>
      <c r="AJ290" s="262">
        <v>8380</v>
      </c>
      <c r="AK290" s="352"/>
      <c r="AL290" s="261"/>
      <c r="AM290" s="262"/>
    </row>
    <row r="291" spans="2:39">
      <c r="B291" s="261" t="s">
        <v>575</v>
      </c>
      <c r="C291" s="261">
        <v>9380</v>
      </c>
      <c r="E291" s="261" t="s">
        <v>575</v>
      </c>
      <c r="F291" s="261">
        <v>9327.8700000000008</v>
      </c>
      <c r="H291" s="261" t="s">
        <v>575</v>
      </c>
      <c r="I291" s="262">
        <v>5100</v>
      </c>
      <c r="K291" s="261">
        <v>286</v>
      </c>
      <c r="L291" s="262">
        <v>2086.34</v>
      </c>
      <c r="M291" s="352"/>
      <c r="N291" s="261">
        <v>287</v>
      </c>
      <c r="O291" s="262">
        <v>3309.21</v>
      </c>
      <c r="P291" s="352"/>
      <c r="Q291" s="261">
        <v>287</v>
      </c>
      <c r="R291" s="262">
        <v>1277</v>
      </c>
      <c r="S291" s="352"/>
      <c r="T291" s="261">
        <v>287</v>
      </c>
      <c r="U291" s="262">
        <v>1277</v>
      </c>
      <c r="V291" s="352"/>
      <c r="W291" s="261">
        <v>287</v>
      </c>
      <c r="X291" s="262">
        <v>2292.4</v>
      </c>
      <c r="Y291" s="352"/>
      <c r="Z291" s="261">
        <v>287</v>
      </c>
      <c r="AA291" s="262">
        <v>2329.1999999999998</v>
      </c>
      <c r="AB291" s="352"/>
      <c r="AC291" s="261">
        <v>287</v>
      </c>
      <c r="AD291" s="262">
        <v>7249.3999999999869</v>
      </c>
      <c r="AE291" s="352"/>
      <c r="AF291" s="261">
        <v>287</v>
      </c>
      <c r="AG291" s="262">
        <v>19547</v>
      </c>
      <c r="AH291" s="352"/>
      <c r="AI291" s="261">
        <v>287</v>
      </c>
      <c r="AJ291" s="262">
        <v>8408</v>
      </c>
      <c r="AK291" s="352"/>
      <c r="AL291" s="261"/>
      <c r="AM291" s="262"/>
    </row>
    <row r="292" spans="2:39">
      <c r="B292" s="261" t="s">
        <v>576</v>
      </c>
      <c r="C292" s="261">
        <v>9411</v>
      </c>
      <c r="E292" s="261" t="s">
        <v>576</v>
      </c>
      <c r="F292" s="261">
        <v>9359.130000000001</v>
      </c>
      <c r="H292" s="261" t="s">
        <v>576</v>
      </c>
      <c r="I292" s="262">
        <f>I291+18</f>
        <v>5118</v>
      </c>
      <c r="K292" s="261">
        <v>287</v>
      </c>
      <c r="L292" s="262">
        <v>2093.65</v>
      </c>
      <c r="M292" s="352"/>
      <c r="N292" s="261">
        <v>288</v>
      </c>
      <c r="O292" s="262">
        <v>3320.31</v>
      </c>
      <c r="P292" s="352"/>
      <c r="Q292" s="261">
        <v>288</v>
      </c>
      <c r="R292" s="262">
        <v>1281</v>
      </c>
      <c r="S292" s="352"/>
      <c r="T292" s="261">
        <v>288</v>
      </c>
      <c r="U292" s="262">
        <v>1281</v>
      </c>
      <c r="V292" s="352"/>
      <c r="W292" s="261">
        <v>288</v>
      </c>
      <c r="X292" s="262">
        <v>2299.9</v>
      </c>
      <c r="Y292" s="352"/>
      <c r="Z292" s="261">
        <v>288</v>
      </c>
      <c r="AA292" s="262">
        <v>2336.71</v>
      </c>
      <c r="AB292" s="352"/>
      <c r="AC292" s="261">
        <v>288</v>
      </c>
      <c r="AD292" s="262">
        <v>7275.0599999999868</v>
      </c>
      <c r="AE292" s="352"/>
      <c r="AF292" s="261">
        <v>288</v>
      </c>
      <c r="AG292" s="262">
        <v>19615.419999999998</v>
      </c>
      <c r="AH292" s="352"/>
      <c r="AI292" s="261">
        <v>288</v>
      </c>
      <c r="AJ292" s="262">
        <v>8437</v>
      </c>
      <c r="AK292" s="352"/>
      <c r="AL292" s="261"/>
      <c r="AM292" s="262"/>
    </row>
    <row r="293" spans="2:39">
      <c r="B293" s="261" t="s">
        <v>577</v>
      </c>
      <c r="C293" s="261">
        <v>9443</v>
      </c>
      <c r="E293" s="261" t="s">
        <v>577</v>
      </c>
      <c r="F293" s="261">
        <v>9390.4599999999991</v>
      </c>
      <c r="H293" s="261" t="s">
        <v>577</v>
      </c>
      <c r="I293" s="262">
        <v>5135</v>
      </c>
      <c r="K293" s="261">
        <v>288</v>
      </c>
      <c r="L293" s="262">
        <v>2100.9499999999998</v>
      </c>
      <c r="M293" s="352"/>
      <c r="N293" s="261">
        <v>289</v>
      </c>
      <c r="O293" s="262">
        <v>3331.4</v>
      </c>
      <c r="P293" s="352"/>
      <c r="Q293" s="261">
        <v>289</v>
      </c>
      <c r="R293" s="262">
        <v>1285</v>
      </c>
      <c r="S293" s="352"/>
      <c r="T293" s="261">
        <v>289</v>
      </c>
      <c r="U293" s="262">
        <v>1286</v>
      </c>
      <c r="V293" s="352"/>
      <c r="W293" s="261">
        <v>289</v>
      </c>
      <c r="X293" s="262">
        <v>2307.4</v>
      </c>
      <c r="Y293" s="352"/>
      <c r="Z293" s="261">
        <v>289</v>
      </c>
      <c r="AA293" s="262">
        <v>2344.23</v>
      </c>
      <c r="AB293" s="352"/>
      <c r="AC293" s="261">
        <v>289</v>
      </c>
      <c r="AD293" s="262">
        <v>7300.7199999999866</v>
      </c>
      <c r="AE293" s="352"/>
      <c r="AF293" s="261">
        <v>289</v>
      </c>
      <c r="AG293" s="262">
        <v>19683.849999999999</v>
      </c>
      <c r="AH293" s="352"/>
      <c r="AI293" s="261">
        <v>289</v>
      </c>
      <c r="AJ293" s="262">
        <v>8465</v>
      </c>
      <c r="AK293" s="352"/>
      <c r="AL293" s="261"/>
      <c r="AM293" s="262"/>
    </row>
    <row r="294" spans="2:39">
      <c r="B294" s="261" t="s">
        <v>578</v>
      </c>
      <c r="C294" s="261">
        <v>9474</v>
      </c>
      <c r="E294" s="261" t="s">
        <v>578</v>
      </c>
      <c r="F294" s="261">
        <v>9421.7199999999993</v>
      </c>
      <c r="H294" s="261" t="s">
        <v>578</v>
      </c>
      <c r="I294" s="262">
        <f>I293+18</f>
        <v>5153</v>
      </c>
      <c r="K294" s="261">
        <v>289</v>
      </c>
      <c r="L294" s="262">
        <v>2108.2600000000002</v>
      </c>
      <c r="M294" s="352"/>
      <c r="N294" s="261">
        <v>290</v>
      </c>
      <c r="O294" s="262">
        <v>3342.5</v>
      </c>
      <c r="P294" s="352"/>
      <c r="Q294" s="261">
        <v>290</v>
      </c>
      <c r="R294" s="262">
        <v>1289</v>
      </c>
      <c r="S294" s="352"/>
      <c r="T294" s="261">
        <v>290</v>
      </c>
      <c r="U294" s="262">
        <v>1290</v>
      </c>
      <c r="V294" s="352"/>
      <c r="W294" s="261">
        <v>290</v>
      </c>
      <c r="X294" s="262">
        <v>2315</v>
      </c>
      <c r="Y294" s="352"/>
      <c r="Z294" s="261">
        <v>290</v>
      </c>
      <c r="AA294" s="262">
        <v>2351.7399999999998</v>
      </c>
      <c r="AB294" s="352"/>
      <c r="AC294" s="261">
        <v>290</v>
      </c>
      <c r="AD294" s="262">
        <v>7326.3799999999865</v>
      </c>
      <c r="AE294" s="352"/>
      <c r="AF294" s="261">
        <v>290</v>
      </c>
      <c r="AG294" s="262">
        <v>19752.27</v>
      </c>
      <c r="AH294" s="352"/>
      <c r="AI294" s="261">
        <v>290</v>
      </c>
      <c r="AJ294" s="262">
        <v>8493</v>
      </c>
      <c r="AK294" s="352"/>
      <c r="AL294" s="261"/>
      <c r="AM294" s="262"/>
    </row>
    <row r="295" spans="2:39">
      <c r="B295" s="261" t="s">
        <v>579</v>
      </c>
      <c r="C295" s="261">
        <v>9505</v>
      </c>
      <c r="E295" s="261" t="s">
        <v>579</v>
      </c>
      <c r="F295" s="261">
        <v>9453.0400000000009</v>
      </c>
      <c r="H295" s="261" t="s">
        <v>579</v>
      </c>
      <c r="I295" s="262">
        <v>5171</v>
      </c>
      <c r="K295" s="261">
        <v>290</v>
      </c>
      <c r="L295" s="262">
        <v>2115.5700000000002</v>
      </c>
      <c r="M295" s="352"/>
      <c r="N295" s="261">
        <v>291</v>
      </c>
      <c r="O295" s="262">
        <v>3353.6</v>
      </c>
      <c r="P295" s="352"/>
      <c r="Q295" s="261">
        <v>291</v>
      </c>
      <c r="R295" s="262">
        <v>1293</v>
      </c>
      <c r="S295" s="352"/>
      <c r="T295" s="261">
        <v>291</v>
      </c>
      <c r="U295" s="262">
        <v>1294</v>
      </c>
      <c r="V295" s="352"/>
      <c r="W295" s="261">
        <v>291</v>
      </c>
      <c r="X295" s="262">
        <v>2322.5</v>
      </c>
      <c r="Y295" s="352"/>
      <c r="Z295" s="261">
        <v>291</v>
      </c>
      <c r="AA295" s="262">
        <v>2359.25</v>
      </c>
      <c r="AB295" s="352"/>
      <c r="AC295" s="261">
        <v>291</v>
      </c>
      <c r="AD295" s="262">
        <v>7352.0499999999865</v>
      </c>
      <c r="AE295" s="352"/>
      <c r="AF295" s="261">
        <v>291</v>
      </c>
      <c r="AG295" s="262">
        <v>19820.7</v>
      </c>
      <c r="AH295" s="352"/>
      <c r="AI295" s="261">
        <v>291</v>
      </c>
      <c r="AJ295" s="262">
        <v>8522</v>
      </c>
      <c r="AK295" s="352"/>
      <c r="AL295" s="261"/>
      <c r="AM295" s="262"/>
    </row>
    <row r="296" spans="2:39">
      <c r="B296" s="261" t="s">
        <v>580</v>
      </c>
      <c r="C296" s="261">
        <v>9536</v>
      </c>
      <c r="E296" s="261" t="s">
        <v>580</v>
      </c>
      <c r="F296" s="261">
        <v>9484.3000000000011</v>
      </c>
      <c r="H296" s="261" t="s">
        <v>580</v>
      </c>
      <c r="I296" s="262">
        <f>I295+18</f>
        <v>5189</v>
      </c>
      <c r="K296" s="261">
        <v>291</v>
      </c>
      <c r="L296" s="262">
        <v>2122.87</v>
      </c>
      <c r="M296" s="352"/>
      <c r="N296" s="261">
        <v>292</v>
      </c>
      <c r="O296" s="262">
        <v>3364.7</v>
      </c>
      <c r="P296" s="352"/>
      <c r="Q296" s="261">
        <v>292</v>
      </c>
      <c r="R296" s="262">
        <v>1297</v>
      </c>
      <c r="S296" s="352"/>
      <c r="T296" s="261">
        <v>292</v>
      </c>
      <c r="U296" s="262">
        <v>1298</v>
      </c>
      <c r="V296" s="352"/>
      <c r="W296" s="261">
        <v>292</v>
      </c>
      <c r="X296" s="262">
        <v>2330</v>
      </c>
      <c r="Y296" s="352"/>
      <c r="Z296" s="261">
        <v>292</v>
      </c>
      <c r="AA296" s="262">
        <v>2366.7600000000002</v>
      </c>
      <c r="AB296" s="352"/>
      <c r="AC296" s="261">
        <v>292</v>
      </c>
      <c r="AD296" s="262">
        <v>7377.7099999999864</v>
      </c>
      <c r="AE296" s="352"/>
      <c r="AF296" s="261">
        <v>292</v>
      </c>
      <c r="AG296" s="262">
        <v>19889.12</v>
      </c>
      <c r="AH296" s="352"/>
      <c r="AI296" s="261">
        <v>292</v>
      </c>
      <c r="AJ296" s="262">
        <v>8550</v>
      </c>
      <c r="AK296" s="352"/>
      <c r="AL296" s="261"/>
      <c r="AM296" s="262"/>
    </row>
    <row r="297" spans="2:39">
      <c r="B297" s="261" t="s">
        <v>581</v>
      </c>
      <c r="C297" s="261">
        <v>9568</v>
      </c>
      <c r="E297" s="261" t="s">
        <v>581</v>
      </c>
      <c r="F297" s="261">
        <v>9515.6299999999992</v>
      </c>
      <c r="H297" s="261" t="s">
        <v>581</v>
      </c>
      <c r="I297" s="262">
        <v>5206</v>
      </c>
      <c r="K297" s="261">
        <v>292</v>
      </c>
      <c r="L297" s="262">
        <v>2130.17</v>
      </c>
      <c r="M297" s="352"/>
      <c r="N297" s="261">
        <v>293</v>
      </c>
      <c r="O297" s="262">
        <v>3375.8</v>
      </c>
      <c r="P297" s="352"/>
      <c r="Q297" s="261">
        <v>293</v>
      </c>
      <c r="R297" s="262">
        <v>1301</v>
      </c>
      <c r="S297" s="352"/>
      <c r="T297" s="261">
        <v>293</v>
      </c>
      <c r="U297" s="262">
        <v>1302</v>
      </c>
      <c r="V297" s="352"/>
      <c r="W297" s="261">
        <v>293</v>
      </c>
      <c r="X297" s="262">
        <v>2237.5</v>
      </c>
      <c r="Y297" s="352"/>
      <c r="Z297" s="261">
        <v>293</v>
      </c>
      <c r="AA297" s="262">
        <v>2374.2800000000002</v>
      </c>
      <c r="AB297" s="352"/>
      <c r="AC297" s="261">
        <v>293</v>
      </c>
      <c r="AD297" s="262">
        <v>7403.3699999999862</v>
      </c>
      <c r="AE297" s="352"/>
      <c r="AF297" s="261">
        <v>293</v>
      </c>
      <c r="AG297" s="262">
        <v>19957.54</v>
      </c>
      <c r="AH297" s="352"/>
      <c r="AI297" s="261">
        <v>293</v>
      </c>
      <c r="AJ297" s="262">
        <v>8579</v>
      </c>
      <c r="AK297" s="352"/>
      <c r="AL297" s="261"/>
      <c r="AM297" s="262"/>
    </row>
    <row r="298" spans="2:39">
      <c r="B298" s="261" t="s">
        <v>582</v>
      </c>
      <c r="C298" s="261">
        <v>9599</v>
      </c>
      <c r="E298" s="261" t="s">
        <v>582</v>
      </c>
      <c r="F298" s="261">
        <v>9546.89</v>
      </c>
      <c r="H298" s="261" t="s">
        <v>582</v>
      </c>
      <c r="I298" s="262">
        <f>I297+18</f>
        <v>5224</v>
      </c>
      <c r="K298" s="261">
        <v>293</v>
      </c>
      <c r="L298" s="262">
        <v>2137.48</v>
      </c>
      <c r="M298" s="352"/>
      <c r="N298" s="261">
        <v>294</v>
      </c>
      <c r="O298" s="262">
        <v>3386.9</v>
      </c>
      <c r="P298" s="352"/>
      <c r="Q298" s="261">
        <v>294</v>
      </c>
      <c r="R298" s="262">
        <v>1306</v>
      </c>
      <c r="S298" s="352"/>
      <c r="T298" s="261">
        <v>294</v>
      </c>
      <c r="U298" s="262">
        <v>1306</v>
      </c>
      <c r="V298" s="352"/>
      <c r="W298" s="261">
        <v>294</v>
      </c>
      <c r="X298" s="262">
        <v>2345</v>
      </c>
      <c r="Y298" s="352"/>
      <c r="Z298" s="261">
        <v>294</v>
      </c>
      <c r="AA298" s="262">
        <v>2381.79</v>
      </c>
      <c r="AB298" s="352"/>
      <c r="AC298" s="261">
        <v>294</v>
      </c>
      <c r="AD298" s="262">
        <v>7429.0299999999861</v>
      </c>
      <c r="AE298" s="352"/>
      <c r="AF298" s="261">
        <v>294</v>
      </c>
      <c r="AG298" s="262">
        <v>20025.97</v>
      </c>
      <c r="AH298" s="352"/>
      <c r="AI298" s="261">
        <v>294</v>
      </c>
      <c r="AJ298" s="262">
        <v>8607</v>
      </c>
      <c r="AK298" s="352"/>
      <c r="AL298" s="261"/>
      <c r="AM298" s="262"/>
    </row>
    <row r="299" spans="2:39">
      <c r="B299" s="261" t="s">
        <v>583</v>
      </c>
      <c r="C299" s="261">
        <v>9631</v>
      </c>
      <c r="E299" s="261" t="s">
        <v>583</v>
      </c>
      <c r="F299" s="261">
        <v>9578.2199999999993</v>
      </c>
      <c r="H299" s="261" t="s">
        <v>583</v>
      </c>
      <c r="I299" s="262">
        <v>5241</v>
      </c>
      <c r="K299" s="261">
        <v>294</v>
      </c>
      <c r="L299" s="262">
        <v>2144.7800000000002</v>
      </c>
      <c r="M299" s="352"/>
      <c r="N299" s="261">
        <v>295</v>
      </c>
      <c r="O299" s="262">
        <v>3397.99</v>
      </c>
      <c r="P299" s="352"/>
      <c r="Q299" s="261">
        <v>295</v>
      </c>
      <c r="R299" s="262">
        <v>1310</v>
      </c>
      <c r="S299" s="352"/>
      <c r="T299" s="261">
        <v>295</v>
      </c>
      <c r="U299" s="262">
        <v>1310</v>
      </c>
      <c r="V299" s="352"/>
      <c r="W299" s="261">
        <v>295</v>
      </c>
      <c r="X299" s="262">
        <v>2352.5</v>
      </c>
      <c r="Y299" s="352"/>
      <c r="Z299" s="261">
        <v>295</v>
      </c>
      <c r="AA299" s="262">
        <v>2389.3000000000002</v>
      </c>
      <c r="AB299" s="352"/>
      <c r="AC299" s="261">
        <v>295</v>
      </c>
      <c r="AD299" s="262">
        <v>7454.689999999986</v>
      </c>
      <c r="AE299" s="352"/>
      <c r="AF299" s="261">
        <v>295</v>
      </c>
      <c r="AG299" s="262">
        <v>20094.39</v>
      </c>
      <c r="AH299" s="352"/>
      <c r="AI299" s="261">
        <v>295</v>
      </c>
      <c r="AJ299" s="262">
        <v>8635</v>
      </c>
      <c r="AK299" s="352"/>
      <c r="AL299" s="261"/>
      <c r="AM299" s="262"/>
    </row>
    <row r="300" spans="2:39">
      <c r="B300" s="261" t="s">
        <v>584</v>
      </c>
      <c r="C300" s="261">
        <v>9662</v>
      </c>
      <c r="E300" s="261" t="s">
        <v>584</v>
      </c>
      <c r="F300" s="261">
        <v>9609.48</v>
      </c>
      <c r="H300" s="261" t="s">
        <v>584</v>
      </c>
      <c r="I300" s="262">
        <f>I299+18</f>
        <v>5259</v>
      </c>
      <c r="K300" s="261">
        <v>295</v>
      </c>
      <c r="L300" s="262">
        <v>2152.09</v>
      </c>
      <c r="M300" s="352"/>
      <c r="N300" s="261">
        <v>296</v>
      </c>
      <c r="O300" s="262">
        <v>3409.09</v>
      </c>
      <c r="P300" s="352"/>
      <c r="Q300" s="261">
        <v>296</v>
      </c>
      <c r="R300" s="262">
        <v>1314</v>
      </c>
      <c r="S300" s="352"/>
      <c r="T300" s="261">
        <v>296</v>
      </c>
      <c r="U300" s="262">
        <v>1314</v>
      </c>
      <c r="V300" s="352"/>
      <c r="W300" s="261">
        <v>296</v>
      </c>
      <c r="X300" s="262">
        <v>2360</v>
      </c>
      <c r="Y300" s="352"/>
      <c r="Z300" s="261">
        <v>296</v>
      </c>
      <c r="AA300" s="262">
        <v>2396.81</v>
      </c>
      <c r="AB300" s="352"/>
      <c r="AC300" s="261">
        <v>296</v>
      </c>
      <c r="AD300" s="262">
        <v>7480.359999999986</v>
      </c>
      <c r="AE300" s="352"/>
      <c r="AF300" s="261">
        <v>296</v>
      </c>
      <c r="AG300" s="262">
        <v>20162.82</v>
      </c>
      <c r="AH300" s="352"/>
      <c r="AI300" s="261">
        <v>296</v>
      </c>
      <c r="AJ300" s="262">
        <v>8664</v>
      </c>
      <c r="AK300" s="352"/>
      <c r="AL300" s="261"/>
      <c r="AM300" s="262"/>
    </row>
    <row r="301" spans="2:39">
      <c r="B301" s="261" t="s">
        <v>585</v>
      </c>
      <c r="C301" s="261">
        <v>9694</v>
      </c>
      <c r="E301" s="261" t="s">
        <v>585</v>
      </c>
      <c r="F301" s="261">
        <v>9640.81</v>
      </c>
      <c r="H301" s="261" t="s">
        <v>585</v>
      </c>
      <c r="I301" s="262">
        <v>5277</v>
      </c>
      <c r="K301" s="261">
        <v>296</v>
      </c>
      <c r="L301" s="262">
        <v>2159.39</v>
      </c>
      <c r="M301" s="352"/>
      <c r="N301" s="261">
        <v>297</v>
      </c>
      <c r="O301" s="262">
        <v>3420.19</v>
      </c>
      <c r="P301" s="352"/>
      <c r="Q301" s="261">
        <v>297</v>
      </c>
      <c r="R301" s="262">
        <v>1318</v>
      </c>
      <c r="S301" s="352"/>
      <c r="T301" s="261">
        <v>297</v>
      </c>
      <c r="U301" s="262">
        <v>1319</v>
      </c>
      <c r="V301" s="352"/>
      <c r="W301" s="261">
        <v>297</v>
      </c>
      <c r="X301" s="262">
        <v>2367.6</v>
      </c>
      <c r="Y301" s="352"/>
      <c r="Z301" s="261">
        <v>297</v>
      </c>
      <c r="AA301" s="262">
        <v>2404.3200000000002</v>
      </c>
      <c r="AB301" s="352"/>
      <c r="AC301" s="261">
        <v>297</v>
      </c>
      <c r="AD301" s="262">
        <v>7506.0199999999859</v>
      </c>
      <c r="AE301" s="352"/>
      <c r="AF301" s="261">
        <v>297</v>
      </c>
      <c r="AG301" s="262">
        <v>20231.240000000002</v>
      </c>
      <c r="AH301" s="352"/>
      <c r="AI301" s="261">
        <v>297</v>
      </c>
      <c r="AJ301" s="262">
        <v>8692</v>
      </c>
      <c r="AK301" s="352"/>
      <c r="AL301" s="261"/>
      <c r="AM301" s="262"/>
    </row>
    <row r="302" spans="2:39">
      <c r="B302" s="261" t="s">
        <v>586</v>
      </c>
      <c r="C302" s="261">
        <v>9725</v>
      </c>
      <c r="E302" s="261" t="s">
        <v>586</v>
      </c>
      <c r="F302" s="261">
        <v>9672.07</v>
      </c>
      <c r="H302" s="261" t="s">
        <v>586</v>
      </c>
      <c r="I302" s="262">
        <f>I301+18</f>
        <v>5295</v>
      </c>
      <c r="K302" s="261">
        <v>297</v>
      </c>
      <c r="L302" s="262">
        <v>2166.6999999999998</v>
      </c>
      <c r="M302" s="352"/>
      <c r="N302" s="261">
        <v>298</v>
      </c>
      <c r="O302" s="262">
        <v>3431.29</v>
      </c>
      <c r="P302" s="352"/>
      <c r="Q302" s="261">
        <v>298</v>
      </c>
      <c r="R302" s="262">
        <v>1322</v>
      </c>
      <c r="S302" s="352"/>
      <c r="T302" s="261">
        <v>298</v>
      </c>
      <c r="U302" s="262">
        <v>1323</v>
      </c>
      <c r="V302" s="352"/>
      <c r="W302" s="261">
        <v>298</v>
      </c>
      <c r="X302" s="262">
        <v>2375.1</v>
      </c>
      <c r="Y302" s="352"/>
      <c r="Z302" s="261">
        <v>298</v>
      </c>
      <c r="AA302" s="262">
        <v>2411.84</v>
      </c>
      <c r="AB302" s="352"/>
      <c r="AC302" s="261">
        <v>298</v>
      </c>
      <c r="AD302" s="262">
        <v>7531.6799999999857</v>
      </c>
      <c r="AE302" s="352"/>
      <c r="AF302" s="261">
        <v>298</v>
      </c>
      <c r="AG302" s="262">
        <v>20299.66</v>
      </c>
      <c r="AH302" s="352"/>
      <c r="AI302" s="261">
        <v>298</v>
      </c>
      <c r="AJ302" s="262">
        <v>8721</v>
      </c>
      <c r="AK302" s="352"/>
      <c r="AL302" s="261"/>
      <c r="AM302" s="262"/>
    </row>
    <row r="303" spans="2:39">
      <c r="B303" s="261" t="s">
        <v>587</v>
      </c>
      <c r="C303" s="261">
        <v>9757</v>
      </c>
      <c r="E303" s="261" t="s">
        <v>587</v>
      </c>
      <c r="F303" s="261">
        <v>9703.4</v>
      </c>
      <c r="H303" s="261" t="s">
        <v>587</v>
      </c>
      <c r="I303" s="262">
        <v>5312</v>
      </c>
      <c r="K303" s="261">
        <v>298</v>
      </c>
      <c r="L303" s="262">
        <v>2174</v>
      </c>
      <c r="M303" s="352"/>
      <c r="N303" s="261">
        <v>299</v>
      </c>
      <c r="O303" s="262">
        <v>3442.39</v>
      </c>
      <c r="P303" s="352"/>
      <c r="Q303" s="261">
        <v>299</v>
      </c>
      <c r="R303" s="262">
        <v>1326</v>
      </c>
      <c r="S303" s="352"/>
      <c r="T303" s="261">
        <v>299</v>
      </c>
      <c r="U303" s="262">
        <v>1327</v>
      </c>
      <c r="V303" s="352"/>
      <c r="W303" s="261">
        <v>299</v>
      </c>
      <c r="X303" s="262">
        <v>2382.6</v>
      </c>
      <c r="Y303" s="352"/>
      <c r="Z303" s="261">
        <v>299</v>
      </c>
      <c r="AA303" s="262">
        <v>2419.35</v>
      </c>
      <c r="AB303" s="352"/>
      <c r="AC303" s="261">
        <v>299</v>
      </c>
      <c r="AD303" s="262">
        <v>7557.3399999999856</v>
      </c>
      <c r="AE303" s="352"/>
      <c r="AF303" s="261">
        <v>299</v>
      </c>
      <c r="AG303" s="262">
        <v>20368.09</v>
      </c>
      <c r="AH303" s="352"/>
      <c r="AI303" s="261">
        <v>299</v>
      </c>
      <c r="AJ303" s="262">
        <v>8749</v>
      </c>
      <c r="AK303" s="352"/>
      <c r="AL303" s="261"/>
      <c r="AM303" s="262"/>
    </row>
    <row r="304" spans="2:39">
      <c r="B304" s="261" t="s">
        <v>588</v>
      </c>
      <c r="C304" s="261">
        <v>9788</v>
      </c>
      <c r="E304" s="261" t="s">
        <v>588</v>
      </c>
      <c r="F304" s="261">
        <v>9734.66</v>
      </c>
      <c r="H304" s="261" t="s">
        <v>588</v>
      </c>
      <c r="I304" s="262">
        <f>I303+18</f>
        <v>5330</v>
      </c>
      <c r="K304" s="261">
        <v>299</v>
      </c>
      <c r="L304" s="262">
        <v>2181.31</v>
      </c>
      <c r="M304" s="352"/>
      <c r="N304" s="261">
        <v>300</v>
      </c>
      <c r="O304" s="262">
        <v>3453.49</v>
      </c>
      <c r="P304" s="352"/>
      <c r="Q304" s="261">
        <v>300</v>
      </c>
      <c r="R304" s="262">
        <v>1330</v>
      </c>
      <c r="S304" s="352"/>
      <c r="T304" s="261">
        <v>300</v>
      </c>
      <c r="U304" s="262">
        <v>1331</v>
      </c>
      <c r="V304" s="352"/>
      <c r="W304" s="261">
        <v>300</v>
      </c>
      <c r="X304" s="262">
        <v>2390.1</v>
      </c>
      <c r="Y304" s="352"/>
      <c r="Z304" s="261">
        <v>300</v>
      </c>
      <c r="AA304" s="262">
        <v>2426.86</v>
      </c>
      <c r="AB304" s="352"/>
      <c r="AC304" s="261">
        <v>300</v>
      </c>
      <c r="AD304" s="262">
        <v>7582.9999999999854</v>
      </c>
      <c r="AE304" s="352"/>
      <c r="AF304" s="261">
        <v>300</v>
      </c>
      <c r="AG304" s="262">
        <v>20436.509999999998</v>
      </c>
      <c r="AH304" s="352"/>
      <c r="AI304" s="261">
        <v>300</v>
      </c>
      <c r="AJ304" s="262">
        <v>8777</v>
      </c>
      <c r="AK304" s="352"/>
      <c r="AL304" s="261"/>
      <c r="AM304" s="262"/>
    </row>
    <row r="305" spans="2:39">
      <c r="B305" s="261" t="s">
        <v>589</v>
      </c>
      <c r="C305" s="261">
        <v>9819</v>
      </c>
      <c r="E305" s="261" t="s">
        <v>589</v>
      </c>
      <c r="F305" s="261">
        <v>9765.98</v>
      </c>
      <c r="H305" s="261" t="s">
        <v>589</v>
      </c>
      <c r="I305" s="262">
        <v>5347</v>
      </c>
      <c r="K305" s="261">
        <v>300</v>
      </c>
      <c r="L305" s="262">
        <v>2188.62</v>
      </c>
      <c r="M305" s="352"/>
      <c r="N305" s="261">
        <v>301</v>
      </c>
      <c r="O305" s="262">
        <v>3464.59</v>
      </c>
      <c r="P305" s="352"/>
      <c r="Q305" s="261">
        <v>301</v>
      </c>
      <c r="R305" s="262">
        <v>1335</v>
      </c>
      <c r="S305" s="352"/>
      <c r="T305" s="261">
        <v>301</v>
      </c>
      <c r="U305" s="262">
        <v>1335</v>
      </c>
      <c r="V305" s="352"/>
      <c r="W305" s="261">
        <v>301</v>
      </c>
      <c r="X305" s="262">
        <v>2397.6</v>
      </c>
      <c r="Y305" s="352"/>
      <c r="Z305" s="261">
        <v>301</v>
      </c>
      <c r="AA305" s="262">
        <v>2434.37</v>
      </c>
      <c r="AB305" s="352"/>
      <c r="AC305" s="261">
        <v>301</v>
      </c>
      <c r="AD305" s="262">
        <v>7608.6699999999855</v>
      </c>
      <c r="AE305" s="352"/>
      <c r="AF305" s="261">
        <v>301</v>
      </c>
      <c r="AG305" s="262">
        <v>20504.939999999999</v>
      </c>
      <c r="AH305" s="352"/>
      <c r="AI305" s="261">
        <v>301</v>
      </c>
      <c r="AJ305" s="262">
        <v>8806</v>
      </c>
      <c r="AK305" s="352"/>
      <c r="AL305" s="261"/>
      <c r="AM305" s="262"/>
    </row>
    <row r="306" spans="2:39">
      <c r="B306" s="261" t="s">
        <v>590</v>
      </c>
      <c r="C306" s="261">
        <v>9850</v>
      </c>
      <c r="E306" s="261" t="s">
        <v>590</v>
      </c>
      <c r="F306" s="261">
        <v>9797.24</v>
      </c>
      <c r="H306" s="261" t="s">
        <v>590</v>
      </c>
      <c r="I306" s="262">
        <f>I305+18</f>
        <v>5365</v>
      </c>
      <c r="K306" s="261">
        <v>301</v>
      </c>
      <c r="L306" s="262">
        <v>2195.92</v>
      </c>
      <c r="M306" s="352"/>
      <c r="N306" s="261">
        <v>302</v>
      </c>
      <c r="O306" s="262">
        <v>3475.68</v>
      </c>
      <c r="P306" s="352"/>
      <c r="Q306" s="261">
        <v>302</v>
      </c>
      <c r="R306" s="262">
        <v>1339</v>
      </c>
      <c r="S306" s="352"/>
      <c r="T306" s="261">
        <v>302</v>
      </c>
      <c r="U306" s="262">
        <v>1339</v>
      </c>
      <c r="V306" s="352"/>
      <c r="W306" s="261">
        <v>302</v>
      </c>
      <c r="X306" s="262">
        <v>2405.1</v>
      </c>
      <c r="Y306" s="352"/>
      <c r="Z306" s="261">
        <v>302</v>
      </c>
      <c r="AA306" s="262">
        <v>2441.89</v>
      </c>
      <c r="AB306" s="352"/>
      <c r="AC306" s="261">
        <v>302</v>
      </c>
      <c r="AD306" s="262">
        <v>7634.3299999999854</v>
      </c>
      <c r="AE306" s="352"/>
      <c r="AF306" s="261">
        <v>302</v>
      </c>
      <c r="AG306" s="262">
        <v>20573.36</v>
      </c>
      <c r="AH306" s="352"/>
      <c r="AI306" s="261">
        <v>302</v>
      </c>
      <c r="AJ306" s="262">
        <v>8834</v>
      </c>
      <c r="AK306" s="352"/>
      <c r="AL306" s="261"/>
      <c r="AM306" s="262"/>
    </row>
    <row r="307" spans="2:39">
      <c r="B307" s="261" t="s">
        <v>591</v>
      </c>
      <c r="C307" s="261">
        <v>9882</v>
      </c>
      <c r="E307" s="261" t="s">
        <v>591</v>
      </c>
      <c r="F307" s="261">
        <v>9828.57</v>
      </c>
      <c r="H307" s="261" t="s">
        <v>591</v>
      </c>
      <c r="I307" s="262">
        <v>5383</v>
      </c>
      <c r="K307" s="261">
        <v>302</v>
      </c>
      <c r="L307" s="262">
        <v>2203.23</v>
      </c>
      <c r="M307" s="352"/>
      <c r="N307" s="261">
        <v>303</v>
      </c>
      <c r="O307" s="262">
        <v>3486.78</v>
      </c>
      <c r="P307" s="352"/>
      <c r="Q307" s="261">
        <v>303</v>
      </c>
      <c r="R307" s="262">
        <v>1343</v>
      </c>
      <c r="S307" s="352"/>
      <c r="T307" s="261">
        <v>303</v>
      </c>
      <c r="U307" s="262">
        <v>1343</v>
      </c>
      <c r="V307" s="352"/>
      <c r="W307" s="261">
        <v>303</v>
      </c>
      <c r="X307" s="262">
        <v>2412.6</v>
      </c>
      <c r="Y307" s="352"/>
      <c r="Z307" s="261">
        <v>303</v>
      </c>
      <c r="AA307" s="262">
        <v>2449.4</v>
      </c>
      <c r="AB307" s="352"/>
      <c r="AC307" s="261">
        <v>303</v>
      </c>
      <c r="AD307" s="262">
        <v>7659.9899999999852</v>
      </c>
      <c r="AE307" s="352"/>
      <c r="AF307" s="261">
        <v>303</v>
      </c>
      <c r="AG307" s="262">
        <v>20641.78</v>
      </c>
      <c r="AH307" s="352"/>
      <c r="AI307" s="261">
        <v>303</v>
      </c>
      <c r="AJ307" s="262">
        <v>8863</v>
      </c>
      <c r="AK307" s="352"/>
      <c r="AL307" s="261"/>
      <c r="AM307" s="262"/>
    </row>
    <row r="308" spans="2:39">
      <c r="B308" s="261" t="s">
        <v>592</v>
      </c>
      <c r="C308" s="261">
        <v>9913</v>
      </c>
      <c r="E308" s="261" t="s">
        <v>592</v>
      </c>
      <c r="F308" s="261">
        <v>9859.83</v>
      </c>
      <c r="H308" s="261" t="s">
        <v>592</v>
      </c>
      <c r="I308" s="262">
        <f>I307+18</f>
        <v>5401</v>
      </c>
      <c r="K308" s="261">
        <v>303</v>
      </c>
      <c r="L308" s="262">
        <v>2210.5300000000002</v>
      </c>
      <c r="M308" s="352"/>
      <c r="N308" s="261">
        <v>304</v>
      </c>
      <c r="O308" s="262">
        <v>3497.88</v>
      </c>
      <c r="P308" s="352"/>
      <c r="Q308" s="261">
        <v>304</v>
      </c>
      <c r="R308" s="262">
        <v>1347</v>
      </c>
      <c r="S308" s="352"/>
      <c r="T308" s="261">
        <v>304</v>
      </c>
      <c r="U308" s="262">
        <v>1348</v>
      </c>
      <c r="V308" s="352"/>
      <c r="W308" s="261">
        <v>304</v>
      </c>
      <c r="X308" s="262">
        <v>2420.1</v>
      </c>
      <c r="Y308" s="352"/>
      <c r="Z308" s="261">
        <v>304</v>
      </c>
      <c r="AA308" s="262">
        <v>2456.91</v>
      </c>
      <c r="AB308" s="352"/>
      <c r="AC308" s="261">
        <v>304</v>
      </c>
      <c r="AD308" s="262">
        <v>7685.6499999999851</v>
      </c>
      <c r="AE308" s="352"/>
      <c r="AF308" s="261">
        <v>304</v>
      </c>
      <c r="AG308" s="262">
        <v>20710.21</v>
      </c>
      <c r="AH308" s="352"/>
      <c r="AI308" s="261">
        <v>304</v>
      </c>
      <c r="AJ308" s="262">
        <v>8891</v>
      </c>
      <c r="AK308" s="352"/>
      <c r="AL308" s="261"/>
      <c r="AM308" s="262"/>
    </row>
    <row r="309" spans="2:39">
      <c r="B309" s="261" t="s">
        <v>593</v>
      </c>
      <c r="C309" s="261">
        <v>9945</v>
      </c>
      <c r="E309" s="261" t="s">
        <v>593</v>
      </c>
      <c r="F309" s="261">
        <v>9891.16</v>
      </c>
      <c r="H309" s="261" t="s">
        <v>593</v>
      </c>
      <c r="I309" s="262">
        <v>5418</v>
      </c>
      <c r="K309" s="261">
        <v>304</v>
      </c>
      <c r="L309" s="262">
        <v>2217.84</v>
      </c>
      <c r="M309" s="352"/>
      <c r="N309" s="261">
        <v>305</v>
      </c>
      <c r="O309" s="262">
        <v>3508.98</v>
      </c>
      <c r="P309" s="352"/>
      <c r="Q309" s="261">
        <v>305</v>
      </c>
      <c r="R309" s="262">
        <v>1351</v>
      </c>
      <c r="S309" s="352"/>
      <c r="T309" s="261">
        <v>305</v>
      </c>
      <c r="U309" s="262">
        <v>1352</v>
      </c>
      <c r="V309" s="352"/>
      <c r="W309" s="261">
        <v>305</v>
      </c>
      <c r="X309" s="262">
        <v>2427.6999999999998</v>
      </c>
      <c r="Y309" s="352"/>
      <c r="Z309" s="261">
        <v>305</v>
      </c>
      <c r="AA309" s="262">
        <v>2464.42</v>
      </c>
      <c r="AB309" s="352"/>
      <c r="AC309" s="261">
        <v>305</v>
      </c>
      <c r="AD309" s="262">
        <v>7711.3099999999849</v>
      </c>
      <c r="AE309" s="352"/>
      <c r="AF309" s="261">
        <v>305</v>
      </c>
      <c r="AG309" s="262">
        <v>20778.63</v>
      </c>
      <c r="AH309" s="352"/>
      <c r="AI309" s="261">
        <v>305</v>
      </c>
      <c r="AJ309" s="262">
        <v>8919</v>
      </c>
      <c r="AK309" s="352"/>
      <c r="AL309" s="261"/>
      <c r="AM309" s="262"/>
    </row>
    <row r="310" spans="2:39">
      <c r="B310" s="261" t="s">
        <v>594</v>
      </c>
      <c r="C310" s="261">
        <v>9976</v>
      </c>
      <c r="E310" s="261" t="s">
        <v>594</v>
      </c>
      <c r="F310" s="261">
        <v>9922.42</v>
      </c>
      <c r="H310" s="261" t="s">
        <v>594</v>
      </c>
      <c r="I310" s="262">
        <f>I309+18</f>
        <v>5436</v>
      </c>
      <c r="K310" s="261">
        <v>305</v>
      </c>
      <c r="L310" s="262">
        <v>2225.14</v>
      </c>
      <c r="M310" s="352"/>
      <c r="N310" s="261">
        <v>306</v>
      </c>
      <c r="O310" s="262">
        <v>3520.08</v>
      </c>
      <c r="P310" s="352"/>
      <c r="Q310" s="261">
        <v>306</v>
      </c>
      <c r="R310" s="262">
        <v>1355</v>
      </c>
      <c r="S310" s="352"/>
      <c r="T310" s="261">
        <v>306</v>
      </c>
      <c r="U310" s="262">
        <v>1356</v>
      </c>
      <c r="V310" s="352"/>
      <c r="W310" s="261">
        <v>306</v>
      </c>
      <c r="X310" s="262">
        <v>2435.1999999999998</v>
      </c>
      <c r="Y310" s="352"/>
      <c r="Z310" s="261">
        <v>306</v>
      </c>
      <c r="AA310" s="262">
        <v>2471.94</v>
      </c>
      <c r="AB310" s="352"/>
      <c r="AC310" s="261">
        <v>306</v>
      </c>
      <c r="AD310" s="262">
        <v>7736.979999999985</v>
      </c>
      <c r="AE310" s="352"/>
      <c r="AF310" s="261">
        <v>306</v>
      </c>
      <c r="AG310" s="262">
        <v>20847.060000000001</v>
      </c>
      <c r="AH310" s="352"/>
      <c r="AI310" s="261">
        <v>306</v>
      </c>
      <c r="AJ310" s="262">
        <v>8948</v>
      </c>
      <c r="AK310" s="352"/>
      <c r="AL310" s="261"/>
      <c r="AM310" s="262"/>
    </row>
    <row r="311" spans="2:39">
      <c r="B311" s="261" t="s">
        <v>595</v>
      </c>
      <c r="C311" s="261">
        <v>10008</v>
      </c>
      <c r="E311" s="261" t="s">
        <v>595</v>
      </c>
      <c r="F311" s="261">
        <v>9953.74</v>
      </c>
      <c r="H311" s="261" t="s">
        <v>595</v>
      </c>
      <c r="I311" s="262">
        <v>5453</v>
      </c>
      <c r="K311" s="261">
        <v>306</v>
      </c>
      <c r="L311" s="262">
        <v>2232.4499999999998</v>
      </c>
      <c r="M311" s="352"/>
      <c r="N311" s="261">
        <v>307</v>
      </c>
      <c r="O311" s="262">
        <v>3531.18</v>
      </c>
      <c r="P311" s="352"/>
      <c r="Q311" s="261">
        <v>307</v>
      </c>
      <c r="R311" s="262">
        <v>1359</v>
      </c>
      <c r="S311" s="352"/>
      <c r="T311" s="261">
        <v>307</v>
      </c>
      <c r="U311" s="262">
        <v>1360</v>
      </c>
      <c r="V311" s="352"/>
      <c r="W311" s="261">
        <v>307</v>
      </c>
      <c r="X311" s="262">
        <v>2442.6999999999998</v>
      </c>
      <c r="Y311" s="352"/>
      <c r="Z311" s="261">
        <v>307</v>
      </c>
      <c r="AA311" s="262">
        <v>2479.4499999999998</v>
      </c>
      <c r="AB311" s="352"/>
      <c r="AC311" s="261">
        <v>307</v>
      </c>
      <c r="AD311" s="262">
        <v>7762.6399999999849</v>
      </c>
      <c r="AE311" s="352"/>
      <c r="AF311" s="261">
        <v>307</v>
      </c>
      <c r="AG311" s="262">
        <v>20915.48</v>
      </c>
      <c r="AH311" s="352"/>
      <c r="AI311" s="261">
        <v>307</v>
      </c>
      <c r="AJ311" s="262">
        <v>8976</v>
      </c>
      <c r="AK311" s="352"/>
      <c r="AL311" s="261"/>
      <c r="AM311" s="262"/>
    </row>
    <row r="312" spans="2:39">
      <c r="B312" s="261" t="s">
        <v>596</v>
      </c>
      <c r="C312" s="261">
        <v>10039</v>
      </c>
      <c r="E312" s="261" t="s">
        <v>596</v>
      </c>
      <c r="F312" s="261">
        <v>9985</v>
      </c>
      <c r="H312" s="261" t="s">
        <v>596</v>
      </c>
      <c r="I312" s="262">
        <f>I311+18</f>
        <v>5471</v>
      </c>
      <c r="K312" s="261">
        <v>307</v>
      </c>
      <c r="L312" s="262">
        <v>2239.75</v>
      </c>
      <c r="M312" s="352"/>
      <c r="N312" s="261">
        <v>308</v>
      </c>
      <c r="O312" s="262">
        <v>3542.27</v>
      </c>
      <c r="P312" s="352"/>
      <c r="Q312" s="261">
        <v>308</v>
      </c>
      <c r="R312" s="262">
        <v>1363</v>
      </c>
      <c r="S312" s="352"/>
      <c r="T312" s="261">
        <v>308</v>
      </c>
      <c r="U312" s="262">
        <v>1364</v>
      </c>
      <c r="V312" s="352"/>
      <c r="W312" s="261">
        <v>308</v>
      </c>
      <c r="X312" s="262">
        <v>2450.1999999999998</v>
      </c>
      <c r="Y312" s="352"/>
      <c r="Z312" s="261">
        <v>308</v>
      </c>
      <c r="AA312" s="262">
        <v>2486.96</v>
      </c>
      <c r="AB312" s="352"/>
      <c r="AC312" s="261">
        <v>308</v>
      </c>
      <c r="AD312" s="262">
        <v>7788.2999999999847</v>
      </c>
      <c r="AE312" s="352"/>
      <c r="AF312" s="261">
        <v>308</v>
      </c>
      <c r="AG312" s="262">
        <v>20983.9</v>
      </c>
      <c r="AH312" s="352"/>
      <c r="AI312" s="261">
        <v>308</v>
      </c>
      <c r="AJ312" s="262">
        <v>9005</v>
      </c>
      <c r="AK312" s="352"/>
      <c r="AL312" s="261"/>
      <c r="AM312" s="262"/>
    </row>
    <row r="313" spans="2:39">
      <c r="B313" s="261" t="s">
        <v>597</v>
      </c>
      <c r="C313" s="261">
        <v>10071</v>
      </c>
      <c r="E313" s="261" t="s">
        <v>597</v>
      </c>
      <c r="F313" s="261">
        <v>10016.34</v>
      </c>
      <c r="H313" s="261" t="s">
        <v>597</v>
      </c>
      <c r="I313" s="262">
        <v>5488</v>
      </c>
      <c r="K313" s="261">
        <v>308</v>
      </c>
      <c r="L313" s="262">
        <v>2247.06</v>
      </c>
      <c r="M313" s="352"/>
      <c r="N313" s="261">
        <v>309</v>
      </c>
      <c r="O313" s="262">
        <v>3553.37</v>
      </c>
      <c r="P313" s="352"/>
      <c r="Q313" s="261">
        <v>309</v>
      </c>
      <c r="R313" s="262">
        <v>1368</v>
      </c>
      <c r="S313" s="352"/>
      <c r="T313" s="261">
        <v>309</v>
      </c>
      <c r="U313" s="262">
        <v>1368</v>
      </c>
      <c r="V313" s="352"/>
      <c r="W313" s="261">
        <v>309</v>
      </c>
      <c r="X313" s="262">
        <v>2457.6999999999998</v>
      </c>
      <c r="Y313" s="352"/>
      <c r="Z313" s="261">
        <v>309</v>
      </c>
      <c r="AA313" s="262">
        <v>2494.4699999999998</v>
      </c>
      <c r="AB313" s="352"/>
      <c r="AC313" s="261">
        <v>309</v>
      </c>
      <c r="AD313" s="262">
        <v>7813.9599999999846</v>
      </c>
      <c r="AE313" s="352"/>
      <c r="AF313" s="261">
        <v>309</v>
      </c>
      <c r="AG313" s="262">
        <v>21052.33</v>
      </c>
      <c r="AH313" s="352"/>
      <c r="AI313" s="261">
        <v>309</v>
      </c>
      <c r="AJ313" s="262">
        <v>9033</v>
      </c>
      <c r="AK313" s="352"/>
      <c r="AL313" s="261"/>
      <c r="AM313" s="262"/>
    </row>
    <row r="314" spans="2:39">
      <c r="B314" s="261" t="s">
        <v>598</v>
      </c>
      <c r="C314" s="261">
        <v>10102</v>
      </c>
      <c r="E314" s="261" t="s">
        <v>598</v>
      </c>
      <c r="F314" s="261">
        <v>10047.6</v>
      </c>
      <c r="H314" s="261" t="s">
        <v>598</v>
      </c>
      <c r="I314" s="262">
        <f>I313+18</f>
        <v>5506</v>
      </c>
      <c r="K314" s="261">
        <v>309</v>
      </c>
      <c r="L314" s="262">
        <v>2254.36</v>
      </c>
      <c r="M314" s="352"/>
      <c r="N314" s="261">
        <v>310</v>
      </c>
      <c r="O314" s="262">
        <v>3564.47</v>
      </c>
      <c r="P314" s="352"/>
      <c r="Q314" s="261">
        <v>310</v>
      </c>
      <c r="R314" s="262">
        <v>1372</v>
      </c>
      <c r="S314" s="352"/>
      <c r="T314" s="261">
        <v>310</v>
      </c>
      <c r="U314" s="262">
        <v>1372</v>
      </c>
      <c r="V314" s="352"/>
      <c r="W314" s="261">
        <v>310</v>
      </c>
      <c r="X314" s="262">
        <v>2465.1999999999998</v>
      </c>
      <c r="Y314" s="352"/>
      <c r="Z314" s="261">
        <v>310</v>
      </c>
      <c r="AA314" s="262">
        <v>2501.98</v>
      </c>
      <c r="AB314" s="352"/>
      <c r="AC314" s="261">
        <v>310</v>
      </c>
      <c r="AD314" s="262">
        <v>7839.6199999999844</v>
      </c>
      <c r="AE314" s="352"/>
      <c r="AF314" s="261">
        <v>310</v>
      </c>
      <c r="AG314" s="262">
        <v>21120.75</v>
      </c>
      <c r="AH314" s="352"/>
      <c r="AI314" s="261">
        <v>310</v>
      </c>
      <c r="AJ314" s="262">
        <v>9061</v>
      </c>
      <c r="AK314" s="352"/>
      <c r="AL314" s="261"/>
      <c r="AM314" s="262"/>
    </row>
    <row r="315" spans="2:39">
      <c r="B315" s="261" t="s">
        <v>599</v>
      </c>
      <c r="C315" s="261">
        <v>10133</v>
      </c>
      <c r="E315" s="261" t="s">
        <v>599</v>
      </c>
      <c r="F315" s="261">
        <v>10078.92</v>
      </c>
      <c r="H315" s="261" t="s">
        <v>599</v>
      </c>
      <c r="I315" s="262">
        <v>5524</v>
      </c>
      <c r="K315" s="261">
        <v>310</v>
      </c>
      <c r="L315" s="262">
        <v>2261.67</v>
      </c>
      <c r="M315" s="352"/>
      <c r="N315" s="261">
        <v>311</v>
      </c>
      <c r="O315" s="262">
        <v>3575.57</v>
      </c>
      <c r="P315" s="352"/>
      <c r="Q315" s="261">
        <v>311</v>
      </c>
      <c r="R315" s="262">
        <v>1376</v>
      </c>
      <c r="S315" s="352"/>
      <c r="T315" s="261">
        <v>311</v>
      </c>
      <c r="U315" s="262">
        <v>1376</v>
      </c>
      <c r="V315" s="352"/>
      <c r="W315" s="261">
        <v>311</v>
      </c>
      <c r="X315" s="262">
        <v>2472.6999999999998</v>
      </c>
      <c r="Y315" s="352"/>
      <c r="Z315" s="261">
        <v>311</v>
      </c>
      <c r="AA315" s="262">
        <v>2509.5</v>
      </c>
      <c r="AB315" s="352"/>
      <c r="AC315" s="261">
        <v>311</v>
      </c>
      <c r="AD315" s="262">
        <v>7865.2899999999845</v>
      </c>
      <c r="AE315" s="352"/>
      <c r="AF315" s="261">
        <v>311</v>
      </c>
      <c r="AG315" s="262">
        <v>21189.15</v>
      </c>
      <c r="AH315" s="352"/>
      <c r="AI315" s="261">
        <v>311</v>
      </c>
      <c r="AJ315" s="262">
        <v>9090</v>
      </c>
      <c r="AK315" s="352"/>
      <c r="AL315" s="261"/>
      <c r="AM315" s="262"/>
    </row>
    <row r="316" spans="2:39">
      <c r="B316" s="261" t="s">
        <v>600</v>
      </c>
      <c r="C316" s="261">
        <v>10164</v>
      </c>
      <c r="E316" s="261" t="s">
        <v>600</v>
      </c>
      <c r="F316" s="261">
        <v>10110.18</v>
      </c>
      <c r="H316" s="261" t="s">
        <v>600</v>
      </c>
      <c r="I316" s="262">
        <f>I315+18</f>
        <v>5542</v>
      </c>
      <c r="K316" s="261">
        <v>311</v>
      </c>
      <c r="L316" s="262">
        <v>2268.9699999999998</v>
      </c>
      <c r="M316" s="352"/>
      <c r="N316" s="261">
        <v>312</v>
      </c>
      <c r="O316" s="262">
        <v>3586.67</v>
      </c>
      <c r="P316" s="352"/>
      <c r="Q316" s="261">
        <v>312</v>
      </c>
      <c r="R316" s="262">
        <v>1380</v>
      </c>
      <c r="S316" s="352"/>
      <c r="T316" s="261">
        <v>312</v>
      </c>
      <c r="U316" s="262">
        <v>1381</v>
      </c>
      <c r="V316" s="352"/>
      <c r="W316" s="261">
        <v>312</v>
      </c>
      <c r="X316" s="262">
        <v>2480.3000000000002</v>
      </c>
      <c r="Y316" s="352"/>
      <c r="Z316" s="261">
        <v>312</v>
      </c>
      <c r="AA316" s="262">
        <v>2517.0100000000002</v>
      </c>
      <c r="AB316" s="352"/>
      <c r="AC316" s="261">
        <v>312</v>
      </c>
      <c r="AD316" s="262">
        <v>7890.9499999999844</v>
      </c>
      <c r="AE316" s="352"/>
      <c r="AF316" s="261">
        <v>312</v>
      </c>
      <c r="AG316" s="262">
        <v>21257.599999999999</v>
      </c>
      <c r="AH316" s="352"/>
      <c r="AI316" s="261">
        <v>312</v>
      </c>
      <c r="AJ316" s="262">
        <v>9118</v>
      </c>
      <c r="AK316" s="352"/>
      <c r="AL316" s="261"/>
      <c r="AM316" s="262"/>
    </row>
    <row r="317" spans="2:39">
      <c r="B317" s="261" t="s">
        <v>601</v>
      </c>
      <c r="C317" s="261">
        <v>10196</v>
      </c>
      <c r="E317" s="261" t="s">
        <v>601</v>
      </c>
      <c r="F317" s="261">
        <v>10141.51</v>
      </c>
      <c r="H317" s="261" t="s">
        <v>601</v>
      </c>
      <c r="I317" s="262">
        <v>5559</v>
      </c>
      <c r="K317" s="261">
        <v>312</v>
      </c>
      <c r="L317" s="262">
        <v>2276.2800000000002</v>
      </c>
      <c r="M317" s="352"/>
      <c r="N317" s="261">
        <v>313</v>
      </c>
      <c r="O317" s="262">
        <v>3597.77</v>
      </c>
      <c r="P317" s="352"/>
      <c r="Q317" s="261">
        <v>313</v>
      </c>
      <c r="R317" s="262">
        <v>1384</v>
      </c>
      <c r="S317" s="352"/>
      <c r="T317" s="261">
        <v>313</v>
      </c>
      <c r="U317" s="262">
        <v>1385</v>
      </c>
      <c r="V317" s="352"/>
      <c r="W317" s="261">
        <v>313</v>
      </c>
      <c r="X317" s="262">
        <v>2487.8000000000002</v>
      </c>
      <c r="Y317" s="352"/>
      <c r="Z317" s="261">
        <v>313</v>
      </c>
      <c r="AA317" s="262">
        <v>2524.52</v>
      </c>
      <c r="AB317" s="352"/>
      <c r="AC317" s="261">
        <v>313</v>
      </c>
      <c r="AD317" s="262">
        <v>7916.6099999999842</v>
      </c>
      <c r="AE317" s="352"/>
      <c r="AF317" s="261">
        <v>313</v>
      </c>
      <c r="AG317" s="262">
        <v>21326.02</v>
      </c>
      <c r="AH317" s="352"/>
      <c r="AI317" s="261">
        <v>313</v>
      </c>
      <c r="AJ317" s="262">
        <v>9147</v>
      </c>
      <c r="AK317" s="352"/>
      <c r="AL317" s="261"/>
      <c r="AM317" s="262"/>
    </row>
    <row r="318" spans="2:39">
      <c r="B318" s="261" t="s">
        <v>602</v>
      </c>
      <c r="C318" s="261">
        <v>10227</v>
      </c>
      <c r="E318" s="261" t="s">
        <v>602</v>
      </c>
      <c r="F318" s="261">
        <v>10172.77</v>
      </c>
      <c r="H318" s="261" t="s">
        <v>602</v>
      </c>
      <c r="I318" s="262">
        <f>I317+18</f>
        <v>5577</v>
      </c>
      <c r="K318" s="261">
        <v>313</v>
      </c>
      <c r="L318" s="262">
        <v>2283.59</v>
      </c>
      <c r="M318" s="352"/>
      <c r="N318" s="261">
        <v>314</v>
      </c>
      <c r="O318" s="262">
        <v>3608.87</v>
      </c>
      <c r="P318" s="352"/>
      <c r="Q318" s="261">
        <v>314</v>
      </c>
      <c r="R318" s="262">
        <v>1388</v>
      </c>
      <c r="S318" s="352"/>
      <c r="T318" s="261">
        <v>314</v>
      </c>
      <c r="U318" s="262">
        <v>1389</v>
      </c>
      <c r="V318" s="352"/>
      <c r="W318" s="261">
        <v>314</v>
      </c>
      <c r="X318" s="262">
        <v>2495.3000000000002</v>
      </c>
      <c r="Y318" s="352"/>
      <c r="Z318" s="261">
        <v>314</v>
      </c>
      <c r="AA318" s="262">
        <v>2532.0300000000002</v>
      </c>
      <c r="AB318" s="352"/>
      <c r="AC318" s="261">
        <v>314</v>
      </c>
      <c r="AD318" s="262">
        <v>7942.2699999999841</v>
      </c>
      <c r="AE318" s="352"/>
      <c r="AF318" s="261">
        <v>314</v>
      </c>
      <c r="AG318" s="262">
        <v>21394.45</v>
      </c>
      <c r="AH318" s="352"/>
      <c r="AI318" s="261">
        <v>314</v>
      </c>
      <c r="AJ318" s="262">
        <v>9175</v>
      </c>
      <c r="AK318" s="352"/>
      <c r="AL318" s="261"/>
      <c r="AM318" s="262"/>
    </row>
    <row r="319" spans="2:39">
      <c r="B319" s="261" t="s">
        <v>603</v>
      </c>
      <c r="C319" s="261">
        <v>10259</v>
      </c>
      <c r="E319" s="261" t="s">
        <v>603</v>
      </c>
      <c r="F319" s="261">
        <v>10204.1</v>
      </c>
      <c r="H319" s="261" t="s">
        <v>603</v>
      </c>
      <c r="I319" s="262">
        <v>5594</v>
      </c>
      <c r="K319" s="261">
        <v>314</v>
      </c>
      <c r="L319" s="262">
        <v>2290.89</v>
      </c>
      <c r="M319" s="352"/>
      <c r="N319" s="261">
        <v>315</v>
      </c>
      <c r="O319" s="262">
        <v>3619.96</v>
      </c>
      <c r="P319" s="352"/>
      <c r="Q319" s="261">
        <v>315</v>
      </c>
      <c r="R319" s="262">
        <v>1392</v>
      </c>
      <c r="S319" s="352"/>
      <c r="T319" s="261">
        <v>315</v>
      </c>
      <c r="U319" s="262">
        <v>1393</v>
      </c>
      <c r="V319" s="352"/>
      <c r="W319" s="261">
        <v>315</v>
      </c>
      <c r="X319" s="262">
        <v>2502.8000000000002</v>
      </c>
      <c r="Y319" s="352"/>
      <c r="Z319" s="261">
        <v>315</v>
      </c>
      <c r="AA319" s="262">
        <v>2539.5500000000002</v>
      </c>
      <c r="AB319" s="352"/>
      <c r="AC319" s="261">
        <v>315</v>
      </c>
      <c r="AD319" s="262">
        <v>7967.9299999999839</v>
      </c>
      <c r="AE319" s="352"/>
      <c r="AF319" s="261">
        <v>315</v>
      </c>
      <c r="AG319" s="262">
        <v>21462.87</v>
      </c>
      <c r="AH319" s="352"/>
      <c r="AI319" s="261">
        <v>315</v>
      </c>
      <c r="AJ319" s="262">
        <v>9204</v>
      </c>
      <c r="AK319" s="352"/>
      <c r="AL319" s="261"/>
      <c r="AM319" s="262"/>
    </row>
    <row r="320" spans="2:39">
      <c r="B320" s="261" t="s">
        <v>604</v>
      </c>
      <c r="C320" s="261">
        <v>10290</v>
      </c>
      <c r="E320" s="261" t="s">
        <v>604</v>
      </c>
      <c r="F320" s="261">
        <v>10235.36</v>
      </c>
      <c r="H320" s="261" t="s">
        <v>604</v>
      </c>
      <c r="I320" s="262">
        <f>I319+18</f>
        <v>5612</v>
      </c>
      <c r="K320" s="261">
        <v>315</v>
      </c>
      <c r="L320" s="262">
        <v>2298.1999999999998</v>
      </c>
      <c r="M320" s="352"/>
      <c r="N320" s="261">
        <v>316</v>
      </c>
      <c r="O320" s="262">
        <v>3631.06</v>
      </c>
      <c r="P320" s="352"/>
      <c r="Q320" s="261">
        <v>316</v>
      </c>
      <c r="R320" s="262">
        <v>1396</v>
      </c>
      <c r="S320" s="352"/>
      <c r="T320" s="261">
        <v>316</v>
      </c>
      <c r="U320" s="262">
        <v>1397</v>
      </c>
      <c r="V320" s="352"/>
      <c r="W320" s="261">
        <v>316</v>
      </c>
      <c r="X320" s="262">
        <v>2510.3000000000002</v>
      </c>
      <c r="Y320" s="352"/>
      <c r="Z320" s="261">
        <v>316</v>
      </c>
      <c r="AA320" s="262">
        <v>2547.06</v>
      </c>
      <c r="AB320" s="352"/>
      <c r="AC320" s="261">
        <v>316</v>
      </c>
      <c r="AD320" s="262">
        <v>7993.599999999984</v>
      </c>
      <c r="AE320" s="352"/>
      <c r="AF320" s="261">
        <v>316</v>
      </c>
      <c r="AG320" s="262">
        <v>21531.3</v>
      </c>
      <c r="AH320" s="352"/>
      <c r="AI320" s="261">
        <v>316</v>
      </c>
      <c r="AJ320" s="262">
        <v>9232</v>
      </c>
      <c r="AK320" s="352"/>
      <c r="AL320" s="261"/>
      <c r="AM320" s="262"/>
    </row>
    <row r="321" spans="2:39">
      <c r="B321" s="261" t="s">
        <v>605</v>
      </c>
      <c r="C321" s="261">
        <v>10322</v>
      </c>
      <c r="E321" s="261" t="s">
        <v>605</v>
      </c>
      <c r="F321" s="261">
        <v>10266.68</v>
      </c>
      <c r="H321" s="261" t="s">
        <v>605</v>
      </c>
      <c r="I321" s="262">
        <v>5630</v>
      </c>
      <c r="K321" s="261">
        <v>316</v>
      </c>
      <c r="L321" s="262">
        <v>2305.5</v>
      </c>
      <c r="M321" s="352"/>
      <c r="N321" s="261">
        <v>317</v>
      </c>
      <c r="O321" s="262">
        <v>3642.16</v>
      </c>
      <c r="P321" s="352"/>
      <c r="Q321" s="261">
        <v>317</v>
      </c>
      <c r="R321" s="262">
        <v>1401</v>
      </c>
      <c r="S321" s="352"/>
      <c r="T321" s="261">
        <v>317</v>
      </c>
      <c r="U321" s="262">
        <v>1401</v>
      </c>
      <c r="V321" s="352"/>
      <c r="W321" s="261">
        <v>317</v>
      </c>
      <c r="X321" s="262">
        <v>2517.8000000000002</v>
      </c>
      <c r="Y321" s="352"/>
      <c r="Z321" s="261">
        <v>317</v>
      </c>
      <c r="AA321" s="262">
        <v>2554.5700000000002</v>
      </c>
      <c r="AB321" s="352"/>
      <c r="AC321" s="261">
        <v>317</v>
      </c>
      <c r="AD321" s="262">
        <v>8019.2599999999838</v>
      </c>
      <c r="AE321" s="352"/>
      <c r="AF321" s="261">
        <v>317</v>
      </c>
      <c r="AG321" s="262">
        <v>21599.72</v>
      </c>
      <c r="AH321" s="352"/>
      <c r="AI321" s="261">
        <v>317</v>
      </c>
      <c r="AJ321" s="262">
        <v>9260</v>
      </c>
      <c r="AK321" s="352"/>
      <c r="AL321" s="261"/>
      <c r="AM321" s="262"/>
    </row>
    <row r="322" spans="2:39">
      <c r="B322" s="261" t="s">
        <v>606</v>
      </c>
      <c r="C322" s="261">
        <v>10353</v>
      </c>
      <c r="E322" s="261" t="s">
        <v>606</v>
      </c>
      <c r="F322" s="261">
        <v>10297.94</v>
      </c>
      <c r="H322" s="261" t="s">
        <v>606</v>
      </c>
      <c r="I322" s="262">
        <f>I321+18</f>
        <v>5648</v>
      </c>
      <c r="K322" s="261">
        <v>317</v>
      </c>
      <c r="L322" s="262">
        <v>2312.81</v>
      </c>
      <c r="M322" s="352"/>
      <c r="N322" s="261">
        <v>318</v>
      </c>
      <c r="O322" s="262">
        <v>3653.26</v>
      </c>
      <c r="P322" s="352"/>
      <c r="Q322" s="261">
        <v>318</v>
      </c>
      <c r="R322" s="262">
        <v>1405</v>
      </c>
      <c r="S322" s="352"/>
      <c r="T322" s="261">
        <v>318</v>
      </c>
      <c r="U322" s="262">
        <v>1405</v>
      </c>
      <c r="V322" s="352"/>
      <c r="W322" s="261">
        <v>318</v>
      </c>
      <c r="X322" s="262">
        <v>2525.3000000000002</v>
      </c>
      <c r="Y322" s="352"/>
      <c r="Z322" s="261">
        <v>318</v>
      </c>
      <c r="AA322" s="262">
        <v>2562.08</v>
      </c>
      <c r="AB322" s="352"/>
      <c r="AC322" s="261">
        <v>318</v>
      </c>
      <c r="AD322" s="262">
        <v>8044.9199999999837</v>
      </c>
      <c r="AE322" s="352"/>
      <c r="AF322" s="261">
        <v>318</v>
      </c>
      <c r="AG322" s="262">
        <v>21668.14</v>
      </c>
      <c r="AH322" s="352"/>
      <c r="AI322" s="261">
        <v>318</v>
      </c>
      <c r="AJ322" s="262">
        <v>9289</v>
      </c>
      <c r="AK322" s="352"/>
      <c r="AL322" s="261"/>
      <c r="AM322" s="262"/>
    </row>
    <row r="323" spans="2:39">
      <c r="B323" s="261" t="s">
        <v>607</v>
      </c>
      <c r="C323" s="261">
        <v>10384</v>
      </c>
      <c r="E323" s="261" t="s">
        <v>607</v>
      </c>
      <c r="F323" s="261">
        <v>10329.27</v>
      </c>
      <c r="H323" s="261" t="s">
        <v>607</v>
      </c>
      <c r="I323" s="262">
        <v>5665</v>
      </c>
      <c r="K323" s="261">
        <v>318</v>
      </c>
      <c r="L323" s="262">
        <v>2320.11</v>
      </c>
      <c r="M323" s="352"/>
      <c r="N323" s="261">
        <v>319</v>
      </c>
      <c r="O323" s="262">
        <v>3664.36</v>
      </c>
      <c r="P323" s="352"/>
      <c r="Q323" s="261">
        <v>319</v>
      </c>
      <c r="R323" s="262">
        <v>1409</v>
      </c>
      <c r="S323" s="352"/>
      <c r="T323" s="261">
        <v>319</v>
      </c>
      <c r="U323" s="262">
        <v>1410</v>
      </c>
      <c r="V323" s="352"/>
      <c r="W323" s="261">
        <v>319</v>
      </c>
      <c r="X323" s="262">
        <v>2532.9</v>
      </c>
      <c r="Y323" s="352"/>
      <c r="Z323" s="261">
        <v>319</v>
      </c>
      <c r="AA323" s="262">
        <v>2569.59</v>
      </c>
      <c r="AB323" s="352"/>
      <c r="AC323" s="261">
        <v>319</v>
      </c>
      <c r="AD323" s="262">
        <v>8070.5799999999836</v>
      </c>
      <c r="AE323" s="352"/>
      <c r="AF323" s="261">
        <v>319</v>
      </c>
      <c r="AG323" s="262">
        <v>21736.57</v>
      </c>
      <c r="AH323" s="352"/>
      <c r="AI323" s="261">
        <v>319</v>
      </c>
      <c r="AJ323" s="262">
        <v>9317</v>
      </c>
      <c r="AK323" s="352"/>
      <c r="AL323" s="261"/>
      <c r="AM323" s="262"/>
    </row>
    <row r="324" spans="2:39">
      <c r="B324" s="261" t="s">
        <v>608</v>
      </c>
      <c r="C324" s="261">
        <v>10415</v>
      </c>
      <c r="E324" s="261" t="s">
        <v>608</v>
      </c>
      <c r="F324" s="261">
        <v>10360.530000000001</v>
      </c>
      <c r="H324" s="261" t="s">
        <v>608</v>
      </c>
      <c r="I324" s="262">
        <f>I323+18</f>
        <v>5683</v>
      </c>
      <c r="K324" s="261">
        <v>319</v>
      </c>
      <c r="L324" s="262">
        <v>2327.41</v>
      </c>
      <c r="M324" s="352"/>
      <c r="N324" s="261">
        <v>320</v>
      </c>
      <c r="O324" s="262">
        <v>3675.46</v>
      </c>
      <c r="P324" s="352"/>
      <c r="Q324" s="261">
        <v>320</v>
      </c>
      <c r="R324" s="262">
        <v>1413</v>
      </c>
      <c r="S324" s="352"/>
      <c r="T324" s="261">
        <v>320</v>
      </c>
      <c r="U324" s="262">
        <v>1414</v>
      </c>
      <c r="V324" s="352"/>
      <c r="W324" s="261">
        <v>320</v>
      </c>
      <c r="X324" s="262">
        <v>2540.4</v>
      </c>
      <c r="Y324" s="352"/>
      <c r="Z324" s="261">
        <v>320</v>
      </c>
      <c r="AA324" s="262">
        <v>2577.11</v>
      </c>
      <c r="AB324" s="352"/>
      <c r="AC324" s="261">
        <v>320</v>
      </c>
      <c r="AD324" s="262">
        <v>8096.2399999999834</v>
      </c>
      <c r="AE324" s="352"/>
      <c r="AF324" s="261">
        <v>320</v>
      </c>
      <c r="AG324" s="262">
        <v>21804.99</v>
      </c>
      <c r="AH324" s="352"/>
      <c r="AI324" s="261">
        <v>320</v>
      </c>
      <c r="AJ324" s="262">
        <v>9346</v>
      </c>
      <c r="AK324" s="352"/>
      <c r="AL324" s="261"/>
      <c r="AM324" s="262"/>
    </row>
    <row r="325" spans="2:39">
      <c r="B325" s="261" t="s">
        <v>609</v>
      </c>
      <c r="C325" s="261">
        <v>10447</v>
      </c>
      <c r="E325" s="261" t="s">
        <v>609</v>
      </c>
      <c r="F325" s="261">
        <v>10391.86</v>
      </c>
      <c r="H325" s="261" t="s">
        <v>609</v>
      </c>
      <c r="I325" s="262">
        <v>5700</v>
      </c>
      <c r="K325" s="261">
        <v>320</v>
      </c>
      <c r="L325" s="262">
        <v>2334.7199999999998</v>
      </c>
      <c r="M325" s="352"/>
      <c r="N325" s="261">
        <v>321</v>
      </c>
      <c r="O325" s="262">
        <v>3686.55</v>
      </c>
      <c r="P325" s="352"/>
      <c r="Q325" s="261">
        <v>321</v>
      </c>
      <c r="R325" s="262">
        <v>1417</v>
      </c>
      <c r="S325" s="352"/>
      <c r="T325" s="261">
        <v>321</v>
      </c>
      <c r="U325" s="262">
        <v>1418</v>
      </c>
      <c r="V325" s="352"/>
      <c r="W325" s="261">
        <v>321</v>
      </c>
      <c r="X325" s="262">
        <v>2547.9</v>
      </c>
      <c r="Y325" s="352"/>
      <c r="Z325" s="261">
        <v>321</v>
      </c>
      <c r="AA325" s="262">
        <v>2584.62</v>
      </c>
      <c r="AB325" s="352"/>
      <c r="AC325" s="261">
        <v>321</v>
      </c>
      <c r="AD325" s="262">
        <v>8121.9099999999835</v>
      </c>
      <c r="AE325" s="352"/>
      <c r="AF325" s="261">
        <v>321</v>
      </c>
      <c r="AG325" s="262">
        <v>21873.42</v>
      </c>
      <c r="AH325" s="352"/>
      <c r="AI325" s="261">
        <v>321</v>
      </c>
      <c r="AJ325" s="262">
        <v>9374</v>
      </c>
      <c r="AK325" s="352"/>
      <c r="AL325" s="261"/>
      <c r="AM325" s="262"/>
    </row>
    <row r="326" spans="2:39">
      <c r="B326" s="261" t="s">
        <v>610</v>
      </c>
      <c r="C326" s="261">
        <v>10478</v>
      </c>
      <c r="E326" s="261" t="s">
        <v>610</v>
      </c>
      <c r="F326" s="261">
        <v>10423.120000000001</v>
      </c>
      <c r="H326" s="261" t="s">
        <v>610</v>
      </c>
      <c r="I326" s="262">
        <f>I325+18</f>
        <v>5718</v>
      </c>
      <c r="K326" s="261">
        <v>321</v>
      </c>
      <c r="L326" s="262">
        <v>2342.02</v>
      </c>
      <c r="M326" s="352"/>
      <c r="N326" s="261">
        <v>322</v>
      </c>
      <c r="O326" s="262">
        <v>3697.65</v>
      </c>
      <c r="P326" s="352"/>
      <c r="Q326" s="261">
        <v>322</v>
      </c>
      <c r="R326" s="262">
        <v>1421</v>
      </c>
      <c r="S326" s="352"/>
      <c r="T326" s="261">
        <v>322</v>
      </c>
      <c r="U326" s="262">
        <v>1422</v>
      </c>
      <c r="V326" s="352"/>
      <c r="W326" s="261">
        <v>322</v>
      </c>
      <c r="X326" s="262">
        <v>2555.4</v>
      </c>
      <c r="Y326" s="352"/>
      <c r="Z326" s="261">
        <v>322</v>
      </c>
      <c r="AA326" s="262">
        <v>2592.13</v>
      </c>
      <c r="AB326" s="352"/>
      <c r="AC326" s="261">
        <v>322</v>
      </c>
      <c r="AD326" s="262">
        <v>8147.5699999999833</v>
      </c>
      <c r="AE326" s="352"/>
      <c r="AF326" s="261">
        <v>322</v>
      </c>
      <c r="AG326" s="262">
        <v>21941.84</v>
      </c>
      <c r="AH326" s="352"/>
      <c r="AI326" s="261">
        <v>322</v>
      </c>
      <c r="AJ326" s="262">
        <v>9402</v>
      </c>
      <c r="AK326" s="352"/>
      <c r="AL326" s="261"/>
      <c r="AM326" s="262"/>
    </row>
    <row r="327" spans="2:39">
      <c r="B327" s="261" t="s">
        <v>611</v>
      </c>
      <c r="C327" s="261">
        <v>10510</v>
      </c>
      <c r="E327" s="261" t="s">
        <v>611</v>
      </c>
      <c r="F327" s="261">
        <v>10454.44</v>
      </c>
      <c r="H327" s="261" t="s">
        <v>611</v>
      </c>
      <c r="I327" s="262">
        <v>5735</v>
      </c>
      <c r="K327" s="261">
        <v>322</v>
      </c>
      <c r="L327" s="262">
        <v>2349.33</v>
      </c>
      <c r="M327" s="352"/>
      <c r="N327" s="261">
        <v>323</v>
      </c>
      <c r="O327" s="262">
        <v>3708.75</v>
      </c>
      <c r="P327" s="352"/>
      <c r="Q327" s="261">
        <v>323</v>
      </c>
      <c r="R327" s="262">
        <v>1425</v>
      </c>
      <c r="S327" s="352"/>
      <c r="T327" s="261">
        <v>323</v>
      </c>
      <c r="U327" s="262">
        <v>1426</v>
      </c>
      <c r="V327" s="352"/>
      <c r="W327" s="261">
        <v>323</v>
      </c>
      <c r="X327" s="262">
        <v>2562.9</v>
      </c>
      <c r="Y327" s="352"/>
      <c r="Z327" s="261">
        <v>323</v>
      </c>
      <c r="AA327" s="262">
        <v>2599.64</v>
      </c>
      <c r="AB327" s="352"/>
      <c r="AC327" s="261">
        <v>323</v>
      </c>
      <c r="AD327" s="262">
        <v>8173.2299999999832</v>
      </c>
      <c r="AE327" s="352"/>
      <c r="AF327" s="261">
        <v>323</v>
      </c>
      <c r="AG327" s="262">
        <v>22010.26</v>
      </c>
      <c r="AH327" s="352"/>
      <c r="AI327" s="261">
        <v>323</v>
      </c>
      <c r="AJ327" s="262">
        <v>9431</v>
      </c>
      <c r="AK327" s="352"/>
      <c r="AL327" s="261"/>
      <c r="AM327" s="262"/>
    </row>
    <row r="328" spans="2:39">
      <c r="B328" s="261" t="s">
        <v>612</v>
      </c>
      <c r="C328" s="261">
        <v>10541</v>
      </c>
      <c r="E328" s="261" t="s">
        <v>612</v>
      </c>
      <c r="F328" s="261">
        <v>10485.700000000001</v>
      </c>
      <c r="H328" s="261" t="s">
        <v>612</v>
      </c>
      <c r="I328" s="262">
        <f>I327+18</f>
        <v>5753</v>
      </c>
      <c r="K328" s="261">
        <v>323</v>
      </c>
      <c r="L328" s="262">
        <v>2356.63</v>
      </c>
      <c r="M328" s="352"/>
      <c r="N328" s="261">
        <v>324</v>
      </c>
      <c r="O328" s="262">
        <v>3719.85</v>
      </c>
      <c r="P328" s="352"/>
      <c r="Q328" s="261">
        <v>324</v>
      </c>
      <c r="R328" s="262">
        <v>1430</v>
      </c>
      <c r="S328" s="352"/>
      <c r="T328" s="261">
        <v>324</v>
      </c>
      <c r="U328" s="262">
        <v>1430</v>
      </c>
      <c r="V328" s="352"/>
      <c r="W328" s="261">
        <v>324</v>
      </c>
      <c r="X328" s="262">
        <v>2570.4</v>
      </c>
      <c r="Y328" s="352"/>
      <c r="Z328" s="261">
        <v>324</v>
      </c>
      <c r="AA328" s="262">
        <v>2607.16</v>
      </c>
      <c r="AB328" s="352"/>
      <c r="AC328" s="261">
        <v>324</v>
      </c>
      <c r="AD328" s="262">
        <v>8198.889999999983</v>
      </c>
      <c r="AE328" s="352"/>
      <c r="AF328" s="261">
        <v>324</v>
      </c>
      <c r="AG328" s="262">
        <v>22078.69</v>
      </c>
      <c r="AH328" s="352"/>
      <c r="AI328" s="261">
        <v>324</v>
      </c>
      <c r="AJ328" s="262">
        <v>9459</v>
      </c>
      <c r="AK328" s="352"/>
      <c r="AL328" s="261"/>
      <c r="AM328" s="262"/>
    </row>
    <row r="329" spans="2:39">
      <c r="B329" s="261" t="s">
        <v>613</v>
      </c>
      <c r="C329" s="261">
        <v>10573</v>
      </c>
      <c r="E329" s="261" t="s">
        <v>613</v>
      </c>
      <c r="F329" s="261">
        <v>10517.03</v>
      </c>
      <c r="H329" s="261" t="s">
        <v>613</v>
      </c>
      <c r="I329" s="262">
        <v>5771</v>
      </c>
      <c r="K329" s="261">
        <v>324</v>
      </c>
      <c r="L329" s="262">
        <v>2363.94</v>
      </c>
      <c r="M329" s="352"/>
      <c r="N329" s="261">
        <v>325</v>
      </c>
      <c r="O329" s="262">
        <v>3730.95</v>
      </c>
      <c r="P329" s="352"/>
      <c r="Q329" s="261">
        <v>325</v>
      </c>
      <c r="R329" s="262">
        <v>1434</v>
      </c>
      <c r="S329" s="352"/>
      <c r="T329" s="261">
        <v>325</v>
      </c>
      <c r="U329" s="262">
        <v>1434</v>
      </c>
      <c r="V329" s="352"/>
      <c r="W329" s="261">
        <v>325</v>
      </c>
      <c r="X329" s="262">
        <v>2577.9</v>
      </c>
      <c r="Y329" s="352"/>
      <c r="Z329" s="261">
        <v>325</v>
      </c>
      <c r="AA329" s="262">
        <v>2614.67</v>
      </c>
      <c r="AB329" s="352"/>
      <c r="AC329" s="261">
        <v>325</v>
      </c>
      <c r="AD329" s="262">
        <v>8224.5499999999829</v>
      </c>
      <c r="AE329" s="352"/>
      <c r="AF329" s="261">
        <v>325</v>
      </c>
      <c r="AG329" s="262">
        <v>22147.11</v>
      </c>
      <c r="AH329" s="352"/>
      <c r="AI329" s="261">
        <v>325</v>
      </c>
      <c r="AJ329" s="262">
        <v>9488</v>
      </c>
      <c r="AK329" s="352"/>
      <c r="AL329" s="261"/>
      <c r="AM329" s="262"/>
    </row>
    <row r="330" spans="2:39">
      <c r="B330" s="261" t="s">
        <v>614</v>
      </c>
      <c r="C330" s="261">
        <v>10604</v>
      </c>
      <c r="E330" s="261" t="s">
        <v>614</v>
      </c>
      <c r="F330" s="261">
        <v>10548.29</v>
      </c>
      <c r="H330" s="261" t="s">
        <v>614</v>
      </c>
      <c r="I330" s="262">
        <f>I329+18</f>
        <v>5789</v>
      </c>
      <c r="K330" s="261">
        <v>325</v>
      </c>
      <c r="L330" s="262">
        <v>2371.25</v>
      </c>
      <c r="M330" s="352"/>
      <c r="N330" s="261">
        <v>326</v>
      </c>
      <c r="O330" s="262">
        <v>3742.05</v>
      </c>
      <c r="P330" s="352"/>
      <c r="Q330" s="261">
        <v>326</v>
      </c>
      <c r="R330" s="262">
        <v>1438</v>
      </c>
      <c r="S330" s="352"/>
      <c r="T330" s="261">
        <v>326</v>
      </c>
      <c r="U330" s="262">
        <v>1439</v>
      </c>
      <c r="V330" s="352"/>
      <c r="W330" s="261">
        <v>326</v>
      </c>
      <c r="X330" s="262">
        <v>2585.4</v>
      </c>
      <c r="Y330" s="352"/>
      <c r="Z330" s="261">
        <v>326</v>
      </c>
      <c r="AA330" s="262">
        <v>2622.18</v>
      </c>
      <c r="AB330" s="352"/>
      <c r="AC330" s="261">
        <v>326</v>
      </c>
      <c r="AD330" s="262">
        <v>8250.219999999983</v>
      </c>
      <c r="AE330" s="352"/>
      <c r="AF330" s="261">
        <v>326</v>
      </c>
      <c r="AG330" s="262">
        <v>22215.54</v>
      </c>
      <c r="AH330" s="352"/>
      <c r="AI330" s="261">
        <v>326</v>
      </c>
      <c r="AJ330" s="262">
        <v>9516</v>
      </c>
      <c r="AK330" s="352"/>
      <c r="AL330" s="261"/>
      <c r="AM330" s="262"/>
    </row>
    <row r="331" spans="2:39">
      <c r="B331" s="261" t="s">
        <v>615</v>
      </c>
      <c r="C331" s="261">
        <v>10636</v>
      </c>
      <c r="E331" s="261" t="s">
        <v>615</v>
      </c>
      <c r="F331" s="261">
        <v>10579.62</v>
      </c>
      <c r="H331" s="261" t="s">
        <v>615</v>
      </c>
      <c r="I331" s="262">
        <v>5806</v>
      </c>
      <c r="K331" s="261">
        <v>326</v>
      </c>
      <c r="L331" s="262">
        <v>2378.5500000000002</v>
      </c>
      <c r="M331" s="352"/>
      <c r="N331" s="261">
        <v>327</v>
      </c>
      <c r="O331" s="262">
        <v>3753.14</v>
      </c>
      <c r="P331" s="352"/>
      <c r="Q331" s="261">
        <v>327</v>
      </c>
      <c r="R331" s="262">
        <v>1442</v>
      </c>
      <c r="S331" s="352"/>
      <c r="T331" s="261">
        <v>327</v>
      </c>
      <c r="U331" s="262">
        <v>1443</v>
      </c>
      <c r="V331" s="352"/>
      <c r="W331" s="261">
        <v>327</v>
      </c>
      <c r="X331" s="262">
        <v>2593</v>
      </c>
      <c r="Y331" s="352"/>
      <c r="Z331" s="261">
        <v>327</v>
      </c>
      <c r="AA331" s="262">
        <v>2629.69</v>
      </c>
      <c r="AB331" s="352"/>
      <c r="AC331" s="261">
        <v>327</v>
      </c>
      <c r="AD331" s="262">
        <v>8275.8799999999828</v>
      </c>
      <c r="AE331" s="352"/>
      <c r="AF331" s="261">
        <v>327</v>
      </c>
      <c r="AG331" s="262">
        <v>22283.96</v>
      </c>
      <c r="AH331" s="352"/>
      <c r="AI331" s="261">
        <v>327</v>
      </c>
      <c r="AJ331" s="262">
        <v>9544</v>
      </c>
      <c r="AK331" s="352"/>
      <c r="AL331" s="261"/>
      <c r="AM331" s="262"/>
    </row>
    <row r="332" spans="2:39">
      <c r="B332" s="261" t="s">
        <v>616</v>
      </c>
      <c r="C332" s="261">
        <v>10667</v>
      </c>
      <c r="E332" s="261" t="s">
        <v>616</v>
      </c>
      <c r="F332" s="261">
        <v>10610.880000000001</v>
      </c>
      <c r="H332" s="261" t="s">
        <v>616</v>
      </c>
      <c r="I332" s="262">
        <f>I331+18</f>
        <v>5824</v>
      </c>
      <c r="K332" s="261">
        <v>327</v>
      </c>
      <c r="L332" s="262">
        <v>2385.86</v>
      </c>
      <c r="M332" s="352"/>
      <c r="N332" s="261">
        <v>328</v>
      </c>
      <c r="O332" s="262">
        <v>3764.24</v>
      </c>
      <c r="P332" s="352"/>
      <c r="Q332" s="261">
        <v>328</v>
      </c>
      <c r="R332" s="262">
        <v>1446</v>
      </c>
      <c r="S332" s="352"/>
      <c r="T332" s="261">
        <v>328</v>
      </c>
      <c r="U332" s="262">
        <v>1447</v>
      </c>
      <c r="V332" s="352"/>
      <c r="W332" s="261">
        <v>328</v>
      </c>
      <c r="X332" s="262">
        <v>2600.5</v>
      </c>
      <c r="Y332" s="352"/>
      <c r="Z332" s="261">
        <v>328</v>
      </c>
      <c r="AA332" s="262">
        <v>2637.2</v>
      </c>
      <c r="AB332" s="352"/>
      <c r="AC332" s="261">
        <v>328</v>
      </c>
      <c r="AD332" s="262">
        <v>8301.5399999999827</v>
      </c>
      <c r="AE332" s="352"/>
      <c r="AF332" s="261">
        <v>328</v>
      </c>
      <c r="AG332" s="262">
        <v>22352.38</v>
      </c>
      <c r="AH332" s="352"/>
      <c r="AI332" s="261">
        <v>328</v>
      </c>
      <c r="AJ332" s="262">
        <v>9573</v>
      </c>
      <c r="AK332" s="352"/>
      <c r="AL332" s="261"/>
      <c r="AM332" s="262"/>
    </row>
    <row r="333" spans="2:39">
      <c r="B333" s="261" t="s">
        <v>617</v>
      </c>
      <c r="C333" s="261">
        <v>10698</v>
      </c>
      <c r="E333" s="261" t="s">
        <v>617</v>
      </c>
      <c r="F333" s="261">
        <v>10642.21</v>
      </c>
      <c r="H333" s="261" t="s">
        <v>617</v>
      </c>
      <c r="I333" s="262">
        <v>5841</v>
      </c>
      <c r="K333" s="261">
        <v>328</v>
      </c>
      <c r="L333" s="262">
        <v>2393.16</v>
      </c>
      <c r="M333" s="352"/>
      <c r="N333" s="261">
        <v>329</v>
      </c>
      <c r="O333" s="262">
        <v>3775.34</v>
      </c>
      <c r="P333" s="352"/>
      <c r="Q333" s="261">
        <v>329</v>
      </c>
      <c r="R333" s="262">
        <v>1450</v>
      </c>
      <c r="S333" s="352"/>
      <c r="T333" s="261">
        <v>329</v>
      </c>
      <c r="U333" s="262">
        <v>1451</v>
      </c>
      <c r="V333" s="352"/>
      <c r="W333" s="261">
        <v>329</v>
      </c>
      <c r="X333" s="262">
        <v>2608</v>
      </c>
      <c r="Y333" s="352"/>
      <c r="Z333" s="261">
        <v>329</v>
      </c>
      <c r="AA333" s="262">
        <v>2644.72</v>
      </c>
      <c r="AB333" s="352"/>
      <c r="AC333" s="261">
        <v>329</v>
      </c>
      <c r="AD333" s="262">
        <v>8327.1999999999825</v>
      </c>
      <c r="AE333" s="352"/>
      <c r="AF333" s="261">
        <v>329</v>
      </c>
      <c r="AG333" s="262">
        <v>22420.81</v>
      </c>
      <c r="AH333" s="352"/>
      <c r="AI333" s="261">
        <v>329</v>
      </c>
      <c r="AJ333" s="262">
        <v>9601</v>
      </c>
      <c r="AK333" s="352"/>
      <c r="AL333" s="261"/>
      <c r="AM333" s="262"/>
    </row>
    <row r="334" spans="2:39">
      <c r="B334" s="261" t="s">
        <v>618</v>
      </c>
      <c r="C334" s="261">
        <v>10729</v>
      </c>
      <c r="E334" s="261" t="s">
        <v>618</v>
      </c>
      <c r="F334" s="261">
        <v>10673.47</v>
      </c>
      <c r="H334" s="261" t="s">
        <v>618</v>
      </c>
      <c r="I334" s="262">
        <f>I333+18</f>
        <v>5859</v>
      </c>
      <c r="K334" s="261">
        <v>329</v>
      </c>
      <c r="L334" s="262">
        <v>2400.4699999999998</v>
      </c>
      <c r="M334" s="352"/>
      <c r="N334" s="261">
        <v>330</v>
      </c>
      <c r="O334" s="262">
        <v>3786.44</v>
      </c>
      <c r="P334" s="352"/>
      <c r="Q334" s="261">
        <v>330</v>
      </c>
      <c r="R334" s="262">
        <v>1454</v>
      </c>
      <c r="S334" s="352"/>
      <c r="T334" s="261">
        <v>330</v>
      </c>
      <c r="U334" s="262">
        <v>1455</v>
      </c>
      <c r="V334" s="352"/>
      <c r="W334" s="261">
        <v>330</v>
      </c>
      <c r="X334" s="262">
        <v>2615.5</v>
      </c>
      <c r="Y334" s="352"/>
      <c r="Z334" s="261">
        <v>330</v>
      </c>
      <c r="AA334" s="262">
        <v>2652.23</v>
      </c>
      <c r="AB334" s="352"/>
      <c r="AC334" s="261">
        <v>330</v>
      </c>
      <c r="AD334" s="262">
        <v>8352.8599999999824</v>
      </c>
      <c r="AE334" s="352"/>
      <c r="AF334" s="261">
        <v>330</v>
      </c>
      <c r="AG334" s="262">
        <v>22489.23</v>
      </c>
      <c r="AH334" s="352"/>
      <c r="AI334" s="261">
        <v>330</v>
      </c>
      <c r="AJ334" s="262">
        <v>9630</v>
      </c>
      <c r="AK334" s="352"/>
      <c r="AL334" s="261"/>
      <c r="AM334" s="262"/>
    </row>
    <row r="335" spans="2:39">
      <c r="B335" s="261" t="s">
        <v>619</v>
      </c>
      <c r="C335" s="261">
        <v>10761</v>
      </c>
      <c r="E335" s="261" t="s">
        <v>619</v>
      </c>
      <c r="F335" s="261">
        <v>10704.8</v>
      </c>
      <c r="H335" s="261" t="s">
        <v>619</v>
      </c>
      <c r="I335" s="262">
        <v>5877</v>
      </c>
      <c r="K335" s="261">
        <v>330</v>
      </c>
      <c r="L335" s="262">
        <v>2407.77</v>
      </c>
      <c r="M335" s="352"/>
      <c r="N335" s="261">
        <v>331</v>
      </c>
      <c r="O335" s="262">
        <v>3797.54</v>
      </c>
      <c r="P335" s="352"/>
      <c r="Q335" s="261">
        <v>331</v>
      </c>
      <c r="R335" s="262">
        <v>1458</v>
      </c>
      <c r="S335" s="352"/>
      <c r="T335" s="261">
        <v>331</v>
      </c>
      <c r="U335" s="262">
        <v>1459</v>
      </c>
      <c r="V335" s="352"/>
      <c r="W335" s="261">
        <v>331</v>
      </c>
      <c r="X335" s="262">
        <v>2623</v>
      </c>
      <c r="Y335" s="352"/>
      <c r="Z335" s="261">
        <v>331</v>
      </c>
      <c r="AA335" s="262">
        <v>2659.74</v>
      </c>
      <c r="AB335" s="352"/>
      <c r="AC335" s="261">
        <v>331</v>
      </c>
      <c r="AD335" s="262">
        <v>8378.5299999999825</v>
      </c>
      <c r="AE335" s="352"/>
      <c r="AF335" s="261">
        <v>331</v>
      </c>
      <c r="AG335" s="262">
        <v>22557.66</v>
      </c>
      <c r="AH335" s="352"/>
      <c r="AI335" s="261">
        <v>331</v>
      </c>
      <c r="AJ335" s="262">
        <v>9658</v>
      </c>
      <c r="AK335" s="352"/>
      <c r="AL335" s="261"/>
      <c r="AM335" s="262"/>
    </row>
    <row r="336" spans="2:39">
      <c r="B336" s="261" t="s">
        <v>620</v>
      </c>
      <c r="C336" s="261">
        <v>10792</v>
      </c>
      <c r="E336" s="261" t="s">
        <v>620</v>
      </c>
      <c r="F336" s="261">
        <v>10736.06</v>
      </c>
      <c r="H336" s="261" t="s">
        <v>620</v>
      </c>
      <c r="I336" s="262">
        <f>I335+18</f>
        <v>5895</v>
      </c>
      <c r="K336" s="261">
        <v>331</v>
      </c>
      <c r="L336" s="262">
        <v>2415.08</v>
      </c>
      <c r="M336" s="352"/>
      <c r="N336" s="261">
        <v>332</v>
      </c>
      <c r="O336" s="262">
        <v>3808.64</v>
      </c>
      <c r="P336" s="352"/>
      <c r="Q336" s="261">
        <v>332</v>
      </c>
      <c r="R336" s="262">
        <v>1463</v>
      </c>
      <c r="S336" s="352"/>
      <c r="T336" s="261">
        <v>332</v>
      </c>
      <c r="U336" s="262">
        <v>1463</v>
      </c>
      <c r="V336" s="352"/>
      <c r="W336" s="261">
        <v>332</v>
      </c>
      <c r="X336" s="262">
        <v>2630.5</v>
      </c>
      <c r="Y336" s="352"/>
      <c r="Z336" s="261">
        <v>332</v>
      </c>
      <c r="AA336" s="262">
        <v>2667.25</v>
      </c>
      <c r="AB336" s="352"/>
      <c r="AC336" s="261">
        <v>332</v>
      </c>
      <c r="AD336" s="262">
        <v>8404.1899999999823</v>
      </c>
      <c r="AE336" s="352"/>
      <c r="AF336" s="261">
        <v>332</v>
      </c>
      <c r="AG336" s="262">
        <v>22626.080000000002</v>
      </c>
      <c r="AH336" s="352"/>
      <c r="AI336" s="261">
        <v>332</v>
      </c>
      <c r="AJ336" s="262">
        <v>9686</v>
      </c>
      <c r="AK336" s="352"/>
      <c r="AL336" s="261"/>
      <c r="AM336" s="262"/>
    </row>
    <row r="337" spans="2:39">
      <c r="B337" s="261" t="s">
        <v>621</v>
      </c>
      <c r="C337" s="261">
        <v>10824</v>
      </c>
      <c r="E337" s="261" t="s">
        <v>621</v>
      </c>
      <c r="F337" s="261">
        <v>10767.38</v>
      </c>
      <c r="H337" s="261" t="s">
        <v>621</v>
      </c>
      <c r="I337" s="262">
        <v>5912</v>
      </c>
      <c r="K337" s="261">
        <v>332</v>
      </c>
      <c r="L337" s="262">
        <v>2422.38</v>
      </c>
      <c r="M337" s="352"/>
      <c r="N337" s="261">
        <v>333</v>
      </c>
      <c r="O337" s="262">
        <v>3819.74</v>
      </c>
      <c r="P337" s="352"/>
      <c r="Q337" s="261">
        <v>333</v>
      </c>
      <c r="R337" s="262">
        <v>1467</v>
      </c>
      <c r="S337" s="352"/>
      <c r="T337" s="261">
        <v>333</v>
      </c>
      <c r="U337" s="262">
        <v>1467</v>
      </c>
      <c r="V337" s="352"/>
      <c r="W337" s="261">
        <v>333</v>
      </c>
      <c r="X337" s="262">
        <v>2638</v>
      </c>
      <c r="Y337" s="352"/>
      <c r="Z337" s="261">
        <v>333</v>
      </c>
      <c r="AA337" s="262">
        <v>2674.76</v>
      </c>
      <c r="AB337" s="352"/>
      <c r="AC337" s="261">
        <v>333</v>
      </c>
      <c r="AD337" s="262">
        <v>8429.8499999999822</v>
      </c>
      <c r="AE337" s="352"/>
      <c r="AF337" s="261">
        <v>333</v>
      </c>
      <c r="AG337" s="262">
        <v>22694.5</v>
      </c>
      <c r="AH337" s="352"/>
      <c r="AI337" s="261">
        <v>333</v>
      </c>
      <c r="AJ337" s="262">
        <v>9715</v>
      </c>
      <c r="AK337" s="352"/>
      <c r="AL337" s="261"/>
      <c r="AM337" s="262"/>
    </row>
    <row r="338" spans="2:39">
      <c r="B338" s="261" t="s">
        <v>622</v>
      </c>
      <c r="C338" s="261">
        <v>10855</v>
      </c>
      <c r="E338" s="261" t="s">
        <v>622</v>
      </c>
      <c r="F338" s="261">
        <v>10798.64</v>
      </c>
      <c r="H338" s="261" t="s">
        <v>622</v>
      </c>
      <c r="I338" s="262">
        <f>I337+18</f>
        <v>5930</v>
      </c>
      <c r="K338" s="261">
        <v>333</v>
      </c>
      <c r="L338" s="262">
        <v>2429.69</v>
      </c>
      <c r="M338" s="352"/>
      <c r="N338" s="261">
        <v>334</v>
      </c>
      <c r="O338" s="262">
        <v>3830.83</v>
      </c>
      <c r="P338" s="352"/>
      <c r="Q338" s="261">
        <v>334</v>
      </c>
      <c r="R338" s="262">
        <v>1471</v>
      </c>
      <c r="S338" s="352"/>
      <c r="T338" s="261">
        <v>334</v>
      </c>
      <c r="U338" s="262">
        <v>1472</v>
      </c>
      <c r="V338" s="352"/>
      <c r="W338" s="261">
        <v>334</v>
      </c>
      <c r="X338" s="262">
        <v>2645.6</v>
      </c>
      <c r="Y338" s="352"/>
      <c r="Z338" s="261">
        <v>334</v>
      </c>
      <c r="AA338" s="262">
        <v>2682.28</v>
      </c>
      <c r="AB338" s="352"/>
      <c r="AC338" s="261">
        <v>334</v>
      </c>
      <c r="AD338" s="262">
        <v>8455.509999999982</v>
      </c>
      <c r="AE338" s="352"/>
      <c r="AF338" s="261">
        <v>334</v>
      </c>
      <c r="AG338" s="262">
        <v>22762.93</v>
      </c>
      <c r="AH338" s="352"/>
      <c r="AI338" s="261">
        <v>334</v>
      </c>
      <c r="AJ338" s="262">
        <v>9743</v>
      </c>
      <c r="AK338" s="352"/>
      <c r="AL338" s="261"/>
      <c r="AM338" s="262"/>
    </row>
    <row r="339" spans="2:39">
      <c r="B339" s="261" t="s">
        <v>623</v>
      </c>
      <c r="C339" s="261">
        <v>10887</v>
      </c>
      <c r="E339" s="261" t="s">
        <v>623</v>
      </c>
      <c r="F339" s="261">
        <v>10829.97</v>
      </c>
      <c r="H339" s="261" t="s">
        <v>623</v>
      </c>
      <c r="I339" s="262">
        <v>5947</v>
      </c>
      <c r="K339" s="261">
        <v>334</v>
      </c>
      <c r="L339" s="262">
        <v>2436.9899999999998</v>
      </c>
      <c r="M339" s="352"/>
      <c r="N339" s="261">
        <v>335</v>
      </c>
      <c r="O339" s="262">
        <v>3841.98</v>
      </c>
      <c r="P339" s="352"/>
      <c r="Q339" s="261">
        <v>335</v>
      </c>
      <c r="R339" s="262">
        <v>1475</v>
      </c>
      <c r="S339" s="352"/>
      <c r="T339" s="261">
        <v>335</v>
      </c>
      <c r="U339" s="262">
        <v>1476</v>
      </c>
      <c r="V339" s="352"/>
      <c r="W339" s="261">
        <v>335</v>
      </c>
      <c r="X339" s="262">
        <v>2653.1</v>
      </c>
      <c r="Y339" s="352"/>
      <c r="Z339" s="261">
        <v>335</v>
      </c>
      <c r="AA339" s="262">
        <v>2689.79</v>
      </c>
      <c r="AB339" s="352"/>
      <c r="AC339" s="261">
        <v>335</v>
      </c>
      <c r="AD339" s="262">
        <v>8481.1699999999819</v>
      </c>
      <c r="AE339" s="352"/>
      <c r="AF339" s="261">
        <v>335</v>
      </c>
      <c r="AG339" s="262">
        <v>22831.35</v>
      </c>
      <c r="AH339" s="352"/>
      <c r="AI339" s="261">
        <v>335</v>
      </c>
      <c r="AJ339" s="262">
        <v>9772</v>
      </c>
      <c r="AK339" s="352"/>
      <c r="AL339" s="261"/>
      <c r="AM339" s="262"/>
    </row>
    <row r="340" spans="2:39">
      <c r="B340" s="261" t="s">
        <v>624</v>
      </c>
      <c r="C340" s="261">
        <v>10918</v>
      </c>
      <c r="E340" s="261" t="s">
        <v>624</v>
      </c>
      <c r="F340" s="261">
        <v>10861.23</v>
      </c>
      <c r="H340" s="261" t="s">
        <v>624</v>
      </c>
      <c r="I340" s="262">
        <f>I339+18</f>
        <v>5965</v>
      </c>
      <c r="K340" s="261">
        <v>335</v>
      </c>
      <c r="L340" s="262">
        <v>2444.3000000000002</v>
      </c>
      <c r="M340" s="352"/>
      <c r="N340" s="261">
        <v>336</v>
      </c>
      <c r="O340" s="262">
        <v>3853.03</v>
      </c>
      <c r="P340" s="352"/>
      <c r="Q340" s="261">
        <v>336</v>
      </c>
      <c r="R340" s="262">
        <v>1479</v>
      </c>
      <c r="S340" s="352"/>
      <c r="T340" s="261">
        <v>336</v>
      </c>
      <c r="U340" s="262">
        <v>1480</v>
      </c>
      <c r="V340" s="352"/>
      <c r="W340" s="261">
        <v>336</v>
      </c>
      <c r="X340" s="262">
        <v>2660.6</v>
      </c>
      <c r="Y340" s="352"/>
      <c r="Z340" s="261">
        <v>336</v>
      </c>
      <c r="AA340" s="262">
        <v>2697.3</v>
      </c>
      <c r="AB340" s="352"/>
      <c r="AC340" s="261">
        <v>336</v>
      </c>
      <c r="AD340" s="262">
        <v>8506.839999999982</v>
      </c>
      <c r="AE340" s="352"/>
      <c r="AF340" s="261">
        <v>336</v>
      </c>
      <c r="AG340" s="262">
        <v>22899.78</v>
      </c>
      <c r="AH340" s="352"/>
      <c r="AI340" s="261">
        <v>336</v>
      </c>
      <c r="AJ340" s="262">
        <v>9800</v>
      </c>
      <c r="AK340" s="352"/>
      <c r="AL340" s="261"/>
      <c r="AM340" s="262"/>
    </row>
    <row r="341" spans="2:39">
      <c r="B341" s="261" t="s">
        <v>625</v>
      </c>
      <c r="C341" s="261">
        <v>10950</v>
      </c>
      <c r="E341" s="261" t="s">
        <v>625</v>
      </c>
      <c r="F341" s="261">
        <v>10892.55</v>
      </c>
      <c r="H341" s="261" t="s">
        <v>625</v>
      </c>
      <c r="I341" s="262">
        <v>5982</v>
      </c>
      <c r="K341" s="261">
        <v>336</v>
      </c>
      <c r="L341" s="262">
        <v>2451.6</v>
      </c>
      <c r="M341" s="352"/>
      <c r="N341" s="261">
        <v>337</v>
      </c>
      <c r="O341" s="262">
        <v>3864.13</v>
      </c>
      <c r="P341" s="352"/>
      <c r="Q341" s="261">
        <v>337</v>
      </c>
      <c r="R341" s="262">
        <v>1483</v>
      </c>
      <c r="S341" s="352"/>
      <c r="T341" s="261">
        <v>337</v>
      </c>
      <c r="U341" s="262">
        <v>1484</v>
      </c>
      <c r="V341" s="352"/>
      <c r="W341" s="261">
        <v>337</v>
      </c>
      <c r="X341" s="262">
        <v>2668.1</v>
      </c>
      <c r="Y341" s="352"/>
      <c r="Z341" s="261">
        <v>337</v>
      </c>
      <c r="AA341" s="262">
        <v>2704.82</v>
      </c>
      <c r="AB341" s="352"/>
      <c r="AC341" s="261">
        <v>337</v>
      </c>
      <c r="AD341" s="262">
        <v>8532.4999999999818</v>
      </c>
      <c r="AE341" s="352"/>
      <c r="AF341" s="261">
        <v>337</v>
      </c>
      <c r="AG341" s="262">
        <v>22968.2</v>
      </c>
      <c r="AH341" s="352"/>
      <c r="AI341" s="261">
        <v>337</v>
      </c>
      <c r="AJ341" s="262">
        <v>9828</v>
      </c>
      <c r="AK341" s="352"/>
      <c r="AL341" s="261"/>
      <c r="AM341" s="262"/>
    </row>
    <row r="342" spans="2:39">
      <c r="B342" s="261" t="s">
        <v>626</v>
      </c>
      <c r="C342" s="261">
        <v>10981</v>
      </c>
      <c r="E342" s="261" t="s">
        <v>626</v>
      </c>
      <c r="F342" s="261">
        <v>10923.81</v>
      </c>
      <c r="H342" s="261" t="s">
        <v>626</v>
      </c>
      <c r="I342" s="262">
        <f>I341+18</f>
        <v>6000</v>
      </c>
      <c r="K342" s="261">
        <v>337</v>
      </c>
      <c r="L342" s="262">
        <v>2458.91</v>
      </c>
      <c r="M342" s="352"/>
      <c r="N342" s="261">
        <v>338</v>
      </c>
      <c r="O342" s="262">
        <v>3875.23</v>
      </c>
      <c r="P342" s="352"/>
      <c r="Q342" s="261">
        <v>338</v>
      </c>
      <c r="R342" s="262">
        <v>1487</v>
      </c>
      <c r="S342" s="352"/>
      <c r="T342" s="261">
        <v>338</v>
      </c>
      <c r="U342" s="262">
        <v>1488</v>
      </c>
      <c r="V342" s="352"/>
      <c r="W342" s="261">
        <v>338</v>
      </c>
      <c r="X342" s="262">
        <v>2675.6</v>
      </c>
      <c r="Y342" s="352"/>
      <c r="Z342" s="261">
        <v>338</v>
      </c>
      <c r="AA342" s="262">
        <v>2712.33</v>
      </c>
      <c r="AB342" s="352"/>
      <c r="AC342" s="261">
        <v>338</v>
      </c>
      <c r="AD342" s="262">
        <v>8558.1599999999817</v>
      </c>
      <c r="AE342" s="352"/>
      <c r="AF342" s="261">
        <v>338</v>
      </c>
      <c r="AG342" s="262">
        <v>23036.62</v>
      </c>
      <c r="AH342" s="352"/>
      <c r="AI342" s="261">
        <v>338</v>
      </c>
      <c r="AJ342" s="262">
        <v>9857</v>
      </c>
      <c r="AK342" s="352"/>
      <c r="AL342" s="261"/>
      <c r="AM342" s="262"/>
    </row>
    <row r="343" spans="2:39">
      <c r="B343" s="261" t="s">
        <v>627</v>
      </c>
      <c r="C343" s="261">
        <v>11012</v>
      </c>
      <c r="E343" s="261" t="s">
        <v>627</v>
      </c>
      <c r="F343" s="261">
        <v>10955.15</v>
      </c>
      <c r="H343" s="261" t="s">
        <v>627</v>
      </c>
      <c r="I343" s="262">
        <v>6018</v>
      </c>
      <c r="K343" s="261">
        <v>338</v>
      </c>
      <c r="L343" s="262">
        <v>2466.2199999999998</v>
      </c>
      <c r="M343" s="352"/>
      <c r="N343" s="261">
        <v>339</v>
      </c>
      <c r="O343" s="262">
        <v>3886.33</v>
      </c>
      <c r="P343" s="352"/>
      <c r="Q343" s="261">
        <v>339</v>
      </c>
      <c r="R343" s="262">
        <v>1491</v>
      </c>
      <c r="S343" s="352"/>
      <c r="T343" s="261">
        <v>339</v>
      </c>
      <c r="U343" s="262">
        <v>1492</v>
      </c>
      <c r="V343" s="352"/>
      <c r="W343" s="261">
        <v>339</v>
      </c>
      <c r="X343" s="262">
        <v>2683.1</v>
      </c>
      <c r="Y343" s="352"/>
      <c r="Z343" s="261">
        <v>339</v>
      </c>
      <c r="AA343" s="262">
        <v>2719.84</v>
      </c>
      <c r="AB343" s="352"/>
      <c r="AC343" s="261">
        <v>339</v>
      </c>
      <c r="AD343" s="262">
        <v>8583.8199999999815</v>
      </c>
      <c r="AE343" s="352"/>
      <c r="AF343" s="261">
        <v>339</v>
      </c>
      <c r="AG343" s="262">
        <v>23105.05</v>
      </c>
      <c r="AH343" s="352"/>
      <c r="AI343" s="261">
        <v>339</v>
      </c>
      <c r="AJ343" s="262">
        <v>9885</v>
      </c>
      <c r="AK343" s="352"/>
      <c r="AL343" s="261"/>
      <c r="AM343" s="262"/>
    </row>
    <row r="344" spans="2:39">
      <c r="B344" s="261" t="s">
        <v>628</v>
      </c>
      <c r="C344" s="261">
        <v>11043</v>
      </c>
      <c r="E344" s="261" t="s">
        <v>628</v>
      </c>
      <c r="F344" s="261">
        <v>10986.41</v>
      </c>
      <c r="H344" s="261" t="s">
        <v>628</v>
      </c>
      <c r="I344" s="262">
        <f>I343+18</f>
        <v>6036</v>
      </c>
      <c r="K344" s="261">
        <v>339</v>
      </c>
      <c r="L344" s="262">
        <v>2473.52</v>
      </c>
      <c r="M344" s="352"/>
      <c r="N344" s="261">
        <v>340</v>
      </c>
      <c r="O344" s="262">
        <v>3897.42</v>
      </c>
      <c r="P344" s="352"/>
      <c r="Q344" s="261">
        <v>340</v>
      </c>
      <c r="R344" s="262">
        <v>1496</v>
      </c>
      <c r="S344" s="352"/>
      <c r="T344" s="261">
        <v>340</v>
      </c>
      <c r="U344" s="262">
        <v>1496</v>
      </c>
      <c r="V344" s="352"/>
      <c r="W344" s="261">
        <v>340</v>
      </c>
      <c r="X344" s="262">
        <v>2690.6</v>
      </c>
      <c r="Y344" s="352"/>
      <c r="Z344" s="261">
        <v>340</v>
      </c>
      <c r="AA344" s="262">
        <v>2727.35</v>
      </c>
      <c r="AB344" s="352"/>
      <c r="AC344" s="261">
        <v>340</v>
      </c>
      <c r="AD344" s="262">
        <v>8609.4799999999814</v>
      </c>
      <c r="AE344" s="352"/>
      <c r="AF344" s="261">
        <v>340</v>
      </c>
      <c r="AG344" s="262">
        <v>23173.47</v>
      </c>
      <c r="AH344" s="352"/>
      <c r="AI344" s="261">
        <v>340</v>
      </c>
      <c r="AJ344" s="262">
        <v>9914</v>
      </c>
      <c r="AK344" s="352"/>
      <c r="AL344" s="261"/>
      <c r="AM344" s="262"/>
    </row>
    <row r="345" spans="2:39">
      <c r="B345" s="261" t="s">
        <v>629</v>
      </c>
      <c r="C345" s="261">
        <v>11075</v>
      </c>
      <c r="E345" s="261" t="s">
        <v>629</v>
      </c>
      <c r="F345" s="261">
        <v>11017.73</v>
      </c>
      <c r="H345" s="261" t="s">
        <v>629</v>
      </c>
      <c r="I345" s="262">
        <v>6053</v>
      </c>
      <c r="K345" s="261">
        <v>340</v>
      </c>
      <c r="L345" s="262">
        <v>2480.83</v>
      </c>
      <c r="M345" s="352"/>
      <c r="N345" s="261">
        <v>341</v>
      </c>
      <c r="O345" s="262">
        <v>3908.52</v>
      </c>
      <c r="P345" s="352"/>
      <c r="Q345" s="261">
        <v>341</v>
      </c>
      <c r="R345" s="262">
        <v>1500</v>
      </c>
      <c r="S345" s="352"/>
      <c r="T345" s="261">
        <v>341</v>
      </c>
      <c r="U345" s="262">
        <v>1501</v>
      </c>
      <c r="V345" s="352"/>
      <c r="W345" s="261">
        <v>341</v>
      </c>
      <c r="X345" s="262">
        <v>2698.1</v>
      </c>
      <c r="Y345" s="352"/>
      <c r="Z345" s="261">
        <v>341</v>
      </c>
      <c r="AA345" s="262">
        <v>2734.86</v>
      </c>
      <c r="AB345" s="352"/>
      <c r="AC345" s="261">
        <v>341</v>
      </c>
      <c r="AD345" s="262">
        <v>8635.1499999999814</v>
      </c>
      <c r="AE345" s="352"/>
      <c r="AF345" s="261">
        <v>341</v>
      </c>
      <c r="AG345" s="262">
        <v>23241.9</v>
      </c>
      <c r="AH345" s="352"/>
      <c r="AI345" s="261">
        <v>341</v>
      </c>
      <c r="AJ345" s="262">
        <v>9942</v>
      </c>
      <c r="AK345" s="352"/>
      <c r="AL345" s="261"/>
      <c r="AM345" s="262"/>
    </row>
    <row r="346" spans="2:39">
      <c r="B346" s="261" t="s">
        <v>630</v>
      </c>
      <c r="C346" s="261">
        <v>11106</v>
      </c>
      <c r="E346" s="261" t="s">
        <v>630</v>
      </c>
      <c r="F346" s="261">
        <v>11048.99</v>
      </c>
      <c r="H346" s="261" t="s">
        <v>630</v>
      </c>
      <c r="I346" s="262">
        <f>I345+18</f>
        <v>6071</v>
      </c>
      <c r="K346" s="261">
        <v>341</v>
      </c>
      <c r="L346" s="262">
        <v>2488.13</v>
      </c>
      <c r="M346" s="352"/>
      <c r="N346" s="261">
        <v>342</v>
      </c>
      <c r="O346" s="262">
        <v>3919.62</v>
      </c>
      <c r="P346" s="352"/>
      <c r="Q346" s="261">
        <v>342</v>
      </c>
      <c r="R346" s="262">
        <v>1504</v>
      </c>
      <c r="S346" s="352"/>
      <c r="T346" s="261">
        <v>342</v>
      </c>
      <c r="U346" s="262">
        <v>1505</v>
      </c>
      <c r="V346" s="352"/>
      <c r="W346" s="261">
        <v>342</v>
      </c>
      <c r="X346" s="262">
        <v>2705.7</v>
      </c>
      <c r="Y346" s="352"/>
      <c r="Z346" s="261">
        <v>342</v>
      </c>
      <c r="AA346" s="262">
        <v>2742.38</v>
      </c>
      <c r="AB346" s="352"/>
      <c r="AC346" s="261">
        <v>342</v>
      </c>
      <c r="AD346" s="262">
        <v>8660.8099999999813</v>
      </c>
      <c r="AE346" s="352"/>
      <c r="AF346" s="261">
        <v>342</v>
      </c>
      <c r="AG346" s="262">
        <v>23310.32</v>
      </c>
      <c r="AH346" s="352"/>
      <c r="AI346" s="261">
        <v>342</v>
      </c>
      <c r="AJ346" s="262">
        <v>9970</v>
      </c>
      <c r="AK346" s="352"/>
      <c r="AL346" s="261"/>
      <c r="AM346" s="262"/>
    </row>
    <row r="347" spans="2:39">
      <c r="B347" s="261" t="s">
        <v>631</v>
      </c>
      <c r="C347" s="261">
        <v>11138</v>
      </c>
      <c r="E347" s="261" t="s">
        <v>631</v>
      </c>
      <c r="F347" s="261">
        <v>11080.32</v>
      </c>
      <c r="H347" s="261" t="s">
        <v>631</v>
      </c>
      <c r="I347" s="262">
        <v>6088</v>
      </c>
      <c r="K347" s="261">
        <v>342</v>
      </c>
      <c r="L347" s="262">
        <v>2495.44</v>
      </c>
      <c r="M347" s="352"/>
      <c r="N347" s="261">
        <v>343</v>
      </c>
      <c r="O347" s="262">
        <v>3930.72</v>
      </c>
      <c r="P347" s="352"/>
      <c r="Q347" s="261">
        <v>343</v>
      </c>
      <c r="R347" s="262">
        <v>1508</v>
      </c>
      <c r="S347" s="352"/>
      <c r="T347" s="261">
        <v>343</v>
      </c>
      <c r="U347" s="262">
        <v>1509</v>
      </c>
      <c r="V347" s="352"/>
      <c r="W347" s="261">
        <v>343</v>
      </c>
      <c r="X347" s="262">
        <v>2713.2</v>
      </c>
      <c r="Y347" s="352"/>
      <c r="Z347" s="261">
        <v>343</v>
      </c>
      <c r="AA347" s="262">
        <v>2749.89</v>
      </c>
      <c r="AB347" s="352"/>
      <c r="AC347" s="261">
        <v>343</v>
      </c>
      <c r="AD347" s="262">
        <v>8686.4699999999812</v>
      </c>
      <c r="AE347" s="352"/>
      <c r="AF347" s="261">
        <v>343</v>
      </c>
      <c r="AG347" s="262">
        <v>23378.74</v>
      </c>
      <c r="AH347" s="352"/>
      <c r="AI347" s="261">
        <v>343</v>
      </c>
      <c r="AJ347" s="262">
        <v>9999</v>
      </c>
      <c r="AK347" s="352"/>
      <c r="AL347" s="261"/>
      <c r="AM347" s="262"/>
    </row>
    <row r="348" spans="2:39">
      <c r="B348" s="261" t="s">
        <v>632</v>
      </c>
      <c r="C348" s="261">
        <v>11169</v>
      </c>
      <c r="E348" s="261" t="s">
        <v>632</v>
      </c>
      <c r="F348" s="261">
        <v>11111.58</v>
      </c>
      <c r="H348" s="261" t="s">
        <v>632</v>
      </c>
      <c r="I348" s="262">
        <f>I347+18</f>
        <v>6106</v>
      </c>
      <c r="K348" s="261">
        <v>343</v>
      </c>
      <c r="L348" s="262">
        <v>2502.7399999999998</v>
      </c>
      <c r="M348" s="352"/>
      <c r="N348" s="261">
        <v>344</v>
      </c>
      <c r="O348" s="262">
        <v>3941.82</v>
      </c>
      <c r="P348" s="352"/>
      <c r="Q348" s="261">
        <v>344</v>
      </c>
      <c r="R348" s="262">
        <v>1512</v>
      </c>
      <c r="S348" s="352"/>
      <c r="T348" s="261">
        <v>344</v>
      </c>
      <c r="U348" s="262">
        <v>1513</v>
      </c>
      <c r="V348" s="352"/>
      <c r="W348" s="261">
        <v>344</v>
      </c>
      <c r="X348" s="262">
        <v>2720.7</v>
      </c>
      <c r="Y348" s="352"/>
      <c r="Z348" s="261">
        <v>344</v>
      </c>
      <c r="AA348" s="262">
        <v>2757.4</v>
      </c>
      <c r="AB348" s="352"/>
      <c r="AC348" s="261">
        <v>344</v>
      </c>
      <c r="AD348" s="262">
        <v>8712.129999999981</v>
      </c>
      <c r="AE348" s="352"/>
      <c r="AF348" s="261">
        <v>344</v>
      </c>
      <c r="AG348" s="262">
        <v>23447.17</v>
      </c>
      <c r="AH348" s="352"/>
      <c r="AI348" s="261">
        <v>344</v>
      </c>
      <c r="AJ348" s="262">
        <v>10027</v>
      </c>
      <c r="AK348" s="352"/>
      <c r="AL348" s="261"/>
      <c r="AM348" s="262"/>
    </row>
    <row r="349" spans="2:39">
      <c r="B349" s="261" t="s">
        <v>633</v>
      </c>
      <c r="C349" s="261">
        <v>11201</v>
      </c>
      <c r="E349" s="261" t="s">
        <v>633</v>
      </c>
      <c r="F349" s="261">
        <v>11142.91</v>
      </c>
      <c r="H349" s="261" t="s">
        <v>633</v>
      </c>
      <c r="I349" s="262">
        <v>6124</v>
      </c>
      <c r="K349" s="261">
        <v>344</v>
      </c>
      <c r="L349" s="262">
        <v>2510.04</v>
      </c>
      <c r="M349" s="352"/>
      <c r="N349" s="261">
        <v>345</v>
      </c>
      <c r="O349" s="262">
        <v>3952.92</v>
      </c>
      <c r="P349" s="352"/>
      <c r="Q349" s="261">
        <v>345</v>
      </c>
      <c r="R349" s="262">
        <v>1516</v>
      </c>
      <c r="S349" s="352"/>
      <c r="T349" s="261">
        <v>345</v>
      </c>
      <c r="U349" s="262">
        <v>1517</v>
      </c>
      <c r="V349" s="352"/>
      <c r="W349" s="261">
        <v>345</v>
      </c>
      <c r="X349" s="262">
        <v>2728.2</v>
      </c>
      <c r="Y349" s="352"/>
      <c r="Z349" s="261">
        <v>345</v>
      </c>
      <c r="AA349" s="262">
        <v>2764.91</v>
      </c>
      <c r="AB349" s="352"/>
      <c r="AC349" s="261">
        <v>345</v>
      </c>
      <c r="AD349" s="262">
        <v>8737.7899999999809</v>
      </c>
      <c r="AE349" s="352"/>
      <c r="AF349" s="261">
        <v>345</v>
      </c>
      <c r="AG349" s="262">
        <v>23515.59</v>
      </c>
      <c r="AH349" s="352"/>
      <c r="AI349" s="261">
        <v>345</v>
      </c>
      <c r="AJ349" s="262">
        <v>10056</v>
      </c>
      <c r="AK349" s="352"/>
      <c r="AL349" s="261"/>
      <c r="AM349" s="262"/>
    </row>
    <row r="350" spans="2:39">
      <c r="B350" s="261" t="s">
        <v>634</v>
      </c>
      <c r="C350" s="261">
        <v>11232</v>
      </c>
      <c r="E350" s="261" t="s">
        <v>634</v>
      </c>
      <c r="F350" s="261">
        <v>11174.17</v>
      </c>
      <c r="H350" s="261" t="s">
        <v>634</v>
      </c>
      <c r="I350" s="262">
        <f>I349+18</f>
        <v>6142</v>
      </c>
      <c r="K350" s="261">
        <v>345</v>
      </c>
      <c r="L350" s="262">
        <v>2517.35</v>
      </c>
      <c r="M350" s="352"/>
      <c r="N350" s="261">
        <v>346</v>
      </c>
      <c r="O350" s="262">
        <v>3964.01</v>
      </c>
      <c r="P350" s="352"/>
      <c r="Q350" s="261">
        <v>346</v>
      </c>
      <c r="R350" s="262">
        <v>1520</v>
      </c>
      <c r="S350" s="352"/>
      <c r="T350" s="261">
        <v>346</v>
      </c>
      <c r="U350" s="262">
        <v>1521</v>
      </c>
      <c r="V350" s="352"/>
      <c r="W350" s="261">
        <v>346</v>
      </c>
      <c r="X350" s="262">
        <v>2735.7</v>
      </c>
      <c r="Y350" s="352"/>
      <c r="Z350" s="261">
        <v>346</v>
      </c>
      <c r="AA350" s="262">
        <v>2772.43</v>
      </c>
      <c r="AB350" s="352"/>
      <c r="AC350" s="261">
        <v>346</v>
      </c>
      <c r="AD350" s="262">
        <v>8763.4599999999809</v>
      </c>
      <c r="AE350" s="352"/>
      <c r="AF350" s="261">
        <v>346</v>
      </c>
      <c r="AG350" s="262">
        <v>23584.02</v>
      </c>
      <c r="AH350" s="352"/>
      <c r="AI350" s="261">
        <v>346</v>
      </c>
      <c r="AJ350" s="262">
        <v>10084</v>
      </c>
      <c r="AK350" s="352"/>
      <c r="AL350" s="261"/>
      <c r="AM350" s="262"/>
    </row>
    <row r="351" spans="2:39">
      <c r="B351" s="261" t="s">
        <v>635</v>
      </c>
      <c r="C351" s="261">
        <v>11263</v>
      </c>
      <c r="E351" s="261" t="s">
        <v>635</v>
      </c>
      <c r="F351" s="261">
        <v>11205.49</v>
      </c>
      <c r="H351" s="261" t="s">
        <v>635</v>
      </c>
      <c r="I351" s="262">
        <v>6159</v>
      </c>
      <c r="K351" s="261">
        <v>346</v>
      </c>
      <c r="L351" s="262">
        <v>2524.65</v>
      </c>
      <c r="M351" s="352"/>
      <c r="N351" s="261">
        <v>347</v>
      </c>
      <c r="O351" s="262">
        <v>3975.11</v>
      </c>
      <c r="P351" s="352"/>
      <c r="Q351" s="261">
        <v>347</v>
      </c>
      <c r="R351" s="262">
        <v>1524</v>
      </c>
      <c r="S351" s="352"/>
      <c r="T351" s="261">
        <v>347</v>
      </c>
      <c r="U351" s="262">
        <v>1525</v>
      </c>
      <c r="V351" s="352"/>
      <c r="W351" s="261">
        <v>347</v>
      </c>
      <c r="X351" s="262">
        <v>2743.2</v>
      </c>
      <c r="Y351" s="352"/>
      <c r="Z351" s="261">
        <v>347</v>
      </c>
      <c r="AA351" s="262">
        <v>2779.94</v>
      </c>
      <c r="AB351" s="352"/>
      <c r="AC351" s="261">
        <v>347</v>
      </c>
      <c r="AD351" s="262">
        <v>8789.1199999999808</v>
      </c>
      <c r="AE351" s="352"/>
      <c r="AF351" s="261">
        <v>347</v>
      </c>
      <c r="AG351" s="262">
        <v>23652.44</v>
      </c>
      <c r="AH351" s="352"/>
      <c r="AI351" s="261">
        <v>347</v>
      </c>
      <c r="AJ351" s="262">
        <v>10112</v>
      </c>
      <c r="AK351" s="352"/>
      <c r="AL351" s="261"/>
      <c r="AM351" s="262"/>
    </row>
    <row r="352" spans="2:39">
      <c r="B352" s="261" t="s">
        <v>636</v>
      </c>
      <c r="C352" s="261">
        <v>11294</v>
      </c>
      <c r="E352" s="261" t="s">
        <v>636</v>
      </c>
      <c r="F352" s="261">
        <v>11236.75</v>
      </c>
      <c r="H352" s="261" t="s">
        <v>636</v>
      </c>
      <c r="I352" s="262">
        <f>I351+18</f>
        <v>6177</v>
      </c>
      <c r="K352" s="261">
        <v>347</v>
      </c>
      <c r="L352" s="262">
        <v>2531.96</v>
      </c>
      <c r="M352" s="352"/>
      <c r="N352" s="261">
        <v>348</v>
      </c>
      <c r="O352" s="262">
        <v>3986.21</v>
      </c>
      <c r="P352" s="352"/>
      <c r="Q352" s="261">
        <v>348</v>
      </c>
      <c r="R352" s="262">
        <v>1529</v>
      </c>
      <c r="S352" s="352"/>
      <c r="T352" s="261">
        <v>348</v>
      </c>
      <c r="U352" s="262">
        <v>1529</v>
      </c>
      <c r="V352" s="352"/>
      <c r="W352" s="261">
        <v>348</v>
      </c>
      <c r="X352" s="262">
        <v>2750.7</v>
      </c>
      <c r="Y352" s="352"/>
      <c r="Z352" s="261">
        <v>348</v>
      </c>
      <c r="AA352" s="262">
        <v>2787.45</v>
      </c>
      <c r="AB352" s="352"/>
      <c r="AC352" s="261">
        <v>348</v>
      </c>
      <c r="AD352" s="262">
        <v>8814.7799999999806</v>
      </c>
      <c r="AE352" s="352"/>
      <c r="AF352" s="261">
        <v>348</v>
      </c>
      <c r="AG352" s="262">
        <v>23720.86</v>
      </c>
      <c r="AH352" s="352"/>
      <c r="AI352" s="261">
        <v>348</v>
      </c>
      <c r="AJ352" s="262">
        <v>10141</v>
      </c>
      <c r="AK352" s="352"/>
      <c r="AL352" s="261"/>
      <c r="AM352" s="262"/>
    </row>
    <row r="353" spans="2:39">
      <c r="B353" s="261" t="s">
        <v>637</v>
      </c>
      <c r="C353" s="261">
        <v>11326</v>
      </c>
      <c r="E353" s="261" t="s">
        <v>637</v>
      </c>
      <c r="F353" s="261">
        <v>11268.08</v>
      </c>
      <c r="H353" s="261" t="s">
        <v>637</v>
      </c>
      <c r="I353" s="262">
        <v>6194</v>
      </c>
      <c r="K353" s="261">
        <v>348</v>
      </c>
      <c r="L353" s="262">
        <v>2539.2600000000002</v>
      </c>
      <c r="M353" s="352"/>
      <c r="N353" s="261">
        <v>349</v>
      </c>
      <c r="O353" s="262">
        <v>3997.31</v>
      </c>
      <c r="P353" s="352"/>
      <c r="Q353" s="261">
        <v>349</v>
      </c>
      <c r="R353" s="262">
        <v>1533</v>
      </c>
      <c r="S353" s="352"/>
      <c r="T353" s="261">
        <v>349</v>
      </c>
      <c r="U353" s="262">
        <v>1534</v>
      </c>
      <c r="V353" s="352"/>
      <c r="W353" s="261">
        <v>349</v>
      </c>
      <c r="X353" s="262">
        <v>2758.3</v>
      </c>
      <c r="Y353" s="352"/>
      <c r="Z353" s="261">
        <v>349</v>
      </c>
      <c r="AA353" s="262">
        <v>2794.96</v>
      </c>
      <c r="AB353" s="352"/>
      <c r="AC353" s="261">
        <v>349</v>
      </c>
      <c r="AD353" s="262">
        <v>8840.4399999999805</v>
      </c>
      <c r="AE353" s="352"/>
      <c r="AF353" s="261">
        <v>349</v>
      </c>
      <c r="AG353" s="262">
        <v>23789.29</v>
      </c>
      <c r="AH353" s="352"/>
      <c r="AI353" s="261">
        <v>349</v>
      </c>
      <c r="AJ353" s="262">
        <v>10169</v>
      </c>
      <c r="AK353" s="352"/>
      <c r="AL353" s="261"/>
      <c r="AM353" s="262"/>
    </row>
    <row r="354" spans="2:39">
      <c r="B354" s="261" t="s">
        <v>638</v>
      </c>
      <c r="C354" s="261">
        <v>11357</v>
      </c>
      <c r="E354" s="261" t="s">
        <v>638</v>
      </c>
      <c r="F354" s="261">
        <v>11299.34</v>
      </c>
      <c r="H354" s="261" t="s">
        <v>638</v>
      </c>
      <c r="I354" s="262">
        <f>I353+18</f>
        <v>6212</v>
      </c>
      <c r="K354" s="261">
        <v>349</v>
      </c>
      <c r="L354" s="262">
        <v>2546.56</v>
      </c>
      <c r="M354" s="352"/>
      <c r="N354" s="261">
        <v>350</v>
      </c>
      <c r="O354" s="262">
        <v>4008.41</v>
      </c>
      <c r="P354" s="352"/>
      <c r="Q354" s="261">
        <v>350</v>
      </c>
      <c r="R354" s="262">
        <v>1537</v>
      </c>
      <c r="S354" s="352"/>
      <c r="T354" s="261">
        <v>350</v>
      </c>
      <c r="U354" s="262">
        <v>1538</v>
      </c>
      <c r="V354" s="352"/>
      <c r="W354" s="261">
        <v>350</v>
      </c>
      <c r="X354" s="262">
        <v>2765.8</v>
      </c>
      <c r="Y354" s="352"/>
      <c r="Z354" s="261">
        <v>350</v>
      </c>
      <c r="AA354" s="262">
        <v>2802.47</v>
      </c>
      <c r="AB354" s="352"/>
      <c r="AC354" s="261">
        <v>350</v>
      </c>
      <c r="AD354" s="262">
        <v>8866.0999999999804</v>
      </c>
      <c r="AE354" s="352"/>
      <c r="AF354" s="261">
        <v>350</v>
      </c>
      <c r="AG354" s="262">
        <v>23857.71</v>
      </c>
      <c r="AH354" s="352"/>
      <c r="AI354" s="261">
        <v>350</v>
      </c>
      <c r="AJ354" s="262">
        <v>10198</v>
      </c>
      <c r="AK354" s="352"/>
      <c r="AL354" s="261"/>
      <c r="AM354" s="262"/>
    </row>
    <row r="355" spans="2:39">
      <c r="B355" s="261" t="s">
        <v>639</v>
      </c>
      <c r="C355" s="261">
        <v>11389</v>
      </c>
      <c r="E355" s="261" t="s">
        <v>639</v>
      </c>
      <c r="F355" s="261">
        <v>11330.67</v>
      </c>
      <c r="H355" s="261" t="s">
        <v>639</v>
      </c>
      <c r="I355" s="262">
        <v>6230</v>
      </c>
      <c r="K355" s="261">
        <v>350</v>
      </c>
      <c r="L355" s="262">
        <v>2553.86</v>
      </c>
      <c r="M355" s="352"/>
      <c r="N355" s="261">
        <v>351</v>
      </c>
      <c r="O355" s="262">
        <v>4019.51</v>
      </c>
      <c r="P355" s="352"/>
      <c r="Q355" s="261">
        <v>351</v>
      </c>
      <c r="R355" s="262">
        <v>1541</v>
      </c>
      <c r="S355" s="352"/>
      <c r="T355" s="261">
        <v>351</v>
      </c>
      <c r="U355" s="262">
        <v>1542</v>
      </c>
      <c r="V355" s="352"/>
      <c r="W355" s="261">
        <v>351</v>
      </c>
      <c r="X355" s="262">
        <v>2773.3</v>
      </c>
      <c r="Y355" s="352"/>
      <c r="Z355" s="261">
        <v>351</v>
      </c>
      <c r="AA355" s="262">
        <v>2809.99</v>
      </c>
      <c r="AB355" s="352"/>
      <c r="AC355" s="261">
        <v>351</v>
      </c>
      <c r="AD355" s="262">
        <v>8891.7699999999804</v>
      </c>
      <c r="AE355" s="352"/>
      <c r="AF355" s="261">
        <v>351</v>
      </c>
      <c r="AG355" s="262">
        <v>23926.12</v>
      </c>
      <c r="AH355" s="352"/>
      <c r="AI355" s="261">
        <v>351</v>
      </c>
      <c r="AJ355" s="262">
        <v>10226</v>
      </c>
      <c r="AK355" s="352"/>
      <c r="AL355" s="261"/>
      <c r="AM355" s="262"/>
    </row>
    <row r="356" spans="2:39">
      <c r="B356" s="261" t="s">
        <v>640</v>
      </c>
      <c r="C356" s="261">
        <v>11420</v>
      </c>
      <c r="E356" s="261" t="s">
        <v>640</v>
      </c>
      <c r="F356" s="261">
        <v>11361.93</v>
      </c>
      <c r="H356" s="261" t="s">
        <v>640</v>
      </c>
      <c r="I356" s="262">
        <f>I355+18</f>
        <v>6248</v>
      </c>
      <c r="K356" s="261">
        <v>351</v>
      </c>
      <c r="L356" s="262">
        <v>2561.15</v>
      </c>
      <c r="M356" s="352"/>
      <c r="N356" s="261">
        <v>352</v>
      </c>
      <c r="O356" s="262">
        <v>4030.61</v>
      </c>
      <c r="P356" s="352"/>
      <c r="Q356" s="261">
        <v>352</v>
      </c>
      <c r="R356" s="262">
        <v>1545</v>
      </c>
      <c r="S356" s="352"/>
      <c r="T356" s="261">
        <v>352</v>
      </c>
      <c r="U356" s="262">
        <v>1546</v>
      </c>
      <c r="V356" s="352"/>
      <c r="W356" s="261">
        <v>352</v>
      </c>
      <c r="X356" s="262">
        <v>2780.8</v>
      </c>
      <c r="Y356" s="352"/>
      <c r="Z356" s="261">
        <v>352</v>
      </c>
      <c r="AA356" s="262">
        <v>2817.5</v>
      </c>
      <c r="AB356" s="352"/>
      <c r="AC356" s="261">
        <v>352</v>
      </c>
      <c r="AD356" s="262">
        <v>8917.4299999999803</v>
      </c>
      <c r="AE356" s="352"/>
      <c r="AF356" s="261">
        <v>352</v>
      </c>
      <c r="AG356" s="262">
        <v>23994.560000000001</v>
      </c>
      <c r="AH356" s="352"/>
      <c r="AI356" s="261">
        <v>352</v>
      </c>
      <c r="AJ356" s="262">
        <v>10254</v>
      </c>
      <c r="AK356" s="352"/>
      <c r="AL356" s="261"/>
      <c r="AM356" s="262"/>
    </row>
    <row r="357" spans="2:39">
      <c r="B357" s="261" t="s">
        <v>641</v>
      </c>
      <c r="C357" s="261">
        <v>11452</v>
      </c>
      <c r="E357" s="261" t="s">
        <v>641</v>
      </c>
      <c r="F357" s="261">
        <v>11393.25</v>
      </c>
      <c r="H357" s="261" t="s">
        <v>641</v>
      </c>
      <c r="I357" s="262">
        <v>6265</v>
      </c>
      <c r="K357" s="261">
        <v>352</v>
      </c>
      <c r="L357" s="262">
        <v>2568.46</v>
      </c>
      <c r="M357" s="352"/>
      <c r="N357" s="261">
        <v>353</v>
      </c>
      <c r="O357" s="262">
        <v>4041.7</v>
      </c>
      <c r="P357" s="352"/>
      <c r="Q357" s="261">
        <v>353</v>
      </c>
      <c r="R357" s="262">
        <v>1549</v>
      </c>
      <c r="S357" s="352"/>
      <c r="T357" s="261">
        <v>353</v>
      </c>
      <c r="U357" s="262">
        <v>1550</v>
      </c>
      <c r="V357" s="352"/>
      <c r="W357" s="261">
        <v>353</v>
      </c>
      <c r="X357" s="262">
        <v>2788.3</v>
      </c>
      <c r="Y357" s="352"/>
      <c r="Z357" s="261">
        <v>353</v>
      </c>
      <c r="AA357" s="262">
        <v>2825.01</v>
      </c>
      <c r="AB357" s="352"/>
      <c r="AC357" s="261">
        <v>353</v>
      </c>
      <c r="AD357" s="262">
        <v>8943.0899999999801</v>
      </c>
      <c r="AE357" s="352"/>
      <c r="AF357" s="261">
        <v>353</v>
      </c>
      <c r="AG357" s="262">
        <v>24062.98</v>
      </c>
      <c r="AH357" s="352"/>
      <c r="AI357" s="261">
        <v>353</v>
      </c>
      <c r="AJ357" s="262">
        <v>10283</v>
      </c>
      <c r="AK357" s="352"/>
      <c r="AL357" s="261"/>
      <c r="AM357" s="262"/>
    </row>
    <row r="358" spans="2:39">
      <c r="B358" s="261" t="s">
        <v>642</v>
      </c>
      <c r="C358" s="261">
        <v>11483</v>
      </c>
      <c r="E358" s="261" t="s">
        <v>642</v>
      </c>
      <c r="F358" s="261">
        <v>11424.51</v>
      </c>
      <c r="H358" s="261" t="s">
        <v>642</v>
      </c>
      <c r="I358" s="262">
        <f>I357+18</f>
        <v>6283</v>
      </c>
      <c r="K358" s="261">
        <v>353</v>
      </c>
      <c r="L358" s="262">
        <v>2575.75</v>
      </c>
      <c r="M358" s="352"/>
      <c r="N358" s="261">
        <v>354</v>
      </c>
      <c r="O358" s="262">
        <v>4052.8</v>
      </c>
      <c r="P358" s="352"/>
      <c r="Q358" s="261">
        <v>354</v>
      </c>
      <c r="R358" s="262">
        <v>1553</v>
      </c>
      <c r="S358" s="352"/>
      <c r="T358" s="261">
        <v>354</v>
      </c>
      <c r="U358" s="262">
        <v>1554</v>
      </c>
      <c r="V358" s="352"/>
      <c r="W358" s="261">
        <v>354</v>
      </c>
      <c r="X358" s="262">
        <v>2795.8</v>
      </c>
      <c r="Y358" s="352"/>
      <c r="Z358" s="261">
        <v>354</v>
      </c>
      <c r="AA358" s="262">
        <v>2832.52</v>
      </c>
      <c r="AB358" s="352"/>
      <c r="AC358" s="261">
        <v>354</v>
      </c>
      <c r="AD358" s="262">
        <v>8968.74999999998</v>
      </c>
      <c r="AE358" s="352"/>
      <c r="AF358" s="261">
        <v>354</v>
      </c>
      <c r="AG358" s="262">
        <v>24131.41</v>
      </c>
      <c r="AH358" s="352"/>
      <c r="AI358" s="261">
        <v>354</v>
      </c>
      <c r="AJ358" s="262">
        <v>10311</v>
      </c>
      <c r="AK358" s="352"/>
      <c r="AL358" s="261"/>
      <c r="AM358" s="262"/>
    </row>
    <row r="359" spans="2:39">
      <c r="B359" s="261" t="s">
        <v>643</v>
      </c>
      <c r="C359" s="261">
        <v>11515</v>
      </c>
      <c r="E359" s="261" t="s">
        <v>643</v>
      </c>
      <c r="F359" s="261">
        <v>11455.85</v>
      </c>
      <c r="H359" s="261" t="s">
        <v>643</v>
      </c>
      <c r="I359" s="262">
        <v>6300</v>
      </c>
      <c r="K359" s="261">
        <v>354</v>
      </c>
      <c r="L359" s="262">
        <v>2583.06</v>
      </c>
      <c r="M359" s="352"/>
      <c r="N359" s="261">
        <v>355</v>
      </c>
      <c r="O359" s="262">
        <v>4063.9</v>
      </c>
      <c r="P359" s="352"/>
      <c r="Q359" s="261">
        <v>355</v>
      </c>
      <c r="R359" s="262">
        <v>1558</v>
      </c>
      <c r="S359" s="352"/>
      <c r="T359" s="261">
        <v>355</v>
      </c>
      <c r="U359" s="262">
        <v>1558</v>
      </c>
      <c r="V359" s="352"/>
      <c r="W359" s="261">
        <v>355</v>
      </c>
      <c r="X359" s="262">
        <v>2803.3</v>
      </c>
      <c r="Y359" s="352"/>
      <c r="Z359" s="261">
        <v>355</v>
      </c>
      <c r="AA359" s="262">
        <v>2840.04</v>
      </c>
      <c r="AB359" s="352"/>
      <c r="AC359" s="261">
        <v>355</v>
      </c>
      <c r="AD359" s="262">
        <v>8994.4099999999798</v>
      </c>
      <c r="AE359" s="352"/>
      <c r="AF359" s="261">
        <v>355</v>
      </c>
      <c r="AG359" s="262">
        <v>24199.83</v>
      </c>
      <c r="AH359" s="352"/>
      <c r="AI359" s="261">
        <v>355</v>
      </c>
      <c r="AJ359" s="262">
        <v>10340</v>
      </c>
      <c r="AK359" s="352"/>
      <c r="AL359" s="261"/>
      <c r="AM359" s="262"/>
    </row>
    <row r="360" spans="2:39">
      <c r="B360" s="261" t="s">
        <v>644</v>
      </c>
      <c r="C360" s="261">
        <v>11546</v>
      </c>
      <c r="E360" s="261" t="s">
        <v>644</v>
      </c>
      <c r="F360" s="261">
        <v>11487.11</v>
      </c>
      <c r="H360" s="261" t="s">
        <v>644</v>
      </c>
      <c r="I360" s="262">
        <f>I359+18</f>
        <v>6318</v>
      </c>
      <c r="K360" s="261">
        <v>355</v>
      </c>
      <c r="L360" s="262">
        <v>2590.35</v>
      </c>
      <c r="M360" s="352"/>
      <c r="N360" s="261">
        <v>356</v>
      </c>
      <c r="O360" s="262">
        <v>4075</v>
      </c>
      <c r="P360" s="352"/>
      <c r="Q360" s="261">
        <v>356</v>
      </c>
      <c r="R360" s="262">
        <v>1562</v>
      </c>
      <c r="S360" s="352"/>
      <c r="T360" s="261">
        <v>356</v>
      </c>
      <c r="U360" s="262">
        <v>1563</v>
      </c>
      <c r="V360" s="352"/>
      <c r="W360" s="261">
        <v>356</v>
      </c>
      <c r="X360" s="262">
        <v>2810.8</v>
      </c>
      <c r="Y360" s="352"/>
      <c r="Z360" s="261">
        <v>356</v>
      </c>
      <c r="AA360" s="262">
        <v>2847.55</v>
      </c>
      <c r="AB360" s="352"/>
      <c r="AC360" s="261">
        <v>356</v>
      </c>
      <c r="AD360" s="262">
        <v>9020.0799999999799</v>
      </c>
      <c r="AE360" s="352"/>
      <c r="AF360" s="261">
        <v>356</v>
      </c>
      <c r="AG360" s="262">
        <v>24268.26</v>
      </c>
      <c r="AH360" s="352"/>
      <c r="AI360" s="261">
        <v>356</v>
      </c>
      <c r="AJ360" s="262">
        <v>10368</v>
      </c>
      <c r="AK360" s="352"/>
      <c r="AL360" s="261"/>
      <c r="AM360" s="262"/>
    </row>
    <row r="361" spans="2:39">
      <c r="B361" s="261" t="s">
        <v>645</v>
      </c>
      <c r="C361" s="261">
        <v>11577</v>
      </c>
      <c r="E361" s="261" t="s">
        <v>645</v>
      </c>
      <c r="F361" s="261">
        <v>11518.43</v>
      </c>
      <c r="H361" s="261" t="s">
        <v>645</v>
      </c>
      <c r="I361" s="262">
        <v>6335</v>
      </c>
      <c r="K361" s="261">
        <v>356</v>
      </c>
      <c r="L361" s="262">
        <v>2597.65</v>
      </c>
      <c r="M361" s="352"/>
      <c r="N361" s="261">
        <v>357</v>
      </c>
      <c r="O361" s="262">
        <v>4086.1</v>
      </c>
      <c r="P361" s="352"/>
      <c r="Q361" s="261">
        <v>357</v>
      </c>
      <c r="R361" s="262">
        <v>1566</v>
      </c>
      <c r="S361" s="352"/>
      <c r="T361" s="261">
        <v>357</v>
      </c>
      <c r="U361" s="262">
        <v>1567</v>
      </c>
      <c r="V361" s="352"/>
      <c r="W361" s="261">
        <v>357</v>
      </c>
      <c r="X361" s="262">
        <v>2818.4</v>
      </c>
      <c r="Y361" s="352"/>
      <c r="Z361" s="261">
        <v>357</v>
      </c>
      <c r="AA361" s="262">
        <v>2855.06</v>
      </c>
      <c r="AB361" s="352"/>
      <c r="AC361" s="261">
        <v>357</v>
      </c>
      <c r="AD361" s="262">
        <v>9045.7399999999798</v>
      </c>
      <c r="AE361" s="352"/>
      <c r="AF361" s="261">
        <v>357</v>
      </c>
      <c r="AG361" s="262">
        <v>24336.68</v>
      </c>
      <c r="AH361" s="352"/>
      <c r="AI361" s="261">
        <v>357</v>
      </c>
      <c r="AJ361" s="262">
        <v>10396</v>
      </c>
      <c r="AK361" s="352"/>
      <c r="AL361" s="261"/>
      <c r="AM361" s="262"/>
    </row>
    <row r="362" spans="2:39">
      <c r="B362" s="261" t="s">
        <v>646</v>
      </c>
      <c r="C362" s="261">
        <v>11608</v>
      </c>
      <c r="E362" s="261" t="s">
        <v>646</v>
      </c>
      <c r="F362" s="261">
        <v>11549.69</v>
      </c>
      <c r="H362" s="261" t="s">
        <v>646</v>
      </c>
      <c r="I362" s="262">
        <f>I361+18</f>
        <v>6353</v>
      </c>
      <c r="K362" s="261">
        <v>357</v>
      </c>
      <c r="L362" s="262">
        <v>2604.9499999999998</v>
      </c>
      <c r="M362" s="352"/>
      <c r="N362" s="261">
        <v>358</v>
      </c>
      <c r="O362" s="262">
        <v>4097.2</v>
      </c>
      <c r="P362" s="352"/>
      <c r="Q362" s="261">
        <v>358</v>
      </c>
      <c r="R362" s="262">
        <v>1570</v>
      </c>
      <c r="S362" s="352"/>
      <c r="T362" s="261">
        <v>358</v>
      </c>
      <c r="U362" s="262">
        <v>1571</v>
      </c>
      <c r="V362" s="352"/>
      <c r="W362" s="261">
        <v>358</v>
      </c>
      <c r="X362" s="262">
        <v>2825.9</v>
      </c>
      <c r="Y362" s="352"/>
      <c r="Z362" s="261">
        <v>358</v>
      </c>
      <c r="AA362" s="262">
        <v>2862.57</v>
      </c>
      <c r="AB362" s="352"/>
      <c r="AC362" s="261">
        <v>358</v>
      </c>
      <c r="AD362" s="262">
        <v>9071.3999999999796</v>
      </c>
      <c r="AE362" s="352"/>
      <c r="AF362" s="261">
        <v>358</v>
      </c>
      <c r="AG362" s="262">
        <v>24405.1</v>
      </c>
      <c r="AH362" s="352"/>
      <c r="AI362" s="261">
        <v>358</v>
      </c>
      <c r="AJ362" s="262">
        <v>10425</v>
      </c>
      <c r="AK362" s="352"/>
      <c r="AL362" s="261"/>
      <c r="AM362" s="262"/>
    </row>
    <row r="363" spans="2:39">
      <c r="B363" s="261" t="s">
        <v>647</v>
      </c>
      <c r="C363" s="261">
        <v>11640</v>
      </c>
      <c r="E363" s="261" t="s">
        <v>647</v>
      </c>
      <c r="F363" s="261">
        <v>11581.02</v>
      </c>
      <c r="H363" s="261" t="s">
        <v>647</v>
      </c>
      <c r="I363" s="262">
        <v>6371</v>
      </c>
      <c r="K363" s="261">
        <v>358</v>
      </c>
      <c r="L363" s="262">
        <v>2612.25</v>
      </c>
      <c r="M363" s="352"/>
      <c r="N363" s="261">
        <v>359</v>
      </c>
      <c r="O363" s="262">
        <v>4108.29</v>
      </c>
      <c r="P363" s="352"/>
      <c r="Q363" s="261">
        <v>359</v>
      </c>
      <c r="R363" s="262">
        <v>1574</v>
      </c>
      <c r="S363" s="352"/>
      <c r="T363" s="261">
        <v>359</v>
      </c>
      <c r="U363" s="262">
        <v>1575</v>
      </c>
      <c r="V363" s="352"/>
      <c r="W363" s="261">
        <v>359</v>
      </c>
      <c r="X363" s="262">
        <v>2833.4</v>
      </c>
      <c r="Y363" s="352"/>
      <c r="Z363" s="261">
        <v>359</v>
      </c>
      <c r="AA363" s="262">
        <v>2870.08</v>
      </c>
      <c r="AB363" s="352"/>
      <c r="AC363" s="261">
        <v>359</v>
      </c>
      <c r="AD363" s="262">
        <v>9097.0599999999795</v>
      </c>
      <c r="AE363" s="352"/>
      <c r="AF363" s="261">
        <v>359</v>
      </c>
      <c r="AG363" s="262">
        <v>24473.53</v>
      </c>
      <c r="AH363" s="352"/>
      <c r="AI363" s="261">
        <v>359</v>
      </c>
      <c r="AJ363" s="262">
        <v>10453</v>
      </c>
      <c r="AK363" s="352"/>
      <c r="AL363" s="261"/>
      <c r="AM363" s="262"/>
    </row>
    <row r="364" spans="2:39">
      <c r="B364" s="261" t="s">
        <v>648</v>
      </c>
      <c r="C364" s="261">
        <v>11671</v>
      </c>
      <c r="E364" s="261" t="s">
        <v>648</v>
      </c>
      <c r="F364" s="261">
        <v>11612.28</v>
      </c>
      <c r="H364" s="261" t="s">
        <v>648</v>
      </c>
      <c r="I364" s="262">
        <f>I363+18</f>
        <v>6389</v>
      </c>
      <c r="K364" s="261">
        <v>359</v>
      </c>
      <c r="L364" s="262">
        <v>2619.5500000000002</v>
      </c>
      <c r="M364" s="352"/>
      <c r="N364" s="261">
        <v>360</v>
      </c>
      <c r="O364" s="262">
        <v>4119.3900000000003</v>
      </c>
      <c r="P364" s="352"/>
      <c r="Q364" s="261">
        <v>360</v>
      </c>
      <c r="R364" s="262">
        <v>1578</v>
      </c>
      <c r="S364" s="352"/>
      <c r="T364" s="261">
        <v>360</v>
      </c>
      <c r="U364" s="262">
        <v>1579</v>
      </c>
      <c r="V364" s="352"/>
      <c r="W364" s="261">
        <v>360</v>
      </c>
      <c r="X364" s="262">
        <v>2840.9</v>
      </c>
      <c r="Y364" s="352"/>
      <c r="Z364" s="261">
        <v>360</v>
      </c>
      <c r="AA364" s="262">
        <v>2877.6</v>
      </c>
      <c r="AB364" s="352"/>
      <c r="AC364" s="261">
        <v>360</v>
      </c>
      <c r="AD364" s="262">
        <v>9122.7199999999793</v>
      </c>
      <c r="AE364" s="352"/>
      <c r="AF364" s="261">
        <v>360</v>
      </c>
      <c r="AG364" s="262">
        <v>24541.95</v>
      </c>
      <c r="AH364" s="352"/>
      <c r="AI364" s="261">
        <v>360</v>
      </c>
      <c r="AJ364" s="262">
        <v>10482</v>
      </c>
      <c r="AK364" s="352"/>
      <c r="AL364" s="261"/>
      <c r="AM364" s="262"/>
    </row>
    <row r="365" spans="2:39">
      <c r="B365" s="261" t="s">
        <v>649</v>
      </c>
      <c r="C365" s="261">
        <v>11703</v>
      </c>
      <c r="E365" s="261" t="s">
        <v>649</v>
      </c>
      <c r="F365" s="261">
        <v>11643.61</v>
      </c>
      <c r="H365" s="261" t="s">
        <v>649</v>
      </c>
      <c r="I365" s="262">
        <v>6406</v>
      </c>
      <c r="K365" s="261">
        <v>360</v>
      </c>
      <c r="L365" s="262">
        <v>2626.85</v>
      </c>
      <c r="M365" s="352"/>
      <c r="N365" s="261">
        <v>361</v>
      </c>
      <c r="O365" s="262">
        <v>4130.49</v>
      </c>
      <c r="P365" s="352"/>
      <c r="Q365" s="261">
        <v>361</v>
      </c>
      <c r="R365" s="262">
        <v>1582</v>
      </c>
      <c r="S365" s="352"/>
      <c r="T365" s="261">
        <v>361</v>
      </c>
      <c r="U365" s="262">
        <v>1583</v>
      </c>
      <c r="V365" s="352"/>
      <c r="W365" s="261">
        <v>361</v>
      </c>
      <c r="X365" s="262">
        <v>2848.4</v>
      </c>
      <c r="Y365" s="352"/>
      <c r="Z365" s="261">
        <v>361</v>
      </c>
      <c r="AA365" s="262">
        <v>2885.11</v>
      </c>
      <c r="AB365" s="352"/>
      <c r="AC365" s="261">
        <v>361</v>
      </c>
      <c r="AD365" s="262">
        <v>9148.3899999999794</v>
      </c>
      <c r="AE365" s="352"/>
      <c r="AF365" s="261">
        <v>361</v>
      </c>
      <c r="AG365" s="262">
        <v>24610.38</v>
      </c>
      <c r="AH365" s="352"/>
      <c r="AI365" s="261">
        <v>361</v>
      </c>
      <c r="AJ365" s="262">
        <v>10510</v>
      </c>
      <c r="AK365" s="352"/>
      <c r="AL365" s="261"/>
      <c r="AM365" s="262"/>
    </row>
    <row r="366" spans="2:39">
      <c r="B366" s="261" t="s">
        <v>650</v>
      </c>
      <c r="C366" s="261">
        <v>11734</v>
      </c>
      <c r="E366" s="261" t="s">
        <v>650</v>
      </c>
      <c r="F366" s="261">
        <v>11674.87</v>
      </c>
      <c r="H366" s="261" t="s">
        <v>650</v>
      </c>
      <c r="I366" s="262">
        <f>I365+18</f>
        <v>6424</v>
      </c>
      <c r="K366" s="261">
        <v>361</v>
      </c>
      <c r="L366" s="262">
        <v>2634.15</v>
      </c>
      <c r="M366" s="352"/>
      <c r="N366" s="261">
        <v>362</v>
      </c>
      <c r="O366" s="262">
        <v>4141.59</v>
      </c>
      <c r="P366" s="352"/>
      <c r="Q366" s="261">
        <v>362</v>
      </c>
      <c r="R366" s="262">
        <v>1586</v>
      </c>
      <c r="S366" s="352"/>
      <c r="T366" s="261">
        <v>362</v>
      </c>
      <c r="U366" s="262">
        <v>1587</v>
      </c>
      <c r="V366" s="352"/>
      <c r="W366" s="261">
        <v>362</v>
      </c>
      <c r="X366" s="262">
        <v>2855.9</v>
      </c>
      <c r="Y366" s="352"/>
      <c r="Z366" s="261">
        <v>362</v>
      </c>
      <c r="AA366" s="262">
        <v>2892.62</v>
      </c>
      <c r="AB366" s="352"/>
      <c r="AC366" s="261">
        <v>362</v>
      </c>
      <c r="AD366" s="262">
        <v>9174.0499999999793</v>
      </c>
      <c r="AE366" s="352"/>
      <c r="AF366" s="261">
        <v>362</v>
      </c>
      <c r="AG366" s="262">
        <v>24678.799999999999</v>
      </c>
      <c r="AH366" s="352"/>
      <c r="AI366" s="261">
        <v>362</v>
      </c>
      <c r="AJ366" s="262">
        <v>10538</v>
      </c>
      <c r="AK366" s="352"/>
      <c r="AL366" s="261"/>
      <c r="AM366" s="262"/>
    </row>
    <row r="367" spans="2:39">
      <c r="B367" s="261" t="s">
        <v>651</v>
      </c>
      <c r="C367" s="261">
        <v>11766</v>
      </c>
      <c r="E367" s="261" t="s">
        <v>651</v>
      </c>
      <c r="F367" s="261">
        <v>11706.19</v>
      </c>
      <c r="H367" s="261" t="s">
        <v>651</v>
      </c>
      <c r="I367" s="262">
        <v>6441</v>
      </c>
      <c r="K367" s="261">
        <v>362</v>
      </c>
      <c r="L367" s="262">
        <v>2641.44</v>
      </c>
      <c r="M367" s="352"/>
      <c r="N367" s="261">
        <v>363</v>
      </c>
      <c r="O367" s="262">
        <v>4152.6899999999996</v>
      </c>
      <c r="P367" s="352"/>
      <c r="Q367" s="261">
        <v>363</v>
      </c>
      <c r="R367" s="262">
        <v>1591</v>
      </c>
      <c r="S367" s="352"/>
      <c r="T367" s="261">
        <v>363</v>
      </c>
      <c r="U367" s="262">
        <v>1592</v>
      </c>
      <c r="V367" s="352"/>
      <c r="W367" s="261">
        <v>363</v>
      </c>
      <c r="X367" s="262">
        <v>2863.4</v>
      </c>
      <c r="Y367" s="352"/>
      <c r="Z367" s="261">
        <v>363</v>
      </c>
      <c r="AA367" s="262">
        <v>2900.13</v>
      </c>
      <c r="AB367" s="352"/>
      <c r="AC367" s="261">
        <v>363</v>
      </c>
      <c r="AD367" s="262">
        <v>9199.7099999999791</v>
      </c>
      <c r="AE367" s="352"/>
      <c r="AF367" s="261">
        <v>363</v>
      </c>
      <c r="AG367" s="262">
        <v>24747.22</v>
      </c>
      <c r="AH367" s="352"/>
      <c r="AI367" s="261">
        <v>363</v>
      </c>
      <c r="AJ367" s="262">
        <v>10567</v>
      </c>
      <c r="AK367" s="352"/>
      <c r="AL367" s="261"/>
      <c r="AM367" s="262"/>
    </row>
    <row r="368" spans="2:39">
      <c r="B368" s="261" t="s">
        <v>652</v>
      </c>
      <c r="C368" s="261">
        <v>11797</v>
      </c>
      <c r="E368" s="261" t="s">
        <v>652</v>
      </c>
      <c r="F368" s="261">
        <v>11737.45</v>
      </c>
      <c r="H368" s="261" t="s">
        <v>652</v>
      </c>
      <c r="I368" s="262">
        <f>I367+18</f>
        <v>6459</v>
      </c>
      <c r="K368" s="261">
        <v>363</v>
      </c>
      <c r="L368" s="262">
        <v>2648.75</v>
      </c>
      <c r="M368" s="352"/>
      <c r="N368" s="261">
        <v>364</v>
      </c>
      <c r="O368" s="262">
        <v>4163.79</v>
      </c>
      <c r="P368" s="352"/>
      <c r="Q368" s="261">
        <v>364</v>
      </c>
      <c r="R368" s="262">
        <v>1595</v>
      </c>
      <c r="S368" s="352"/>
      <c r="T368" s="261">
        <v>364</v>
      </c>
      <c r="U368" s="262">
        <v>1596</v>
      </c>
      <c r="V368" s="352"/>
      <c r="W368" s="261">
        <v>364</v>
      </c>
      <c r="X368" s="262">
        <v>2871</v>
      </c>
      <c r="Y368" s="352"/>
      <c r="Z368" s="261">
        <v>364</v>
      </c>
      <c r="AA368" s="262">
        <v>2907.65</v>
      </c>
      <c r="AB368" s="352"/>
      <c r="AC368" s="261">
        <v>364</v>
      </c>
      <c r="AD368" s="262">
        <v>9225.369999999979</v>
      </c>
      <c r="AE368" s="352"/>
      <c r="AF368" s="261">
        <v>364</v>
      </c>
      <c r="AG368" s="262">
        <v>24815.65</v>
      </c>
      <c r="AH368" s="352"/>
      <c r="AI368" s="261">
        <v>364</v>
      </c>
      <c r="AJ368" s="262">
        <v>10595</v>
      </c>
      <c r="AK368" s="352"/>
      <c r="AL368" s="261"/>
      <c r="AM368" s="262"/>
    </row>
    <row r="369" spans="2:39">
      <c r="B369" s="261" t="s">
        <v>653</v>
      </c>
      <c r="C369" s="261">
        <v>11829</v>
      </c>
      <c r="E369" s="261" t="s">
        <v>653</v>
      </c>
      <c r="F369" s="261">
        <v>11768.78</v>
      </c>
      <c r="H369" s="261" t="s">
        <v>653</v>
      </c>
      <c r="I369" s="262">
        <v>6477</v>
      </c>
      <c r="K369" s="261">
        <v>364</v>
      </c>
      <c r="L369" s="262">
        <v>2656.04</v>
      </c>
      <c r="M369" s="352"/>
      <c r="N369" s="261">
        <v>365</v>
      </c>
      <c r="O369" s="262">
        <v>4174.88</v>
      </c>
      <c r="P369" s="352"/>
      <c r="Q369" s="261">
        <v>365</v>
      </c>
      <c r="R369" s="262">
        <v>1599</v>
      </c>
      <c r="S369" s="352"/>
      <c r="T369" s="261">
        <v>365</v>
      </c>
      <c r="U369" s="262">
        <v>1600</v>
      </c>
      <c r="V369" s="352"/>
      <c r="W369" s="261">
        <v>365</v>
      </c>
      <c r="X369" s="262">
        <v>2878.5</v>
      </c>
      <c r="Y369" s="352"/>
      <c r="Z369" s="261">
        <v>365</v>
      </c>
      <c r="AA369" s="262">
        <v>2915.16</v>
      </c>
      <c r="AB369" s="352"/>
      <c r="AC369" s="261">
        <v>365</v>
      </c>
      <c r="AD369" s="262">
        <v>9251.0299999999788</v>
      </c>
      <c r="AE369" s="352"/>
      <c r="AF369" s="261">
        <v>365</v>
      </c>
      <c r="AG369" s="262">
        <v>24884.07</v>
      </c>
      <c r="AH369" s="352"/>
      <c r="AI369" s="261">
        <v>365</v>
      </c>
      <c r="AJ369" s="262">
        <v>10624</v>
      </c>
      <c r="AK369" s="352"/>
      <c r="AL369" s="261"/>
      <c r="AM369" s="262"/>
    </row>
    <row r="370" spans="2:39">
      <c r="B370" s="261" t="s">
        <v>654</v>
      </c>
      <c r="C370" s="261">
        <v>11860</v>
      </c>
      <c r="E370" s="261" t="s">
        <v>654</v>
      </c>
      <c r="F370" s="261">
        <v>11800.04</v>
      </c>
      <c r="H370" s="261" t="s">
        <v>654</v>
      </c>
      <c r="I370" s="262">
        <f>I369+18</f>
        <v>6495</v>
      </c>
      <c r="K370" s="261">
        <v>365</v>
      </c>
      <c r="L370" s="262">
        <v>2663.34</v>
      </c>
      <c r="M370" s="352"/>
      <c r="N370" s="261">
        <v>366</v>
      </c>
      <c r="O370" s="262">
        <v>4185.9799999999996</v>
      </c>
      <c r="P370" s="352"/>
      <c r="Q370" s="261">
        <v>366</v>
      </c>
      <c r="R370" s="262">
        <v>1603</v>
      </c>
      <c r="S370" s="352"/>
      <c r="T370" s="261">
        <v>366</v>
      </c>
      <c r="U370" s="262">
        <v>1604</v>
      </c>
      <c r="V370" s="352"/>
      <c r="W370" s="261">
        <v>366</v>
      </c>
      <c r="X370" s="262">
        <v>2886</v>
      </c>
      <c r="Y370" s="352"/>
      <c r="Z370" s="261">
        <v>366</v>
      </c>
      <c r="AA370" s="262">
        <v>2922.67</v>
      </c>
      <c r="AB370" s="352"/>
      <c r="AC370" s="261">
        <v>366</v>
      </c>
      <c r="AD370" s="262">
        <v>9276.6999999999789</v>
      </c>
      <c r="AE370" s="352"/>
      <c r="AF370" s="261">
        <v>366</v>
      </c>
      <c r="AG370" s="262">
        <v>24952.5</v>
      </c>
      <c r="AH370" s="352"/>
      <c r="AI370" s="261">
        <v>366</v>
      </c>
      <c r="AJ370" s="262">
        <v>10652</v>
      </c>
      <c r="AK370" s="352"/>
      <c r="AL370" s="261"/>
      <c r="AM370" s="262"/>
    </row>
    <row r="371" spans="2:39">
      <c r="B371" s="261" t="s">
        <v>655</v>
      </c>
      <c r="C371" s="261">
        <v>11891</v>
      </c>
      <c r="E371" s="261" t="s">
        <v>655</v>
      </c>
      <c r="F371" s="261">
        <v>11831.42</v>
      </c>
      <c r="H371" s="261" t="s">
        <v>655</v>
      </c>
      <c r="I371" s="262">
        <v>6512</v>
      </c>
      <c r="K371" s="261">
        <v>366</v>
      </c>
      <c r="L371" s="262">
        <v>2670.64</v>
      </c>
      <c r="M371" s="352"/>
      <c r="N371" s="261">
        <v>367</v>
      </c>
      <c r="O371" s="262">
        <v>4197.08</v>
      </c>
      <c r="P371" s="352"/>
      <c r="Q371" s="261">
        <v>367</v>
      </c>
      <c r="R371" s="262">
        <v>1607</v>
      </c>
      <c r="S371" s="352"/>
      <c r="T371" s="261">
        <v>367</v>
      </c>
      <c r="U371" s="262">
        <v>1608</v>
      </c>
      <c r="V371" s="352"/>
      <c r="W371" s="261">
        <v>367</v>
      </c>
      <c r="X371" s="262">
        <v>2893.5</v>
      </c>
      <c r="Y371" s="352"/>
      <c r="Z371" s="261">
        <v>367</v>
      </c>
      <c r="AA371" s="262">
        <v>2930.18</v>
      </c>
      <c r="AB371" s="352"/>
      <c r="AC371" s="261">
        <v>367</v>
      </c>
      <c r="AD371" s="262">
        <v>9302.3599999999788</v>
      </c>
      <c r="AE371" s="352"/>
      <c r="AF371" s="261">
        <v>367</v>
      </c>
      <c r="AG371" s="262">
        <v>25020.92</v>
      </c>
      <c r="AH371" s="352"/>
      <c r="AI371" s="261">
        <v>367</v>
      </c>
      <c r="AJ371" s="262">
        <v>10680</v>
      </c>
      <c r="AK371" s="352"/>
      <c r="AL371" s="261"/>
      <c r="AM371" s="262"/>
    </row>
    <row r="372" spans="2:39">
      <c r="B372" s="261" t="s">
        <v>656</v>
      </c>
      <c r="C372" s="261">
        <v>11922</v>
      </c>
      <c r="E372" s="261" t="s">
        <v>656</v>
      </c>
      <c r="F372" s="261">
        <v>11862.68</v>
      </c>
      <c r="H372" s="261" t="s">
        <v>656</v>
      </c>
      <c r="I372" s="262">
        <f>I371+18</f>
        <v>6530</v>
      </c>
      <c r="K372" s="261">
        <v>367</v>
      </c>
      <c r="L372" s="262">
        <v>2677.94</v>
      </c>
      <c r="M372" s="352"/>
      <c r="N372" s="261">
        <v>368</v>
      </c>
      <c r="O372" s="262">
        <v>4208.18</v>
      </c>
      <c r="P372" s="352"/>
      <c r="Q372" s="261">
        <v>368</v>
      </c>
      <c r="R372" s="262">
        <v>1611</v>
      </c>
      <c r="S372" s="352"/>
      <c r="T372" s="261">
        <v>368</v>
      </c>
      <c r="U372" s="262">
        <v>1612</v>
      </c>
      <c r="V372" s="352"/>
      <c r="W372" s="261">
        <v>368</v>
      </c>
      <c r="X372" s="262">
        <v>2901</v>
      </c>
      <c r="Y372" s="352"/>
      <c r="Z372" s="261">
        <v>368</v>
      </c>
      <c r="AA372" s="262">
        <v>2937.69</v>
      </c>
      <c r="AB372" s="352"/>
      <c r="AC372" s="261">
        <v>368</v>
      </c>
      <c r="AD372" s="262">
        <v>9328.0199999999786</v>
      </c>
      <c r="AE372" s="352"/>
      <c r="AF372" s="261">
        <v>368</v>
      </c>
      <c r="AG372" s="262">
        <v>25089.34</v>
      </c>
      <c r="AH372" s="352"/>
      <c r="AI372" s="261">
        <v>368</v>
      </c>
      <c r="AJ372" s="262">
        <v>10709</v>
      </c>
      <c r="AK372" s="352"/>
      <c r="AL372" s="261"/>
      <c r="AM372" s="262"/>
    </row>
    <row r="373" spans="2:39">
      <c r="B373" s="261" t="s">
        <v>657</v>
      </c>
      <c r="C373" s="261">
        <v>11954</v>
      </c>
      <c r="E373" s="261" t="s">
        <v>657</v>
      </c>
      <c r="F373" s="261">
        <v>11894.08</v>
      </c>
      <c r="H373" s="261" t="s">
        <v>657</v>
      </c>
      <c r="I373" s="262">
        <v>6547</v>
      </c>
      <c r="K373" s="261">
        <v>368</v>
      </c>
      <c r="L373" s="262">
        <v>2685.24</v>
      </c>
      <c r="M373" s="352"/>
      <c r="N373" s="261">
        <v>369</v>
      </c>
      <c r="O373" s="262">
        <v>4219.28</v>
      </c>
      <c r="P373" s="352"/>
      <c r="Q373" s="261">
        <v>369</v>
      </c>
      <c r="R373" s="262">
        <v>1615</v>
      </c>
      <c r="S373" s="352"/>
      <c r="T373" s="261">
        <v>369</v>
      </c>
      <c r="U373" s="262">
        <v>1616</v>
      </c>
      <c r="V373" s="352"/>
      <c r="W373" s="261">
        <v>369</v>
      </c>
      <c r="X373" s="262">
        <v>2908.5</v>
      </c>
      <c r="Y373" s="352"/>
      <c r="Z373" s="261">
        <v>369</v>
      </c>
      <c r="AA373" s="262">
        <v>2945.21</v>
      </c>
      <c r="AB373" s="352"/>
      <c r="AC373" s="261">
        <v>369</v>
      </c>
      <c r="AD373" s="262">
        <v>9353.6799999999785</v>
      </c>
      <c r="AE373" s="352"/>
      <c r="AF373" s="261">
        <v>369</v>
      </c>
      <c r="AG373" s="262">
        <v>25157.77</v>
      </c>
      <c r="AH373" s="352"/>
      <c r="AI373" s="261">
        <v>369</v>
      </c>
      <c r="AJ373" s="262">
        <v>10737</v>
      </c>
      <c r="AK373" s="352"/>
      <c r="AL373" s="261"/>
      <c r="AM373" s="262"/>
    </row>
    <row r="374" spans="2:39">
      <c r="B374" s="261" t="s">
        <v>658</v>
      </c>
      <c r="C374" s="261">
        <v>11985</v>
      </c>
      <c r="E374" s="261" t="s">
        <v>658</v>
      </c>
      <c r="F374" s="261">
        <v>11925.34</v>
      </c>
      <c r="H374" s="261" t="s">
        <v>658</v>
      </c>
      <c r="I374" s="262">
        <f>I373+18</f>
        <v>6565</v>
      </c>
      <c r="K374" s="261">
        <v>369</v>
      </c>
      <c r="L374" s="262">
        <v>2692.54</v>
      </c>
      <c r="M374" s="352"/>
      <c r="N374" s="261">
        <v>370</v>
      </c>
      <c r="O374" s="262">
        <v>4230.38</v>
      </c>
      <c r="P374" s="352"/>
      <c r="Q374" s="261">
        <v>370</v>
      </c>
      <c r="R374" s="262">
        <v>1619</v>
      </c>
      <c r="S374" s="352"/>
      <c r="T374" s="261">
        <v>370</v>
      </c>
      <c r="U374" s="262">
        <v>1620</v>
      </c>
      <c r="V374" s="352"/>
      <c r="W374" s="261">
        <v>370</v>
      </c>
      <c r="X374" s="262">
        <v>2916</v>
      </c>
      <c r="Y374" s="352"/>
      <c r="Z374" s="261">
        <v>370</v>
      </c>
      <c r="AA374" s="262">
        <v>2952.72</v>
      </c>
      <c r="AB374" s="352"/>
      <c r="AC374" s="261">
        <v>370</v>
      </c>
      <c r="AD374" s="262">
        <v>9379.3399999999783</v>
      </c>
      <c r="AE374" s="352"/>
      <c r="AF374" s="261">
        <v>370</v>
      </c>
      <c r="AG374" s="262">
        <v>25226.19</v>
      </c>
      <c r="AH374" s="352"/>
      <c r="AI374" s="261">
        <v>370</v>
      </c>
      <c r="AJ374" s="262">
        <v>10766</v>
      </c>
      <c r="AK374" s="352"/>
      <c r="AL374" s="261"/>
      <c r="AM374" s="262"/>
    </row>
    <row r="375" spans="2:39">
      <c r="B375" s="261" t="s">
        <v>659</v>
      </c>
      <c r="C375" s="261">
        <v>12017</v>
      </c>
      <c r="E375" s="261" t="s">
        <v>659</v>
      </c>
      <c r="F375" s="261">
        <v>11956.73</v>
      </c>
      <c r="H375" s="261" t="s">
        <v>659</v>
      </c>
      <c r="I375" s="262">
        <v>6582</v>
      </c>
      <c r="K375" s="261">
        <v>370</v>
      </c>
      <c r="L375" s="262">
        <v>2699.84</v>
      </c>
      <c r="M375" s="352"/>
      <c r="N375" s="261">
        <v>371</v>
      </c>
      <c r="O375" s="262">
        <v>4241.4799999999996</v>
      </c>
      <c r="P375" s="352"/>
      <c r="Q375" s="261">
        <v>371</v>
      </c>
      <c r="R375" s="262">
        <v>1624</v>
      </c>
      <c r="S375" s="352"/>
      <c r="T375" s="261">
        <v>371</v>
      </c>
      <c r="U375" s="262">
        <v>1625</v>
      </c>
      <c r="V375" s="352"/>
      <c r="W375" s="261">
        <v>371</v>
      </c>
      <c r="X375" s="262">
        <v>2923.5</v>
      </c>
      <c r="Y375" s="352"/>
      <c r="Z375" s="261">
        <v>371</v>
      </c>
      <c r="AA375" s="262">
        <v>2960.23</v>
      </c>
      <c r="AB375" s="352"/>
      <c r="AC375" s="261">
        <v>371</v>
      </c>
      <c r="AD375" s="262">
        <v>9405.0099999999784</v>
      </c>
      <c r="AE375" s="352"/>
      <c r="AF375" s="261">
        <v>371</v>
      </c>
      <c r="AG375" s="262">
        <v>25294.62</v>
      </c>
      <c r="AH375" s="352"/>
      <c r="AI375" s="261">
        <v>371</v>
      </c>
      <c r="AJ375" s="262">
        <v>10794</v>
      </c>
      <c r="AK375" s="352"/>
      <c r="AL375" s="261"/>
      <c r="AM375" s="262"/>
    </row>
    <row r="376" spans="2:39">
      <c r="B376" s="261" t="s">
        <v>660</v>
      </c>
      <c r="C376" s="261">
        <v>12048</v>
      </c>
      <c r="E376" s="261" t="s">
        <v>660</v>
      </c>
      <c r="F376" s="261">
        <v>11987.99</v>
      </c>
      <c r="H376" s="261" t="s">
        <v>660</v>
      </c>
      <c r="I376" s="262">
        <f>I375+18</f>
        <v>6600</v>
      </c>
      <c r="K376" s="261">
        <v>371</v>
      </c>
      <c r="L376" s="262">
        <v>2707.14</v>
      </c>
      <c r="M376" s="352"/>
      <c r="N376" s="261">
        <v>372</v>
      </c>
      <c r="O376" s="262">
        <v>4252.57</v>
      </c>
      <c r="P376" s="352"/>
      <c r="Q376" s="261">
        <v>372</v>
      </c>
      <c r="R376" s="262">
        <v>1628</v>
      </c>
      <c r="S376" s="352"/>
      <c r="T376" s="261">
        <v>372</v>
      </c>
      <c r="U376" s="262">
        <v>1629</v>
      </c>
      <c r="V376" s="352"/>
      <c r="W376" s="261">
        <v>372</v>
      </c>
      <c r="X376" s="262">
        <v>2931.1</v>
      </c>
      <c r="Y376" s="352"/>
      <c r="Z376" s="261">
        <v>372</v>
      </c>
      <c r="AA376" s="262">
        <v>2967.74</v>
      </c>
      <c r="AB376" s="352"/>
      <c r="AC376" s="261">
        <v>372</v>
      </c>
      <c r="AD376" s="262">
        <v>9430.6699999999782</v>
      </c>
      <c r="AE376" s="352"/>
      <c r="AF376" s="261">
        <v>372</v>
      </c>
      <c r="AG376" s="262">
        <v>25363.040000000001</v>
      </c>
      <c r="AH376" s="352"/>
      <c r="AI376" s="261">
        <v>372</v>
      </c>
      <c r="AJ376" s="262">
        <v>10822</v>
      </c>
      <c r="AK376" s="352"/>
      <c r="AL376" s="261"/>
      <c r="AM376" s="262"/>
    </row>
    <row r="377" spans="2:39">
      <c r="B377" s="261" t="s">
        <v>661</v>
      </c>
      <c r="C377" s="261">
        <v>12080</v>
      </c>
      <c r="E377" s="261" t="s">
        <v>661</v>
      </c>
      <c r="F377" s="261">
        <v>12019.38</v>
      </c>
      <c r="H377" s="261" t="s">
        <v>661</v>
      </c>
      <c r="I377" s="262">
        <v>6618</v>
      </c>
      <c r="K377" s="261">
        <v>372</v>
      </c>
      <c r="L377" s="262">
        <v>2714.44</v>
      </c>
      <c r="M377" s="352"/>
      <c r="N377" s="261">
        <v>373</v>
      </c>
      <c r="O377" s="262">
        <v>4263.67</v>
      </c>
      <c r="P377" s="352"/>
      <c r="Q377" s="261">
        <v>373</v>
      </c>
      <c r="R377" s="262">
        <v>1632</v>
      </c>
      <c r="S377" s="352"/>
      <c r="T377" s="261">
        <v>373</v>
      </c>
      <c r="U377" s="262">
        <v>1633</v>
      </c>
      <c r="V377" s="352"/>
      <c r="W377" s="261">
        <v>373</v>
      </c>
      <c r="X377" s="262">
        <v>2938.6</v>
      </c>
      <c r="Y377" s="352"/>
      <c r="Z377" s="261">
        <v>373</v>
      </c>
      <c r="AA377" s="262">
        <v>2975.26</v>
      </c>
      <c r="AB377" s="352"/>
      <c r="AC377" s="261">
        <v>373</v>
      </c>
      <c r="AD377" s="262">
        <v>9456.3299999999781</v>
      </c>
      <c r="AE377" s="352"/>
      <c r="AF377" s="261">
        <v>373</v>
      </c>
      <c r="AG377" s="262">
        <v>25431.46</v>
      </c>
      <c r="AH377" s="352"/>
      <c r="AI377" s="261">
        <v>373</v>
      </c>
      <c r="AJ377" s="262">
        <v>10851</v>
      </c>
      <c r="AK377" s="352"/>
      <c r="AL377" s="261"/>
      <c r="AM377" s="262"/>
    </row>
    <row r="378" spans="2:39">
      <c r="B378" s="261" t="s">
        <v>662</v>
      </c>
      <c r="C378" s="261">
        <v>12111</v>
      </c>
      <c r="E378" s="261" t="s">
        <v>662</v>
      </c>
      <c r="F378" s="261">
        <v>12050.64</v>
      </c>
      <c r="H378" s="261" t="s">
        <v>662</v>
      </c>
      <c r="I378" s="262">
        <f>I377+18</f>
        <v>6636</v>
      </c>
      <c r="K378" s="261">
        <v>373</v>
      </c>
      <c r="L378" s="262">
        <v>2721.73</v>
      </c>
      <c r="M378" s="352"/>
      <c r="N378" s="261">
        <v>374</v>
      </c>
      <c r="O378" s="262">
        <v>4274.7700000000004</v>
      </c>
      <c r="P378" s="352"/>
      <c r="Q378" s="261">
        <v>374</v>
      </c>
      <c r="R378" s="262">
        <v>1636</v>
      </c>
      <c r="S378" s="352"/>
      <c r="T378" s="261">
        <v>374</v>
      </c>
      <c r="U378" s="262">
        <v>1637</v>
      </c>
      <c r="V378" s="352"/>
      <c r="W378" s="261">
        <v>374</v>
      </c>
      <c r="X378" s="262">
        <v>2946.1</v>
      </c>
      <c r="Y378" s="352"/>
      <c r="Z378" s="261">
        <v>374</v>
      </c>
      <c r="AA378" s="262">
        <v>2982.77</v>
      </c>
      <c r="AB378" s="352"/>
      <c r="AC378" s="261">
        <v>374</v>
      </c>
      <c r="AD378" s="262">
        <v>9481.989999999978</v>
      </c>
      <c r="AE378" s="352"/>
      <c r="AF378" s="261">
        <v>374</v>
      </c>
      <c r="AG378" s="262">
        <v>25499.89</v>
      </c>
      <c r="AH378" s="352"/>
      <c r="AI378" s="261">
        <v>374</v>
      </c>
      <c r="AJ378" s="262">
        <v>10879</v>
      </c>
      <c r="AK378" s="352"/>
      <c r="AL378" s="261"/>
      <c r="AM378" s="262"/>
    </row>
    <row r="379" spans="2:39">
      <c r="B379" s="261" t="s">
        <v>663</v>
      </c>
      <c r="C379" s="261">
        <v>12142</v>
      </c>
      <c r="E379" s="261" t="s">
        <v>663</v>
      </c>
      <c r="F379" s="261">
        <v>12082.03</v>
      </c>
      <c r="H379" s="261" t="s">
        <v>663</v>
      </c>
      <c r="I379" s="262">
        <v>6653</v>
      </c>
      <c r="K379" s="261">
        <v>374</v>
      </c>
      <c r="L379" s="262">
        <v>2729.04</v>
      </c>
      <c r="M379" s="352"/>
      <c r="N379" s="261">
        <v>375</v>
      </c>
      <c r="O379" s="262">
        <v>4285.87</v>
      </c>
      <c r="P379" s="352"/>
      <c r="Q379" s="261">
        <v>375</v>
      </c>
      <c r="R379" s="262">
        <v>1640</v>
      </c>
      <c r="S379" s="352"/>
      <c r="T379" s="261">
        <v>375</v>
      </c>
      <c r="U379" s="262">
        <v>1641</v>
      </c>
      <c r="V379" s="352"/>
      <c r="W379" s="261">
        <v>375</v>
      </c>
      <c r="X379" s="262">
        <v>2953.6</v>
      </c>
      <c r="Y379" s="352"/>
      <c r="Z379" s="261">
        <v>375</v>
      </c>
      <c r="AA379" s="262">
        <v>2990.28</v>
      </c>
      <c r="AB379" s="352"/>
      <c r="AC379" s="261">
        <v>375</v>
      </c>
      <c r="AD379" s="262">
        <v>9507.6499999999778</v>
      </c>
      <c r="AE379" s="352"/>
      <c r="AF379" s="261">
        <v>375</v>
      </c>
      <c r="AG379" s="262">
        <v>25568.31</v>
      </c>
      <c r="AH379" s="352"/>
      <c r="AI379" s="261">
        <v>375</v>
      </c>
      <c r="AJ379" s="262">
        <v>10908</v>
      </c>
      <c r="AK379" s="352"/>
      <c r="AL379" s="261"/>
      <c r="AM379" s="262"/>
    </row>
    <row r="380" spans="2:39">
      <c r="B380" s="261" t="s">
        <v>664</v>
      </c>
      <c r="C380" s="261">
        <v>12173</v>
      </c>
      <c r="E380" s="261" t="s">
        <v>664</v>
      </c>
      <c r="F380" s="261">
        <v>12113.29</v>
      </c>
      <c r="H380" s="261" t="s">
        <v>664</v>
      </c>
      <c r="I380" s="262">
        <f>I379+18</f>
        <v>6671</v>
      </c>
      <c r="K380" s="261">
        <v>375</v>
      </c>
      <c r="L380" s="262">
        <v>2736.33</v>
      </c>
      <c r="M380" s="352"/>
      <c r="N380" s="261">
        <v>376</v>
      </c>
      <c r="O380" s="262">
        <v>4296.97</v>
      </c>
      <c r="P380" s="352"/>
      <c r="Q380" s="261">
        <v>376</v>
      </c>
      <c r="R380" s="262">
        <v>1644</v>
      </c>
      <c r="S380" s="352"/>
      <c r="T380" s="261">
        <v>376</v>
      </c>
      <c r="U380" s="262">
        <v>1645</v>
      </c>
      <c r="V380" s="352"/>
      <c r="W380" s="261">
        <v>376</v>
      </c>
      <c r="X380" s="262">
        <v>2961.1</v>
      </c>
      <c r="Y380" s="352"/>
      <c r="Z380" s="261">
        <v>376</v>
      </c>
      <c r="AA380" s="262">
        <v>2997.79</v>
      </c>
      <c r="AB380" s="352"/>
      <c r="AC380" s="261">
        <v>376</v>
      </c>
      <c r="AD380" s="262">
        <v>9533.3199999999779</v>
      </c>
      <c r="AE380" s="352"/>
      <c r="AF380" s="261">
        <v>376</v>
      </c>
      <c r="AG380" s="262">
        <v>25636.74</v>
      </c>
      <c r="AH380" s="352"/>
      <c r="AI380" s="261">
        <v>376</v>
      </c>
      <c r="AJ380" s="262">
        <v>10936</v>
      </c>
      <c r="AK380" s="352"/>
      <c r="AL380" s="261"/>
      <c r="AM380" s="262"/>
    </row>
    <row r="381" spans="2:39">
      <c r="B381" s="261" t="s">
        <v>665</v>
      </c>
      <c r="C381" s="261">
        <v>12205</v>
      </c>
      <c r="E381" s="261" t="s">
        <v>665</v>
      </c>
      <c r="F381" s="261">
        <v>12144.67</v>
      </c>
      <c r="H381" s="261" t="s">
        <v>665</v>
      </c>
      <c r="I381" s="262">
        <v>6688</v>
      </c>
      <c r="K381" s="261">
        <v>376</v>
      </c>
      <c r="L381" s="262">
        <v>2743.63</v>
      </c>
      <c r="M381" s="352"/>
      <c r="N381" s="261">
        <v>377</v>
      </c>
      <c r="O381" s="262">
        <v>4308.07</v>
      </c>
      <c r="P381" s="352"/>
      <c r="Q381" s="261">
        <v>377</v>
      </c>
      <c r="R381" s="262">
        <v>1648</v>
      </c>
      <c r="S381" s="352"/>
      <c r="T381" s="261">
        <v>377</v>
      </c>
      <c r="U381" s="262">
        <v>1649</v>
      </c>
      <c r="V381" s="352"/>
      <c r="W381" s="261">
        <v>377</v>
      </c>
      <c r="X381" s="262">
        <v>2968.6</v>
      </c>
      <c r="Y381" s="352"/>
      <c r="Z381" s="261">
        <v>377</v>
      </c>
      <c r="AA381" s="262">
        <v>3005.31</v>
      </c>
      <c r="AB381" s="352"/>
      <c r="AC381" s="261">
        <v>377</v>
      </c>
      <c r="AD381" s="262">
        <v>9558.9799999999777</v>
      </c>
      <c r="AE381" s="352"/>
      <c r="AF381" s="261">
        <v>377</v>
      </c>
      <c r="AG381" s="262">
        <v>25705.16</v>
      </c>
      <c r="AH381" s="352"/>
      <c r="AI381" s="261">
        <v>377</v>
      </c>
      <c r="AJ381" s="262">
        <v>10964</v>
      </c>
      <c r="AK381" s="352"/>
      <c r="AL381" s="261"/>
      <c r="AM381" s="262"/>
    </row>
    <row r="382" spans="2:39">
      <c r="B382" s="261" t="s">
        <v>666</v>
      </c>
      <c r="C382" s="261">
        <v>12236</v>
      </c>
      <c r="E382" s="261" t="s">
        <v>666</v>
      </c>
      <c r="F382" s="261">
        <v>12175.93</v>
      </c>
      <c r="H382" s="261" t="s">
        <v>666</v>
      </c>
      <c r="I382" s="262">
        <f>I381+18</f>
        <v>6706</v>
      </c>
      <c r="K382" s="261">
        <v>377</v>
      </c>
      <c r="L382" s="262">
        <v>2750.93</v>
      </c>
      <c r="M382" s="352"/>
      <c r="N382" s="261">
        <v>378</v>
      </c>
      <c r="O382" s="262">
        <v>4319.16</v>
      </c>
      <c r="P382" s="352"/>
      <c r="Q382" s="261">
        <v>378</v>
      </c>
      <c r="R382" s="262">
        <v>1652</v>
      </c>
      <c r="S382" s="352"/>
      <c r="T382" s="261">
        <v>378</v>
      </c>
      <c r="U382" s="262">
        <v>1654</v>
      </c>
      <c r="V382" s="352"/>
      <c r="W382" s="261">
        <v>378</v>
      </c>
      <c r="X382" s="262">
        <v>2976.1</v>
      </c>
      <c r="Y382" s="352"/>
      <c r="Z382" s="261">
        <v>378</v>
      </c>
      <c r="AA382" s="262">
        <v>3012.82</v>
      </c>
      <c r="AB382" s="352"/>
      <c r="AC382" s="261">
        <v>378</v>
      </c>
      <c r="AD382" s="262">
        <v>9584.6399999999776</v>
      </c>
      <c r="AE382" s="352"/>
      <c r="AF382" s="261">
        <v>378</v>
      </c>
      <c r="AG382" s="262">
        <v>25773.58</v>
      </c>
      <c r="AH382" s="352"/>
      <c r="AI382" s="261">
        <v>378</v>
      </c>
      <c r="AJ382" s="262">
        <v>10993</v>
      </c>
      <c r="AK382" s="352"/>
      <c r="AL382" s="261"/>
      <c r="AM382" s="262"/>
    </row>
    <row r="383" spans="2:39">
      <c r="B383" s="261" t="s">
        <v>667</v>
      </c>
      <c r="C383" s="261">
        <v>12268</v>
      </c>
      <c r="E383" s="261" t="s">
        <v>667</v>
      </c>
      <c r="F383" s="261">
        <v>12207.33</v>
      </c>
      <c r="H383" s="261" t="s">
        <v>667</v>
      </c>
      <c r="I383" s="262">
        <v>6724</v>
      </c>
      <c r="K383" s="261">
        <v>378</v>
      </c>
      <c r="L383" s="262">
        <v>2758.23</v>
      </c>
      <c r="M383" s="352"/>
      <c r="N383" s="261">
        <v>379</v>
      </c>
      <c r="O383" s="262">
        <v>4330.26</v>
      </c>
      <c r="P383" s="352"/>
      <c r="Q383" s="261">
        <v>379</v>
      </c>
      <c r="R383" s="262">
        <v>1657</v>
      </c>
      <c r="S383" s="352"/>
      <c r="T383" s="261">
        <v>379</v>
      </c>
      <c r="U383" s="262">
        <v>1658</v>
      </c>
      <c r="V383" s="352"/>
      <c r="W383" s="261">
        <v>379</v>
      </c>
      <c r="X383" s="262">
        <v>2983.7</v>
      </c>
      <c r="Y383" s="352"/>
      <c r="Z383" s="261">
        <v>379</v>
      </c>
      <c r="AA383" s="262">
        <v>3020.33</v>
      </c>
      <c r="AB383" s="352"/>
      <c r="AC383" s="261">
        <v>379</v>
      </c>
      <c r="AD383" s="262">
        <v>9610.2999999999774</v>
      </c>
      <c r="AE383" s="352"/>
      <c r="AF383" s="261">
        <v>379</v>
      </c>
      <c r="AG383" s="262">
        <v>25842.01</v>
      </c>
      <c r="AH383" s="352"/>
      <c r="AI383" s="261">
        <v>379</v>
      </c>
      <c r="AJ383" s="262">
        <v>11021</v>
      </c>
      <c r="AK383" s="352"/>
      <c r="AL383" s="261"/>
      <c r="AM383" s="262"/>
    </row>
    <row r="384" spans="2:39">
      <c r="B384" s="261" t="s">
        <v>668</v>
      </c>
      <c r="C384" s="261">
        <v>12299</v>
      </c>
      <c r="E384" s="261" t="s">
        <v>668</v>
      </c>
      <c r="F384" s="261">
        <v>12238.59</v>
      </c>
      <c r="H384" s="261" t="s">
        <v>668</v>
      </c>
      <c r="I384" s="262">
        <f>I383+18</f>
        <v>6742</v>
      </c>
      <c r="K384" s="261">
        <v>379</v>
      </c>
      <c r="L384" s="262">
        <v>2765.53</v>
      </c>
      <c r="M384" s="352"/>
      <c r="N384" s="261">
        <v>380</v>
      </c>
      <c r="O384" s="262">
        <v>4341.3599999999997</v>
      </c>
      <c r="P384" s="352"/>
      <c r="Q384" s="261">
        <v>380</v>
      </c>
      <c r="R384" s="262">
        <v>1661</v>
      </c>
      <c r="S384" s="352"/>
      <c r="T384" s="261">
        <v>380</v>
      </c>
      <c r="U384" s="262">
        <v>1662</v>
      </c>
      <c r="V384" s="352"/>
      <c r="W384" s="261">
        <v>380</v>
      </c>
      <c r="X384" s="262">
        <v>2991.2</v>
      </c>
      <c r="Y384" s="352"/>
      <c r="Z384" s="261">
        <v>380</v>
      </c>
      <c r="AA384" s="262">
        <v>3027.84</v>
      </c>
      <c r="AB384" s="352"/>
      <c r="AC384" s="261">
        <v>380</v>
      </c>
      <c r="AD384" s="262">
        <v>9635.9599999999773</v>
      </c>
      <c r="AE384" s="352"/>
      <c r="AF384" s="261">
        <v>380</v>
      </c>
      <c r="AG384" s="262">
        <v>25910.43</v>
      </c>
      <c r="AH384" s="352"/>
      <c r="AI384" s="261">
        <v>380</v>
      </c>
      <c r="AJ384" s="262">
        <v>11050</v>
      </c>
      <c r="AK384" s="352"/>
      <c r="AL384" s="261"/>
      <c r="AM384" s="262"/>
    </row>
    <row r="385" spans="2:39">
      <c r="B385" s="261" t="s">
        <v>669</v>
      </c>
      <c r="C385" s="261">
        <v>12331</v>
      </c>
      <c r="E385" s="261" t="s">
        <v>669</v>
      </c>
      <c r="F385" s="261">
        <v>12269.98</v>
      </c>
      <c r="H385" s="261" t="s">
        <v>669</v>
      </c>
      <c r="I385" s="262">
        <v>6759</v>
      </c>
      <c r="K385" s="261">
        <v>380</v>
      </c>
      <c r="L385" s="262">
        <v>2772.83</v>
      </c>
      <c r="M385" s="352"/>
      <c r="N385" s="261">
        <v>381</v>
      </c>
      <c r="O385" s="262">
        <v>4352.46</v>
      </c>
      <c r="P385" s="352"/>
      <c r="Q385" s="261">
        <v>381</v>
      </c>
      <c r="R385" s="262">
        <v>1665</v>
      </c>
      <c r="S385" s="352"/>
      <c r="T385" s="261">
        <v>381</v>
      </c>
      <c r="U385" s="262">
        <v>1666</v>
      </c>
      <c r="V385" s="352"/>
      <c r="W385" s="261">
        <v>381</v>
      </c>
      <c r="X385" s="262">
        <v>2998.7</v>
      </c>
      <c r="Y385" s="352"/>
      <c r="Z385" s="261">
        <v>381</v>
      </c>
      <c r="AA385" s="262">
        <v>3035.35</v>
      </c>
      <c r="AB385" s="352"/>
      <c r="AC385" s="261">
        <v>381</v>
      </c>
      <c r="AD385" s="262">
        <v>9661.6299999999774</v>
      </c>
      <c r="AE385" s="352"/>
      <c r="AF385" s="261">
        <v>381</v>
      </c>
      <c r="AG385" s="262">
        <v>25978.86</v>
      </c>
      <c r="AH385" s="352"/>
      <c r="AI385" s="261">
        <v>381</v>
      </c>
      <c r="AJ385" s="262">
        <v>11078</v>
      </c>
      <c r="AK385" s="352"/>
      <c r="AL385" s="261"/>
      <c r="AM385" s="262"/>
    </row>
    <row r="386" spans="2:39">
      <c r="B386" s="261" t="s">
        <v>670</v>
      </c>
      <c r="C386" s="261">
        <v>12362</v>
      </c>
      <c r="E386" s="261" t="s">
        <v>670</v>
      </c>
      <c r="F386" s="261">
        <v>12301.24</v>
      </c>
      <c r="H386" s="261" t="s">
        <v>670</v>
      </c>
      <c r="I386" s="262">
        <f>I385+18</f>
        <v>6777</v>
      </c>
      <c r="K386" s="261">
        <v>381</v>
      </c>
      <c r="L386" s="262">
        <v>2780.13</v>
      </c>
      <c r="M386" s="352"/>
      <c r="N386" s="261">
        <v>382</v>
      </c>
      <c r="O386" s="262">
        <v>4363.5600000000004</v>
      </c>
      <c r="P386" s="352"/>
      <c r="Q386" s="261">
        <v>382</v>
      </c>
      <c r="R386" s="262">
        <v>1669</v>
      </c>
      <c r="S386" s="352"/>
      <c r="T386" s="261">
        <v>382</v>
      </c>
      <c r="U386" s="262">
        <v>1670</v>
      </c>
      <c r="V386" s="352"/>
      <c r="W386" s="261">
        <v>382</v>
      </c>
      <c r="X386" s="262">
        <v>3006.2</v>
      </c>
      <c r="Y386" s="352"/>
      <c r="Z386" s="261">
        <v>382</v>
      </c>
      <c r="AA386" s="262">
        <v>3042.87</v>
      </c>
      <c r="AB386" s="352"/>
      <c r="AC386" s="261">
        <v>382</v>
      </c>
      <c r="AD386" s="262">
        <v>9687.2899999999772</v>
      </c>
      <c r="AE386" s="352"/>
      <c r="AF386" s="261">
        <v>382</v>
      </c>
      <c r="AG386" s="262">
        <v>26047.279999999999</v>
      </c>
      <c r="AH386" s="352"/>
      <c r="AI386" s="261">
        <v>382</v>
      </c>
      <c r="AJ386" s="262">
        <v>11106</v>
      </c>
      <c r="AK386" s="352"/>
      <c r="AL386" s="261"/>
      <c r="AM386" s="262"/>
    </row>
    <row r="387" spans="2:39">
      <c r="B387" s="261" t="s">
        <v>671</v>
      </c>
      <c r="C387" s="261">
        <v>12394</v>
      </c>
      <c r="E387" s="261" t="s">
        <v>671</v>
      </c>
      <c r="F387" s="261">
        <v>12332.63</v>
      </c>
      <c r="H387" s="261" t="s">
        <v>671</v>
      </c>
      <c r="I387" s="262">
        <v>6794</v>
      </c>
      <c r="K387" s="261">
        <v>382</v>
      </c>
      <c r="L387" s="262">
        <v>2787.43</v>
      </c>
      <c r="M387" s="352"/>
      <c r="N387" s="261">
        <v>383</v>
      </c>
      <c r="O387" s="262">
        <v>4374.66</v>
      </c>
      <c r="P387" s="352"/>
      <c r="Q387" s="261">
        <v>383</v>
      </c>
      <c r="R387" s="262">
        <v>1673</v>
      </c>
      <c r="S387" s="352"/>
      <c r="T387" s="261">
        <v>383</v>
      </c>
      <c r="U387" s="262">
        <v>1674</v>
      </c>
      <c r="V387" s="352"/>
      <c r="W387" s="261">
        <v>383</v>
      </c>
      <c r="X387" s="262">
        <v>3013.7</v>
      </c>
      <c r="Y387" s="352"/>
      <c r="Z387" s="261">
        <v>383</v>
      </c>
      <c r="AA387" s="262">
        <v>3050.38</v>
      </c>
      <c r="AB387" s="352"/>
      <c r="AC387" s="261">
        <v>383</v>
      </c>
      <c r="AD387" s="262">
        <v>9712.9499999999771</v>
      </c>
      <c r="AE387" s="352"/>
      <c r="AF387" s="261">
        <v>383</v>
      </c>
      <c r="AG387" s="262">
        <v>26115.7</v>
      </c>
      <c r="AH387" s="352"/>
      <c r="AI387" s="261">
        <v>383</v>
      </c>
      <c r="AJ387" s="262">
        <v>11135</v>
      </c>
      <c r="AK387" s="352"/>
      <c r="AL387" s="261"/>
      <c r="AM387" s="262"/>
    </row>
    <row r="388" spans="2:39">
      <c r="B388" s="261" t="s">
        <v>672</v>
      </c>
      <c r="C388" s="261">
        <v>12425</v>
      </c>
      <c r="E388" s="261" t="s">
        <v>672</v>
      </c>
      <c r="F388" s="261">
        <v>12363.89</v>
      </c>
      <c r="H388" s="261" t="s">
        <v>672</v>
      </c>
      <c r="I388" s="262">
        <f>I387+18</f>
        <v>6812</v>
      </c>
      <c r="K388" s="261">
        <v>383</v>
      </c>
      <c r="L388" s="262">
        <v>2794.73</v>
      </c>
      <c r="M388" s="352"/>
      <c r="N388" s="261">
        <v>384</v>
      </c>
      <c r="O388" s="262">
        <v>4385.75</v>
      </c>
      <c r="P388" s="352"/>
      <c r="Q388" s="261">
        <v>384</v>
      </c>
      <c r="R388" s="262">
        <v>1677</v>
      </c>
      <c r="S388" s="352"/>
      <c r="T388" s="261">
        <v>384</v>
      </c>
      <c r="U388" s="262">
        <v>1678</v>
      </c>
      <c r="V388" s="352"/>
      <c r="W388" s="261">
        <v>384</v>
      </c>
      <c r="X388" s="262">
        <v>3021.2</v>
      </c>
      <c r="Y388" s="352"/>
      <c r="Z388" s="261">
        <v>384</v>
      </c>
      <c r="AA388" s="262">
        <v>3057.89</v>
      </c>
      <c r="AB388" s="352"/>
      <c r="AC388" s="261">
        <v>384</v>
      </c>
      <c r="AD388" s="262">
        <v>9738.6099999999769</v>
      </c>
      <c r="AE388" s="352"/>
      <c r="AF388" s="261">
        <v>384</v>
      </c>
      <c r="AG388" s="262">
        <v>26184.13</v>
      </c>
      <c r="AH388" s="352"/>
      <c r="AI388" s="261">
        <v>384</v>
      </c>
      <c r="AJ388" s="262">
        <v>11163</v>
      </c>
      <c r="AK388" s="352"/>
      <c r="AL388" s="261"/>
      <c r="AM388" s="262"/>
    </row>
    <row r="389" spans="2:39">
      <c r="B389" s="261" t="s">
        <v>673</v>
      </c>
      <c r="C389" s="261">
        <v>12456</v>
      </c>
      <c r="E389" s="261" t="s">
        <v>673</v>
      </c>
      <c r="F389" s="261">
        <v>12395.28</v>
      </c>
      <c r="H389" s="261" t="s">
        <v>673</v>
      </c>
      <c r="I389" s="262">
        <v>6830</v>
      </c>
      <c r="K389" s="261">
        <v>384</v>
      </c>
      <c r="L389" s="262">
        <v>2802.03</v>
      </c>
      <c r="M389" s="352"/>
      <c r="N389" s="261">
        <v>385</v>
      </c>
      <c r="O389" s="262">
        <v>4396.8500000000004</v>
      </c>
      <c r="P389" s="352"/>
      <c r="Q389" s="261">
        <v>385</v>
      </c>
      <c r="R389" s="262">
        <v>1681</v>
      </c>
      <c r="S389" s="352"/>
      <c r="T389" s="261">
        <v>385</v>
      </c>
      <c r="U389" s="262">
        <v>1683</v>
      </c>
      <c r="V389" s="352"/>
      <c r="W389" s="261">
        <v>385</v>
      </c>
      <c r="X389" s="262">
        <v>3028.7</v>
      </c>
      <c r="Y389" s="352"/>
      <c r="Z389" s="261">
        <v>385</v>
      </c>
      <c r="AA389" s="262">
        <v>3065.4</v>
      </c>
      <c r="AB389" s="352"/>
      <c r="AC389" s="261">
        <v>385</v>
      </c>
      <c r="AD389" s="262">
        <v>9764.2699999999768</v>
      </c>
      <c r="AE389" s="352"/>
      <c r="AF389" s="261">
        <v>385</v>
      </c>
      <c r="AG389" s="262">
        <v>26252.55</v>
      </c>
      <c r="AH389" s="352"/>
      <c r="AI389" s="261">
        <v>385</v>
      </c>
      <c r="AJ389" s="262">
        <v>11192</v>
      </c>
      <c r="AK389" s="352"/>
      <c r="AL389" s="261"/>
      <c r="AM389" s="262"/>
    </row>
    <row r="390" spans="2:39">
      <c r="B390" s="261" t="s">
        <v>674</v>
      </c>
      <c r="C390" s="261">
        <v>12487</v>
      </c>
      <c r="E390" s="261" t="s">
        <v>674</v>
      </c>
      <c r="F390" s="261">
        <v>12426.54</v>
      </c>
      <c r="H390" s="261" t="s">
        <v>674</v>
      </c>
      <c r="I390" s="262">
        <f>I389+18</f>
        <v>6848</v>
      </c>
      <c r="K390" s="261">
        <v>385</v>
      </c>
      <c r="L390" s="262">
        <v>2809.33</v>
      </c>
      <c r="M390" s="352"/>
      <c r="N390" s="261">
        <v>386</v>
      </c>
      <c r="O390" s="262">
        <v>4407.95</v>
      </c>
      <c r="P390" s="352"/>
      <c r="Q390" s="261">
        <v>386</v>
      </c>
      <c r="R390" s="262">
        <v>1686</v>
      </c>
      <c r="S390" s="352"/>
      <c r="T390" s="261">
        <v>386</v>
      </c>
      <c r="U390" s="262">
        <v>1687</v>
      </c>
      <c r="V390" s="352"/>
      <c r="W390" s="261">
        <v>386</v>
      </c>
      <c r="X390" s="262">
        <v>3036.2</v>
      </c>
      <c r="Y390" s="352"/>
      <c r="Z390" s="261">
        <v>386</v>
      </c>
      <c r="AA390" s="262">
        <v>3072.92</v>
      </c>
      <c r="AB390" s="352"/>
      <c r="AC390" s="261">
        <v>386</v>
      </c>
      <c r="AD390" s="262">
        <v>9789.9399999999769</v>
      </c>
      <c r="AE390" s="352"/>
      <c r="AF390" s="261">
        <v>386</v>
      </c>
      <c r="AG390" s="262">
        <v>26320.98</v>
      </c>
      <c r="AH390" s="352"/>
      <c r="AI390" s="261">
        <v>386</v>
      </c>
      <c r="AJ390" s="262">
        <v>11220</v>
      </c>
      <c r="AK390" s="352"/>
      <c r="AL390" s="261"/>
      <c r="AM390" s="262"/>
    </row>
    <row r="391" spans="2:39">
      <c r="B391" s="261" t="s">
        <v>675</v>
      </c>
      <c r="C391" s="261">
        <v>12519</v>
      </c>
      <c r="E391" s="261" t="s">
        <v>675</v>
      </c>
      <c r="F391" s="261">
        <v>12457.92</v>
      </c>
      <c r="H391" s="261" t="s">
        <v>675</v>
      </c>
      <c r="I391" s="262">
        <v>6865</v>
      </c>
      <c r="K391" s="261">
        <v>386</v>
      </c>
      <c r="L391" s="262">
        <v>2816.63</v>
      </c>
      <c r="M391" s="352"/>
      <c r="N391" s="261">
        <v>387</v>
      </c>
      <c r="O391" s="262">
        <v>4419.05</v>
      </c>
      <c r="P391" s="352"/>
      <c r="Q391" s="261">
        <v>387</v>
      </c>
      <c r="R391" s="262">
        <v>1690</v>
      </c>
      <c r="S391" s="352"/>
      <c r="T391" s="261">
        <v>387</v>
      </c>
      <c r="U391" s="262">
        <v>1691</v>
      </c>
      <c r="V391" s="352"/>
      <c r="W391" s="261">
        <v>387</v>
      </c>
      <c r="X391" s="262">
        <v>3043.8</v>
      </c>
      <c r="Y391" s="352"/>
      <c r="Z391" s="261">
        <v>387</v>
      </c>
      <c r="AA391" s="262">
        <v>3080.43</v>
      </c>
      <c r="AB391" s="352"/>
      <c r="AC391" s="261">
        <v>387</v>
      </c>
      <c r="AD391" s="262">
        <v>9815.5999999999767</v>
      </c>
      <c r="AE391" s="352"/>
      <c r="AF391" s="261">
        <v>387</v>
      </c>
      <c r="AG391" s="262">
        <v>26389.4</v>
      </c>
      <c r="AH391" s="352"/>
      <c r="AI391" s="261">
        <v>387</v>
      </c>
      <c r="AJ391" s="262">
        <v>11248</v>
      </c>
      <c r="AK391" s="352"/>
      <c r="AL391" s="261"/>
      <c r="AM391" s="262"/>
    </row>
    <row r="392" spans="2:39">
      <c r="B392" s="261" t="s">
        <v>676</v>
      </c>
      <c r="C392" s="261">
        <v>12550</v>
      </c>
      <c r="E392" s="261" t="s">
        <v>676</v>
      </c>
      <c r="F392" s="261">
        <v>12489.18</v>
      </c>
      <c r="H392" s="261" t="s">
        <v>676</v>
      </c>
      <c r="I392" s="262">
        <f>I391+18</f>
        <v>6883</v>
      </c>
      <c r="K392" s="261">
        <v>387</v>
      </c>
      <c r="L392" s="262">
        <v>2823.92</v>
      </c>
      <c r="M392" s="352"/>
      <c r="N392" s="261">
        <v>388</v>
      </c>
      <c r="O392" s="262">
        <v>4430.1499999999996</v>
      </c>
      <c r="P392" s="352"/>
      <c r="Q392" s="261">
        <v>388</v>
      </c>
      <c r="R392" s="262">
        <v>1694</v>
      </c>
      <c r="S392" s="352"/>
      <c r="T392" s="261">
        <v>388</v>
      </c>
      <c r="U392" s="262">
        <v>1695</v>
      </c>
      <c r="V392" s="352"/>
      <c r="W392" s="261">
        <v>388</v>
      </c>
      <c r="X392" s="262">
        <v>3051.3</v>
      </c>
      <c r="Y392" s="352"/>
      <c r="Z392" s="261">
        <v>388</v>
      </c>
      <c r="AA392" s="262">
        <v>3087.94</v>
      </c>
      <c r="AB392" s="352"/>
      <c r="AC392" s="261">
        <v>388</v>
      </c>
      <c r="AD392" s="262">
        <v>9841.2599999999766</v>
      </c>
      <c r="AE392" s="352"/>
      <c r="AF392" s="261">
        <v>388</v>
      </c>
      <c r="AG392" s="262">
        <v>26457.82</v>
      </c>
      <c r="AH392" s="352"/>
      <c r="AI392" s="261">
        <v>388</v>
      </c>
      <c r="AJ392" s="262">
        <v>11277</v>
      </c>
      <c r="AK392" s="352"/>
      <c r="AL392" s="261"/>
      <c r="AM392" s="262"/>
    </row>
    <row r="393" spans="2:39">
      <c r="B393" s="261" t="s">
        <v>677</v>
      </c>
      <c r="C393" s="261">
        <v>12582</v>
      </c>
      <c r="E393" s="261" t="s">
        <v>677</v>
      </c>
      <c r="F393" s="261">
        <v>12520.58</v>
      </c>
      <c r="H393" s="261" t="s">
        <v>677</v>
      </c>
      <c r="I393" s="262">
        <v>6900</v>
      </c>
      <c r="K393" s="261">
        <v>388</v>
      </c>
      <c r="L393" s="262">
        <v>2831.22</v>
      </c>
      <c r="M393" s="352"/>
      <c r="N393" s="261">
        <v>389</v>
      </c>
      <c r="O393" s="262">
        <v>4441.25</v>
      </c>
      <c r="P393" s="352"/>
      <c r="Q393" s="261">
        <v>389</v>
      </c>
      <c r="R393" s="262">
        <v>1698</v>
      </c>
      <c r="S393" s="352"/>
      <c r="T393" s="261">
        <v>389</v>
      </c>
      <c r="U393" s="262">
        <v>1699</v>
      </c>
      <c r="V393" s="352"/>
      <c r="W393" s="261">
        <v>389</v>
      </c>
      <c r="X393" s="262">
        <v>3058.8</v>
      </c>
      <c r="Y393" s="352"/>
      <c r="Z393" s="261">
        <v>389</v>
      </c>
      <c r="AA393" s="262">
        <v>3095.45</v>
      </c>
      <c r="AB393" s="352"/>
      <c r="AC393" s="261">
        <v>389</v>
      </c>
      <c r="AD393" s="262">
        <v>9866.9199999999764</v>
      </c>
      <c r="AE393" s="352"/>
      <c r="AF393" s="261">
        <v>389</v>
      </c>
      <c r="AG393" s="262">
        <v>26526.25</v>
      </c>
      <c r="AH393" s="352"/>
      <c r="AI393" s="261">
        <v>389</v>
      </c>
      <c r="AJ393" s="262">
        <v>11305</v>
      </c>
      <c r="AK393" s="352"/>
      <c r="AL393" s="261"/>
      <c r="AM393" s="262"/>
    </row>
    <row r="394" spans="2:39">
      <c r="B394" s="261" t="s">
        <v>678</v>
      </c>
      <c r="C394" s="261">
        <v>12613</v>
      </c>
      <c r="E394" s="261" t="s">
        <v>678</v>
      </c>
      <c r="F394" s="261">
        <v>12551.84</v>
      </c>
      <c r="H394" s="261" t="s">
        <v>678</v>
      </c>
      <c r="I394" s="262">
        <f>I393+18</f>
        <v>6918</v>
      </c>
      <c r="K394" s="261">
        <v>389</v>
      </c>
      <c r="L394" s="262">
        <v>2838.52</v>
      </c>
      <c r="M394" s="352"/>
      <c r="N394" s="261">
        <v>390</v>
      </c>
      <c r="O394" s="262">
        <v>4452.3500000000004</v>
      </c>
      <c r="P394" s="352"/>
      <c r="Q394" s="261">
        <v>390</v>
      </c>
      <c r="R394" s="262">
        <v>1702</v>
      </c>
      <c r="S394" s="352"/>
      <c r="T394" s="261">
        <v>390</v>
      </c>
      <c r="U394" s="262">
        <v>1703</v>
      </c>
      <c r="V394" s="352"/>
      <c r="W394" s="261">
        <v>390</v>
      </c>
      <c r="X394" s="262">
        <v>3066.3</v>
      </c>
      <c r="Y394" s="352"/>
      <c r="Z394" s="261">
        <v>390</v>
      </c>
      <c r="AA394" s="262">
        <v>3102.96</v>
      </c>
      <c r="AB394" s="352"/>
      <c r="AC394" s="261">
        <v>390</v>
      </c>
      <c r="AD394" s="262">
        <v>9892.5799999999763</v>
      </c>
      <c r="AE394" s="352"/>
      <c r="AF394" s="261">
        <v>390</v>
      </c>
      <c r="AG394" s="262">
        <v>26594.67</v>
      </c>
      <c r="AH394" s="352"/>
      <c r="AI394" s="261">
        <v>390</v>
      </c>
      <c r="AJ394" s="262">
        <v>11334</v>
      </c>
      <c r="AK394" s="352"/>
      <c r="AL394" s="261"/>
      <c r="AM394" s="262"/>
    </row>
    <row r="395" spans="2:39">
      <c r="B395" s="261" t="s">
        <v>679</v>
      </c>
      <c r="C395" s="261">
        <v>12645</v>
      </c>
      <c r="E395" s="261" t="s">
        <v>679</v>
      </c>
      <c r="F395" s="261">
        <v>12583.23</v>
      </c>
      <c r="H395" s="261" t="s">
        <v>679</v>
      </c>
      <c r="I395" s="262">
        <v>6935</v>
      </c>
      <c r="K395" s="261">
        <v>390</v>
      </c>
      <c r="L395" s="262">
        <v>2845.82</v>
      </c>
      <c r="M395" s="352"/>
      <c r="N395" s="261">
        <v>391</v>
      </c>
      <c r="O395" s="262">
        <v>4463.4399999999996</v>
      </c>
      <c r="P395" s="352"/>
      <c r="Q395" s="261">
        <v>391</v>
      </c>
      <c r="R395" s="262">
        <v>1706</v>
      </c>
      <c r="S395" s="352"/>
      <c r="T395" s="261">
        <v>391</v>
      </c>
      <c r="U395" s="262">
        <v>1707</v>
      </c>
      <c r="V395" s="352"/>
      <c r="W395" s="261">
        <v>391</v>
      </c>
      <c r="X395" s="262">
        <v>3073.8</v>
      </c>
      <c r="Y395" s="352"/>
      <c r="Z395" s="261">
        <v>391</v>
      </c>
      <c r="AA395" s="262">
        <v>3110.48</v>
      </c>
      <c r="AB395" s="352"/>
      <c r="AC395" s="261">
        <v>391</v>
      </c>
      <c r="AD395" s="262">
        <v>9918.2499999999764</v>
      </c>
      <c r="AE395" s="352"/>
      <c r="AF395" s="261">
        <v>391</v>
      </c>
      <c r="AG395" s="262">
        <v>26663.1</v>
      </c>
      <c r="AH395" s="352"/>
      <c r="AI395" s="261">
        <v>391</v>
      </c>
      <c r="AJ395" s="262">
        <v>11362</v>
      </c>
      <c r="AK395" s="352"/>
      <c r="AL395" s="261"/>
      <c r="AM395" s="262"/>
    </row>
    <row r="396" spans="2:39">
      <c r="B396" s="261" t="s">
        <v>680</v>
      </c>
      <c r="C396" s="261">
        <v>12676</v>
      </c>
      <c r="E396" s="261" t="s">
        <v>680</v>
      </c>
      <c r="F396" s="261">
        <v>12614.49</v>
      </c>
      <c r="H396" s="261" t="s">
        <v>680</v>
      </c>
      <c r="I396" s="262">
        <f>I395+18</f>
        <v>6953</v>
      </c>
      <c r="K396" s="261">
        <v>391</v>
      </c>
      <c r="L396" s="262">
        <v>2853.12</v>
      </c>
      <c r="M396" s="352"/>
      <c r="N396" s="261">
        <v>392</v>
      </c>
      <c r="O396" s="262">
        <v>4474.54</v>
      </c>
      <c r="P396" s="352"/>
      <c r="Q396" s="261">
        <v>392</v>
      </c>
      <c r="R396" s="262">
        <v>1710</v>
      </c>
      <c r="S396" s="352"/>
      <c r="T396" s="261">
        <v>392</v>
      </c>
      <c r="U396" s="262">
        <v>1711</v>
      </c>
      <c r="V396" s="352"/>
      <c r="W396" s="261">
        <v>392</v>
      </c>
      <c r="X396" s="262">
        <v>3081.3</v>
      </c>
      <c r="Y396" s="352"/>
      <c r="Z396" s="261">
        <v>392</v>
      </c>
      <c r="AA396" s="262">
        <v>3117.99</v>
      </c>
      <c r="AB396" s="352"/>
      <c r="AC396" s="261">
        <v>392</v>
      </c>
      <c r="AD396" s="262">
        <v>9943.9099999999762</v>
      </c>
      <c r="AE396" s="352"/>
      <c r="AF396" s="261">
        <v>392</v>
      </c>
      <c r="AG396" s="262">
        <v>26731.52</v>
      </c>
      <c r="AH396" s="352"/>
      <c r="AI396" s="261">
        <v>392</v>
      </c>
      <c r="AJ396" s="262">
        <v>11390</v>
      </c>
      <c r="AK396" s="352"/>
      <c r="AL396" s="261"/>
      <c r="AM396" s="262"/>
    </row>
    <row r="397" spans="2:39">
      <c r="B397" s="261" t="s">
        <v>681</v>
      </c>
      <c r="C397" s="261">
        <v>12708</v>
      </c>
      <c r="E397" s="261" t="s">
        <v>681</v>
      </c>
      <c r="F397" s="261">
        <v>12645.87</v>
      </c>
      <c r="H397" s="261" t="s">
        <v>681</v>
      </c>
      <c r="I397" s="262">
        <v>6971</v>
      </c>
      <c r="K397" s="261">
        <v>392</v>
      </c>
      <c r="L397" s="262">
        <v>2860.42</v>
      </c>
      <c r="M397" s="352"/>
      <c r="N397" s="261">
        <v>393</v>
      </c>
      <c r="O397" s="262">
        <v>4485.6400000000003</v>
      </c>
      <c r="P397" s="352"/>
      <c r="Q397" s="261">
        <v>393</v>
      </c>
      <c r="R397" s="262">
        <v>1714</v>
      </c>
      <c r="S397" s="352"/>
      <c r="T397" s="261">
        <v>393</v>
      </c>
      <c r="U397" s="262">
        <v>1716</v>
      </c>
      <c r="V397" s="352"/>
      <c r="W397" s="261">
        <v>393</v>
      </c>
      <c r="X397" s="262">
        <v>3088.8</v>
      </c>
      <c r="Y397" s="352"/>
      <c r="Z397" s="261">
        <v>393</v>
      </c>
      <c r="AA397" s="262">
        <v>3125.5</v>
      </c>
      <c r="AB397" s="352"/>
      <c r="AC397" s="261">
        <v>393</v>
      </c>
      <c r="AD397" s="262">
        <v>9969.5699999999761</v>
      </c>
      <c r="AE397" s="352"/>
      <c r="AF397" s="261">
        <v>393</v>
      </c>
      <c r="AG397" s="262">
        <v>26799.94</v>
      </c>
      <c r="AH397" s="352"/>
      <c r="AI397" s="261">
        <v>393</v>
      </c>
      <c r="AJ397" s="262">
        <v>11419</v>
      </c>
      <c r="AK397" s="352"/>
      <c r="AL397" s="261"/>
      <c r="AM397" s="262"/>
    </row>
    <row r="398" spans="2:39">
      <c r="B398" s="261" t="s">
        <v>682</v>
      </c>
      <c r="C398" s="261">
        <v>12739</v>
      </c>
      <c r="E398" s="261" t="s">
        <v>682</v>
      </c>
      <c r="F398" s="261">
        <v>12677.130000000001</v>
      </c>
      <c r="H398" s="261" t="s">
        <v>682</v>
      </c>
      <c r="I398" s="262">
        <f>I397+18</f>
        <v>6989</v>
      </c>
      <c r="K398" s="261">
        <v>393</v>
      </c>
      <c r="L398" s="262">
        <v>2867.72</v>
      </c>
      <c r="M398" s="352"/>
      <c r="N398" s="261">
        <v>394</v>
      </c>
      <c r="O398" s="262">
        <v>4496.74</v>
      </c>
      <c r="P398" s="352"/>
      <c r="Q398" s="261">
        <v>394</v>
      </c>
      <c r="R398" s="262">
        <v>1719</v>
      </c>
      <c r="S398" s="352"/>
      <c r="T398" s="261">
        <v>394</v>
      </c>
      <c r="U398" s="262">
        <v>1720</v>
      </c>
      <c r="V398" s="352"/>
      <c r="W398" s="261">
        <v>394</v>
      </c>
      <c r="X398" s="262">
        <v>3096.4</v>
      </c>
      <c r="Y398" s="352"/>
      <c r="Z398" s="261">
        <v>394</v>
      </c>
      <c r="AA398" s="262">
        <v>3133.01</v>
      </c>
      <c r="AB398" s="352"/>
      <c r="AC398" s="261">
        <v>394</v>
      </c>
      <c r="AD398" s="262">
        <v>9995.2299999999759</v>
      </c>
      <c r="AE398" s="352"/>
      <c r="AF398" s="261">
        <v>394</v>
      </c>
      <c r="AG398" s="262">
        <v>26868.37</v>
      </c>
      <c r="AH398" s="352"/>
      <c r="AI398" s="261">
        <v>394</v>
      </c>
      <c r="AJ398" s="262">
        <v>11447</v>
      </c>
      <c r="AK398" s="352"/>
      <c r="AL398" s="261"/>
      <c r="AM398" s="262"/>
    </row>
    <row r="399" spans="2:39">
      <c r="B399" s="261" t="s">
        <v>683</v>
      </c>
      <c r="C399" s="261">
        <v>12770</v>
      </c>
      <c r="E399" s="261" t="s">
        <v>683</v>
      </c>
      <c r="F399" s="261">
        <v>12708.53</v>
      </c>
      <c r="H399" s="261" t="s">
        <v>683</v>
      </c>
      <c r="I399" s="262">
        <v>7006</v>
      </c>
      <c r="K399" s="261">
        <v>394</v>
      </c>
      <c r="L399" s="262">
        <v>2875.02</v>
      </c>
      <c r="M399" s="352"/>
      <c r="N399" s="261">
        <v>395</v>
      </c>
      <c r="O399" s="262">
        <v>4507.84</v>
      </c>
      <c r="P399" s="352"/>
      <c r="Q399" s="261">
        <v>395</v>
      </c>
      <c r="R399" s="262">
        <v>1723</v>
      </c>
      <c r="S399" s="352"/>
      <c r="T399" s="261">
        <v>395</v>
      </c>
      <c r="U399" s="262">
        <v>1724</v>
      </c>
      <c r="V399" s="352"/>
      <c r="W399" s="261">
        <v>395</v>
      </c>
      <c r="X399" s="262">
        <v>3103.9</v>
      </c>
      <c r="Y399" s="352"/>
      <c r="Z399" s="261">
        <v>395</v>
      </c>
      <c r="AA399" s="262">
        <v>3140.53</v>
      </c>
      <c r="AB399" s="352"/>
      <c r="AC399" s="261">
        <v>395</v>
      </c>
      <c r="AD399" s="262">
        <v>10020.89</v>
      </c>
      <c r="AE399" s="352"/>
      <c r="AF399" s="261">
        <v>395</v>
      </c>
      <c r="AG399" s="262">
        <v>26936.79</v>
      </c>
      <c r="AH399" s="352"/>
      <c r="AI399" s="261">
        <v>395</v>
      </c>
      <c r="AJ399" s="262">
        <v>11476</v>
      </c>
      <c r="AK399" s="352"/>
      <c r="AL399" s="261"/>
      <c r="AM399" s="262"/>
    </row>
    <row r="400" spans="2:39">
      <c r="B400" s="261" t="s">
        <v>684</v>
      </c>
      <c r="C400" s="261">
        <v>12801</v>
      </c>
      <c r="E400" s="261" t="s">
        <v>684</v>
      </c>
      <c r="F400" s="261">
        <v>12739.79</v>
      </c>
      <c r="H400" s="261" t="s">
        <v>684</v>
      </c>
      <c r="I400" s="262">
        <f>I399+18</f>
        <v>7024</v>
      </c>
      <c r="K400" s="261">
        <v>395</v>
      </c>
      <c r="L400" s="262">
        <v>2882.32</v>
      </c>
      <c r="M400" s="352"/>
      <c r="N400" s="261">
        <v>396</v>
      </c>
      <c r="O400" s="262">
        <v>4518.9399999999996</v>
      </c>
      <c r="P400" s="352"/>
      <c r="Q400" s="261">
        <v>396</v>
      </c>
      <c r="R400" s="262">
        <v>1727</v>
      </c>
      <c r="S400" s="352"/>
      <c r="T400" s="261">
        <v>396</v>
      </c>
      <c r="U400" s="262">
        <v>1728</v>
      </c>
      <c r="V400" s="352"/>
      <c r="W400" s="261">
        <v>396</v>
      </c>
      <c r="X400" s="262">
        <v>3111.4</v>
      </c>
      <c r="Y400" s="352"/>
      <c r="Z400" s="261">
        <v>396</v>
      </c>
      <c r="AA400" s="262">
        <v>3148.04</v>
      </c>
      <c r="AB400" s="352"/>
      <c r="AC400" s="261">
        <v>396</v>
      </c>
      <c r="AD400" s="262">
        <v>10046.56</v>
      </c>
      <c r="AE400" s="352"/>
      <c r="AF400" s="261">
        <v>396</v>
      </c>
      <c r="AG400" s="262">
        <v>27005.22</v>
      </c>
      <c r="AH400" s="352"/>
      <c r="AI400" s="261">
        <v>396</v>
      </c>
      <c r="AJ400" s="262">
        <v>11504</v>
      </c>
      <c r="AK400" s="352"/>
      <c r="AL400" s="261"/>
      <c r="AM400" s="262"/>
    </row>
    <row r="401" spans="2:39">
      <c r="B401" s="261" t="s">
        <v>685</v>
      </c>
      <c r="C401" s="261">
        <v>12833</v>
      </c>
      <c r="E401" s="261" t="s">
        <v>685</v>
      </c>
      <c r="F401" s="261">
        <v>12771.18</v>
      </c>
      <c r="H401" s="261" t="s">
        <v>685</v>
      </c>
      <c r="I401" s="262">
        <v>7041</v>
      </c>
      <c r="K401" s="261">
        <v>396</v>
      </c>
      <c r="L401" s="262">
        <v>2889.61</v>
      </c>
      <c r="M401" s="352"/>
      <c r="N401" s="261">
        <v>397</v>
      </c>
      <c r="O401" s="262">
        <v>4530.03</v>
      </c>
      <c r="P401" s="352"/>
      <c r="Q401" s="261">
        <v>397</v>
      </c>
      <c r="R401" s="262">
        <v>1731</v>
      </c>
      <c r="S401" s="352"/>
      <c r="T401" s="261">
        <v>397</v>
      </c>
      <c r="U401" s="262">
        <v>1732</v>
      </c>
      <c r="V401" s="352"/>
      <c r="W401" s="261">
        <v>397</v>
      </c>
      <c r="X401" s="262">
        <v>3118.9</v>
      </c>
      <c r="Y401" s="352"/>
      <c r="Z401" s="261">
        <v>397</v>
      </c>
      <c r="AA401" s="262">
        <v>3155.55</v>
      </c>
      <c r="AB401" s="352"/>
      <c r="AC401" s="261">
        <v>397</v>
      </c>
      <c r="AD401" s="262">
        <v>10072.219999999999</v>
      </c>
      <c r="AE401" s="352"/>
      <c r="AF401" s="261">
        <v>397</v>
      </c>
      <c r="AG401" s="262">
        <v>27073.64</v>
      </c>
      <c r="AH401" s="352"/>
      <c r="AI401" s="261">
        <v>397</v>
      </c>
      <c r="AJ401" s="262">
        <v>11532</v>
      </c>
      <c r="AK401" s="352"/>
      <c r="AL401" s="261"/>
      <c r="AM401" s="262"/>
    </row>
    <row r="402" spans="2:39">
      <c r="B402" s="261" t="s">
        <v>686</v>
      </c>
      <c r="C402" s="261">
        <v>12864</v>
      </c>
      <c r="E402" s="261" t="s">
        <v>686</v>
      </c>
      <c r="F402" s="261">
        <v>12802.44</v>
      </c>
      <c r="H402" s="261" t="s">
        <v>686</v>
      </c>
      <c r="I402" s="262">
        <f>I401+18</f>
        <v>7059</v>
      </c>
      <c r="K402" s="261">
        <v>397</v>
      </c>
      <c r="L402" s="262">
        <v>2896.92</v>
      </c>
      <c r="M402" s="352"/>
      <c r="N402" s="261">
        <v>398</v>
      </c>
      <c r="O402" s="262">
        <v>4541.13</v>
      </c>
      <c r="P402" s="352"/>
      <c r="Q402" s="261">
        <v>398</v>
      </c>
      <c r="R402" s="262">
        <v>1735</v>
      </c>
      <c r="S402" s="352"/>
      <c r="T402" s="261">
        <v>398</v>
      </c>
      <c r="U402" s="262">
        <v>1736</v>
      </c>
      <c r="V402" s="352"/>
      <c r="W402" s="261">
        <v>398</v>
      </c>
      <c r="X402" s="262">
        <v>3126.4</v>
      </c>
      <c r="Y402" s="352"/>
      <c r="Z402" s="261">
        <v>398</v>
      </c>
      <c r="AA402" s="262">
        <v>3163.06</v>
      </c>
      <c r="AB402" s="352"/>
      <c r="AC402" s="261">
        <v>398</v>
      </c>
      <c r="AD402" s="262">
        <v>10097.879999999999</v>
      </c>
      <c r="AE402" s="352"/>
      <c r="AF402" s="261">
        <v>398</v>
      </c>
      <c r="AG402" s="262">
        <v>27142.06</v>
      </c>
      <c r="AH402" s="352"/>
      <c r="AI402" s="261">
        <v>398</v>
      </c>
      <c r="AJ402" s="262">
        <v>11561</v>
      </c>
      <c r="AK402" s="352"/>
      <c r="AL402" s="261"/>
      <c r="AM402" s="262"/>
    </row>
    <row r="403" spans="2:39">
      <c r="B403" s="261" t="s">
        <v>687</v>
      </c>
      <c r="C403" s="261">
        <v>12896</v>
      </c>
      <c r="E403" s="261" t="s">
        <v>687</v>
      </c>
      <c r="F403" s="261">
        <v>12833.83</v>
      </c>
      <c r="H403" s="261" t="s">
        <v>687</v>
      </c>
      <c r="I403" s="262">
        <v>7077</v>
      </c>
      <c r="K403" s="261">
        <v>398</v>
      </c>
      <c r="L403" s="262">
        <v>2904.21</v>
      </c>
      <c r="M403" s="352"/>
      <c r="N403" s="261">
        <v>399</v>
      </c>
      <c r="O403" s="262">
        <v>4552.2299999999996</v>
      </c>
      <c r="P403" s="352"/>
      <c r="Q403" s="261">
        <v>399</v>
      </c>
      <c r="R403" s="262">
        <v>1739</v>
      </c>
      <c r="S403" s="352"/>
      <c r="T403" s="261">
        <v>399</v>
      </c>
      <c r="U403" s="262">
        <v>1740</v>
      </c>
      <c r="V403" s="352"/>
      <c r="W403" s="261">
        <v>399</v>
      </c>
      <c r="X403" s="262">
        <v>3133.9</v>
      </c>
      <c r="Y403" s="352"/>
      <c r="Z403" s="261">
        <v>399</v>
      </c>
      <c r="AA403" s="262">
        <v>3170.57</v>
      </c>
      <c r="AB403" s="352"/>
      <c r="AC403" s="261">
        <v>399</v>
      </c>
      <c r="AD403" s="262">
        <v>10123.540000000001</v>
      </c>
      <c r="AE403" s="352"/>
      <c r="AF403" s="261">
        <v>399</v>
      </c>
      <c r="AG403" s="262">
        <v>27210.49</v>
      </c>
      <c r="AH403" s="352"/>
      <c r="AI403" s="261">
        <v>399</v>
      </c>
      <c r="AJ403" s="262">
        <v>11589</v>
      </c>
      <c r="AK403" s="352"/>
      <c r="AL403" s="261"/>
      <c r="AM403" s="262"/>
    </row>
    <row r="404" spans="2:39">
      <c r="B404" s="261" t="s">
        <v>688</v>
      </c>
      <c r="C404" s="261">
        <v>12927</v>
      </c>
      <c r="E404" s="261" t="s">
        <v>688</v>
      </c>
      <c r="F404" s="261">
        <v>12865.09</v>
      </c>
      <c r="H404" s="261" t="s">
        <v>688</v>
      </c>
      <c r="I404" s="262">
        <f>I403+18</f>
        <v>7095</v>
      </c>
      <c r="K404" s="261">
        <v>399</v>
      </c>
      <c r="L404" s="262">
        <v>2911.52</v>
      </c>
      <c r="M404" s="352"/>
      <c r="N404" s="261">
        <v>400</v>
      </c>
      <c r="O404" s="262">
        <v>4563.33</v>
      </c>
      <c r="P404" s="352"/>
      <c r="Q404" s="261">
        <v>400</v>
      </c>
      <c r="R404" s="262">
        <v>1743</v>
      </c>
      <c r="S404" s="352"/>
      <c r="T404" s="261">
        <v>400</v>
      </c>
      <c r="U404" s="262">
        <v>1745</v>
      </c>
      <c r="V404" s="352"/>
      <c r="W404" s="261">
        <v>400</v>
      </c>
      <c r="X404" s="262">
        <v>3141.4</v>
      </c>
      <c r="Y404" s="352"/>
      <c r="Z404" s="261">
        <v>400</v>
      </c>
      <c r="AA404" s="262">
        <v>3178.09</v>
      </c>
      <c r="AB404" s="352"/>
      <c r="AC404" s="261">
        <v>400</v>
      </c>
      <c r="AD404" s="262">
        <v>10149.200000000001</v>
      </c>
      <c r="AE404" s="352"/>
      <c r="AF404" s="261">
        <v>400</v>
      </c>
      <c r="AG404" s="262">
        <v>27278.91</v>
      </c>
      <c r="AH404" s="352"/>
      <c r="AI404" s="261">
        <v>400</v>
      </c>
      <c r="AJ404" s="262">
        <v>11618</v>
      </c>
      <c r="AK404" s="352"/>
      <c r="AL404" s="261"/>
      <c r="AM404" s="262"/>
    </row>
    <row r="405" spans="2:39">
      <c r="B405" s="261" t="s">
        <v>689</v>
      </c>
      <c r="C405" s="261">
        <v>12959</v>
      </c>
      <c r="E405" s="261" t="s">
        <v>689</v>
      </c>
      <c r="F405" s="261">
        <v>12896.48</v>
      </c>
      <c r="H405" s="261" t="s">
        <v>689</v>
      </c>
      <c r="I405" s="262">
        <v>7112</v>
      </c>
      <c r="K405" s="261">
        <v>400</v>
      </c>
      <c r="L405" s="262">
        <v>2918.81</v>
      </c>
      <c r="M405" s="352"/>
      <c r="N405" s="261">
        <v>401</v>
      </c>
      <c r="O405" s="262">
        <v>4574.43</v>
      </c>
      <c r="P405" s="352"/>
      <c r="Q405" s="261">
        <v>401</v>
      </c>
      <c r="R405" s="262">
        <v>1747</v>
      </c>
      <c r="S405" s="352"/>
      <c r="T405" s="261">
        <v>401</v>
      </c>
      <c r="U405" s="262">
        <v>1749</v>
      </c>
      <c r="V405" s="352"/>
      <c r="W405" s="261">
        <v>401</v>
      </c>
      <c r="X405" s="262">
        <v>3148.9</v>
      </c>
      <c r="Y405" s="352"/>
      <c r="Z405" s="261">
        <v>401</v>
      </c>
      <c r="AA405" s="262">
        <v>3185.6</v>
      </c>
      <c r="AB405" s="352"/>
      <c r="AC405" s="261">
        <v>401</v>
      </c>
      <c r="AD405" s="262">
        <v>10174.870000000001</v>
      </c>
      <c r="AE405" s="352"/>
      <c r="AF405" s="261">
        <v>401</v>
      </c>
      <c r="AG405" s="262">
        <v>27347.34</v>
      </c>
      <c r="AH405" s="352"/>
      <c r="AI405" s="261">
        <v>401</v>
      </c>
      <c r="AJ405" s="262">
        <v>11646</v>
      </c>
      <c r="AK405" s="352"/>
      <c r="AL405" s="261"/>
      <c r="AM405" s="262"/>
    </row>
    <row r="406" spans="2:39">
      <c r="B406" s="261" t="s">
        <v>690</v>
      </c>
      <c r="C406" s="261">
        <v>12990</v>
      </c>
      <c r="E406" s="261" t="s">
        <v>690</v>
      </c>
      <c r="F406" s="261">
        <v>12927.74</v>
      </c>
      <c r="H406" s="261" t="s">
        <v>690</v>
      </c>
      <c r="I406" s="262">
        <f>I405+18</f>
        <v>7130</v>
      </c>
      <c r="K406" s="261">
        <v>401</v>
      </c>
      <c r="L406" s="262">
        <v>2926.11</v>
      </c>
      <c r="M406" s="352"/>
      <c r="N406" s="261">
        <v>402</v>
      </c>
      <c r="O406" s="262">
        <v>4585.53</v>
      </c>
      <c r="P406" s="352"/>
      <c r="Q406" s="261">
        <v>402</v>
      </c>
      <c r="R406" s="262">
        <v>1752</v>
      </c>
      <c r="S406" s="352"/>
      <c r="T406" s="261">
        <v>402</v>
      </c>
      <c r="U406" s="262">
        <v>1753</v>
      </c>
      <c r="V406" s="352"/>
      <c r="W406" s="261">
        <v>402</v>
      </c>
      <c r="X406" s="262">
        <v>3156.5</v>
      </c>
      <c r="Y406" s="352"/>
      <c r="Z406" s="261">
        <v>402</v>
      </c>
      <c r="AA406" s="262">
        <v>3193.11</v>
      </c>
      <c r="AB406" s="352"/>
      <c r="AC406" s="261">
        <v>402</v>
      </c>
      <c r="AD406" s="262">
        <v>10200.530000000001</v>
      </c>
      <c r="AE406" s="352"/>
      <c r="AF406" s="261">
        <v>402</v>
      </c>
      <c r="AG406" s="262">
        <v>27415.759999999998</v>
      </c>
      <c r="AH406" s="352"/>
      <c r="AI406" s="261">
        <v>402</v>
      </c>
      <c r="AJ406" s="262">
        <v>11674</v>
      </c>
      <c r="AK406" s="352"/>
      <c r="AL406" s="261"/>
      <c r="AM406" s="262"/>
    </row>
    <row r="407" spans="2:39">
      <c r="B407" s="261" t="s">
        <v>691</v>
      </c>
      <c r="C407" s="261">
        <v>13022</v>
      </c>
      <c r="E407" s="261" t="s">
        <v>691</v>
      </c>
      <c r="F407" s="261">
        <v>12959.13</v>
      </c>
      <c r="H407" s="261" t="s">
        <v>691</v>
      </c>
      <c r="I407" s="262">
        <v>7147</v>
      </c>
      <c r="K407" s="261">
        <v>402</v>
      </c>
      <c r="L407" s="262">
        <v>2933.41</v>
      </c>
      <c r="M407" s="352"/>
      <c r="N407" s="261">
        <v>403</v>
      </c>
      <c r="O407" s="262">
        <v>4596.62</v>
      </c>
      <c r="P407" s="352"/>
      <c r="Q407" s="261">
        <v>403</v>
      </c>
      <c r="R407" s="262">
        <v>1756</v>
      </c>
      <c r="S407" s="352"/>
      <c r="T407" s="261">
        <v>403</v>
      </c>
      <c r="U407" s="262">
        <v>1757</v>
      </c>
      <c r="V407" s="352"/>
      <c r="W407" s="261">
        <v>403</v>
      </c>
      <c r="X407" s="262">
        <v>3164</v>
      </c>
      <c r="Y407" s="352"/>
      <c r="Z407" s="261">
        <v>403</v>
      </c>
      <c r="AA407" s="262">
        <v>3200.62</v>
      </c>
      <c r="AB407" s="352"/>
      <c r="AC407" s="261">
        <v>403</v>
      </c>
      <c r="AD407" s="262">
        <v>10226.19</v>
      </c>
      <c r="AE407" s="352"/>
      <c r="AF407" s="261">
        <v>403</v>
      </c>
      <c r="AG407" s="262">
        <v>27484.18</v>
      </c>
      <c r="AH407" s="352"/>
      <c r="AI407" s="261">
        <v>403</v>
      </c>
      <c r="AJ407" s="262">
        <v>11703</v>
      </c>
      <c r="AK407" s="352"/>
      <c r="AL407" s="261"/>
      <c r="AM407" s="262"/>
    </row>
    <row r="408" spans="2:39">
      <c r="B408" s="261" t="s">
        <v>692</v>
      </c>
      <c r="C408" s="261">
        <v>13053</v>
      </c>
      <c r="E408" s="261" t="s">
        <v>692</v>
      </c>
      <c r="F408" s="261">
        <v>12990.39</v>
      </c>
      <c r="H408" s="261" t="s">
        <v>692</v>
      </c>
      <c r="I408" s="262">
        <f>I407+18</f>
        <v>7165</v>
      </c>
      <c r="K408" s="261">
        <v>403</v>
      </c>
      <c r="L408" s="262">
        <v>2940.71</v>
      </c>
      <c r="M408" s="352"/>
      <c r="N408" s="261">
        <v>404</v>
      </c>
      <c r="O408" s="262">
        <v>4607.72</v>
      </c>
      <c r="P408" s="352"/>
      <c r="Q408" s="261">
        <v>404</v>
      </c>
      <c r="R408" s="262">
        <v>1760</v>
      </c>
      <c r="S408" s="352"/>
      <c r="T408" s="261">
        <v>404</v>
      </c>
      <c r="U408" s="262">
        <v>1761</v>
      </c>
      <c r="V408" s="352"/>
      <c r="W408" s="261">
        <v>404</v>
      </c>
      <c r="X408" s="262">
        <v>3171.5</v>
      </c>
      <c r="Y408" s="352"/>
      <c r="Z408" s="261">
        <v>404</v>
      </c>
      <c r="AA408" s="262">
        <v>3208.14</v>
      </c>
      <c r="AB408" s="352"/>
      <c r="AC408" s="261">
        <v>404</v>
      </c>
      <c r="AD408" s="262">
        <v>10251.85</v>
      </c>
      <c r="AE408" s="352"/>
      <c r="AF408" s="261">
        <v>404</v>
      </c>
      <c r="AG408" s="262">
        <v>27552.61</v>
      </c>
      <c r="AH408" s="352"/>
      <c r="AI408" s="261">
        <v>404</v>
      </c>
      <c r="AJ408" s="262">
        <v>11731</v>
      </c>
      <c r="AK408" s="352"/>
      <c r="AL408" s="261"/>
      <c r="AM408" s="262"/>
    </row>
    <row r="409" spans="2:39">
      <c r="B409" s="261" t="s">
        <v>693</v>
      </c>
      <c r="C409" s="261">
        <v>13084</v>
      </c>
      <c r="E409" s="261" t="s">
        <v>693</v>
      </c>
      <c r="F409" s="261">
        <v>13021.78</v>
      </c>
      <c r="H409" s="261" t="s">
        <v>693</v>
      </c>
      <c r="I409" s="262">
        <v>7183</v>
      </c>
      <c r="K409" s="261">
        <v>404</v>
      </c>
      <c r="L409" s="262">
        <v>2948.01</v>
      </c>
      <c r="M409" s="352"/>
      <c r="N409" s="261">
        <v>405</v>
      </c>
      <c r="O409" s="262">
        <v>4618.82</v>
      </c>
      <c r="P409" s="352"/>
      <c r="Q409" s="261">
        <v>405</v>
      </c>
      <c r="R409" s="262">
        <v>1764</v>
      </c>
      <c r="S409" s="352"/>
      <c r="T409" s="261">
        <v>405</v>
      </c>
      <c r="U409" s="262">
        <v>1765</v>
      </c>
      <c r="V409" s="352"/>
      <c r="W409" s="261">
        <v>405</v>
      </c>
      <c r="X409" s="262">
        <v>3179</v>
      </c>
      <c r="Y409" s="352"/>
      <c r="Z409" s="261">
        <v>405</v>
      </c>
      <c r="AA409" s="262">
        <v>3215.65</v>
      </c>
      <c r="AB409" s="352"/>
      <c r="AC409" s="261">
        <v>405</v>
      </c>
      <c r="AD409" s="262">
        <v>10277.51</v>
      </c>
      <c r="AE409" s="352"/>
      <c r="AF409" s="261">
        <v>405</v>
      </c>
      <c r="AG409" s="262">
        <v>27621.03</v>
      </c>
      <c r="AH409" s="352"/>
      <c r="AI409" s="261">
        <v>405</v>
      </c>
      <c r="AJ409" s="262">
        <v>11760</v>
      </c>
      <c r="AK409" s="352"/>
      <c r="AL409" s="261"/>
      <c r="AM409" s="262"/>
    </row>
    <row r="410" spans="2:39">
      <c r="B410" s="261" t="s">
        <v>694</v>
      </c>
      <c r="C410" s="261">
        <v>13115</v>
      </c>
      <c r="E410" s="261" t="s">
        <v>694</v>
      </c>
      <c r="F410" s="261">
        <v>13053.04</v>
      </c>
      <c r="H410" s="261" t="s">
        <v>694</v>
      </c>
      <c r="I410" s="262">
        <f>I409+18</f>
        <v>7201</v>
      </c>
      <c r="K410" s="261">
        <v>405</v>
      </c>
      <c r="L410" s="262">
        <v>2955.31</v>
      </c>
      <c r="M410" s="352"/>
      <c r="N410" s="261">
        <v>406</v>
      </c>
      <c r="O410" s="262">
        <v>4629.92</v>
      </c>
      <c r="P410" s="352"/>
      <c r="Q410" s="261">
        <v>406</v>
      </c>
      <c r="R410" s="262">
        <v>1768</v>
      </c>
      <c r="S410" s="352"/>
      <c r="T410" s="261">
        <v>406</v>
      </c>
      <c r="U410" s="262">
        <v>1769</v>
      </c>
      <c r="V410" s="352"/>
      <c r="W410" s="261">
        <v>406</v>
      </c>
      <c r="X410" s="262">
        <v>3186.5</v>
      </c>
      <c r="Y410" s="352"/>
      <c r="Z410" s="261">
        <v>406</v>
      </c>
      <c r="AA410" s="262">
        <v>3223.16</v>
      </c>
      <c r="AB410" s="352"/>
      <c r="AC410" s="261">
        <v>406</v>
      </c>
      <c r="AD410" s="262">
        <v>10303.18</v>
      </c>
      <c r="AE410" s="352"/>
      <c r="AF410" s="261">
        <v>406</v>
      </c>
      <c r="AG410" s="262">
        <v>27689.46</v>
      </c>
      <c r="AH410" s="352"/>
      <c r="AI410" s="261">
        <v>406</v>
      </c>
      <c r="AJ410" s="262">
        <v>11788</v>
      </c>
      <c r="AK410" s="352"/>
      <c r="AL410" s="261"/>
      <c r="AM410" s="262"/>
    </row>
    <row r="411" spans="2:39">
      <c r="B411" s="261" t="s">
        <v>695</v>
      </c>
      <c r="C411" s="261">
        <v>13147</v>
      </c>
      <c r="E411" s="261" t="s">
        <v>695</v>
      </c>
      <c r="F411" s="261">
        <v>13084.43</v>
      </c>
      <c r="H411" s="261" t="s">
        <v>695</v>
      </c>
      <c r="I411" s="262">
        <v>7218</v>
      </c>
      <c r="K411" s="261">
        <v>406</v>
      </c>
      <c r="L411" s="262">
        <v>2962.61</v>
      </c>
      <c r="M411" s="352"/>
      <c r="N411" s="261">
        <v>407</v>
      </c>
      <c r="O411" s="262">
        <v>4641.0200000000004</v>
      </c>
      <c r="P411" s="352"/>
      <c r="Q411" s="261">
        <v>407</v>
      </c>
      <c r="R411" s="262">
        <v>1772</v>
      </c>
      <c r="S411" s="352"/>
      <c r="T411" s="261">
        <v>407</v>
      </c>
      <c r="U411" s="262">
        <v>1773</v>
      </c>
      <c r="V411" s="352"/>
      <c r="W411" s="261">
        <v>407</v>
      </c>
      <c r="X411" s="262">
        <v>3194</v>
      </c>
      <c r="Y411" s="352"/>
      <c r="Z411" s="261">
        <v>407</v>
      </c>
      <c r="AA411" s="262">
        <v>3230.67</v>
      </c>
      <c r="AB411" s="352"/>
      <c r="AC411" s="261">
        <v>407</v>
      </c>
      <c r="AD411" s="262">
        <v>10328.84</v>
      </c>
      <c r="AE411" s="352"/>
      <c r="AF411" s="261">
        <v>407</v>
      </c>
      <c r="AG411" s="262">
        <v>27757.88</v>
      </c>
      <c r="AH411" s="352"/>
      <c r="AI411" s="261">
        <v>407</v>
      </c>
      <c r="AJ411" s="262">
        <v>11816</v>
      </c>
      <c r="AK411" s="352"/>
      <c r="AL411" s="261"/>
      <c r="AM411" s="262"/>
    </row>
    <row r="412" spans="2:39">
      <c r="B412" s="261" t="s">
        <v>696</v>
      </c>
      <c r="C412" s="261">
        <v>13178</v>
      </c>
      <c r="E412" s="261" t="s">
        <v>696</v>
      </c>
      <c r="F412" s="261">
        <v>13115.69</v>
      </c>
      <c r="H412" s="261" t="s">
        <v>696</v>
      </c>
      <c r="I412" s="262">
        <f>I411+18</f>
        <v>7236</v>
      </c>
      <c r="K412" s="261">
        <v>407</v>
      </c>
      <c r="L412" s="262">
        <v>2969.9</v>
      </c>
      <c r="M412" s="352"/>
      <c r="N412" s="261">
        <v>408</v>
      </c>
      <c r="O412" s="262">
        <v>4652.12</v>
      </c>
      <c r="P412" s="352"/>
      <c r="Q412" s="261">
        <v>408</v>
      </c>
      <c r="R412" s="262">
        <v>1776</v>
      </c>
      <c r="S412" s="352"/>
      <c r="T412" s="261">
        <v>408</v>
      </c>
      <c r="U412" s="262">
        <v>1778</v>
      </c>
      <c r="V412" s="352"/>
      <c r="W412" s="261">
        <v>408</v>
      </c>
      <c r="X412" s="262">
        <v>3201.5</v>
      </c>
      <c r="Y412" s="352"/>
      <c r="Z412" s="261">
        <v>408</v>
      </c>
      <c r="AA412" s="262">
        <v>3238.19</v>
      </c>
      <c r="AB412" s="352"/>
      <c r="AC412" s="261">
        <v>408</v>
      </c>
      <c r="AD412" s="262">
        <v>10354.5</v>
      </c>
      <c r="AE412" s="352"/>
      <c r="AF412" s="261">
        <v>408</v>
      </c>
      <c r="AG412" s="262">
        <v>27826.3</v>
      </c>
      <c r="AH412" s="352"/>
      <c r="AI412" s="261">
        <v>408</v>
      </c>
      <c r="AJ412" s="262">
        <v>11845</v>
      </c>
      <c r="AK412" s="352"/>
      <c r="AL412" s="261"/>
      <c r="AM412" s="262"/>
    </row>
    <row r="413" spans="2:39">
      <c r="B413" s="261" t="s">
        <v>697</v>
      </c>
      <c r="C413" s="261">
        <v>13210</v>
      </c>
      <c r="E413" s="261" t="s">
        <v>697</v>
      </c>
      <c r="F413" s="261">
        <v>13147.08</v>
      </c>
      <c r="H413" s="261" t="s">
        <v>697</v>
      </c>
      <c r="I413" s="262">
        <v>7253</v>
      </c>
      <c r="K413" s="261">
        <v>408</v>
      </c>
      <c r="L413" s="262">
        <v>2977.21</v>
      </c>
      <c r="M413" s="352"/>
      <c r="N413" s="261">
        <v>409</v>
      </c>
      <c r="O413" s="262">
        <v>4663.22</v>
      </c>
      <c r="P413" s="352"/>
      <c r="Q413" s="261">
        <v>409</v>
      </c>
      <c r="R413" s="262">
        <v>1780</v>
      </c>
      <c r="S413" s="352"/>
      <c r="T413" s="261">
        <v>409</v>
      </c>
      <c r="U413" s="262">
        <v>1782</v>
      </c>
      <c r="V413" s="352"/>
      <c r="W413" s="261">
        <v>409</v>
      </c>
      <c r="X413" s="262">
        <v>3209.1</v>
      </c>
      <c r="Y413" s="352"/>
      <c r="Z413" s="261">
        <v>409</v>
      </c>
      <c r="AA413" s="262">
        <v>3245.7</v>
      </c>
      <c r="AB413" s="352"/>
      <c r="AC413" s="261">
        <v>409</v>
      </c>
      <c r="AD413" s="262">
        <v>10380.16</v>
      </c>
      <c r="AE413" s="352"/>
      <c r="AF413" s="261">
        <v>409</v>
      </c>
      <c r="AG413" s="262">
        <v>27894.73</v>
      </c>
      <c r="AH413" s="352"/>
      <c r="AI413" s="261">
        <v>409</v>
      </c>
      <c r="AJ413" s="262">
        <v>11873</v>
      </c>
      <c r="AK413" s="352"/>
      <c r="AL413" s="261"/>
      <c r="AM413" s="262"/>
    </row>
    <row r="414" spans="2:39">
      <c r="B414" s="261" t="s">
        <v>698</v>
      </c>
      <c r="C414" s="261">
        <v>13241</v>
      </c>
      <c r="E414" s="261" t="s">
        <v>698</v>
      </c>
      <c r="F414" s="261">
        <v>13178.34</v>
      </c>
      <c r="H414" s="261" t="s">
        <v>698</v>
      </c>
      <c r="I414" s="262">
        <f>I413+18</f>
        <v>7271</v>
      </c>
      <c r="K414" s="261">
        <v>409</v>
      </c>
      <c r="L414" s="262">
        <v>2984.5</v>
      </c>
      <c r="M414" s="352"/>
      <c r="N414" s="261">
        <v>410</v>
      </c>
      <c r="O414" s="262">
        <v>4674.3100000000004</v>
      </c>
      <c r="P414" s="352"/>
      <c r="Q414" s="261">
        <v>410</v>
      </c>
      <c r="R414" s="262">
        <v>1785</v>
      </c>
      <c r="S414" s="352"/>
      <c r="T414" s="261">
        <v>410</v>
      </c>
      <c r="U414" s="262">
        <v>1786</v>
      </c>
      <c r="V414" s="352"/>
      <c r="W414" s="261">
        <v>410</v>
      </c>
      <c r="X414" s="262">
        <v>3216.6</v>
      </c>
      <c r="Y414" s="352"/>
      <c r="Z414" s="261">
        <v>410</v>
      </c>
      <c r="AA414" s="262">
        <v>3253.21</v>
      </c>
      <c r="AB414" s="352"/>
      <c r="AC414" s="261">
        <v>410</v>
      </c>
      <c r="AD414" s="262">
        <v>10405.82</v>
      </c>
      <c r="AE414" s="352"/>
      <c r="AF414" s="261">
        <v>410</v>
      </c>
      <c r="AG414" s="262">
        <v>27963.15</v>
      </c>
      <c r="AH414" s="352"/>
      <c r="AI414" s="261">
        <v>410</v>
      </c>
      <c r="AJ414" s="262">
        <v>11902</v>
      </c>
      <c r="AK414" s="352"/>
      <c r="AL414" s="261"/>
      <c r="AM414" s="262"/>
    </row>
    <row r="415" spans="2:39">
      <c r="B415" s="261" t="s">
        <v>699</v>
      </c>
      <c r="C415" s="261">
        <v>13273</v>
      </c>
      <c r="E415" s="261" t="s">
        <v>699</v>
      </c>
      <c r="F415" s="261">
        <v>13209.73</v>
      </c>
      <c r="H415" s="261" t="s">
        <v>699</v>
      </c>
      <c r="I415" s="262">
        <v>7289</v>
      </c>
      <c r="K415" s="261">
        <v>410</v>
      </c>
      <c r="L415" s="262">
        <v>2991.81</v>
      </c>
      <c r="M415" s="352"/>
      <c r="N415" s="261">
        <v>411</v>
      </c>
      <c r="O415" s="262">
        <v>4685.41</v>
      </c>
      <c r="P415" s="352"/>
      <c r="Q415" s="261">
        <v>411</v>
      </c>
      <c r="R415" s="262">
        <v>1789</v>
      </c>
      <c r="S415" s="352"/>
      <c r="T415" s="261">
        <v>411</v>
      </c>
      <c r="U415" s="262">
        <v>1790</v>
      </c>
      <c r="V415" s="352"/>
      <c r="W415" s="261">
        <v>411</v>
      </c>
      <c r="X415" s="262">
        <v>3224.1</v>
      </c>
      <c r="Y415" s="352"/>
      <c r="Z415" s="261">
        <v>411</v>
      </c>
      <c r="AA415" s="262">
        <v>3260.72</v>
      </c>
      <c r="AB415" s="352"/>
      <c r="AC415" s="261">
        <v>411</v>
      </c>
      <c r="AD415" s="262">
        <v>10431.49</v>
      </c>
      <c r="AE415" s="352"/>
      <c r="AF415" s="261">
        <v>411</v>
      </c>
      <c r="AG415" s="262">
        <v>28031.58</v>
      </c>
      <c r="AH415" s="352"/>
      <c r="AI415" s="261">
        <v>411</v>
      </c>
      <c r="AJ415" s="262">
        <v>11930</v>
      </c>
      <c r="AK415" s="352"/>
      <c r="AL415" s="261"/>
      <c r="AM415" s="262"/>
    </row>
    <row r="416" spans="2:39">
      <c r="B416" s="261" t="s">
        <v>700</v>
      </c>
      <c r="C416" s="261">
        <v>13304</v>
      </c>
      <c r="E416" s="261" t="s">
        <v>700</v>
      </c>
      <c r="F416" s="261">
        <v>13240.99</v>
      </c>
      <c r="H416" s="261" t="s">
        <v>700</v>
      </c>
      <c r="I416" s="262">
        <f>I415+18</f>
        <v>7307</v>
      </c>
      <c r="K416" s="261">
        <v>411</v>
      </c>
      <c r="L416" s="262">
        <v>2999.1</v>
      </c>
      <c r="M416" s="352"/>
      <c r="N416" s="261">
        <v>412</v>
      </c>
      <c r="O416" s="262">
        <v>4696.51</v>
      </c>
      <c r="P416" s="352"/>
      <c r="Q416" s="261">
        <v>412</v>
      </c>
      <c r="R416" s="262">
        <v>1793</v>
      </c>
      <c r="S416" s="352"/>
      <c r="T416" s="261">
        <v>412</v>
      </c>
      <c r="U416" s="262">
        <v>1794</v>
      </c>
      <c r="V416" s="352"/>
      <c r="W416" s="261">
        <v>412</v>
      </c>
      <c r="X416" s="262">
        <v>3231.6</v>
      </c>
      <c r="Y416" s="352"/>
      <c r="Z416" s="261">
        <v>412</v>
      </c>
      <c r="AA416" s="262">
        <v>3268.23</v>
      </c>
      <c r="AB416" s="352"/>
      <c r="AC416" s="261">
        <v>412</v>
      </c>
      <c r="AD416" s="262">
        <v>10457.15</v>
      </c>
      <c r="AE416" s="352"/>
      <c r="AF416" s="261">
        <v>412</v>
      </c>
      <c r="AG416" s="262">
        <v>28100</v>
      </c>
      <c r="AH416" s="352"/>
      <c r="AI416" s="261">
        <v>412</v>
      </c>
      <c r="AJ416" s="262">
        <v>11958</v>
      </c>
      <c r="AK416" s="352"/>
      <c r="AL416" s="261"/>
      <c r="AM416" s="262"/>
    </row>
    <row r="417" spans="2:39">
      <c r="B417" s="261" t="s">
        <v>701</v>
      </c>
      <c r="C417" s="261">
        <v>13336</v>
      </c>
      <c r="E417" s="261" t="s">
        <v>701</v>
      </c>
      <c r="F417" s="261">
        <v>13272.38</v>
      </c>
      <c r="H417" s="261" t="s">
        <v>701</v>
      </c>
      <c r="I417" s="262">
        <v>7324</v>
      </c>
      <c r="K417" s="261">
        <v>412</v>
      </c>
      <c r="L417" s="262">
        <v>3006.4</v>
      </c>
      <c r="M417" s="352"/>
      <c r="N417" s="261">
        <v>413</v>
      </c>
      <c r="O417" s="262">
        <v>4707.6099999999997</v>
      </c>
      <c r="P417" s="352"/>
      <c r="Q417" s="261">
        <v>413</v>
      </c>
      <c r="R417" s="262">
        <v>1797</v>
      </c>
      <c r="S417" s="352"/>
      <c r="T417" s="261">
        <v>413</v>
      </c>
      <c r="U417" s="262">
        <v>1798</v>
      </c>
      <c r="V417" s="352"/>
      <c r="W417" s="261">
        <v>413</v>
      </c>
      <c r="X417" s="262">
        <v>3239.1</v>
      </c>
      <c r="Y417" s="352"/>
      <c r="Z417" s="261">
        <v>413</v>
      </c>
      <c r="AA417" s="262">
        <v>3275.75</v>
      </c>
      <c r="AB417" s="352"/>
      <c r="AC417" s="261">
        <v>413</v>
      </c>
      <c r="AD417" s="262">
        <v>10482.81</v>
      </c>
      <c r="AE417" s="352"/>
      <c r="AF417" s="261">
        <v>413</v>
      </c>
      <c r="AG417" s="262">
        <v>28168.42</v>
      </c>
      <c r="AH417" s="352"/>
      <c r="AI417" s="261">
        <v>413</v>
      </c>
      <c r="AJ417" s="262">
        <v>11987</v>
      </c>
      <c r="AK417" s="352"/>
      <c r="AL417" s="261"/>
      <c r="AM417" s="262"/>
    </row>
    <row r="418" spans="2:39">
      <c r="B418" s="261" t="s">
        <v>702</v>
      </c>
      <c r="C418" s="261">
        <v>13367</v>
      </c>
      <c r="E418" s="261" t="s">
        <v>702</v>
      </c>
      <c r="F418" s="261">
        <v>13303.64</v>
      </c>
      <c r="H418" s="261" t="s">
        <v>702</v>
      </c>
      <c r="I418" s="262">
        <f>I417+18</f>
        <v>7342</v>
      </c>
      <c r="K418" s="261">
        <v>413</v>
      </c>
      <c r="L418" s="262">
        <v>3013.7</v>
      </c>
      <c r="M418" s="352"/>
      <c r="N418" s="261">
        <v>414</v>
      </c>
      <c r="O418" s="262">
        <v>4718.71</v>
      </c>
      <c r="P418" s="352"/>
      <c r="Q418" s="261">
        <v>414</v>
      </c>
      <c r="R418" s="262">
        <v>1801</v>
      </c>
      <c r="S418" s="352"/>
      <c r="T418" s="261">
        <v>414</v>
      </c>
      <c r="U418" s="262">
        <v>1802</v>
      </c>
      <c r="V418" s="352"/>
      <c r="W418" s="261">
        <v>414</v>
      </c>
      <c r="X418" s="262">
        <v>3246.6</v>
      </c>
      <c r="Y418" s="352"/>
      <c r="Z418" s="261">
        <v>414</v>
      </c>
      <c r="AA418" s="262">
        <v>3283.26</v>
      </c>
      <c r="AB418" s="352"/>
      <c r="AC418" s="261">
        <v>414</v>
      </c>
      <c r="AD418" s="262">
        <v>10508.47</v>
      </c>
      <c r="AE418" s="352"/>
      <c r="AF418" s="261">
        <v>414</v>
      </c>
      <c r="AG418" s="262">
        <v>28236.85</v>
      </c>
      <c r="AH418" s="352"/>
      <c r="AI418" s="261">
        <v>414</v>
      </c>
      <c r="AJ418" s="262">
        <v>12015</v>
      </c>
      <c r="AK418" s="352"/>
      <c r="AL418" s="261"/>
      <c r="AM418" s="262"/>
    </row>
    <row r="419" spans="2:39">
      <c r="B419" s="261" t="s">
        <v>703</v>
      </c>
      <c r="C419" s="261">
        <v>13398</v>
      </c>
      <c r="E419" s="261" t="s">
        <v>703</v>
      </c>
      <c r="F419" s="261">
        <v>13335.03</v>
      </c>
      <c r="H419" s="261" t="s">
        <v>703</v>
      </c>
      <c r="I419" s="262">
        <v>7359</v>
      </c>
      <c r="K419" s="261">
        <v>414</v>
      </c>
      <c r="L419" s="262">
        <v>3021</v>
      </c>
      <c r="M419" s="352"/>
      <c r="N419" s="261">
        <v>415</v>
      </c>
      <c r="O419" s="262">
        <v>4729.8100000000004</v>
      </c>
      <c r="P419" s="352"/>
      <c r="Q419" s="261">
        <v>415</v>
      </c>
      <c r="R419" s="262">
        <v>1805</v>
      </c>
      <c r="S419" s="352"/>
      <c r="T419" s="261">
        <v>415</v>
      </c>
      <c r="U419" s="262">
        <v>1807</v>
      </c>
      <c r="V419" s="352"/>
      <c r="W419" s="261">
        <v>415</v>
      </c>
      <c r="X419" s="262">
        <v>3254.1</v>
      </c>
      <c r="Y419" s="352"/>
      <c r="Z419" s="261">
        <v>415</v>
      </c>
      <c r="AA419" s="262">
        <v>3290.77</v>
      </c>
      <c r="AB419" s="352"/>
      <c r="AC419" s="261">
        <v>415</v>
      </c>
      <c r="AD419" s="262">
        <v>10534.13</v>
      </c>
      <c r="AE419" s="352"/>
      <c r="AF419" s="261">
        <v>415</v>
      </c>
      <c r="AG419" s="262">
        <v>28305.27</v>
      </c>
      <c r="AH419" s="352"/>
      <c r="AI419" s="261">
        <v>415</v>
      </c>
      <c r="AJ419" s="262">
        <v>12044</v>
      </c>
      <c r="AK419" s="352"/>
      <c r="AL419" s="261"/>
      <c r="AM419" s="262"/>
    </row>
    <row r="420" spans="2:39">
      <c r="B420" s="261" t="s">
        <v>704</v>
      </c>
      <c r="C420" s="261">
        <v>13429</v>
      </c>
      <c r="E420" s="261" t="s">
        <v>704</v>
      </c>
      <c r="F420" s="261">
        <v>13366.29</v>
      </c>
      <c r="H420" s="261" t="s">
        <v>704</v>
      </c>
      <c r="I420" s="262">
        <f>I419+18</f>
        <v>7377</v>
      </c>
      <c r="K420" s="261">
        <v>415</v>
      </c>
      <c r="L420" s="262">
        <v>3028.3</v>
      </c>
      <c r="M420" s="352"/>
      <c r="N420" s="261">
        <v>416</v>
      </c>
      <c r="O420" s="262">
        <v>4740.8999999999996</v>
      </c>
      <c r="P420" s="352"/>
      <c r="Q420" s="261">
        <v>416</v>
      </c>
      <c r="R420" s="262">
        <v>1809</v>
      </c>
      <c r="S420" s="352"/>
      <c r="T420" s="261">
        <v>416</v>
      </c>
      <c r="U420" s="262">
        <v>1811</v>
      </c>
      <c r="V420" s="352"/>
      <c r="W420" s="261">
        <v>416</v>
      </c>
      <c r="X420" s="262">
        <v>3261.7</v>
      </c>
      <c r="Y420" s="352"/>
      <c r="Z420" s="261">
        <v>416</v>
      </c>
      <c r="AA420" s="262">
        <v>3298.28</v>
      </c>
      <c r="AB420" s="352"/>
      <c r="AC420" s="261">
        <v>416</v>
      </c>
      <c r="AD420" s="262">
        <v>10559.8</v>
      </c>
      <c r="AE420" s="352"/>
      <c r="AF420" s="261">
        <v>416</v>
      </c>
      <c r="AG420" s="262">
        <v>28373.7</v>
      </c>
      <c r="AH420" s="352"/>
      <c r="AI420" s="261">
        <v>416</v>
      </c>
      <c r="AJ420" s="262">
        <v>12072</v>
      </c>
      <c r="AK420" s="352"/>
      <c r="AL420" s="261"/>
      <c r="AM420" s="262"/>
    </row>
    <row r="421" spans="2:39">
      <c r="B421" s="261" t="s">
        <v>705</v>
      </c>
      <c r="C421" s="261">
        <v>13461</v>
      </c>
      <c r="E421" s="261" t="s">
        <v>705</v>
      </c>
      <c r="F421" s="261">
        <v>13397.68</v>
      </c>
      <c r="H421" s="261" t="s">
        <v>705</v>
      </c>
      <c r="I421" s="262">
        <v>7394</v>
      </c>
      <c r="K421" s="261">
        <v>416</v>
      </c>
      <c r="L421" s="262">
        <v>3035.6</v>
      </c>
      <c r="M421" s="352"/>
      <c r="N421" s="261">
        <v>417</v>
      </c>
      <c r="O421" s="262">
        <v>4752</v>
      </c>
      <c r="P421" s="352"/>
      <c r="Q421" s="261">
        <v>417</v>
      </c>
      <c r="R421" s="262">
        <v>1813</v>
      </c>
      <c r="S421" s="352"/>
      <c r="T421" s="261">
        <v>417</v>
      </c>
      <c r="U421" s="262">
        <v>1815</v>
      </c>
      <c r="V421" s="352"/>
      <c r="W421" s="261">
        <v>417</v>
      </c>
      <c r="X421" s="262">
        <v>3269.2</v>
      </c>
      <c r="Y421" s="352"/>
      <c r="Z421" s="261">
        <v>417</v>
      </c>
      <c r="AA421" s="262">
        <v>3305.8</v>
      </c>
      <c r="AB421" s="352"/>
      <c r="AC421" s="261">
        <v>417</v>
      </c>
      <c r="AD421" s="262">
        <v>10585.46</v>
      </c>
      <c r="AE421" s="352"/>
      <c r="AF421" s="261">
        <v>417</v>
      </c>
      <c r="AG421" s="262">
        <v>28442.12</v>
      </c>
      <c r="AH421" s="352"/>
      <c r="AI421" s="261">
        <v>417</v>
      </c>
      <c r="AJ421" s="262">
        <v>12100</v>
      </c>
      <c r="AK421" s="352"/>
      <c r="AL421" s="261"/>
      <c r="AM421" s="262"/>
    </row>
    <row r="422" spans="2:39">
      <c r="B422" s="261" t="s">
        <v>706</v>
      </c>
      <c r="C422" s="261">
        <v>13492</v>
      </c>
      <c r="E422" s="261" t="s">
        <v>706</v>
      </c>
      <c r="F422" s="261">
        <v>13428.94</v>
      </c>
      <c r="H422" s="261" t="s">
        <v>706</v>
      </c>
      <c r="I422" s="262">
        <f>I421+18</f>
        <v>7412</v>
      </c>
      <c r="K422" s="261">
        <v>417</v>
      </c>
      <c r="L422" s="262">
        <v>3042.9</v>
      </c>
      <c r="M422" s="352"/>
      <c r="N422" s="261">
        <v>418</v>
      </c>
      <c r="O422" s="262">
        <v>4763.1000000000004</v>
      </c>
      <c r="P422" s="352"/>
      <c r="Q422" s="261">
        <v>418</v>
      </c>
      <c r="R422" s="262">
        <v>1818</v>
      </c>
      <c r="S422" s="352"/>
      <c r="T422" s="261">
        <v>418</v>
      </c>
      <c r="U422" s="262">
        <v>1819</v>
      </c>
      <c r="V422" s="352"/>
      <c r="W422" s="261">
        <v>418</v>
      </c>
      <c r="X422" s="262">
        <v>3276.7</v>
      </c>
      <c r="Y422" s="352"/>
      <c r="Z422" s="261">
        <v>418</v>
      </c>
      <c r="AA422" s="262">
        <v>3313.32</v>
      </c>
      <c r="AB422" s="352"/>
      <c r="AC422" s="261">
        <v>418</v>
      </c>
      <c r="AD422" s="262">
        <v>10611.12</v>
      </c>
      <c r="AE422" s="352"/>
      <c r="AF422" s="261">
        <v>418</v>
      </c>
      <c r="AG422" s="262">
        <v>28510.54</v>
      </c>
      <c r="AH422" s="352"/>
      <c r="AI422" s="261">
        <v>418</v>
      </c>
      <c r="AJ422" s="262">
        <v>12129</v>
      </c>
      <c r="AK422" s="352"/>
      <c r="AL422" s="261"/>
      <c r="AM422" s="262"/>
    </row>
    <row r="423" spans="2:39">
      <c r="B423" s="261" t="s">
        <v>707</v>
      </c>
      <c r="C423" s="261">
        <v>13524</v>
      </c>
      <c r="E423" s="261" t="s">
        <v>707</v>
      </c>
      <c r="F423" s="261">
        <v>13460.33</v>
      </c>
      <c r="H423" s="261" t="s">
        <v>707</v>
      </c>
      <c r="I423" s="262">
        <v>7430</v>
      </c>
      <c r="K423" s="261">
        <v>418</v>
      </c>
      <c r="L423" s="262">
        <v>3050.2</v>
      </c>
      <c r="M423" s="352"/>
      <c r="N423" s="261">
        <v>419</v>
      </c>
      <c r="O423" s="262">
        <v>4774.2</v>
      </c>
      <c r="P423" s="352"/>
      <c r="Q423" s="261">
        <v>419</v>
      </c>
      <c r="R423" s="262">
        <v>1822</v>
      </c>
      <c r="S423" s="352"/>
      <c r="T423" s="261">
        <v>419</v>
      </c>
      <c r="U423" s="262">
        <v>1823</v>
      </c>
      <c r="V423" s="352"/>
      <c r="W423" s="261">
        <v>419</v>
      </c>
      <c r="X423" s="262">
        <v>3284.2</v>
      </c>
      <c r="Y423" s="352"/>
      <c r="Z423" s="261">
        <v>419</v>
      </c>
      <c r="AA423" s="262">
        <v>3320.84</v>
      </c>
      <c r="AB423" s="352"/>
      <c r="AC423" s="261">
        <v>419</v>
      </c>
      <c r="AD423" s="262">
        <v>10636.78</v>
      </c>
      <c r="AE423" s="352"/>
      <c r="AF423" s="261">
        <v>419</v>
      </c>
      <c r="AG423" s="262">
        <v>28578.97</v>
      </c>
      <c r="AH423" s="352"/>
      <c r="AI423" s="261">
        <v>419</v>
      </c>
      <c r="AJ423" s="262">
        <v>12157</v>
      </c>
      <c r="AK423" s="352"/>
      <c r="AL423" s="261"/>
      <c r="AM423" s="262"/>
    </row>
    <row r="424" spans="2:39">
      <c r="B424" s="261" t="s">
        <v>708</v>
      </c>
      <c r="C424" s="261">
        <v>13555</v>
      </c>
      <c r="E424" s="261" t="s">
        <v>708</v>
      </c>
      <c r="F424" s="261">
        <v>13491.59</v>
      </c>
      <c r="H424" s="261" t="s">
        <v>708</v>
      </c>
      <c r="I424" s="262">
        <f>I423+18</f>
        <v>7448</v>
      </c>
      <c r="K424" s="261">
        <v>419</v>
      </c>
      <c r="L424" s="262">
        <v>3057.5</v>
      </c>
      <c r="M424" s="352"/>
      <c r="N424" s="261">
        <v>420</v>
      </c>
      <c r="O424" s="262">
        <v>4785.3</v>
      </c>
      <c r="P424" s="352"/>
      <c r="Q424" s="261">
        <v>420</v>
      </c>
      <c r="R424" s="262">
        <v>1826</v>
      </c>
      <c r="S424" s="352"/>
      <c r="T424" s="261">
        <v>420</v>
      </c>
      <c r="U424" s="262">
        <v>1827</v>
      </c>
      <c r="V424" s="352"/>
      <c r="W424" s="261">
        <v>420</v>
      </c>
      <c r="X424" s="262">
        <v>3291.7</v>
      </c>
      <c r="Y424" s="352"/>
      <c r="Z424" s="261">
        <v>420</v>
      </c>
      <c r="AA424" s="262">
        <v>3328.36</v>
      </c>
      <c r="AB424" s="352"/>
      <c r="AC424" s="261">
        <v>420</v>
      </c>
      <c r="AD424" s="262">
        <v>10662.44</v>
      </c>
      <c r="AE424" s="352"/>
      <c r="AF424" s="261">
        <v>420</v>
      </c>
      <c r="AG424" s="262">
        <v>28647.39</v>
      </c>
      <c r="AH424" s="352"/>
      <c r="AI424" s="261">
        <v>420</v>
      </c>
      <c r="AJ424" s="262">
        <v>12186</v>
      </c>
      <c r="AK424" s="352"/>
      <c r="AL424" s="261"/>
      <c r="AM424" s="262"/>
    </row>
    <row r="425" spans="2:39">
      <c r="B425" s="261" t="s">
        <v>709</v>
      </c>
      <c r="C425" s="261">
        <v>13587</v>
      </c>
      <c r="E425" s="261" t="s">
        <v>709</v>
      </c>
      <c r="F425" s="261">
        <v>13522.98</v>
      </c>
      <c r="H425" s="261" t="s">
        <v>709</v>
      </c>
      <c r="I425" s="262">
        <v>7465</v>
      </c>
      <c r="K425" s="261">
        <v>420</v>
      </c>
      <c r="L425" s="262">
        <v>3064.79</v>
      </c>
      <c r="M425" s="352"/>
      <c r="N425" s="261">
        <v>421</v>
      </c>
      <c r="O425" s="262">
        <v>4796.3999999999996</v>
      </c>
      <c r="P425" s="352"/>
      <c r="Q425" s="261">
        <v>421</v>
      </c>
      <c r="R425" s="262">
        <v>1830</v>
      </c>
      <c r="S425" s="352"/>
      <c r="T425" s="261">
        <v>421</v>
      </c>
      <c r="U425" s="262">
        <v>1831</v>
      </c>
      <c r="V425" s="352"/>
      <c r="W425" s="261">
        <v>421</v>
      </c>
      <c r="X425" s="262">
        <v>3299.2</v>
      </c>
      <c r="Y425" s="352"/>
      <c r="Z425" s="261">
        <v>421</v>
      </c>
      <c r="AA425" s="262">
        <v>3335.87</v>
      </c>
      <c r="AB425" s="352"/>
      <c r="AC425" s="261">
        <v>421</v>
      </c>
      <c r="AD425" s="262">
        <v>10688.11</v>
      </c>
      <c r="AE425" s="352"/>
      <c r="AF425" s="261">
        <v>421</v>
      </c>
      <c r="AG425" s="262">
        <v>28715.82</v>
      </c>
      <c r="AH425" s="352"/>
      <c r="AI425" s="261">
        <v>421</v>
      </c>
      <c r="AJ425" s="262">
        <v>12214</v>
      </c>
      <c r="AK425" s="352"/>
      <c r="AL425" s="261"/>
      <c r="AM425" s="262"/>
    </row>
    <row r="426" spans="2:39">
      <c r="B426" s="261" t="s">
        <v>710</v>
      </c>
      <c r="C426" s="261">
        <v>13618</v>
      </c>
      <c r="E426" s="261" t="s">
        <v>710</v>
      </c>
      <c r="F426" s="261">
        <v>13554.24</v>
      </c>
      <c r="H426" s="261" t="s">
        <v>710</v>
      </c>
      <c r="I426" s="262">
        <f>I425+18</f>
        <v>7483</v>
      </c>
      <c r="K426" s="261">
        <v>421</v>
      </c>
      <c r="L426" s="262">
        <v>3072.09</v>
      </c>
      <c r="M426" s="352"/>
      <c r="N426" s="261">
        <v>422</v>
      </c>
      <c r="O426" s="262">
        <v>4807.49</v>
      </c>
      <c r="P426" s="352"/>
      <c r="Q426" s="261">
        <v>422</v>
      </c>
      <c r="R426" s="262">
        <v>1834</v>
      </c>
      <c r="S426" s="352"/>
      <c r="T426" s="261">
        <v>422</v>
      </c>
      <c r="U426" s="262">
        <v>1836</v>
      </c>
      <c r="V426" s="352"/>
      <c r="W426" s="261">
        <v>422</v>
      </c>
      <c r="X426" s="262">
        <v>3306.7</v>
      </c>
      <c r="Y426" s="352"/>
      <c r="Z426" s="261">
        <v>422</v>
      </c>
      <c r="AA426" s="262">
        <v>3343.39</v>
      </c>
      <c r="AB426" s="352"/>
      <c r="AC426" s="261">
        <v>422</v>
      </c>
      <c r="AD426" s="262">
        <v>10713.77</v>
      </c>
      <c r="AE426" s="352"/>
      <c r="AF426" s="261">
        <v>422</v>
      </c>
      <c r="AG426" s="262">
        <v>28784.240000000002</v>
      </c>
      <c r="AH426" s="352"/>
      <c r="AI426" s="261">
        <v>422</v>
      </c>
      <c r="AJ426" s="262">
        <v>12242</v>
      </c>
      <c r="AK426" s="352"/>
      <c r="AL426" s="261"/>
      <c r="AM426" s="262"/>
    </row>
    <row r="427" spans="2:39">
      <c r="B427" s="261" t="s">
        <v>711</v>
      </c>
      <c r="C427" s="261">
        <v>13650</v>
      </c>
      <c r="E427" s="261" t="s">
        <v>711</v>
      </c>
      <c r="F427" s="261">
        <v>13585.63</v>
      </c>
      <c r="H427" s="261" t="s">
        <v>711</v>
      </c>
      <c r="I427" s="262">
        <v>7500</v>
      </c>
      <c r="K427" s="261">
        <v>422</v>
      </c>
      <c r="L427" s="262">
        <v>3079.39</v>
      </c>
      <c r="M427" s="352"/>
      <c r="N427" s="261">
        <v>423</v>
      </c>
      <c r="O427" s="262">
        <v>4818.59</v>
      </c>
      <c r="P427" s="352"/>
      <c r="Q427" s="261">
        <v>423</v>
      </c>
      <c r="R427" s="262">
        <v>1838</v>
      </c>
      <c r="S427" s="352"/>
      <c r="T427" s="261">
        <v>423</v>
      </c>
      <c r="U427" s="262">
        <v>1840</v>
      </c>
      <c r="V427" s="352"/>
      <c r="W427" s="261">
        <v>423</v>
      </c>
      <c r="X427" s="262">
        <v>3314.2</v>
      </c>
      <c r="Y427" s="352"/>
      <c r="Z427" s="261">
        <v>423</v>
      </c>
      <c r="AA427" s="262">
        <v>3350.91</v>
      </c>
      <c r="AB427" s="352"/>
      <c r="AC427" s="261">
        <v>423</v>
      </c>
      <c r="AD427" s="262">
        <v>10739.43</v>
      </c>
      <c r="AE427" s="352"/>
      <c r="AF427" s="261">
        <v>423</v>
      </c>
      <c r="AG427" s="262">
        <v>28852.66</v>
      </c>
      <c r="AH427" s="352"/>
      <c r="AI427" s="261">
        <v>423</v>
      </c>
      <c r="AJ427" s="262">
        <v>12271</v>
      </c>
      <c r="AK427" s="352"/>
      <c r="AL427" s="261"/>
      <c r="AM427" s="262"/>
    </row>
    <row r="428" spans="2:39">
      <c r="B428" s="261" t="s">
        <v>712</v>
      </c>
      <c r="C428" s="261">
        <v>13681</v>
      </c>
      <c r="E428" s="261" t="s">
        <v>712</v>
      </c>
      <c r="F428" s="261">
        <v>13616.89</v>
      </c>
      <c r="H428" s="261" t="s">
        <v>712</v>
      </c>
      <c r="I428" s="262">
        <f>I427+18</f>
        <v>7518</v>
      </c>
      <c r="K428" s="261">
        <v>423</v>
      </c>
      <c r="L428" s="262">
        <v>3086.69</v>
      </c>
      <c r="M428" s="352"/>
      <c r="N428" s="261">
        <v>424</v>
      </c>
      <c r="O428" s="262">
        <v>4829.6899999999996</v>
      </c>
      <c r="P428" s="352"/>
      <c r="Q428" s="261">
        <v>424</v>
      </c>
      <c r="R428" s="262">
        <v>1842</v>
      </c>
      <c r="S428" s="352"/>
      <c r="T428" s="261">
        <v>424</v>
      </c>
      <c r="U428" s="262">
        <v>1844</v>
      </c>
      <c r="V428" s="352"/>
      <c r="W428" s="261">
        <v>424</v>
      </c>
      <c r="X428" s="262">
        <v>3321.8</v>
      </c>
      <c r="Y428" s="352"/>
      <c r="Z428" s="261">
        <v>424</v>
      </c>
      <c r="AA428" s="262">
        <v>3358.43</v>
      </c>
      <c r="AB428" s="352"/>
      <c r="AC428" s="261">
        <v>424</v>
      </c>
      <c r="AD428" s="262">
        <v>10765.09</v>
      </c>
      <c r="AE428" s="352"/>
      <c r="AF428" s="261">
        <v>424</v>
      </c>
      <c r="AG428" s="262">
        <v>28921.09</v>
      </c>
      <c r="AH428" s="352"/>
      <c r="AI428" s="261">
        <v>424</v>
      </c>
      <c r="AJ428" s="262">
        <v>12299</v>
      </c>
      <c r="AK428" s="352"/>
      <c r="AL428" s="261"/>
      <c r="AM428" s="262"/>
    </row>
    <row r="429" spans="2:39">
      <c r="B429" s="261" t="s">
        <v>713</v>
      </c>
      <c r="C429" s="261">
        <v>13712</v>
      </c>
      <c r="E429" s="261" t="s">
        <v>713</v>
      </c>
      <c r="F429" s="261">
        <v>13648.28</v>
      </c>
      <c r="H429" s="261" t="s">
        <v>713</v>
      </c>
      <c r="I429" s="262">
        <v>7536</v>
      </c>
      <c r="K429" s="261">
        <v>424</v>
      </c>
      <c r="L429" s="262">
        <v>3093.99</v>
      </c>
      <c r="M429" s="352"/>
      <c r="N429" s="261">
        <v>425</v>
      </c>
      <c r="O429" s="262">
        <v>4840.79</v>
      </c>
      <c r="P429" s="352"/>
      <c r="Q429" s="261">
        <v>425</v>
      </c>
      <c r="R429" s="262">
        <v>1846</v>
      </c>
      <c r="S429" s="352"/>
      <c r="T429" s="261">
        <v>425</v>
      </c>
      <c r="U429" s="262">
        <v>1848</v>
      </c>
      <c r="V429" s="352"/>
      <c r="W429" s="261">
        <v>425</v>
      </c>
      <c r="X429" s="262">
        <v>3329.3</v>
      </c>
      <c r="Y429" s="352"/>
      <c r="Z429" s="261">
        <v>425</v>
      </c>
      <c r="AA429" s="262">
        <v>3365.95</v>
      </c>
      <c r="AB429" s="352"/>
      <c r="AC429" s="261">
        <v>425</v>
      </c>
      <c r="AD429" s="262">
        <v>10790.75</v>
      </c>
      <c r="AE429" s="352"/>
      <c r="AF429" s="261">
        <v>425</v>
      </c>
      <c r="AG429" s="262">
        <v>28989.51</v>
      </c>
      <c r="AH429" s="352"/>
      <c r="AI429" s="261">
        <v>425</v>
      </c>
      <c r="AJ429" s="262">
        <v>12328</v>
      </c>
      <c r="AK429" s="352"/>
      <c r="AL429" s="261"/>
      <c r="AM429" s="262"/>
    </row>
    <row r="430" spans="2:39">
      <c r="B430" s="261" t="s">
        <v>714</v>
      </c>
      <c r="C430" s="261">
        <v>13743</v>
      </c>
      <c r="E430" s="261" t="s">
        <v>714</v>
      </c>
      <c r="F430" s="261">
        <v>13679.54</v>
      </c>
      <c r="H430" s="261" t="s">
        <v>714</v>
      </c>
      <c r="I430" s="262">
        <f>I429+18</f>
        <v>7554</v>
      </c>
      <c r="K430" s="261">
        <v>425</v>
      </c>
      <c r="L430" s="262">
        <v>3101.29</v>
      </c>
      <c r="M430" s="352"/>
      <c r="N430" s="261">
        <v>426</v>
      </c>
      <c r="O430" s="262">
        <v>4851.8900000000003</v>
      </c>
      <c r="P430" s="352"/>
      <c r="Q430" s="261">
        <v>426</v>
      </c>
      <c r="R430" s="262">
        <v>1850</v>
      </c>
      <c r="S430" s="352"/>
      <c r="T430" s="261">
        <v>426</v>
      </c>
      <c r="U430" s="262">
        <v>1852</v>
      </c>
      <c r="V430" s="352"/>
      <c r="W430" s="261">
        <v>426</v>
      </c>
      <c r="X430" s="262">
        <v>3336.8</v>
      </c>
      <c r="Y430" s="352"/>
      <c r="Z430" s="261">
        <v>426</v>
      </c>
      <c r="AA430" s="262">
        <v>3373.46</v>
      </c>
      <c r="AB430" s="352"/>
      <c r="AC430" s="261">
        <v>426</v>
      </c>
      <c r="AD430" s="262">
        <v>10816.42</v>
      </c>
      <c r="AE430" s="352"/>
      <c r="AF430" s="261">
        <v>426</v>
      </c>
      <c r="AG430" s="262">
        <v>29057.94</v>
      </c>
      <c r="AH430" s="352"/>
      <c r="AI430" s="261">
        <v>426</v>
      </c>
      <c r="AJ430" s="262">
        <v>12356</v>
      </c>
      <c r="AK430" s="352"/>
      <c r="AL430" s="261"/>
      <c r="AM430" s="262"/>
    </row>
    <row r="431" spans="2:39">
      <c r="B431" s="261" t="s">
        <v>715</v>
      </c>
      <c r="C431" s="261">
        <v>13775</v>
      </c>
      <c r="E431" s="261" t="s">
        <v>715</v>
      </c>
      <c r="F431" s="261">
        <v>13710.93</v>
      </c>
      <c r="H431" s="261" t="s">
        <v>715</v>
      </c>
      <c r="I431" s="262">
        <v>7571</v>
      </c>
      <c r="K431" s="261">
        <v>426</v>
      </c>
      <c r="L431" s="262">
        <v>3108.59</v>
      </c>
      <c r="M431" s="352"/>
      <c r="N431" s="261">
        <v>427</v>
      </c>
      <c r="O431" s="262">
        <v>4862.99</v>
      </c>
      <c r="P431" s="352"/>
      <c r="Q431" s="261">
        <v>427</v>
      </c>
      <c r="R431" s="262">
        <v>1855</v>
      </c>
      <c r="S431" s="352"/>
      <c r="T431" s="261">
        <v>427</v>
      </c>
      <c r="U431" s="262">
        <v>1856</v>
      </c>
      <c r="V431" s="352"/>
      <c r="W431" s="261">
        <v>427</v>
      </c>
      <c r="X431" s="262">
        <v>3344.3</v>
      </c>
      <c r="Y431" s="352"/>
      <c r="Z431" s="261">
        <v>427</v>
      </c>
      <c r="AA431" s="262">
        <v>3380.98</v>
      </c>
      <c r="AB431" s="352"/>
      <c r="AC431" s="261">
        <v>427</v>
      </c>
      <c r="AD431" s="262">
        <v>10842.08</v>
      </c>
      <c r="AE431" s="352"/>
      <c r="AF431" s="261">
        <v>427</v>
      </c>
      <c r="AG431" s="262">
        <v>29126.36</v>
      </c>
      <c r="AH431" s="352"/>
      <c r="AI431" s="261">
        <v>427</v>
      </c>
      <c r="AJ431" s="262">
        <v>12384</v>
      </c>
      <c r="AK431" s="352"/>
      <c r="AL431" s="261"/>
      <c r="AM431" s="262"/>
    </row>
    <row r="432" spans="2:39">
      <c r="B432" s="261" t="s">
        <v>716</v>
      </c>
      <c r="C432" s="261">
        <v>13806</v>
      </c>
      <c r="E432" s="261" t="s">
        <v>716</v>
      </c>
      <c r="F432" s="261">
        <v>13742.19</v>
      </c>
      <c r="H432" s="261" t="s">
        <v>716</v>
      </c>
      <c r="I432" s="262">
        <f>I431+18</f>
        <v>7589</v>
      </c>
      <c r="K432" s="261">
        <v>427</v>
      </c>
      <c r="L432" s="262">
        <v>3115.89</v>
      </c>
      <c r="M432" s="352"/>
      <c r="N432" s="261">
        <v>428</v>
      </c>
      <c r="O432" s="262">
        <v>4874.09</v>
      </c>
      <c r="P432" s="352"/>
      <c r="Q432" s="261">
        <v>428</v>
      </c>
      <c r="R432" s="262">
        <v>1859</v>
      </c>
      <c r="S432" s="352"/>
      <c r="T432" s="261">
        <v>428</v>
      </c>
      <c r="U432" s="262">
        <v>1860</v>
      </c>
      <c r="V432" s="352"/>
      <c r="W432" s="261">
        <v>428</v>
      </c>
      <c r="X432" s="262">
        <v>3351.8</v>
      </c>
      <c r="Y432" s="352"/>
      <c r="Z432" s="261">
        <v>428</v>
      </c>
      <c r="AA432" s="262">
        <v>3388.5</v>
      </c>
      <c r="AB432" s="352"/>
      <c r="AC432" s="261">
        <v>428</v>
      </c>
      <c r="AD432" s="262">
        <v>10867.74</v>
      </c>
      <c r="AE432" s="352"/>
      <c r="AF432" s="261">
        <v>428</v>
      </c>
      <c r="AG432" s="262">
        <v>29194.78</v>
      </c>
      <c r="AH432" s="352"/>
      <c r="AI432" s="261">
        <v>428</v>
      </c>
      <c r="AJ432" s="262">
        <v>12413</v>
      </c>
      <c r="AK432" s="352"/>
      <c r="AL432" s="261"/>
      <c r="AM432" s="262"/>
    </row>
    <row r="433" spans="2:39">
      <c r="B433" s="261" t="s">
        <v>717</v>
      </c>
      <c r="C433" s="261">
        <v>13838</v>
      </c>
      <c r="E433" s="261" t="s">
        <v>717</v>
      </c>
      <c r="F433" s="261">
        <v>13773.58</v>
      </c>
      <c r="H433" s="261" t="s">
        <v>717</v>
      </c>
      <c r="I433" s="262">
        <v>7606</v>
      </c>
      <c r="K433" s="261">
        <v>428</v>
      </c>
      <c r="L433" s="262">
        <v>3123.19</v>
      </c>
      <c r="M433" s="352"/>
      <c r="N433" s="261">
        <v>429</v>
      </c>
      <c r="O433" s="262">
        <v>4885.18</v>
      </c>
      <c r="P433" s="352"/>
      <c r="Q433" s="261">
        <v>429</v>
      </c>
      <c r="R433" s="262">
        <v>1863</v>
      </c>
      <c r="S433" s="352"/>
      <c r="T433" s="261">
        <v>429</v>
      </c>
      <c r="U433" s="262">
        <v>1864</v>
      </c>
      <c r="V433" s="352"/>
      <c r="W433" s="261">
        <v>429</v>
      </c>
      <c r="X433" s="262">
        <v>3359.3</v>
      </c>
      <c r="Y433" s="352"/>
      <c r="Z433" s="261">
        <v>429</v>
      </c>
      <c r="AA433" s="262">
        <v>3396.02</v>
      </c>
      <c r="AB433" s="352"/>
      <c r="AC433" s="261">
        <v>429</v>
      </c>
      <c r="AD433" s="262">
        <v>10893.4</v>
      </c>
      <c r="AE433" s="352"/>
      <c r="AF433" s="261">
        <v>429</v>
      </c>
      <c r="AG433" s="262">
        <v>29263.21</v>
      </c>
      <c r="AH433" s="352"/>
      <c r="AI433" s="261">
        <v>429</v>
      </c>
      <c r="AJ433" s="262">
        <v>12441</v>
      </c>
      <c r="AK433" s="352"/>
      <c r="AL433" s="261"/>
      <c r="AM433" s="262"/>
    </row>
    <row r="434" spans="2:39">
      <c r="B434" s="261" t="s">
        <v>718</v>
      </c>
      <c r="C434" s="261">
        <v>13869</v>
      </c>
      <c r="E434" s="261" t="s">
        <v>718</v>
      </c>
      <c r="F434" s="261">
        <v>13804.84</v>
      </c>
      <c r="H434" s="261" t="s">
        <v>718</v>
      </c>
      <c r="I434" s="262">
        <f>I433+18</f>
        <v>7624</v>
      </c>
      <c r="K434" s="261">
        <v>429</v>
      </c>
      <c r="L434" s="262">
        <v>3130.49</v>
      </c>
      <c r="M434" s="352"/>
      <c r="N434" s="261">
        <v>430</v>
      </c>
      <c r="O434" s="262">
        <v>4896.28</v>
      </c>
      <c r="P434" s="352"/>
      <c r="Q434" s="261">
        <v>430</v>
      </c>
      <c r="R434" s="262">
        <v>1867</v>
      </c>
      <c r="S434" s="352"/>
      <c r="T434" s="261">
        <v>430</v>
      </c>
      <c r="U434" s="262">
        <v>1869</v>
      </c>
      <c r="V434" s="352"/>
      <c r="W434" s="261">
        <v>430</v>
      </c>
      <c r="X434" s="262">
        <v>3366.8</v>
      </c>
      <c r="Y434" s="352"/>
      <c r="Z434" s="261">
        <v>430</v>
      </c>
      <c r="AA434" s="262">
        <v>3403.53</v>
      </c>
      <c r="AB434" s="352"/>
      <c r="AC434" s="261">
        <v>430</v>
      </c>
      <c r="AD434" s="262">
        <v>10919.06</v>
      </c>
      <c r="AE434" s="352"/>
      <c r="AF434" s="261">
        <v>430</v>
      </c>
      <c r="AG434" s="262">
        <v>29331.63</v>
      </c>
      <c r="AH434" s="352"/>
      <c r="AI434" s="261">
        <v>430</v>
      </c>
      <c r="AJ434" s="262">
        <v>12470</v>
      </c>
      <c r="AK434" s="352"/>
      <c r="AL434" s="261"/>
      <c r="AM434" s="262"/>
    </row>
    <row r="435" spans="2:39">
      <c r="B435" s="261" t="s">
        <v>719</v>
      </c>
      <c r="C435" s="261">
        <v>13901</v>
      </c>
      <c r="E435" s="261" t="s">
        <v>719</v>
      </c>
      <c r="F435" s="261">
        <v>13836.23</v>
      </c>
      <c r="H435" s="261" t="s">
        <v>719</v>
      </c>
      <c r="I435" s="262">
        <v>7642</v>
      </c>
      <c r="K435" s="261">
        <v>430</v>
      </c>
      <c r="L435" s="262">
        <v>3137.79</v>
      </c>
      <c r="M435" s="352"/>
      <c r="N435" s="261">
        <v>431</v>
      </c>
      <c r="O435" s="262">
        <v>4907.38</v>
      </c>
      <c r="P435" s="352"/>
      <c r="Q435" s="261">
        <v>431</v>
      </c>
      <c r="R435" s="262">
        <v>1871</v>
      </c>
      <c r="S435" s="352"/>
      <c r="T435" s="261">
        <v>431</v>
      </c>
      <c r="U435" s="262">
        <v>1873</v>
      </c>
      <c r="V435" s="352"/>
      <c r="W435" s="261">
        <v>431</v>
      </c>
      <c r="X435" s="262">
        <v>3374.3</v>
      </c>
      <c r="Y435" s="352"/>
      <c r="Z435" s="261">
        <v>431</v>
      </c>
      <c r="AA435" s="262">
        <v>3411.05</v>
      </c>
      <c r="AB435" s="352"/>
      <c r="AC435" s="261">
        <v>431</v>
      </c>
      <c r="AD435" s="262">
        <v>10944.73</v>
      </c>
      <c r="AE435" s="352"/>
      <c r="AF435" s="261">
        <v>431</v>
      </c>
      <c r="AG435" s="262">
        <v>29400.06</v>
      </c>
      <c r="AH435" s="352"/>
      <c r="AI435" s="261">
        <v>431</v>
      </c>
      <c r="AJ435" s="262">
        <v>12498</v>
      </c>
      <c r="AK435" s="352"/>
      <c r="AL435" s="261"/>
      <c r="AM435" s="262"/>
    </row>
    <row r="436" spans="2:39">
      <c r="B436" s="261" t="s">
        <v>720</v>
      </c>
      <c r="C436" s="261">
        <v>13932</v>
      </c>
      <c r="E436" s="261" t="s">
        <v>720</v>
      </c>
      <c r="F436" s="261">
        <v>13867.49</v>
      </c>
      <c r="H436" s="261" t="s">
        <v>720</v>
      </c>
      <c r="I436" s="262">
        <f>I435+18</f>
        <v>7660</v>
      </c>
      <c r="K436" s="261">
        <v>431</v>
      </c>
      <c r="L436" s="262">
        <v>3145.09</v>
      </c>
      <c r="M436" s="352"/>
      <c r="N436" s="261">
        <v>432</v>
      </c>
      <c r="O436" s="262">
        <v>4918.4799999999996</v>
      </c>
      <c r="P436" s="352"/>
      <c r="Q436" s="261">
        <v>432</v>
      </c>
      <c r="R436" s="262">
        <v>1875</v>
      </c>
      <c r="S436" s="352"/>
      <c r="T436" s="261">
        <v>432</v>
      </c>
      <c r="U436" s="262">
        <v>1877</v>
      </c>
      <c r="V436" s="352"/>
      <c r="W436" s="261">
        <v>432</v>
      </c>
      <c r="X436" s="262">
        <v>3381.8</v>
      </c>
      <c r="Y436" s="352"/>
      <c r="Z436" s="261">
        <v>432</v>
      </c>
      <c r="AA436" s="262">
        <v>3418.57</v>
      </c>
      <c r="AB436" s="352"/>
      <c r="AC436" s="261">
        <v>432</v>
      </c>
      <c r="AD436" s="262">
        <v>10970.39</v>
      </c>
      <c r="AE436" s="352"/>
      <c r="AF436" s="261">
        <v>432</v>
      </c>
      <c r="AG436" s="262">
        <v>29468.48</v>
      </c>
      <c r="AH436" s="352"/>
      <c r="AI436" s="261">
        <v>432</v>
      </c>
      <c r="AJ436" s="262">
        <v>12526</v>
      </c>
      <c r="AK436" s="352"/>
      <c r="AL436" s="261"/>
      <c r="AM436" s="262"/>
    </row>
    <row r="437" spans="2:39">
      <c r="B437" s="261" t="s">
        <v>721</v>
      </c>
      <c r="C437" s="261">
        <v>13964</v>
      </c>
      <c r="E437" s="261" t="s">
        <v>721</v>
      </c>
      <c r="F437" s="261">
        <v>13898.88</v>
      </c>
      <c r="H437" s="261" t="s">
        <v>721</v>
      </c>
      <c r="I437" s="262">
        <v>7677</v>
      </c>
      <c r="K437" s="261">
        <v>432</v>
      </c>
      <c r="L437" s="262">
        <v>3152.38</v>
      </c>
      <c r="M437" s="352"/>
      <c r="N437" s="261">
        <v>433</v>
      </c>
      <c r="O437" s="262">
        <v>4929.58</v>
      </c>
      <c r="P437" s="352"/>
      <c r="Q437" s="261">
        <v>433</v>
      </c>
      <c r="R437" s="262">
        <v>1879</v>
      </c>
      <c r="S437" s="352"/>
      <c r="T437" s="261">
        <v>433</v>
      </c>
      <c r="U437" s="262">
        <v>1881</v>
      </c>
      <c r="V437" s="352"/>
      <c r="W437" s="261">
        <v>433</v>
      </c>
      <c r="X437" s="262">
        <v>3389.4</v>
      </c>
      <c r="Y437" s="352"/>
      <c r="Z437" s="261">
        <v>433</v>
      </c>
      <c r="AA437" s="262">
        <v>3426.09</v>
      </c>
      <c r="AB437" s="352"/>
      <c r="AC437" s="261">
        <v>433</v>
      </c>
      <c r="AD437" s="262">
        <v>10996.05</v>
      </c>
      <c r="AE437" s="352"/>
      <c r="AF437" s="261">
        <v>433</v>
      </c>
      <c r="AG437" s="262">
        <v>29536.9</v>
      </c>
      <c r="AH437" s="352"/>
      <c r="AI437" s="261">
        <v>433</v>
      </c>
      <c r="AJ437" s="262">
        <v>12555</v>
      </c>
      <c r="AK437" s="352"/>
      <c r="AL437" s="261"/>
      <c r="AM437" s="262"/>
    </row>
    <row r="438" spans="2:39">
      <c r="B438" s="261" t="s">
        <v>722</v>
      </c>
      <c r="C438" s="261">
        <v>13995</v>
      </c>
      <c r="E438" s="261" t="s">
        <v>722</v>
      </c>
      <c r="F438" s="261">
        <v>13930.14</v>
      </c>
      <c r="H438" s="261" t="s">
        <v>722</v>
      </c>
      <c r="I438" s="262">
        <f>I437+18</f>
        <v>7695</v>
      </c>
      <c r="K438" s="261">
        <v>433</v>
      </c>
      <c r="L438" s="262">
        <v>3159.69</v>
      </c>
      <c r="M438" s="352"/>
      <c r="N438" s="261">
        <v>434</v>
      </c>
      <c r="O438" s="262">
        <v>4940.68</v>
      </c>
      <c r="P438" s="352"/>
      <c r="Q438" s="261">
        <v>434</v>
      </c>
      <c r="R438" s="262">
        <v>1883</v>
      </c>
      <c r="S438" s="352"/>
      <c r="T438" s="261">
        <v>434</v>
      </c>
      <c r="U438" s="262">
        <v>1885</v>
      </c>
      <c r="V438" s="352"/>
      <c r="W438" s="261">
        <v>434</v>
      </c>
      <c r="X438" s="262">
        <v>3396.9</v>
      </c>
      <c r="Y438" s="352"/>
      <c r="Z438" s="261">
        <v>434</v>
      </c>
      <c r="AA438" s="262">
        <v>3433.61</v>
      </c>
      <c r="AB438" s="352"/>
      <c r="AC438" s="261">
        <v>434</v>
      </c>
      <c r="AD438" s="262">
        <v>11021.71</v>
      </c>
      <c r="AE438" s="352"/>
      <c r="AF438" s="261">
        <v>434</v>
      </c>
      <c r="AG438" s="262">
        <v>29605.33</v>
      </c>
      <c r="AH438" s="352"/>
      <c r="AI438" s="261">
        <v>434</v>
      </c>
      <c r="AJ438" s="262">
        <v>12583</v>
      </c>
      <c r="AK438" s="352"/>
      <c r="AL438" s="261"/>
      <c r="AM438" s="262"/>
    </row>
    <row r="439" spans="2:39">
      <c r="B439" s="261" t="s">
        <v>723</v>
      </c>
      <c r="C439" s="261">
        <v>14027</v>
      </c>
      <c r="E439" s="261" t="s">
        <v>723</v>
      </c>
      <c r="F439" s="261">
        <v>13961.54</v>
      </c>
      <c r="H439" s="261" t="s">
        <v>723</v>
      </c>
      <c r="I439" s="262">
        <v>7712</v>
      </c>
      <c r="K439" s="261">
        <v>434</v>
      </c>
      <c r="L439" s="262">
        <v>3166.98</v>
      </c>
      <c r="M439" s="352"/>
      <c r="N439" s="261">
        <v>435</v>
      </c>
      <c r="O439" s="262">
        <v>4951.7700000000004</v>
      </c>
      <c r="P439" s="352"/>
      <c r="Q439" s="261">
        <v>435</v>
      </c>
      <c r="R439" s="262">
        <v>1888</v>
      </c>
      <c r="S439" s="352"/>
      <c r="T439" s="261">
        <v>435</v>
      </c>
      <c r="U439" s="262">
        <v>1889</v>
      </c>
      <c r="V439" s="352"/>
      <c r="W439" s="261">
        <v>435</v>
      </c>
      <c r="X439" s="262">
        <v>3404.4</v>
      </c>
      <c r="Y439" s="352"/>
      <c r="Z439" s="261">
        <v>435</v>
      </c>
      <c r="AA439" s="262">
        <v>3441.12</v>
      </c>
      <c r="AB439" s="352"/>
      <c r="AC439" s="261">
        <v>435</v>
      </c>
      <c r="AD439" s="262">
        <v>11047.37</v>
      </c>
      <c r="AE439" s="352"/>
      <c r="AF439" s="261">
        <v>435</v>
      </c>
      <c r="AG439" s="262">
        <v>29673.75</v>
      </c>
      <c r="AH439" s="352"/>
      <c r="AI439" s="261">
        <v>435</v>
      </c>
      <c r="AJ439" s="262">
        <v>12612</v>
      </c>
      <c r="AK439" s="352"/>
      <c r="AL439" s="261"/>
      <c r="AM439" s="262"/>
    </row>
    <row r="440" spans="2:39">
      <c r="B440" s="261" t="s">
        <v>724</v>
      </c>
      <c r="C440" s="261">
        <v>14058</v>
      </c>
      <c r="E440" s="261" t="s">
        <v>724</v>
      </c>
      <c r="F440" s="261">
        <v>13992.800000000001</v>
      </c>
      <c r="H440" s="261" t="s">
        <v>724</v>
      </c>
      <c r="I440" s="262">
        <f>I439+18</f>
        <v>7730</v>
      </c>
      <c r="K440" s="261">
        <v>435</v>
      </c>
      <c r="L440" s="262">
        <v>3174.29</v>
      </c>
      <c r="M440" s="352"/>
      <c r="N440" s="261">
        <v>436</v>
      </c>
      <c r="O440" s="262">
        <v>4962.87</v>
      </c>
      <c r="P440" s="352"/>
      <c r="Q440" s="261">
        <v>436</v>
      </c>
      <c r="R440" s="262">
        <v>1892</v>
      </c>
      <c r="S440" s="352"/>
      <c r="T440" s="261">
        <v>436</v>
      </c>
      <c r="U440" s="262">
        <v>1893</v>
      </c>
      <c r="V440" s="352"/>
      <c r="W440" s="261">
        <v>436</v>
      </c>
      <c r="X440" s="262">
        <v>3411.9</v>
      </c>
      <c r="Y440" s="352"/>
      <c r="Z440" s="261">
        <v>436</v>
      </c>
      <c r="AA440" s="262">
        <v>3448.64</v>
      </c>
      <c r="AB440" s="352"/>
      <c r="AC440" s="261">
        <v>436</v>
      </c>
      <c r="AD440" s="262">
        <v>11073.04</v>
      </c>
      <c r="AE440" s="352"/>
      <c r="AF440" s="261">
        <v>436</v>
      </c>
      <c r="AG440" s="262">
        <v>29742.18</v>
      </c>
      <c r="AH440" s="352"/>
      <c r="AI440" s="261">
        <v>436</v>
      </c>
      <c r="AJ440" s="262">
        <v>12640</v>
      </c>
      <c r="AK440" s="352"/>
      <c r="AL440" s="261"/>
      <c r="AM440" s="262"/>
    </row>
    <row r="441" spans="2:39">
      <c r="B441" s="261" t="s">
        <v>725</v>
      </c>
      <c r="C441" s="261">
        <v>14089</v>
      </c>
      <c r="E441" s="261" t="s">
        <v>725</v>
      </c>
      <c r="F441" s="261">
        <v>14024.18</v>
      </c>
      <c r="H441" s="261" t="s">
        <v>725</v>
      </c>
      <c r="I441" s="262">
        <v>7747</v>
      </c>
      <c r="K441" s="261">
        <v>436</v>
      </c>
      <c r="L441" s="262">
        <v>3181.58</v>
      </c>
      <c r="M441" s="352"/>
      <c r="N441" s="261">
        <v>437</v>
      </c>
      <c r="O441" s="262">
        <v>4973.97</v>
      </c>
      <c r="P441" s="352"/>
      <c r="Q441" s="261">
        <v>437</v>
      </c>
      <c r="R441" s="262">
        <v>1896</v>
      </c>
      <c r="S441" s="352"/>
      <c r="T441" s="261">
        <v>437</v>
      </c>
      <c r="U441" s="262">
        <v>1898</v>
      </c>
      <c r="V441" s="352"/>
      <c r="W441" s="261">
        <v>437</v>
      </c>
      <c r="X441" s="262">
        <v>3419.4</v>
      </c>
      <c r="Y441" s="352"/>
      <c r="Z441" s="261">
        <v>437</v>
      </c>
      <c r="AA441" s="262">
        <v>3456.16</v>
      </c>
      <c r="AB441" s="352"/>
      <c r="AC441" s="261">
        <v>437</v>
      </c>
      <c r="AD441" s="262">
        <v>11098.7</v>
      </c>
      <c r="AE441" s="352"/>
      <c r="AF441" s="261">
        <v>437</v>
      </c>
      <c r="AG441" s="262">
        <v>29810.6</v>
      </c>
      <c r="AH441" s="352"/>
      <c r="AI441" s="261">
        <v>437</v>
      </c>
      <c r="AJ441" s="262">
        <v>12668</v>
      </c>
      <c r="AK441" s="352"/>
      <c r="AL441" s="261"/>
      <c r="AM441" s="262"/>
    </row>
    <row r="442" spans="2:39">
      <c r="B442" s="261" t="s">
        <v>726</v>
      </c>
      <c r="C442" s="261">
        <v>14120</v>
      </c>
      <c r="E442" s="261" t="s">
        <v>726</v>
      </c>
      <c r="F442" s="261">
        <v>14055.44</v>
      </c>
      <c r="H442" s="261" t="s">
        <v>726</v>
      </c>
      <c r="I442" s="262">
        <f>I441+18</f>
        <v>7765</v>
      </c>
      <c r="K442" s="261">
        <v>437</v>
      </c>
      <c r="L442" s="262">
        <v>3188.88</v>
      </c>
      <c r="M442" s="352"/>
      <c r="N442" s="261">
        <v>438</v>
      </c>
      <c r="O442" s="262">
        <v>4985.07</v>
      </c>
      <c r="P442" s="352"/>
      <c r="Q442" s="261">
        <v>438</v>
      </c>
      <c r="R442" s="262">
        <v>1900</v>
      </c>
      <c r="S442" s="352"/>
      <c r="T442" s="261">
        <v>438</v>
      </c>
      <c r="U442" s="262">
        <v>1902</v>
      </c>
      <c r="V442" s="352"/>
      <c r="W442" s="261">
        <v>438</v>
      </c>
      <c r="X442" s="262">
        <v>3426.9</v>
      </c>
      <c r="Y442" s="352"/>
      <c r="Z442" s="261">
        <v>438</v>
      </c>
      <c r="AA442" s="262">
        <v>3463.68</v>
      </c>
      <c r="AB442" s="352"/>
      <c r="AC442" s="261">
        <v>438</v>
      </c>
      <c r="AD442" s="262">
        <v>11124.36</v>
      </c>
      <c r="AE442" s="352"/>
      <c r="AF442" s="261">
        <v>438</v>
      </c>
      <c r="AG442" s="262">
        <v>29879.02</v>
      </c>
      <c r="AH442" s="352"/>
      <c r="AI442" s="261">
        <v>438</v>
      </c>
      <c r="AJ442" s="262">
        <v>12697</v>
      </c>
      <c r="AK442" s="352"/>
      <c r="AL442" s="261"/>
      <c r="AM442" s="262"/>
    </row>
    <row r="443" spans="2:39">
      <c r="B443" s="261" t="s">
        <v>727</v>
      </c>
      <c r="C443" s="261">
        <v>14152</v>
      </c>
      <c r="E443" s="261" t="s">
        <v>727</v>
      </c>
      <c r="F443" s="261">
        <v>14086.83</v>
      </c>
      <c r="H443" s="261" t="s">
        <v>727</v>
      </c>
      <c r="I443" s="262">
        <v>7783</v>
      </c>
      <c r="K443" s="261">
        <v>438</v>
      </c>
      <c r="L443" s="262">
        <v>3196.18</v>
      </c>
      <c r="M443" s="352"/>
      <c r="N443" s="261">
        <v>439</v>
      </c>
      <c r="O443" s="262">
        <v>4996.17</v>
      </c>
      <c r="P443" s="352"/>
      <c r="Q443" s="261">
        <v>439</v>
      </c>
      <c r="R443" s="262">
        <v>1904</v>
      </c>
      <c r="S443" s="352"/>
      <c r="T443" s="261">
        <v>439</v>
      </c>
      <c r="U443" s="262">
        <v>1906</v>
      </c>
      <c r="V443" s="352"/>
      <c r="W443" s="261">
        <v>439</v>
      </c>
      <c r="X443" s="262">
        <v>3434.4</v>
      </c>
      <c r="Y443" s="352"/>
      <c r="Z443" s="261">
        <v>439</v>
      </c>
      <c r="AA443" s="262">
        <v>3471.2</v>
      </c>
      <c r="AB443" s="352"/>
      <c r="AC443" s="261">
        <v>439</v>
      </c>
      <c r="AD443" s="262">
        <v>11150.02</v>
      </c>
      <c r="AE443" s="352"/>
      <c r="AF443" s="261">
        <v>439</v>
      </c>
      <c r="AG443" s="262">
        <v>29947.45</v>
      </c>
      <c r="AH443" s="352"/>
      <c r="AI443" s="261">
        <v>439</v>
      </c>
      <c r="AJ443" s="262">
        <v>12725</v>
      </c>
      <c r="AK443" s="352"/>
      <c r="AL443" s="261"/>
      <c r="AM443" s="262"/>
    </row>
    <row r="444" spans="2:39">
      <c r="B444" s="261" t="s">
        <v>728</v>
      </c>
      <c r="C444" s="261">
        <v>14183</v>
      </c>
      <c r="E444" s="261" t="s">
        <v>728</v>
      </c>
      <c r="F444" s="261">
        <v>14118.09</v>
      </c>
      <c r="H444" s="261" t="s">
        <v>728</v>
      </c>
      <c r="I444" s="262">
        <f>I443+18</f>
        <v>7801</v>
      </c>
      <c r="K444" s="261">
        <v>439</v>
      </c>
      <c r="L444" s="262">
        <v>3203.48</v>
      </c>
      <c r="M444" s="352"/>
      <c r="N444" s="261">
        <v>440</v>
      </c>
      <c r="O444" s="262">
        <v>5007.2700000000004</v>
      </c>
      <c r="P444" s="352"/>
      <c r="Q444" s="261">
        <v>440</v>
      </c>
      <c r="R444" s="262">
        <v>1908</v>
      </c>
      <c r="S444" s="352"/>
      <c r="T444" s="261">
        <v>440</v>
      </c>
      <c r="U444" s="262">
        <v>1910</v>
      </c>
      <c r="V444" s="352"/>
      <c r="W444" s="261">
        <v>440</v>
      </c>
      <c r="X444" s="262">
        <v>3441.9</v>
      </c>
      <c r="Y444" s="352"/>
      <c r="Z444" s="261">
        <v>440</v>
      </c>
      <c r="AA444" s="262">
        <v>3478.71</v>
      </c>
      <c r="AB444" s="352"/>
      <c r="AC444" s="261">
        <v>440</v>
      </c>
      <c r="AD444" s="262">
        <v>11175.68</v>
      </c>
      <c r="AE444" s="352"/>
      <c r="AF444" s="261">
        <v>440</v>
      </c>
      <c r="AG444" s="262">
        <v>30015.87</v>
      </c>
      <c r="AH444" s="352"/>
      <c r="AI444" s="261">
        <v>440</v>
      </c>
      <c r="AJ444" s="262">
        <v>12754</v>
      </c>
      <c r="AK444" s="352"/>
      <c r="AL444" s="261"/>
      <c r="AM444" s="262"/>
    </row>
    <row r="445" spans="2:39">
      <c r="B445" s="261" t="s">
        <v>729</v>
      </c>
      <c r="C445" s="261">
        <v>14215</v>
      </c>
      <c r="E445" s="261" t="s">
        <v>729</v>
      </c>
      <c r="F445" s="261">
        <v>14149.48</v>
      </c>
      <c r="H445" s="261" t="s">
        <v>729</v>
      </c>
      <c r="I445" s="262">
        <v>7818</v>
      </c>
      <c r="K445" s="261">
        <v>440</v>
      </c>
      <c r="L445" s="262">
        <v>3210.78</v>
      </c>
      <c r="M445" s="352"/>
      <c r="N445" s="261">
        <v>441</v>
      </c>
      <c r="O445" s="262">
        <v>5018.3599999999997</v>
      </c>
      <c r="P445" s="352"/>
      <c r="Q445" s="261">
        <v>441</v>
      </c>
      <c r="R445" s="262">
        <v>1912</v>
      </c>
      <c r="S445" s="352"/>
      <c r="T445" s="261">
        <v>441</v>
      </c>
      <c r="U445" s="262">
        <v>1914</v>
      </c>
      <c r="V445" s="352"/>
      <c r="W445" s="261">
        <v>441</v>
      </c>
      <c r="X445" s="262">
        <v>3449.4</v>
      </c>
      <c r="Y445" s="352"/>
      <c r="Z445" s="261">
        <v>441</v>
      </c>
      <c r="AA445" s="262">
        <v>3486.23</v>
      </c>
      <c r="AB445" s="352"/>
      <c r="AC445" s="261">
        <v>441</v>
      </c>
      <c r="AD445" s="262">
        <v>11201.35</v>
      </c>
      <c r="AE445" s="352"/>
      <c r="AF445" s="261">
        <v>441</v>
      </c>
      <c r="AG445" s="262">
        <v>30084.3</v>
      </c>
      <c r="AH445" s="352"/>
      <c r="AI445" s="261">
        <v>441</v>
      </c>
      <c r="AJ445" s="262">
        <v>12782</v>
      </c>
      <c r="AK445" s="352"/>
      <c r="AL445" s="261"/>
      <c r="AM445" s="262"/>
    </row>
    <row r="446" spans="2:39">
      <c r="B446" s="261" t="s">
        <v>730</v>
      </c>
      <c r="C446" s="261">
        <v>14246</v>
      </c>
      <c r="E446" s="261" t="s">
        <v>730</v>
      </c>
      <c r="F446" s="261">
        <v>14180.74</v>
      </c>
      <c r="H446" s="261" t="s">
        <v>730</v>
      </c>
      <c r="I446" s="262">
        <f>I445+18</f>
        <v>7836</v>
      </c>
      <c r="K446" s="261">
        <v>441</v>
      </c>
      <c r="L446" s="262">
        <v>3218.07</v>
      </c>
      <c r="M446" s="352"/>
      <c r="N446" s="261">
        <v>442</v>
      </c>
      <c r="O446" s="262">
        <v>5029.46</v>
      </c>
      <c r="P446" s="352"/>
      <c r="Q446" s="261">
        <v>442</v>
      </c>
      <c r="R446" s="262">
        <v>1916</v>
      </c>
      <c r="S446" s="352"/>
      <c r="T446" s="261">
        <v>442</v>
      </c>
      <c r="U446" s="262">
        <v>1918</v>
      </c>
      <c r="V446" s="352"/>
      <c r="W446" s="261">
        <v>442</v>
      </c>
      <c r="X446" s="262">
        <v>3456.9</v>
      </c>
      <c r="Y446" s="352"/>
      <c r="Z446" s="261">
        <v>442</v>
      </c>
      <c r="AA446" s="262">
        <v>3493.75</v>
      </c>
      <c r="AB446" s="352"/>
      <c r="AC446" s="261">
        <v>442</v>
      </c>
      <c r="AD446" s="262">
        <v>11227.01</v>
      </c>
      <c r="AE446" s="352"/>
      <c r="AF446" s="261">
        <v>442</v>
      </c>
      <c r="AG446" s="262">
        <v>30152.720000000001</v>
      </c>
      <c r="AH446" s="352"/>
      <c r="AI446" s="261">
        <v>442</v>
      </c>
      <c r="AJ446" s="262">
        <v>12810</v>
      </c>
      <c r="AK446" s="352"/>
      <c r="AL446" s="261"/>
      <c r="AM446" s="262"/>
    </row>
    <row r="447" spans="2:39">
      <c r="B447" s="261" t="s">
        <v>731</v>
      </c>
      <c r="C447" s="261">
        <v>14278</v>
      </c>
      <c r="E447" s="261" t="s">
        <v>731</v>
      </c>
      <c r="F447" s="261">
        <v>14212.13</v>
      </c>
      <c r="H447" s="261" t="s">
        <v>731</v>
      </c>
      <c r="I447" s="262">
        <v>7853</v>
      </c>
      <c r="K447" s="261">
        <v>442</v>
      </c>
      <c r="L447" s="262">
        <v>3225.38</v>
      </c>
      <c r="M447" s="352"/>
      <c r="N447" s="261">
        <v>443</v>
      </c>
      <c r="O447" s="262">
        <v>5040.5600000000004</v>
      </c>
      <c r="P447" s="352"/>
      <c r="Q447" s="261">
        <v>443</v>
      </c>
      <c r="R447" s="262">
        <v>1921</v>
      </c>
      <c r="S447" s="352"/>
      <c r="T447" s="261">
        <v>443</v>
      </c>
      <c r="U447" s="262">
        <v>1922</v>
      </c>
      <c r="V447" s="352"/>
      <c r="W447" s="261">
        <v>443</v>
      </c>
      <c r="X447" s="262">
        <v>3464.5</v>
      </c>
      <c r="Y447" s="352"/>
      <c r="Z447" s="261">
        <v>443</v>
      </c>
      <c r="AA447" s="262">
        <v>3501.27</v>
      </c>
      <c r="AB447" s="352"/>
      <c r="AC447" s="261">
        <v>443</v>
      </c>
      <c r="AD447" s="262">
        <v>11252.67</v>
      </c>
      <c r="AE447" s="352"/>
      <c r="AF447" s="261">
        <v>443</v>
      </c>
      <c r="AG447" s="262">
        <v>30221.14</v>
      </c>
      <c r="AH447" s="352"/>
      <c r="AI447" s="261">
        <v>443</v>
      </c>
      <c r="AJ447" s="262">
        <v>12839</v>
      </c>
      <c r="AK447" s="352"/>
      <c r="AL447" s="261"/>
      <c r="AM447" s="262"/>
    </row>
    <row r="448" spans="2:39">
      <c r="B448" s="261" t="s">
        <v>732</v>
      </c>
      <c r="C448" s="261">
        <v>14309</v>
      </c>
      <c r="E448" s="261" t="s">
        <v>732</v>
      </c>
      <c r="F448" s="261">
        <v>14243.39</v>
      </c>
      <c r="H448" s="261" t="s">
        <v>732</v>
      </c>
      <c r="I448" s="262">
        <f>I447+18</f>
        <v>7871</v>
      </c>
      <c r="K448" s="261">
        <v>443</v>
      </c>
      <c r="L448" s="262">
        <v>3232.67</v>
      </c>
      <c r="M448" s="352"/>
      <c r="N448" s="261">
        <v>444</v>
      </c>
      <c r="O448" s="262">
        <v>5051.66</v>
      </c>
      <c r="P448" s="352"/>
      <c r="Q448" s="261">
        <v>444</v>
      </c>
      <c r="R448" s="262">
        <v>1925</v>
      </c>
      <c r="S448" s="352"/>
      <c r="T448" s="261">
        <v>444</v>
      </c>
      <c r="U448" s="262">
        <v>1926</v>
      </c>
      <c r="V448" s="352"/>
      <c r="W448" s="261">
        <v>444</v>
      </c>
      <c r="X448" s="262">
        <v>3472</v>
      </c>
      <c r="Y448" s="352"/>
      <c r="Z448" s="261">
        <v>444</v>
      </c>
      <c r="AA448" s="262">
        <v>3508.79</v>
      </c>
      <c r="AB448" s="352"/>
      <c r="AC448" s="261">
        <v>444</v>
      </c>
      <c r="AD448" s="262">
        <v>11278.33</v>
      </c>
      <c r="AE448" s="352"/>
      <c r="AF448" s="261">
        <v>444</v>
      </c>
      <c r="AG448" s="262">
        <v>30289.57</v>
      </c>
      <c r="AH448" s="352"/>
      <c r="AI448" s="261">
        <v>444</v>
      </c>
      <c r="AJ448" s="262">
        <v>12867</v>
      </c>
      <c r="AK448" s="352"/>
      <c r="AL448" s="261"/>
      <c r="AM448" s="262"/>
    </row>
    <row r="449" spans="2:39">
      <c r="B449" s="261" t="s">
        <v>733</v>
      </c>
      <c r="C449" s="261">
        <v>14341</v>
      </c>
      <c r="E449" s="261" t="s">
        <v>733</v>
      </c>
      <c r="F449" s="261">
        <v>14274.79</v>
      </c>
      <c r="H449" s="261" t="s">
        <v>733</v>
      </c>
      <c r="I449" s="262">
        <v>7889</v>
      </c>
      <c r="K449" s="261">
        <v>444</v>
      </c>
      <c r="L449" s="262">
        <v>3239.98</v>
      </c>
      <c r="M449" s="352"/>
      <c r="N449" s="261">
        <v>445</v>
      </c>
      <c r="O449" s="262">
        <v>5062.76</v>
      </c>
      <c r="P449" s="352"/>
      <c r="Q449" s="261">
        <v>445</v>
      </c>
      <c r="R449" s="262">
        <v>1929</v>
      </c>
      <c r="S449" s="352"/>
      <c r="T449" s="261">
        <v>445</v>
      </c>
      <c r="U449" s="262">
        <v>1931</v>
      </c>
      <c r="V449" s="352"/>
      <c r="W449" s="261">
        <v>445</v>
      </c>
      <c r="X449" s="262">
        <v>3479.5</v>
      </c>
      <c r="Y449" s="352"/>
      <c r="Z449" s="261">
        <v>445</v>
      </c>
      <c r="AA449" s="262">
        <v>3516.3</v>
      </c>
      <c r="AB449" s="352"/>
      <c r="AC449" s="261">
        <v>445</v>
      </c>
      <c r="AD449" s="262">
        <v>11303.99</v>
      </c>
      <c r="AE449" s="352"/>
      <c r="AF449" s="261">
        <v>445</v>
      </c>
      <c r="AG449" s="262">
        <v>30357.99</v>
      </c>
      <c r="AH449" s="352"/>
      <c r="AI449" s="261">
        <v>445</v>
      </c>
      <c r="AJ449" s="262">
        <v>12896</v>
      </c>
      <c r="AK449" s="352"/>
      <c r="AL449" s="261"/>
      <c r="AM449" s="262"/>
    </row>
    <row r="450" spans="2:39">
      <c r="B450" s="261" t="s">
        <v>734</v>
      </c>
      <c r="C450" s="261">
        <v>14372</v>
      </c>
      <c r="E450" s="261" t="s">
        <v>734</v>
      </c>
      <c r="F450" s="261">
        <v>14306.050000000001</v>
      </c>
      <c r="H450" s="261" t="s">
        <v>734</v>
      </c>
      <c r="I450" s="262">
        <f>I449+18</f>
        <v>7907</v>
      </c>
      <c r="K450" s="261">
        <v>445</v>
      </c>
      <c r="L450" s="262">
        <v>3247.27</v>
      </c>
      <c r="M450" s="352"/>
      <c r="N450" s="261">
        <v>446</v>
      </c>
      <c r="O450" s="262">
        <v>5073.8599999999997</v>
      </c>
      <c r="P450" s="352"/>
      <c r="Q450" s="261">
        <v>446</v>
      </c>
      <c r="R450" s="262">
        <v>1933</v>
      </c>
      <c r="S450" s="352"/>
      <c r="T450" s="261">
        <v>446</v>
      </c>
      <c r="U450" s="262">
        <v>1935</v>
      </c>
      <c r="V450" s="352"/>
      <c r="W450" s="261">
        <v>446</v>
      </c>
      <c r="X450" s="262">
        <v>3487</v>
      </c>
      <c r="Y450" s="352"/>
      <c r="Z450" s="261">
        <v>446</v>
      </c>
      <c r="AA450" s="262">
        <v>3523.82</v>
      </c>
      <c r="AB450" s="352"/>
      <c r="AC450" s="261">
        <v>446</v>
      </c>
      <c r="AD450" s="262">
        <v>11329.66</v>
      </c>
      <c r="AE450" s="352"/>
      <c r="AF450" s="261">
        <v>446</v>
      </c>
      <c r="AG450" s="262">
        <v>30426.42</v>
      </c>
      <c r="AH450" s="352"/>
      <c r="AI450" s="261">
        <v>446</v>
      </c>
      <c r="AJ450" s="262">
        <v>12924</v>
      </c>
      <c r="AK450" s="352"/>
      <c r="AL450" s="261"/>
      <c r="AM450" s="262"/>
    </row>
    <row r="451" spans="2:39">
      <c r="B451" s="261" t="s">
        <v>735</v>
      </c>
      <c r="C451" s="261">
        <v>14403</v>
      </c>
      <c r="E451" s="261" t="s">
        <v>735</v>
      </c>
      <c r="F451" s="261">
        <v>14337.43</v>
      </c>
      <c r="H451" s="261" t="s">
        <v>735</v>
      </c>
      <c r="I451" s="262">
        <v>7924</v>
      </c>
      <c r="K451" s="261">
        <v>446</v>
      </c>
      <c r="L451" s="262">
        <v>3254.57</v>
      </c>
      <c r="M451" s="352"/>
      <c r="N451" s="261">
        <v>447</v>
      </c>
      <c r="O451" s="262">
        <v>5084.96</v>
      </c>
      <c r="P451" s="352"/>
      <c r="Q451" s="261">
        <v>447</v>
      </c>
      <c r="R451" s="262">
        <v>1937</v>
      </c>
      <c r="S451" s="352"/>
      <c r="T451" s="261">
        <v>447</v>
      </c>
      <c r="U451" s="262">
        <v>1939</v>
      </c>
      <c r="V451" s="352"/>
      <c r="W451" s="261">
        <v>447</v>
      </c>
      <c r="X451" s="262">
        <v>3494.5</v>
      </c>
      <c r="Y451" s="352"/>
      <c r="Z451" s="261">
        <v>447</v>
      </c>
      <c r="AA451" s="262">
        <v>3531.34</v>
      </c>
      <c r="AB451" s="352"/>
      <c r="AC451" s="261">
        <v>447</v>
      </c>
      <c r="AD451" s="262">
        <v>11355.32</v>
      </c>
      <c r="AE451" s="352"/>
      <c r="AF451" s="261">
        <v>447</v>
      </c>
      <c r="AG451" s="262">
        <v>30494.84</v>
      </c>
      <c r="AH451" s="352"/>
      <c r="AI451" s="261">
        <v>447</v>
      </c>
      <c r="AJ451" s="262">
        <v>12952</v>
      </c>
      <c r="AK451" s="352"/>
      <c r="AL451" s="261"/>
      <c r="AM451" s="262"/>
    </row>
    <row r="452" spans="2:39">
      <c r="B452" s="261" t="s">
        <v>736</v>
      </c>
      <c r="C452" s="261">
        <v>14434</v>
      </c>
      <c r="E452" s="261" t="s">
        <v>736</v>
      </c>
      <c r="F452" s="261">
        <v>14368.69</v>
      </c>
      <c r="H452" s="261" t="s">
        <v>736</v>
      </c>
      <c r="I452" s="262">
        <f>I451+18</f>
        <v>7942</v>
      </c>
      <c r="K452" s="261">
        <v>447</v>
      </c>
      <c r="L452" s="262">
        <v>3261.87</v>
      </c>
      <c r="M452" s="352"/>
      <c r="N452" s="261">
        <v>448</v>
      </c>
      <c r="O452" s="262">
        <v>5096.05</v>
      </c>
      <c r="P452" s="352"/>
      <c r="Q452" s="261">
        <v>448</v>
      </c>
      <c r="R452" s="262">
        <v>1941</v>
      </c>
      <c r="S452" s="352"/>
      <c r="T452" s="261">
        <v>448</v>
      </c>
      <c r="U452" s="262">
        <v>1943</v>
      </c>
      <c r="V452" s="352"/>
      <c r="W452" s="261">
        <v>448</v>
      </c>
      <c r="X452" s="262">
        <v>3502</v>
      </c>
      <c r="Y452" s="352"/>
      <c r="Z452" s="261">
        <v>448</v>
      </c>
      <c r="AA452" s="262">
        <v>3538.86</v>
      </c>
      <c r="AB452" s="352"/>
      <c r="AC452" s="261">
        <v>448</v>
      </c>
      <c r="AD452" s="262">
        <v>11380.98</v>
      </c>
      <c r="AE452" s="352"/>
      <c r="AF452" s="261">
        <v>448</v>
      </c>
      <c r="AG452" s="262">
        <v>30563.26</v>
      </c>
      <c r="AH452" s="352"/>
      <c r="AI452" s="261">
        <v>448</v>
      </c>
      <c r="AJ452" s="262">
        <v>12981</v>
      </c>
      <c r="AK452" s="352"/>
      <c r="AL452" s="261"/>
      <c r="AM452" s="262"/>
    </row>
    <row r="453" spans="2:39">
      <c r="B453" s="261" t="s">
        <v>737</v>
      </c>
      <c r="C453" s="261">
        <v>14466</v>
      </c>
      <c r="E453" s="261" t="s">
        <v>737</v>
      </c>
      <c r="F453" s="261">
        <v>14400.08</v>
      </c>
      <c r="H453" s="261" t="s">
        <v>737</v>
      </c>
      <c r="I453" s="262">
        <v>7959</v>
      </c>
      <c r="K453" s="261">
        <v>448</v>
      </c>
      <c r="L453" s="262">
        <v>3269.17</v>
      </c>
      <c r="M453" s="352"/>
      <c r="N453" s="261">
        <v>449</v>
      </c>
      <c r="O453" s="262">
        <v>5107.1499999999996</v>
      </c>
      <c r="P453" s="352"/>
      <c r="Q453" s="261">
        <v>449</v>
      </c>
      <c r="R453" s="262">
        <v>1945</v>
      </c>
      <c r="S453" s="352"/>
      <c r="T453" s="261">
        <v>449</v>
      </c>
      <c r="U453" s="262">
        <v>1947</v>
      </c>
      <c r="V453" s="352"/>
      <c r="W453" s="261">
        <v>449</v>
      </c>
      <c r="X453" s="262">
        <v>3509.5</v>
      </c>
      <c r="Y453" s="352"/>
      <c r="Z453" s="261">
        <v>449</v>
      </c>
      <c r="AA453" s="262">
        <v>3546.38</v>
      </c>
      <c r="AB453" s="352"/>
      <c r="AC453" s="261">
        <v>449</v>
      </c>
      <c r="AD453" s="262">
        <v>11406.64</v>
      </c>
      <c r="AE453" s="352"/>
      <c r="AF453" s="261">
        <v>449</v>
      </c>
      <c r="AG453" s="262">
        <v>30631.69</v>
      </c>
      <c r="AH453" s="352"/>
      <c r="AI453" s="261">
        <v>449</v>
      </c>
      <c r="AJ453" s="262">
        <v>13009</v>
      </c>
      <c r="AK453" s="352"/>
      <c r="AL453" s="261"/>
      <c r="AM453" s="262"/>
    </row>
    <row r="454" spans="2:39">
      <c r="B454" s="261" t="s">
        <v>738</v>
      </c>
      <c r="C454" s="261">
        <v>14497</v>
      </c>
      <c r="E454" s="261" t="s">
        <v>738</v>
      </c>
      <c r="F454" s="261">
        <v>14431.34</v>
      </c>
      <c r="H454" s="261" t="s">
        <v>738</v>
      </c>
      <c r="I454" s="262">
        <f>I453+18</f>
        <v>7977</v>
      </c>
      <c r="K454" s="261">
        <v>449</v>
      </c>
      <c r="L454" s="262">
        <v>3276.47</v>
      </c>
      <c r="M454" s="352"/>
      <c r="N454" s="261">
        <v>450</v>
      </c>
      <c r="O454" s="262">
        <v>5118.25</v>
      </c>
      <c r="P454" s="352"/>
      <c r="Q454" s="261">
        <v>450</v>
      </c>
      <c r="R454" s="262">
        <v>1949</v>
      </c>
      <c r="S454" s="352"/>
      <c r="T454" s="261">
        <v>450</v>
      </c>
      <c r="U454" s="262">
        <v>1951</v>
      </c>
      <c r="V454" s="352"/>
      <c r="W454" s="261">
        <v>450</v>
      </c>
      <c r="X454" s="262">
        <v>3517</v>
      </c>
      <c r="Y454" s="352"/>
      <c r="Z454" s="261">
        <v>450</v>
      </c>
      <c r="AA454" s="262">
        <v>3553.89</v>
      </c>
      <c r="AB454" s="352"/>
      <c r="AC454" s="261">
        <v>450</v>
      </c>
      <c r="AD454" s="262">
        <v>11432.3</v>
      </c>
      <c r="AE454" s="352"/>
      <c r="AF454" s="261">
        <v>450</v>
      </c>
      <c r="AG454" s="262">
        <v>30700.11</v>
      </c>
      <c r="AH454" s="352"/>
      <c r="AI454" s="261">
        <v>450</v>
      </c>
      <c r="AJ454" s="262">
        <v>13038</v>
      </c>
      <c r="AK454" s="352"/>
      <c r="AL454" s="261"/>
      <c r="AM454" s="262"/>
    </row>
    <row r="455" spans="2:39">
      <c r="B455" s="261" t="s">
        <v>739</v>
      </c>
      <c r="C455" s="261">
        <v>14529</v>
      </c>
      <c r="E455" s="261" t="s">
        <v>739</v>
      </c>
      <c r="F455" s="261">
        <v>14462.73</v>
      </c>
      <c r="H455" s="261" t="s">
        <v>739</v>
      </c>
      <c r="I455" s="262">
        <v>7995</v>
      </c>
      <c r="K455" s="261">
        <v>450</v>
      </c>
      <c r="L455" s="262">
        <v>3283.77</v>
      </c>
      <c r="M455" s="352"/>
      <c r="N455" s="261">
        <v>451</v>
      </c>
      <c r="O455" s="262">
        <v>5129.3500000000004</v>
      </c>
      <c r="P455" s="352"/>
      <c r="Q455" s="261">
        <v>451</v>
      </c>
      <c r="R455" s="262">
        <v>1954</v>
      </c>
      <c r="S455" s="352"/>
      <c r="T455" s="261">
        <v>451</v>
      </c>
      <c r="U455" s="262">
        <v>1955</v>
      </c>
      <c r="V455" s="352"/>
      <c r="W455" s="261">
        <v>451</v>
      </c>
      <c r="X455" s="262">
        <v>3524.5</v>
      </c>
      <c r="Y455" s="352"/>
      <c r="Z455" s="261">
        <v>451</v>
      </c>
      <c r="AA455" s="262">
        <v>3561.41</v>
      </c>
      <c r="AB455" s="352"/>
      <c r="AC455" s="261">
        <v>451</v>
      </c>
      <c r="AD455" s="262">
        <v>11457.97</v>
      </c>
      <c r="AE455" s="352"/>
      <c r="AF455" s="261">
        <v>451</v>
      </c>
      <c r="AG455" s="262">
        <v>30768.54</v>
      </c>
      <c r="AH455" s="352"/>
      <c r="AI455" s="261">
        <v>451</v>
      </c>
      <c r="AJ455" s="262">
        <v>13066</v>
      </c>
      <c r="AK455" s="352"/>
      <c r="AL455" s="261"/>
      <c r="AM455" s="262"/>
    </row>
    <row r="456" spans="2:39">
      <c r="B456" s="261" t="s">
        <v>740</v>
      </c>
      <c r="C456" s="261">
        <v>14560</v>
      </c>
      <c r="E456" s="261" t="s">
        <v>740</v>
      </c>
      <c r="F456" s="261">
        <v>14493.99</v>
      </c>
      <c r="H456" s="261" t="s">
        <v>740</v>
      </c>
      <c r="I456" s="262">
        <f>I455+18</f>
        <v>8013</v>
      </c>
      <c r="K456" s="261">
        <v>451</v>
      </c>
      <c r="L456" s="262">
        <v>3291.07</v>
      </c>
      <c r="M456" s="352"/>
      <c r="N456" s="261">
        <v>452</v>
      </c>
      <c r="O456" s="262">
        <v>5140.45</v>
      </c>
      <c r="P456" s="352"/>
      <c r="Q456" s="261">
        <v>452</v>
      </c>
      <c r="R456" s="262">
        <v>1958</v>
      </c>
      <c r="S456" s="352"/>
      <c r="T456" s="261">
        <v>452</v>
      </c>
      <c r="U456" s="262">
        <v>1960</v>
      </c>
      <c r="V456" s="352"/>
      <c r="W456" s="261">
        <v>452</v>
      </c>
      <c r="X456" s="262">
        <v>3532.1</v>
      </c>
      <c r="Y456" s="352"/>
      <c r="Z456" s="261">
        <v>452</v>
      </c>
      <c r="AA456" s="262">
        <v>3568.93</v>
      </c>
      <c r="AB456" s="352"/>
      <c r="AC456" s="261">
        <v>452</v>
      </c>
      <c r="AD456" s="262">
        <v>11483.63</v>
      </c>
      <c r="AE456" s="352"/>
      <c r="AF456" s="261">
        <v>452</v>
      </c>
      <c r="AG456" s="262">
        <v>30836.959999999999</v>
      </c>
      <c r="AH456" s="352"/>
      <c r="AI456" s="261">
        <v>452</v>
      </c>
      <c r="AJ456" s="262">
        <v>13094</v>
      </c>
      <c r="AK456" s="352"/>
      <c r="AL456" s="261"/>
      <c r="AM456" s="262"/>
    </row>
    <row r="457" spans="2:39">
      <c r="B457" s="261" t="s">
        <v>741</v>
      </c>
      <c r="C457" s="261">
        <v>14592</v>
      </c>
      <c r="E457" s="261" t="s">
        <v>741</v>
      </c>
      <c r="F457" s="261">
        <v>14525.38</v>
      </c>
      <c r="H457" s="261" t="s">
        <v>741</v>
      </c>
      <c r="I457" s="262">
        <v>8030</v>
      </c>
      <c r="K457" s="261">
        <v>452</v>
      </c>
      <c r="L457" s="262">
        <v>3298.37</v>
      </c>
      <c r="M457" s="352"/>
      <c r="N457" s="261">
        <v>453</v>
      </c>
      <c r="O457" s="262">
        <v>5151.55</v>
      </c>
      <c r="P457" s="352"/>
      <c r="Q457" s="261">
        <v>453</v>
      </c>
      <c r="R457" s="262">
        <v>1962</v>
      </c>
      <c r="S457" s="352"/>
      <c r="T457" s="261">
        <v>453</v>
      </c>
      <c r="U457" s="262">
        <v>1964</v>
      </c>
      <c r="V457" s="352"/>
      <c r="W457" s="261">
        <v>453</v>
      </c>
      <c r="X457" s="262">
        <v>3539.6</v>
      </c>
      <c r="Y457" s="352"/>
      <c r="Z457" s="261">
        <v>453</v>
      </c>
      <c r="AA457" s="262">
        <v>3576.45</v>
      </c>
      <c r="AB457" s="352"/>
      <c r="AC457" s="261">
        <v>453</v>
      </c>
      <c r="AD457" s="262">
        <v>11509.29</v>
      </c>
      <c r="AE457" s="352"/>
      <c r="AF457" s="261">
        <v>453</v>
      </c>
      <c r="AG457" s="262">
        <v>30905.38</v>
      </c>
      <c r="AH457" s="352"/>
      <c r="AI457" s="261">
        <v>453</v>
      </c>
      <c r="AJ457" s="262">
        <v>13123</v>
      </c>
      <c r="AK457" s="352"/>
      <c r="AL457" s="261"/>
      <c r="AM457" s="262"/>
    </row>
    <row r="458" spans="2:39">
      <c r="B458" s="261" t="s">
        <v>742</v>
      </c>
      <c r="C458" s="261">
        <v>14623</v>
      </c>
      <c r="E458" s="261" t="s">
        <v>742</v>
      </c>
      <c r="F458" s="261">
        <v>14556.64</v>
      </c>
      <c r="H458" s="261" t="s">
        <v>742</v>
      </c>
      <c r="I458" s="262">
        <f>I457+18</f>
        <v>8048</v>
      </c>
      <c r="K458" s="261">
        <v>453</v>
      </c>
      <c r="L458" s="262">
        <v>3305.67</v>
      </c>
      <c r="M458" s="352"/>
      <c r="N458" s="261">
        <v>454</v>
      </c>
      <c r="O458" s="262">
        <v>5162.6400000000003</v>
      </c>
      <c r="P458" s="352"/>
      <c r="Q458" s="261">
        <v>454</v>
      </c>
      <c r="R458" s="262">
        <v>1966</v>
      </c>
      <c r="S458" s="352"/>
      <c r="T458" s="261">
        <v>454</v>
      </c>
      <c r="U458" s="262">
        <v>1968</v>
      </c>
      <c r="V458" s="352"/>
      <c r="W458" s="261">
        <v>454</v>
      </c>
      <c r="X458" s="262">
        <v>3547.1</v>
      </c>
      <c r="Y458" s="352"/>
      <c r="Z458" s="261">
        <v>454</v>
      </c>
      <c r="AA458" s="262">
        <v>3583.97</v>
      </c>
      <c r="AB458" s="352"/>
      <c r="AC458" s="261">
        <v>454</v>
      </c>
      <c r="AD458" s="262">
        <v>11534.95</v>
      </c>
      <c r="AE458" s="352"/>
      <c r="AF458" s="261">
        <v>454</v>
      </c>
      <c r="AG458" s="262">
        <v>30973.81</v>
      </c>
      <c r="AH458" s="352"/>
      <c r="AI458" s="261">
        <v>454</v>
      </c>
      <c r="AJ458" s="262">
        <v>13151</v>
      </c>
      <c r="AK458" s="352"/>
      <c r="AL458" s="261"/>
      <c r="AM458" s="262"/>
    </row>
    <row r="459" spans="2:39">
      <c r="B459" s="261" t="s">
        <v>743</v>
      </c>
      <c r="C459" s="261">
        <v>14655</v>
      </c>
      <c r="E459" s="261" t="s">
        <v>743</v>
      </c>
      <c r="F459" s="261">
        <v>14588.03</v>
      </c>
      <c r="H459" s="261" t="s">
        <v>743</v>
      </c>
      <c r="I459" s="262">
        <v>8065</v>
      </c>
      <c r="K459" s="261">
        <v>454</v>
      </c>
      <c r="L459" s="262">
        <v>3312.96</v>
      </c>
      <c r="M459" s="352"/>
      <c r="N459" s="261">
        <v>455</v>
      </c>
      <c r="O459" s="262">
        <v>5173.74</v>
      </c>
      <c r="P459" s="352"/>
      <c r="Q459" s="261">
        <v>455</v>
      </c>
      <c r="R459" s="262">
        <v>1970</v>
      </c>
      <c r="S459" s="352"/>
      <c r="T459" s="261">
        <v>455</v>
      </c>
      <c r="U459" s="262">
        <v>1972</v>
      </c>
      <c r="V459" s="352"/>
      <c r="W459" s="261">
        <v>455</v>
      </c>
      <c r="X459" s="262">
        <v>3554.6</v>
      </c>
      <c r="Y459" s="352"/>
      <c r="Z459" s="261">
        <v>455</v>
      </c>
      <c r="AA459" s="262">
        <v>3591.48</v>
      </c>
      <c r="AB459" s="352"/>
      <c r="AC459" s="261">
        <v>455</v>
      </c>
      <c r="AD459" s="262">
        <v>11560.61</v>
      </c>
      <c r="AE459" s="352"/>
      <c r="AF459" s="261">
        <v>455</v>
      </c>
      <c r="AG459" s="262">
        <v>31042.23</v>
      </c>
      <c r="AH459" s="352"/>
      <c r="AI459" s="261">
        <v>455</v>
      </c>
      <c r="AJ459" s="262">
        <v>13180</v>
      </c>
      <c r="AK459" s="352"/>
      <c r="AL459" s="261"/>
      <c r="AM459" s="262"/>
    </row>
    <row r="460" spans="2:39">
      <c r="B460" s="261" t="s">
        <v>744</v>
      </c>
      <c r="C460" s="261">
        <v>14686</v>
      </c>
      <c r="E460" s="261" t="s">
        <v>744</v>
      </c>
      <c r="F460" s="261">
        <v>14619.29</v>
      </c>
      <c r="H460" s="261" t="s">
        <v>744</v>
      </c>
      <c r="I460" s="262">
        <f>I459+18</f>
        <v>8083</v>
      </c>
      <c r="K460" s="261">
        <v>455</v>
      </c>
      <c r="L460" s="262">
        <v>3320.27</v>
      </c>
      <c r="M460" s="352"/>
      <c r="N460" s="261">
        <v>456</v>
      </c>
      <c r="O460" s="262">
        <v>5184.84</v>
      </c>
      <c r="P460" s="352"/>
      <c r="Q460" s="261">
        <v>456</v>
      </c>
      <c r="R460" s="262">
        <v>1974</v>
      </c>
      <c r="S460" s="352"/>
      <c r="T460" s="261">
        <v>456</v>
      </c>
      <c r="U460" s="262">
        <v>1976</v>
      </c>
      <c r="V460" s="352"/>
      <c r="W460" s="261">
        <v>456</v>
      </c>
      <c r="X460" s="262">
        <v>3562.1</v>
      </c>
      <c r="Y460" s="352"/>
      <c r="Z460" s="261">
        <v>456</v>
      </c>
      <c r="AA460" s="262">
        <v>3599</v>
      </c>
      <c r="AB460" s="352"/>
      <c r="AC460" s="261">
        <v>456</v>
      </c>
      <c r="AD460" s="262">
        <v>11586.28</v>
      </c>
      <c r="AE460" s="352"/>
      <c r="AF460" s="261">
        <v>456</v>
      </c>
      <c r="AG460" s="262">
        <v>31110.66</v>
      </c>
      <c r="AH460" s="352"/>
      <c r="AI460" s="261">
        <v>456</v>
      </c>
      <c r="AJ460" s="262">
        <v>13208</v>
      </c>
      <c r="AK460" s="352"/>
      <c r="AL460" s="261"/>
      <c r="AM460" s="262"/>
    </row>
    <row r="461" spans="2:39">
      <c r="B461" s="261" t="s">
        <v>745</v>
      </c>
      <c r="C461" s="261">
        <v>14717</v>
      </c>
      <c r="E461" s="261" t="s">
        <v>745</v>
      </c>
      <c r="F461" s="261">
        <v>14650.68</v>
      </c>
      <c r="H461" s="261" t="s">
        <v>745</v>
      </c>
      <c r="I461" s="262">
        <v>8101</v>
      </c>
      <c r="K461" s="261">
        <v>456</v>
      </c>
      <c r="L461" s="262">
        <v>3327.56</v>
      </c>
      <c r="M461" s="352"/>
      <c r="N461" s="261">
        <v>457</v>
      </c>
      <c r="O461" s="262">
        <v>5195.9399999999996</v>
      </c>
      <c r="P461" s="352"/>
      <c r="Q461" s="261">
        <v>457</v>
      </c>
      <c r="R461" s="262">
        <v>1978</v>
      </c>
      <c r="S461" s="352"/>
      <c r="T461" s="261">
        <v>457</v>
      </c>
      <c r="U461" s="262">
        <v>1980</v>
      </c>
      <c r="V461" s="352"/>
      <c r="W461" s="261">
        <v>457</v>
      </c>
      <c r="X461" s="262">
        <v>3569.6</v>
      </c>
      <c r="Y461" s="352"/>
      <c r="Z461" s="261">
        <v>457</v>
      </c>
      <c r="AA461" s="262">
        <v>3606.52</v>
      </c>
      <c r="AB461" s="352"/>
      <c r="AC461" s="261">
        <v>457</v>
      </c>
      <c r="AD461" s="262">
        <v>11611.94</v>
      </c>
      <c r="AE461" s="352"/>
      <c r="AF461" s="261">
        <v>457</v>
      </c>
      <c r="AG461" s="262">
        <v>31179.08</v>
      </c>
      <c r="AH461" s="352"/>
      <c r="AI461" s="261">
        <v>457</v>
      </c>
      <c r="AJ461" s="262">
        <v>13236</v>
      </c>
      <c r="AK461" s="352"/>
      <c r="AL461" s="261"/>
      <c r="AM461" s="262"/>
    </row>
    <row r="462" spans="2:39">
      <c r="B462" s="261" t="s">
        <v>746</v>
      </c>
      <c r="C462" s="261">
        <v>14748</v>
      </c>
      <c r="E462" s="261" t="s">
        <v>746</v>
      </c>
      <c r="F462" s="261">
        <v>14681.94</v>
      </c>
      <c r="H462" s="261" t="s">
        <v>746</v>
      </c>
      <c r="I462" s="262">
        <f>I461+18</f>
        <v>8119</v>
      </c>
      <c r="K462" s="261">
        <v>457</v>
      </c>
      <c r="L462" s="262">
        <v>3334.86</v>
      </c>
      <c r="M462" s="352"/>
      <c r="N462" s="261">
        <v>458</v>
      </c>
      <c r="O462" s="262">
        <v>5207.04</v>
      </c>
      <c r="P462" s="352"/>
      <c r="Q462" s="261">
        <v>458</v>
      </c>
      <c r="R462" s="262">
        <v>1982</v>
      </c>
      <c r="S462" s="352"/>
      <c r="T462" s="261">
        <v>458</v>
      </c>
      <c r="U462" s="262">
        <v>1984</v>
      </c>
      <c r="V462" s="352"/>
      <c r="W462" s="261">
        <v>458</v>
      </c>
      <c r="X462" s="262">
        <v>3577.1</v>
      </c>
      <c r="Y462" s="352"/>
      <c r="Z462" s="261">
        <v>458</v>
      </c>
      <c r="AA462" s="262">
        <v>3614.04</v>
      </c>
      <c r="AB462" s="352"/>
      <c r="AC462" s="261">
        <v>458</v>
      </c>
      <c r="AD462" s="262">
        <v>11637.6</v>
      </c>
      <c r="AE462" s="352"/>
      <c r="AF462" s="261">
        <v>458</v>
      </c>
      <c r="AG462" s="262">
        <v>31247.5</v>
      </c>
      <c r="AH462" s="352"/>
      <c r="AI462" s="261">
        <v>458</v>
      </c>
      <c r="AJ462" s="262">
        <v>13265</v>
      </c>
      <c r="AK462" s="352"/>
      <c r="AL462" s="261"/>
      <c r="AM462" s="262"/>
    </row>
    <row r="463" spans="2:39">
      <c r="B463" s="261" t="s">
        <v>747</v>
      </c>
      <c r="C463" s="261">
        <v>14780</v>
      </c>
      <c r="E463" s="261" t="s">
        <v>747</v>
      </c>
      <c r="F463" s="261">
        <v>14713.33</v>
      </c>
      <c r="H463" s="261" t="s">
        <v>747</v>
      </c>
      <c r="I463" s="262">
        <v>8136</v>
      </c>
      <c r="K463" s="261">
        <v>458</v>
      </c>
      <c r="L463" s="262">
        <v>3342.16</v>
      </c>
      <c r="M463" s="352"/>
      <c r="N463" s="261">
        <v>459</v>
      </c>
      <c r="O463" s="262">
        <v>5218.1400000000003</v>
      </c>
      <c r="P463" s="352"/>
      <c r="Q463" s="261">
        <v>459</v>
      </c>
      <c r="R463" s="262">
        <v>1987</v>
      </c>
      <c r="S463" s="352"/>
      <c r="T463" s="261">
        <v>459</v>
      </c>
      <c r="U463" s="262">
        <v>1989</v>
      </c>
      <c r="V463" s="352"/>
      <c r="W463" s="261">
        <v>459</v>
      </c>
      <c r="X463" s="262">
        <v>3584.6</v>
      </c>
      <c r="Y463" s="352"/>
      <c r="Z463" s="261">
        <v>459</v>
      </c>
      <c r="AA463" s="262">
        <v>3621.56</v>
      </c>
      <c r="AB463" s="352"/>
      <c r="AC463" s="261">
        <v>459</v>
      </c>
      <c r="AD463" s="262">
        <v>11663.26</v>
      </c>
      <c r="AE463" s="352"/>
      <c r="AF463" s="261">
        <v>459</v>
      </c>
      <c r="AG463" s="262">
        <v>31315.93</v>
      </c>
      <c r="AH463" s="352"/>
      <c r="AI463" s="261">
        <v>459</v>
      </c>
      <c r="AJ463" s="262">
        <v>13293</v>
      </c>
      <c r="AK463" s="352"/>
      <c r="AL463" s="261"/>
      <c r="AM463" s="262"/>
    </row>
    <row r="464" spans="2:39">
      <c r="B464" s="261" t="s">
        <v>748</v>
      </c>
      <c r="C464" s="261">
        <v>14811</v>
      </c>
      <c r="E464" s="261" t="s">
        <v>748</v>
      </c>
      <c r="F464" s="261">
        <v>14744.59</v>
      </c>
      <c r="H464" s="261" t="s">
        <v>748</v>
      </c>
      <c r="I464" s="262">
        <f>I463+18</f>
        <v>8154</v>
      </c>
      <c r="K464" s="261">
        <v>459</v>
      </c>
      <c r="L464" s="262">
        <v>3349.46</v>
      </c>
      <c r="M464" s="352"/>
      <c r="N464" s="261">
        <v>460</v>
      </c>
      <c r="O464" s="262">
        <v>5229.2299999999996</v>
      </c>
      <c r="P464" s="352"/>
      <c r="Q464" s="261">
        <v>460</v>
      </c>
      <c r="R464" s="262">
        <v>1991</v>
      </c>
      <c r="S464" s="352"/>
      <c r="T464" s="261">
        <v>460</v>
      </c>
      <c r="U464" s="262">
        <v>1993</v>
      </c>
      <c r="V464" s="352"/>
      <c r="W464" s="261">
        <v>460</v>
      </c>
      <c r="X464" s="262">
        <v>3592.1</v>
      </c>
      <c r="Y464" s="352"/>
      <c r="Z464" s="261">
        <v>460</v>
      </c>
      <c r="AA464" s="262">
        <v>3629.07</v>
      </c>
      <c r="AB464" s="352"/>
      <c r="AC464" s="261">
        <v>460</v>
      </c>
      <c r="AD464" s="262">
        <v>11688.92</v>
      </c>
      <c r="AE464" s="352"/>
      <c r="AF464" s="261">
        <v>460</v>
      </c>
      <c r="AG464" s="262">
        <v>31384.35</v>
      </c>
      <c r="AH464" s="352"/>
      <c r="AI464" s="261">
        <v>460</v>
      </c>
      <c r="AJ464" s="262">
        <v>13322</v>
      </c>
      <c r="AK464" s="352"/>
      <c r="AL464" s="261"/>
      <c r="AM464" s="262"/>
    </row>
    <row r="465" spans="2:39">
      <c r="B465" s="261" t="s">
        <v>749</v>
      </c>
      <c r="C465" s="261">
        <v>14843</v>
      </c>
      <c r="E465" s="261" t="s">
        <v>749</v>
      </c>
      <c r="F465" s="261">
        <v>14775.98</v>
      </c>
      <c r="H465" s="261" t="s">
        <v>749</v>
      </c>
      <c r="I465" s="262">
        <v>8171</v>
      </c>
      <c r="K465" s="261">
        <v>460</v>
      </c>
      <c r="L465" s="262">
        <v>3356.76</v>
      </c>
      <c r="M465" s="352"/>
      <c r="N465" s="261">
        <v>461</v>
      </c>
      <c r="O465" s="262">
        <v>5240.33</v>
      </c>
      <c r="P465" s="352"/>
      <c r="Q465" s="261">
        <v>461</v>
      </c>
      <c r="R465" s="262">
        <v>1995</v>
      </c>
      <c r="S465" s="352"/>
      <c r="T465" s="261">
        <v>461</v>
      </c>
      <c r="U465" s="262">
        <v>1997</v>
      </c>
      <c r="V465" s="352"/>
      <c r="W465" s="261">
        <v>461</v>
      </c>
      <c r="X465" s="262">
        <v>3599.7</v>
      </c>
      <c r="Y465" s="352"/>
      <c r="Z465" s="261">
        <v>461</v>
      </c>
      <c r="AA465" s="262">
        <v>3636.59</v>
      </c>
      <c r="AB465" s="352"/>
      <c r="AC465" s="261">
        <v>461</v>
      </c>
      <c r="AD465" s="262">
        <v>11714.59</v>
      </c>
      <c r="AE465" s="352"/>
      <c r="AF465" s="261">
        <v>461</v>
      </c>
      <c r="AG465" s="262">
        <v>31452.78</v>
      </c>
      <c r="AH465" s="352"/>
      <c r="AI465" s="261">
        <v>461</v>
      </c>
      <c r="AJ465" s="262">
        <v>13350</v>
      </c>
      <c r="AK465" s="352"/>
      <c r="AL465" s="261"/>
      <c r="AM465" s="262"/>
    </row>
    <row r="466" spans="2:39">
      <c r="B466" s="261" t="s">
        <v>750</v>
      </c>
      <c r="C466" s="261">
        <v>14874</v>
      </c>
      <c r="E466" s="261" t="s">
        <v>750</v>
      </c>
      <c r="F466" s="261">
        <v>14807.24</v>
      </c>
      <c r="H466" s="261" t="s">
        <v>750</v>
      </c>
      <c r="I466" s="262">
        <f>I465+18</f>
        <v>8189</v>
      </c>
      <c r="K466" s="261">
        <v>461</v>
      </c>
      <c r="L466" s="262">
        <v>3364.06</v>
      </c>
      <c r="M466" s="352"/>
      <c r="N466" s="261">
        <v>462</v>
      </c>
      <c r="O466" s="262">
        <v>5251.43</v>
      </c>
      <c r="P466" s="352"/>
      <c r="Q466" s="261">
        <v>462</v>
      </c>
      <c r="R466" s="262">
        <v>1999</v>
      </c>
      <c r="S466" s="352"/>
      <c r="T466" s="261">
        <v>462</v>
      </c>
      <c r="U466" s="262">
        <v>2001</v>
      </c>
      <c r="V466" s="352"/>
      <c r="W466" s="261">
        <v>462</v>
      </c>
      <c r="X466" s="262">
        <v>3607.2</v>
      </c>
      <c r="Y466" s="352"/>
      <c r="Z466" s="261">
        <v>462</v>
      </c>
      <c r="AA466" s="262">
        <v>3644.11</v>
      </c>
      <c r="AB466" s="352"/>
      <c r="AC466" s="261">
        <v>462</v>
      </c>
      <c r="AD466" s="262">
        <v>11740.25</v>
      </c>
      <c r="AE466" s="352"/>
      <c r="AF466" s="261">
        <v>462</v>
      </c>
      <c r="AG466" s="262">
        <v>31521.200000000001</v>
      </c>
      <c r="AH466" s="352"/>
      <c r="AI466" s="261">
        <v>462</v>
      </c>
      <c r="AJ466" s="262">
        <v>13378</v>
      </c>
      <c r="AK466" s="352"/>
      <c r="AL466" s="261"/>
      <c r="AM466" s="262"/>
    </row>
    <row r="467" spans="2:39">
      <c r="B467" s="261" t="s">
        <v>751</v>
      </c>
      <c r="C467" s="261">
        <v>14906</v>
      </c>
      <c r="E467" s="261" t="s">
        <v>751</v>
      </c>
      <c r="F467" s="261">
        <v>14838.63</v>
      </c>
      <c r="H467" s="261" t="s">
        <v>751</v>
      </c>
      <c r="I467" s="262">
        <v>8206</v>
      </c>
      <c r="K467" s="261">
        <v>462</v>
      </c>
      <c r="L467" s="262">
        <v>3371.36</v>
      </c>
      <c r="M467" s="352"/>
      <c r="N467" s="261">
        <v>463</v>
      </c>
      <c r="O467" s="262">
        <v>5262.53</v>
      </c>
      <c r="P467" s="352"/>
      <c r="Q467" s="261">
        <v>463</v>
      </c>
      <c r="R467" s="262">
        <v>2003</v>
      </c>
      <c r="S467" s="352"/>
      <c r="T467" s="261">
        <v>463</v>
      </c>
      <c r="U467" s="262">
        <v>2005</v>
      </c>
      <c r="V467" s="352"/>
      <c r="W467" s="261">
        <v>463</v>
      </c>
      <c r="X467" s="262">
        <v>3614.7</v>
      </c>
      <c r="Y467" s="352"/>
      <c r="Z467" s="261">
        <v>463</v>
      </c>
      <c r="AA467" s="262">
        <v>3651.63</v>
      </c>
      <c r="AB467" s="352"/>
      <c r="AC467" s="261">
        <v>463</v>
      </c>
      <c r="AD467" s="262">
        <v>11765.91</v>
      </c>
      <c r="AE467" s="352"/>
      <c r="AF467" s="261">
        <v>463</v>
      </c>
      <c r="AG467" s="262">
        <v>31589.62</v>
      </c>
      <c r="AH467" s="352"/>
      <c r="AI467" s="261">
        <v>463</v>
      </c>
      <c r="AJ467" s="262">
        <v>13407</v>
      </c>
      <c r="AK467" s="352"/>
      <c r="AL467" s="261"/>
      <c r="AM467" s="262"/>
    </row>
    <row r="468" spans="2:39">
      <c r="B468" s="261" t="s">
        <v>752</v>
      </c>
      <c r="C468" s="261">
        <v>14937</v>
      </c>
      <c r="E468" s="261" t="s">
        <v>752</v>
      </c>
      <c r="F468" s="261">
        <v>14869.89</v>
      </c>
      <c r="H468" s="261" t="s">
        <v>752</v>
      </c>
      <c r="I468" s="262">
        <f>I467+18</f>
        <v>8224</v>
      </c>
      <c r="K468" s="261">
        <v>463</v>
      </c>
      <c r="L468" s="262">
        <v>3378.66</v>
      </c>
      <c r="M468" s="352"/>
      <c r="N468" s="261">
        <v>464</v>
      </c>
      <c r="O468" s="262">
        <v>5273.63</v>
      </c>
      <c r="P468" s="352"/>
      <c r="Q468" s="261">
        <v>464</v>
      </c>
      <c r="R468" s="262">
        <v>2007</v>
      </c>
      <c r="S468" s="352"/>
      <c r="T468" s="261">
        <v>464</v>
      </c>
      <c r="U468" s="262">
        <v>2009</v>
      </c>
      <c r="V468" s="352"/>
      <c r="W468" s="261">
        <v>464</v>
      </c>
      <c r="X468" s="262">
        <v>3622.2</v>
      </c>
      <c r="Y468" s="352"/>
      <c r="Z468" s="261">
        <v>464</v>
      </c>
      <c r="AA468" s="262">
        <v>3659.15</v>
      </c>
      <c r="AB468" s="352"/>
      <c r="AC468" s="261">
        <v>464</v>
      </c>
      <c r="AD468" s="262">
        <v>11791.57</v>
      </c>
      <c r="AE468" s="352"/>
      <c r="AF468" s="261">
        <v>464</v>
      </c>
      <c r="AG468" s="262">
        <v>31658.05</v>
      </c>
      <c r="AH468" s="352"/>
      <c r="AI468" s="261">
        <v>464</v>
      </c>
      <c r="AJ468" s="262">
        <v>13435</v>
      </c>
      <c r="AK468" s="352"/>
      <c r="AL468" s="261"/>
      <c r="AM468" s="262"/>
    </row>
    <row r="469" spans="2:39">
      <c r="B469" s="261" t="s">
        <v>753</v>
      </c>
      <c r="C469" s="261">
        <v>14969</v>
      </c>
      <c r="E469" s="261" t="s">
        <v>753</v>
      </c>
      <c r="F469" s="261">
        <v>14901.28</v>
      </c>
      <c r="H469" s="261" t="s">
        <v>753</v>
      </c>
      <c r="I469" s="262">
        <v>8242</v>
      </c>
      <c r="K469" s="261">
        <v>464</v>
      </c>
      <c r="L469" s="262">
        <v>3385.96</v>
      </c>
      <c r="M469" s="352"/>
      <c r="N469" s="261">
        <v>465</v>
      </c>
      <c r="O469" s="262">
        <v>5284.73</v>
      </c>
      <c r="P469" s="352"/>
      <c r="Q469" s="261">
        <v>465</v>
      </c>
      <c r="R469" s="262">
        <v>2012</v>
      </c>
      <c r="S469" s="352"/>
      <c r="T469" s="261">
        <v>465</v>
      </c>
      <c r="U469" s="262">
        <v>2013</v>
      </c>
      <c r="V469" s="352"/>
      <c r="W469" s="261">
        <v>465</v>
      </c>
      <c r="X469" s="262">
        <v>3629.7</v>
      </c>
      <c r="Y469" s="352"/>
      <c r="Z469" s="261">
        <v>465</v>
      </c>
      <c r="AA469" s="262">
        <v>3666.66</v>
      </c>
      <c r="AB469" s="352"/>
      <c r="AC469" s="261">
        <v>465</v>
      </c>
      <c r="AD469" s="262">
        <v>11817.23</v>
      </c>
      <c r="AE469" s="352"/>
      <c r="AF469" s="261">
        <v>465</v>
      </c>
      <c r="AG469" s="262">
        <v>31726.47</v>
      </c>
      <c r="AH469" s="352"/>
      <c r="AI469" s="261">
        <v>465</v>
      </c>
      <c r="AJ469" s="262">
        <v>13464</v>
      </c>
      <c r="AK469" s="352"/>
      <c r="AL469" s="261"/>
      <c r="AM469" s="262"/>
    </row>
    <row r="470" spans="2:39">
      <c r="B470" s="261" t="s">
        <v>754</v>
      </c>
      <c r="C470" s="261">
        <v>15000</v>
      </c>
      <c r="E470" s="261" t="s">
        <v>754</v>
      </c>
      <c r="F470" s="261">
        <v>14932.54</v>
      </c>
      <c r="H470" s="261" t="s">
        <v>754</v>
      </c>
      <c r="I470" s="262">
        <f>I469+18</f>
        <v>8260</v>
      </c>
      <c r="K470" s="261">
        <v>465</v>
      </c>
      <c r="L470" s="262">
        <v>3393.26</v>
      </c>
      <c r="M470" s="352"/>
      <c r="N470" s="261">
        <v>466</v>
      </c>
      <c r="O470" s="262">
        <v>5295.83</v>
      </c>
      <c r="P470" s="352"/>
      <c r="Q470" s="261">
        <v>466</v>
      </c>
      <c r="R470" s="262">
        <v>2015</v>
      </c>
      <c r="S470" s="352"/>
      <c r="T470" s="261">
        <v>466</v>
      </c>
      <c r="U470" s="262">
        <v>2017</v>
      </c>
      <c r="V470" s="352"/>
      <c r="W470" s="261">
        <v>466</v>
      </c>
      <c r="X470" s="262">
        <v>3637.2</v>
      </c>
      <c r="Y470" s="352"/>
      <c r="Z470" s="261">
        <v>466</v>
      </c>
      <c r="AA470" s="262">
        <v>3674.18</v>
      </c>
      <c r="AB470" s="352"/>
      <c r="AC470" s="261">
        <v>466</v>
      </c>
      <c r="AD470" s="262">
        <v>11842.9</v>
      </c>
      <c r="AE470" s="352"/>
      <c r="AF470" s="261">
        <v>466</v>
      </c>
      <c r="AG470" s="262">
        <v>31794.9</v>
      </c>
      <c r="AH470" s="352"/>
      <c r="AI470" s="261">
        <v>466</v>
      </c>
      <c r="AJ470" s="262">
        <v>13492</v>
      </c>
      <c r="AK470" s="352"/>
      <c r="AL470" s="261"/>
      <c r="AM470" s="262"/>
    </row>
    <row r="471" spans="2:39">
      <c r="B471" s="261" t="s">
        <v>755</v>
      </c>
      <c r="C471" s="261">
        <v>15031</v>
      </c>
      <c r="E471" s="261" t="s">
        <v>755</v>
      </c>
      <c r="F471" s="261">
        <v>14963.93</v>
      </c>
      <c r="H471" s="261" t="s">
        <v>755</v>
      </c>
      <c r="I471" s="262">
        <v>8277</v>
      </c>
      <c r="K471" s="261">
        <v>466</v>
      </c>
      <c r="L471" s="262">
        <v>3400.55</v>
      </c>
      <c r="M471" s="352"/>
      <c r="N471" s="261">
        <v>467</v>
      </c>
      <c r="O471" s="262">
        <v>5306.92</v>
      </c>
      <c r="P471" s="352"/>
      <c r="Q471" s="261">
        <v>467</v>
      </c>
      <c r="R471" s="262">
        <v>2019</v>
      </c>
      <c r="S471" s="352"/>
      <c r="T471" s="261">
        <v>467</v>
      </c>
      <c r="U471" s="262">
        <v>2022</v>
      </c>
      <c r="V471" s="352"/>
      <c r="W471" s="261">
        <v>467</v>
      </c>
      <c r="X471" s="262">
        <v>3644.7</v>
      </c>
      <c r="Y471" s="352"/>
      <c r="Z471" s="261">
        <v>467</v>
      </c>
      <c r="AA471" s="262">
        <v>3681.7</v>
      </c>
      <c r="AB471" s="352"/>
      <c r="AC471" s="261">
        <v>467</v>
      </c>
      <c r="AD471" s="262">
        <v>11868.56</v>
      </c>
      <c r="AE471" s="352"/>
      <c r="AF471" s="261">
        <v>467</v>
      </c>
      <c r="AG471" s="262">
        <v>31863.32</v>
      </c>
      <c r="AH471" s="352"/>
      <c r="AI471" s="261">
        <v>467</v>
      </c>
      <c r="AJ471" s="262">
        <v>13520</v>
      </c>
      <c r="AK471" s="352"/>
      <c r="AL471" s="261"/>
      <c r="AM471" s="262"/>
    </row>
    <row r="472" spans="2:39">
      <c r="B472" s="261" t="s">
        <v>756</v>
      </c>
      <c r="C472" s="261">
        <v>15062</v>
      </c>
      <c r="E472" s="261" t="s">
        <v>756</v>
      </c>
      <c r="F472" s="261">
        <v>14995.19</v>
      </c>
      <c r="H472" s="261" t="s">
        <v>756</v>
      </c>
      <c r="I472" s="262">
        <f>I471+18</f>
        <v>8295</v>
      </c>
      <c r="K472" s="261">
        <v>467</v>
      </c>
      <c r="L472" s="262">
        <v>3407.86</v>
      </c>
      <c r="M472" s="352"/>
      <c r="N472" s="261">
        <v>468</v>
      </c>
      <c r="O472" s="262">
        <v>5318.02</v>
      </c>
      <c r="P472" s="352"/>
      <c r="Q472" s="261">
        <v>468</v>
      </c>
      <c r="R472" s="262">
        <v>2024</v>
      </c>
      <c r="S472" s="352"/>
      <c r="T472" s="261">
        <v>468</v>
      </c>
      <c r="U472" s="262">
        <v>2026</v>
      </c>
      <c r="V472" s="352"/>
      <c r="W472" s="261">
        <v>468</v>
      </c>
      <c r="X472" s="262">
        <v>3652.2</v>
      </c>
      <c r="Y472" s="352"/>
      <c r="Z472" s="261">
        <v>468</v>
      </c>
      <c r="AA472" s="262">
        <v>3689.22</v>
      </c>
      <c r="AB472" s="352"/>
      <c r="AC472" s="261">
        <v>468</v>
      </c>
      <c r="AD472" s="262">
        <v>11894.22</v>
      </c>
      <c r="AE472" s="352"/>
      <c r="AF472" s="261">
        <v>468</v>
      </c>
      <c r="AG472" s="262">
        <v>31931.74</v>
      </c>
      <c r="AH472" s="352"/>
      <c r="AI472" s="261">
        <v>468</v>
      </c>
      <c r="AJ472" s="262">
        <v>13549</v>
      </c>
      <c r="AK472" s="352"/>
      <c r="AL472" s="261"/>
      <c r="AM472" s="262"/>
    </row>
    <row r="473" spans="2:39">
      <c r="B473" s="261" t="s">
        <v>757</v>
      </c>
      <c r="C473" s="261">
        <v>15094</v>
      </c>
      <c r="E473" s="261" t="s">
        <v>757</v>
      </c>
      <c r="F473" s="261">
        <v>15026.58</v>
      </c>
      <c r="H473" s="261" t="s">
        <v>757</v>
      </c>
      <c r="I473" s="262">
        <v>8312</v>
      </c>
      <c r="K473" s="261">
        <v>468</v>
      </c>
      <c r="L473" s="262">
        <v>3415.15</v>
      </c>
      <c r="M473" s="352"/>
      <c r="N473" s="261">
        <v>469</v>
      </c>
      <c r="O473" s="262">
        <v>5329.12</v>
      </c>
      <c r="P473" s="352"/>
      <c r="Q473" s="261">
        <v>469</v>
      </c>
      <c r="R473" s="262">
        <v>2028</v>
      </c>
      <c r="S473" s="352"/>
      <c r="T473" s="261">
        <v>469</v>
      </c>
      <c r="U473" s="262">
        <v>2030</v>
      </c>
      <c r="V473" s="352"/>
      <c r="W473" s="261">
        <v>469</v>
      </c>
      <c r="X473" s="262">
        <v>3659.7</v>
      </c>
      <c r="Y473" s="352"/>
      <c r="Z473" s="261">
        <v>469</v>
      </c>
      <c r="AA473" s="262">
        <v>3696.74</v>
      </c>
      <c r="AB473" s="352"/>
      <c r="AC473" s="261">
        <v>469</v>
      </c>
      <c r="AD473" s="262">
        <v>11919.88</v>
      </c>
      <c r="AE473" s="352"/>
      <c r="AF473" s="261">
        <v>469</v>
      </c>
      <c r="AG473" s="262">
        <v>32000.17</v>
      </c>
      <c r="AH473" s="352"/>
      <c r="AI473" s="261">
        <v>469</v>
      </c>
      <c r="AJ473" s="262">
        <v>13577</v>
      </c>
      <c r="AK473" s="352"/>
      <c r="AL473" s="261"/>
      <c r="AM473" s="262"/>
    </row>
    <row r="474" spans="2:39">
      <c r="B474" s="261" t="s">
        <v>758</v>
      </c>
      <c r="C474" s="261">
        <v>15125</v>
      </c>
      <c r="E474" s="261" t="s">
        <v>758</v>
      </c>
      <c r="F474" s="261">
        <v>15057.84</v>
      </c>
      <c r="H474" s="261" t="s">
        <v>758</v>
      </c>
      <c r="I474" s="262">
        <f>I473+18</f>
        <v>8330</v>
      </c>
      <c r="K474" s="261">
        <v>469</v>
      </c>
      <c r="L474" s="262">
        <v>3422.45</v>
      </c>
      <c r="M474" s="352"/>
      <c r="N474" s="261">
        <v>470</v>
      </c>
      <c r="O474" s="262">
        <v>5340.22</v>
      </c>
      <c r="P474" s="352"/>
      <c r="Q474" s="261">
        <v>470</v>
      </c>
      <c r="R474" s="262">
        <v>2032</v>
      </c>
      <c r="S474" s="352"/>
      <c r="T474" s="261">
        <v>470</v>
      </c>
      <c r="U474" s="262">
        <v>2034</v>
      </c>
      <c r="V474" s="352"/>
      <c r="W474" s="261">
        <v>470</v>
      </c>
      <c r="X474" s="262">
        <v>3667.2</v>
      </c>
      <c r="Y474" s="352"/>
      <c r="Z474" s="261">
        <v>470</v>
      </c>
      <c r="AA474" s="262">
        <v>3704.25</v>
      </c>
      <c r="AB474" s="352"/>
      <c r="AC474" s="261">
        <v>470</v>
      </c>
      <c r="AD474" s="262">
        <v>11945.54</v>
      </c>
      <c r="AE474" s="352"/>
      <c r="AF474" s="261">
        <v>470</v>
      </c>
      <c r="AG474" s="262">
        <v>32068.59</v>
      </c>
      <c r="AH474" s="352"/>
      <c r="AI474" s="261">
        <v>470</v>
      </c>
      <c r="AJ474" s="262">
        <v>13606</v>
      </c>
      <c r="AK474" s="352"/>
      <c r="AL474" s="261"/>
      <c r="AM474" s="262"/>
    </row>
    <row r="475" spans="2:39">
      <c r="B475" s="261" t="s">
        <v>759</v>
      </c>
      <c r="C475" s="261">
        <v>15157</v>
      </c>
      <c r="E475" s="261" t="s">
        <v>759</v>
      </c>
      <c r="F475" s="261">
        <v>15089.24</v>
      </c>
      <c r="H475" s="261" t="s">
        <v>759</v>
      </c>
      <c r="I475" s="262">
        <v>8348</v>
      </c>
      <c r="K475" s="261">
        <v>470</v>
      </c>
      <c r="L475" s="262">
        <v>3429.75</v>
      </c>
      <c r="M475" s="352"/>
      <c r="N475" s="261">
        <v>471</v>
      </c>
      <c r="O475" s="262">
        <v>5351.32</v>
      </c>
      <c r="P475" s="352"/>
      <c r="Q475" s="261">
        <v>471</v>
      </c>
      <c r="R475" s="262">
        <v>2036</v>
      </c>
      <c r="S475" s="352"/>
      <c r="T475" s="261">
        <v>471</v>
      </c>
      <c r="U475" s="262">
        <v>2038</v>
      </c>
      <c r="V475" s="352"/>
      <c r="W475" s="261">
        <v>471</v>
      </c>
      <c r="X475" s="262">
        <v>3674.8</v>
      </c>
      <c r="Y475" s="352"/>
      <c r="Z475" s="261">
        <v>471</v>
      </c>
      <c r="AA475" s="262">
        <v>3711.77</v>
      </c>
      <c r="AB475" s="352"/>
      <c r="AC475" s="261">
        <v>471</v>
      </c>
      <c r="AD475" s="262">
        <v>11971.21</v>
      </c>
      <c r="AE475" s="352"/>
      <c r="AF475" s="261">
        <v>471</v>
      </c>
      <c r="AG475" s="262">
        <v>32137.02</v>
      </c>
      <c r="AH475" s="352"/>
      <c r="AI475" s="261">
        <v>471</v>
      </c>
      <c r="AJ475" s="262">
        <v>13634</v>
      </c>
      <c r="AK475" s="352"/>
      <c r="AL475" s="261"/>
      <c r="AM475" s="262"/>
    </row>
    <row r="476" spans="2:39">
      <c r="B476" s="261" t="s">
        <v>760</v>
      </c>
      <c r="C476" s="261">
        <v>15188</v>
      </c>
      <c r="E476" s="261" t="s">
        <v>760</v>
      </c>
      <c r="F476" s="261">
        <v>15120.5</v>
      </c>
      <c r="H476" s="261" t="s">
        <v>760</v>
      </c>
      <c r="I476" s="262">
        <f>I475+18</f>
        <v>8366</v>
      </c>
      <c r="K476" s="261">
        <v>471</v>
      </c>
      <c r="L476" s="262">
        <v>3437.05</v>
      </c>
      <c r="M476" s="352"/>
      <c r="N476" s="261">
        <v>472</v>
      </c>
      <c r="O476" s="262">
        <v>5362.42</v>
      </c>
      <c r="P476" s="352"/>
      <c r="Q476" s="261">
        <v>472</v>
      </c>
      <c r="R476" s="262">
        <v>2040</v>
      </c>
      <c r="S476" s="352"/>
      <c r="T476" s="261">
        <v>472</v>
      </c>
      <c r="U476" s="262">
        <v>2042</v>
      </c>
      <c r="V476" s="352"/>
      <c r="W476" s="261">
        <v>472</v>
      </c>
      <c r="X476" s="262">
        <v>3682.3</v>
      </c>
      <c r="Y476" s="352"/>
      <c r="Z476" s="261">
        <v>472</v>
      </c>
      <c r="AA476" s="262">
        <v>3719.29</v>
      </c>
      <c r="AB476" s="352"/>
      <c r="AC476" s="261">
        <v>472</v>
      </c>
      <c r="AD476" s="262">
        <v>11996.87</v>
      </c>
      <c r="AE476" s="352"/>
      <c r="AF476" s="261">
        <v>472</v>
      </c>
      <c r="AG476" s="262">
        <v>32205.439999999999</v>
      </c>
      <c r="AH476" s="352"/>
      <c r="AI476" s="261">
        <v>472</v>
      </c>
      <c r="AJ476" s="262">
        <v>13662</v>
      </c>
      <c r="AK476" s="352"/>
      <c r="AL476" s="261"/>
      <c r="AM476" s="262"/>
    </row>
    <row r="477" spans="2:39">
      <c r="B477" s="261" t="s">
        <v>761</v>
      </c>
      <c r="C477" s="261">
        <v>15220</v>
      </c>
      <c r="E477" s="261" t="s">
        <v>761</v>
      </c>
      <c r="F477" s="261">
        <v>15151.88</v>
      </c>
      <c r="H477" s="261" t="s">
        <v>761</v>
      </c>
      <c r="I477" s="262">
        <v>8383</v>
      </c>
      <c r="K477" s="261">
        <v>472</v>
      </c>
      <c r="L477" s="262">
        <v>3444.35</v>
      </c>
      <c r="M477" s="352"/>
      <c r="N477" s="261">
        <v>473</v>
      </c>
      <c r="O477" s="262">
        <v>5373.51</v>
      </c>
      <c r="P477" s="352"/>
      <c r="Q477" s="261">
        <v>473</v>
      </c>
      <c r="R477" s="262">
        <v>2044</v>
      </c>
      <c r="S477" s="352"/>
      <c r="T477" s="261">
        <v>473</v>
      </c>
      <c r="U477" s="262">
        <v>2046</v>
      </c>
      <c r="V477" s="352"/>
      <c r="W477" s="261">
        <v>473</v>
      </c>
      <c r="X477" s="262">
        <v>3689.8</v>
      </c>
      <c r="Y477" s="352"/>
      <c r="Z477" s="261">
        <v>473</v>
      </c>
      <c r="AA477" s="262">
        <v>3726.81</v>
      </c>
      <c r="AB477" s="352"/>
      <c r="AC477" s="261">
        <v>473</v>
      </c>
      <c r="AD477" s="262">
        <v>12022.53</v>
      </c>
      <c r="AE477" s="352"/>
      <c r="AF477" s="261">
        <v>473</v>
      </c>
      <c r="AG477" s="262">
        <v>32273.86</v>
      </c>
      <c r="AH477" s="352"/>
      <c r="AI477" s="261">
        <v>473</v>
      </c>
      <c r="AJ477" s="262">
        <v>13691</v>
      </c>
      <c r="AK477" s="352"/>
      <c r="AL477" s="261"/>
      <c r="AM477" s="262"/>
    </row>
    <row r="478" spans="2:39">
      <c r="B478" s="261" t="s">
        <v>762</v>
      </c>
      <c r="C478" s="261">
        <v>15251</v>
      </c>
      <c r="E478" s="261" t="s">
        <v>762</v>
      </c>
      <c r="F478" s="261">
        <v>15183.14</v>
      </c>
      <c r="H478" s="261" t="s">
        <v>762</v>
      </c>
      <c r="I478" s="262">
        <f>I477+18</f>
        <v>8401</v>
      </c>
      <c r="K478" s="261">
        <v>473</v>
      </c>
      <c r="L478" s="262">
        <v>3451.65</v>
      </c>
      <c r="M478" s="352"/>
      <c r="N478" s="261">
        <v>474</v>
      </c>
      <c r="O478" s="262">
        <v>5384.61</v>
      </c>
      <c r="P478" s="352"/>
      <c r="Q478" s="261">
        <v>474</v>
      </c>
      <c r="R478" s="262">
        <v>2048</v>
      </c>
      <c r="S478" s="352"/>
      <c r="T478" s="261">
        <v>474</v>
      </c>
      <c r="U478" s="262">
        <v>2051</v>
      </c>
      <c r="V478" s="352"/>
      <c r="W478" s="261">
        <v>474</v>
      </c>
      <c r="X478" s="262">
        <v>3697.3</v>
      </c>
      <c r="Y478" s="352"/>
      <c r="Z478" s="261">
        <v>474</v>
      </c>
      <c r="AA478" s="262">
        <v>3734.33</v>
      </c>
      <c r="AB478" s="352"/>
      <c r="AC478" s="261">
        <v>474</v>
      </c>
      <c r="AD478" s="262">
        <v>12048.19</v>
      </c>
      <c r="AE478" s="352"/>
      <c r="AF478" s="261">
        <v>474</v>
      </c>
      <c r="AG478" s="262">
        <v>32342.29</v>
      </c>
      <c r="AH478" s="352"/>
      <c r="AI478" s="261">
        <v>474</v>
      </c>
      <c r="AJ478" s="262">
        <v>13719</v>
      </c>
      <c r="AK478" s="352"/>
      <c r="AL478" s="261"/>
      <c r="AM478" s="262"/>
    </row>
    <row r="479" spans="2:39">
      <c r="B479" s="261" t="s">
        <v>763</v>
      </c>
      <c r="C479" s="261">
        <v>15283</v>
      </c>
      <c r="E479" s="261" t="s">
        <v>763</v>
      </c>
      <c r="F479" s="261">
        <v>15214.54</v>
      </c>
      <c r="H479" s="261" t="s">
        <v>763</v>
      </c>
      <c r="I479" s="262">
        <v>8418</v>
      </c>
      <c r="K479" s="261">
        <v>474</v>
      </c>
      <c r="L479" s="262">
        <v>3458.95</v>
      </c>
      <c r="M479" s="352"/>
      <c r="N479" s="261">
        <v>475</v>
      </c>
      <c r="O479" s="262">
        <v>5395.71</v>
      </c>
      <c r="P479" s="352"/>
      <c r="Q479" s="261">
        <v>475</v>
      </c>
      <c r="R479" s="262">
        <v>2052</v>
      </c>
      <c r="S479" s="352"/>
      <c r="T479" s="261">
        <v>475</v>
      </c>
      <c r="U479" s="262">
        <v>2055</v>
      </c>
      <c r="V479" s="352"/>
      <c r="W479" s="261">
        <v>475</v>
      </c>
      <c r="X479" s="262">
        <v>3704.8</v>
      </c>
      <c r="Y479" s="352"/>
      <c r="Z479" s="261">
        <v>475</v>
      </c>
      <c r="AA479" s="262">
        <v>3741.84</v>
      </c>
      <c r="AB479" s="352"/>
      <c r="AC479" s="261">
        <v>475</v>
      </c>
      <c r="AD479" s="262">
        <v>12073.85</v>
      </c>
      <c r="AE479" s="352"/>
      <c r="AF479" s="261">
        <v>475</v>
      </c>
      <c r="AG479" s="262">
        <v>32410.73</v>
      </c>
      <c r="AH479" s="352"/>
      <c r="AI479" s="261">
        <v>475</v>
      </c>
      <c r="AJ479" s="262">
        <v>13748</v>
      </c>
      <c r="AK479" s="352"/>
      <c r="AL479" s="261"/>
      <c r="AM479" s="262"/>
    </row>
    <row r="480" spans="2:39">
      <c r="B480" s="261" t="s">
        <v>764</v>
      </c>
      <c r="C480" s="261">
        <v>15314</v>
      </c>
      <c r="E480" s="261" t="s">
        <v>764</v>
      </c>
      <c r="F480" s="261">
        <v>15245.800000000001</v>
      </c>
      <c r="H480" s="261" t="s">
        <v>764</v>
      </c>
      <c r="I480" s="262">
        <f>I479+18</f>
        <v>8436</v>
      </c>
      <c r="K480" s="261">
        <v>475</v>
      </c>
      <c r="L480" s="262">
        <v>3466.25</v>
      </c>
      <c r="M480" s="352"/>
      <c r="N480" s="261">
        <v>476</v>
      </c>
      <c r="O480" s="262">
        <v>5407.81</v>
      </c>
      <c r="P480" s="352"/>
      <c r="Q480" s="261">
        <v>476</v>
      </c>
      <c r="R480" s="262">
        <v>2057</v>
      </c>
      <c r="S480" s="352"/>
      <c r="T480" s="261">
        <v>476</v>
      </c>
      <c r="U480" s="262">
        <v>2059</v>
      </c>
      <c r="V480" s="352"/>
      <c r="W480" s="261">
        <v>476</v>
      </c>
      <c r="X480" s="262">
        <v>3712.3</v>
      </c>
      <c r="Y480" s="352"/>
      <c r="Z480" s="261">
        <v>476</v>
      </c>
      <c r="AA480" s="262">
        <v>3749.36</v>
      </c>
      <c r="AB480" s="352"/>
      <c r="AC480" s="261">
        <v>476</v>
      </c>
      <c r="AD480" s="262">
        <v>12099.52</v>
      </c>
      <c r="AE480" s="352"/>
      <c r="AF480" s="261">
        <v>476</v>
      </c>
      <c r="AG480" s="262">
        <v>32479.18</v>
      </c>
      <c r="AH480" s="352"/>
      <c r="AI480" s="261">
        <v>476</v>
      </c>
      <c r="AJ480" s="262">
        <v>13776</v>
      </c>
      <c r="AK480" s="352"/>
      <c r="AL480" s="261"/>
      <c r="AM480" s="262"/>
    </row>
    <row r="481" spans="2:39">
      <c r="B481" s="261" t="s">
        <v>765</v>
      </c>
      <c r="C481" s="261">
        <v>15345</v>
      </c>
      <c r="E481" s="261" t="s">
        <v>765</v>
      </c>
      <c r="F481" s="261">
        <v>15277.18</v>
      </c>
      <c r="H481" s="261" t="s">
        <v>765</v>
      </c>
      <c r="I481" s="262">
        <v>8454</v>
      </c>
      <c r="K481" s="261">
        <v>476</v>
      </c>
      <c r="L481" s="262">
        <v>3473.55</v>
      </c>
      <c r="M481" s="352"/>
      <c r="N481" s="261">
        <v>477</v>
      </c>
      <c r="O481" s="262">
        <v>5417.94</v>
      </c>
      <c r="P481" s="352"/>
      <c r="Q481" s="261">
        <v>477</v>
      </c>
      <c r="R481" s="262">
        <v>2061</v>
      </c>
      <c r="S481" s="352"/>
      <c r="T481" s="261">
        <v>477</v>
      </c>
      <c r="U481" s="262">
        <v>2063</v>
      </c>
      <c r="V481" s="352"/>
      <c r="W481" s="261">
        <v>477</v>
      </c>
      <c r="X481" s="262">
        <v>3719.8</v>
      </c>
      <c r="Y481" s="352"/>
      <c r="Z481" s="261">
        <v>477</v>
      </c>
      <c r="AA481" s="262">
        <v>3756.88</v>
      </c>
      <c r="AB481" s="352"/>
      <c r="AC481" s="261">
        <v>477</v>
      </c>
      <c r="AD481" s="262">
        <v>12125.18</v>
      </c>
      <c r="AE481" s="352"/>
      <c r="AF481" s="261">
        <v>477</v>
      </c>
      <c r="AG481" s="262">
        <v>32547.63</v>
      </c>
      <c r="AH481" s="352"/>
      <c r="AI481" s="261">
        <v>477</v>
      </c>
      <c r="AJ481" s="262">
        <v>13804</v>
      </c>
      <c r="AK481" s="352"/>
      <c r="AL481" s="261"/>
      <c r="AM481" s="262"/>
    </row>
    <row r="482" spans="2:39">
      <c r="B482" s="261" t="s">
        <v>766</v>
      </c>
      <c r="C482" s="261">
        <v>15376</v>
      </c>
      <c r="E482" s="261" t="s">
        <v>766</v>
      </c>
      <c r="F482" s="261">
        <v>15308.44</v>
      </c>
      <c r="H482" s="261" t="s">
        <v>766</v>
      </c>
      <c r="I482" s="262">
        <f>I481+18</f>
        <v>8472</v>
      </c>
      <c r="K482" s="261">
        <v>477</v>
      </c>
      <c r="L482" s="262">
        <v>3480.84</v>
      </c>
      <c r="M482" s="352"/>
      <c r="N482" s="261">
        <v>478</v>
      </c>
      <c r="O482" s="262">
        <v>5429.01</v>
      </c>
      <c r="P482" s="352"/>
      <c r="Q482" s="261">
        <v>478</v>
      </c>
      <c r="R482" s="262">
        <v>2065</v>
      </c>
      <c r="S482" s="352"/>
      <c r="T482" s="261">
        <v>478</v>
      </c>
      <c r="U482" s="262">
        <v>2067</v>
      </c>
      <c r="V482" s="352"/>
      <c r="W482" s="261">
        <v>478</v>
      </c>
      <c r="X482" s="262">
        <v>3727.3</v>
      </c>
      <c r="Y482" s="352"/>
      <c r="Z482" s="261">
        <v>478</v>
      </c>
      <c r="AA482" s="262">
        <v>3764.4</v>
      </c>
      <c r="AB482" s="352"/>
      <c r="AC482" s="261">
        <v>478</v>
      </c>
      <c r="AD482" s="262">
        <v>12150.84</v>
      </c>
      <c r="AE482" s="352"/>
      <c r="AF482" s="261">
        <v>478</v>
      </c>
      <c r="AG482" s="262">
        <v>32616.080000000002</v>
      </c>
      <c r="AH482" s="352"/>
      <c r="AI482" s="261">
        <v>478</v>
      </c>
      <c r="AJ482" s="262">
        <v>13833</v>
      </c>
      <c r="AK482" s="352"/>
      <c r="AL482" s="261"/>
      <c r="AM482" s="262"/>
    </row>
    <row r="483" spans="2:39">
      <c r="B483" s="261" t="s">
        <v>767</v>
      </c>
      <c r="C483" s="261">
        <v>15408</v>
      </c>
      <c r="E483" s="261" t="s">
        <v>767</v>
      </c>
      <c r="F483" s="261">
        <v>15339.84</v>
      </c>
      <c r="H483" s="261" t="s">
        <v>767</v>
      </c>
      <c r="I483" s="262">
        <v>8489</v>
      </c>
      <c r="K483" s="261">
        <v>478</v>
      </c>
      <c r="L483" s="262">
        <v>3488.15</v>
      </c>
      <c r="M483" s="352"/>
      <c r="N483" s="261">
        <v>479</v>
      </c>
      <c r="O483" s="262">
        <v>5440.1</v>
      </c>
      <c r="P483" s="352"/>
      <c r="Q483" s="261">
        <v>479</v>
      </c>
      <c r="R483" s="262">
        <v>2069</v>
      </c>
      <c r="S483" s="352"/>
      <c r="T483" s="261">
        <v>479</v>
      </c>
      <c r="U483" s="262">
        <v>2071</v>
      </c>
      <c r="V483" s="352"/>
      <c r="W483" s="261">
        <v>479</v>
      </c>
      <c r="X483" s="262">
        <v>3734.8</v>
      </c>
      <c r="Y483" s="352"/>
      <c r="Z483" s="261">
        <v>479</v>
      </c>
      <c r="AA483" s="262">
        <v>3771.92</v>
      </c>
      <c r="AB483" s="352"/>
      <c r="AC483" s="261">
        <v>479</v>
      </c>
      <c r="AD483" s="262">
        <v>12176.5</v>
      </c>
      <c r="AE483" s="352"/>
      <c r="AF483" s="261">
        <v>479</v>
      </c>
      <c r="AG483" s="262">
        <v>32684.52</v>
      </c>
      <c r="AH483" s="352"/>
      <c r="AI483" s="261">
        <v>479</v>
      </c>
      <c r="AJ483" s="262">
        <v>13861</v>
      </c>
      <c r="AK483" s="352"/>
      <c r="AL483" s="261"/>
      <c r="AM483" s="262"/>
    </row>
    <row r="484" spans="2:39">
      <c r="B484" s="261" t="s">
        <v>768</v>
      </c>
      <c r="C484" s="261">
        <v>15439</v>
      </c>
      <c r="E484" s="261" t="s">
        <v>768</v>
      </c>
      <c r="F484" s="261">
        <v>15371.1</v>
      </c>
      <c r="H484" s="261" t="s">
        <v>768</v>
      </c>
      <c r="I484" s="262">
        <f>I483+18</f>
        <v>8507</v>
      </c>
      <c r="K484" s="261">
        <v>479</v>
      </c>
      <c r="L484" s="262">
        <v>3495.44</v>
      </c>
      <c r="M484" s="352"/>
      <c r="N484" s="261">
        <v>480</v>
      </c>
      <c r="O484" s="262">
        <v>5451.2</v>
      </c>
      <c r="P484" s="352"/>
      <c r="Q484" s="261">
        <v>480</v>
      </c>
      <c r="R484" s="262">
        <v>2073</v>
      </c>
      <c r="S484" s="352"/>
      <c r="T484" s="261">
        <v>480</v>
      </c>
      <c r="U484" s="262">
        <v>2075</v>
      </c>
      <c r="V484" s="352"/>
      <c r="W484" s="261">
        <v>480</v>
      </c>
      <c r="X484" s="262">
        <v>3742.4</v>
      </c>
      <c r="Y484" s="352"/>
      <c r="Z484" s="261">
        <v>480</v>
      </c>
      <c r="AA484" s="262">
        <v>3779.43</v>
      </c>
      <c r="AB484" s="352"/>
      <c r="AC484" s="261">
        <v>480</v>
      </c>
      <c r="AD484" s="262">
        <v>12202.16</v>
      </c>
      <c r="AE484" s="352"/>
      <c r="AF484" s="261">
        <v>480</v>
      </c>
      <c r="AG484" s="262">
        <v>32752.97</v>
      </c>
      <c r="AH484" s="352"/>
      <c r="AI484" s="261">
        <v>480</v>
      </c>
      <c r="AJ484" s="262">
        <v>13890</v>
      </c>
      <c r="AK484" s="352"/>
      <c r="AL484" s="261"/>
      <c r="AM484" s="262"/>
    </row>
    <row r="485" spans="2:39">
      <c r="B485" s="261" t="s">
        <v>769</v>
      </c>
      <c r="C485" s="261">
        <v>15471</v>
      </c>
      <c r="E485" s="261" t="s">
        <v>769</v>
      </c>
      <c r="F485" s="261">
        <v>15402.49</v>
      </c>
      <c r="H485" s="261" t="s">
        <v>769</v>
      </c>
      <c r="I485" s="262">
        <v>8524</v>
      </c>
      <c r="K485" s="261">
        <v>480</v>
      </c>
      <c r="L485" s="262">
        <v>3502.75</v>
      </c>
      <c r="M485" s="352"/>
      <c r="N485" s="261">
        <v>481</v>
      </c>
      <c r="O485" s="262">
        <v>5462.3</v>
      </c>
      <c r="P485" s="352"/>
      <c r="Q485" s="261">
        <v>481</v>
      </c>
      <c r="R485" s="262">
        <v>2077</v>
      </c>
      <c r="S485" s="352"/>
      <c r="T485" s="261">
        <v>481</v>
      </c>
      <c r="U485" s="262">
        <v>2080</v>
      </c>
      <c r="V485" s="352"/>
      <c r="W485" s="261">
        <v>481</v>
      </c>
      <c r="X485" s="262">
        <v>3749.9</v>
      </c>
      <c r="Y485" s="352"/>
      <c r="Z485" s="261">
        <v>481</v>
      </c>
      <c r="AA485" s="262">
        <v>3786.95</v>
      </c>
      <c r="AB485" s="352"/>
      <c r="AC485" s="261">
        <v>481</v>
      </c>
      <c r="AD485" s="262">
        <v>12227.83</v>
      </c>
      <c r="AE485" s="352"/>
      <c r="AF485" s="261">
        <v>481</v>
      </c>
      <c r="AG485" s="262">
        <v>32821.42</v>
      </c>
      <c r="AH485" s="352"/>
      <c r="AI485" s="261">
        <v>481</v>
      </c>
      <c r="AJ485" s="262">
        <v>13918</v>
      </c>
      <c r="AK485" s="352"/>
      <c r="AL485" s="261"/>
      <c r="AM485" s="262"/>
    </row>
    <row r="486" spans="2:39">
      <c r="B486" s="261" t="s">
        <v>770</v>
      </c>
      <c r="C486" s="261">
        <v>15502</v>
      </c>
      <c r="E486" s="261" t="s">
        <v>770</v>
      </c>
      <c r="F486" s="261">
        <v>15433.75</v>
      </c>
      <c r="H486" s="261" t="s">
        <v>770</v>
      </c>
      <c r="I486" s="262">
        <f>I485+18</f>
        <v>8542</v>
      </c>
      <c r="K486" s="261">
        <v>481</v>
      </c>
      <c r="L486" s="262">
        <v>3510.04</v>
      </c>
      <c r="M486" s="352"/>
      <c r="N486" s="261">
        <v>482</v>
      </c>
      <c r="O486" s="262">
        <v>5473.4</v>
      </c>
      <c r="P486" s="352"/>
      <c r="Q486" s="261">
        <v>482</v>
      </c>
      <c r="R486" s="262">
        <v>2081</v>
      </c>
      <c r="S486" s="352"/>
      <c r="T486" s="261">
        <v>482</v>
      </c>
      <c r="U486" s="262">
        <v>2084</v>
      </c>
      <c r="V486" s="352"/>
      <c r="W486" s="261">
        <v>482</v>
      </c>
      <c r="X486" s="262">
        <v>3757.4</v>
      </c>
      <c r="Y486" s="352"/>
      <c r="Z486" s="261">
        <v>482</v>
      </c>
      <c r="AA486" s="262">
        <v>3794.47</v>
      </c>
      <c r="AB486" s="352"/>
      <c r="AC486" s="261">
        <v>482</v>
      </c>
      <c r="AD486" s="262">
        <v>12253.49</v>
      </c>
      <c r="AE486" s="352"/>
      <c r="AF486" s="261">
        <v>482</v>
      </c>
      <c r="AG486" s="262">
        <v>32889.86</v>
      </c>
      <c r="AH486" s="352"/>
      <c r="AI486" s="261">
        <v>482</v>
      </c>
      <c r="AJ486" s="262">
        <v>13946</v>
      </c>
      <c r="AK486" s="352"/>
      <c r="AL486" s="261"/>
      <c r="AM486" s="262"/>
    </row>
    <row r="487" spans="2:39">
      <c r="B487" s="261" t="s">
        <v>771</v>
      </c>
      <c r="C487" s="261">
        <v>15534</v>
      </c>
      <c r="E487" s="261" t="s">
        <v>771</v>
      </c>
      <c r="F487" s="261">
        <v>15465.13</v>
      </c>
      <c r="H487" s="261" t="s">
        <v>771</v>
      </c>
      <c r="I487" s="262">
        <v>8560</v>
      </c>
      <c r="K487" s="261">
        <v>482</v>
      </c>
      <c r="L487" s="262">
        <v>3517.34</v>
      </c>
      <c r="M487" s="352"/>
      <c r="N487" s="261">
        <v>483</v>
      </c>
      <c r="O487" s="262">
        <v>5484.5</v>
      </c>
      <c r="P487" s="352"/>
      <c r="Q487" s="261">
        <v>483</v>
      </c>
      <c r="R487" s="262">
        <v>2085</v>
      </c>
      <c r="S487" s="352"/>
      <c r="T487" s="261">
        <v>483</v>
      </c>
      <c r="U487" s="262">
        <v>2088</v>
      </c>
      <c r="V487" s="352"/>
      <c r="W487" s="261">
        <v>483</v>
      </c>
      <c r="X487" s="262">
        <v>3764.9</v>
      </c>
      <c r="Y487" s="352"/>
      <c r="Z487" s="261">
        <v>483</v>
      </c>
      <c r="AA487" s="262">
        <v>3801.99</v>
      </c>
      <c r="AB487" s="352"/>
      <c r="AC487" s="261">
        <v>483</v>
      </c>
      <c r="AD487" s="262">
        <v>12279.15</v>
      </c>
      <c r="AE487" s="352"/>
      <c r="AF487" s="261">
        <v>483</v>
      </c>
      <c r="AG487" s="262">
        <v>32958.31</v>
      </c>
      <c r="AH487" s="352"/>
      <c r="AI487" s="261">
        <v>483</v>
      </c>
      <c r="AJ487" s="262">
        <v>13975</v>
      </c>
      <c r="AK487" s="352"/>
      <c r="AL487" s="261"/>
      <c r="AM487" s="262"/>
    </row>
    <row r="488" spans="2:39">
      <c r="B488" s="261" t="s">
        <v>772</v>
      </c>
      <c r="C488" s="261">
        <v>15565</v>
      </c>
      <c r="E488" s="261" t="s">
        <v>772</v>
      </c>
      <c r="F488" s="261">
        <v>15496.39</v>
      </c>
      <c r="H488" s="261" t="s">
        <v>772</v>
      </c>
      <c r="I488" s="262">
        <f>I487+18</f>
        <v>8578</v>
      </c>
      <c r="K488" s="261">
        <v>483</v>
      </c>
      <c r="L488" s="262">
        <v>3524.64</v>
      </c>
      <c r="M488" s="352"/>
      <c r="N488" s="261">
        <v>484</v>
      </c>
      <c r="O488" s="262">
        <v>5495.6</v>
      </c>
      <c r="P488" s="352"/>
      <c r="Q488" s="261">
        <v>484</v>
      </c>
      <c r="R488" s="262">
        <v>2090</v>
      </c>
      <c r="S488" s="352"/>
      <c r="T488" s="261">
        <v>484</v>
      </c>
      <c r="U488" s="262">
        <v>2092</v>
      </c>
      <c r="V488" s="352"/>
      <c r="W488" s="261">
        <v>484</v>
      </c>
      <c r="X488" s="262">
        <v>3772.4</v>
      </c>
      <c r="Y488" s="352"/>
      <c r="Z488" s="261">
        <v>484</v>
      </c>
      <c r="AA488" s="262">
        <v>3809.51</v>
      </c>
      <c r="AB488" s="352"/>
      <c r="AC488" s="261">
        <v>484</v>
      </c>
      <c r="AD488" s="262">
        <v>12304.81</v>
      </c>
      <c r="AE488" s="352"/>
      <c r="AF488" s="261">
        <v>484</v>
      </c>
      <c r="AG488" s="262">
        <v>33026.76</v>
      </c>
      <c r="AH488" s="352"/>
      <c r="AI488" s="261">
        <v>484</v>
      </c>
      <c r="AJ488" s="262">
        <v>14003</v>
      </c>
      <c r="AK488" s="352"/>
      <c r="AL488" s="261"/>
      <c r="AM488" s="262"/>
    </row>
    <row r="489" spans="2:39">
      <c r="B489" s="261" t="s">
        <v>773</v>
      </c>
      <c r="C489" s="261">
        <v>15597</v>
      </c>
      <c r="E489" s="261" t="s">
        <v>773</v>
      </c>
      <c r="F489" s="261">
        <v>15527.79</v>
      </c>
      <c r="H489" s="261" t="s">
        <v>773</v>
      </c>
      <c r="I489" s="262">
        <v>8595</v>
      </c>
      <c r="K489" s="261">
        <v>484</v>
      </c>
      <c r="L489" s="262">
        <v>3531.94</v>
      </c>
      <c r="M489" s="352"/>
      <c r="N489" s="261">
        <v>485</v>
      </c>
      <c r="O489" s="262">
        <v>5506.7</v>
      </c>
      <c r="P489" s="352"/>
      <c r="Q489" s="261">
        <v>485</v>
      </c>
      <c r="R489" s="262">
        <v>2094</v>
      </c>
      <c r="S489" s="352"/>
      <c r="T489" s="261">
        <v>485</v>
      </c>
      <c r="U489" s="262">
        <v>2096</v>
      </c>
      <c r="V489" s="352"/>
      <c r="W489" s="261">
        <v>485</v>
      </c>
      <c r="X489" s="262">
        <v>3779.9</v>
      </c>
      <c r="Y489" s="352"/>
      <c r="Z489" s="261">
        <v>485</v>
      </c>
      <c r="AA489" s="262">
        <v>3817.02</v>
      </c>
      <c r="AB489" s="352"/>
      <c r="AC489" s="261">
        <v>485</v>
      </c>
      <c r="AD489" s="262">
        <v>12330.47</v>
      </c>
      <c r="AE489" s="352"/>
      <c r="AF489" s="261">
        <v>485</v>
      </c>
      <c r="AG489" s="262">
        <v>33095.199999999997</v>
      </c>
      <c r="AH489" s="352"/>
      <c r="AI489" s="261">
        <v>485</v>
      </c>
      <c r="AJ489" s="262">
        <v>14032</v>
      </c>
      <c r="AK489" s="352"/>
      <c r="AL489" s="261"/>
      <c r="AM489" s="262"/>
    </row>
    <row r="490" spans="2:39">
      <c r="B490" s="261" t="s">
        <v>774</v>
      </c>
      <c r="C490" s="261">
        <v>15628</v>
      </c>
      <c r="E490" s="261" t="s">
        <v>774</v>
      </c>
      <c r="F490" s="261">
        <v>15559.050000000001</v>
      </c>
      <c r="H490" s="261" t="s">
        <v>774</v>
      </c>
      <c r="I490" s="262">
        <f>I489+18</f>
        <v>8613</v>
      </c>
      <c r="K490" s="261">
        <v>485</v>
      </c>
      <c r="L490" s="262">
        <v>3539.24</v>
      </c>
      <c r="M490" s="352"/>
      <c r="N490" s="261">
        <v>486</v>
      </c>
      <c r="O490" s="262">
        <v>5517.79</v>
      </c>
      <c r="P490" s="352"/>
      <c r="Q490" s="261">
        <v>486</v>
      </c>
      <c r="R490" s="262">
        <v>2098</v>
      </c>
      <c r="S490" s="352"/>
      <c r="T490" s="261">
        <v>486</v>
      </c>
      <c r="U490" s="262">
        <v>2100</v>
      </c>
      <c r="V490" s="352"/>
      <c r="W490" s="261">
        <v>486</v>
      </c>
      <c r="X490" s="262">
        <v>3787.4</v>
      </c>
      <c r="Y490" s="352"/>
      <c r="Z490" s="261">
        <v>486</v>
      </c>
      <c r="AA490" s="262">
        <v>3824.54</v>
      </c>
      <c r="AB490" s="352"/>
      <c r="AC490" s="261">
        <v>486</v>
      </c>
      <c r="AD490" s="262">
        <v>12356.14</v>
      </c>
      <c r="AE490" s="352"/>
      <c r="AF490" s="261">
        <v>486</v>
      </c>
      <c r="AG490" s="262">
        <v>33163.65</v>
      </c>
      <c r="AH490" s="352"/>
      <c r="AI490" s="261">
        <v>486</v>
      </c>
      <c r="AJ490" s="262">
        <v>14060</v>
      </c>
      <c r="AK490" s="352"/>
      <c r="AL490" s="261"/>
      <c r="AM490" s="262"/>
    </row>
    <row r="491" spans="2:39">
      <c r="B491" s="261" t="s">
        <v>775</v>
      </c>
      <c r="C491" s="261">
        <v>15659</v>
      </c>
      <c r="E491" s="261" t="s">
        <v>775</v>
      </c>
      <c r="F491" s="261">
        <v>15590.43</v>
      </c>
      <c r="H491" s="261" t="s">
        <v>775</v>
      </c>
      <c r="I491" s="262">
        <v>8630</v>
      </c>
      <c r="K491" s="261">
        <v>486</v>
      </c>
      <c r="L491" s="262">
        <v>3546.53</v>
      </c>
      <c r="M491" s="352"/>
      <c r="N491" s="261">
        <v>487</v>
      </c>
      <c r="O491" s="262">
        <v>5528.89</v>
      </c>
      <c r="P491" s="352"/>
      <c r="Q491" s="261">
        <v>487</v>
      </c>
      <c r="R491" s="262">
        <v>2102</v>
      </c>
      <c r="S491" s="352"/>
      <c r="T491" s="261">
        <v>487</v>
      </c>
      <c r="U491" s="262">
        <v>2104</v>
      </c>
      <c r="V491" s="352"/>
      <c r="W491" s="261">
        <v>487</v>
      </c>
      <c r="X491" s="262">
        <v>3794.9</v>
      </c>
      <c r="Y491" s="352"/>
      <c r="Z491" s="261">
        <v>487</v>
      </c>
      <c r="AA491" s="262">
        <v>3832.06</v>
      </c>
      <c r="AB491" s="352"/>
      <c r="AC491" s="261">
        <v>487</v>
      </c>
      <c r="AD491" s="262">
        <v>12381.8</v>
      </c>
      <c r="AE491" s="352"/>
      <c r="AF491" s="261">
        <v>487</v>
      </c>
      <c r="AG491" s="262">
        <v>33232.1</v>
      </c>
      <c r="AH491" s="352"/>
      <c r="AI491" s="261">
        <v>487</v>
      </c>
      <c r="AJ491" s="262">
        <v>14088</v>
      </c>
      <c r="AK491" s="352"/>
      <c r="AL491" s="261"/>
      <c r="AM491" s="262"/>
    </row>
    <row r="492" spans="2:39">
      <c r="B492" s="261" t="s">
        <v>776</v>
      </c>
      <c r="C492" s="261">
        <v>15690</v>
      </c>
      <c r="E492" s="261" t="s">
        <v>776</v>
      </c>
      <c r="F492" s="261">
        <v>15621.69</v>
      </c>
      <c r="H492" s="261" t="s">
        <v>776</v>
      </c>
      <c r="I492" s="262">
        <f>I491+18</f>
        <v>8648</v>
      </c>
      <c r="K492" s="261">
        <v>487</v>
      </c>
      <c r="L492" s="262">
        <v>3553.84</v>
      </c>
      <c r="M492" s="352"/>
      <c r="N492" s="261">
        <v>488</v>
      </c>
      <c r="O492" s="262">
        <v>5539.99</v>
      </c>
      <c r="P492" s="352"/>
      <c r="Q492" s="261">
        <v>488</v>
      </c>
      <c r="R492" s="262">
        <v>2106</v>
      </c>
      <c r="S492" s="352"/>
      <c r="T492" s="261">
        <v>488</v>
      </c>
      <c r="U492" s="262">
        <v>2108</v>
      </c>
      <c r="V492" s="352"/>
      <c r="W492" s="261">
        <v>488</v>
      </c>
      <c r="X492" s="262">
        <v>3802.4</v>
      </c>
      <c r="Y492" s="352"/>
      <c r="Z492" s="261">
        <v>488</v>
      </c>
      <c r="AA492" s="262">
        <v>3839.58</v>
      </c>
      <c r="AB492" s="352"/>
      <c r="AC492" s="261">
        <v>488</v>
      </c>
      <c r="AD492" s="262">
        <v>12407.46</v>
      </c>
      <c r="AE492" s="352"/>
      <c r="AF492" s="261">
        <v>488</v>
      </c>
      <c r="AG492" s="262">
        <v>33300.550000000003</v>
      </c>
      <c r="AH492" s="352"/>
      <c r="AI492" s="261">
        <v>488</v>
      </c>
      <c r="AJ492" s="262">
        <v>14117</v>
      </c>
      <c r="AK492" s="352"/>
      <c r="AL492" s="261"/>
      <c r="AM492" s="262"/>
    </row>
    <row r="493" spans="2:39">
      <c r="B493" s="261" t="s">
        <v>777</v>
      </c>
      <c r="C493" s="261">
        <v>15722</v>
      </c>
      <c r="E493" s="261" t="s">
        <v>777</v>
      </c>
      <c r="F493" s="261">
        <v>15653.09</v>
      </c>
      <c r="H493" s="261" t="s">
        <v>777</v>
      </c>
      <c r="I493" s="262">
        <v>8665</v>
      </c>
      <c r="K493" s="261">
        <v>488</v>
      </c>
      <c r="L493" s="262">
        <v>3561.13</v>
      </c>
      <c r="M493" s="352"/>
      <c r="N493" s="261">
        <v>489</v>
      </c>
      <c r="O493" s="262">
        <v>5551.09</v>
      </c>
      <c r="P493" s="352"/>
      <c r="Q493" s="261">
        <v>489</v>
      </c>
      <c r="R493" s="262">
        <v>2110</v>
      </c>
      <c r="S493" s="352"/>
      <c r="T493" s="261">
        <v>489</v>
      </c>
      <c r="U493" s="262">
        <v>2113</v>
      </c>
      <c r="V493" s="352"/>
      <c r="W493" s="261">
        <v>489</v>
      </c>
      <c r="X493" s="262">
        <v>3810</v>
      </c>
      <c r="Y493" s="352"/>
      <c r="Z493" s="261">
        <v>489</v>
      </c>
      <c r="AA493" s="262">
        <v>3847.1</v>
      </c>
      <c r="AB493" s="352"/>
      <c r="AC493" s="261">
        <v>489</v>
      </c>
      <c r="AD493" s="262">
        <v>12433.12</v>
      </c>
      <c r="AE493" s="352"/>
      <c r="AF493" s="261">
        <v>489</v>
      </c>
      <c r="AG493" s="262">
        <v>33368.99</v>
      </c>
      <c r="AH493" s="352"/>
      <c r="AI493" s="261">
        <v>489</v>
      </c>
      <c r="AJ493" s="262">
        <v>14145</v>
      </c>
      <c r="AK493" s="352"/>
      <c r="AL493" s="261"/>
      <c r="AM493" s="262"/>
    </row>
    <row r="494" spans="2:39">
      <c r="B494" s="261" t="s">
        <v>778</v>
      </c>
      <c r="C494" s="261">
        <v>15753</v>
      </c>
      <c r="E494" s="261" t="s">
        <v>778</v>
      </c>
      <c r="F494" s="261">
        <v>15684.35</v>
      </c>
      <c r="H494" s="261" t="s">
        <v>778</v>
      </c>
      <c r="I494" s="262">
        <f>I493+18</f>
        <v>8683</v>
      </c>
      <c r="K494" s="261">
        <v>489</v>
      </c>
      <c r="L494" s="262">
        <v>3568.44</v>
      </c>
      <c r="M494" s="352"/>
      <c r="N494" s="261">
        <v>490</v>
      </c>
      <c r="O494" s="262">
        <v>5562.19</v>
      </c>
      <c r="P494" s="352"/>
      <c r="Q494" s="261">
        <v>490</v>
      </c>
      <c r="R494" s="262">
        <v>2114</v>
      </c>
      <c r="S494" s="352"/>
      <c r="T494" s="261">
        <v>490</v>
      </c>
      <c r="U494" s="262">
        <v>2117</v>
      </c>
      <c r="V494" s="352"/>
      <c r="W494" s="261">
        <v>490</v>
      </c>
      <c r="X494" s="262">
        <v>3817.5</v>
      </c>
      <c r="Y494" s="352"/>
      <c r="Z494" s="261">
        <v>490</v>
      </c>
      <c r="AA494" s="262">
        <v>3854.61</v>
      </c>
      <c r="AB494" s="352"/>
      <c r="AC494" s="261">
        <v>490</v>
      </c>
      <c r="AD494" s="262">
        <v>12458.78</v>
      </c>
      <c r="AE494" s="352"/>
      <c r="AF494" s="261">
        <v>490</v>
      </c>
      <c r="AG494" s="262">
        <v>33437.440000000002</v>
      </c>
      <c r="AH494" s="352"/>
      <c r="AI494" s="261">
        <v>490</v>
      </c>
      <c r="AJ494" s="262">
        <v>14174</v>
      </c>
      <c r="AK494" s="352"/>
      <c r="AL494" s="261"/>
      <c r="AM494" s="262"/>
    </row>
    <row r="495" spans="2:39">
      <c r="B495" s="261" t="s">
        <v>779</v>
      </c>
      <c r="C495" s="261">
        <v>15785</v>
      </c>
      <c r="E495" s="261" t="s">
        <v>779</v>
      </c>
      <c r="F495" s="261">
        <v>15715.73</v>
      </c>
      <c r="H495" s="261" t="s">
        <v>779</v>
      </c>
      <c r="I495" s="262">
        <v>8701</v>
      </c>
      <c r="K495" s="261">
        <v>490</v>
      </c>
      <c r="L495" s="262">
        <v>3575.73</v>
      </c>
      <c r="M495" s="352"/>
      <c r="N495" s="261">
        <v>491</v>
      </c>
      <c r="O495" s="262">
        <v>5573.29</v>
      </c>
      <c r="P495" s="352"/>
      <c r="Q495" s="261">
        <v>491</v>
      </c>
      <c r="R495" s="262">
        <v>2118</v>
      </c>
      <c r="S495" s="352"/>
      <c r="T495" s="261">
        <v>491</v>
      </c>
      <c r="U495" s="262">
        <v>2121</v>
      </c>
      <c r="V495" s="352"/>
      <c r="W495" s="261">
        <v>491</v>
      </c>
      <c r="X495" s="262">
        <v>3825</v>
      </c>
      <c r="Y495" s="352"/>
      <c r="Z495" s="261">
        <v>491</v>
      </c>
      <c r="AA495" s="262">
        <v>3862.13</v>
      </c>
      <c r="AB495" s="352"/>
      <c r="AC495" s="261">
        <v>491</v>
      </c>
      <c r="AD495" s="262">
        <v>12484.45</v>
      </c>
      <c r="AE495" s="352"/>
      <c r="AF495" s="261">
        <v>491</v>
      </c>
      <c r="AG495" s="262">
        <v>33505.89</v>
      </c>
      <c r="AH495" s="352"/>
      <c r="AI495" s="261">
        <v>491</v>
      </c>
      <c r="AJ495" s="262">
        <v>14202</v>
      </c>
      <c r="AK495" s="352"/>
      <c r="AL495" s="261"/>
      <c r="AM495" s="262"/>
    </row>
    <row r="496" spans="2:39">
      <c r="B496" s="261" t="s">
        <v>780</v>
      </c>
      <c r="C496" s="261">
        <v>15816</v>
      </c>
      <c r="E496" s="261" t="s">
        <v>780</v>
      </c>
      <c r="F496" s="261">
        <v>15746.99</v>
      </c>
      <c r="H496" s="261" t="s">
        <v>780</v>
      </c>
      <c r="I496" s="262">
        <f>I495+18</f>
        <v>8719</v>
      </c>
      <c r="K496" s="261">
        <v>491</v>
      </c>
      <c r="L496" s="262">
        <v>3583.03</v>
      </c>
      <c r="M496" s="352"/>
      <c r="N496" s="261">
        <v>492</v>
      </c>
      <c r="O496" s="262">
        <v>5584.4</v>
      </c>
      <c r="P496" s="352"/>
      <c r="Q496" s="261">
        <v>492</v>
      </c>
      <c r="R496" s="262">
        <v>2123</v>
      </c>
      <c r="S496" s="352"/>
      <c r="T496" s="261">
        <v>492</v>
      </c>
      <c r="U496" s="262">
        <v>2125</v>
      </c>
      <c r="V496" s="352"/>
      <c r="W496" s="261">
        <v>492</v>
      </c>
      <c r="X496" s="262">
        <v>3832.5</v>
      </c>
      <c r="Y496" s="352"/>
      <c r="Z496" s="261">
        <v>492</v>
      </c>
      <c r="AA496" s="262">
        <v>3869.65</v>
      </c>
      <c r="AB496" s="352"/>
      <c r="AC496" s="261">
        <v>492</v>
      </c>
      <c r="AD496" s="262">
        <v>12510.11</v>
      </c>
      <c r="AE496" s="352"/>
      <c r="AF496" s="261">
        <v>492</v>
      </c>
      <c r="AG496" s="262">
        <v>33574.33</v>
      </c>
      <c r="AH496" s="352"/>
      <c r="AI496" s="261">
        <v>492</v>
      </c>
      <c r="AJ496" s="262">
        <v>14230</v>
      </c>
      <c r="AK496" s="352"/>
      <c r="AL496" s="261"/>
      <c r="AM496" s="262"/>
    </row>
    <row r="497" spans="2:39">
      <c r="B497" s="261" t="s">
        <v>781</v>
      </c>
      <c r="C497" s="261">
        <v>15848</v>
      </c>
      <c r="E497" s="261" t="s">
        <v>781</v>
      </c>
      <c r="F497" s="261">
        <v>15778.38</v>
      </c>
      <c r="H497" s="261" t="s">
        <v>781</v>
      </c>
      <c r="I497" s="262">
        <v>8736</v>
      </c>
      <c r="K497" s="261" t="s">
        <v>781</v>
      </c>
      <c r="L497" s="262">
        <v>8736</v>
      </c>
      <c r="M497" s="352"/>
      <c r="N497" s="261">
        <v>493</v>
      </c>
      <c r="O497" s="262">
        <v>5595.51</v>
      </c>
      <c r="P497" s="352"/>
      <c r="Q497" s="261">
        <v>493</v>
      </c>
      <c r="R497" s="262">
        <v>2127</v>
      </c>
      <c r="S497" s="352"/>
      <c r="T497" s="261">
        <v>493</v>
      </c>
      <c r="U497" s="262">
        <v>2129</v>
      </c>
      <c r="V497" s="352"/>
      <c r="W497" s="261">
        <v>493</v>
      </c>
      <c r="X497" s="262">
        <v>3840</v>
      </c>
      <c r="Y497" s="352"/>
      <c r="Z497" s="261">
        <v>493</v>
      </c>
      <c r="AA497" s="262">
        <v>3877.17</v>
      </c>
      <c r="AB497" s="352"/>
      <c r="AC497" s="261">
        <v>493</v>
      </c>
      <c r="AD497" s="262">
        <v>12535.77</v>
      </c>
      <c r="AE497" s="352"/>
      <c r="AF497" s="261">
        <v>493</v>
      </c>
      <c r="AG497" s="262">
        <v>33642.78</v>
      </c>
      <c r="AH497" s="352"/>
      <c r="AI497" s="261">
        <v>493</v>
      </c>
      <c r="AJ497" s="262">
        <v>14259</v>
      </c>
      <c r="AK497" s="352"/>
      <c r="AL497" s="261"/>
      <c r="AM497" s="262"/>
    </row>
    <row r="498" spans="2:39">
      <c r="B498" s="261" t="s">
        <v>782</v>
      </c>
      <c r="C498" s="261">
        <v>15879</v>
      </c>
      <c r="E498" s="261" t="s">
        <v>782</v>
      </c>
      <c r="F498" s="261">
        <v>15809.64</v>
      </c>
      <c r="H498" s="261" t="s">
        <v>782</v>
      </c>
      <c r="I498" s="262">
        <f>I497+18</f>
        <v>8754</v>
      </c>
      <c r="K498" s="352"/>
      <c r="L498" s="352"/>
      <c r="M498" s="352"/>
      <c r="N498" s="261">
        <v>494</v>
      </c>
      <c r="O498" s="262">
        <v>5606.61</v>
      </c>
      <c r="P498" s="352"/>
      <c r="Q498" s="261">
        <v>494</v>
      </c>
      <c r="R498" s="262">
        <v>2131</v>
      </c>
      <c r="S498" s="352"/>
      <c r="T498" s="261">
        <v>494</v>
      </c>
      <c r="U498" s="262">
        <v>2133</v>
      </c>
      <c r="V498" s="352"/>
      <c r="W498" s="261">
        <v>494</v>
      </c>
      <c r="X498" s="262">
        <v>3847.5</v>
      </c>
      <c r="Y498" s="352"/>
      <c r="Z498" s="261">
        <v>494</v>
      </c>
      <c r="AA498" s="262">
        <v>3884.69</v>
      </c>
      <c r="AB498" s="352"/>
      <c r="AC498" s="261">
        <v>494</v>
      </c>
      <c r="AD498" s="262">
        <v>12561.43</v>
      </c>
      <c r="AE498" s="352"/>
      <c r="AF498" s="261">
        <v>494</v>
      </c>
      <c r="AG498" s="262">
        <v>33711.230000000003</v>
      </c>
      <c r="AH498" s="352"/>
      <c r="AI498" s="261">
        <v>494</v>
      </c>
      <c r="AJ498" s="262">
        <v>14287</v>
      </c>
      <c r="AK498" s="352"/>
      <c r="AL498" s="261"/>
      <c r="AM498" s="262"/>
    </row>
    <row r="499" spans="2:39">
      <c r="B499" s="261" t="s">
        <v>783</v>
      </c>
      <c r="C499" s="261">
        <v>15911</v>
      </c>
      <c r="E499" s="261" t="s">
        <v>783</v>
      </c>
      <c r="F499" s="261">
        <v>15841.04</v>
      </c>
      <c r="H499" s="261" t="s">
        <v>783</v>
      </c>
      <c r="I499" s="262">
        <v>8771</v>
      </c>
      <c r="K499" s="352"/>
      <c r="L499" s="352"/>
      <c r="M499" s="352"/>
      <c r="N499" s="261">
        <v>495</v>
      </c>
      <c r="O499" s="262">
        <v>5617.72</v>
      </c>
      <c r="P499" s="352"/>
      <c r="Q499" s="261">
        <v>495</v>
      </c>
      <c r="R499" s="262">
        <v>2135</v>
      </c>
      <c r="S499" s="352"/>
      <c r="T499" s="261">
        <v>495</v>
      </c>
      <c r="U499" s="262">
        <v>2137</v>
      </c>
      <c r="V499" s="352"/>
      <c r="W499" s="261">
        <v>495</v>
      </c>
      <c r="X499" s="262">
        <v>3855</v>
      </c>
      <c r="Y499" s="352"/>
      <c r="Z499" s="261">
        <v>495</v>
      </c>
      <c r="AA499" s="262">
        <v>3892.2</v>
      </c>
      <c r="AB499" s="352"/>
      <c r="AC499" s="261">
        <v>495</v>
      </c>
      <c r="AD499" s="262">
        <v>12587.09</v>
      </c>
      <c r="AE499" s="352"/>
      <c r="AF499" s="261">
        <v>495</v>
      </c>
      <c r="AG499" s="262">
        <v>33779.67</v>
      </c>
      <c r="AH499" s="352"/>
      <c r="AI499" s="261">
        <v>495</v>
      </c>
      <c r="AJ499" s="262">
        <v>14316</v>
      </c>
      <c r="AK499" s="352"/>
      <c r="AL499" s="261"/>
      <c r="AM499" s="262"/>
    </row>
    <row r="500" spans="2:39">
      <c r="B500" s="261" t="s">
        <v>784</v>
      </c>
      <c r="C500" s="261">
        <v>15942</v>
      </c>
      <c r="E500" s="261" t="s">
        <v>784</v>
      </c>
      <c r="F500" s="261">
        <v>15872.300000000001</v>
      </c>
      <c r="H500" s="261" t="s">
        <v>784</v>
      </c>
      <c r="I500" s="262">
        <f>I499+18</f>
        <v>8789</v>
      </c>
      <c r="K500" s="352"/>
      <c r="L500" s="352"/>
      <c r="M500" s="352"/>
      <c r="N500" s="261">
        <v>496</v>
      </c>
      <c r="O500" s="262">
        <v>5628.82</v>
      </c>
      <c r="P500" s="352"/>
      <c r="Q500" s="261">
        <v>496</v>
      </c>
      <c r="R500" s="262">
        <v>2139</v>
      </c>
      <c r="S500" s="352"/>
      <c r="T500" s="261">
        <v>496</v>
      </c>
      <c r="U500" s="262">
        <v>2142</v>
      </c>
      <c r="V500" s="352"/>
      <c r="W500" s="261">
        <v>496</v>
      </c>
      <c r="X500" s="262">
        <v>3862.5</v>
      </c>
      <c r="Y500" s="352"/>
      <c r="Z500" s="261">
        <v>496</v>
      </c>
      <c r="AA500" s="262">
        <v>3899.72</v>
      </c>
      <c r="AB500" s="352"/>
      <c r="AC500" s="261">
        <v>496</v>
      </c>
      <c r="AD500" s="262">
        <v>12612.76</v>
      </c>
      <c r="AE500" s="352"/>
      <c r="AF500" s="261">
        <v>496</v>
      </c>
      <c r="AG500" s="262">
        <v>33848.120000000003</v>
      </c>
      <c r="AH500" s="352"/>
      <c r="AI500" s="261">
        <v>496</v>
      </c>
      <c r="AJ500" s="262">
        <v>14344</v>
      </c>
      <c r="AK500" s="352"/>
      <c r="AL500" s="261"/>
      <c r="AM500" s="262"/>
    </row>
    <row r="501" spans="2:39">
      <c r="B501" s="261" t="s">
        <v>785</v>
      </c>
      <c r="C501" s="261">
        <v>15973</v>
      </c>
      <c r="E501" s="261" t="s">
        <v>785</v>
      </c>
      <c r="F501" s="261">
        <v>15903.68</v>
      </c>
      <c r="H501" s="261" t="s">
        <v>785</v>
      </c>
      <c r="I501" s="262">
        <v>8807</v>
      </c>
      <c r="K501" s="352"/>
      <c r="L501" s="352"/>
      <c r="M501" s="352"/>
      <c r="N501" s="261">
        <v>497</v>
      </c>
      <c r="O501" s="262">
        <v>5639.93</v>
      </c>
      <c r="P501" s="352"/>
      <c r="Q501" s="261">
        <v>497</v>
      </c>
      <c r="R501" s="262">
        <v>2143</v>
      </c>
      <c r="S501" s="352"/>
      <c r="T501" s="261">
        <v>497</v>
      </c>
      <c r="U501" s="262">
        <v>2146</v>
      </c>
      <c r="V501" s="352"/>
      <c r="W501" s="261">
        <v>497</v>
      </c>
      <c r="X501" s="262">
        <v>3870</v>
      </c>
      <c r="Y501" s="352"/>
      <c r="Z501" s="261">
        <v>497</v>
      </c>
      <c r="AA501" s="262">
        <v>3907.24</v>
      </c>
      <c r="AB501" s="352"/>
      <c r="AC501" s="261">
        <v>497</v>
      </c>
      <c r="AD501" s="262">
        <v>12638.42</v>
      </c>
      <c r="AE501" s="352"/>
      <c r="AF501" s="261">
        <v>497</v>
      </c>
      <c r="AG501" s="262">
        <v>33916.57</v>
      </c>
      <c r="AH501" s="352"/>
      <c r="AI501" s="261">
        <v>497</v>
      </c>
      <c r="AJ501" s="262">
        <v>14372</v>
      </c>
      <c r="AK501" s="352"/>
      <c r="AL501" s="261"/>
      <c r="AM501" s="262"/>
    </row>
    <row r="502" spans="2:39">
      <c r="B502" s="261" t="s">
        <v>786</v>
      </c>
      <c r="C502" s="261">
        <v>16004</v>
      </c>
      <c r="E502" s="261" t="s">
        <v>786</v>
      </c>
      <c r="F502" s="261">
        <v>15934.94</v>
      </c>
      <c r="H502" s="261" t="s">
        <v>786</v>
      </c>
      <c r="I502" s="262">
        <f>I501+18</f>
        <v>8825</v>
      </c>
      <c r="K502" s="352"/>
      <c r="L502" s="352"/>
      <c r="M502" s="352"/>
      <c r="N502" s="261">
        <v>498</v>
      </c>
      <c r="O502" s="262">
        <v>5651.04</v>
      </c>
      <c r="P502" s="352"/>
      <c r="Q502" s="261">
        <v>498</v>
      </c>
      <c r="R502" s="262">
        <v>2147</v>
      </c>
      <c r="S502" s="352"/>
      <c r="T502" s="261">
        <v>498</v>
      </c>
      <c r="U502" s="262">
        <v>2150</v>
      </c>
      <c r="V502" s="352"/>
      <c r="W502" s="261">
        <v>498</v>
      </c>
      <c r="X502" s="262">
        <v>3877.6</v>
      </c>
      <c r="Y502" s="352"/>
      <c r="Z502" s="261">
        <v>498</v>
      </c>
      <c r="AA502" s="262">
        <v>3914.76</v>
      </c>
      <c r="AB502" s="352"/>
      <c r="AC502" s="261">
        <v>498</v>
      </c>
      <c r="AD502" s="262">
        <v>12664.08</v>
      </c>
      <c r="AE502" s="352"/>
      <c r="AF502" s="261">
        <v>498</v>
      </c>
      <c r="AG502" s="262">
        <v>33985.019999999997</v>
      </c>
      <c r="AH502" s="352"/>
      <c r="AI502" s="261">
        <v>498</v>
      </c>
      <c r="AJ502" s="262">
        <v>14401</v>
      </c>
      <c r="AK502" s="352"/>
      <c r="AL502" s="261"/>
      <c r="AM502" s="262"/>
    </row>
    <row r="503" spans="2:39">
      <c r="B503" s="261" t="s">
        <v>787</v>
      </c>
      <c r="C503" s="261">
        <v>16036</v>
      </c>
      <c r="E503" s="261" t="s">
        <v>787</v>
      </c>
      <c r="F503" s="261">
        <v>15966.33</v>
      </c>
      <c r="H503" s="261" t="s">
        <v>787</v>
      </c>
      <c r="I503" s="262">
        <v>8842</v>
      </c>
      <c r="K503" s="352"/>
      <c r="L503" s="352"/>
      <c r="M503" s="352"/>
      <c r="N503" s="261">
        <v>499</v>
      </c>
      <c r="O503" s="262">
        <v>5662.14</v>
      </c>
      <c r="P503" s="352"/>
      <c r="Q503" s="261">
        <v>499</v>
      </c>
      <c r="R503" s="262">
        <v>2151</v>
      </c>
      <c r="S503" s="352"/>
      <c r="T503" s="261">
        <v>499</v>
      </c>
      <c r="U503" s="262">
        <v>2154</v>
      </c>
      <c r="V503" s="352"/>
      <c r="W503" s="261">
        <v>499</v>
      </c>
      <c r="X503" s="262">
        <v>3885.1</v>
      </c>
      <c r="Y503" s="352"/>
      <c r="Z503" s="261">
        <v>499</v>
      </c>
      <c r="AA503" s="262">
        <v>3922.28</v>
      </c>
      <c r="AB503" s="352"/>
      <c r="AC503" s="261">
        <v>499</v>
      </c>
      <c r="AD503" s="262">
        <v>12689.74</v>
      </c>
      <c r="AE503" s="352"/>
      <c r="AF503" s="261">
        <v>499</v>
      </c>
      <c r="AG503" s="262">
        <v>34053.46</v>
      </c>
      <c r="AH503" s="352"/>
      <c r="AI503" s="261">
        <v>499</v>
      </c>
      <c r="AJ503" s="262">
        <v>14429</v>
      </c>
      <c r="AK503" s="352"/>
      <c r="AL503" s="261"/>
      <c r="AM503" s="262"/>
    </row>
    <row r="504" spans="2:39">
      <c r="B504" s="261" t="s">
        <v>788</v>
      </c>
      <c r="C504" s="261">
        <v>16067</v>
      </c>
      <c r="E504" s="261" t="s">
        <v>788</v>
      </c>
      <c r="F504" s="261">
        <v>15997.59</v>
      </c>
      <c r="H504" s="261" t="s">
        <v>788</v>
      </c>
      <c r="I504" s="262">
        <f>I503+18</f>
        <v>8860</v>
      </c>
      <c r="K504" s="352"/>
      <c r="L504" s="352"/>
      <c r="M504" s="352"/>
      <c r="N504" s="261">
        <v>500</v>
      </c>
      <c r="O504" s="262">
        <v>5673.25</v>
      </c>
      <c r="P504" s="352"/>
      <c r="Q504" s="261">
        <v>500</v>
      </c>
      <c r="R504" s="262">
        <v>2156</v>
      </c>
      <c r="S504" s="352"/>
      <c r="T504" s="261">
        <v>500</v>
      </c>
      <c r="U504" s="262">
        <v>2158</v>
      </c>
      <c r="V504" s="352"/>
      <c r="W504" s="261">
        <v>500</v>
      </c>
      <c r="X504" s="262">
        <v>3892.6</v>
      </c>
      <c r="Y504" s="352"/>
      <c r="Z504" s="261">
        <v>500</v>
      </c>
      <c r="AA504" s="262">
        <v>3929.79</v>
      </c>
      <c r="AB504" s="352"/>
      <c r="AC504" s="261">
        <v>500</v>
      </c>
      <c r="AD504" s="262">
        <v>12715.4</v>
      </c>
      <c r="AE504" s="352"/>
      <c r="AF504" s="261">
        <v>500</v>
      </c>
      <c r="AG504" s="262">
        <v>34121.910000000003</v>
      </c>
      <c r="AH504" s="352"/>
      <c r="AI504" s="261">
        <v>500</v>
      </c>
      <c r="AJ504" s="262">
        <v>14458</v>
      </c>
      <c r="AK504" s="352"/>
      <c r="AL504" s="261"/>
      <c r="AM504" s="262"/>
    </row>
    <row r="505" spans="2:39">
      <c r="B505" s="261" t="s">
        <v>789</v>
      </c>
      <c r="C505" s="261">
        <v>16099</v>
      </c>
      <c r="E505" s="261" t="s">
        <v>789</v>
      </c>
      <c r="F505" s="261">
        <v>16028.98</v>
      </c>
      <c r="H505" s="261" t="s">
        <v>789</v>
      </c>
      <c r="I505" s="262">
        <v>8877</v>
      </c>
      <c r="K505" s="352"/>
      <c r="L505" s="352"/>
      <c r="M505" s="352"/>
      <c r="N505" s="261">
        <v>501</v>
      </c>
      <c r="O505" s="262">
        <v>5684.35</v>
      </c>
      <c r="P505" s="352"/>
      <c r="Q505" s="261">
        <v>501</v>
      </c>
      <c r="R505" s="262">
        <v>2160</v>
      </c>
      <c r="S505" s="352"/>
      <c r="T505" s="261">
        <v>501</v>
      </c>
      <c r="U505" s="262">
        <v>2162</v>
      </c>
      <c r="V505" s="352"/>
      <c r="W505" s="261">
        <v>501</v>
      </c>
      <c r="X505" s="262">
        <v>3900.1</v>
      </c>
      <c r="Y505" s="352"/>
      <c r="Z505" s="261">
        <v>501</v>
      </c>
      <c r="AA505" s="262">
        <v>3937.31</v>
      </c>
      <c r="AB505" s="352"/>
      <c r="AC505" s="261">
        <v>501</v>
      </c>
      <c r="AD505" s="262">
        <v>12741.07</v>
      </c>
      <c r="AE505" s="352"/>
      <c r="AF505" s="261">
        <v>501</v>
      </c>
      <c r="AG505" s="262">
        <v>34190.36</v>
      </c>
      <c r="AH505" s="352"/>
      <c r="AI505" s="261">
        <v>501</v>
      </c>
      <c r="AJ505" s="262">
        <v>14486</v>
      </c>
      <c r="AK505" s="352"/>
      <c r="AL505" s="261"/>
      <c r="AM505" s="262"/>
    </row>
    <row r="506" spans="2:39">
      <c r="B506" s="261" t="s">
        <v>790</v>
      </c>
      <c r="C506" s="261">
        <v>16130</v>
      </c>
      <c r="E506" s="261" t="s">
        <v>790</v>
      </c>
      <c r="F506" s="261">
        <v>16060.24</v>
      </c>
      <c r="H506" s="261" t="s">
        <v>790</v>
      </c>
      <c r="I506" s="262">
        <f>I505+18</f>
        <v>8895</v>
      </c>
      <c r="K506" s="352"/>
      <c r="L506" s="352"/>
      <c r="M506" s="352"/>
      <c r="N506" s="261">
        <v>502</v>
      </c>
      <c r="O506" s="262">
        <v>5695.46</v>
      </c>
      <c r="P506" s="352"/>
      <c r="Q506" s="261">
        <v>502</v>
      </c>
      <c r="R506" s="262">
        <v>2164</v>
      </c>
      <c r="S506" s="352"/>
      <c r="T506" s="261">
        <v>502</v>
      </c>
      <c r="U506" s="262">
        <v>2166</v>
      </c>
      <c r="V506" s="352"/>
      <c r="W506" s="261">
        <v>502</v>
      </c>
      <c r="X506" s="262">
        <v>3907.6</v>
      </c>
      <c r="Y506" s="352"/>
      <c r="Z506" s="261">
        <v>502</v>
      </c>
      <c r="AA506" s="262">
        <v>3944.83</v>
      </c>
      <c r="AB506" s="352"/>
      <c r="AC506" s="261">
        <v>502</v>
      </c>
      <c r="AD506" s="262">
        <v>12766.73</v>
      </c>
      <c r="AE506" s="352"/>
      <c r="AF506" s="261">
        <v>502</v>
      </c>
      <c r="AG506" s="262">
        <v>34258.800000000003</v>
      </c>
      <c r="AH506" s="352"/>
      <c r="AI506" s="261">
        <v>502</v>
      </c>
      <c r="AJ506" s="262">
        <v>14514</v>
      </c>
      <c r="AK506" s="352"/>
      <c r="AL506" s="261"/>
      <c r="AM506" s="262"/>
    </row>
    <row r="507" spans="2:39">
      <c r="B507" s="261" t="s">
        <v>791</v>
      </c>
      <c r="C507" s="261">
        <v>16162</v>
      </c>
      <c r="E507" s="261" t="s">
        <v>791</v>
      </c>
      <c r="F507" s="261">
        <v>16091.63</v>
      </c>
      <c r="H507" s="261" t="s">
        <v>791</v>
      </c>
      <c r="I507" s="262">
        <v>8913</v>
      </c>
      <c r="K507" s="352"/>
      <c r="L507" s="352"/>
      <c r="M507" s="352"/>
      <c r="N507" s="261">
        <v>503</v>
      </c>
      <c r="O507" s="262">
        <v>5706.57</v>
      </c>
      <c r="P507" s="352"/>
      <c r="Q507" s="261">
        <v>503</v>
      </c>
      <c r="R507" s="262">
        <v>2168</v>
      </c>
      <c r="S507" s="352"/>
      <c r="T507" s="261">
        <v>503</v>
      </c>
      <c r="U507" s="262">
        <v>2171</v>
      </c>
      <c r="V507" s="352"/>
      <c r="W507" s="261">
        <v>503</v>
      </c>
      <c r="X507" s="262">
        <v>3915.1</v>
      </c>
      <c r="Y507" s="352"/>
      <c r="Z507" s="261">
        <v>503</v>
      </c>
      <c r="AA507" s="262">
        <v>3952.35</v>
      </c>
      <c r="AB507" s="352"/>
      <c r="AC507" s="261">
        <v>503</v>
      </c>
      <c r="AD507" s="262">
        <v>12792.39</v>
      </c>
      <c r="AE507" s="352"/>
      <c r="AF507" s="261">
        <v>503</v>
      </c>
      <c r="AG507" s="262">
        <v>34327.25</v>
      </c>
      <c r="AH507" s="352"/>
      <c r="AI507" s="261">
        <v>503</v>
      </c>
      <c r="AJ507" s="262">
        <v>14543</v>
      </c>
      <c r="AK507" s="352"/>
      <c r="AL507" s="261"/>
      <c r="AM507" s="262"/>
    </row>
    <row r="508" spans="2:39">
      <c r="B508" s="261" t="s">
        <v>792</v>
      </c>
      <c r="C508" s="261">
        <v>16193</v>
      </c>
      <c r="E508" s="261" t="s">
        <v>792</v>
      </c>
      <c r="F508" s="261">
        <v>16122.89</v>
      </c>
      <c r="H508" s="261" t="s">
        <v>792</v>
      </c>
      <c r="I508" s="262">
        <f>I507+18</f>
        <v>8931</v>
      </c>
      <c r="K508" s="352"/>
      <c r="L508" s="352"/>
      <c r="M508" s="352"/>
      <c r="N508" s="261">
        <v>504</v>
      </c>
      <c r="O508" s="262">
        <v>5717.67</v>
      </c>
      <c r="P508" s="352"/>
      <c r="Q508" s="261">
        <v>504</v>
      </c>
      <c r="R508" s="262">
        <v>2172</v>
      </c>
      <c r="S508" s="352"/>
      <c r="T508" s="261">
        <v>504</v>
      </c>
      <c r="U508" s="262">
        <v>2175</v>
      </c>
      <c r="V508" s="352"/>
      <c r="W508" s="261">
        <v>504</v>
      </c>
      <c r="X508" s="262">
        <v>3922.6</v>
      </c>
      <c r="Y508" s="352"/>
      <c r="Z508" s="261">
        <v>504</v>
      </c>
      <c r="AA508" s="262">
        <v>3959.87</v>
      </c>
      <c r="AB508" s="352"/>
      <c r="AC508" s="261">
        <v>504</v>
      </c>
      <c r="AD508" s="262">
        <v>12818.05</v>
      </c>
      <c r="AE508" s="352"/>
      <c r="AF508" s="261">
        <v>504</v>
      </c>
      <c r="AG508" s="262">
        <v>34395.699999999997</v>
      </c>
      <c r="AH508" s="352"/>
      <c r="AI508" s="261">
        <v>504</v>
      </c>
      <c r="AJ508" s="262">
        <v>14571</v>
      </c>
      <c r="AK508" s="352"/>
      <c r="AL508" s="261"/>
      <c r="AM508" s="262"/>
    </row>
    <row r="509" spans="2:39">
      <c r="B509" s="261" t="s">
        <v>793</v>
      </c>
      <c r="C509" s="261">
        <v>16225</v>
      </c>
      <c r="E509" s="261" t="s">
        <v>793</v>
      </c>
      <c r="F509" s="261">
        <v>16154.29</v>
      </c>
      <c r="H509" s="261" t="s">
        <v>793</v>
      </c>
      <c r="I509" s="262">
        <v>8948</v>
      </c>
      <c r="K509" s="352"/>
      <c r="L509" s="352"/>
      <c r="M509" s="352"/>
      <c r="N509" s="261">
        <v>505</v>
      </c>
      <c r="O509" s="262">
        <v>5728.78</v>
      </c>
      <c r="P509" s="352"/>
      <c r="Q509" s="261">
        <v>505</v>
      </c>
      <c r="R509" s="262">
        <v>2176</v>
      </c>
      <c r="S509" s="352"/>
      <c r="T509" s="261">
        <v>505</v>
      </c>
      <c r="U509" s="262">
        <v>2179</v>
      </c>
      <c r="V509" s="352"/>
      <c r="W509" s="261">
        <v>505</v>
      </c>
      <c r="X509" s="262">
        <v>3930.1</v>
      </c>
      <c r="Y509" s="352"/>
      <c r="Z509" s="261">
        <v>505</v>
      </c>
      <c r="AA509" s="262">
        <v>3967.38</v>
      </c>
      <c r="AB509" s="352"/>
      <c r="AC509" s="261">
        <v>505</v>
      </c>
      <c r="AD509" s="262">
        <v>12843.71</v>
      </c>
      <c r="AE509" s="352"/>
      <c r="AF509" s="261">
        <v>505</v>
      </c>
      <c r="AG509" s="262">
        <v>34464.14</v>
      </c>
      <c r="AH509" s="352"/>
      <c r="AI509" s="261">
        <v>505</v>
      </c>
      <c r="AJ509" s="262">
        <v>14600</v>
      </c>
      <c r="AK509" s="352"/>
      <c r="AL509" s="261"/>
      <c r="AM509" s="262"/>
    </row>
    <row r="510" spans="2:39">
      <c r="B510" s="261" t="s">
        <v>794</v>
      </c>
      <c r="C510" s="261">
        <v>16256</v>
      </c>
      <c r="E510" s="261" t="s">
        <v>794</v>
      </c>
      <c r="F510" s="261">
        <v>16185.550000000001</v>
      </c>
      <c r="H510" s="261" t="s">
        <v>794</v>
      </c>
      <c r="I510" s="262">
        <f>I509+18</f>
        <v>8966</v>
      </c>
      <c r="K510" s="352"/>
      <c r="L510" s="352"/>
      <c r="M510" s="352"/>
      <c r="N510" s="261">
        <v>506</v>
      </c>
      <c r="O510" s="262">
        <v>5739.88</v>
      </c>
      <c r="P510" s="352"/>
      <c r="Q510" s="261">
        <v>506</v>
      </c>
      <c r="R510" s="262">
        <v>2180</v>
      </c>
      <c r="S510" s="352"/>
      <c r="T510" s="261">
        <v>506</v>
      </c>
      <c r="U510" s="262">
        <v>2183</v>
      </c>
      <c r="V510" s="352"/>
      <c r="W510" s="261">
        <v>506</v>
      </c>
      <c r="X510" s="262">
        <v>3937.6</v>
      </c>
      <c r="Y510" s="352"/>
      <c r="Z510" s="261">
        <v>506</v>
      </c>
      <c r="AA510" s="262">
        <v>3974.9</v>
      </c>
      <c r="AB510" s="352"/>
      <c r="AC510" s="261">
        <v>506</v>
      </c>
      <c r="AD510" s="262">
        <v>12869.38</v>
      </c>
      <c r="AE510" s="352"/>
      <c r="AF510" s="261">
        <v>506</v>
      </c>
      <c r="AG510" s="262">
        <v>34532.589999999997</v>
      </c>
      <c r="AH510" s="352"/>
      <c r="AI510" s="261">
        <v>506</v>
      </c>
      <c r="AJ510" s="262">
        <v>14628</v>
      </c>
      <c r="AK510" s="352"/>
      <c r="AL510" s="261"/>
      <c r="AM510" s="262"/>
    </row>
    <row r="511" spans="2:39">
      <c r="B511" s="261" t="s">
        <v>795</v>
      </c>
      <c r="C511" s="261">
        <v>16287</v>
      </c>
      <c r="E511" s="261" t="s">
        <v>795</v>
      </c>
      <c r="F511" s="261">
        <v>16216.93</v>
      </c>
      <c r="H511" s="261" t="s">
        <v>795</v>
      </c>
      <c r="I511" s="262">
        <v>8983</v>
      </c>
      <c r="K511" s="352"/>
      <c r="L511" s="352"/>
      <c r="M511" s="352"/>
      <c r="N511" s="261">
        <v>507</v>
      </c>
      <c r="O511" s="262">
        <v>5750.99</v>
      </c>
      <c r="P511" s="352"/>
      <c r="Q511" s="261">
        <v>507</v>
      </c>
      <c r="R511" s="262">
        <v>2184</v>
      </c>
      <c r="S511" s="352"/>
      <c r="T511" s="261">
        <v>507</v>
      </c>
      <c r="U511" s="262">
        <v>2187</v>
      </c>
      <c r="V511" s="352"/>
      <c r="W511" s="261">
        <v>507</v>
      </c>
      <c r="X511" s="262">
        <v>3945.2</v>
      </c>
      <c r="Y511" s="352"/>
      <c r="Z511" s="261">
        <v>507</v>
      </c>
      <c r="AA511" s="262">
        <v>3982.42</v>
      </c>
      <c r="AB511" s="352"/>
      <c r="AC511" s="261">
        <v>507</v>
      </c>
      <c r="AD511" s="262">
        <v>12895.04</v>
      </c>
      <c r="AE511" s="352"/>
      <c r="AF511" s="261">
        <v>507</v>
      </c>
      <c r="AG511" s="262">
        <v>34601.040000000001</v>
      </c>
      <c r="AH511" s="352"/>
      <c r="AI511" s="261">
        <v>507</v>
      </c>
      <c r="AJ511" s="262">
        <v>14656</v>
      </c>
      <c r="AK511" s="352"/>
      <c r="AL511" s="261"/>
      <c r="AM511" s="262"/>
    </row>
    <row r="512" spans="2:39">
      <c r="B512" s="261" t="s">
        <v>796</v>
      </c>
      <c r="C512" s="261">
        <v>16318</v>
      </c>
      <c r="E512" s="261" t="s">
        <v>796</v>
      </c>
      <c r="F512" s="261">
        <v>16248.19</v>
      </c>
      <c r="H512" s="261" t="s">
        <v>796</v>
      </c>
      <c r="I512" s="262">
        <f>I511+18</f>
        <v>9001</v>
      </c>
      <c r="K512" s="352"/>
      <c r="L512" s="352"/>
      <c r="M512" s="352"/>
      <c r="N512" s="261">
        <v>508</v>
      </c>
      <c r="O512" s="262">
        <v>5762.1</v>
      </c>
      <c r="P512" s="352"/>
      <c r="Q512" s="261">
        <v>508</v>
      </c>
      <c r="R512" s="262">
        <v>2188</v>
      </c>
      <c r="S512" s="352"/>
      <c r="T512" s="261">
        <v>508</v>
      </c>
      <c r="U512" s="262">
        <v>2191</v>
      </c>
      <c r="V512" s="352"/>
      <c r="W512" s="261">
        <v>508</v>
      </c>
      <c r="X512" s="262">
        <v>3952.7</v>
      </c>
      <c r="Y512" s="352"/>
      <c r="Z512" s="261">
        <v>508</v>
      </c>
      <c r="AA512" s="262">
        <v>3989.94</v>
      </c>
      <c r="AB512" s="352"/>
      <c r="AC512" s="261">
        <v>508</v>
      </c>
      <c r="AD512" s="262">
        <v>12920.7</v>
      </c>
      <c r="AE512" s="352"/>
      <c r="AF512" s="261">
        <v>508</v>
      </c>
      <c r="AG512" s="262">
        <v>34669.49</v>
      </c>
      <c r="AH512" s="352"/>
      <c r="AI512" s="261">
        <v>508</v>
      </c>
      <c r="AJ512" s="262">
        <v>14685</v>
      </c>
      <c r="AK512" s="352"/>
      <c r="AL512" s="261"/>
      <c r="AM512" s="262"/>
    </row>
    <row r="513" spans="2:39">
      <c r="B513" s="261" t="s">
        <v>797</v>
      </c>
      <c r="C513" s="261">
        <v>16350</v>
      </c>
      <c r="E513" s="261" t="s">
        <v>797</v>
      </c>
      <c r="F513" s="261">
        <v>16279.58</v>
      </c>
      <c r="H513" s="261" t="s">
        <v>797</v>
      </c>
      <c r="I513" s="262">
        <v>9019</v>
      </c>
      <c r="K513" s="352"/>
      <c r="L513" s="352"/>
      <c r="M513" s="352"/>
      <c r="N513" s="261">
        <v>509</v>
      </c>
      <c r="O513" s="262">
        <v>5773.2</v>
      </c>
      <c r="P513" s="352"/>
      <c r="Q513" s="261">
        <v>509</v>
      </c>
      <c r="R513" s="262">
        <v>2193</v>
      </c>
      <c r="S513" s="352"/>
      <c r="T513" s="261">
        <v>509</v>
      </c>
      <c r="U513" s="262">
        <v>2195</v>
      </c>
      <c r="V513" s="352"/>
      <c r="W513" s="261">
        <v>509</v>
      </c>
      <c r="X513" s="262">
        <v>3960.2</v>
      </c>
      <c r="Y513" s="352"/>
      <c r="Z513" s="261">
        <v>509</v>
      </c>
      <c r="AA513" s="262">
        <v>3997.46</v>
      </c>
      <c r="AB513" s="352"/>
      <c r="AC513" s="261">
        <v>509</v>
      </c>
      <c r="AD513" s="262">
        <v>12946.36</v>
      </c>
      <c r="AE513" s="352"/>
      <c r="AF513" s="261">
        <v>509</v>
      </c>
      <c r="AG513" s="262">
        <v>34737.93</v>
      </c>
      <c r="AH513" s="352"/>
      <c r="AI513" s="261">
        <v>509</v>
      </c>
      <c r="AJ513" s="262">
        <v>14713</v>
      </c>
      <c r="AK513" s="352"/>
      <c r="AL513" s="261"/>
      <c r="AM513" s="262"/>
    </row>
    <row r="514" spans="2:39">
      <c r="B514" s="261" t="s">
        <v>798</v>
      </c>
      <c r="C514" s="261">
        <v>16381</v>
      </c>
      <c r="E514" s="261" t="s">
        <v>798</v>
      </c>
      <c r="F514" s="261">
        <v>16310.84</v>
      </c>
      <c r="H514" s="261" t="s">
        <v>798</v>
      </c>
      <c r="I514" s="262">
        <f>I513+18</f>
        <v>9037</v>
      </c>
      <c r="K514" s="352"/>
      <c r="L514" s="352"/>
      <c r="M514" s="352"/>
      <c r="N514" s="261">
        <v>510</v>
      </c>
      <c r="O514" s="262">
        <v>5784.31</v>
      </c>
      <c r="P514" s="352"/>
      <c r="Q514" s="261">
        <v>510</v>
      </c>
      <c r="R514" s="262">
        <v>2197</v>
      </c>
      <c r="S514" s="352"/>
      <c r="T514" s="261">
        <v>510</v>
      </c>
      <c r="U514" s="262">
        <v>2199</v>
      </c>
      <c r="V514" s="352"/>
      <c r="W514" s="261">
        <v>510</v>
      </c>
      <c r="X514" s="262">
        <v>3967.7</v>
      </c>
      <c r="Y514" s="352"/>
      <c r="Z514" s="261">
        <v>510</v>
      </c>
      <c r="AA514" s="262">
        <v>4004.97</v>
      </c>
      <c r="AB514" s="352"/>
      <c r="AC514" s="261">
        <v>510</v>
      </c>
      <c r="AD514" s="262">
        <v>12972.02</v>
      </c>
      <c r="AE514" s="352"/>
      <c r="AF514" s="261">
        <v>510</v>
      </c>
      <c r="AG514" s="262">
        <v>34806.379999999997</v>
      </c>
      <c r="AH514" s="352"/>
      <c r="AI514" s="261">
        <v>510</v>
      </c>
      <c r="AJ514" s="262">
        <v>14742</v>
      </c>
      <c r="AK514" s="352"/>
      <c r="AL514" s="261"/>
      <c r="AM514" s="262"/>
    </row>
    <row r="515" spans="2:39">
      <c r="B515" s="261" t="s">
        <v>799</v>
      </c>
      <c r="C515" s="261">
        <v>16413</v>
      </c>
      <c r="E515" s="261" t="s">
        <v>799</v>
      </c>
      <c r="F515" s="261">
        <v>16342.23</v>
      </c>
      <c r="H515" s="261" t="s">
        <v>799</v>
      </c>
      <c r="I515" s="262">
        <v>9054</v>
      </c>
      <c r="K515" s="352"/>
      <c r="L515" s="352"/>
      <c r="M515" s="352"/>
      <c r="N515" s="261">
        <v>511</v>
      </c>
      <c r="O515" s="262">
        <v>5795.41</v>
      </c>
      <c r="P515" s="352"/>
      <c r="Q515" s="261">
        <v>511</v>
      </c>
      <c r="R515" s="262">
        <v>2201</v>
      </c>
      <c r="S515" s="352"/>
      <c r="T515" s="261">
        <v>511</v>
      </c>
      <c r="U515" s="262">
        <v>2204</v>
      </c>
      <c r="V515" s="352"/>
      <c r="W515" s="261">
        <v>511</v>
      </c>
      <c r="X515" s="262">
        <v>3975.2</v>
      </c>
      <c r="Y515" s="352"/>
      <c r="Z515" s="261">
        <v>511</v>
      </c>
      <c r="AA515" s="262">
        <v>4012.49</v>
      </c>
      <c r="AB515" s="352"/>
      <c r="AC515" s="261">
        <v>511</v>
      </c>
      <c r="AD515" s="262">
        <v>12997.69</v>
      </c>
      <c r="AE515" s="352"/>
      <c r="AF515" s="261">
        <v>511</v>
      </c>
      <c r="AG515" s="262">
        <v>34874.83</v>
      </c>
      <c r="AH515" s="352"/>
      <c r="AI515" s="261">
        <v>511</v>
      </c>
      <c r="AJ515" s="262">
        <v>14770</v>
      </c>
      <c r="AK515" s="352"/>
      <c r="AL515" s="261"/>
      <c r="AM515" s="262"/>
    </row>
    <row r="516" spans="2:39">
      <c r="B516" s="261" t="s">
        <v>800</v>
      </c>
      <c r="C516" s="261">
        <v>16444</v>
      </c>
      <c r="E516" s="261" t="s">
        <v>800</v>
      </c>
      <c r="F516" s="261">
        <v>16373.49</v>
      </c>
      <c r="H516" s="261" t="s">
        <v>800</v>
      </c>
      <c r="I516" s="262">
        <f>I515+18</f>
        <v>9072</v>
      </c>
      <c r="K516" s="352"/>
      <c r="L516" s="352"/>
      <c r="M516" s="352"/>
      <c r="N516" s="261">
        <v>512</v>
      </c>
      <c r="O516" s="262">
        <v>5806.52</v>
      </c>
      <c r="P516" s="352"/>
      <c r="Q516" s="261">
        <v>512</v>
      </c>
      <c r="R516" s="262">
        <v>2205</v>
      </c>
      <c r="S516" s="352"/>
      <c r="T516" s="261">
        <v>512</v>
      </c>
      <c r="U516" s="262">
        <v>2208</v>
      </c>
      <c r="V516" s="352"/>
      <c r="W516" s="261">
        <v>512</v>
      </c>
      <c r="X516" s="262">
        <v>3982.7</v>
      </c>
      <c r="Y516" s="352"/>
      <c r="Z516" s="261">
        <v>512</v>
      </c>
      <c r="AA516" s="262">
        <v>4020.01</v>
      </c>
      <c r="AB516" s="352"/>
      <c r="AC516" s="261">
        <v>512</v>
      </c>
      <c r="AD516" s="262">
        <v>13023.35</v>
      </c>
      <c r="AE516" s="352"/>
      <c r="AF516" s="261">
        <v>512</v>
      </c>
      <c r="AG516" s="262">
        <v>34943.269999999997</v>
      </c>
      <c r="AH516" s="352"/>
      <c r="AI516" s="261">
        <v>512</v>
      </c>
      <c r="AJ516" s="262">
        <v>14798</v>
      </c>
      <c r="AK516" s="352"/>
      <c r="AL516" s="261"/>
      <c r="AM516" s="262"/>
    </row>
    <row r="517" spans="2:39">
      <c r="B517" s="261" t="s">
        <v>801</v>
      </c>
      <c r="C517" s="261">
        <v>16476</v>
      </c>
      <c r="E517" s="261" t="s">
        <v>801</v>
      </c>
      <c r="F517" s="261">
        <v>16404.89</v>
      </c>
      <c r="H517" s="261" t="s">
        <v>801</v>
      </c>
      <c r="I517" s="262">
        <v>9089</v>
      </c>
      <c r="K517" s="352"/>
      <c r="L517" s="352"/>
      <c r="M517" s="352"/>
      <c r="N517" s="261">
        <v>513</v>
      </c>
      <c r="O517" s="262">
        <v>5817.63</v>
      </c>
      <c r="P517" s="352"/>
      <c r="Q517" s="261">
        <v>513</v>
      </c>
      <c r="R517" s="262">
        <v>2209</v>
      </c>
      <c r="S517" s="352"/>
      <c r="T517" s="261">
        <v>513</v>
      </c>
      <c r="U517" s="262">
        <v>2212</v>
      </c>
      <c r="V517" s="352"/>
      <c r="W517" s="261">
        <v>513</v>
      </c>
      <c r="X517" s="262">
        <v>3990.2</v>
      </c>
      <c r="Y517" s="352"/>
      <c r="Z517" s="261">
        <v>513</v>
      </c>
      <c r="AA517" s="262">
        <v>4027.53</v>
      </c>
      <c r="AB517" s="352"/>
      <c r="AC517" s="261">
        <v>513</v>
      </c>
      <c r="AD517" s="262">
        <v>13049.01</v>
      </c>
      <c r="AE517" s="352"/>
      <c r="AF517" s="261">
        <v>513</v>
      </c>
      <c r="AG517" s="262">
        <v>35011.72</v>
      </c>
      <c r="AH517" s="352"/>
      <c r="AI517" s="261">
        <v>513</v>
      </c>
      <c r="AJ517" s="262">
        <v>14827</v>
      </c>
      <c r="AK517" s="352"/>
      <c r="AL517" s="261"/>
      <c r="AM517" s="262"/>
    </row>
    <row r="518" spans="2:39">
      <c r="B518" s="261" t="s">
        <v>802</v>
      </c>
      <c r="C518" s="261">
        <v>16507</v>
      </c>
      <c r="E518" s="261" t="s">
        <v>802</v>
      </c>
      <c r="F518" s="261">
        <v>16436.149999999998</v>
      </c>
      <c r="H518" s="261" t="s">
        <v>802</v>
      </c>
      <c r="I518" s="262">
        <f>I517+18</f>
        <v>9107</v>
      </c>
      <c r="K518" s="352"/>
      <c r="L518" s="352"/>
      <c r="M518" s="352"/>
      <c r="N518" s="261">
        <v>514</v>
      </c>
      <c r="O518" s="262">
        <v>5828.73</v>
      </c>
      <c r="P518" s="352"/>
      <c r="Q518" s="261">
        <v>514</v>
      </c>
      <c r="R518" s="262">
        <v>2213</v>
      </c>
      <c r="S518" s="352"/>
      <c r="T518" s="261">
        <v>514</v>
      </c>
      <c r="U518" s="262">
        <v>2216</v>
      </c>
      <c r="V518" s="352"/>
      <c r="W518" s="261">
        <v>514</v>
      </c>
      <c r="X518" s="262">
        <v>3997.7</v>
      </c>
      <c r="Y518" s="352"/>
      <c r="Z518" s="261">
        <v>514</v>
      </c>
      <c r="AA518" s="262">
        <v>4035.05</v>
      </c>
      <c r="AB518" s="352"/>
      <c r="AC518" s="261">
        <v>514</v>
      </c>
      <c r="AD518" s="262">
        <v>13074.67</v>
      </c>
      <c r="AE518" s="352"/>
      <c r="AF518" s="261">
        <v>514</v>
      </c>
      <c r="AG518" s="262">
        <v>35080.17</v>
      </c>
      <c r="AH518" s="352"/>
      <c r="AI518" s="261">
        <v>514</v>
      </c>
      <c r="AJ518" s="262">
        <v>14855</v>
      </c>
      <c r="AK518" s="352"/>
      <c r="AL518" s="261"/>
      <c r="AM518" s="262"/>
    </row>
    <row r="519" spans="2:39">
      <c r="B519" s="261" t="s">
        <v>803</v>
      </c>
      <c r="C519" s="261">
        <v>16539</v>
      </c>
      <c r="E519" s="261" t="s">
        <v>803</v>
      </c>
      <c r="F519" s="261">
        <v>16467.54</v>
      </c>
      <c r="H519" s="261" t="s">
        <v>803</v>
      </c>
      <c r="I519" s="262">
        <v>9124</v>
      </c>
      <c r="K519" s="352"/>
      <c r="L519" s="352"/>
      <c r="M519" s="352"/>
      <c r="N519" s="261">
        <v>515</v>
      </c>
      <c r="O519" s="262">
        <v>5839.84</v>
      </c>
      <c r="P519" s="352"/>
      <c r="Q519" s="261">
        <v>515</v>
      </c>
      <c r="R519" s="262">
        <v>2217</v>
      </c>
      <c r="S519" s="352"/>
      <c r="T519" s="261">
        <v>515</v>
      </c>
      <c r="U519" s="262">
        <v>2220</v>
      </c>
      <c r="V519" s="352"/>
      <c r="W519" s="261">
        <v>515</v>
      </c>
      <c r="X519" s="262">
        <v>4005.2</v>
      </c>
      <c r="Y519" s="352"/>
      <c r="Z519" s="261">
        <v>515</v>
      </c>
      <c r="AA519" s="262">
        <v>4042.56</v>
      </c>
      <c r="AB519" s="352"/>
      <c r="AC519" s="261">
        <v>515</v>
      </c>
      <c r="AD519" s="262">
        <v>13100.33</v>
      </c>
      <c r="AE519" s="352"/>
      <c r="AF519" s="261">
        <v>515</v>
      </c>
      <c r="AG519" s="262">
        <v>35148.61</v>
      </c>
      <c r="AH519" s="352"/>
      <c r="AI519" s="261">
        <v>515</v>
      </c>
      <c r="AJ519" s="262">
        <v>14884</v>
      </c>
      <c r="AK519" s="352"/>
      <c r="AL519" s="261"/>
      <c r="AM519" s="262"/>
    </row>
    <row r="520" spans="2:39">
      <c r="B520" s="261" t="s">
        <v>804</v>
      </c>
      <c r="C520" s="261">
        <v>16570</v>
      </c>
      <c r="E520" s="261" t="s">
        <v>804</v>
      </c>
      <c r="F520" s="261">
        <v>16498.8</v>
      </c>
      <c r="H520" s="261" t="s">
        <v>804</v>
      </c>
      <c r="I520" s="262">
        <f>I519+18</f>
        <v>9142</v>
      </c>
      <c r="K520" s="352"/>
      <c r="L520" s="352"/>
      <c r="M520" s="352"/>
      <c r="N520" s="261">
        <v>516</v>
      </c>
      <c r="O520" s="262">
        <v>5850.94</v>
      </c>
      <c r="P520" s="352"/>
      <c r="Q520" s="261">
        <v>516</v>
      </c>
      <c r="R520" s="262">
        <v>2221</v>
      </c>
      <c r="S520" s="352"/>
      <c r="T520" s="261">
        <v>516</v>
      </c>
      <c r="U520" s="262">
        <v>2224</v>
      </c>
      <c r="V520" s="352"/>
      <c r="W520" s="261">
        <v>516</v>
      </c>
      <c r="X520" s="262">
        <v>4012.7</v>
      </c>
      <c r="Y520" s="352"/>
      <c r="Z520" s="261">
        <v>516</v>
      </c>
      <c r="AA520" s="262">
        <v>4050.08</v>
      </c>
      <c r="AB520" s="352"/>
      <c r="AC520" s="261">
        <v>516</v>
      </c>
      <c r="AD520" s="262">
        <v>13126</v>
      </c>
      <c r="AE520" s="352"/>
      <c r="AF520" s="261">
        <v>516</v>
      </c>
      <c r="AG520" s="262">
        <v>35217.06</v>
      </c>
      <c r="AH520" s="352"/>
      <c r="AI520" s="261">
        <v>516</v>
      </c>
      <c r="AJ520" s="262">
        <v>14912</v>
      </c>
      <c r="AK520" s="352"/>
      <c r="AL520" s="261"/>
      <c r="AM520" s="262"/>
    </row>
    <row r="521" spans="2:39">
      <c r="B521" s="261" t="s">
        <v>805</v>
      </c>
      <c r="C521" s="261">
        <v>16601</v>
      </c>
      <c r="E521" s="261" t="s">
        <v>805</v>
      </c>
      <c r="F521" s="261">
        <v>16530.18</v>
      </c>
      <c r="H521" s="261" t="s">
        <v>805</v>
      </c>
      <c r="I521" s="262">
        <v>9160</v>
      </c>
      <c r="K521" s="352"/>
      <c r="L521" s="352"/>
      <c r="M521" s="352"/>
      <c r="N521" s="261">
        <v>517</v>
      </c>
      <c r="O521" s="262">
        <v>5862.05</v>
      </c>
      <c r="P521" s="352"/>
      <c r="Q521" s="261">
        <v>517</v>
      </c>
      <c r="R521" s="262">
        <v>2226</v>
      </c>
      <c r="S521" s="352"/>
      <c r="T521" s="261">
        <v>517</v>
      </c>
      <c r="U521" s="262">
        <v>2228</v>
      </c>
      <c r="V521" s="352"/>
      <c r="W521" s="261">
        <v>517</v>
      </c>
      <c r="X521" s="262">
        <v>4020.3</v>
      </c>
      <c r="Y521" s="352"/>
      <c r="Z521" s="261">
        <v>517</v>
      </c>
      <c r="AA521" s="262">
        <v>4057.6</v>
      </c>
      <c r="AB521" s="352"/>
      <c r="AC521" s="261">
        <v>517</v>
      </c>
      <c r="AD521" s="262">
        <v>13151.66</v>
      </c>
      <c r="AE521" s="352"/>
      <c r="AF521" s="261">
        <v>517</v>
      </c>
      <c r="AG521" s="262">
        <v>35285.51</v>
      </c>
      <c r="AH521" s="352"/>
      <c r="AI521" s="261">
        <v>517</v>
      </c>
      <c r="AJ521" s="262">
        <v>14940</v>
      </c>
      <c r="AK521" s="352"/>
      <c r="AL521" s="261"/>
      <c r="AM521" s="262"/>
    </row>
    <row r="522" spans="2:39">
      <c r="B522" s="261" t="s">
        <v>806</v>
      </c>
      <c r="C522" s="261">
        <v>16632</v>
      </c>
      <c r="E522" s="261" t="s">
        <v>806</v>
      </c>
      <c r="F522" s="261">
        <v>16561.439999999999</v>
      </c>
      <c r="H522" s="261" t="s">
        <v>806</v>
      </c>
      <c r="I522" s="262">
        <f>I521+18</f>
        <v>9178</v>
      </c>
      <c r="K522" s="352"/>
      <c r="L522" s="352"/>
      <c r="M522" s="352"/>
      <c r="N522" s="261">
        <v>518</v>
      </c>
      <c r="O522" s="262">
        <v>5873.16</v>
      </c>
      <c r="P522" s="352"/>
      <c r="Q522" s="261">
        <v>518</v>
      </c>
      <c r="R522" s="262">
        <v>2230</v>
      </c>
      <c r="S522" s="352"/>
      <c r="T522" s="261">
        <v>518</v>
      </c>
      <c r="U522" s="262">
        <v>2233</v>
      </c>
      <c r="V522" s="352"/>
      <c r="W522" s="261">
        <v>518</v>
      </c>
      <c r="X522" s="262">
        <v>4027.8</v>
      </c>
      <c r="Y522" s="352"/>
      <c r="Z522" s="261">
        <v>518</v>
      </c>
      <c r="AA522" s="262">
        <v>4065.12</v>
      </c>
      <c r="AB522" s="352"/>
      <c r="AC522" s="261">
        <v>518</v>
      </c>
      <c r="AD522" s="262">
        <v>13177.32</v>
      </c>
      <c r="AE522" s="352"/>
      <c r="AF522" s="261">
        <v>518</v>
      </c>
      <c r="AG522" s="262">
        <v>35353.96</v>
      </c>
      <c r="AH522" s="352"/>
      <c r="AI522" s="261">
        <v>518</v>
      </c>
      <c r="AJ522" s="262">
        <v>14969</v>
      </c>
      <c r="AK522" s="352"/>
      <c r="AL522" s="261"/>
      <c r="AM522" s="262"/>
    </row>
    <row r="523" spans="2:39">
      <c r="B523" s="261" t="s">
        <v>807</v>
      </c>
      <c r="C523" s="261">
        <v>16664</v>
      </c>
      <c r="E523" s="261" t="s">
        <v>807</v>
      </c>
      <c r="F523" s="261">
        <v>16592.84</v>
      </c>
      <c r="H523" s="261" t="s">
        <v>807</v>
      </c>
      <c r="I523" s="262">
        <v>9195</v>
      </c>
      <c r="K523" s="352"/>
      <c r="L523" s="352"/>
      <c r="M523" s="352"/>
      <c r="N523" s="261">
        <v>519</v>
      </c>
      <c r="O523" s="262">
        <v>5884.26</v>
      </c>
      <c r="P523" s="352"/>
      <c r="Q523" s="261">
        <v>519</v>
      </c>
      <c r="R523" s="262">
        <v>2234</v>
      </c>
      <c r="S523" s="352"/>
      <c r="T523" s="261">
        <v>519</v>
      </c>
      <c r="U523" s="262">
        <v>2237</v>
      </c>
      <c r="V523" s="352"/>
      <c r="W523" s="261">
        <v>519</v>
      </c>
      <c r="X523" s="262">
        <v>4035.3</v>
      </c>
      <c r="Y523" s="352"/>
      <c r="Z523" s="261">
        <v>519</v>
      </c>
      <c r="AA523" s="262">
        <v>4072.64</v>
      </c>
      <c r="AB523" s="352"/>
      <c r="AC523" s="261">
        <v>519</v>
      </c>
      <c r="AD523" s="262">
        <v>13202.98</v>
      </c>
      <c r="AE523" s="352"/>
      <c r="AF523" s="261">
        <v>519</v>
      </c>
      <c r="AG523" s="262">
        <v>35422.400000000001</v>
      </c>
      <c r="AH523" s="352"/>
      <c r="AI523" s="261">
        <v>519</v>
      </c>
      <c r="AJ523" s="262">
        <v>14997</v>
      </c>
      <c r="AK523" s="352"/>
      <c r="AL523" s="261"/>
      <c r="AM523" s="262"/>
    </row>
    <row r="524" spans="2:39">
      <c r="B524" s="261" t="s">
        <v>808</v>
      </c>
      <c r="C524" s="261">
        <v>16695</v>
      </c>
      <c r="E524" s="261" t="s">
        <v>808</v>
      </c>
      <c r="F524" s="261">
        <v>16624.099999999999</v>
      </c>
      <c r="H524" s="261" t="s">
        <v>808</v>
      </c>
      <c r="I524" s="262">
        <f>I523+18</f>
        <v>9213</v>
      </c>
      <c r="K524" s="352"/>
      <c r="L524" s="352"/>
      <c r="M524" s="352"/>
      <c r="N524" s="261">
        <v>520</v>
      </c>
      <c r="O524" s="262">
        <v>5895.37</v>
      </c>
      <c r="P524" s="352"/>
      <c r="Q524" s="261">
        <v>520</v>
      </c>
      <c r="R524" s="262">
        <v>2238</v>
      </c>
      <c r="S524" s="352"/>
      <c r="T524" s="261">
        <v>520</v>
      </c>
      <c r="U524" s="262">
        <v>2241</v>
      </c>
      <c r="V524" s="352"/>
      <c r="W524" s="261">
        <v>520</v>
      </c>
      <c r="X524" s="262">
        <v>4042.8</v>
      </c>
      <c r="Y524" s="352"/>
      <c r="Z524" s="261">
        <v>520</v>
      </c>
      <c r="AA524" s="262">
        <v>4080.15</v>
      </c>
      <c r="AB524" s="352"/>
      <c r="AC524" s="261">
        <v>520</v>
      </c>
      <c r="AD524" s="262">
        <v>13228.64</v>
      </c>
      <c r="AE524" s="352"/>
      <c r="AF524" s="261">
        <v>520</v>
      </c>
      <c r="AG524" s="262">
        <v>35490.85</v>
      </c>
      <c r="AH524" s="352"/>
      <c r="AI524" s="261">
        <v>520</v>
      </c>
      <c r="AJ524" s="262">
        <v>15026</v>
      </c>
      <c r="AK524" s="352"/>
      <c r="AL524" s="261"/>
      <c r="AM524" s="262"/>
    </row>
    <row r="525" spans="2:39">
      <c r="B525" s="261" t="s">
        <v>809</v>
      </c>
      <c r="C525" s="261">
        <v>16727</v>
      </c>
      <c r="E525" s="261" t="s">
        <v>809</v>
      </c>
      <c r="F525" s="261">
        <v>16655.490000000002</v>
      </c>
      <c r="H525" s="261" t="s">
        <v>809</v>
      </c>
      <c r="I525" s="262">
        <v>9230</v>
      </c>
      <c r="K525" s="352"/>
      <c r="L525" s="352"/>
      <c r="M525" s="352"/>
      <c r="N525" s="261">
        <v>521</v>
      </c>
      <c r="O525" s="262">
        <v>5906.47</v>
      </c>
      <c r="P525" s="352"/>
      <c r="Q525" s="261">
        <v>521</v>
      </c>
      <c r="R525" s="262">
        <v>2242</v>
      </c>
      <c r="S525" s="352"/>
      <c r="T525" s="261">
        <v>521</v>
      </c>
      <c r="U525" s="262">
        <v>2245</v>
      </c>
      <c r="V525" s="352"/>
      <c r="W525" s="261">
        <v>521</v>
      </c>
      <c r="X525" s="262">
        <v>4050.3</v>
      </c>
      <c r="Y525" s="352"/>
      <c r="Z525" s="261">
        <v>521</v>
      </c>
      <c r="AA525" s="262">
        <v>4087.67</v>
      </c>
      <c r="AB525" s="352"/>
      <c r="AC525" s="261">
        <v>521</v>
      </c>
      <c r="AD525" s="262">
        <v>13254.31</v>
      </c>
      <c r="AE525" s="352"/>
      <c r="AF525" s="261">
        <v>521</v>
      </c>
      <c r="AG525" s="262">
        <v>35559.300000000003</v>
      </c>
      <c r="AH525" s="352"/>
      <c r="AI525" s="261">
        <v>521</v>
      </c>
      <c r="AJ525" s="262">
        <v>15054</v>
      </c>
      <c r="AK525" s="352"/>
      <c r="AL525" s="261"/>
      <c r="AM525" s="262"/>
    </row>
    <row r="526" spans="2:39">
      <c r="B526" s="261" t="s">
        <v>810</v>
      </c>
      <c r="C526" s="261">
        <v>16758</v>
      </c>
      <c r="E526" s="261" t="s">
        <v>810</v>
      </c>
      <c r="F526" s="261">
        <v>16686.75</v>
      </c>
      <c r="H526" s="261" t="s">
        <v>810</v>
      </c>
      <c r="I526" s="262">
        <f>I525+18</f>
        <v>9248</v>
      </c>
      <c r="K526" s="352"/>
      <c r="L526" s="352"/>
      <c r="M526" s="352"/>
      <c r="N526" s="261">
        <v>522</v>
      </c>
      <c r="O526" s="262">
        <v>5917.53</v>
      </c>
      <c r="P526" s="352"/>
      <c r="Q526" s="261">
        <v>522</v>
      </c>
      <c r="R526" s="262">
        <v>2246</v>
      </c>
      <c r="S526" s="352"/>
      <c r="T526" s="261">
        <v>522</v>
      </c>
      <c r="U526" s="262">
        <v>2249</v>
      </c>
      <c r="V526" s="352"/>
      <c r="W526" s="261">
        <v>522</v>
      </c>
      <c r="X526" s="262">
        <v>4057.8</v>
      </c>
      <c r="Y526" s="352"/>
      <c r="Z526" s="261">
        <v>522</v>
      </c>
      <c r="AA526" s="262">
        <v>4095.19</v>
      </c>
      <c r="AB526" s="352"/>
      <c r="AC526" s="261">
        <v>522</v>
      </c>
      <c r="AD526" s="262">
        <v>13279.97</v>
      </c>
      <c r="AE526" s="352"/>
      <c r="AF526" s="261">
        <v>522</v>
      </c>
      <c r="AG526" s="262">
        <v>35627.74</v>
      </c>
      <c r="AH526" s="352"/>
      <c r="AI526" s="261">
        <v>522</v>
      </c>
      <c r="AJ526" s="262">
        <v>15082</v>
      </c>
      <c r="AK526" s="352"/>
      <c r="AL526" s="261"/>
      <c r="AM526" s="262"/>
    </row>
    <row r="527" spans="2:39">
      <c r="B527" s="261" t="s">
        <v>811</v>
      </c>
      <c r="C527" s="261">
        <v>16790</v>
      </c>
      <c r="E527" s="261" t="s">
        <v>811</v>
      </c>
      <c r="F527" s="261">
        <v>16718.14</v>
      </c>
      <c r="H527" s="261" t="s">
        <v>811</v>
      </c>
      <c r="I527" s="262">
        <v>9266</v>
      </c>
      <c r="K527" s="352"/>
      <c r="L527" s="352"/>
      <c r="M527" s="352"/>
      <c r="N527" s="261">
        <v>523</v>
      </c>
      <c r="O527" s="262">
        <v>5928.69</v>
      </c>
      <c r="P527" s="352"/>
      <c r="Q527" s="261">
        <v>523</v>
      </c>
      <c r="R527" s="262">
        <v>2250</v>
      </c>
      <c r="S527" s="352"/>
      <c r="T527" s="261">
        <v>523</v>
      </c>
      <c r="U527" s="262">
        <v>2253</v>
      </c>
      <c r="V527" s="352"/>
      <c r="W527" s="261">
        <v>523</v>
      </c>
      <c r="X527" s="262">
        <v>4065.3</v>
      </c>
      <c r="Y527" s="352"/>
      <c r="Z527" s="261">
        <v>523</v>
      </c>
      <c r="AA527" s="262">
        <v>4102.71</v>
      </c>
      <c r="AB527" s="352"/>
      <c r="AC527" s="261">
        <v>523</v>
      </c>
      <c r="AD527" s="262">
        <v>13305.63</v>
      </c>
      <c r="AE527" s="352"/>
      <c r="AF527" s="261">
        <v>523</v>
      </c>
      <c r="AG527" s="262">
        <v>35696.19</v>
      </c>
      <c r="AH527" s="352"/>
      <c r="AI527" s="261">
        <v>523</v>
      </c>
      <c r="AJ527" s="262">
        <v>15111</v>
      </c>
      <c r="AK527" s="352"/>
      <c r="AL527" s="261"/>
      <c r="AM527" s="262"/>
    </row>
    <row r="528" spans="2:39">
      <c r="B528" s="261" t="s">
        <v>812</v>
      </c>
      <c r="C528" s="261">
        <v>16821</v>
      </c>
      <c r="E528" s="261" t="s">
        <v>812</v>
      </c>
      <c r="F528" s="261">
        <v>16749.399999999998</v>
      </c>
      <c r="H528" s="261" t="s">
        <v>812</v>
      </c>
      <c r="I528" s="262">
        <f>I527+18</f>
        <v>9284</v>
      </c>
      <c r="K528" s="352"/>
      <c r="L528" s="352"/>
      <c r="M528" s="352"/>
      <c r="N528" s="261">
        <v>524</v>
      </c>
      <c r="O528" s="262">
        <v>5939.79</v>
      </c>
      <c r="P528" s="352"/>
      <c r="Q528" s="261">
        <v>524</v>
      </c>
      <c r="R528" s="262">
        <v>2254</v>
      </c>
      <c r="S528" s="352"/>
      <c r="T528" s="261">
        <v>524</v>
      </c>
      <c r="U528" s="262">
        <v>2257</v>
      </c>
      <c r="V528" s="352"/>
      <c r="W528" s="261">
        <v>524</v>
      </c>
      <c r="X528" s="262">
        <v>4072.8</v>
      </c>
      <c r="Y528" s="352"/>
      <c r="Z528" s="261">
        <v>524</v>
      </c>
      <c r="AA528" s="262">
        <v>4110.2299999999996</v>
      </c>
      <c r="AB528" s="352"/>
      <c r="AC528" s="261">
        <v>524</v>
      </c>
      <c r="AD528" s="262">
        <v>13331.29</v>
      </c>
      <c r="AE528" s="352"/>
      <c r="AF528" s="261">
        <v>524</v>
      </c>
      <c r="AG528" s="262">
        <v>35764.639999999999</v>
      </c>
      <c r="AH528" s="352"/>
      <c r="AI528" s="261">
        <v>524</v>
      </c>
      <c r="AJ528" s="262">
        <v>15139</v>
      </c>
      <c r="AK528" s="352"/>
      <c r="AL528" s="261"/>
      <c r="AM528" s="262"/>
    </row>
    <row r="529" spans="2:39">
      <c r="B529" s="261" t="s">
        <v>813</v>
      </c>
      <c r="C529" s="261">
        <v>16853</v>
      </c>
      <c r="E529" s="261" t="s">
        <v>813</v>
      </c>
      <c r="F529" s="261">
        <v>16780.79</v>
      </c>
      <c r="H529" s="261" t="s">
        <v>813</v>
      </c>
      <c r="I529" s="262">
        <v>9301</v>
      </c>
      <c r="K529" s="352"/>
      <c r="L529" s="352"/>
      <c r="M529" s="352"/>
      <c r="N529" s="261">
        <v>525</v>
      </c>
      <c r="O529" s="262">
        <v>5950.9</v>
      </c>
      <c r="P529" s="352"/>
      <c r="Q529" s="261">
        <v>525</v>
      </c>
      <c r="R529" s="262">
        <v>2259</v>
      </c>
      <c r="S529" s="352"/>
      <c r="T529" s="261">
        <v>525</v>
      </c>
      <c r="U529" s="262">
        <v>2261</v>
      </c>
      <c r="V529" s="352"/>
      <c r="W529" s="261">
        <v>525</v>
      </c>
      <c r="X529" s="262">
        <v>4080.3</v>
      </c>
      <c r="Y529" s="352"/>
      <c r="Z529" s="261">
        <v>525</v>
      </c>
      <c r="AA529" s="262">
        <v>4117.74</v>
      </c>
      <c r="AB529" s="352"/>
      <c r="AC529" s="261">
        <v>525</v>
      </c>
      <c r="AD529" s="262">
        <v>13356.95</v>
      </c>
      <c r="AE529" s="352"/>
      <c r="AF529" s="261">
        <v>525</v>
      </c>
      <c r="AG529" s="262">
        <v>35833.08</v>
      </c>
      <c r="AH529" s="352"/>
      <c r="AI529" s="261">
        <v>525</v>
      </c>
      <c r="AJ529" s="262">
        <v>15168</v>
      </c>
      <c r="AK529" s="352"/>
      <c r="AL529" s="261"/>
      <c r="AM529" s="262"/>
    </row>
    <row r="530" spans="2:39">
      <c r="B530" s="261" t="s">
        <v>814</v>
      </c>
      <c r="C530" s="261">
        <v>16884</v>
      </c>
      <c r="E530" s="261" t="s">
        <v>814</v>
      </c>
      <c r="F530" s="261">
        <v>16812.05</v>
      </c>
      <c r="H530" s="261" t="s">
        <v>814</v>
      </c>
      <c r="I530" s="262">
        <f>I529+18</f>
        <v>9319</v>
      </c>
      <c r="K530" s="352"/>
      <c r="L530" s="352"/>
      <c r="M530" s="352"/>
      <c r="N530" s="261">
        <v>526</v>
      </c>
      <c r="O530" s="262">
        <v>5962</v>
      </c>
      <c r="P530" s="352"/>
      <c r="Q530" s="261">
        <v>526</v>
      </c>
      <c r="R530" s="262">
        <v>2263</v>
      </c>
      <c r="S530" s="352"/>
      <c r="T530" s="261">
        <v>526</v>
      </c>
      <c r="U530" s="262">
        <v>2266</v>
      </c>
      <c r="V530" s="352"/>
      <c r="W530" s="261">
        <v>526</v>
      </c>
      <c r="X530" s="262">
        <v>4087.9</v>
      </c>
      <c r="Y530" s="352"/>
      <c r="Z530" s="261">
        <v>526</v>
      </c>
      <c r="AA530" s="262">
        <v>4125.26</v>
      </c>
      <c r="AB530" s="352"/>
      <c r="AC530" s="261">
        <v>526</v>
      </c>
      <c r="AD530" s="262">
        <v>13382.62</v>
      </c>
      <c r="AE530" s="352"/>
      <c r="AF530" s="261">
        <v>526</v>
      </c>
      <c r="AG530" s="262">
        <v>35901.53</v>
      </c>
      <c r="AH530" s="352"/>
      <c r="AI530" s="261">
        <v>526</v>
      </c>
      <c r="AJ530" s="262">
        <v>15196</v>
      </c>
      <c r="AK530" s="352"/>
      <c r="AL530" s="261"/>
      <c r="AM530" s="262"/>
    </row>
    <row r="531" spans="2:39">
      <c r="B531" s="261" t="s">
        <v>815</v>
      </c>
      <c r="C531" s="261">
        <v>16915</v>
      </c>
      <c r="E531" s="261" t="s">
        <v>815</v>
      </c>
      <c r="F531" s="261">
        <v>16843.43</v>
      </c>
      <c r="H531" s="261" t="s">
        <v>815</v>
      </c>
      <c r="I531" s="262">
        <v>9336</v>
      </c>
      <c r="K531" s="352"/>
      <c r="L531" s="352"/>
      <c r="M531" s="352"/>
      <c r="N531" s="261">
        <v>527</v>
      </c>
      <c r="O531" s="262">
        <v>5973.11</v>
      </c>
      <c r="P531" s="352"/>
      <c r="Q531" s="261">
        <v>527</v>
      </c>
      <c r="R531" s="262">
        <v>2267</v>
      </c>
      <c r="S531" s="352"/>
      <c r="T531" s="261">
        <v>527</v>
      </c>
      <c r="U531" s="262">
        <v>2270</v>
      </c>
      <c r="V531" s="352"/>
      <c r="W531" s="261">
        <v>527</v>
      </c>
      <c r="X531" s="262">
        <v>4095.4</v>
      </c>
      <c r="Y531" s="352"/>
      <c r="Z531" s="261">
        <v>527</v>
      </c>
      <c r="AA531" s="262">
        <v>4132.78</v>
      </c>
      <c r="AB531" s="352"/>
      <c r="AC531" s="261">
        <v>527</v>
      </c>
      <c r="AD531" s="262">
        <v>13408.28</v>
      </c>
      <c r="AE531" s="352"/>
      <c r="AF531" s="261">
        <v>527</v>
      </c>
      <c r="AG531" s="262">
        <v>35969.980000000003</v>
      </c>
      <c r="AH531" s="352"/>
      <c r="AI531" s="261">
        <v>527</v>
      </c>
      <c r="AJ531" s="262">
        <v>15224</v>
      </c>
      <c r="AK531" s="352"/>
      <c r="AL531" s="261"/>
      <c r="AM531" s="262"/>
    </row>
    <row r="532" spans="2:39">
      <c r="B532" s="261" t="s">
        <v>816</v>
      </c>
      <c r="C532" s="261">
        <v>16946</v>
      </c>
      <c r="E532" s="261" t="s">
        <v>816</v>
      </c>
      <c r="F532" s="261">
        <v>16874.689999999999</v>
      </c>
      <c r="H532" s="261" t="s">
        <v>816</v>
      </c>
      <c r="I532" s="262">
        <f>I531+18</f>
        <v>9354</v>
      </c>
      <c r="K532" s="352"/>
      <c r="L532" s="352"/>
      <c r="M532" s="352"/>
      <c r="N532" s="261">
        <v>528</v>
      </c>
      <c r="O532" s="262">
        <v>5984.22</v>
      </c>
      <c r="P532" s="352"/>
      <c r="Q532" s="261">
        <v>528</v>
      </c>
      <c r="R532" s="262">
        <v>2271</v>
      </c>
      <c r="S532" s="352"/>
      <c r="T532" s="261">
        <v>528</v>
      </c>
      <c r="U532" s="262">
        <v>2274</v>
      </c>
      <c r="V532" s="352"/>
      <c r="W532" s="261">
        <v>528</v>
      </c>
      <c r="X532" s="262">
        <v>4102.8999999999996</v>
      </c>
      <c r="Y532" s="352"/>
      <c r="Z532" s="261">
        <v>528</v>
      </c>
      <c r="AA532" s="262">
        <v>4140.3</v>
      </c>
      <c r="AB532" s="352"/>
      <c r="AC532" s="261">
        <v>528</v>
      </c>
      <c r="AD532" s="262">
        <v>13433.94</v>
      </c>
      <c r="AE532" s="352"/>
      <c r="AF532" s="261">
        <v>528</v>
      </c>
      <c r="AG532" s="262">
        <v>36038.43</v>
      </c>
      <c r="AH532" s="352"/>
      <c r="AI532" s="261">
        <v>528</v>
      </c>
      <c r="AJ532" s="262">
        <v>15253</v>
      </c>
      <c r="AK532" s="352"/>
      <c r="AL532" s="261"/>
      <c r="AM532" s="262"/>
    </row>
    <row r="533" spans="2:39">
      <c r="B533" s="261" t="s">
        <v>817</v>
      </c>
      <c r="C533" s="261">
        <v>16978</v>
      </c>
      <c r="E533" s="261" t="s">
        <v>817</v>
      </c>
      <c r="F533" s="261">
        <v>16906.09</v>
      </c>
      <c r="H533" s="261" t="s">
        <v>817</v>
      </c>
      <c r="I533" s="262">
        <v>9372</v>
      </c>
      <c r="K533" s="352"/>
      <c r="L533" s="352"/>
      <c r="M533" s="352"/>
      <c r="N533" s="261">
        <v>529</v>
      </c>
      <c r="O533" s="262">
        <v>5995.32</v>
      </c>
      <c r="P533" s="352"/>
      <c r="Q533" s="261">
        <v>529</v>
      </c>
      <c r="R533" s="262">
        <v>2275</v>
      </c>
      <c r="S533" s="352"/>
      <c r="T533" s="261">
        <v>529</v>
      </c>
      <c r="U533" s="262">
        <v>2278</v>
      </c>
      <c r="V533" s="352"/>
      <c r="W533" s="261">
        <v>529</v>
      </c>
      <c r="X533" s="262">
        <v>4110.3999999999996</v>
      </c>
      <c r="Y533" s="352"/>
      <c r="Z533" s="261">
        <v>529</v>
      </c>
      <c r="AA533" s="262">
        <v>4147.82</v>
      </c>
      <c r="AB533" s="352"/>
      <c r="AC533" s="261">
        <v>529</v>
      </c>
      <c r="AD533" s="262">
        <v>13459.6</v>
      </c>
      <c r="AE533" s="352"/>
      <c r="AF533" s="261">
        <v>529</v>
      </c>
      <c r="AG533" s="262">
        <v>36106.870000000003</v>
      </c>
      <c r="AH533" s="352"/>
      <c r="AI533" s="261">
        <v>529</v>
      </c>
      <c r="AJ533" s="262">
        <v>15281</v>
      </c>
      <c r="AK533" s="352"/>
      <c r="AL533" s="261"/>
      <c r="AM533" s="262"/>
    </row>
    <row r="534" spans="2:39">
      <c r="B534" s="261" t="s">
        <v>818</v>
      </c>
      <c r="C534" s="261">
        <v>17009</v>
      </c>
      <c r="E534" s="261" t="s">
        <v>818</v>
      </c>
      <c r="F534" s="261">
        <v>16937.349999999999</v>
      </c>
      <c r="H534" s="261" t="s">
        <v>818</v>
      </c>
      <c r="I534" s="262">
        <f>I533+18</f>
        <v>9390</v>
      </c>
      <c r="K534" s="352"/>
      <c r="L534" s="352"/>
      <c r="M534" s="352"/>
      <c r="N534" s="261">
        <v>530</v>
      </c>
      <c r="O534" s="262">
        <v>6006.43</v>
      </c>
      <c r="P534" s="352"/>
      <c r="Q534" s="261">
        <v>530</v>
      </c>
      <c r="R534" s="262">
        <v>2279</v>
      </c>
      <c r="S534" s="352"/>
      <c r="T534" s="261">
        <v>530</v>
      </c>
      <c r="U534" s="262">
        <v>2282</v>
      </c>
      <c r="V534" s="352"/>
      <c r="W534" s="261">
        <v>530</v>
      </c>
      <c r="X534" s="262">
        <v>4117.8999999999996</v>
      </c>
      <c r="Y534" s="352"/>
      <c r="Z534" s="261">
        <v>530</v>
      </c>
      <c r="AA534" s="262">
        <v>4155.33</v>
      </c>
      <c r="AB534" s="352"/>
      <c r="AC534" s="261">
        <v>530</v>
      </c>
      <c r="AD534" s="262">
        <v>13485.26</v>
      </c>
      <c r="AE534" s="352"/>
      <c r="AF534" s="261">
        <v>530</v>
      </c>
      <c r="AG534" s="262">
        <v>36175.32</v>
      </c>
      <c r="AH534" s="352"/>
      <c r="AI534" s="261">
        <v>530</v>
      </c>
      <c r="AJ534" s="262">
        <v>15310</v>
      </c>
      <c r="AK534" s="352"/>
      <c r="AL534" s="261"/>
      <c r="AM534" s="262"/>
    </row>
    <row r="535" spans="2:39">
      <c r="B535" s="261" t="s">
        <v>819</v>
      </c>
      <c r="C535" s="261">
        <v>17041</v>
      </c>
      <c r="E535" s="261" t="s">
        <v>819</v>
      </c>
      <c r="F535" s="261">
        <v>16968.740000000002</v>
      </c>
      <c r="H535" s="261" t="s">
        <v>819</v>
      </c>
      <c r="I535" s="262">
        <v>9407</v>
      </c>
      <c r="K535" s="352"/>
      <c r="L535" s="352"/>
      <c r="M535" s="352"/>
      <c r="N535" s="261">
        <v>531</v>
      </c>
      <c r="O535" s="262">
        <v>6017.54</v>
      </c>
      <c r="P535" s="352"/>
      <c r="Q535" s="261">
        <v>531</v>
      </c>
      <c r="R535" s="262">
        <v>2283</v>
      </c>
      <c r="S535" s="352"/>
      <c r="T535" s="261">
        <v>531</v>
      </c>
      <c r="U535" s="262">
        <v>2286</v>
      </c>
      <c r="V535" s="352"/>
      <c r="W535" s="261">
        <v>531</v>
      </c>
      <c r="X535" s="262">
        <v>4125.3999999999996</v>
      </c>
      <c r="Y535" s="352"/>
      <c r="Z535" s="261">
        <v>531</v>
      </c>
      <c r="AA535" s="262">
        <v>4162.8500000000004</v>
      </c>
      <c r="AB535" s="352"/>
      <c r="AC535" s="261">
        <v>531</v>
      </c>
      <c r="AD535" s="262">
        <v>13510.93</v>
      </c>
      <c r="AE535" s="352"/>
      <c r="AF535" s="261">
        <v>531</v>
      </c>
      <c r="AG535" s="262">
        <v>36243.769999999997</v>
      </c>
      <c r="AH535" s="352"/>
      <c r="AI535" s="261">
        <v>531</v>
      </c>
      <c r="AJ535" s="262">
        <v>15338</v>
      </c>
      <c r="AK535" s="352"/>
      <c r="AL535" s="261"/>
      <c r="AM535" s="262"/>
    </row>
    <row r="536" spans="2:39">
      <c r="B536" s="261" t="s">
        <v>820</v>
      </c>
      <c r="C536" s="261">
        <v>17072</v>
      </c>
      <c r="E536" s="261" t="s">
        <v>820</v>
      </c>
      <c r="F536" s="261">
        <v>17000</v>
      </c>
      <c r="H536" s="261" t="s">
        <v>820</v>
      </c>
      <c r="I536" s="262">
        <f>I535+18</f>
        <v>9425</v>
      </c>
      <c r="K536" s="352"/>
      <c r="L536" s="352"/>
      <c r="M536" s="352"/>
      <c r="N536" s="261">
        <v>532</v>
      </c>
      <c r="O536" s="262">
        <v>6028.64</v>
      </c>
      <c r="P536" s="352"/>
      <c r="Q536" s="261">
        <v>532</v>
      </c>
      <c r="R536" s="262">
        <v>2287</v>
      </c>
      <c r="S536" s="352"/>
      <c r="T536" s="261">
        <v>532</v>
      </c>
      <c r="U536" s="262">
        <v>2290</v>
      </c>
      <c r="V536" s="352"/>
      <c r="W536" s="261">
        <v>532</v>
      </c>
      <c r="X536" s="262">
        <v>4132.8999999999996</v>
      </c>
      <c r="Y536" s="352"/>
      <c r="Z536" s="261">
        <v>532</v>
      </c>
      <c r="AA536" s="262">
        <v>4170.37</v>
      </c>
      <c r="AB536" s="352"/>
      <c r="AC536" s="261">
        <v>532</v>
      </c>
      <c r="AD536" s="262">
        <v>13536.59</v>
      </c>
      <c r="AE536" s="352"/>
      <c r="AF536" s="261">
        <v>532</v>
      </c>
      <c r="AG536" s="262">
        <v>36312.21</v>
      </c>
      <c r="AH536" s="352"/>
      <c r="AI536" s="261">
        <v>532</v>
      </c>
      <c r="AJ536" s="262">
        <v>15366</v>
      </c>
      <c r="AK536" s="352"/>
      <c r="AL536" s="261"/>
      <c r="AM536" s="262"/>
    </row>
    <row r="537" spans="2:39">
      <c r="B537" s="261" t="s">
        <v>821</v>
      </c>
      <c r="C537" s="261">
        <v>17104</v>
      </c>
      <c r="E537" s="261" t="s">
        <v>821</v>
      </c>
      <c r="F537" s="261">
        <v>17031.39</v>
      </c>
      <c r="H537" s="261" t="s">
        <v>821</v>
      </c>
      <c r="I537" s="262">
        <v>9442</v>
      </c>
      <c r="K537" s="352"/>
      <c r="L537" s="352"/>
      <c r="M537" s="352"/>
      <c r="N537" s="261">
        <v>533</v>
      </c>
      <c r="O537" s="262">
        <v>6039.75</v>
      </c>
      <c r="P537" s="352"/>
      <c r="Q537" s="261">
        <v>533</v>
      </c>
      <c r="R537" s="262">
        <v>2292</v>
      </c>
      <c r="S537" s="352"/>
      <c r="T537" s="261">
        <v>533</v>
      </c>
      <c r="U537" s="262">
        <v>2295</v>
      </c>
      <c r="V537" s="352"/>
      <c r="W537" s="261">
        <v>533</v>
      </c>
      <c r="X537" s="262">
        <v>4140.3999999999996</v>
      </c>
      <c r="Y537" s="352"/>
      <c r="Z537" s="261">
        <v>533</v>
      </c>
      <c r="AA537" s="262">
        <v>4177.8900000000003</v>
      </c>
      <c r="AB537" s="352"/>
      <c r="AC537" s="261">
        <v>533</v>
      </c>
      <c r="AD537" s="262">
        <v>13562.25</v>
      </c>
      <c r="AE537" s="352"/>
      <c r="AF537" s="261">
        <v>533</v>
      </c>
      <c r="AG537" s="262">
        <v>36380.660000000003</v>
      </c>
      <c r="AH537" s="352"/>
      <c r="AI537" s="261">
        <v>533</v>
      </c>
      <c r="AJ537" s="262">
        <v>15395</v>
      </c>
      <c r="AK537" s="352"/>
      <c r="AL537" s="261"/>
      <c r="AM537" s="262"/>
    </row>
    <row r="538" spans="2:39">
      <c r="B538" s="261" t="s">
        <v>822</v>
      </c>
      <c r="C538" s="261">
        <v>17135</v>
      </c>
      <c r="E538" s="261" t="s">
        <v>822</v>
      </c>
      <c r="F538" s="261">
        <v>17062.649999999998</v>
      </c>
      <c r="H538" s="261" t="s">
        <v>822</v>
      </c>
      <c r="I538" s="262">
        <f>I537+18</f>
        <v>9460</v>
      </c>
      <c r="K538" s="352"/>
      <c r="L538" s="352"/>
      <c r="M538" s="352"/>
      <c r="N538" s="261">
        <v>534</v>
      </c>
      <c r="O538" s="262">
        <v>6050.85</v>
      </c>
      <c r="P538" s="352"/>
      <c r="Q538" s="261">
        <v>534</v>
      </c>
      <c r="R538" s="262">
        <v>2296</v>
      </c>
      <c r="S538" s="352"/>
      <c r="T538" s="261">
        <v>534</v>
      </c>
      <c r="U538" s="262">
        <v>2299</v>
      </c>
      <c r="V538" s="352"/>
      <c r="W538" s="261">
        <v>534</v>
      </c>
      <c r="X538" s="262">
        <v>4147.8999999999996</v>
      </c>
      <c r="Y538" s="352"/>
      <c r="Z538" s="261">
        <v>534</v>
      </c>
      <c r="AA538" s="262">
        <v>4185.41</v>
      </c>
      <c r="AB538" s="352"/>
      <c r="AC538" s="261">
        <v>534</v>
      </c>
      <c r="AD538" s="262">
        <v>13587.91</v>
      </c>
      <c r="AE538" s="352"/>
      <c r="AF538" s="261">
        <v>534</v>
      </c>
      <c r="AG538" s="262">
        <v>36449.11</v>
      </c>
      <c r="AH538" s="352"/>
      <c r="AI538" s="261">
        <v>534</v>
      </c>
      <c r="AJ538" s="262">
        <v>15423</v>
      </c>
      <c r="AK538" s="352"/>
      <c r="AL538" s="261"/>
      <c r="AM538" s="262"/>
    </row>
    <row r="539" spans="2:39">
      <c r="B539" s="261" t="s">
        <v>823</v>
      </c>
      <c r="C539" s="261">
        <v>17167</v>
      </c>
      <c r="E539" s="261" t="s">
        <v>823</v>
      </c>
      <c r="F539" s="261">
        <v>17094.04</v>
      </c>
      <c r="H539" s="261" t="s">
        <v>823</v>
      </c>
      <c r="I539" s="262">
        <v>9477</v>
      </c>
      <c r="K539" s="352"/>
      <c r="L539" s="352"/>
      <c r="M539" s="352"/>
      <c r="N539" s="261">
        <v>535</v>
      </c>
      <c r="O539" s="262">
        <v>6061.96</v>
      </c>
      <c r="P539" s="352"/>
      <c r="Q539" s="261">
        <v>535</v>
      </c>
      <c r="R539" s="262">
        <v>2300</v>
      </c>
      <c r="S539" s="352"/>
      <c r="T539" s="261">
        <v>535</v>
      </c>
      <c r="U539" s="262">
        <v>2303</v>
      </c>
      <c r="V539" s="352"/>
      <c r="W539" s="261">
        <v>535</v>
      </c>
      <c r="X539" s="262">
        <v>4155.5</v>
      </c>
      <c r="Y539" s="352"/>
      <c r="Z539" s="261">
        <v>535</v>
      </c>
      <c r="AA539" s="262">
        <v>4192.92</v>
      </c>
      <c r="AB539" s="352"/>
      <c r="AC539" s="261">
        <v>535</v>
      </c>
      <c r="AD539" s="262">
        <v>13613.57</v>
      </c>
      <c r="AE539" s="352"/>
      <c r="AF539" s="261">
        <v>535</v>
      </c>
      <c r="AG539" s="262">
        <v>36517.550000000003</v>
      </c>
      <c r="AH539" s="352"/>
      <c r="AI539" s="261">
        <v>535</v>
      </c>
      <c r="AJ539" s="262">
        <v>15452</v>
      </c>
      <c r="AK539" s="352"/>
      <c r="AL539" s="261"/>
      <c r="AM539" s="262"/>
    </row>
    <row r="540" spans="2:39">
      <c r="B540" s="261" t="s">
        <v>824</v>
      </c>
      <c r="C540" s="261">
        <v>17198</v>
      </c>
      <c r="E540" s="261" t="s">
        <v>824</v>
      </c>
      <c r="F540" s="261">
        <v>17125.3</v>
      </c>
      <c r="H540" s="261" t="s">
        <v>824</v>
      </c>
      <c r="I540" s="262">
        <f>I539+18</f>
        <v>9495</v>
      </c>
      <c r="K540" s="352"/>
      <c r="L540" s="352"/>
      <c r="M540" s="352"/>
      <c r="N540" s="261">
        <v>536</v>
      </c>
      <c r="O540" s="262">
        <v>6073.07</v>
      </c>
      <c r="P540" s="352"/>
      <c r="Q540" s="261">
        <v>536</v>
      </c>
      <c r="R540" s="262">
        <v>2304</v>
      </c>
      <c r="S540" s="352"/>
      <c r="T540" s="261">
        <v>536</v>
      </c>
      <c r="U540" s="262">
        <v>2307</v>
      </c>
      <c r="V540" s="352"/>
      <c r="W540" s="261">
        <v>536</v>
      </c>
      <c r="X540" s="262">
        <v>4163</v>
      </c>
      <c r="Y540" s="352"/>
      <c r="Z540" s="261">
        <v>536</v>
      </c>
      <c r="AA540" s="262">
        <v>4200.4399999999996</v>
      </c>
      <c r="AB540" s="352"/>
      <c r="AC540" s="261">
        <v>536</v>
      </c>
      <c r="AD540" s="262">
        <v>13639.24</v>
      </c>
      <c r="AE540" s="352"/>
      <c r="AF540" s="261">
        <v>536</v>
      </c>
      <c r="AG540" s="262">
        <v>36586</v>
      </c>
      <c r="AH540" s="352"/>
      <c r="AI540" s="261">
        <v>536</v>
      </c>
      <c r="AJ540" s="262">
        <v>15480</v>
      </c>
      <c r="AK540" s="352"/>
      <c r="AL540" s="261"/>
      <c r="AM540" s="262"/>
    </row>
    <row r="541" spans="2:39">
      <c r="B541" s="261" t="s">
        <v>825</v>
      </c>
      <c r="C541" s="261">
        <v>17229</v>
      </c>
      <c r="E541" s="261" t="s">
        <v>825</v>
      </c>
      <c r="F541" s="261">
        <v>17156.68</v>
      </c>
      <c r="H541" s="261" t="s">
        <v>825</v>
      </c>
      <c r="I541" s="262">
        <v>9513</v>
      </c>
      <c r="K541" s="352"/>
      <c r="L541" s="352"/>
      <c r="M541" s="352"/>
      <c r="N541" s="261">
        <v>537</v>
      </c>
      <c r="O541" s="262">
        <v>6084.17</v>
      </c>
      <c r="P541" s="352"/>
      <c r="Q541" s="261">
        <v>537</v>
      </c>
      <c r="R541" s="262">
        <v>2308</v>
      </c>
      <c r="S541" s="352"/>
      <c r="T541" s="261">
        <v>537</v>
      </c>
      <c r="U541" s="262">
        <v>2311</v>
      </c>
      <c r="V541" s="352"/>
      <c r="W541" s="261">
        <v>537</v>
      </c>
      <c r="X541" s="262">
        <v>4170.5</v>
      </c>
      <c r="Y541" s="352"/>
      <c r="Z541" s="261">
        <v>537</v>
      </c>
      <c r="AA541" s="262">
        <v>4207.96</v>
      </c>
      <c r="AB541" s="352"/>
      <c r="AC541" s="261">
        <v>537</v>
      </c>
      <c r="AD541" s="262">
        <v>13664.9</v>
      </c>
      <c r="AE541" s="352"/>
      <c r="AF541" s="261">
        <v>537</v>
      </c>
      <c r="AG541" s="262">
        <v>36654.449999999997</v>
      </c>
      <c r="AH541" s="352"/>
      <c r="AI541" s="261">
        <v>537</v>
      </c>
      <c r="AJ541" s="262">
        <v>15508</v>
      </c>
      <c r="AK541" s="352"/>
      <c r="AL541" s="261"/>
      <c r="AM541" s="262"/>
    </row>
    <row r="542" spans="2:39">
      <c r="B542" s="261" t="s">
        <v>826</v>
      </c>
      <c r="C542" s="261">
        <v>17260</v>
      </c>
      <c r="E542" s="261" t="s">
        <v>826</v>
      </c>
      <c r="F542" s="261">
        <v>17187.939999999999</v>
      </c>
      <c r="H542" s="261" t="s">
        <v>826</v>
      </c>
      <c r="I542" s="262">
        <f>I541+18</f>
        <v>9531</v>
      </c>
      <c r="K542" s="352"/>
      <c r="L542" s="352"/>
      <c r="M542" s="352"/>
      <c r="N542" s="261">
        <v>538</v>
      </c>
      <c r="O542" s="262">
        <v>6095.28</v>
      </c>
      <c r="P542" s="352"/>
      <c r="Q542" s="261">
        <v>538</v>
      </c>
      <c r="R542" s="262">
        <v>2312</v>
      </c>
      <c r="S542" s="352"/>
      <c r="T542" s="261">
        <v>538</v>
      </c>
      <c r="U542" s="262">
        <v>2315</v>
      </c>
      <c r="V542" s="352"/>
      <c r="W542" s="261">
        <v>538</v>
      </c>
      <c r="X542" s="262">
        <v>4178</v>
      </c>
      <c r="Y542" s="352"/>
      <c r="Z542" s="261">
        <v>538</v>
      </c>
      <c r="AA542" s="262">
        <v>4215.480000000005</v>
      </c>
      <c r="AB542" s="352"/>
      <c r="AC542" s="261">
        <v>538</v>
      </c>
      <c r="AD542" s="262">
        <v>13690.56</v>
      </c>
      <c r="AE542" s="352"/>
      <c r="AF542" s="261">
        <v>538</v>
      </c>
      <c r="AG542" s="262">
        <v>36722.899999999951</v>
      </c>
      <c r="AH542" s="352"/>
      <c r="AI542" s="261">
        <v>538</v>
      </c>
      <c r="AJ542" s="262">
        <v>15537</v>
      </c>
      <c r="AK542" s="352"/>
      <c r="AL542" s="261"/>
      <c r="AM542" s="262"/>
    </row>
    <row r="543" spans="2:39">
      <c r="B543" s="261" t="s">
        <v>827</v>
      </c>
      <c r="C543" s="261">
        <v>17292</v>
      </c>
      <c r="E543" s="261" t="s">
        <v>827</v>
      </c>
      <c r="F543" s="261">
        <v>17219.34</v>
      </c>
      <c r="H543" s="261" t="s">
        <v>827</v>
      </c>
      <c r="I543" s="262">
        <v>9548</v>
      </c>
      <c r="K543" s="352"/>
      <c r="L543" s="352"/>
      <c r="M543" s="352"/>
      <c r="N543" s="261">
        <v>539</v>
      </c>
      <c r="O543" s="262">
        <v>6106.38</v>
      </c>
      <c r="P543" s="352"/>
      <c r="Q543" s="261">
        <v>539</v>
      </c>
      <c r="R543" s="262">
        <v>2316</v>
      </c>
      <c r="S543" s="352"/>
      <c r="T543" s="261">
        <v>539</v>
      </c>
      <c r="U543" s="262">
        <v>2319</v>
      </c>
      <c r="V543" s="352"/>
      <c r="W543" s="261">
        <v>539</v>
      </c>
      <c r="X543" s="262">
        <v>4185.5</v>
      </c>
      <c r="Y543" s="352"/>
      <c r="Z543" s="261">
        <v>539</v>
      </c>
      <c r="AA543" s="262">
        <v>4223.0000000000055</v>
      </c>
      <c r="AB543" s="352"/>
      <c r="AC543" s="261">
        <v>539</v>
      </c>
      <c r="AD543" s="262">
        <v>13716.22</v>
      </c>
      <c r="AE543" s="352"/>
      <c r="AF543" s="261">
        <v>539</v>
      </c>
      <c r="AG543" s="262">
        <v>36791.339999999997</v>
      </c>
      <c r="AH543" s="352"/>
      <c r="AI543" s="261">
        <v>539</v>
      </c>
      <c r="AJ543" s="262">
        <v>15565</v>
      </c>
      <c r="AK543" s="352"/>
      <c r="AL543" s="261"/>
      <c r="AM543" s="262"/>
    </row>
    <row r="544" spans="2:39">
      <c r="B544" s="261" t="s">
        <v>828</v>
      </c>
      <c r="C544" s="261">
        <v>17323</v>
      </c>
      <c r="E544" s="261" t="s">
        <v>828</v>
      </c>
      <c r="F544" s="261">
        <v>17250.599999999999</v>
      </c>
      <c r="H544" s="261" t="s">
        <v>828</v>
      </c>
      <c r="I544" s="262">
        <f>I543+18</f>
        <v>9566</v>
      </c>
      <c r="K544" s="352"/>
      <c r="L544" s="352"/>
      <c r="M544" s="352"/>
      <c r="N544" s="261">
        <v>540</v>
      </c>
      <c r="O544" s="262">
        <v>6117.49</v>
      </c>
      <c r="P544" s="352"/>
      <c r="Q544" s="261">
        <v>540</v>
      </c>
      <c r="R544" s="262">
        <v>2320</v>
      </c>
      <c r="S544" s="352"/>
      <c r="T544" s="261">
        <v>540</v>
      </c>
      <c r="U544" s="262">
        <v>2324</v>
      </c>
      <c r="V544" s="352"/>
      <c r="W544" s="261">
        <v>540</v>
      </c>
      <c r="X544" s="262">
        <v>4193</v>
      </c>
      <c r="Y544" s="352"/>
      <c r="Z544" s="261">
        <v>540</v>
      </c>
      <c r="AA544" s="262">
        <v>4230.5100000000057</v>
      </c>
      <c r="AB544" s="352"/>
      <c r="AC544" s="261">
        <v>540</v>
      </c>
      <c r="AD544" s="262">
        <v>13741.88</v>
      </c>
      <c r="AE544" s="352"/>
      <c r="AF544" s="261">
        <v>540</v>
      </c>
      <c r="AG544" s="262">
        <v>36859.79</v>
      </c>
      <c r="AH544" s="352"/>
      <c r="AI544" s="261">
        <v>540</v>
      </c>
      <c r="AJ544" s="262">
        <v>15594</v>
      </c>
      <c r="AK544" s="352"/>
      <c r="AL544" s="261"/>
      <c r="AM544" s="262"/>
    </row>
    <row r="545" spans="2:39">
      <c r="B545" s="261" t="s">
        <v>829</v>
      </c>
      <c r="C545" s="261">
        <v>17355</v>
      </c>
      <c r="E545" s="261" t="s">
        <v>829</v>
      </c>
      <c r="F545" s="261">
        <v>17281.990000000002</v>
      </c>
      <c r="H545" s="261" t="s">
        <v>829</v>
      </c>
      <c r="I545" s="262">
        <v>9583</v>
      </c>
      <c r="K545" s="352"/>
      <c r="L545" s="352"/>
      <c r="M545" s="352"/>
      <c r="N545" s="261">
        <v>541</v>
      </c>
      <c r="O545" s="262">
        <v>6128.6</v>
      </c>
      <c r="P545" s="352"/>
      <c r="Q545" s="261">
        <v>541</v>
      </c>
      <c r="R545" s="262">
        <v>2324</v>
      </c>
      <c r="S545" s="352"/>
      <c r="T545" s="261">
        <v>541</v>
      </c>
      <c r="U545" s="262">
        <v>2328</v>
      </c>
      <c r="V545" s="352"/>
      <c r="W545" s="261">
        <v>541</v>
      </c>
      <c r="X545" s="262">
        <v>4200.5</v>
      </c>
      <c r="Y545" s="352"/>
      <c r="Z545" s="261">
        <v>541</v>
      </c>
      <c r="AA545" s="262">
        <v>4238.0300000000061</v>
      </c>
      <c r="AB545" s="352"/>
      <c r="AC545" s="261">
        <v>541</v>
      </c>
      <c r="AD545" s="262">
        <v>13767.55</v>
      </c>
      <c r="AE545" s="352"/>
      <c r="AF545" s="261">
        <v>541</v>
      </c>
      <c r="AG545" s="262">
        <v>36928.239999999998</v>
      </c>
      <c r="AH545" s="352"/>
      <c r="AI545" s="261">
        <v>541</v>
      </c>
      <c r="AJ545" s="262">
        <v>15622</v>
      </c>
      <c r="AK545" s="352"/>
      <c r="AL545" s="261"/>
      <c r="AM545" s="262"/>
    </row>
    <row r="546" spans="2:39">
      <c r="B546" s="261" t="s">
        <v>830</v>
      </c>
      <c r="C546" s="261">
        <v>17386</v>
      </c>
      <c r="E546" s="261" t="s">
        <v>830</v>
      </c>
      <c r="F546" s="261">
        <v>17313.25</v>
      </c>
      <c r="H546" s="261" t="s">
        <v>830</v>
      </c>
      <c r="I546" s="262">
        <f>I545+18</f>
        <v>9601</v>
      </c>
      <c r="K546" s="352"/>
      <c r="L546" s="352"/>
      <c r="M546" s="352"/>
      <c r="N546" s="261">
        <v>542</v>
      </c>
      <c r="O546" s="262">
        <v>6139.7</v>
      </c>
      <c r="P546" s="352"/>
      <c r="Q546" s="261">
        <v>542</v>
      </c>
      <c r="R546" s="262">
        <v>2329</v>
      </c>
      <c r="S546" s="352"/>
      <c r="T546" s="261">
        <v>542</v>
      </c>
      <c r="U546" s="262">
        <v>2332</v>
      </c>
      <c r="V546" s="352"/>
      <c r="W546" s="261">
        <v>542</v>
      </c>
      <c r="X546" s="262">
        <v>4208</v>
      </c>
      <c r="Y546" s="352"/>
      <c r="Z546" s="261">
        <v>542</v>
      </c>
      <c r="AA546" s="262">
        <v>4245.5500000000065</v>
      </c>
      <c r="AB546" s="352"/>
      <c r="AC546" s="261">
        <v>542</v>
      </c>
      <c r="AD546" s="262">
        <v>13793.21</v>
      </c>
      <c r="AE546" s="352"/>
      <c r="AF546" s="261">
        <v>542</v>
      </c>
      <c r="AG546" s="262">
        <v>36996.68</v>
      </c>
      <c r="AH546" s="352"/>
      <c r="AI546" s="261">
        <v>542</v>
      </c>
      <c r="AJ546" s="262">
        <v>15650</v>
      </c>
      <c r="AK546" s="352"/>
      <c r="AL546" s="261"/>
      <c r="AM546" s="262"/>
    </row>
    <row r="547" spans="2:39">
      <c r="B547" s="261" t="s">
        <v>831</v>
      </c>
      <c r="C547" s="261">
        <v>17418</v>
      </c>
      <c r="E547" s="261" t="s">
        <v>831</v>
      </c>
      <c r="F547" s="261">
        <v>17344.64</v>
      </c>
      <c r="H547" s="261" t="s">
        <v>831</v>
      </c>
      <c r="I547" s="262">
        <v>9619</v>
      </c>
      <c r="K547" s="352"/>
      <c r="L547" s="352"/>
      <c r="M547" s="352"/>
      <c r="N547" s="261">
        <v>543</v>
      </c>
      <c r="O547" s="262">
        <v>6150.81</v>
      </c>
      <c r="P547" s="352"/>
      <c r="Q547" s="261">
        <v>543</v>
      </c>
      <c r="R547" s="262">
        <v>2333</v>
      </c>
      <c r="S547" s="352"/>
      <c r="T547" s="261">
        <v>543</v>
      </c>
      <c r="U547" s="262">
        <v>2336</v>
      </c>
      <c r="V547" s="352"/>
      <c r="W547" s="261">
        <v>543</v>
      </c>
      <c r="X547" s="262">
        <v>4215.5</v>
      </c>
      <c r="Y547" s="352"/>
      <c r="Z547" s="261">
        <v>543</v>
      </c>
      <c r="AA547" s="262">
        <v>4253.070000000007</v>
      </c>
      <c r="AB547" s="352"/>
      <c r="AC547" s="261">
        <v>543</v>
      </c>
      <c r="AD547" s="262">
        <v>13818.87</v>
      </c>
      <c r="AE547" s="352"/>
      <c r="AF547" s="261">
        <v>543</v>
      </c>
      <c r="AG547" s="262">
        <v>37065.129999999997</v>
      </c>
      <c r="AH547" s="352"/>
      <c r="AI547" s="261">
        <v>543</v>
      </c>
      <c r="AJ547" s="262">
        <v>15679</v>
      </c>
      <c r="AK547" s="352"/>
      <c r="AL547" s="261"/>
      <c r="AM547" s="262"/>
    </row>
    <row r="548" spans="2:39">
      <c r="B548" s="261" t="s">
        <v>832</v>
      </c>
      <c r="C548" s="261">
        <v>17449</v>
      </c>
      <c r="E548" s="261" t="s">
        <v>832</v>
      </c>
      <c r="F548" s="261">
        <v>17375.899999999998</v>
      </c>
      <c r="H548" s="261" t="s">
        <v>832</v>
      </c>
      <c r="I548" s="262">
        <f>I547+18</f>
        <v>9637</v>
      </c>
      <c r="K548" s="352"/>
      <c r="L548" s="352"/>
      <c r="M548" s="352"/>
      <c r="N548" s="261">
        <v>544</v>
      </c>
      <c r="O548" s="262">
        <v>6161.91</v>
      </c>
      <c r="P548" s="352"/>
      <c r="Q548" s="261">
        <v>544</v>
      </c>
      <c r="R548" s="262">
        <v>2337</v>
      </c>
      <c r="S548" s="352"/>
      <c r="T548" s="261">
        <v>544</v>
      </c>
      <c r="U548" s="262">
        <v>2340</v>
      </c>
      <c r="V548" s="352"/>
      <c r="W548" s="261">
        <v>544</v>
      </c>
      <c r="X548" s="262">
        <v>4223</v>
      </c>
      <c r="Y548" s="352"/>
      <c r="Z548" s="261">
        <v>544</v>
      </c>
      <c r="AA548" s="262">
        <v>4260.5900000000074</v>
      </c>
      <c r="AB548" s="352"/>
      <c r="AC548" s="261">
        <v>544</v>
      </c>
      <c r="AD548" s="262">
        <v>13844.53</v>
      </c>
      <c r="AE548" s="352"/>
      <c r="AF548" s="261">
        <v>544</v>
      </c>
      <c r="AG548" s="262">
        <v>37133.58</v>
      </c>
      <c r="AH548" s="352"/>
      <c r="AI548" s="261">
        <v>544</v>
      </c>
      <c r="AJ548" s="262">
        <v>15707</v>
      </c>
      <c r="AK548" s="352"/>
      <c r="AL548" s="261"/>
      <c r="AM548" s="262"/>
    </row>
    <row r="549" spans="2:39">
      <c r="B549" s="261" t="s">
        <v>833</v>
      </c>
      <c r="C549" s="261">
        <v>17481</v>
      </c>
      <c r="E549" s="261" t="s">
        <v>833</v>
      </c>
      <c r="F549" s="261">
        <v>17407.29</v>
      </c>
      <c r="H549" s="261" t="s">
        <v>833</v>
      </c>
      <c r="I549" s="262">
        <v>9654</v>
      </c>
      <c r="K549" s="352"/>
      <c r="L549" s="352"/>
      <c r="M549" s="352"/>
      <c r="N549" s="261">
        <v>545</v>
      </c>
      <c r="O549" s="262">
        <v>6173.02</v>
      </c>
      <c r="P549" s="352"/>
      <c r="Q549" s="261">
        <v>545</v>
      </c>
      <c r="R549" s="262">
        <v>2341</v>
      </c>
      <c r="S549" s="352"/>
      <c r="T549" s="261">
        <v>545</v>
      </c>
      <c r="U549" s="262">
        <v>2344</v>
      </c>
      <c r="V549" s="352"/>
      <c r="W549" s="261">
        <v>545</v>
      </c>
      <c r="X549" s="262">
        <v>4230.6000000000004</v>
      </c>
      <c r="Y549" s="352"/>
      <c r="Z549" s="261">
        <v>545</v>
      </c>
      <c r="AA549" s="262">
        <v>4268.1000000000076</v>
      </c>
      <c r="AB549" s="352"/>
      <c r="AC549" s="261">
        <v>545</v>
      </c>
      <c r="AD549" s="262">
        <v>13870.19</v>
      </c>
      <c r="AE549" s="352"/>
      <c r="AF549" s="261">
        <v>545</v>
      </c>
      <c r="AG549" s="262">
        <v>37202.019999999997</v>
      </c>
      <c r="AH549" s="352"/>
      <c r="AI549" s="261">
        <v>545</v>
      </c>
      <c r="AJ549" s="262">
        <v>15736</v>
      </c>
      <c r="AK549" s="352"/>
      <c r="AL549" s="261"/>
      <c r="AM549" s="262"/>
    </row>
    <row r="550" spans="2:39">
      <c r="B550" s="261" t="s">
        <v>834</v>
      </c>
      <c r="C550" s="261">
        <v>17512</v>
      </c>
      <c r="E550" s="261" t="s">
        <v>834</v>
      </c>
      <c r="F550" s="261">
        <v>17438.55</v>
      </c>
      <c r="H550" s="352"/>
      <c r="I550" s="352"/>
      <c r="K550" s="352"/>
      <c r="L550" s="352"/>
      <c r="M550" s="352"/>
      <c r="N550" s="261">
        <v>546</v>
      </c>
      <c r="O550" s="262">
        <v>6184.13</v>
      </c>
      <c r="P550" s="352"/>
      <c r="Q550" s="261">
        <v>546</v>
      </c>
      <c r="R550" s="262">
        <v>2345</v>
      </c>
      <c r="S550" s="352"/>
      <c r="T550" s="261">
        <v>546</v>
      </c>
      <c r="U550" s="262">
        <v>2348</v>
      </c>
      <c r="V550" s="352"/>
      <c r="W550" s="261">
        <v>546</v>
      </c>
      <c r="X550" s="262">
        <v>4238.1000000000004</v>
      </c>
      <c r="Y550" s="352"/>
      <c r="Z550" s="261">
        <v>546</v>
      </c>
      <c r="AA550" s="262">
        <v>4275.6200000000081</v>
      </c>
      <c r="AB550" s="352"/>
      <c r="AC550" s="261">
        <v>546</v>
      </c>
      <c r="AD550" s="262">
        <v>13895.86</v>
      </c>
      <c r="AE550" s="352"/>
      <c r="AF550" s="261">
        <v>546</v>
      </c>
      <c r="AG550" s="262">
        <v>37270.47</v>
      </c>
      <c r="AH550" s="352"/>
      <c r="AI550" s="261">
        <v>546</v>
      </c>
      <c r="AJ550" s="262">
        <v>15764</v>
      </c>
      <c r="AK550" s="352"/>
      <c r="AL550" s="261"/>
      <c r="AM550" s="262"/>
    </row>
    <row r="551" spans="2:39">
      <c r="B551" s="261" t="s">
        <v>835</v>
      </c>
      <c r="C551" s="261">
        <v>17543</v>
      </c>
      <c r="E551" s="261" t="s">
        <v>835</v>
      </c>
      <c r="F551" s="261">
        <v>17469.93</v>
      </c>
      <c r="H551" s="352"/>
      <c r="I551" s="352"/>
      <c r="K551" s="352"/>
      <c r="L551" s="352"/>
      <c r="M551" s="352"/>
      <c r="N551" s="261">
        <v>547</v>
      </c>
      <c r="O551" s="262">
        <v>6195.23</v>
      </c>
      <c r="P551" s="352"/>
      <c r="Q551" s="261">
        <v>547</v>
      </c>
      <c r="R551" s="262">
        <v>2349</v>
      </c>
      <c r="S551" s="352"/>
      <c r="T551" s="261">
        <v>547</v>
      </c>
      <c r="U551" s="262">
        <v>2352</v>
      </c>
      <c r="V551" s="352"/>
      <c r="W551" s="261">
        <v>547</v>
      </c>
      <c r="X551" s="262">
        <v>4245.6000000000004</v>
      </c>
      <c r="Y551" s="352"/>
      <c r="Z551" s="261">
        <v>547</v>
      </c>
      <c r="AA551" s="262">
        <v>4283.1400000000085</v>
      </c>
      <c r="AB551" s="352"/>
      <c r="AC551" s="261">
        <v>547</v>
      </c>
      <c r="AD551" s="262">
        <v>13921.52</v>
      </c>
      <c r="AE551" s="352"/>
      <c r="AF551" s="261">
        <v>547</v>
      </c>
      <c r="AG551" s="262">
        <v>37338.92</v>
      </c>
      <c r="AH551" s="352"/>
      <c r="AI551" s="261">
        <v>547</v>
      </c>
      <c r="AJ551" s="262">
        <v>15792</v>
      </c>
      <c r="AK551" s="352"/>
      <c r="AL551" s="261"/>
      <c r="AM551" s="262"/>
    </row>
    <row r="552" spans="2:39">
      <c r="B552" s="261" t="s">
        <v>836</v>
      </c>
      <c r="C552" s="261">
        <v>17574</v>
      </c>
      <c r="E552" s="261" t="s">
        <v>836</v>
      </c>
      <c r="F552" s="261">
        <v>17501.189999999999</v>
      </c>
      <c r="H552" s="352"/>
      <c r="I552" s="352"/>
      <c r="K552" s="352"/>
      <c r="L552" s="352"/>
      <c r="M552" s="352"/>
      <c r="N552" s="261">
        <v>548</v>
      </c>
      <c r="O552" s="262">
        <v>6206.34</v>
      </c>
      <c r="P552" s="352"/>
      <c r="Q552" s="261">
        <v>548</v>
      </c>
      <c r="R552" s="262">
        <v>2353</v>
      </c>
      <c r="S552" s="352"/>
      <c r="T552" s="261">
        <v>548</v>
      </c>
      <c r="U552" s="262">
        <v>2357</v>
      </c>
      <c r="V552" s="352"/>
      <c r="W552" s="261">
        <v>548</v>
      </c>
      <c r="X552" s="262">
        <v>4253.1000000000004</v>
      </c>
      <c r="Y552" s="352"/>
      <c r="Z552" s="261">
        <v>548</v>
      </c>
      <c r="AA552" s="262">
        <v>4290.6600000000089</v>
      </c>
      <c r="AB552" s="352"/>
      <c r="AC552" s="261">
        <v>548</v>
      </c>
      <c r="AD552" s="262">
        <v>13947.18</v>
      </c>
      <c r="AE552" s="352"/>
      <c r="AF552" s="261">
        <v>548</v>
      </c>
      <c r="AG552" s="262">
        <v>37407.370000000003</v>
      </c>
      <c r="AH552" s="352"/>
      <c r="AI552" s="261">
        <v>548</v>
      </c>
      <c r="AJ552" s="262">
        <v>15821</v>
      </c>
      <c r="AK552" s="352"/>
      <c r="AL552" s="261"/>
      <c r="AM552" s="262"/>
    </row>
    <row r="553" spans="2:39">
      <c r="B553" s="261" t="s">
        <v>837</v>
      </c>
      <c r="C553" s="261">
        <v>17606</v>
      </c>
      <c r="E553" s="261" t="s">
        <v>837</v>
      </c>
      <c r="F553" s="261">
        <v>17532.52</v>
      </c>
      <c r="H553" s="352"/>
      <c r="I553" s="352"/>
      <c r="K553" s="352"/>
      <c r="L553" s="352"/>
      <c r="M553" s="352"/>
      <c r="N553" s="261">
        <v>549</v>
      </c>
      <c r="O553" s="262">
        <v>6217.44</v>
      </c>
      <c r="P553" s="352"/>
      <c r="Q553" s="261">
        <v>549</v>
      </c>
      <c r="R553" s="262">
        <v>2357</v>
      </c>
      <c r="S553" s="352"/>
      <c r="T553" s="261">
        <v>549</v>
      </c>
      <c r="U553" s="262">
        <v>2361</v>
      </c>
      <c r="V553" s="352"/>
      <c r="W553" s="261">
        <v>549</v>
      </c>
      <c r="X553" s="262">
        <v>4260.6000000000004</v>
      </c>
      <c r="Y553" s="352"/>
      <c r="Z553" s="261">
        <v>549</v>
      </c>
      <c r="AA553" s="262">
        <v>4298.1800000000094</v>
      </c>
      <c r="AB553" s="352"/>
      <c r="AC553" s="261">
        <v>549</v>
      </c>
      <c r="AD553" s="262">
        <v>13972.84</v>
      </c>
      <c r="AE553" s="352"/>
      <c r="AF553" s="261">
        <v>549</v>
      </c>
      <c r="AG553" s="262">
        <v>37475.81</v>
      </c>
      <c r="AH553" s="352"/>
      <c r="AI553" s="261">
        <v>549</v>
      </c>
      <c r="AJ553" s="262">
        <v>15849</v>
      </c>
      <c r="AK553" s="352"/>
      <c r="AL553" s="261"/>
      <c r="AM553" s="262"/>
    </row>
    <row r="554" spans="2:39">
      <c r="B554" s="261" t="s">
        <v>838</v>
      </c>
      <c r="C554" s="261">
        <v>17637</v>
      </c>
      <c r="E554" s="261" t="s">
        <v>838</v>
      </c>
      <c r="F554" s="261">
        <v>17563.78</v>
      </c>
      <c r="H554" s="352"/>
      <c r="I554" s="352"/>
      <c r="K554" s="352"/>
      <c r="L554" s="352"/>
      <c r="M554" s="352"/>
      <c r="N554" s="261">
        <v>550</v>
      </c>
      <c r="O554" s="262">
        <v>6228.55</v>
      </c>
      <c r="P554" s="352"/>
      <c r="Q554" s="261">
        <v>550</v>
      </c>
      <c r="R554" s="262">
        <v>2362</v>
      </c>
      <c r="S554" s="352"/>
      <c r="T554" s="261">
        <v>550</v>
      </c>
      <c r="U554" s="262">
        <v>2365</v>
      </c>
      <c r="V554" s="352"/>
      <c r="W554" s="261">
        <v>550</v>
      </c>
      <c r="X554" s="262">
        <v>4268.1000000000004</v>
      </c>
      <c r="Y554" s="352"/>
      <c r="Z554" s="261">
        <v>550</v>
      </c>
      <c r="AA554" s="262">
        <v>4305.6900000000096</v>
      </c>
      <c r="AB554" s="352"/>
      <c r="AC554" s="261">
        <v>550</v>
      </c>
      <c r="AD554" s="262">
        <v>13998.5</v>
      </c>
      <c r="AE554" s="352"/>
      <c r="AF554" s="261">
        <v>550</v>
      </c>
      <c r="AG554" s="262">
        <v>37544.26</v>
      </c>
      <c r="AH554" s="352"/>
      <c r="AI554" s="261">
        <v>550</v>
      </c>
      <c r="AJ554" s="262">
        <v>15878</v>
      </c>
      <c r="AK554" s="352"/>
      <c r="AL554" s="261"/>
      <c r="AM554" s="262"/>
    </row>
    <row r="555" spans="2:39">
      <c r="B555" s="261" t="s">
        <v>839</v>
      </c>
      <c r="C555" s="261">
        <v>17669</v>
      </c>
      <c r="E555" s="261" t="s">
        <v>839</v>
      </c>
      <c r="F555" s="261">
        <v>17595.240000000002</v>
      </c>
      <c r="H555" s="352"/>
      <c r="I555" s="352"/>
      <c r="K555" s="352"/>
      <c r="L555" s="352"/>
      <c r="M555" s="352"/>
      <c r="N555" s="261">
        <v>551</v>
      </c>
      <c r="O555" s="262">
        <v>6239.66</v>
      </c>
      <c r="P555" s="352"/>
      <c r="Q555" s="261">
        <v>551</v>
      </c>
      <c r="R555" s="262">
        <v>2366</v>
      </c>
      <c r="S555" s="352"/>
      <c r="T555" s="261">
        <v>551</v>
      </c>
      <c r="U555" s="262">
        <v>2369</v>
      </c>
      <c r="V555" s="352"/>
      <c r="W555" s="261">
        <v>551</v>
      </c>
      <c r="X555" s="262">
        <v>4275.6000000000004</v>
      </c>
      <c r="Y555" s="352"/>
      <c r="Z555" s="261">
        <v>551</v>
      </c>
      <c r="AA555" s="262">
        <v>4313.21000000001</v>
      </c>
      <c r="AB555" s="352"/>
      <c r="AC555" s="261">
        <v>551</v>
      </c>
      <c r="AD555" s="262">
        <v>14024.17</v>
      </c>
      <c r="AE555" s="352"/>
      <c r="AF555" s="261">
        <v>551</v>
      </c>
      <c r="AG555" s="262">
        <v>37612.71</v>
      </c>
      <c r="AH555" s="352"/>
      <c r="AI555" s="261">
        <v>551</v>
      </c>
      <c r="AJ555" s="262">
        <v>15906</v>
      </c>
      <c r="AK555" s="352"/>
      <c r="AL555" s="261"/>
      <c r="AM555" s="262"/>
    </row>
    <row r="556" spans="2:39">
      <c r="B556" s="261" t="s">
        <v>840</v>
      </c>
      <c r="C556" s="261">
        <v>17700</v>
      </c>
      <c r="E556" s="261" t="s">
        <v>840</v>
      </c>
      <c r="F556" s="261">
        <v>17626.5</v>
      </c>
      <c r="H556" s="352"/>
      <c r="I556" s="352"/>
      <c r="K556" s="352"/>
      <c r="L556" s="352"/>
      <c r="M556" s="352"/>
      <c r="N556" s="261">
        <v>552</v>
      </c>
      <c r="O556" s="262">
        <v>6250.76</v>
      </c>
      <c r="P556" s="352"/>
      <c r="Q556" s="261">
        <v>552</v>
      </c>
      <c r="R556" s="262">
        <v>2370</v>
      </c>
      <c r="S556" s="352"/>
      <c r="T556" s="261">
        <v>552</v>
      </c>
      <c r="U556" s="262">
        <v>2373</v>
      </c>
      <c r="V556" s="352"/>
      <c r="W556" s="261">
        <v>552</v>
      </c>
      <c r="X556" s="262">
        <v>4283.1000000000004</v>
      </c>
      <c r="Y556" s="352"/>
      <c r="Z556" s="261">
        <v>552</v>
      </c>
      <c r="AA556" s="262">
        <v>4320.7300000000105</v>
      </c>
      <c r="AB556" s="352"/>
      <c r="AC556" s="261">
        <v>552</v>
      </c>
      <c r="AD556" s="262">
        <v>14049.83</v>
      </c>
      <c r="AE556" s="352"/>
      <c r="AF556" s="261">
        <v>552</v>
      </c>
      <c r="AG556" s="262">
        <v>37681.15</v>
      </c>
      <c r="AH556" s="352"/>
      <c r="AI556" s="261">
        <v>552</v>
      </c>
      <c r="AJ556" s="262">
        <v>15934</v>
      </c>
      <c r="AK556" s="352"/>
      <c r="AL556" s="261"/>
      <c r="AM556" s="262"/>
    </row>
    <row r="557" spans="2:39">
      <c r="B557" s="261" t="s">
        <v>841</v>
      </c>
      <c r="C557" s="261">
        <v>17732</v>
      </c>
      <c r="E557" s="261" t="s">
        <v>841</v>
      </c>
      <c r="F557" s="261">
        <v>17657.89</v>
      </c>
      <c r="H557" s="352"/>
      <c r="I557" s="352"/>
      <c r="K557" s="352"/>
      <c r="L557" s="352"/>
      <c r="M557" s="352"/>
      <c r="N557" s="261">
        <v>553</v>
      </c>
      <c r="O557" s="262">
        <v>6261.87</v>
      </c>
      <c r="P557" s="352"/>
      <c r="Q557" s="261">
        <v>553</v>
      </c>
      <c r="R557" s="262">
        <v>2374</v>
      </c>
      <c r="S557" s="352"/>
      <c r="T557" s="261">
        <v>553</v>
      </c>
      <c r="U557" s="262">
        <v>2377</v>
      </c>
      <c r="V557" s="352"/>
      <c r="W557" s="261">
        <v>553</v>
      </c>
      <c r="X557" s="262">
        <v>4290.6000000000004</v>
      </c>
      <c r="Y557" s="352"/>
      <c r="Z557" s="261">
        <v>553</v>
      </c>
      <c r="AA557" s="262">
        <v>4328.2500000000109</v>
      </c>
      <c r="AB557" s="352"/>
      <c r="AC557" s="261">
        <v>553</v>
      </c>
      <c r="AD557" s="262">
        <v>14075.49</v>
      </c>
      <c r="AE557" s="352"/>
      <c r="AF557" s="261">
        <v>553</v>
      </c>
      <c r="AG557" s="262">
        <v>37749.599999999999</v>
      </c>
      <c r="AH557" s="352"/>
      <c r="AI557" s="261">
        <v>553</v>
      </c>
      <c r="AJ557" s="262">
        <v>15963</v>
      </c>
      <c r="AK557" s="352"/>
      <c r="AL557" s="261"/>
      <c r="AM557" s="262"/>
    </row>
    <row r="558" spans="2:39">
      <c r="B558" s="261" t="s">
        <v>842</v>
      </c>
      <c r="C558" s="261">
        <v>17763</v>
      </c>
      <c r="E558" s="261" t="s">
        <v>842</v>
      </c>
      <c r="F558" s="261">
        <v>17689.149999999998</v>
      </c>
      <c r="H558" s="352"/>
      <c r="I558" s="352"/>
      <c r="K558" s="352"/>
      <c r="L558" s="352"/>
      <c r="M558" s="352"/>
      <c r="N558" s="261">
        <v>554</v>
      </c>
      <c r="O558" s="262">
        <v>6272.97</v>
      </c>
      <c r="P558" s="352"/>
      <c r="Q558" s="261">
        <v>554</v>
      </c>
      <c r="R558" s="262">
        <v>2378</v>
      </c>
      <c r="S558" s="352"/>
      <c r="T558" s="261">
        <v>554</v>
      </c>
      <c r="U558" s="262">
        <v>2381</v>
      </c>
      <c r="V558" s="352"/>
      <c r="W558" s="261">
        <v>554</v>
      </c>
      <c r="X558" s="262">
        <v>4298.2</v>
      </c>
      <c r="Y558" s="352"/>
      <c r="Z558" s="261">
        <v>554</v>
      </c>
      <c r="AA558" s="262">
        <v>4335.7700000000114</v>
      </c>
      <c r="AB558" s="352"/>
      <c r="AC558" s="261">
        <v>554</v>
      </c>
      <c r="AD558" s="262">
        <v>14101.15</v>
      </c>
      <c r="AE558" s="352"/>
      <c r="AF558" s="261">
        <v>554</v>
      </c>
      <c r="AG558" s="262">
        <v>37818.050000000003</v>
      </c>
      <c r="AH558" s="352"/>
      <c r="AI558" s="261">
        <v>554</v>
      </c>
      <c r="AJ558" s="262">
        <v>15991</v>
      </c>
      <c r="AK558" s="352"/>
      <c r="AL558" s="261"/>
      <c r="AM558" s="262"/>
    </row>
    <row r="559" spans="2:39">
      <c r="B559" s="261" t="s">
        <v>843</v>
      </c>
      <c r="C559" s="261">
        <v>17795</v>
      </c>
      <c r="E559" s="261" t="s">
        <v>843</v>
      </c>
      <c r="F559" s="261">
        <v>17720.55</v>
      </c>
      <c r="H559" s="352"/>
      <c r="I559" s="352"/>
      <c r="K559" s="352"/>
      <c r="L559" s="352"/>
      <c r="M559" s="352"/>
      <c r="N559" s="261">
        <v>555</v>
      </c>
      <c r="O559" s="262">
        <v>6284.08</v>
      </c>
      <c r="P559" s="352"/>
      <c r="Q559" s="261">
        <v>555</v>
      </c>
      <c r="R559" s="262">
        <v>2382</v>
      </c>
      <c r="S559" s="352"/>
      <c r="T559" s="261">
        <v>555</v>
      </c>
      <c r="U559" s="262">
        <v>2386</v>
      </c>
      <c r="V559" s="352"/>
      <c r="W559" s="261">
        <v>555</v>
      </c>
      <c r="X559" s="262">
        <v>4305.7</v>
      </c>
      <c r="Y559" s="352"/>
      <c r="Z559" s="261">
        <v>555</v>
      </c>
      <c r="AA559" s="262">
        <v>4343.2800000000116</v>
      </c>
      <c r="AB559" s="352"/>
      <c r="AC559" s="261">
        <v>555</v>
      </c>
      <c r="AD559" s="262">
        <v>14126.81</v>
      </c>
      <c r="AE559" s="352"/>
      <c r="AF559" s="261">
        <v>555</v>
      </c>
      <c r="AG559" s="262">
        <v>37886.49</v>
      </c>
      <c r="AH559" s="352"/>
      <c r="AI559" s="261">
        <v>555</v>
      </c>
      <c r="AJ559" s="262">
        <v>16020</v>
      </c>
      <c r="AK559" s="352"/>
      <c r="AL559" s="261"/>
      <c r="AM559" s="262"/>
    </row>
    <row r="560" spans="2:39">
      <c r="B560" s="261" t="s">
        <v>844</v>
      </c>
      <c r="C560" s="261">
        <v>17826</v>
      </c>
      <c r="E560" s="261" t="s">
        <v>844</v>
      </c>
      <c r="F560" s="261">
        <v>17751.809999999998</v>
      </c>
      <c r="H560" s="352"/>
      <c r="I560" s="352"/>
      <c r="K560" s="352"/>
      <c r="L560" s="352"/>
      <c r="M560" s="352"/>
      <c r="N560" s="261">
        <v>556</v>
      </c>
      <c r="O560" s="262">
        <v>6295.19</v>
      </c>
      <c r="P560" s="352"/>
      <c r="Q560" s="261">
        <v>556</v>
      </c>
      <c r="R560" s="262">
        <v>2386</v>
      </c>
      <c r="S560" s="352"/>
      <c r="T560" s="261">
        <v>556</v>
      </c>
      <c r="U560" s="262">
        <v>2390</v>
      </c>
      <c r="V560" s="352"/>
      <c r="W560" s="261">
        <v>556</v>
      </c>
      <c r="X560" s="262">
        <v>4313.2</v>
      </c>
      <c r="Y560" s="352"/>
      <c r="Z560" s="261">
        <v>556</v>
      </c>
      <c r="AA560" s="262">
        <v>4350.800000000012</v>
      </c>
      <c r="AB560" s="352"/>
      <c r="AC560" s="261">
        <v>556</v>
      </c>
      <c r="AD560" s="262">
        <v>14152.48</v>
      </c>
      <c r="AE560" s="352"/>
      <c r="AF560" s="261">
        <v>556</v>
      </c>
      <c r="AG560" s="262">
        <v>37954.94</v>
      </c>
      <c r="AH560" s="352"/>
      <c r="AI560" s="261">
        <v>556</v>
      </c>
      <c r="AJ560" s="262">
        <v>16048</v>
      </c>
      <c r="AK560" s="352"/>
      <c r="AL560" s="261"/>
      <c r="AM560" s="262"/>
    </row>
    <row r="561" spans="2:39">
      <c r="B561" s="261" t="s">
        <v>845</v>
      </c>
      <c r="C561" s="261">
        <v>17858</v>
      </c>
      <c r="E561" s="261" t="s">
        <v>845</v>
      </c>
      <c r="F561" s="261">
        <v>17783.2</v>
      </c>
      <c r="H561" s="352"/>
      <c r="I561" s="352"/>
      <c r="K561" s="352"/>
      <c r="L561" s="352"/>
      <c r="M561" s="352"/>
      <c r="N561" s="261">
        <v>557</v>
      </c>
      <c r="O561" s="262">
        <v>6306.29</v>
      </c>
      <c r="P561" s="352"/>
      <c r="Q561" s="261">
        <v>557</v>
      </c>
      <c r="R561" s="262">
        <v>2390</v>
      </c>
      <c r="S561" s="352"/>
      <c r="T561" s="261">
        <v>557</v>
      </c>
      <c r="U561" s="262">
        <v>2394</v>
      </c>
      <c r="V561" s="352"/>
      <c r="W561" s="261">
        <v>557</v>
      </c>
      <c r="X561" s="262">
        <v>4320.7</v>
      </c>
      <c r="Y561" s="352"/>
      <c r="Z561" s="261">
        <v>557</v>
      </c>
      <c r="AA561" s="262">
        <v>4358.3200000000124</v>
      </c>
      <c r="AB561" s="352"/>
      <c r="AC561" s="261">
        <v>557</v>
      </c>
      <c r="AD561" s="262">
        <v>14178.14</v>
      </c>
      <c r="AE561" s="352"/>
      <c r="AF561" s="261">
        <v>557</v>
      </c>
      <c r="AG561" s="262">
        <v>38023.39</v>
      </c>
      <c r="AH561" s="352"/>
      <c r="AI561" s="261">
        <v>557</v>
      </c>
      <c r="AJ561" s="262">
        <v>16076</v>
      </c>
      <c r="AK561" s="352"/>
      <c r="AL561" s="261"/>
      <c r="AM561" s="262"/>
    </row>
    <row r="562" spans="2:39">
      <c r="B562" s="261" t="s">
        <v>846</v>
      </c>
      <c r="C562" s="261">
        <v>17889</v>
      </c>
      <c r="E562" s="261" t="s">
        <v>846</v>
      </c>
      <c r="F562" s="261">
        <v>17814.46</v>
      </c>
      <c r="H562" s="352"/>
      <c r="I562" s="352"/>
      <c r="K562" s="352"/>
      <c r="L562" s="352"/>
      <c r="M562" s="352"/>
      <c r="N562" s="261">
        <v>558</v>
      </c>
      <c r="O562" s="262">
        <v>6317.4</v>
      </c>
      <c r="P562" s="352"/>
      <c r="Q562" s="261">
        <v>558</v>
      </c>
      <c r="R562" s="262">
        <v>2394</v>
      </c>
      <c r="S562" s="352"/>
      <c r="T562" s="261">
        <v>558</v>
      </c>
      <c r="U562" s="262">
        <v>2398</v>
      </c>
      <c r="V562" s="352"/>
      <c r="W562" s="261">
        <v>558</v>
      </c>
      <c r="X562" s="262">
        <v>4328.2</v>
      </c>
      <c r="Y562" s="352"/>
      <c r="Z562" s="261">
        <v>558</v>
      </c>
      <c r="AA562" s="262">
        <v>4365.8400000000129</v>
      </c>
      <c r="AB562" s="352"/>
      <c r="AC562" s="261">
        <v>558</v>
      </c>
      <c r="AD562" s="262">
        <v>14203.8</v>
      </c>
      <c r="AE562" s="352"/>
      <c r="AF562" s="261">
        <v>558</v>
      </c>
      <c r="AG562" s="262">
        <v>38091.839999999997</v>
      </c>
      <c r="AH562" s="352"/>
      <c r="AI562" s="261">
        <v>558</v>
      </c>
      <c r="AJ562" s="262">
        <v>16105</v>
      </c>
      <c r="AK562" s="352"/>
      <c r="AL562" s="261"/>
      <c r="AM562" s="262"/>
    </row>
    <row r="563" spans="2:39">
      <c r="B563" s="261" t="s">
        <v>847</v>
      </c>
      <c r="C563" s="261">
        <v>17920</v>
      </c>
      <c r="E563" s="261" t="s">
        <v>847</v>
      </c>
      <c r="F563" s="261">
        <v>17845.87</v>
      </c>
      <c r="H563" s="352"/>
      <c r="I563" s="352"/>
      <c r="K563" s="352"/>
      <c r="L563" s="352"/>
      <c r="M563" s="352"/>
      <c r="N563" s="261">
        <v>559</v>
      </c>
      <c r="O563" s="262">
        <v>6328.5</v>
      </c>
      <c r="P563" s="352"/>
      <c r="Q563" s="261">
        <v>559</v>
      </c>
      <c r="R563" s="262">
        <v>2399</v>
      </c>
      <c r="S563" s="352"/>
      <c r="T563" s="261">
        <v>559</v>
      </c>
      <c r="U563" s="262">
        <v>2402</v>
      </c>
      <c r="V563" s="352"/>
      <c r="W563" s="261">
        <v>559</v>
      </c>
      <c r="X563" s="262">
        <v>4335.7</v>
      </c>
      <c r="Y563" s="352"/>
      <c r="Z563" s="261">
        <v>559</v>
      </c>
      <c r="AA563" s="262">
        <v>4373.3600000000133</v>
      </c>
      <c r="AB563" s="352"/>
      <c r="AC563" s="261">
        <v>559</v>
      </c>
      <c r="AD563" s="262">
        <v>14229.46</v>
      </c>
      <c r="AE563" s="352"/>
      <c r="AF563" s="261">
        <v>559</v>
      </c>
      <c r="AG563" s="262">
        <v>38160.28</v>
      </c>
      <c r="AH563" s="352"/>
      <c r="AI563" s="261">
        <v>559</v>
      </c>
      <c r="AJ563" s="262">
        <v>16133</v>
      </c>
      <c r="AK563" s="352"/>
      <c r="AL563" s="261"/>
      <c r="AM563" s="262"/>
    </row>
    <row r="564" spans="2:39">
      <c r="B564" s="261" t="s">
        <v>848</v>
      </c>
      <c r="C564" s="261">
        <v>17951</v>
      </c>
      <c r="E564" s="261" t="s">
        <v>848</v>
      </c>
      <c r="F564" s="261">
        <v>17877.129999999997</v>
      </c>
      <c r="H564" s="352"/>
      <c r="I564" s="352"/>
      <c r="K564" s="352"/>
      <c r="L564" s="352"/>
      <c r="M564" s="352"/>
      <c r="N564" s="261">
        <v>560</v>
      </c>
      <c r="O564" s="262">
        <v>6339.64</v>
      </c>
      <c r="P564" s="352"/>
      <c r="Q564" s="261">
        <v>560</v>
      </c>
      <c r="R564" s="262">
        <v>2403</v>
      </c>
      <c r="S564" s="352"/>
      <c r="T564" s="261">
        <v>560</v>
      </c>
      <c r="U564" s="262">
        <v>2406</v>
      </c>
      <c r="V564" s="352"/>
      <c r="W564" s="261">
        <v>560</v>
      </c>
      <c r="X564" s="262">
        <v>4343.2</v>
      </c>
      <c r="Y564" s="352"/>
      <c r="Z564" s="261">
        <v>560</v>
      </c>
      <c r="AA564" s="262">
        <v>4380.8700000000135</v>
      </c>
      <c r="AB564" s="352"/>
      <c r="AC564" s="261">
        <v>560</v>
      </c>
      <c r="AD564" s="262">
        <v>14255.12</v>
      </c>
      <c r="AE564" s="352"/>
      <c r="AF564" s="261">
        <v>560</v>
      </c>
      <c r="AG564" s="262">
        <v>38228.730000000003</v>
      </c>
      <c r="AH564" s="352"/>
      <c r="AI564" s="261">
        <v>560</v>
      </c>
      <c r="AJ564" s="262">
        <v>16162</v>
      </c>
      <c r="AK564" s="352"/>
      <c r="AL564" s="261"/>
      <c r="AM564" s="262"/>
    </row>
    <row r="565" spans="2:39">
      <c r="B565" s="261" t="s">
        <v>849</v>
      </c>
      <c r="C565" s="261">
        <v>17983</v>
      </c>
      <c r="E565" s="261" t="s">
        <v>849</v>
      </c>
      <c r="F565" s="261">
        <v>17908.54</v>
      </c>
      <c r="H565" s="352"/>
      <c r="I565" s="352"/>
      <c r="K565" s="352"/>
      <c r="L565" s="352"/>
      <c r="M565" s="352"/>
      <c r="N565" s="261">
        <v>561</v>
      </c>
      <c r="O565" s="262">
        <v>6350.72</v>
      </c>
      <c r="P565" s="352"/>
      <c r="Q565" s="261">
        <v>561</v>
      </c>
      <c r="R565" s="262">
        <v>2407</v>
      </c>
      <c r="S565" s="352"/>
      <c r="T565" s="261">
        <v>561</v>
      </c>
      <c r="U565" s="262">
        <v>2410</v>
      </c>
      <c r="V565" s="352"/>
      <c r="W565" s="261">
        <v>561</v>
      </c>
      <c r="X565" s="262">
        <v>4350.7</v>
      </c>
      <c r="Y565" s="352"/>
      <c r="Z565" s="261">
        <v>561</v>
      </c>
      <c r="AA565" s="262">
        <v>4388.390000000014</v>
      </c>
      <c r="AB565" s="352"/>
      <c r="AC565" s="261">
        <v>561</v>
      </c>
      <c r="AD565" s="262">
        <v>14280.79</v>
      </c>
      <c r="AE565" s="352"/>
      <c r="AF565" s="261">
        <v>561</v>
      </c>
      <c r="AG565" s="262">
        <v>38297.18</v>
      </c>
      <c r="AH565" s="352"/>
      <c r="AI565" s="261">
        <v>561</v>
      </c>
      <c r="AJ565" s="262">
        <v>16190</v>
      </c>
      <c r="AK565" s="352"/>
      <c r="AL565" s="261"/>
      <c r="AM565" s="262"/>
    </row>
    <row r="566" spans="2:39">
      <c r="B566" s="261" t="s">
        <v>850</v>
      </c>
      <c r="C566" s="261">
        <v>18014</v>
      </c>
      <c r="E566" s="261" t="s">
        <v>850</v>
      </c>
      <c r="F566" s="261">
        <v>17939.8</v>
      </c>
      <c r="H566" s="352"/>
      <c r="I566" s="352"/>
      <c r="K566" s="352"/>
      <c r="L566" s="352"/>
      <c r="M566" s="352"/>
      <c r="N566" s="261">
        <v>562</v>
      </c>
      <c r="O566" s="262">
        <v>6361.82</v>
      </c>
      <c r="P566" s="352"/>
      <c r="Q566" s="261">
        <v>562</v>
      </c>
      <c r="R566" s="262">
        <v>2411</v>
      </c>
      <c r="S566" s="352"/>
      <c r="T566" s="261">
        <v>562</v>
      </c>
      <c r="U566" s="262">
        <v>2415</v>
      </c>
      <c r="V566" s="352"/>
      <c r="W566" s="261">
        <v>562</v>
      </c>
      <c r="X566" s="262">
        <v>4358.2</v>
      </c>
      <c r="Y566" s="352"/>
      <c r="Z566" s="261">
        <v>562</v>
      </c>
      <c r="AA566" s="262">
        <v>4395.9100000000144</v>
      </c>
      <c r="AB566" s="352"/>
      <c r="AC566" s="261">
        <v>562</v>
      </c>
      <c r="AD566" s="262">
        <v>14306.45</v>
      </c>
      <c r="AE566" s="352"/>
      <c r="AF566" s="261">
        <v>562</v>
      </c>
      <c r="AG566" s="262">
        <v>38365.620000000003</v>
      </c>
      <c r="AH566" s="352"/>
      <c r="AI566" s="261">
        <v>562</v>
      </c>
      <c r="AJ566" s="262">
        <v>16218</v>
      </c>
      <c r="AK566" s="352"/>
      <c r="AL566" s="261"/>
      <c r="AM566" s="262"/>
    </row>
    <row r="567" spans="2:39">
      <c r="B567" s="261" t="s">
        <v>851</v>
      </c>
      <c r="C567" s="261">
        <v>18046</v>
      </c>
      <c r="E567" s="261" t="s">
        <v>851</v>
      </c>
      <c r="F567" s="261">
        <v>17971.2</v>
      </c>
      <c r="H567" s="352"/>
      <c r="I567" s="352"/>
      <c r="K567" s="352"/>
      <c r="L567" s="352"/>
      <c r="M567" s="352"/>
      <c r="N567" s="261">
        <v>563</v>
      </c>
      <c r="O567" s="262">
        <v>6372.93</v>
      </c>
      <c r="P567" s="352"/>
      <c r="Q567" s="261">
        <v>563</v>
      </c>
      <c r="R567" s="262">
        <v>2415</v>
      </c>
      <c r="S567" s="352"/>
      <c r="T567" s="261">
        <v>563</v>
      </c>
      <c r="U567" s="262">
        <v>2419</v>
      </c>
      <c r="V567" s="352"/>
      <c r="W567" s="261">
        <v>563</v>
      </c>
      <c r="X567" s="262">
        <v>4365.8</v>
      </c>
      <c r="Y567" s="352"/>
      <c r="Z567" s="261">
        <v>563</v>
      </c>
      <c r="AA567" s="262">
        <v>4403.4300000000148</v>
      </c>
      <c r="AB567" s="352"/>
      <c r="AC567" s="261">
        <v>563</v>
      </c>
      <c r="AD567" s="262">
        <v>14332.11</v>
      </c>
      <c r="AE567" s="352"/>
      <c r="AF567" s="261">
        <v>563</v>
      </c>
      <c r="AG567" s="262">
        <v>38434.07</v>
      </c>
      <c r="AH567" s="352"/>
      <c r="AI567" s="261">
        <v>563</v>
      </c>
      <c r="AJ567" s="262">
        <v>16247</v>
      </c>
      <c r="AK567" s="352"/>
      <c r="AL567" s="261"/>
      <c r="AM567" s="262"/>
    </row>
    <row r="568" spans="2:39">
      <c r="B568" s="261" t="s">
        <v>852</v>
      </c>
      <c r="C568" s="261">
        <v>18077</v>
      </c>
      <c r="E568" s="261" t="s">
        <v>852</v>
      </c>
      <c r="F568" s="261">
        <v>18002.46</v>
      </c>
      <c r="H568" s="352"/>
      <c r="I568" s="352"/>
      <c r="K568" s="352"/>
      <c r="L568" s="352"/>
      <c r="M568" s="352"/>
      <c r="N568" s="261">
        <v>564</v>
      </c>
      <c r="O568" s="262">
        <v>6384.03</v>
      </c>
      <c r="P568" s="352"/>
      <c r="Q568" s="261">
        <v>564</v>
      </c>
      <c r="R568" s="262">
        <v>2419</v>
      </c>
      <c r="S568" s="352"/>
      <c r="T568" s="261">
        <v>564</v>
      </c>
      <c r="U568" s="262">
        <v>2423</v>
      </c>
      <c r="V568" s="352"/>
      <c r="W568" s="261">
        <v>564</v>
      </c>
      <c r="X568" s="262">
        <v>4373.3</v>
      </c>
      <c r="Y568" s="352"/>
      <c r="Z568" s="261">
        <v>564</v>
      </c>
      <c r="AA568" s="262">
        <v>4410.9500000000153</v>
      </c>
      <c r="AB568" s="352"/>
      <c r="AC568" s="261">
        <v>564</v>
      </c>
      <c r="AD568" s="262">
        <v>14357.77</v>
      </c>
      <c r="AE568" s="352"/>
      <c r="AF568" s="261">
        <v>564</v>
      </c>
      <c r="AG568" s="262">
        <v>38502.519999999997</v>
      </c>
      <c r="AH568" s="352"/>
      <c r="AI568" s="261">
        <v>564</v>
      </c>
      <c r="AJ568" s="262">
        <v>16275</v>
      </c>
      <c r="AK568" s="352"/>
      <c r="AL568" s="261"/>
      <c r="AM568" s="262"/>
    </row>
    <row r="569" spans="2:39">
      <c r="B569" s="261" t="s">
        <v>853</v>
      </c>
      <c r="C569" s="261">
        <v>18109</v>
      </c>
      <c r="E569" s="261" t="s">
        <v>853</v>
      </c>
      <c r="F569" s="261">
        <v>18033.87</v>
      </c>
      <c r="H569" s="352"/>
      <c r="I569" s="352"/>
      <c r="K569" s="352"/>
      <c r="L569" s="352"/>
      <c r="M569" s="352"/>
      <c r="N569" s="261">
        <v>565</v>
      </c>
      <c r="O569" s="262">
        <v>6395.14</v>
      </c>
      <c r="P569" s="352"/>
      <c r="Q569" s="261">
        <v>565</v>
      </c>
      <c r="R569" s="262">
        <v>2423</v>
      </c>
      <c r="S569" s="352"/>
      <c r="T569" s="261">
        <v>565</v>
      </c>
      <c r="U569" s="262">
        <v>2427</v>
      </c>
      <c r="V569" s="352"/>
      <c r="W569" s="261">
        <v>565</v>
      </c>
      <c r="X569" s="262">
        <v>4380.8</v>
      </c>
      <c r="Y569" s="352"/>
      <c r="Z569" s="261">
        <v>565</v>
      </c>
      <c r="AA569" s="262">
        <v>4418.4600000000155</v>
      </c>
      <c r="AB569" s="352"/>
      <c r="AC569" s="261">
        <v>565</v>
      </c>
      <c r="AD569" s="262">
        <v>14383.43</v>
      </c>
      <c r="AE569" s="352"/>
      <c r="AF569" s="261">
        <v>565</v>
      </c>
      <c r="AG569" s="262">
        <v>38570.959999999999</v>
      </c>
      <c r="AH569" s="352"/>
      <c r="AI569" s="261">
        <v>565</v>
      </c>
      <c r="AJ569" s="262">
        <v>16304</v>
      </c>
      <c r="AK569" s="352"/>
      <c r="AL569" s="261"/>
      <c r="AM569" s="262"/>
    </row>
    <row r="570" spans="2:39">
      <c r="B570" s="261" t="s">
        <v>854</v>
      </c>
      <c r="C570" s="261">
        <v>18140</v>
      </c>
      <c r="E570" s="261" t="s">
        <v>854</v>
      </c>
      <c r="F570" s="261">
        <v>18065.129999999997</v>
      </c>
      <c r="H570" s="352"/>
      <c r="I570" s="352"/>
      <c r="K570" s="352"/>
      <c r="L570" s="352"/>
      <c r="M570" s="352"/>
      <c r="N570" s="261">
        <v>566</v>
      </c>
      <c r="O570" s="262">
        <v>6406.25</v>
      </c>
      <c r="P570" s="352"/>
      <c r="Q570" s="261">
        <v>566</v>
      </c>
      <c r="R570" s="262">
        <v>2427</v>
      </c>
      <c r="S570" s="352"/>
      <c r="T570" s="261">
        <v>566</v>
      </c>
      <c r="U570" s="262">
        <v>2431</v>
      </c>
      <c r="V570" s="352"/>
      <c r="W570" s="261">
        <v>566</v>
      </c>
      <c r="X570" s="262">
        <v>4388.3</v>
      </c>
      <c r="Y570" s="352"/>
      <c r="Z570" s="261">
        <v>566</v>
      </c>
      <c r="AA570" s="262">
        <v>4425.9800000000159</v>
      </c>
      <c r="AB570" s="352"/>
      <c r="AC570" s="261">
        <v>566</v>
      </c>
      <c r="AD570" s="262">
        <v>14409.1</v>
      </c>
      <c r="AE570" s="352"/>
      <c r="AF570" s="261">
        <v>566</v>
      </c>
      <c r="AG570" s="262">
        <v>38639.410000000003</v>
      </c>
      <c r="AH570" s="352"/>
      <c r="AI570" s="261">
        <v>566</v>
      </c>
      <c r="AJ570" s="262">
        <v>16332</v>
      </c>
      <c r="AK570" s="352"/>
      <c r="AL570" s="261"/>
      <c r="AM570" s="262"/>
    </row>
    <row r="571" spans="2:39">
      <c r="B571" s="261" t="s">
        <v>855</v>
      </c>
      <c r="C571" s="261">
        <v>18172</v>
      </c>
      <c r="E571" s="261" t="s">
        <v>855</v>
      </c>
      <c r="F571" s="261">
        <v>18096.52</v>
      </c>
      <c r="H571" s="352"/>
      <c r="I571" s="352"/>
      <c r="K571" s="352"/>
      <c r="L571" s="352"/>
      <c r="M571" s="352"/>
      <c r="N571" s="261">
        <v>567</v>
      </c>
      <c r="O571" s="262">
        <v>6417.35</v>
      </c>
      <c r="P571" s="352"/>
      <c r="Q571" s="261">
        <v>567</v>
      </c>
      <c r="R571" s="262">
        <v>2432</v>
      </c>
      <c r="S571" s="352"/>
      <c r="T571" s="261">
        <v>567</v>
      </c>
      <c r="U571" s="262">
        <v>2435</v>
      </c>
      <c r="V571" s="352"/>
      <c r="W571" s="261">
        <v>567</v>
      </c>
      <c r="X571" s="262">
        <v>4395.8</v>
      </c>
      <c r="Y571" s="352"/>
      <c r="Z571" s="261">
        <v>567</v>
      </c>
      <c r="AA571" s="262">
        <v>4433.5000000000164</v>
      </c>
      <c r="AB571" s="352"/>
      <c r="AC571" s="261">
        <v>567</v>
      </c>
      <c r="AD571" s="262">
        <v>14434.76</v>
      </c>
      <c r="AE571" s="352"/>
      <c r="AF571" s="261">
        <v>567</v>
      </c>
      <c r="AG571" s="262">
        <v>38707.86</v>
      </c>
      <c r="AH571" s="352"/>
      <c r="AI571" s="261">
        <v>567</v>
      </c>
      <c r="AJ571" s="262">
        <v>16360</v>
      </c>
      <c r="AK571" s="352"/>
      <c r="AL571" s="261"/>
      <c r="AM571" s="262"/>
    </row>
    <row r="572" spans="2:39">
      <c r="B572" s="261" t="s">
        <v>856</v>
      </c>
      <c r="C572" s="261">
        <v>18203</v>
      </c>
      <c r="E572" s="261" t="s">
        <v>856</v>
      </c>
      <c r="F572" s="261">
        <v>18127.78</v>
      </c>
      <c r="H572" s="352"/>
      <c r="I572" s="352"/>
      <c r="K572" s="352"/>
      <c r="L572" s="352"/>
      <c r="M572" s="352"/>
      <c r="N572" s="261">
        <v>568</v>
      </c>
      <c r="O572" s="262">
        <v>6428.46</v>
      </c>
      <c r="P572" s="352"/>
      <c r="Q572" s="261">
        <v>568</v>
      </c>
      <c r="R572" s="262">
        <v>2436</v>
      </c>
      <c r="S572" s="352"/>
      <c r="T572" s="261">
        <v>568</v>
      </c>
      <c r="U572" s="262">
        <v>2439</v>
      </c>
      <c r="V572" s="352"/>
      <c r="W572" s="261">
        <v>568</v>
      </c>
      <c r="X572" s="262">
        <v>4403.3</v>
      </c>
      <c r="Y572" s="352"/>
      <c r="Z572" s="261">
        <v>568</v>
      </c>
      <c r="AA572" s="262">
        <v>4441.0200000000168</v>
      </c>
      <c r="AB572" s="352"/>
      <c r="AC572" s="261">
        <v>568</v>
      </c>
      <c r="AD572" s="262">
        <v>14460.42</v>
      </c>
      <c r="AE572" s="352"/>
      <c r="AF572" s="261">
        <v>568</v>
      </c>
      <c r="AG572" s="262">
        <v>38776.31</v>
      </c>
      <c r="AH572" s="352"/>
      <c r="AI572" s="261">
        <v>568</v>
      </c>
      <c r="AJ572" s="262">
        <v>16389</v>
      </c>
      <c r="AK572" s="352"/>
      <c r="AL572" s="261"/>
      <c r="AM572" s="262"/>
    </row>
    <row r="573" spans="2:39">
      <c r="B573" s="261" t="s">
        <v>857</v>
      </c>
      <c r="C573" s="261">
        <v>18234</v>
      </c>
      <c r="E573" s="261" t="s">
        <v>857</v>
      </c>
      <c r="F573" s="261">
        <v>18159.189999999999</v>
      </c>
      <c r="H573" s="352"/>
      <c r="I573" s="352"/>
      <c r="K573" s="352"/>
      <c r="L573" s="352"/>
      <c r="M573" s="352"/>
      <c r="N573" s="261">
        <v>569</v>
      </c>
      <c r="O573" s="262">
        <v>6439.56</v>
      </c>
      <c r="P573" s="352"/>
      <c r="Q573" s="261">
        <v>569</v>
      </c>
      <c r="R573" s="262">
        <v>2440</v>
      </c>
      <c r="S573" s="352"/>
      <c r="T573" s="261">
        <v>569</v>
      </c>
      <c r="U573" s="262">
        <v>2443</v>
      </c>
      <c r="V573" s="352"/>
      <c r="W573" s="261">
        <v>569</v>
      </c>
      <c r="X573" s="262">
        <v>4410.8</v>
      </c>
      <c r="Y573" s="352"/>
      <c r="Z573" s="261">
        <v>569</v>
      </c>
      <c r="AA573" s="262">
        <v>4448.5400000000172</v>
      </c>
      <c r="AB573" s="352"/>
      <c r="AC573" s="261">
        <v>569</v>
      </c>
      <c r="AD573" s="262">
        <v>14486.08</v>
      </c>
      <c r="AE573" s="352"/>
      <c r="AF573" s="261">
        <v>569</v>
      </c>
      <c r="AG573" s="262">
        <v>38844.75</v>
      </c>
      <c r="AH573" s="352"/>
      <c r="AI573" s="261">
        <v>569</v>
      </c>
      <c r="AJ573" s="262">
        <v>16417</v>
      </c>
      <c r="AK573" s="352"/>
      <c r="AL573" s="261"/>
      <c r="AM573" s="262"/>
    </row>
    <row r="574" spans="2:39">
      <c r="B574" s="261" t="s">
        <v>858</v>
      </c>
      <c r="C574" s="261">
        <v>18265</v>
      </c>
      <c r="E574" s="261" t="s">
        <v>858</v>
      </c>
      <c r="F574" s="261">
        <v>18190.449999999997</v>
      </c>
      <c r="H574" s="352"/>
      <c r="I574" s="352"/>
      <c r="K574" s="352"/>
      <c r="L574" s="352"/>
      <c r="M574" s="352"/>
      <c r="N574" s="261">
        <v>570</v>
      </c>
      <c r="O574" s="262">
        <v>6450.67</v>
      </c>
      <c r="P574" s="352"/>
      <c r="Q574" s="261">
        <v>570</v>
      </c>
      <c r="R574" s="262">
        <v>2444</v>
      </c>
      <c r="S574" s="352"/>
      <c r="T574" s="261">
        <v>570</v>
      </c>
      <c r="U574" s="262">
        <v>2448</v>
      </c>
      <c r="V574" s="352"/>
      <c r="W574" s="261">
        <v>570</v>
      </c>
      <c r="X574" s="262">
        <v>4418.3</v>
      </c>
      <c r="Y574" s="352"/>
      <c r="Z574" s="261">
        <v>570</v>
      </c>
      <c r="AA574" s="262">
        <v>4456.0500000000175</v>
      </c>
      <c r="AB574" s="352"/>
      <c r="AC574" s="261">
        <v>570</v>
      </c>
      <c r="AD574" s="262">
        <v>14511.74</v>
      </c>
      <c r="AE574" s="352"/>
      <c r="AF574" s="261">
        <v>570</v>
      </c>
      <c r="AG574" s="262">
        <v>38913.199999999997</v>
      </c>
      <c r="AH574" s="352"/>
      <c r="AI574" s="261">
        <v>570</v>
      </c>
      <c r="AJ574" s="262">
        <v>16446</v>
      </c>
      <c r="AK574" s="352"/>
      <c r="AL574" s="261"/>
      <c r="AM574" s="262"/>
    </row>
    <row r="575" spans="2:39">
      <c r="B575" s="261" t="s">
        <v>859</v>
      </c>
      <c r="C575" s="261">
        <v>18297</v>
      </c>
      <c r="E575" s="261" t="s">
        <v>859</v>
      </c>
      <c r="F575" s="261">
        <v>18221.849999999999</v>
      </c>
      <c r="H575" s="352"/>
      <c r="I575" s="352"/>
      <c r="K575" s="352"/>
      <c r="L575" s="352"/>
      <c r="M575" s="352"/>
      <c r="N575" s="261">
        <v>571</v>
      </c>
      <c r="O575" s="262">
        <v>6461.78</v>
      </c>
      <c r="P575" s="352"/>
      <c r="Q575" s="261">
        <v>571</v>
      </c>
      <c r="R575" s="262">
        <v>2448</v>
      </c>
      <c r="S575" s="352"/>
      <c r="T575" s="261">
        <v>571</v>
      </c>
      <c r="U575" s="262">
        <v>2452</v>
      </c>
      <c r="V575" s="352"/>
      <c r="W575" s="261">
        <v>571</v>
      </c>
      <c r="X575" s="262">
        <v>4425.8</v>
      </c>
      <c r="Y575" s="352"/>
      <c r="Z575" s="261">
        <v>571</v>
      </c>
      <c r="AA575" s="262">
        <v>4463.5700000000179</v>
      </c>
      <c r="AB575" s="352"/>
      <c r="AC575" s="261">
        <v>571</v>
      </c>
      <c r="AD575" s="262">
        <v>14537.41</v>
      </c>
      <c r="AE575" s="352"/>
      <c r="AF575" s="261">
        <v>571</v>
      </c>
      <c r="AG575" s="262">
        <v>38981.65</v>
      </c>
      <c r="AH575" s="352"/>
      <c r="AI575" s="261">
        <v>571</v>
      </c>
      <c r="AJ575" s="262">
        <v>16474</v>
      </c>
      <c r="AK575" s="352"/>
      <c r="AL575" s="261"/>
      <c r="AM575" s="262"/>
    </row>
    <row r="576" spans="2:39">
      <c r="B576" s="261" t="s">
        <v>860</v>
      </c>
      <c r="C576" s="261">
        <v>18328</v>
      </c>
      <c r="E576" s="261" t="s">
        <v>860</v>
      </c>
      <c r="F576" s="261">
        <v>18253.109999999997</v>
      </c>
      <c r="H576" s="352"/>
      <c r="I576" s="352"/>
      <c r="K576" s="352"/>
      <c r="L576" s="352"/>
      <c r="M576" s="352"/>
      <c r="N576" s="261">
        <v>572</v>
      </c>
      <c r="O576" s="262">
        <v>6472.88</v>
      </c>
      <c r="P576" s="352"/>
      <c r="Q576" s="261">
        <v>572</v>
      </c>
      <c r="R576" s="262">
        <v>2452</v>
      </c>
      <c r="S576" s="352"/>
      <c r="T576" s="261">
        <v>572</v>
      </c>
      <c r="U576" s="262">
        <v>2456</v>
      </c>
      <c r="V576" s="352"/>
      <c r="W576" s="261">
        <v>572</v>
      </c>
      <c r="X576" s="262">
        <v>4433.3</v>
      </c>
      <c r="Y576" s="352"/>
      <c r="Z576" s="261">
        <v>572</v>
      </c>
      <c r="AA576" s="262">
        <v>4471.0900000000183</v>
      </c>
      <c r="AB576" s="352"/>
      <c r="AC576" s="261">
        <v>572</v>
      </c>
      <c r="AD576" s="262">
        <v>14563.07</v>
      </c>
      <c r="AE576" s="352"/>
      <c r="AF576" s="261">
        <v>572</v>
      </c>
      <c r="AG576" s="262">
        <v>39050.089999999997</v>
      </c>
      <c r="AH576" s="352"/>
      <c r="AI576" s="261">
        <v>572</v>
      </c>
      <c r="AJ576" s="262">
        <v>16502</v>
      </c>
      <c r="AK576" s="352"/>
      <c r="AL576" s="261"/>
      <c r="AM576" s="262"/>
    </row>
    <row r="577" spans="2:39">
      <c r="B577" s="261" t="s">
        <v>861</v>
      </c>
      <c r="C577" s="261">
        <v>18360</v>
      </c>
      <c r="E577" s="261" t="s">
        <v>861</v>
      </c>
      <c r="F577" s="261">
        <v>18284.509999999998</v>
      </c>
      <c r="H577" s="352"/>
      <c r="I577" s="352"/>
      <c r="K577" s="352"/>
      <c r="L577" s="352"/>
      <c r="M577" s="352"/>
      <c r="N577" s="261">
        <v>573</v>
      </c>
      <c r="O577" s="262">
        <v>6483.99</v>
      </c>
      <c r="P577" s="352"/>
      <c r="Q577" s="261">
        <v>573</v>
      </c>
      <c r="R577" s="262">
        <v>2456</v>
      </c>
      <c r="S577" s="352"/>
      <c r="T577" s="261">
        <v>573</v>
      </c>
      <c r="U577" s="262">
        <v>2460</v>
      </c>
      <c r="V577" s="352"/>
      <c r="W577" s="261">
        <v>573</v>
      </c>
      <c r="X577" s="262">
        <v>4440.8999999999996</v>
      </c>
      <c r="Y577" s="352"/>
      <c r="Z577" s="261">
        <v>573</v>
      </c>
      <c r="AA577" s="262">
        <v>4478.6100000000188</v>
      </c>
      <c r="AB577" s="352"/>
      <c r="AC577" s="261">
        <v>573</v>
      </c>
      <c r="AD577" s="262">
        <v>14588.73</v>
      </c>
      <c r="AE577" s="352"/>
      <c r="AF577" s="261">
        <v>573</v>
      </c>
      <c r="AG577" s="262">
        <v>39118.54</v>
      </c>
      <c r="AH577" s="352"/>
      <c r="AI577" s="261">
        <v>573</v>
      </c>
      <c r="AJ577" s="262">
        <v>16531</v>
      </c>
      <c r="AK577" s="352"/>
      <c r="AL577" s="261"/>
      <c r="AM577" s="262"/>
    </row>
    <row r="578" spans="2:39">
      <c r="B578" s="261" t="s">
        <v>862</v>
      </c>
      <c r="C578" s="261">
        <v>18391</v>
      </c>
      <c r="E578" s="261" t="s">
        <v>862</v>
      </c>
      <c r="F578" s="261">
        <v>18315.769999999997</v>
      </c>
      <c r="H578" s="352"/>
      <c r="I578" s="352"/>
      <c r="K578" s="352"/>
      <c r="L578" s="352"/>
      <c r="M578" s="352"/>
      <c r="N578" s="261">
        <v>574</v>
      </c>
      <c r="O578" s="262">
        <v>6495.09</v>
      </c>
      <c r="P578" s="352"/>
      <c r="Q578" s="261">
        <v>574</v>
      </c>
      <c r="R578" s="262">
        <v>2460</v>
      </c>
      <c r="S578" s="352"/>
      <c r="T578" s="261">
        <v>574</v>
      </c>
      <c r="U578" s="262">
        <v>2464</v>
      </c>
      <c r="V578" s="352"/>
      <c r="W578" s="261">
        <v>574</v>
      </c>
      <c r="X578" s="262">
        <v>4448.3999999999996</v>
      </c>
      <c r="Y578" s="352"/>
      <c r="Z578" s="261">
        <v>574</v>
      </c>
      <c r="AA578" s="262">
        <v>4486.1300000000192</v>
      </c>
      <c r="AB578" s="352"/>
      <c r="AC578" s="261">
        <v>574</v>
      </c>
      <c r="AD578" s="262">
        <v>14614.39</v>
      </c>
      <c r="AE578" s="352"/>
      <c r="AF578" s="261">
        <v>574</v>
      </c>
      <c r="AG578" s="262">
        <v>39186.99</v>
      </c>
      <c r="AH578" s="352"/>
      <c r="AI578" s="261">
        <v>574</v>
      </c>
      <c r="AJ578" s="262">
        <v>16559</v>
      </c>
      <c r="AK578" s="352"/>
      <c r="AL578" s="261"/>
      <c r="AM578" s="262"/>
    </row>
    <row r="579" spans="2:39">
      <c r="B579" s="261" t="s">
        <v>863</v>
      </c>
      <c r="C579" s="261">
        <v>18423</v>
      </c>
      <c r="E579" s="261" t="s">
        <v>863</v>
      </c>
      <c r="F579" s="261">
        <v>18347.18</v>
      </c>
      <c r="H579" s="352"/>
      <c r="I579" s="352"/>
      <c r="K579" s="352"/>
      <c r="L579" s="352"/>
      <c r="M579" s="352"/>
      <c r="N579" s="261">
        <v>575</v>
      </c>
      <c r="O579" s="262">
        <v>6506.2</v>
      </c>
      <c r="P579" s="352"/>
      <c r="Q579" s="261">
        <v>575</v>
      </c>
      <c r="R579" s="262">
        <v>2464</v>
      </c>
      <c r="S579" s="352"/>
      <c r="T579" s="261">
        <v>575</v>
      </c>
      <c r="U579" s="262">
        <v>2468</v>
      </c>
      <c r="V579" s="352"/>
      <c r="W579" s="261">
        <v>575</v>
      </c>
      <c r="X579" s="262">
        <v>4455.8999999999996</v>
      </c>
      <c r="Y579" s="352"/>
      <c r="Z579" s="261">
        <v>575</v>
      </c>
      <c r="AA579" s="262">
        <v>4493.6400000000194</v>
      </c>
      <c r="AB579" s="352"/>
      <c r="AC579" s="261">
        <v>575</v>
      </c>
      <c r="AD579" s="262">
        <v>14640.05</v>
      </c>
      <c r="AE579" s="352"/>
      <c r="AF579" s="261">
        <v>575</v>
      </c>
      <c r="AG579" s="262">
        <v>39255.43</v>
      </c>
      <c r="AH579" s="352"/>
      <c r="AI579" s="261">
        <v>575</v>
      </c>
      <c r="AJ579" s="262">
        <v>16588</v>
      </c>
      <c r="AK579" s="352"/>
      <c r="AL579" s="261"/>
      <c r="AM579" s="262"/>
    </row>
    <row r="580" spans="2:39">
      <c r="B580" s="261" t="s">
        <v>864</v>
      </c>
      <c r="C580" s="261">
        <v>18454</v>
      </c>
      <c r="E580" s="261" t="s">
        <v>864</v>
      </c>
      <c r="F580" s="261">
        <v>18378.439999999999</v>
      </c>
      <c r="H580" s="352"/>
      <c r="I580" s="352"/>
      <c r="K580" s="352"/>
      <c r="L580" s="352"/>
      <c r="M580" s="352"/>
      <c r="N580" s="261">
        <v>576</v>
      </c>
      <c r="O580" s="262">
        <v>6517.31</v>
      </c>
      <c r="P580" s="352"/>
      <c r="Q580" s="261">
        <v>576</v>
      </c>
      <c r="R580" s="262">
        <v>2469</v>
      </c>
      <c r="S580" s="352"/>
      <c r="T580" s="261">
        <v>576</v>
      </c>
      <c r="U580" s="262">
        <v>2472</v>
      </c>
      <c r="V580" s="352"/>
      <c r="W580" s="261">
        <v>576</v>
      </c>
      <c r="X580" s="262">
        <v>4463.3999999999996</v>
      </c>
      <c r="Y580" s="352"/>
      <c r="Z580" s="261">
        <v>576</v>
      </c>
      <c r="AA580" s="262">
        <v>4501.1600000000199</v>
      </c>
      <c r="AB580" s="352"/>
      <c r="AC580" s="261">
        <v>576</v>
      </c>
      <c r="AD580" s="262">
        <v>14665.72</v>
      </c>
      <c r="AE580" s="352"/>
      <c r="AF580" s="261">
        <v>576</v>
      </c>
      <c r="AG580" s="262">
        <v>39323.879999999997</v>
      </c>
      <c r="AH580" s="352"/>
      <c r="AI580" s="261">
        <v>576</v>
      </c>
      <c r="AJ580" s="262">
        <v>16616</v>
      </c>
      <c r="AK580" s="352"/>
      <c r="AL580" s="261"/>
      <c r="AM580" s="262"/>
    </row>
    <row r="581" spans="2:39">
      <c r="B581" s="261" t="s">
        <v>865</v>
      </c>
      <c r="C581" s="261">
        <v>18486</v>
      </c>
      <c r="E581" s="261" t="s">
        <v>865</v>
      </c>
      <c r="F581" s="261">
        <v>18409.84</v>
      </c>
      <c r="H581" s="352"/>
      <c r="I581" s="352"/>
      <c r="K581" s="352"/>
      <c r="L581" s="352"/>
      <c r="N581" s="261">
        <v>577</v>
      </c>
      <c r="O581" s="262">
        <v>6528.41</v>
      </c>
      <c r="P581" s="352"/>
      <c r="Q581" s="261">
        <v>577</v>
      </c>
      <c r="R581" s="262">
        <v>2473</v>
      </c>
      <c r="S581" s="352"/>
      <c r="T581" s="261">
        <v>577</v>
      </c>
      <c r="U581" s="262">
        <v>2477</v>
      </c>
      <c r="V581" s="352"/>
      <c r="W581" s="261">
        <v>577</v>
      </c>
      <c r="X581" s="262">
        <v>4470.8999999999996</v>
      </c>
      <c r="Y581" s="352"/>
      <c r="Z581" s="261">
        <v>577</v>
      </c>
      <c r="AA581" s="262">
        <v>4508.6800000000203</v>
      </c>
      <c r="AB581" s="352"/>
      <c r="AC581" s="261">
        <v>577</v>
      </c>
      <c r="AD581" s="262">
        <v>14691.38</v>
      </c>
      <c r="AF581" s="261">
        <v>577</v>
      </c>
      <c r="AG581" s="262">
        <v>39392.33</v>
      </c>
      <c r="AH581" s="352"/>
      <c r="AI581" s="261">
        <v>577</v>
      </c>
      <c r="AJ581" s="262">
        <v>16644</v>
      </c>
      <c r="AK581" s="352"/>
      <c r="AL581" s="261"/>
      <c r="AM581" s="262"/>
    </row>
    <row r="582" spans="2:39">
      <c r="B582" s="261" t="s">
        <v>866</v>
      </c>
      <c r="C582" s="261">
        <v>18517</v>
      </c>
      <c r="E582" s="261" t="s">
        <v>866</v>
      </c>
      <c r="F582" s="261">
        <v>18441.099999999999</v>
      </c>
      <c r="H582" s="352"/>
      <c r="I582" s="352"/>
      <c r="N582" s="261">
        <v>578</v>
      </c>
      <c r="O582" s="262">
        <v>6539.52</v>
      </c>
      <c r="Q582" s="261">
        <v>578</v>
      </c>
      <c r="R582" s="262">
        <v>2477</v>
      </c>
      <c r="T582" s="261">
        <v>578</v>
      </c>
      <c r="U582" s="262">
        <v>2481</v>
      </c>
      <c r="W582" s="261">
        <v>578</v>
      </c>
      <c r="X582" s="262">
        <v>4478.3999999999996</v>
      </c>
      <c r="Z582" s="261">
        <v>578</v>
      </c>
      <c r="AA582" s="262">
        <v>4516.2000000000207</v>
      </c>
      <c r="AC582" s="261">
        <v>578</v>
      </c>
      <c r="AD582" s="262">
        <v>14717.04</v>
      </c>
      <c r="AF582" s="261">
        <v>578</v>
      </c>
      <c r="AG582" s="262">
        <v>39460.78</v>
      </c>
      <c r="AI582" s="261">
        <v>578</v>
      </c>
      <c r="AJ582" s="262">
        <v>16673</v>
      </c>
      <c r="AL582" s="261"/>
      <c r="AM582" s="262"/>
    </row>
    <row r="583" spans="2:39">
      <c r="B583" s="261" t="s">
        <v>867</v>
      </c>
      <c r="C583" s="261">
        <v>18548</v>
      </c>
      <c r="E583" s="261" t="s">
        <v>867</v>
      </c>
      <c r="F583" s="261">
        <v>18472.509999999998</v>
      </c>
      <c r="N583" s="261">
        <v>579</v>
      </c>
      <c r="O583" s="262">
        <v>6550.63</v>
      </c>
      <c r="Q583" s="261">
        <v>579</v>
      </c>
      <c r="R583" s="262">
        <v>2481</v>
      </c>
      <c r="T583" s="261">
        <v>579</v>
      </c>
      <c r="U583" s="262">
        <v>2485</v>
      </c>
      <c r="W583" s="261">
        <v>579</v>
      </c>
      <c r="X583" s="262">
        <v>4485.8999999999996</v>
      </c>
      <c r="Z583" s="261">
        <v>579</v>
      </c>
      <c r="AA583" s="262">
        <v>4523.7200000000212</v>
      </c>
      <c r="AC583" s="261">
        <v>579</v>
      </c>
      <c r="AD583" s="262">
        <v>14742.7</v>
      </c>
      <c r="AF583" s="261">
        <v>579</v>
      </c>
      <c r="AG583" s="262">
        <v>39529.22</v>
      </c>
      <c r="AI583" s="261">
        <v>579</v>
      </c>
      <c r="AJ583" s="262">
        <v>16701</v>
      </c>
      <c r="AL583" s="261"/>
      <c r="AM583" s="262"/>
    </row>
    <row r="584" spans="2:39">
      <c r="B584" s="261" t="s">
        <v>868</v>
      </c>
      <c r="C584" s="261">
        <v>18579</v>
      </c>
      <c r="E584" s="261" t="s">
        <v>868</v>
      </c>
      <c r="F584" s="261">
        <v>18503.769999999997</v>
      </c>
      <c r="N584" s="261">
        <v>580</v>
      </c>
      <c r="O584" s="262">
        <v>6561.73</v>
      </c>
      <c r="Q584" s="261">
        <v>580</v>
      </c>
      <c r="R584" s="262">
        <v>2485</v>
      </c>
      <c r="T584" s="261">
        <v>580</v>
      </c>
      <c r="U584" s="262">
        <v>2489</v>
      </c>
      <c r="W584" s="261">
        <v>580</v>
      </c>
      <c r="X584" s="262">
        <v>4493.3999999999996</v>
      </c>
      <c r="Z584" s="261">
        <v>580</v>
      </c>
      <c r="AA584" s="262">
        <v>4531.2300000000214</v>
      </c>
      <c r="AC584" s="261">
        <v>580</v>
      </c>
      <c r="AD584" s="262">
        <v>14768.36</v>
      </c>
      <c r="AF584" s="261">
        <v>580</v>
      </c>
      <c r="AG584" s="262">
        <v>39597.67</v>
      </c>
      <c r="AI584" s="261">
        <v>580</v>
      </c>
      <c r="AJ584" s="262">
        <v>16730</v>
      </c>
      <c r="AL584" s="261"/>
      <c r="AM584" s="262"/>
    </row>
    <row r="585" spans="2:39">
      <c r="B585" s="261" t="s">
        <v>869</v>
      </c>
      <c r="C585" s="261">
        <v>18611</v>
      </c>
      <c r="E585" s="261" t="s">
        <v>869</v>
      </c>
      <c r="F585" s="261">
        <v>18535.169999999998</v>
      </c>
      <c r="N585" s="261">
        <v>581</v>
      </c>
      <c r="O585" s="262">
        <v>6572.84</v>
      </c>
      <c r="Q585" s="261">
        <v>581</v>
      </c>
      <c r="R585" s="262">
        <v>2489</v>
      </c>
      <c r="T585" s="261">
        <v>581</v>
      </c>
      <c r="U585" s="262">
        <v>2493</v>
      </c>
      <c r="W585" s="261">
        <v>581</v>
      </c>
      <c r="X585" s="262">
        <v>4500.8999999999996</v>
      </c>
      <c r="Z585" s="261">
        <v>581</v>
      </c>
      <c r="AA585" s="262">
        <v>4538.7500000000218</v>
      </c>
      <c r="AC585" s="261">
        <v>581</v>
      </c>
      <c r="AD585" s="262">
        <v>14794.03</v>
      </c>
      <c r="AF585" s="261">
        <v>581</v>
      </c>
      <c r="AG585" s="262">
        <v>39666.120000000003</v>
      </c>
      <c r="AI585" s="261">
        <v>581</v>
      </c>
      <c r="AJ585" s="262">
        <v>16758</v>
      </c>
      <c r="AL585" s="261"/>
      <c r="AM585" s="262"/>
    </row>
    <row r="586" spans="2:39">
      <c r="B586" s="261" t="s">
        <v>870</v>
      </c>
      <c r="C586" s="261">
        <v>18642</v>
      </c>
      <c r="E586" s="261" t="s">
        <v>870</v>
      </c>
      <c r="F586" s="261">
        <v>18566.429999999997</v>
      </c>
      <c r="N586" s="261">
        <v>582</v>
      </c>
      <c r="O586" s="262">
        <v>6583.94</v>
      </c>
      <c r="Q586" s="261">
        <v>582</v>
      </c>
      <c r="R586" s="262">
        <v>2493</v>
      </c>
      <c r="T586" s="261">
        <v>582</v>
      </c>
      <c r="U586" s="262">
        <v>2497</v>
      </c>
      <c r="W586" s="261">
        <v>582</v>
      </c>
      <c r="X586" s="262">
        <v>4508.3999999999996</v>
      </c>
      <c r="Z586" s="261">
        <v>582</v>
      </c>
      <c r="AA586" s="262">
        <v>4546.2700000000223</v>
      </c>
      <c r="AC586" s="261">
        <v>582</v>
      </c>
      <c r="AD586" s="262">
        <v>14819.69</v>
      </c>
      <c r="AF586" s="261">
        <v>582</v>
      </c>
      <c r="AG586" s="262">
        <v>39734.559999999998</v>
      </c>
      <c r="AI586" s="261">
        <v>582</v>
      </c>
      <c r="AJ586" s="262">
        <v>16786</v>
      </c>
      <c r="AL586" s="261"/>
      <c r="AM586" s="262"/>
    </row>
    <row r="587" spans="2:39">
      <c r="B587" s="261" t="s">
        <v>871</v>
      </c>
      <c r="C587" s="261">
        <v>18674</v>
      </c>
      <c r="E587" s="261" t="s">
        <v>871</v>
      </c>
      <c r="F587" s="261">
        <v>18597.830000000002</v>
      </c>
      <c r="N587" s="261">
        <v>583</v>
      </c>
      <c r="O587" s="262">
        <v>6595.05</v>
      </c>
      <c r="Q587" s="261">
        <v>583</v>
      </c>
      <c r="R587" s="262">
        <v>2497</v>
      </c>
      <c r="T587" s="261">
        <v>583</v>
      </c>
      <c r="U587" s="262">
        <v>2501</v>
      </c>
      <c r="W587" s="261">
        <v>583</v>
      </c>
      <c r="X587" s="262">
        <v>4516</v>
      </c>
      <c r="Z587" s="261">
        <v>583</v>
      </c>
      <c r="AA587" s="262">
        <v>4553.7900000000227</v>
      </c>
      <c r="AC587" s="261">
        <v>583</v>
      </c>
      <c r="AD587" s="262">
        <v>14845.35</v>
      </c>
      <c r="AF587" s="261">
        <v>583</v>
      </c>
      <c r="AG587" s="262">
        <v>39803.01</v>
      </c>
      <c r="AI587" s="261">
        <v>583</v>
      </c>
      <c r="AJ587" s="262">
        <v>16815</v>
      </c>
      <c r="AL587" s="261"/>
      <c r="AM587" s="262"/>
    </row>
    <row r="588" spans="2:39">
      <c r="B588" s="261" t="s">
        <v>872</v>
      </c>
      <c r="C588" s="261">
        <v>18705</v>
      </c>
      <c r="E588" s="261" t="s">
        <v>872</v>
      </c>
      <c r="F588" s="261">
        <v>18629.09</v>
      </c>
      <c r="N588" s="261">
        <v>584</v>
      </c>
      <c r="O588" s="262">
        <v>6606.16</v>
      </c>
      <c r="Q588" s="261">
        <v>584</v>
      </c>
      <c r="R588" s="262">
        <v>2502</v>
      </c>
      <c r="T588" s="261">
        <v>584</v>
      </c>
      <c r="U588" s="262">
        <v>2506</v>
      </c>
      <c r="W588" s="261">
        <v>584</v>
      </c>
      <c r="X588" s="262">
        <v>4523.5</v>
      </c>
      <c r="Z588" s="261">
        <v>584</v>
      </c>
      <c r="AA588" s="262">
        <v>4561.3100000000231</v>
      </c>
      <c r="AC588" s="261">
        <v>584</v>
      </c>
      <c r="AD588" s="262">
        <v>14871.01</v>
      </c>
      <c r="AF588" s="261">
        <v>584</v>
      </c>
      <c r="AG588" s="262">
        <v>39871.46</v>
      </c>
      <c r="AI588" s="261">
        <v>584</v>
      </c>
      <c r="AJ588" s="262">
        <v>16843</v>
      </c>
      <c r="AL588" s="261"/>
      <c r="AM588" s="262"/>
    </row>
    <row r="589" spans="2:39">
      <c r="B589" s="261" t="s">
        <v>873</v>
      </c>
      <c r="C589" s="261">
        <v>18737</v>
      </c>
      <c r="E589" s="261" t="s">
        <v>873</v>
      </c>
      <c r="F589" s="261">
        <v>18660.5</v>
      </c>
      <c r="N589" s="261">
        <v>585</v>
      </c>
      <c r="O589" s="262">
        <v>6617.26</v>
      </c>
      <c r="Q589" s="261">
        <v>585</v>
      </c>
      <c r="R589" s="262">
        <v>2506</v>
      </c>
      <c r="T589" s="261">
        <v>585</v>
      </c>
      <c r="U589" s="262">
        <v>2510</v>
      </c>
      <c r="W589" s="261">
        <v>585</v>
      </c>
      <c r="X589" s="262">
        <v>4531</v>
      </c>
      <c r="Z589" s="261">
        <v>585</v>
      </c>
      <c r="AA589" s="262">
        <v>4568.8200000000234</v>
      </c>
      <c r="AC589" s="261">
        <v>585</v>
      </c>
      <c r="AD589" s="262">
        <v>14896.67</v>
      </c>
      <c r="AF589" s="261">
        <v>585</v>
      </c>
      <c r="AG589" s="262">
        <v>39939.9</v>
      </c>
      <c r="AI589" s="261">
        <v>585</v>
      </c>
      <c r="AJ589" s="262">
        <v>16872</v>
      </c>
      <c r="AL589" s="261"/>
      <c r="AM589" s="262"/>
    </row>
    <row r="590" spans="2:39">
      <c r="B590" s="261" t="s">
        <v>874</v>
      </c>
      <c r="C590" s="261">
        <v>18768</v>
      </c>
      <c r="E590" s="261" t="s">
        <v>874</v>
      </c>
      <c r="F590" s="261">
        <v>18691.759999999998</v>
      </c>
      <c r="N590" s="261">
        <v>586</v>
      </c>
      <c r="O590" s="262">
        <v>6628.37</v>
      </c>
      <c r="Q590" s="261">
        <v>586</v>
      </c>
      <c r="R590" s="262">
        <v>2510</v>
      </c>
      <c r="T590" s="261">
        <v>586</v>
      </c>
      <c r="U590" s="262">
        <v>2514</v>
      </c>
      <c r="W590" s="261">
        <v>586</v>
      </c>
      <c r="X590" s="262">
        <v>4538.5</v>
      </c>
      <c r="Z590" s="261">
        <v>586</v>
      </c>
      <c r="AA590" s="262">
        <v>4576.3400000000238</v>
      </c>
      <c r="AC590" s="261">
        <v>586</v>
      </c>
      <c r="AD590" s="262">
        <v>14922.34</v>
      </c>
      <c r="AF590" s="261">
        <v>586</v>
      </c>
      <c r="AG590" s="262">
        <v>40008.35</v>
      </c>
      <c r="AI590" s="261">
        <v>586</v>
      </c>
      <c r="AJ590" s="262">
        <v>16900</v>
      </c>
      <c r="AL590" s="261"/>
      <c r="AM590" s="262"/>
    </row>
    <row r="591" spans="2:39">
      <c r="B591" s="261" t="s">
        <v>875</v>
      </c>
      <c r="C591" s="261">
        <v>18800</v>
      </c>
      <c r="E591" s="261" t="s">
        <v>875</v>
      </c>
      <c r="F591" s="261">
        <v>18723.16</v>
      </c>
      <c r="N591" s="261">
        <v>587</v>
      </c>
      <c r="O591" s="262">
        <v>6639</v>
      </c>
      <c r="Q591" s="261">
        <v>587</v>
      </c>
      <c r="R591" s="262">
        <v>2514</v>
      </c>
      <c r="T591" s="261">
        <v>587</v>
      </c>
      <c r="U591" s="262">
        <v>2518</v>
      </c>
      <c r="W591" s="261">
        <v>587</v>
      </c>
      <c r="X591" s="262">
        <v>4546</v>
      </c>
      <c r="Z591" s="261">
        <v>587</v>
      </c>
      <c r="AA591" s="262">
        <v>4583.8600000000242</v>
      </c>
      <c r="AC591" s="261">
        <v>587</v>
      </c>
      <c r="AD591" s="262">
        <v>14948</v>
      </c>
      <c r="AF591" s="261">
        <v>587</v>
      </c>
      <c r="AG591" s="262">
        <v>40076.800000000003</v>
      </c>
      <c r="AI591" s="261">
        <v>587</v>
      </c>
      <c r="AJ591" s="262">
        <v>16928</v>
      </c>
      <c r="AL591" s="261"/>
      <c r="AM591" s="262"/>
    </row>
    <row r="592" spans="2:39">
      <c r="B592" s="261" t="s">
        <v>876</v>
      </c>
      <c r="C592" s="261">
        <v>18831</v>
      </c>
      <c r="E592" s="261" t="s">
        <v>876</v>
      </c>
      <c r="F592" s="261">
        <v>18754.419999999998</v>
      </c>
      <c r="N592" s="261">
        <v>588</v>
      </c>
      <c r="O592" s="262">
        <v>6650.58</v>
      </c>
      <c r="Q592" s="261">
        <v>588</v>
      </c>
      <c r="R592" s="262">
        <v>2518</v>
      </c>
      <c r="T592" s="261">
        <v>588</v>
      </c>
      <c r="U592" s="262">
        <v>2522</v>
      </c>
      <c r="W592" s="261">
        <v>588</v>
      </c>
      <c r="X592" s="262">
        <v>4553.5</v>
      </c>
      <c r="Z592" s="261">
        <v>588</v>
      </c>
      <c r="AA592" s="262">
        <v>4591.3800000000247</v>
      </c>
      <c r="AC592" s="261">
        <v>588</v>
      </c>
      <c r="AD592" s="262">
        <v>14973.66</v>
      </c>
      <c r="AF592" s="261">
        <v>588</v>
      </c>
      <c r="AG592" s="262">
        <v>40145.25</v>
      </c>
      <c r="AI592" s="261">
        <v>588</v>
      </c>
      <c r="AJ592" s="262">
        <v>16957</v>
      </c>
      <c r="AL592" s="261"/>
      <c r="AM592" s="262"/>
    </row>
    <row r="593" spans="2:39">
      <c r="B593" s="261" t="s">
        <v>877</v>
      </c>
      <c r="C593" s="261">
        <v>18863</v>
      </c>
      <c r="E593" s="261" t="s">
        <v>877</v>
      </c>
      <c r="F593" s="261">
        <v>18785.82</v>
      </c>
      <c r="N593" s="261">
        <v>589</v>
      </c>
      <c r="O593" s="262">
        <v>6661.69</v>
      </c>
      <c r="Q593" s="261">
        <v>589</v>
      </c>
      <c r="R593" s="262">
        <v>2522</v>
      </c>
      <c r="T593" s="261">
        <v>589</v>
      </c>
      <c r="U593" s="262">
        <v>2526</v>
      </c>
      <c r="W593" s="261">
        <v>589</v>
      </c>
      <c r="X593" s="262">
        <v>4561</v>
      </c>
      <c r="Z593" s="261">
        <v>589</v>
      </c>
      <c r="AA593" s="262">
        <v>4598.8900000000003</v>
      </c>
      <c r="AC593" s="261">
        <v>589</v>
      </c>
      <c r="AD593" s="262">
        <v>14999.32</v>
      </c>
      <c r="AF593" s="261">
        <v>589</v>
      </c>
      <c r="AG593" s="262">
        <v>40213.69</v>
      </c>
      <c r="AI593" s="261">
        <v>589</v>
      </c>
      <c r="AJ593" s="262">
        <v>16985</v>
      </c>
      <c r="AL593" s="261"/>
      <c r="AM593" s="262"/>
    </row>
    <row r="594" spans="2:39">
      <c r="B594" s="261" t="s">
        <v>878</v>
      </c>
      <c r="C594" s="261">
        <v>18894</v>
      </c>
      <c r="E594" s="261" t="s">
        <v>878</v>
      </c>
      <c r="F594" s="261">
        <v>18817.079999999998</v>
      </c>
      <c r="N594" s="261">
        <v>590</v>
      </c>
      <c r="O594" s="262">
        <v>6672.79</v>
      </c>
      <c r="Q594" s="261">
        <v>590</v>
      </c>
      <c r="R594" s="262">
        <v>2526</v>
      </c>
      <c r="T594" s="261">
        <v>590</v>
      </c>
      <c r="U594" s="262">
        <v>2530</v>
      </c>
      <c r="W594" s="261">
        <v>590</v>
      </c>
      <c r="X594" s="262">
        <v>4568.5</v>
      </c>
      <c r="Z594" s="261">
        <v>590</v>
      </c>
      <c r="AA594" s="262">
        <v>4606.41</v>
      </c>
      <c r="AC594" s="261">
        <v>590</v>
      </c>
      <c r="AD594" s="262">
        <v>15025.02</v>
      </c>
      <c r="AF594" s="261">
        <v>590</v>
      </c>
      <c r="AG594" s="262">
        <v>40282.14</v>
      </c>
      <c r="AI594" s="261">
        <v>590</v>
      </c>
      <c r="AJ594" s="262">
        <v>17014</v>
      </c>
      <c r="AL594" s="261"/>
      <c r="AM594" s="262"/>
    </row>
    <row r="595" spans="2:39">
      <c r="B595" s="261" t="s">
        <v>879</v>
      </c>
      <c r="C595" s="261">
        <v>18925</v>
      </c>
      <c r="E595" s="261" t="s">
        <v>879</v>
      </c>
      <c r="F595" s="261">
        <v>18848.48</v>
      </c>
      <c r="N595" s="261">
        <v>591</v>
      </c>
      <c r="O595" s="262">
        <v>6683.9</v>
      </c>
      <c r="Q595" s="261">
        <v>591</v>
      </c>
      <c r="R595" s="262">
        <v>2530</v>
      </c>
      <c r="T595" s="261">
        <v>591</v>
      </c>
      <c r="U595" s="262">
        <v>2534</v>
      </c>
      <c r="W595" s="261">
        <v>591</v>
      </c>
      <c r="X595" s="262">
        <v>4576</v>
      </c>
      <c r="Z595" s="261">
        <v>591</v>
      </c>
      <c r="AA595" s="262">
        <v>4613.92</v>
      </c>
      <c r="AC595" s="261">
        <v>591</v>
      </c>
      <c r="AD595" s="262">
        <v>15050.71</v>
      </c>
      <c r="AF595" s="261">
        <v>591</v>
      </c>
      <c r="AG595" s="262">
        <v>40350.589999999997</v>
      </c>
      <c r="AI595" s="261">
        <v>591</v>
      </c>
      <c r="AJ595" s="262">
        <v>17042</v>
      </c>
      <c r="AL595" s="261"/>
      <c r="AM595" s="262"/>
    </row>
    <row r="596" spans="2:39">
      <c r="B596" s="261" t="s">
        <v>880</v>
      </c>
      <c r="C596" s="261">
        <v>18956</v>
      </c>
      <c r="E596" s="261" t="s">
        <v>880</v>
      </c>
      <c r="F596" s="261">
        <v>18879.739999999998</v>
      </c>
      <c r="N596" s="261">
        <v>592</v>
      </c>
      <c r="O596" s="262">
        <v>6695</v>
      </c>
      <c r="Q596" s="261">
        <v>592</v>
      </c>
      <c r="R596" s="262">
        <v>2535</v>
      </c>
      <c r="T596" s="261">
        <v>592</v>
      </c>
      <c r="U596" s="262">
        <v>2539</v>
      </c>
      <c r="W596" s="261">
        <v>592</v>
      </c>
      <c r="X596" s="262">
        <v>4583.5</v>
      </c>
      <c r="Z596" s="261">
        <v>592</v>
      </c>
      <c r="AA596" s="262">
        <v>4621.45</v>
      </c>
      <c r="AC596" s="261">
        <v>592</v>
      </c>
      <c r="AD596" s="262">
        <v>15076.41</v>
      </c>
      <c r="AF596" s="261">
        <v>592</v>
      </c>
      <c r="AG596" s="262">
        <v>40419.03</v>
      </c>
      <c r="AI596" s="261">
        <v>592</v>
      </c>
      <c r="AJ596" s="262">
        <v>17070</v>
      </c>
      <c r="AL596" s="261"/>
      <c r="AM596" s="262"/>
    </row>
    <row r="597" spans="2:39">
      <c r="B597" s="261" t="s">
        <v>881</v>
      </c>
      <c r="C597" s="261">
        <v>18988</v>
      </c>
      <c r="E597" s="261" t="s">
        <v>881</v>
      </c>
      <c r="F597" s="261">
        <v>18911.150000000001</v>
      </c>
      <c r="N597" s="261">
        <v>593</v>
      </c>
      <c r="O597" s="262">
        <v>6706.11</v>
      </c>
      <c r="Q597" s="261">
        <v>593</v>
      </c>
      <c r="R597" s="262">
        <v>2539</v>
      </c>
      <c r="T597" s="261">
        <v>593</v>
      </c>
      <c r="U597" s="262">
        <v>2543</v>
      </c>
      <c r="W597" s="261">
        <v>593</v>
      </c>
      <c r="X597" s="262">
        <v>4591</v>
      </c>
      <c r="Z597" s="261">
        <v>593</v>
      </c>
      <c r="AA597" s="262">
        <v>4628.97</v>
      </c>
      <c r="AC597" s="261">
        <v>593</v>
      </c>
      <c r="AD597" s="262">
        <v>15102.11</v>
      </c>
      <c r="AF597" s="261">
        <v>593</v>
      </c>
      <c r="AG597" s="262">
        <v>40487.480000000003</v>
      </c>
      <c r="AI597" s="261">
        <v>593</v>
      </c>
      <c r="AJ597" s="262">
        <v>17099</v>
      </c>
      <c r="AL597" s="261"/>
      <c r="AM597" s="262"/>
    </row>
    <row r="598" spans="2:39">
      <c r="B598" s="261" t="s">
        <v>882</v>
      </c>
      <c r="C598" s="261">
        <v>19019</v>
      </c>
      <c r="E598" s="261" t="s">
        <v>882</v>
      </c>
      <c r="F598" s="261">
        <v>18942.41</v>
      </c>
      <c r="N598" s="261">
        <v>594</v>
      </c>
      <c r="O598" s="262">
        <v>6717.22</v>
      </c>
      <c r="Q598" s="261">
        <v>594</v>
      </c>
      <c r="R598" s="262">
        <v>2543</v>
      </c>
      <c r="T598" s="261">
        <v>594</v>
      </c>
      <c r="U598" s="262">
        <v>2547</v>
      </c>
      <c r="W598" s="261">
        <v>594</v>
      </c>
      <c r="X598" s="262">
        <v>4598.6000000000004</v>
      </c>
      <c r="Z598" s="261">
        <v>594</v>
      </c>
      <c r="AA598" s="262">
        <v>4636.4799999999996</v>
      </c>
      <c r="AC598" s="261">
        <v>594</v>
      </c>
      <c r="AD598" s="262">
        <v>15127.8</v>
      </c>
      <c r="AF598" s="261">
        <v>594</v>
      </c>
      <c r="AG598" s="262">
        <v>40555.93</v>
      </c>
      <c r="AI598" s="261">
        <v>594</v>
      </c>
      <c r="AJ598" s="262">
        <v>17127</v>
      </c>
      <c r="AL598" s="261"/>
      <c r="AM598" s="262"/>
    </row>
    <row r="599" spans="2:39">
      <c r="B599" s="261" t="s">
        <v>883</v>
      </c>
      <c r="C599" s="261">
        <v>19051</v>
      </c>
      <c r="E599" s="261" t="s">
        <v>883</v>
      </c>
      <c r="F599" s="261">
        <v>18973.82</v>
      </c>
      <c r="N599" s="261">
        <v>595</v>
      </c>
      <c r="O599" s="262">
        <v>6728.32</v>
      </c>
      <c r="Q599" s="261">
        <v>595</v>
      </c>
      <c r="R599" s="262">
        <v>2547</v>
      </c>
      <c r="T599" s="261">
        <v>595</v>
      </c>
      <c r="U599" s="262">
        <v>2551</v>
      </c>
      <c r="W599" s="261">
        <v>595</v>
      </c>
      <c r="X599" s="262">
        <v>4606.1000000000004</v>
      </c>
      <c r="Z599" s="261">
        <v>595</v>
      </c>
      <c r="AA599" s="262">
        <v>4644</v>
      </c>
      <c r="AC599" s="261">
        <v>595</v>
      </c>
      <c r="AD599" s="262">
        <v>15153.5</v>
      </c>
      <c r="AF599" s="261">
        <v>595</v>
      </c>
      <c r="AG599" s="262">
        <v>40624.370000000003</v>
      </c>
      <c r="AI599" s="261">
        <v>595</v>
      </c>
      <c r="AJ599" s="262">
        <v>17156</v>
      </c>
      <c r="AL599" s="261"/>
      <c r="AM599" s="262"/>
    </row>
    <row r="600" spans="2:39">
      <c r="B600" s="261" t="s">
        <v>884</v>
      </c>
      <c r="C600" s="261">
        <v>19082</v>
      </c>
      <c r="E600" s="261" t="s">
        <v>884</v>
      </c>
      <c r="F600" s="261">
        <v>19005.079999999998</v>
      </c>
      <c r="N600" s="261">
        <v>596</v>
      </c>
      <c r="O600" s="262">
        <v>6739.43</v>
      </c>
      <c r="Q600" s="261">
        <v>596</v>
      </c>
      <c r="R600" s="262">
        <v>2551</v>
      </c>
      <c r="T600" s="261">
        <v>596</v>
      </c>
      <c r="U600" s="262">
        <v>2555</v>
      </c>
      <c r="W600" s="261">
        <v>596</v>
      </c>
      <c r="X600" s="262">
        <v>4613.6000000000004</v>
      </c>
      <c r="Z600" s="261">
        <v>596</v>
      </c>
      <c r="AA600" s="262">
        <v>4651.5200000000004</v>
      </c>
      <c r="AC600" s="261">
        <v>596</v>
      </c>
      <c r="AD600" s="262">
        <v>15179.19</v>
      </c>
      <c r="AF600" s="261">
        <v>596</v>
      </c>
      <c r="AG600" s="262">
        <v>40692.82</v>
      </c>
      <c r="AI600" s="261">
        <v>596</v>
      </c>
      <c r="AJ600" s="262">
        <v>17184</v>
      </c>
      <c r="AL600" s="261"/>
      <c r="AM600" s="262"/>
    </row>
    <row r="601" spans="2:39">
      <c r="B601" s="261" t="s">
        <v>885</v>
      </c>
      <c r="C601" s="261">
        <v>19114</v>
      </c>
      <c r="E601" s="261" t="s">
        <v>885</v>
      </c>
      <c r="F601" s="261">
        <v>19036.47</v>
      </c>
      <c r="N601" s="261">
        <v>597</v>
      </c>
      <c r="O601" s="262">
        <v>6750.53</v>
      </c>
      <c r="Q601" s="261">
        <v>597</v>
      </c>
      <c r="R601" s="262">
        <v>2555</v>
      </c>
      <c r="T601" s="261">
        <v>597</v>
      </c>
      <c r="U601" s="262">
        <v>2559</v>
      </c>
      <c r="W601" s="261">
        <v>597</v>
      </c>
      <c r="X601" s="262">
        <v>4621.1000000000004</v>
      </c>
      <c r="Z601" s="261">
        <v>597</v>
      </c>
      <c r="AA601" s="262">
        <v>4659.04</v>
      </c>
      <c r="AC601" s="261">
        <v>597</v>
      </c>
      <c r="AD601" s="262">
        <v>15204.89</v>
      </c>
      <c r="AF601" s="261">
        <v>597</v>
      </c>
      <c r="AG601" s="262">
        <v>40761.269999999997</v>
      </c>
      <c r="AI601" s="261">
        <v>597</v>
      </c>
      <c r="AJ601" s="262">
        <v>17212</v>
      </c>
      <c r="AL601" s="261"/>
      <c r="AM601" s="262"/>
    </row>
    <row r="602" spans="2:39">
      <c r="B602" s="261" t="s">
        <v>886</v>
      </c>
      <c r="C602" s="261">
        <v>19145</v>
      </c>
      <c r="E602" s="261" t="s">
        <v>886</v>
      </c>
      <c r="F602" s="261">
        <v>19067.73</v>
      </c>
      <c r="N602" s="261">
        <v>598</v>
      </c>
      <c r="O602" s="262">
        <v>6761.64</v>
      </c>
      <c r="Q602" s="261">
        <v>598</v>
      </c>
      <c r="R602" s="262">
        <v>2559</v>
      </c>
      <c r="T602" s="261">
        <v>598</v>
      </c>
      <c r="U602" s="262">
        <v>2563</v>
      </c>
      <c r="W602" s="261">
        <v>598</v>
      </c>
      <c r="X602" s="262">
        <v>4628.6000000000004</v>
      </c>
      <c r="Z602" s="261">
        <v>598</v>
      </c>
      <c r="AA602" s="262">
        <v>4666.55</v>
      </c>
      <c r="AC602" s="261">
        <v>598</v>
      </c>
      <c r="AD602" s="262">
        <v>15230.59</v>
      </c>
      <c r="AF602" s="261">
        <v>598</v>
      </c>
      <c r="AG602" s="262">
        <v>40829.72</v>
      </c>
      <c r="AI602" s="261">
        <v>598</v>
      </c>
      <c r="AJ602" s="262">
        <v>17241</v>
      </c>
      <c r="AL602" s="261"/>
      <c r="AM602" s="262"/>
    </row>
    <row r="603" spans="2:39">
      <c r="B603" s="261" t="s">
        <v>887</v>
      </c>
      <c r="C603" s="261">
        <v>19177</v>
      </c>
      <c r="E603" s="261" t="s">
        <v>887</v>
      </c>
      <c r="F603" s="261">
        <v>19099.14</v>
      </c>
      <c r="N603" s="261">
        <v>599</v>
      </c>
      <c r="O603" s="262">
        <v>6772.75</v>
      </c>
      <c r="Q603" s="261">
        <v>599</v>
      </c>
      <c r="R603" s="262">
        <v>2563</v>
      </c>
      <c r="T603" s="261">
        <v>599</v>
      </c>
      <c r="U603" s="262">
        <v>2568</v>
      </c>
      <c r="W603" s="261">
        <v>599</v>
      </c>
      <c r="X603" s="262">
        <v>4636.1000000000004</v>
      </c>
      <c r="Z603" s="261">
        <v>599</v>
      </c>
      <c r="AA603" s="262">
        <v>4674.07</v>
      </c>
      <c r="AC603" s="261">
        <v>599</v>
      </c>
      <c r="AD603" s="262">
        <v>15256.28</v>
      </c>
      <c r="AF603" s="261">
        <v>599</v>
      </c>
      <c r="AG603" s="262">
        <v>40898.160000000003</v>
      </c>
      <c r="AI603" s="261">
        <v>599</v>
      </c>
      <c r="AJ603" s="262">
        <v>17269</v>
      </c>
      <c r="AL603" s="261"/>
      <c r="AM603" s="262"/>
    </row>
    <row r="604" spans="2:39">
      <c r="B604" s="261" t="s">
        <v>888</v>
      </c>
      <c r="C604" s="261">
        <v>19208</v>
      </c>
      <c r="E604" s="261" t="s">
        <v>888</v>
      </c>
      <c r="F604" s="261">
        <v>19130.399999999998</v>
      </c>
      <c r="N604" s="261">
        <v>600</v>
      </c>
      <c r="O604" s="262">
        <v>6783.85</v>
      </c>
      <c r="Q604" s="261">
        <v>600</v>
      </c>
      <c r="R604" s="262">
        <v>2567</v>
      </c>
      <c r="T604" s="261">
        <v>600</v>
      </c>
      <c r="U604" s="262">
        <v>2572</v>
      </c>
      <c r="W604" s="261">
        <v>600</v>
      </c>
      <c r="X604" s="262">
        <v>4643.6000000000004</v>
      </c>
      <c r="Z604" s="261">
        <v>600</v>
      </c>
      <c r="AA604" s="262">
        <v>4681.59</v>
      </c>
      <c r="AC604" s="261">
        <v>600</v>
      </c>
      <c r="AD604" s="262">
        <v>15281.98</v>
      </c>
      <c r="AF604" s="261">
        <v>600</v>
      </c>
      <c r="AG604" s="262">
        <v>40966.61</v>
      </c>
      <c r="AI604" s="261">
        <v>600</v>
      </c>
      <c r="AJ604" s="262">
        <v>17298</v>
      </c>
      <c r="AL604" s="261"/>
      <c r="AM604" s="262"/>
    </row>
    <row r="605" spans="2:39">
      <c r="B605" s="261" t="s">
        <v>889</v>
      </c>
      <c r="C605" s="261">
        <v>19239</v>
      </c>
      <c r="E605" s="261" t="s">
        <v>889</v>
      </c>
      <c r="F605" s="261">
        <v>19161.810000000001</v>
      </c>
      <c r="N605" s="261">
        <v>601</v>
      </c>
      <c r="O605" s="262">
        <v>6794.96</v>
      </c>
      <c r="Q605" s="261">
        <v>601</v>
      </c>
      <c r="R605" s="262">
        <v>2572</v>
      </c>
      <c r="T605" s="261">
        <v>601</v>
      </c>
      <c r="U605" s="262">
        <v>2576</v>
      </c>
      <c r="W605" s="261">
        <v>601</v>
      </c>
      <c r="X605" s="262">
        <v>4651.1000000000004</v>
      </c>
      <c r="Z605" s="261">
        <v>601</v>
      </c>
      <c r="AA605" s="262">
        <v>4689.1000000000004</v>
      </c>
      <c r="AC605" s="261">
        <v>601</v>
      </c>
      <c r="AD605" s="262">
        <v>15307.67</v>
      </c>
      <c r="AF605" s="261">
        <v>601</v>
      </c>
      <c r="AG605" s="262">
        <v>41035.06</v>
      </c>
      <c r="AI605" s="261">
        <v>601</v>
      </c>
      <c r="AJ605" s="262">
        <v>17326</v>
      </c>
      <c r="AL605" s="261"/>
      <c r="AM605" s="262"/>
    </row>
    <row r="606" spans="2:39">
      <c r="B606" s="261" t="s">
        <v>890</v>
      </c>
      <c r="C606" s="261">
        <v>19270</v>
      </c>
      <c r="E606" s="261" t="s">
        <v>890</v>
      </c>
      <c r="F606" s="261">
        <v>19193.07</v>
      </c>
      <c r="N606" s="261">
        <v>602</v>
      </c>
      <c r="O606" s="262">
        <v>6806.06</v>
      </c>
      <c r="Q606" s="261">
        <v>602</v>
      </c>
      <c r="R606" s="262">
        <v>2576</v>
      </c>
      <c r="T606" s="261">
        <v>602</v>
      </c>
      <c r="U606" s="262">
        <v>2580</v>
      </c>
      <c r="W606" s="261">
        <v>602</v>
      </c>
      <c r="X606" s="262">
        <v>4658.6000000000004</v>
      </c>
      <c r="Z606" s="261">
        <v>602</v>
      </c>
      <c r="AA606" s="262">
        <v>4696.63</v>
      </c>
      <c r="AC606" s="261">
        <v>602</v>
      </c>
      <c r="AD606" s="262">
        <v>15333.37</v>
      </c>
      <c r="AF606" s="261">
        <v>602</v>
      </c>
      <c r="AG606" s="262">
        <v>41103.5</v>
      </c>
      <c r="AI606" s="261">
        <v>602</v>
      </c>
      <c r="AJ606" s="262">
        <v>17354</v>
      </c>
      <c r="AL606" s="261"/>
      <c r="AM606" s="262"/>
    </row>
    <row r="607" spans="2:39">
      <c r="B607" s="261" t="s">
        <v>891</v>
      </c>
      <c r="C607" s="261">
        <v>19302</v>
      </c>
      <c r="E607" s="261" t="s">
        <v>1247</v>
      </c>
      <c r="F607" s="261">
        <v>19224.47</v>
      </c>
      <c r="N607" s="261">
        <v>603</v>
      </c>
      <c r="O607" s="262">
        <v>6817.17</v>
      </c>
      <c r="Q607" s="261">
        <v>603</v>
      </c>
      <c r="R607" s="262">
        <v>2580</v>
      </c>
      <c r="T607" s="261">
        <v>603</v>
      </c>
      <c r="U607" s="262">
        <v>2584</v>
      </c>
      <c r="W607" s="261">
        <v>603</v>
      </c>
      <c r="X607" s="262">
        <v>4666.1000000000004</v>
      </c>
      <c r="Z607" s="261">
        <v>603</v>
      </c>
      <c r="AA607" s="262">
        <v>4704.1400000000003</v>
      </c>
      <c r="AC607" s="261">
        <v>603</v>
      </c>
      <c r="AD607" s="262">
        <v>15359.07</v>
      </c>
      <c r="AF607" s="261">
        <v>603</v>
      </c>
      <c r="AG607" s="262">
        <v>41171.949999999997</v>
      </c>
      <c r="AI607" s="261">
        <v>603</v>
      </c>
      <c r="AJ607" s="262">
        <v>17383</v>
      </c>
      <c r="AL607" s="261"/>
      <c r="AM607" s="262"/>
    </row>
    <row r="608" spans="2:39">
      <c r="B608" s="261" t="s">
        <v>892</v>
      </c>
      <c r="C608" s="261">
        <v>19333</v>
      </c>
      <c r="E608" s="261" t="s">
        <v>892</v>
      </c>
      <c r="F608" s="261">
        <v>19255.73</v>
      </c>
      <c r="N608" s="261">
        <v>604</v>
      </c>
      <c r="O608" s="262">
        <v>6828.28</v>
      </c>
      <c r="Q608" s="261">
        <v>604</v>
      </c>
      <c r="R608" s="262">
        <v>2584</v>
      </c>
      <c r="T608" s="261">
        <v>604</v>
      </c>
      <c r="U608" s="262">
        <v>2588</v>
      </c>
      <c r="W608" s="261">
        <v>604</v>
      </c>
      <c r="X608" s="262">
        <v>4673.7</v>
      </c>
      <c r="Z608" s="261">
        <v>604</v>
      </c>
      <c r="AA608" s="262">
        <v>4711.6600000000053</v>
      </c>
      <c r="AC608" s="261">
        <v>604</v>
      </c>
      <c r="AD608" s="262">
        <v>15384.76</v>
      </c>
      <c r="AF608" s="261">
        <v>604</v>
      </c>
      <c r="AG608" s="262">
        <v>41240.400000000001</v>
      </c>
      <c r="AI608" s="261">
        <v>604</v>
      </c>
      <c r="AJ608" s="262">
        <v>17411</v>
      </c>
      <c r="AL608" s="261"/>
      <c r="AM608" s="262"/>
    </row>
    <row r="609" spans="2:39">
      <c r="B609" s="261" t="s">
        <v>893</v>
      </c>
      <c r="C609" s="261">
        <v>19365</v>
      </c>
      <c r="E609" s="261" t="s">
        <v>893</v>
      </c>
      <c r="F609" s="261">
        <v>19287.14</v>
      </c>
      <c r="N609" s="261">
        <v>605</v>
      </c>
      <c r="O609" s="262">
        <v>6839.38</v>
      </c>
      <c r="Q609" s="261">
        <v>605</v>
      </c>
      <c r="R609" s="262">
        <v>2588</v>
      </c>
      <c r="T609" s="261">
        <v>605</v>
      </c>
      <c r="U609" s="262">
        <v>2592</v>
      </c>
      <c r="W609" s="261">
        <v>605</v>
      </c>
      <c r="X609" s="262">
        <v>4681.2</v>
      </c>
      <c r="Z609" s="261">
        <v>605</v>
      </c>
      <c r="AA609" s="262">
        <v>4719.1800000000103</v>
      </c>
      <c r="AC609" s="261">
        <v>605</v>
      </c>
      <c r="AD609" s="262">
        <v>15410.46</v>
      </c>
      <c r="AF609" s="261">
        <v>605</v>
      </c>
      <c r="AG609" s="262">
        <v>41308.839999999997</v>
      </c>
      <c r="AI609" s="261">
        <v>605</v>
      </c>
      <c r="AJ609" s="262">
        <v>17440</v>
      </c>
      <c r="AL609" s="261"/>
      <c r="AM609" s="262"/>
    </row>
    <row r="610" spans="2:39">
      <c r="B610" s="261" t="s">
        <v>894</v>
      </c>
      <c r="C610" s="261">
        <v>19396</v>
      </c>
      <c r="E610" s="261" t="s">
        <v>894</v>
      </c>
      <c r="F610" s="261">
        <v>19318.399999999998</v>
      </c>
      <c r="N610" s="261">
        <v>606</v>
      </c>
      <c r="O610" s="262">
        <v>6850.49</v>
      </c>
      <c r="Q610" s="261">
        <v>606</v>
      </c>
      <c r="R610" s="262">
        <v>2592</v>
      </c>
      <c r="T610" s="261">
        <v>606</v>
      </c>
      <c r="U610" s="262">
        <v>2597</v>
      </c>
      <c r="W610" s="261">
        <v>606</v>
      </c>
      <c r="X610" s="262">
        <v>4688.7</v>
      </c>
      <c r="Z610" s="261">
        <v>606</v>
      </c>
      <c r="AA610" s="262">
        <v>4726.7000000000098</v>
      </c>
      <c r="AC610" s="261">
        <v>606</v>
      </c>
      <c r="AD610" s="262">
        <v>15436.15</v>
      </c>
      <c r="AF610" s="261">
        <v>606</v>
      </c>
      <c r="AG610" s="262">
        <v>41377.29</v>
      </c>
      <c r="AI610" s="261">
        <v>606</v>
      </c>
      <c r="AJ610" s="262">
        <v>17468</v>
      </c>
      <c r="AL610" s="261"/>
      <c r="AM610" s="262"/>
    </row>
    <row r="611" spans="2:39">
      <c r="B611" s="261" t="s">
        <v>895</v>
      </c>
      <c r="C611" s="261">
        <v>19428</v>
      </c>
      <c r="E611" s="261" t="s">
        <v>895</v>
      </c>
      <c r="F611" s="261">
        <v>19349.79</v>
      </c>
      <c r="N611" s="261">
        <v>607</v>
      </c>
      <c r="O611" s="262">
        <v>6861.59</v>
      </c>
      <c r="Q611" s="261">
        <v>607</v>
      </c>
      <c r="R611" s="262">
        <v>2596</v>
      </c>
      <c r="T611" s="261">
        <v>607</v>
      </c>
      <c r="U611" s="262">
        <v>2601</v>
      </c>
      <c r="W611" s="261">
        <v>607</v>
      </c>
      <c r="X611" s="262">
        <v>4696.2</v>
      </c>
      <c r="Z611" s="261">
        <v>607</v>
      </c>
      <c r="AA611" s="262">
        <v>4734.2100000000064</v>
      </c>
      <c r="AC611" s="261">
        <v>607</v>
      </c>
      <c r="AD611" s="262">
        <v>15461.85</v>
      </c>
      <c r="AF611" s="261">
        <v>607</v>
      </c>
      <c r="AG611" s="262">
        <v>41445.74</v>
      </c>
      <c r="AI611" s="261">
        <v>607</v>
      </c>
      <c r="AJ611" s="262">
        <v>17496</v>
      </c>
      <c r="AL611" s="261"/>
      <c r="AM611" s="262"/>
    </row>
    <row r="612" spans="2:39">
      <c r="B612" s="261" t="s">
        <v>896</v>
      </c>
      <c r="C612" s="261">
        <v>19459</v>
      </c>
      <c r="E612" s="261" t="s">
        <v>896</v>
      </c>
      <c r="F612" s="261">
        <v>19381.05</v>
      </c>
      <c r="N612" s="261">
        <v>608</v>
      </c>
      <c r="O612" s="262">
        <v>6872.7</v>
      </c>
      <c r="Q612" s="261">
        <v>608</v>
      </c>
      <c r="R612" s="262">
        <v>2600</v>
      </c>
      <c r="T612" s="261">
        <v>608</v>
      </c>
      <c r="U612" s="262">
        <v>2605</v>
      </c>
      <c r="W612" s="261">
        <v>608</v>
      </c>
      <c r="X612" s="262">
        <v>4703.7</v>
      </c>
      <c r="Z612" s="261">
        <v>608</v>
      </c>
      <c r="AA612" s="262">
        <v>4741.7300000000068</v>
      </c>
      <c r="AC612" s="261">
        <v>608</v>
      </c>
      <c r="AD612" s="262">
        <v>15487.55</v>
      </c>
      <c r="AF612" s="261">
        <v>608</v>
      </c>
      <c r="AG612" s="262">
        <v>41514.19</v>
      </c>
      <c r="AI612" s="261">
        <v>608</v>
      </c>
      <c r="AJ612" s="262">
        <v>17525</v>
      </c>
      <c r="AL612" s="261"/>
      <c r="AM612" s="262"/>
    </row>
    <row r="613" spans="2:39">
      <c r="B613" s="261" t="s">
        <v>897</v>
      </c>
      <c r="C613" s="261">
        <v>19491</v>
      </c>
      <c r="E613" s="261" t="s">
        <v>897</v>
      </c>
      <c r="F613" s="261">
        <v>19412.46</v>
      </c>
      <c r="N613" s="261">
        <v>609</v>
      </c>
      <c r="O613" s="262">
        <v>6883.81</v>
      </c>
      <c r="Q613" s="261">
        <v>609</v>
      </c>
      <c r="R613" s="262">
        <v>2605</v>
      </c>
      <c r="T613" s="261">
        <v>609</v>
      </c>
      <c r="U613" s="262">
        <v>2609</v>
      </c>
      <c r="W613" s="261">
        <v>609</v>
      </c>
      <c r="X613" s="262">
        <v>4711.2</v>
      </c>
      <c r="Z613" s="261">
        <v>609</v>
      </c>
      <c r="AA613" s="262">
        <v>4749.2500000000073</v>
      </c>
      <c r="AC613" s="261">
        <v>609</v>
      </c>
      <c r="AD613" s="262">
        <v>15513.24</v>
      </c>
      <c r="AF613" s="261">
        <v>609</v>
      </c>
      <c r="AG613" s="262">
        <v>41582.629999999997</v>
      </c>
      <c r="AI613" s="261">
        <v>609</v>
      </c>
      <c r="AJ613" s="262">
        <v>17553</v>
      </c>
      <c r="AL613" s="261"/>
      <c r="AM613" s="262"/>
    </row>
    <row r="614" spans="2:39">
      <c r="B614" s="261" t="s">
        <v>898</v>
      </c>
      <c r="C614" s="261">
        <v>19522</v>
      </c>
      <c r="E614" s="261" t="s">
        <v>898</v>
      </c>
      <c r="F614" s="261">
        <v>19443.719999999998</v>
      </c>
      <c r="N614" s="261">
        <v>610</v>
      </c>
      <c r="O614" s="262">
        <v>6894.91</v>
      </c>
      <c r="Q614" s="261">
        <v>610</v>
      </c>
      <c r="R614" s="262">
        <v>2609</v>
      </c>
      <c r="T614" s="261">
        <v>610</v>
      </c>
      <c r="U614" s="262">
        <v>2613</v>
      </c>
      <c r="W614" s="261">
        <v>610</v>
      </c>
      <c r="X614" s="262">
        <v>4718.7</v>
      </c>
      <c r="Z614" s="261">
        <v>610</v>
      </c>
      <c r="AA614" s="262">
        <v>4756.7700000000104</v>
      </c>
      <c r="AC614" s="261">
        <v>610</v>
      </c>
      <c r="AD614" s="262">
        <v>15538.94</v>
      </c>
      <c r="AF614" s="261">
        <v>610</v>
      </c>
      <c r="AG614" s="262">
        <v>41651.08</v>
      </c>
      <c r="AI614" s="261">
        <v>610</v>
      </c>
      <c r="AJ614" s="262">
        <v>17582</v>
      </c>
      <c r="AL614" s="261"/>
      <c r="AM614" s="262"/>
    </row>
    <row r="615" spans="2:39">
      <c r="B615" s="261" t="s">
        <v>899</v>
      </c>
      <c r="C615" s="261">
        <v>19554</v>
      </c>
      <c r="E615" s="261" t="s">
        <v>899</v>
      </c>
      <c r="F615" s="261">
        <v>19475.12</v>
      </c>
      <c r="N615" s="261">
        <v>611</v>
      </c>
      <c r="O615" s="262">
        <v>6906.02</v>
      </c>
      <c r="Q615" s="261">
        <v>611</v>
      </c>
      <c r="R615" s="262">
        <v>2613</v>
      </c>
      <c r="T615" s="261">
        <v>611</v>
      </c>
      <c r="U615" s="262">
        <v>2617</v>
      </c>
      <c r="W615" s="261">
        <v>611</v>
      </c>
      <c r="X615" s="262">
        <v>4726.2</v>
      </c>
      <c r="Z615" s="261">
        <v>611</v>
      </c>
      <c r="AA615" s="262">
        <v>4764.29</v>
      </c>
      <c r="AC615" s="261">
        <v>611</v>
      </c>
      <c r="AD615" s="262">
        <v>15564.63</v>
      </c>
      <c r="AF615" s="261">
        <v>611</v>
      </c>
      <c r="AG615" s="262">
        <v>41719.53</v>
      </c>
      <c r="AI615" s="261">
        <v>611</v>
      </c>
      <c r="AJ615" s="262">
        <v>17610</v>
      </c>
      <c r="AL615" s="261"/>
      <c r="AM615" s="262"/>
    </row>
    <row r="616" spans="2:39">
      <c r="B616" s="261" t="s">
        <v>900</v>
      </c>
      <c r="C616" s="261">
        <v>19585</v>
      </c>
      <c r="E616" s="261" t="s">
        <v>900</v>
      </c>
      <c r="F616" s="261">
        <v>19506.379999999997</v>
      </c>
      <c r="N616" s="261">
        <v>612</v>
      </c>
      <c r="O616" s="262">
        <v>6917.12</v>
      </c>
      <c r="Q616" s="261">
        <v>612</v>
      </c>
      <c r="R616" s="262">
        <v>2617</v>
      </c>
      <c r="T616" s="261">
        <v>612</v>
      </c>
      <c r="U616" s="262">
        <v>2621</v>
      </c>
      <c r="W616" s="261">
        <v>612</v>
      </c>
      <c r="X616" s="262">
        <v>4733.7</v>
      </c>
      <c r="Z616" s="261">
        <v>612</v>
      </c>
      <c r="AA616" s="262">
        <v>4771.8000000000102</v>
      </c>
      <c r="AC616" s="261">
        <v>612</v>
      </c>
      <c r="AD616" s="262">
        <v>15590.33</v>
      </c>
      <c r="AF616" s="261">
        <v>612</v>
      </c>
      <c r="AG616" s="262">
        <v>41787.97</v>
      </c>
      <c r="AI616" s="261">
        <v>612</v>
      </c>
      <c r="AJ616" s="262">
        <v>17638</v>
      </c>
      <c r="AL616" s="261"/>
      <c r="AM616" s="262"/>
    </row>
    <row r="617" spans="2:39">
      <c r="B617" s="261" t="s">
        <v>901</v>
      </c>
      <c r="C617" s="261">
        <v>19616</v>
      </c>
      <c r="E617" s="261" t="s">
        <v>901</v>
      </c>
      <c r="F617" s="261">
        <v>19537.78</v>
      </c>
      <c r="N617" s="261">
        <v>613</v>
      </c>
      <c r="O617" s="262">
        <v>6928.23</v>
      </c>
      <c r="Q617" s="261">
        <v>613</v>
      </c>
      <c r="R617" s="262">
        <v>2621</v>
      </c>
      <c r="T617" s="261">
        <v>613</v>
      </c>
      <c r="U617" s="262">
        <v>2626</v>
      </c>
      <c r="W617" s="261">
        <v>613</v>
      </c>
      <c r="X617" s="262">
        <v>4741.2</v>
      </c>
      <c r="Z617" s="261">
        <v>613</v>
      </c>
      <c r="AA617" s="262">
        <v>4779.3200000000097</v>
      </c>
      <c r="AC617" s="261">
        <v>613</v>
      </c>
      <c r="AD617" s="262">
        <v>15616.03</v>
      </c>
      <c r="AF617" s="261">
        <v>613</v>
      </c>
      <c r="AG617" s="262">
        <v>41856.42</v>
      </c>
      <c r="AI617" s="261">
        <v>613</v>
      </c>
      <c r="AJ617" s="262">
        <v>17667</v>
      </c>
      <c r="AL617" s="261"/>
      <c r="AM617" s="262"/>
    </row>
    <row r="618" spans="2:39">
      <c r="B618" s="261" t="s">
        <v>902</v>
      </c>
      <c r="C618" s="261">
        <v>19647</v>
      </c>
      <c r="E618" s="261" t="s">
        <v>902</v>
      </c>
      <c r="F618" s="261">
        <v>19569.039999999997</v>
      </c>
      <c r="N618" s="261">
        <v>614</v>
      </c>
      <c r="O618" s="262">
        <v>6939.34</v>
      </c>
      <c r="Q618" s="261">
        <v>614</v>
      </c>
      <c r="R618" s="262">
        <v>2625</v>
      </c>
      <c r="T618" s="261">
        <v>614</v>
      </c>
      <c r="U618" s="262">
        <v>2630</v>
      </c>
      <c r="W618" s="261">
        <v>614</v>
      </c>
      <c r="X618" s="262">
        <v>4748.7</v>
      </c>
      <c r="Z618" s="261">
        <v>614</v>
      </c>
      <c r="AA618" s="262">
        <v>4786.8400000000101</v>
      </c>
      <c r="AC618" s="261">
        <v>614</v>
      </c>
      <c r="AD618" s="262">
        <v>15641.72</v>
      </c>
      <c r="AF618" s="261">
        <v>614</v>
      </c>
      <c r="AG618" s="262">
        <v>41924.870000000003</v>
      </c>
      <c r="AI618" s="261">
        <v>614</v>
      </c>
      <c r="AJ618" s="262">
        <v>17695</v>
      </c>
      <c r="AL618" s="261"/>
      <c r="AM618" s="262"/>
    </row>
    <row r="619" spans="2:39">
      <c r="B619" s="261" t="s">
        <v>903</v>
      </c>
      <c r="C619" s="261">
        <v>19679</v>
      </c>
      <c r="E619" s="261" t="s">
        <v>903</v>
      </c>
      <c r="F619" s="261">
        <v>19600.45</v>
      </c>
      <c r="N619" s="261">
        <v>615</v>
      </c>
      <c r="O619" s="262">
        <v>6950.44</v>
      </c>
      <c r="Q619" s="261">
        <v>615</v>
      </c>
      <c r="R619" s="262">
        <v>2629</v>
      </c>
      <c r="T619" s="261">
        <v>615</v>
      </c>
      <c r="U619" s="262">
        <v>2634</v>
      </c>
      <c r="W619" s="261">
        <v>615</v>
      </c>
      <c r="X619" s="262">
        <v>4756.3</v>
      </c>
      <c r="Z619" s="261">
        <v>615</v>
      </c>
      <c r="AA619" s="262">
        <v>4794.3600000000097</v>
      </c>
      <c r="AC619" s="261">
        <v>615</v>
      </c>
      <c r="AD619" s="262">
        <v>15667.42</v>
      </c>
      <c r="AF619" s="261">
        <v>615</v>
      </c>
      <c r="AG619" s="262">
        <v>41993.31</v>
      </c>
      <c r="AI619" s="261">
        <v>615</v>
      </c>
      <c r="AJ619" s="262">
        <v>17724</v>
      </c>
      <c r="AL619" s="261"/>
      <c r="AM619" s="262"/>
    </row>
    <row r="620" spans="2:39">
      <c r="B620" s="261" t="s">
        <v>904</v>
      </c>
      <c r="C620" s="261">
        <v>19710</v>
      </c>
      <c r="E620" s="261" t="s">
        <v>904</v>
      </c>
      <c r="F620" s="261">
        <v>19631.71</v>
      </c>
      <c r="N620" s="261">
        <v>616</v>
      </c>
      <c r="O620" s="262">
        <v>6961.55</v>
      </c>
      <c r="Q620" s="261">
        <v>616</v>
      </c>
      <c r="R620" s="262">
        <v>2633</v>
      </c>
      <c r="T620" s="261">
        <v>616</v>
      </c>
      <c r="U620" s="262">
        <v>2638</v>
      </c>
      <c r="W620" s="261">
        <v>616</v>
      </c>
      <c r="X620" s="262">
        <v>4763.8</v>
      </c>
      <c r="Z620" s="261">
        <v>616</v>
      </c>
      <c r="AA620" s="262">
        <v>4801.8800000000101</v>
      </c>
      <c r="AC620" s="261">
        <v>616</v>
      </c>
      <c r="AD620" s="262">
        <v>15693.11</v>
      </c>
      <c r="AF620" s="261">
        <v>616</v>
      </c>
      <c r="AG620" s="262">
        <v>42061.760000000002</v>
      </c>
      <c r="AI620" s="261">
        <v>616</v>
      </c>
      <c r="AJ620" s="262">
        <v>17752</v>
      </c>
      <c r="AL620" s="261"/>
      <c r="AM620" s="262"/>
    </row>
    <row r="621" spans="2:39">
      <c r="B621" s="261" t="s">
        <v>905</v>
      </c>
      <c r="C621" s="261">
        <v>19742</v>
      </c>
      <c r="E621" s="261" t="s">
        <v>905</v>
      </c>
      <c r="F621" s="261">
        <v>19663.11</v>
      </c>
      <c r="N621" s="261">
        <v>617</v>
      </c>
      <c r="O621" s="262">
        <v>6972.65</v>
      </c>
      <c r="Q621" s="261">
        <v>617</v>
      </c>
      <c r="R621" s="262">
        <v>2637</v>
      </c>
      <c r="T621" s="261">
        <v>617</v>
      </c>
      <c r="U621" s="262">
        <v>2642</v>
      </c>
      <c r="W621" s="261">
        <v>617</v>
      </c>
      <c r="X621" s="262">
        <v>4771.3</v>
      </c>
      <c r="Z621" s="261">
        <v>617</v>
      </c>
      <c r="AA621" s="262">
        <v>4809.3900000000103</v>
      </c>
      <c r="AC621" s="261">
        <v>617</v>
      </c>
      <c r="AD621" s="262">
        <v>15718.81</v>
      </c>
      <c r="AF621" s="261">
        <v>617</v>
      </c>
      <c r="AG621" s="262">
        <v>42130.21</v>
      </c>
      <c r="AI621" s="261">
        <v>617</v>
      </c>
      <c r="AJ621" s="262">
        <v>17780</v>
      </c>
      <c r="AL621" s="261"/>
      <c r="AM621" s="262"/>
    </row>
    <row r="622" spans="2:39">
      <c r="B622" s="261" t="s">
        <v>906</v>
      </c>
      <c r="C622" s="261">
        <v>19773</v>
      </c>
      <c r="E622" s="261" t="s">
        <v>906</v>
      </c>
      <c r="F622" s="261">
        <v>19694.37</v>
      </c>
      <c r="N622" s="261">
        <v>618</v>
      </c>
      <c r="O622" s="262">
        <v>6983.76</v>
      </c>
      <c r="Q622" s="261">
        <v>618</v>
      </c>
      <c r="R622" s="262">
        <v>2642</v>
      </c>
      <c r="T622" s="261">
        <v>618</v>
      </c>
      <c r="U622" s="262">
        <v>2646</v>
      </c>
      <c r="W622" s="261">
        <v>618</v>
      </c>
      <c r="X622" s="262">
        <v>4778.8</v>
      </c>
      <c r="Z622" s="261">
        <v>618</v>
      </c>
      <c r="AA622" s="262">
        <v>4816.9100000000108</v>
      </c>
      <c r="AC622" s="261">
        <v>618</v>
      </c>
      <c r="AD622" s="262">
        <v>15744.51</v>
      </c>
      <c r="AF622" s="261">
        <v>618</v>
      </c>
      <c r="AG622" s="262">
        <v>42198.66</v>
      </c>
      <c r="AI622" s="261">
        <v>618</v>
      </c>
      <c r="AJ622" s="262">
        <v>17809</v>
      </c>
      <c r="AL622" s="261"/>
      <c r="AM622" s="262"/>
    </row>
    <row r="623" spans="2:39">
      <c r="B623" s="261" t="s">
        <v>907</v>
      </c>
      <c r="C623" s="261">
        <v>19805</v>
      </c>
      <c r="E623" s="261" t="s">
        <v>907</v>
      </c>
      <c r="F623" s="261">
        <v>19725.78</v>
      </c>
      <c r="N623" s="261">
        <v>619</v>
      </c>
      <c r="O623" s="262">
        <v>6994.87</v>
      </c>
      <c r="Q623" s="261">
        <v>619</v>
      </c>
      <c r="R623" s="262">
        <v>2646</v>
      </c>
      <c r="T623" s="261">
        <v>619</v>
      </c>
      <c r="U623" s="262">
        <v>2650</v>
      </c>
      <c r="W623" s="261">
        <v>619</v>
      </c>
      <c r="X623" s="262">
        <v>4786.3</v>
      </c>
      <c r="Z623" s="261">
        <v>619</v>
      </c>
      <c r="AA623" s="262">
        <v>4824.4300000000112</v>
      </c>
      <c r="AC623" s="261">
        <v>619</v>
      </c>
      <c r="AD623" s="262">
        <v>15770.2</v>
      </c>
      <c r="AF623" s="261">
        <v>619</v>
      </c>
      <c r="AG623" s="262">
        <v>42267.1</v>
      </c>
      <c r="AI623" s="261">
        <v>619</v>
      </c>
      <c r="AJ623" s="262">
        <v>17837</v>
      </c>
      <c r="AL623" s="261"/>
      <c r="AM623" s="262"/>
    </row>
    <row r="624" spans="2:39">
      <c r="B624" s="261" t="s">
        <v>908</v>
      </c>
      <c r="C624" s="261">
        <v>19836</v>
      </c>
      <c r="E624" s="261" t="s">
        <v>908</v>
      </c>
      <c r="F624" s="261">
        <v>19757.039999999997</v>
      </c>
      <c r="N624" s="261">
        <v>620</v>
      </c>
      <c r="O624" s="262">
        <v>7005.97</v>
      </c>
      <c r="Q624" s="261">
        <v>620</v>
      </c>
      <c r="R624" s="262">
        <v>2650</v>
      </c>
      <c r="T624" s="261">
        <v>620</v>
      </c>
      <c r="U624" s="262">
        <v>2654</v>
      </c>
      <c r="W624" s="261">
        <v>620</v>
      </c>
      <c r="X624" s="262">
        <v>4793.8</v>
      </c>
      <c r="Z624" s="261">
        <v>620</v>
      </c>
      <c r="AA624" s="262">
        <v>4831.9500000000098</v>
      </c>
      <c r="AC624" s="261">
        <v>620</v>
      </c>
      <c r="AD624" s="262">
        <v>15795.9</v>
      </c>
      <c r="AF624" s="261">
        <v>620</v>
      </c>
      <c r="AG624" s="262">
        <v>42335.55</v>
      </c>
      <c r="AI624" s="261">
        <v>620</v>
      </c>
      <c r="AJ624" s="262">
        <v>17866</v>
      </c>
      <c r="AL624" s="261"/>
      <c r="AM624" s="262"/>
    </row>
    <row r="625" spans="2:39">
      <c r="B625" s="261" t="s">
        <v>909</v>
      </c>
      <c r="C625" s="261">
        <v>19868</v>
      </c>
      <c r="E625" s="261" t="s">
        <v>909</v>
      </c>
      <c r="F625" s="261">
        <v>19788.439999999999</v>
      </c>
      <c r="N625" s="261">
        <v>621</v>
      </c>
      <c r="O625" s="262">
        <v>7017.08</v>
      </c>
      <c r="Q625" s="261">
        <v>621</v>
      </c>
      <c r="R625" s="262">
        <v>2654</v>
      </c>
      <c r="T625" s="261">
        <v>621</v>
      </c>
      <c r="U625" s="262">
        <v>2659</v>
      </c>
      <c r="W625" s="261">
        <v>621</v>
      </c>
      <c r="X625" s="262">
        <v>4801.3</v>
      </c>
      <c r="Z625" s="261">
        <v>621</v>
      </c>
      <c r="AA625" s="262">
        <v>4839.4600000000119</v>
      </c>
      <c r="AC625" s="261">
        <v>621</v>
      </c>
      <c r="AD625" s="262">
        <v>15821.59</v>
      </c>
      <c r="AF625" s="261">
        <v>621</v>
      </c>
      <c r="AG625" s="262">
        <v>42404</v>
      </c>
      <c r="AI625" s="261">
        <v>621</v>
      </c>
      <c r="AJ625" s="262">
        <v>17894</v>
      </c>
      <c r="AL625" s="261"/>
      <c r="AM625" s="262"/>
    </row>
    <row r="626" spans="2:39">
      <c r="B626" s="261" t="s">
        <v>910</v>
      </c>
      <c r="C626" s="261">
        <v>19899</v>
      </c>
      <c r="E626" s="261" t="s">
        <v>910</v>
      </c>
      <c r="F626" s="261">
        <v>19819.699999999997</v>
      </c>
      <c r="N626" s="261">
        <v>622</v>
      </c>
      <c r="O626" s="262">
        <v>7028.19</v>
      </c>
      <c r="Q626" s="261">
        <v>622</v>
      </c>
      <c r="R626" s="262">
        <v>2658</v>
      </c>
      <c r="T626" s="261">
        <v>622</v>
      </c>
      <c r="U626" s="262">
        <v>2663</v>
      </c>
      <c r="W626" s="261">
        <v>622</v>
      </c>
      <c r="X626" s="262">
        <v>4808.8</v>
      </c>
      <c r="Z626" s="261">
        <v>622</v>
      </c>
      <c r="AA626" s="262">
        <v>4846.9800000000123</v>
      </c>
      <c r="AC626" s="261">
        <v>622</v>
      </c>
      <c r="AD626" s="262">
        <v>15847.29</v>
      </c>
      <c r="AF626" s="261">
        <v>622</v>
      </c>
      <c r="AG626" s="262">
        <v>42472.44</v>
      </c>
      <c r="AI626" s="261">
        <v>622</v>
      </c>
      <c r="AJ626" s="262">
        <v>17922</v>
      </c>
      <c r="AL626" s="261"/>
      <c r="AM626" s="262"/>
    </row>
    <row r="627" spans="2:39">
      <c r="B627" s="261" t="s">
        <v>911</v>
      </c>
      <c r="C627" s="261">
        <v>19930</v>
      </c>
      <c r="E627" s="261" t="s">
        <v>911</v>
      </c>
      <c r="F627" s="261">
        <v>19851.099999999999</v>
      </c>
      <c r="N627" s="261">
        <v>623</v>
      </c>
      <c r="O627" s="262">
        <v>7039.29</v>
      </c>
      <c r="Q627" s="261">
        <v>623</v>
      </c>
      <c r="R627" s="262">
        <v>2662</v>
      </c>
      <c r="T627" s="261">
        <v>623</v>
      </c>
      <c r="U627" s="262">
        <v>2667</v>
      </c>
      <c r="W627" s="261">
        <v>623</v>
      </c>
      <c r="X627" s="262">
        <v>4816.3</v>
      </c>
      <c r="Z627" s="261">
        <v>623</v>
      </c>
      <c r="AA627" s="262">
        <v>4854.5000000000127</v>
      </c>
      <c r="AC627" s="261">
        <v>623</v>
      </c>
      <c r="AD627" s="262">
        <v>15872.99</v>
      </c>
      <c r="AF627" s="261">
        <v>623</v>
      </c>
      <c r="AG627" s="262">
        <v>42540.89</v>
      </c>
      <c r="AI627" s="261">
        <v>623</v>
      </c>
      <c r="AJ627" s="262">
        <v>17951</v>
      </c>
      <c r="AL627" s="261"/>
      <c r="AM627" s="262"/>
    </row>
    <row r="628" spans="2:39">
      <c r="B628" s="261" t="s">
        <v>912</v>
      </c>
      <c r="C628" s="261">
        <v>19961</v>
      </c>
      <c r="E628" s="261" t="s">
        <v>912</v>
      </c>
      <c r="F628" s="261">
        <v>19882.359999999997</v>
      </c>
      <c r="N628" s="261">
        <v>624</v>
      </c>
      <c r="O628" s="262">
        <v>7050.4</v>
      </c>
      <c r="Q628" s="261">
        <v>624</v>
      </c>
      <c r="R628" s="262">
        <v>2666</v>
      </c>
      <c r="T628" s="261">
        <v>624</v>
      </c>
      <c r="U628" s="262">
        <v>2671</v>
      </c>
      <c r="W628" s="261">
        <v>624</v>
      </c>
      <c r="X628" s="262">
        <v>4823.8</v>
      </c>
      <c r="Z628" s="261">
        <v>624</v>
      </c>
      <c r="AA628" s="262">
        <v>4862.0200000000132</v>
      </c>
      <c r="AC628" s="261">
        <v>624</v>
      </c>
      <c r="AD628" s="262">
        <v>15898.68</v>
      </c>
      <c r="AF628" s="261">
        <v>624</v>
      </c>
      <c r="AG628" s="262">
        <v>42609.34</v>
      </c>
      <c r="AI628" s="261">
        <v>624</v>
      </c>
      <c r="AJ628" s="262">
        <v>17979</v>
      </c>
      <c r="AL628" s="261"/>
      <c r="AM628" s="262"/>
    </row>
    <row r="629" spans="2:39">
      <c r="B629" s="261" t="s">
        <v>913</v>
      </c>
      <c r="C629" s="261">
        <v>19993</v>
      </c>
      <c r="E629" s="261" t="s">
        <v>913</v>
      </c>
      <c r="F629" s="261">
        <v>19913.77</v>
      </c>
      <c r="N629" s="261">
        <v>625</v>
      </c>
      <c r="O629" s="262">
        <v>7061.5</v>
      </c>
      <c r="Q629" s="261">
        <v>625</v>
      </c>
      <c r="R629" s="262">
        <v>2670</v>
      </c>
      <c r="T629" s="261">
        <v>625</v>
      </c>
      <c r="U629" s="262">
        <v>2675</v>
      </c>
      <c r="W629" s="261">
        <v>625</v>
      </c>
      <c r="X629" s="262">
        <v>4831.3</v>
      </c>
      <c r="Z629" s="261">
        <v>625</v>
      </c>
      <c r="AA629" s="262">
        <v>4869.54000000001</v>
      </c>
      <c r="AC629" s="261">
        <v>625</v>
      </c>
      <c r="AD629" s="262">
        <v>15924.38</v>
      </c>
      <c r="AF629" s="261">
        <v>625</v>
      </c>
      <c r="AG629" s="262">
        <v>42677.78</v>
      </c>
      <c r="AI629" s="261">
        <v>625</v>
      </c>
      <c r="AJ629" s="262">
        <v>18007</v>
      </c>
      <c r="AL629" s="261"/>
      <c r="AM629" s="262"/>
    </row>
    <row r="630" spans="2:39">
      <c r="B630" s="261" t="s">
        <v>914</v>
      </c>
      <c r="C630" s="261">
        <v>20024</v>
      </c>
      <c r="E630" s="261" t="s">
        <v>914</v>
      </c>
      <c r="F630" s="261">
        <v>19945.03</v>
      </c>
      <c r="N630" s="261">
        <v>626</v>
      </c>
      <c r="O630" s="262">
        <v>7072.61</v>
      </c>
      <c r="Q630" s="261">
        <v>626</v>
      </c>
      <c r="R630" s="262">
        <v>2675</v>
      </c>
      <c r="T630" s="261">
        <v>626</v>
      </c>
      <c r="U630" s="262">
        <v>2679</v>
      </c>
      <c r="W630" s="261">
        <v>626</v>
      </c>
      <c r="X630" s="262">
        <v>4838.8999999999996</v>
      </c>
      <c r="Z630" s="261">
        <v>626</v>
      </c>
      <c r="AA630" s="262">
        <v>4877.05</v>
      </c>
      <c r="AC630" s="261">
        <v>626</v>
      </c>
      <c r="AD630" s="262">
        <v>15950.07</v>
      </c>
      <c r="AF630" s="261">
        <v>626</v>
      </c>
      <c r="AG630" s="262">
        <v>42746.23</v>
      </c>
      <c r="AI630" s="261">
        <v>626</v>
      </c>
      <c r="AJ630" s="262">
        <v>18036</v>
      </c>
      <c r="AL630" s="261"/>
      <c r="AM630" s="262"/>
    </row>
    <row r="631" spans="2:39">
      <c r="B631" s="261" t="s">
        <v>915</v>
      </c>
      <c r="C631" s="261">
        <v>20056</v>
      </c>
      <c r="E631" s="261" t="s">
        <v>915</v>
      </c>
      <c r="F631" s="261">
        <v>19976.43</v>
      </c>
      <c r="N631" s="261">
        <v>627</v>
      </c>
      <c r="O631" s="262">
        <v>7083.72</v>
      </c>
      <c r="Q631" s="261">
        <v>627</v>
      </c>
      <c r="R631" s="262">
        <v>2679</v>
      </c>
      <c r="T631" s="261">
        <v>627</v>
      </c>
      <c r="U631" s="262">
        <v>2683</v>
      </c>
      <c r="W631" s="261">
        <v>627</v>
      </c>
      <c r="X631" s="262">
        <v>4846.3999999999996</v>
      </c>
      <c r="Z631" s="261">
        <v>627</v>
      </c>
      <c r="AA631" s="262">
        <v>4884.57</v>
      </c>
      <c r="AC631" s="261">
        <v>627</v>
      </c>
      <c r="AD631" s="262">
        <v>15975.77</v>
      </c>
      <c r="AF631" s="261">
        <v>627</v>
      </c>
      <c r="AG631" s="262">
        <v>42814.68</v>
      </c>
      <c r="AI631" s="261">
        <v>627</v>
      </c>
      <c r="AJ631" s="262">
        <v>18064</v>
      </c>
      <c r="AL631" s="261"/>
      <c r="AM631" s="262"/>
    </row>
    <row r="632" spans="2:39">
      <c r="B632" s="261" t="s">
        <v>916</v>
      </c>
      <c r="C632" s="261">
        <v>20087</v>
      </c>
      <c r="E632" s="261" t="s">
        <v>916</v>
      </c>
      <c r="F632" s="261">
        <v>20007.689999999999</v>
      </c>
      <c r="N632" s="261">
        <v>628</v>
      </c>
      <c r="O632" s="262">
        <v>7094.82</v>
      </c>
      <c r="Q632" s="261">
        <v>628</v>
      </c>
      <c r="R632" s="262">
        <v>2683</v>
      </c>
      <c r="T632" s="261">
        <v>628</v>
      </c>
      <c r="U632" s="262">
        <v>2688</v>
      </c>
      <c r="W632" s="261">
        <v>628</v>
      </c>
      <c r="X632" s="262">
        <v>4853.8999999999996</v>
      </c>
      <c r="Z632" s="261">
        <v>628</v>
      </c>
      <c r="AA632" s="262">
        <v>4892.09</v>
      </c>
      <c r="AC632" s="261">
        <v>628</v>
      </c>
      <c r="AD632" s="262">
        <v>16001.47</v>
      </c>
      <c r="AF632" s="261">
        <v>628</v>
      </c>
      <c r="AG632" s="262">
        <v>42883.13</v>
      </c>
      <c r="AI632" s="261">
        <v>628</v>
      </c>
      <c r="AJ632" s="262">
        <v>18093</v>
      </c>
      <c r="AL632" s="261"/>
      <c r="AM632" s="262"/>
    </row>
    <row r="633" spans="2:39">
      <c r="B633" s="261" t="s">
        <v>917</v>
      </c>
      <c r="C633" s="261">
        <v>20119</v>
      </c>
      <c r="E633" s="261" t="s">
        <v>917</v>
      </c>
      <c r="F633" s="261">
        <v>20039.09</v>
      </c>
      <c r="N633" s="261">
        <v>629</v>
      </c>
      <c r="O633" s="262">
        <v>7105.93</v>
      </c>
      <c r="Q633" s="261">
        <v>629</v>
      </c>
      <c r="R633" s="262">
        <v>2687</v>
      </c>
      <c r="T633" s="261">
        <v>629</v>
      </c>
      <c r="U633" s="262">
        <v>2692</v>
      </c>
      <c r="W633" s="261">
        <v>629</v>
      </c>
      <c r="X633" s="262">
        <v>4861.3999999999996</v>
      </c>
      <c r="Z633" s="261">
        <v>629</v>
      </c>
      <c r="AA633" s="262">
        <v>4899.6099999999997</v>
      </c>
      <c r="AC633" s="261">
        <v>629</v>
      </c>
      <c r="AD633" s="262">
        <v>16027.16</v>
      </c>
      <c r="AF633" s="261">
        <v>629</v>
      </c>
      <c r="AG633" s="262">
        <v>42951.57</v>
      </c>
      <c r="AI633" s="261">
        <v>629</v>
      </c>
      <c r="AJ633" s="262">
        <v>18121</v>
      </c>
      <c r="AL633" s="261"/>
      <c r="AM633" s="262"/>
    </row>
    <row r="634" spans="2:39">
      <c r="B634" s="261" t="s">
        <v>918</v>
      </c>
      <c r="C634" s="261">
        <v>20150</v>
      </c>
      <c r="E634" s="261" t="s">
        <v>918</v>
      </c>
      <c r="F634" s="261">
        <v>20070.349999999999</v>
      </c>
      <c r="N634" s="261">
        <v>630</v>
      </c>
      <c r="O634" s="262">
        <v>7117.03</v>
      </c>
      <c r="Q634" s="261">
        <v>630</v>
      </c>
      <c r="R634" s="262">
        <v>2691</v>
      </c>
      <c r="T634" s="261">
        <v>630</v>
      </c>
      <c r="U634" s="262">
        <v>2696</v>
      </c>
      <c r="W634" s="261">
        <v>630</v>
      </c>
      <c r="X634" s="262">
        <v>4868.8999999999996</v>
      </c>
      <c r="Z634" s="261">
        <v>630</v>
      </c>
      <c r="AA634" s="262">
        <v>4907.12</v>
      </c>
      <c r="AC634" s="261">
        <v>630</v>
      </c>
      <c r="AD634" s="262">
        <v>16052.86</v>
      </c>
      <c r="AF634" s="261">
        <v>630</v>
      </c>
      <c r="AG634" s="262">
        <v>43020.02</v>
      </c>
      <c r="AI634" s="261">
        <v>630</v>
      </c>
      <c r="AJ634" s="262">
        <v>18149</v>
      </c>
      <c r="AL634" s="261"/>
      <c r="AM634" s="262"/>
    </row>
    <row r="635" spans="2:39">
      <c r="B635" s="261" t="s">
        <v>919</v>
      </c>
      <c r="C635" s="261">
        <v>20182</v>
      </c>
      <c r="E635" s="261" t="s">
        <v>919</v>
      </c>
      <c r="F635" s="261">
        <v>20101.75</v>
      </c>
      <c r="N635" s="261">
        <v>631</v>
      </c>
      <c r="O635" s="262">
        <v>7128.14</v>
      </c>
      <c r="Q635" s="261">
        <v>631</v>
      </c>
      <c r="R635" s="262">
        <v>2695</v>
      </c>
      <c r="T635" s="261">
        <v>631</v>
      </c>
      <c r="U635" s="262">
        <v>2700</v>
      </c>
      <c r="W635" s="261">
        <v>631</v>
      </c>
      <c r="X635" s="262">
        <v>4876.3999999999996</v>
      </c>
      <c r="Z635" s="261">
        <v>631</v>
      </c>
      <c r="AA635" s="262">
        <v>4914.6400000000003</v>
      </c>
      <c r="AC635" s="261">
        <v>631</v>
      </c>
      <c r="AD635" s="262">
        <v>16078.55</v>
      </c>
      <c r="AF635" s="261">
        <v>631</v>
      </c>
      <c r="AG635" s="262">
        <v>43088.47</v>
      </c>
      <c r="AI635" s="261">
        <v>631</v>
      </c>
      <c r="AJ635" s="262">
        <v>18178</v>
      </c>
      <c r="AL635" s="261"/>
      <c r="AM635" s="262"/>
    </row>
    <row r="636" spans="2:39">
      <c r="B636" s="261" t="s">
        <v>920</v>
      </c>
      <c r="C636" s="261">
        <v>20213</v>
      </c>
      <c r="E636" s="261" t="s">
        <v>920</v>
      </c>
      <c r="F636" s="261">
        <v>20133.009999999998</v>
      </c>
      <c r="N636" s="261">
        <v>632</v>
      </c>
      <c r="O636" s="262">
        <v>7139.25</v>
      </c>
      <c r="Q636" s="261">
        <v>632</v>
      </c>
      <c r="R636" s="262">
        <v>2699</v>
      </c>
      <c r="T636" s="261">
        <v>632</v>
      </c>
      <c r="U636" s="262">
        <v>2704</v>
      </c>
      <c r="W636" s="261">
        <v>632</v>
      </c>
      <c r="X636" s="262">
        <v>4883.8999999999996</v>
      </c>
      <c r="Z636" s="261">
        <v>632</v>
      </c>
      <c r="AA636" s="262">
        <v>4922.16</v>
      </c>
      <c r="AC636" s="261">
        <v>632</v>
      </c>
      <c r="AD636" s="262">
        <v>16104.25</v>
      </c>
      <c r="AF636" s="261">
        <v>632</v>
      </c>
      <c r="AG636" s="262">
        <v>43156.91</v>
      </c>
      <c r="AI636" s="261">
        <v>632</v>
      </c>
      <c r="AJ636" s="262">
        <v>18206</v>
      </c>
      <c r="AL636" s="261"/>
      <c r="AM636" s="262"/>
    </row>
    <row r="637" spans="2:39">
      <c r="B637" s="261" t="s">
        <v>921</v>
      </c>
      <c r="C637" s="261">
        <v>20245</v>
      </c>
      <c r="E637" s="261" t="s">
        <v>921</v>
      </c>
      <c r="F637" s="261">
        <v>20164.419999999998</v>
      </c>
      <c r="N637" s="261">
        <v>633</v>
      </c>
      <c r="O637" s="262">
        <v>7150.35</v>
      </c>
      <c r="Q637" s="261">
        <v>633</v>
      </c>
      <c r="R637" s="262">
        <v>2703</v>
      </c>
      <c r="T637" s="261">
        <v>633</v>
      </c>
      <c r="U637" s="262">
        <v>2708</v>
      </c>
      <c r="W637" s="261">
        <v>633</v>
      </c>
      <c r="X637" s="262">
        <v>4891.3999999999996</v>
      </c>
      <c r="Z637" s="261">
        <v>633</v>
      </c>
      <c r="AA637" s="262">
        <v>4929.68</v>
      </c>
      <c r="AC637" s="261">
        <v>633</v>
      </c>
      <c r="AD637" s="262">
        <v>16129.95</v>
      </c>
      <c r="AF637" s="261">
        <v>633</v>
      </c>
      <c r="AG637" s="262">
        <v>43225.36</v>
      </c>
      <c r="AI637" s="261">
        <v>633</v>
      </c>
      <c r="AJ637" s="262">
        <v>18235</v>
      </c>
      <c r="AL637" s="261"/>
      <c r="AM637" s="262"/>
    </row>
    <row r="638" spans="2:39">
      <c r="B638" s="261" t="s">
        <v>922</v>
      </c>
      <c r="C638" s="261">
        <v>20276</v>
      </c>
      <c r="E638" s="261" t="s">
        <v>922</v>
      </c>
      <c r="F638" s="261">
        <v>20195.679999999997</v>
      </c>
      <c r="N638" s="261">
        <v>634</v>
      </c>
      <c r="O638" s="262">
        <v>7161.46</v>
      </c>
      <c r="Q638" s="261">
        <v>634</v>
      </c>
      <c r="R638" s="262">
        <v>2707</v>
      </c>
      <c r="T638" s="261">
        <v>634</v>
      </c>
      <c r="U638" s="262">
        <v>2712</v>
      </c>
      <c r="W638" s="261">
        <v>634</v>
      </c>
      <c r="X638" s="262">
        <v>4898.8999999999996</v>
      </c>
      <c r="Z638" s="261">
        <v>634</v>
      </c>
      <c r="AA638" s="262">
        <v>4937.2</v>
      </c>
      <c r="AC638" s="261">
        <v>634</v>
      </c>
      <c r="AD638" s="262">
        <v>16155.64</v>
      </c>
      <c r="AF638" s="261">
        <v>634</v>
      </c>
      <c r="AG638" s="262">
        <v>43293.81</v>
      </c>
      <c r="AI638" s="261">
        <v>634</v>
      </c>
      <c r="AJ638" s="262">
        <v>18263</v>
      </c>
      <c r="AL638" s="261"/>
      <c r="AM638" s="262"/>
    </row>
    <row r="639" spans="2:39">
      <c r="B639" s="261" t="s">
        <v>923</v>
      </c>
      <c r="C639" s="261">
        <v>20307</v>
      </c>
      <c r="E639" s="261" t="s">
        <v>923</v>
      </c>
      <c r="F639" s="261">
        <v>20227.09</v>
      </c>
      <c r="N639" s="261">
        <v>635</v>
      </c>
      <c r="O639" s="262">
        <v>7172.56</v>
      </c>
      <c r="Q639" s="261">
        <v>635</v>
      </c>
      <c r="R639" s="262">
        <v>2712</v>
      </c>
      <c r="T639" s="261">
        <v>635</v>
      </c>
      <c r="U639" s="262">
        <v>2717</v>
      </c>
      <c r="W639" s="261">
        <v>635</v>
      </c>
      <c r="X639" s="262">
        <v>4906.3999999999996</v>
      </c>
      <c r="Z639" s="261">
        <v>635</v>
      </c>
      <c r="AA639" s="262">
        <v>4944.71</v>
      </c>
      <c r="AC639" s="261">
        <v>635</v>
      </c>
      <c r="AD639" s="262">
        <v>16181.34</v>
      </c>
      <c r="AF639" s="261">
        <v>635</v>
      </c>
      <c r="AG639" s="262">
        <v>43362.25</v>
      </c>
      <c r="AI639" s="261">
        <v>635</v>
      </c>
      <c r="AJ639" s="262">
        <v>18291</v>
      </c>
      <c r="AL639" s="261"/>
      <c r="AM639" s="262"/>
    </row>
    <row r="640" spans="2:39">
      <c r="B640" s="261" t="s">
        <v>924</v>
      </c>
      <c r="C640" s="261">
        <v>20338</v>
      </c>
      <c r="E640" s="261" t="s">
        <v>924</v>
      </c>
      <c r="F640" s="261">
        <v>20258.349999999999</v>
      </c>
      <c r="N640" s="261">
        <v>636</v>
      </c>
      <c r="O640" s="262">
        <v>7183.67</v>
      </c>
      <c r="Q640" s="261">
        <v>636</v>
      </c>
      <c r="R640" s="262">
        <v>2716</v>
      </c>
      <c r="T640" s="261">
        <v>636</v>
      </c>
      <c r="U640" s="262">
        <v>2721</v>
      </c>
      <c r="W640" s="261">
        <v>636</v>
      </c>
      <c r="X640" s="262">
        <v>4914</v>
      </c>
      <c r="Z640" s="261">
        <v>636</v>
      </c>
      <c r="AA640" s="262">
        <v>4952.2299999999996</v>
      </c>
      <c r="AC640" s="261">
        <v>636</v>
      </c>
      <c r="AD640" s="262">
        <v>16207.03</v>
      </c>
      <c r="AF640" s="261">
        <v>636</v>
      </c>
      <c r="AG640" s="262">
        <v>43430.7</v>
      </c>
      <c r="AI640" s="261">
        <v>636</v>
      </c>
      <c r="AJ640" s="262">
        <v>18320</v>
      </c>
      <c r="AL640" s="261"/>
      <c r="AM640" s="262"/>
    </row>
    <row r="641" spans="2:39">
      <c r="B641" s="261" t="s">
        <v>925</v>
      </c>
      <c r="C641" s="261">
        <v>20370</v>
      </c>
      <c r="E641" s="261" t="s">
        <v>925</v>
      </c>
      <c r="F641" s="261">
        <v>20289.740000000002</v>
      </c>
      <c r="N641" s="261">
        <v>637</v>
      </c>
      <c r="O641" s="262">
        <v>7194.78</v>
      </c>
      <c r="Q641" s="261">
        <v>637</v>
      </c>
      <c r="R641" s="262">
        <v>2720</v>
      </c>
      <c r="T641" s="261">
        <v>637</v>
      </c>
      <c r="U641" s="262">
        <v>2725</v>
      </c>
      <c r="W641" s="261">
        <v>637</v>
      </c>
      <c r="X641" s="262">
        <v>4921.5</v>
      </c>
      <c r="Z641" s="261">
        <v>637</v>
      </c>
      <c r="AA641" s="262">
        <v>4959.75</v>
      </c>
      <c r="AC641" s="261">
        <v>637</v>
      </c>
      <c r="AD641" s="262">
        <v>16232.73</v>
      </c>
      <c r="AF641" s="261">
        <v>637</v>
      </c>
      <c r="AG641" s="262">
        <v>43499.15</v>
      </c>
      <c r="AI641" s="261">
        <v>637</v>
      </c>
      <c r="AJ641" s="262">
        <v>18348</v>
      </c>
      <c r="AL641" s="261"/>
      <c r="AM641" s="262"/>
    </row>
    <row r="642" spans="2:39">
      <c r="B642" s="261" t="s">
        <v>926</v>
      </c>
      <c r="C642" s="261">
        <v>20401</v>
      </c>
      <c r="E642" s="261" t="s">
        <v>926</v>
      </c>
      <c r="F642" s="261">
        <v>20321</v>
      </c>
      <c r="N642" s="261">
        <v>638</v>
      </c>
      <c r="O642" s="262">
        <v>7205.88</v>
      </c>
      <c r="Q642" s="261">
        <v>638</v>
      </c>
      <c r="R642" s="262">
        <v>2724</v>
      </c>
      <c r="T642" s="261">
        <v>638</v>
      </c>
      <c r="U642" s="262">
        <v>2729</v>
      </c>
      <c r="W642" s="261">
        <v>638</v>
      </c>
      <c r="X642" s="262">
        <v>4929</v>
      </c>
      <c r="Z642" s="261">
        <v>638</v>
      </c>
      <c r="AA642" s="262">
        <v>4967.2700000000004</v>
      </c>
      <c r="AC642" s="261">
        <v>638</v>
      </c>
      <c r="AD642" s="262">
        <v>16258.43</v>
      </c>
      <c r="AF642" s="261">
        <v>638</v>
      </c>
      <c r="AG642" s="262">
        <v>43567.6</v>
      </c>
      <c r="AI642" s="261">
        <v>638</v>
      </c>
      <c r="AJ642" s="262">
        <v>18377</v>
      </c>
      <c r="AL642" s="261"/>
      <c r="AM642" s="262"/>
    </row>
    <row r="643" spans="2:39">
      <c r="B643" s="261" t="s">
        <v>927</v>
      </c>
      <c r="C643" s="261">
        <v>20433</v>
      </c>
      <c r="E643" s="261" t="s">
        <v>927</v>
      </c>
      <c r="F643" s="261">
        <v>20352.41</v>
      </c>
      <c r="N643" s="261">
        <v>639</v>
      </c>
      <c r="O643" s="262">
        <v>7216.99</v>
      </c>
      <c r="Q643" s="261">
        <v>639</v>
      </c>
      <c r="R643" s="262">
        <v>2728</v>
      </c>
      <c r="T643" s="261">
        <v>639</v>
      </c>
      <c r="U643" s="262">
        <v>2733</v>
      </c>
      <c r="W643" s="261">
        <v>639</v>
      </c>
      <c r="X643" s="262">
        <v>4936.5</v>
      </c>
      <c r="Z643" s="261">
        <v>639</v>
      </c>
      <c r="AA643" s="262">
        <v>4974.78</v>
      </c>
      <c r="AC643" s="261">
        <v>639</v>
      </c>
      <c r="AD643" s="262">
        <v>16284.12</v>
      </c>
      <c r="AF643" s="261">
        <v>639</v>
      </c>
      <c r="AG643" s="262">
        <v>43636.04</v>
      </c>
      <c r="AI643" s="261">
        <v>639</v>
      </c>
      <c r="AJ643" s="262">
        <v>18405</v>
      </c>
      <c r="AL643" s="261"/>
      <c r="AM643" s="262"/>
    </row>
    <row r="644" spans="2:39">
      <c r="B644" s="261" t="s">
        <v>928</v>
      </c>
      <c r="C644" s="261">
        <v>20464</v>
      </c>
      <c r="E644" s="261" t="s">
        <v>928</v>
      </c>
      <c r="F644" s="261">
        <v>20383.669999999998</v>
      </c>
      <c r="N644" s="261">
        <v>640</v>
      </c>
      <c r="O644" s="262">
        <v>7228.09</v>
      </c>
      <c r="Q644" s="261">
        <v>640</v>
      </c>
      <c r="R644" s="262">
        <v>2732</v>
      </c>
      <c r="T644" s="261">
        <v>640</v>
      </c>
      <c r="U644" s="262">
        <v>2737</v>
      </c>
      <c r="W644" s="261">
        <v>640</v>
      </c>
      <c r="X644" s="262">
        <v>4944</v>
      </c>
      <c r="Z644" s="261">
        <v>640</v>
      </c>
      <c r="AA644" s="262">
        <v>4982.3</v>
      </c>
      <c r="AC644" s="261">
        <v>640</v>
      </c>
      <c r="AD644" s="262">
        <v>16309.82</v>
      </c>
      <c r="AF644" s="261">
        <v>640</v>
      </c>
      <c r="AG644" s="262">
        <v>43704.49</v>
      </c>
      <c r="AI644" s="261">
        <v>640</v>
      </c>
      <c r="AJ644" s="262">
        <v>18433</v>
      </c>
      <c r="AL644" s="261"/>
      <c r="AM644" s="262"/>
    </row>
    <row r="645" spans="2:39">
      <c r="B645" s="261" t="s">
        <v>929</v>
      </c>
      <c r="C645" s="261">
        <v>20496</v>
      </c>
      <c r="E645" s="261" t="s">
        <v>929</v>
      </c>
      <c r="F645" s="261">
        <v>20415.080000000002</v>
      </c>
      <c r="N645" s="261">
        <v>641</v>
      </c>
      <c r="O645" s="262">
        <v>7239.2</v>
      </c>
      <c r="Q645" s="261">
        <v>641</v>
      </c>
      <c r="R645" s="262">
        <v>2736</v>
      </c>
      <c r="T645" s="261">
        <v>641</v>
      </c>
      <c r="U645" s="262">
        <v>2741</v>
      </c>
      <c r="W645" s="261">
        <v>641</v>
      </c>
      <c r="X645" s="262">
        <v>4951.5</v>
      </c>
      <c r="Z645" s="261">
        <v>641</v>
      </c>
      <c r="AA645" s="262">
        <v>4989.82</v>
      </c>
      <c r="AC645" s="261">
        <v>641</v>
      </c>
      <c r="AD645" s="262">
        <v>16335.51</v>
      </c>
      <c r="AF645" s="261">
        <v>641</v>
      </c>
      <c r="AG645" s="262">
        <v>43772.94</v>
      </c>
      <c r="AI645" s="261">
        <v>641</v>
      </c>
      <c r="AJ645" s="262">
        <v>18462</v>
      </c>
      <c r="AL645" s="261"/>
      <c r="AM645" s="262"/>
    </row>
    <row r="646" spans="2:39">
      <c r="B646" s="261" t="s">
        <v>930</v>
      </c>
      <c r="C646" s="261">
        <v>20527</v>
      </c>
      <c r="E646" s="261" t="s">
        <v>930</v>
      </c>
      <c r="F646" s="261">
        <v>20446.34</v>
      </c>
      <c r="N646" s="261">
        <v>642</v>
      </c>
      <c r="O646" s="262">
        <v>7250.31</v>
      </c>
      <c r="Q646" s="261">
        <v>642</v>
      </c>
      <c r="R646" s="262">
        <v>2740</v>
      </c>
      <c r="T646" s="261">
        <v>642</v>
      </c>
      <c r="U646" s="262">
        <v>2746</v>
      </c>
      <c r="W646" s="261">
        <v>642</v>
      </c>
      <c r="X646" s="262">
        <v>4959</v>
      </c>
      <c r="Z646" s="261">
        <v>642</v>
      </c>
      <c r="AA646" s="262">
        <v>4997.34</v>
      </c>
      <c r="AC646" s="261">
        <v>642</v>
      </c>
      <c r="AD646" s="262">
        <v>16361.21</v>
      </c>
      <c r="AF646" s="261">
        <v>642</v>
      </c>
      <c r="AG646" s="262">
        <v>43841.38</v>
      </c>
      <c r="AI646" s="261">
        <v>642</v>
      </c>
      <c r="AJ646" s="262">
        <v>18490</v>
      </c>
      <c r="AL646" s="261"/>
      <c r="AM646" s="262"/>
    </row>
    <row r="647" spans="2:39">
      <c r="B647" s="261" t="s">
        <v>931</v>
      </c>
      <c r="C647" s="261">
        <v>20559</v>
      </c>
      <c r="E647" s="261" t="s">
        <v>931</v>
      </c>
      <c r="F647" s="261">
        <v>20477.740000000002</v>
      </c>
      <c r="N647" s="261">
        <v>643</v>
      </c>
      <c r="O647" s="262">
        <v>7261.41</v>
      </c>
      <c r="Q647" s="261">
        <v>643</v>
      </c>
      <c r="R647" s="262">
        <v>2745</v>
      </c>
      <c r="T647" s="261">
        <v>643</v>
      </c>
      <c r="U647" s="262">
        <v>2750</v>
      </c>
      <c r="W647" s="261">
        <v>643</v>
      </c>
      <c r="X647" s="262">
        <v>4966.5</v>
      </c>
      <c r="Z647" s="261">
        <v>643</v>
      </c>
      <c r="AA647" s="262">
        <v>5004.8599999999997</v>
      </c>
      <c r="AC647" s="261">
        <v>643</v>
      </c>
      <c r="AD647" s="262">
        <v>16386.91</v>
      </c>
      <c r="AF647" s="261">
        <v>643</v>
      </c>
      <c r="AG647" s="262">
        <v>43909.83</v>
      </c>
      <c r="AI647" s="261">
        <v>643</v>
      </c>
      <c r="AJ647" s="262">
        <v>18519</v>
      </c>
      <c r="AL647" s="261"/>
      <c r="AM647" s="262"/>
    </row>
    <row r="648" spans="2:39">
      <c r="B648" s="261" t="s">
        <v>932</v>
      </c>
      <c r="C648" s="261">
        <v>20590</v>
      </c>
      <c r="E648" s="261" t="s">
        <v>932</v>
      </c>
      <c r="F648" s="261">
        <v>20509</v>
      </c>
      <c r="N648" s="261">
        <v>644</v>
      </c>
      <c r="O648" s="262">
        <v>7272.52</v>
      </c>
      <c r="Q648" s="261">
        <v>644</v>
      </c>
      <c r="R648" s="262">
        <v>2749</v>
      </c>
      <c r="T648" s="261">
        <v>644</v>
      </c>
      <c r="U648" s="262">
        <v>2754</v>
      </c>
      <c r="W648" s="261">
        <v>644</v>
      </c>
      <c r="X648" s="262">
        <v>4974</v>
      </c>
      <c r="Z648" s="261">
        <v>644</v>
      </c>
      <c r="AA648" s="262">
        <v>5012.37</v>
      </c>
      <c r="AC648" s="261">
        <v>644</v>
      </c>
      <c r="AD648" s="262">
        <v>16412.599999999999</v>
      </c>
      <c r="AF648" s="261">
        <v>644</v>
      </c>
      <c r="AG648" s="262">
        <v>43978.28</v>
      </c>
      <c r="AI648" s="261">
        <v>644</v>
      </c>
      <c r="AJ648" s="262">
        <v>18547</v>
      </c>
      <c r="AL648" s="261"/>
      <c r="AM648" s="262"/>
    </row>
    <row r="649" spans="2:39">
      <c r="B649" s="261" t="s">
        <v>933</v>
      </c>
      <c r="C649" s="261">
        <v>20621</v>
      </c>
      <c r="E649" s="261" t="s">
        <v>933</v>
      </c>
      <c r="F649" s="261">
        <v>20540.41</v>
      </c>
      <c r="N649" s="261">
        <v>645</v>
      </c>
      <c r="O649" s="262">
        <v>7283.62</v>
      </c>
      <c r="Q649" s="261">
        <v>645</v>
      </c>
      <c r="R649" s="262">
        <v>2753</v>
      </c>
      <c r="T649" s="261">
        <v>645</v>
      </c>
      <c r="U649" s="262">
        <v>2758</v>
      </c>
      <c r="W649" s="261">
        <v>645</v>
      </c>
      <c r="X649" s="262">
        <v>4981.5</v>
      </c>
      <c r="Z649" s="261">
        <v>645</v>
      </c>
      <c r="AA649" s="262">
        <v>5019.8900000000003</v>
      </c>
      <c r="AC649" s="261">
        <v>645</v>
      </c>
      <c r="AD649" s="262">
        <v>16438.3</v>
      </c>
      <c r="AF649" s="261">
        <v>645</v>
      </c>
      <c r="AG649" s="262">
        <v>44046.720000000001</v>
      </c>
      <c r="AI649" s="261">
        <v>645</v>
      </c>
      <c r="AJ649" s="262">
        <v>18575</v>
      </c>
      <c r="AL649" s="261"/>
      <c r="AM649" s="262"/>
    </row>
    <row r="650" spans="2:39">
      <c r="B650" s="261" t="s">
        <v>934</v>
      </c>
      <c r="C650" s="261">
        <v>20652</v>
      </c>
      <c r="E650" s="261" t="s">
        <v>934</v>
      </c>
      <c r="F650" s="261">
        <v>20571.669999999998</v>
      </c>
      <c r="N650" s="261">
        <v>646</v>
      </c>
      <c r="O650" s="262">
        <v>7294.73</v>
      </c>
      <c r="Q650" s="261">
        <v>646</v>
      </c>
      <c r="R650" s="262">
        <v>2757</v>
      </c>
      <c r="T650" s="261">
        <v>646</v>
      </c>
      <c r="U650" s="262">
        <v>2762</v>
      </c>
      <c r="W650" s="261">
        <v>646</v>
      </c>
      <c r="X650" s="262">
        <v>4989</v>
      </c>
      <c r="Z650" s="261">
        <v>646</v>
      </c>
      <c r="AA650" s="262">
        <v>5027.41</v>
      </c>
      <c r="AC650" s="261">
        <v>646</v>
      </c>
      <c r="AD650" s="262">
        <v>16463.990000000002</v>
      </c>
      <c r="AF650" s="261">
        <v>646</v>
      </c>
      <c r="AG650" s="262">
        <v>44115.17</v>
      </c>
      <c r="AI650" s="261">
        <v>646</v>
      </c>
      <c r="AJ650" s="262">
        <v>18604</v>
      </c>
      <c r="AL650" s="261"/>
      <c r="AM650" s="262"/>
    </row>
    <row r="651" spans="2:39">
      <c r="B651" s="261" t="s">
        <v>935</v>
      </c>
      <c r="C651" s="261">
        <v>20684</v>
      </c>
      <c r="E651" s="261" t="s">
        <v>935</v>
      </c>
      <c r="F651" s="261">
        <v>20603.060000000001</v>
      </c>
      <c r="N651" s="261">
        <v>647</v>
      </c>
      <c r="O651" s="262">
        <v>7305.84</v>
      </c>
      <c r="Q651" s="261">
        <v>647</v>
      </c>
      <c r="R651" s="262">
        <v>2761</v>
      </c>
      <c r="T651" s="261">
        <v>647</v>
      </c>
      <c r="U651" s="262">
        <v>2766</v>
      </c>
      <c r="W651" s="261">
        <v>647</v>
      </c>
      <c r="X651" s="262">
        <v>4996.6000000000004</v>
      </c>
      <c r="Z651" s="261">
        <v>647</v>
      </c>
      <c r="AA651" s="262">
        <v>5034.93</v>
      </c>
      <c r="AC651" s="261">
        <v>647</v>
      </c>
      <c r="AD651" s="262">
        <v>16489.689999999999</v>
      </c>
      <c r="AF651" s="261">
        <v>647</v>
      </c>
      <c r="AG651" s="262">
        <v>44183.62</v>
      </c>
      <c r="AI651" s="261">
        <v>647</v>
      </c>
      <c r="AJ651" s="262">
        <v>18632</v>
      </c>
      <c r="AL651" s="261"/>
      <c r="AM651" s="262"/>
    </row>
    <row r="652" spans="2:39">
      <c r="B652" s="261" t="s">
        <v>936</v>
      </c>
      <c r="C652" s="261">
        <v>20715</v>
      </c>
      <c r="E652" s="261" t="s">
        <v>936</v>
      </c>
      <c r="F652" s="261">
        <v>20634.32</v>
      </c>
      <c r="N652" s="261">
        <v>648</v>
      </c>
      <c r="O652" s="262">
        <v>7316.94</v>
      </c>
      <c r="Q652" s="261">
        <v>648</v>
      </c>
      <c r="R652" s="262">
        <v>2761</v>
      </c>
      <c r="T652" s="261">
        <v>648</v>
      </c>
      <c r="U652" s="262">
        <v>2770</v>
      </c>
      <c r="W652" s="261">
        <v>648</v>
      </c>
      <c r="X652" s="262">
        <v>5004.1000000000004</v>
      </c>
      <c r="Z652" s="261">
        <v>648</v>
      </c>
      <c r="AA652" s="262">
        <v>5042.45</v>
      </c>
      <c r="AC652" s="261">
        <v>648</v>
      </c>
      <c r="AD652" s="262">
        <v>16515.39</v>
      </c>
      <c r="AF652" s="261">
        <v>648</v>
      </c>
      <c r="AG652" s="262">
        <v>44252.07</v>
      </c>
      <c r="AI652" s="261">
        <v>648</v>
      </c>
      <c r="AJ652" s="262">
        <v>18660</v>
      </c>
      <c r="AL652" s="261"/>
      <c r="AM652" s="262"/>
    </row>
    <row r="653" spans="2:39">
      <c r="B653" s="261">
        <v>27</v>
      </c>
      <c r="C653" s="261">
        <v>20747</v>
      </c>
      <c r="E653" s="261">
        <v>27</v>
      </c>
      <c r="F653" s="261">
        <v>20665.73</v>
      </c>
      <c r="N653" s="261">
        <v>649</v>
      </c>
      <c r="O653" s="262">
        <v>7328.05</v>
      </c>
      <c r="Q653" s="261">
        <v>649</v>
      </c>
      <c r="R653" s="262">
        <v>2769</v>
      </c>
      <c r="T653" s="261">
        <v>649</v>
      </c>
      <c r="U653" s="262">
        <v>2774</v>
      </c>
      <c r="W653" s="261">
        <v>649</v>
      </c>
      <c r="X653" s="262">
        <v>5011.6000000000004</v>
      </c>
      <c r="Z653" s="261">
        <v>649</v>
      </c>
      <c r="AA653" s="262">
        <v>5049.96</v>
      </c>
      <c r="AC653" s="261">
        <v>649</v>
      </c>
      <c r="AD653" s="262">
        <v>16541.080000000002</v>
      </c>
      <c r="AF653" s="261">
        <v>649</v>
      </c>
      <c r="AG653" s="262">
        <v>44320.51</v>
      </c>
      <c r="AI653" s="261">
        <v>649</v>
      </c>
      <c r="AJ653" s="262">
        <v>18689</v>
      </c>
      <c r="AL653" s="261"/>
      <c r="AM653" s="262"/>
    </row>
    <row r="654" spans="2:39">
      <c r="B654" s="261" t="s">
        <v>1071</v>
      </c>
      <c r="C654" s="261">
        <v>20778</v>
      </c>
      <c r="E654" s="261" t="s">
        <v>1071</v>
      </c>
      <c r="F654" s="261">
        <v>20696.989999999998</v>
      </c>
      <c r="N654" s="261">
        <v>650</v>
      </c>
      <c r="O654" s="262">
        <v>7339.15</v>
      </c>
      <c r="Q654" s="261">
        <v>650</v>
      </c>
      <c r="R654" s="262">
        <v>2773</v>
      </c>
      <c r="T654" s="261">
        <v>650</v>
      </c>
      <c r="U654" s="262">
        <v>2779</v>
      </c>
      <c r="W654" s="261">
        <v>650</v>
      </c>
      <c r="X654" s="262">
        <v>5019.1000000000004</v>
      </c>
      <c r="Z654" s="261">
        <v>650</v>
      </c>
      <c r="AA654" s="262">
        <v>5057.4799999999996</v>
      </c>
      <c r="AC654" s="261">
        <v>650</v>
      </c>
      <c r="AD654" s="262">
        <v>16566.78</v>
      </c>
      <c r="AF654" s="261">
        <v>650</v>
      </c>
      <c r="AG654" s="262">
        <v>44388.959999999999</v>
      </c>
      <c r="AI654" s="261">
        <v>650</v>
      </c>
      <c r="AJ654" s="262">
        <v>18717</v>
      </c>
      <c r="AL654" s="261"/>
      <c r="AM654" s="262"/>
    </row>
    <row r="655" spans="2:39">
      <c r="B655" s="261" t="s">
        <v>1061</v>
      </c>
      <c r="C655" s="261">
        <v>20810</v>
      </c>
      <c r="E655" s="261" t="s">
        <v>1061</v>
      </c>
      <c r="F655" s="261">
        <v>20728.39</v>
      </c>
      <c r="N655" s="261">
        <v>651</v>
      </c>
      <c r="O655" s="262">
        <v>7350.26</v>
      </c>
      <c r="Q655" s="261">
        <v>651</v>
      </c>
      <c r="R655" s="262">
        <v>2778</v>
      </c>
      <c r="T655" s="261">
        <v>651</v>
      </c>
      <c r="U655" s="262">
        <v>2783</v>
      </c>
      <c r="W655" s="261">
        <v>651</v>
      </c>
      <c r="X655" s="262">
        <v>5026.6000000000004</v>
      </c>
      <c r="Z655" s="261">
        <v>651</v>
      </c>
      <c r="AA655" s="262">
        <v>5065</v>
      </c>
      <c r="AC655" s="261">
        <v>651</v>
      </c>
      <c r="AD655" s="262">
        <v>16592.47</v>
      </c>
      <c r="AF655" s="261">
        <v>651</v>
      </c>
      <c r="AG655" s="262">
        <v>44457.41</v>
      </c>
      <c r="AI655" s="261">
        <v>651</v>
      </c>
      <c r="AJ655" s="262">
        <v>18746</v>
      </c>
      <c r="AL655" s="261"/>
      <c r="AM655" s="262"/>
    </row>
    <row r="656" spans="2:39">
      <c r="B656" s="261" t="s">
        <v>1072</v>
      </c>
      <c r="C656" s="261">
        <v>20841</v>
      </c>
      <c r="E656" s="261" t="s">
        <v>1072</v>
      </c>
      <c r="F656" s="261">
        <v>20759.649999999998</v>
      </c>
      <c r="N656" s="261">
        <v>652</v>
      </c>
      <c r="O656" s="262">
        <v>7361.37</v>
      </c>
      <c r="Q656" s="261">
        <v>652</v>
      </c>
      <c r="R656" s="262">
        <v>2782</v>
      </c>
      <c r="T656" s="261">
        <v>652</v>
      </c>
      <c r="U656" s="262">
        <v>2787</v>
      </c>
      <c r="W656" s="261">
        <v>652</v>
      </c>
      <c r="X656" s="262">
        <v>5034.1000000000004</v>
      </c>
      <c r="Z656" s="261">
        <v>652</v>
      </c>
      <c r="AA656" s="262">
        <v>5072.5200000000004</v>
      </c>
      <c r="AC656" s="261">
        <v>652</v>
      </c>
      <c r="AD656" s="262">
        <v>16618.169999999998</v>
      </c>
      <c r="AF656" s="261">
        <v>652</v>
      </c>
      <c r="AG656" s="262">
        <v>44525.85</v>
      </c>
      <c r="AI656" s="261">
        <v>652</v>
      </c>
      <c r="AJ656" s="262">
        <v>18774</v>
      </c>
      <c r="AL656" s="261"/>
      <c r="AM656" s="262"/>
    </row>
    <row r="657" spans="2:39">
      <c r="B657" s="261" t="s">
        <v>1062</v>
      </c>
      <c r="C657" s="261">
        <v>20873</v>
      </c>
      <c r="E657" s="261" t="s">
        <v>1062</v>
      </c>
      <c r="F657" s="261">
        <v>20791.05</v>
      </c>
      <c r="N657" s="261">
        <v>653</v>
      </c>
      <c r="O657" s="262">
        <v>7372.47</v>
      </c>
      <c r="Q657" s="261">
        <v>653</v>
      </c>
      <c r="R657" s="262">
        <v>2786</v>
      </c>
      <c r="T657" s="261">
        <v>653</v>
      </c>
      <c r="U657" s="262">
        <v>2791</v>
      </c>
      <c r="W657" s="261">
        <v>653</v>
      </c>
      <c r="X657" s="262">
        <v>5041.6000000000004</v>
      </c>
      <c r="Z657" s="261">
        <v>653</v>
      </c>
      <c r="AA657" s="262">
        <v>5080.03</v>
      </c>
      <c r="AC657" s="261">
        <v>653</v>
      </c>
      <c r="AD657" s="262">
        <v>16643.87</v>
      </c>
      <c r="AF657" s="261">
        <v>653</v>
      </c>
      <c r="AG657" s="262">
        <v>44594.3</v>
      </c>
      <c r="AI657" s="261">
        <v>653</v>
      </c>
      <c r="AJ657" s="262">
        <v>18802</v>
      </c>
      <c r="AL657" s="261"/>
      <c r="AM657" s="262"/>
    </row>
    <row r="658" spans="2:39">
      <c r="B658" s="261" t="s">
        <v>1073</v>
      </c>
      <c r="C658" s="261">
        <v>20904</v>
      </c>
      <c r="E658" s="261" t="s">
        <v>1073</v>
      </c>
      <c r="F658" s="261">
        <v>20822.309999999998</v>
      </c>
      <c r="N658" s="261">
        <v>654</v>
      </c>
      <c r="O658" s="262">
        <v>7383.58</v>
      </c>
      <c r="Q658" s="261">
        <v>654</v>
      </c>
      <c r="R658" s="262">
        <v>2790</v>
      </c>
      <c r="T658" s="261">
        <v>654</v>
      </c>
      <c r="U658" s="262">
        <v>2795</v>
      </c>
      <c r="W658" s="261">
        <v>654</v>
      </c>
      <c r="X658" s="262">
        <v>5049.1000000000004</v>
      </c>
      <c r="Z658" s="261">
        <v>654</v>
      </c>
      <c r="AA658" s="262">
        <v>5087.55</v>
      </c>
      <c r="AC658" s="261">
        <v>654</v>
      </c>
      <c r="AD658" s="262">
        <v>16669.560000000001</v>
      </c>
      <c r="AF658" s="261">
        <v>654</v>
      </c>
      <c r="AG658" s="262">
        <v>44662.75</v>
      </c>
      <c r="AI658" s="261">
        <v>654</v>
      </c>
      <c r="AJ658" s="262">
        <v>18831</v>
      </c>
      <c r="AL658" s="261"/>
      <c r="AM658" s="262"/>
    </row>
    <row r="659" spans="2:39">
      <c r="B659" s="261">
        <v>27.3</v>
      </c>
      <c r="C659" s="261">
        <v>20936</v>
      </c>
      <c r="E659" s="261">
        <v>27.3</v>
      </c>
      <c r="F659" s="261">
        <v>20853.72</v>
      </c>
      <c r="N659" s="261">
        <v>655</v>
      </c>
      <c r="O659" s="262">
        <v>7394.68</v>
      </c>
      <c r="Q659" s="261">
        <v>655</v>
      </c>
      <c r="R659" s="262">
        <v>2794</v>
      </c>
      <c r="T659" s="261">
        <v>655</v>
      </c>
      <c r="U659" s="262">
        <v>2799</v>
      </c>
      <c r="W659" s="261">
        <v>655</v>
      </c>
      <c r="X659" s="262">
        <v>5056.6000000000004</v>
      </c>
      <c r="Z659" s="261">
        <v>655</v>
      </c>
      <c r="AA659" s="262">
        <v>5095.07</v>
      </c>
      <c r="AC659" s="261">
        <v>655</v>
      </c>
      <c r="AD659" s="262">
        <v>16695.259999999998</v>
      </c>
      <c r="AF659" s="261">
        <v>655</v>
      </c>
      <c r="AG659" s="262">
        <v>44731.19</v>
      </c>
      <c r="AI659" s="261">
        <v>655</v>
      </c>
      <c r="AJ659" s="262">
        <v>18859</v>
      </c>
      <c r="AL659" s="261"/>
      <c r="AM659" s="262"/>
    </row>
    <row r="660" spans="2:39">
      <c r="B660" s="261" t="s">
        <v>1074</v>
      </c>
      <c r="C660" s="261">
        <v>20967</v>
      </c>
      <c r="E660" s="261" t="s">
        <v>1074</v>
      </c>
      <c r="F660" s="261">
        <v>20884.98</v>
      </c>
      <c r="N660" s="261">
        <v>656</v>
      </c>
      <c r="O660" s="262">
        <v>7405.79</v>
      </c>
      <c r="Q660" s="261">
        <v>656</v>
      </c>
      <c r="R660" s="262">
        <v>2798</v>
      </c>
      <c r="T660" s="261">
        <v>656</v>
      </c>
      <c r="U660" s="262">
        <v>2803</v>
      </c>
      <c r="W660" s="261">
        <v>656</v>
      </c>
      <c r="X660" s="262">
        <v>5064.1000000000004</v>
      </c>
      <c r="Z660" s="261">
        <v>656</v>
      </c>
      <c r="AA660" s="262">
        <v>5102.59</v>
      </c>
      <c r="AC660" s="261">
        <v>656</v>
      </c>
      <c r="AD660" s="262">
        <v>16720.95</v>
      </c>
      <c r="AF660" s="261">
        <v>656</v>
      </c>
      <c r="AG660" s="262">
        <v>44799.64</v>
      </c>
      <c r="AI660" s="261">
        <v>656</v>
      </c>
      <c r="AJ660" s="262">
        <v>18888</v>
      </c>
      <c r="AL660" s="261"/>
      <c r="AM660" s="262"/>
    </row>
    <row r="661" spans="2:39">
      <c r="B661" s="261">
        <v>27.4</v>
      </c>
      <c r="C661" s="261">
        <v>20998</v>
      </c>
      <c r="E661" s="261">
        <v>27.4</v>
      </c>
      <c r="F661" s="261">
        <v>20916.38</v>
      </c>
      <c r="N661" s="261">
        <v>657</v>
      </c>
      <c r="O661" s="262">
        <v>7416.9</v>
      </c>
      <c r="Q661" s="261">
        <v>657</v>
      </c>
      <c r="R661" s="262">
        <v>2802</v>
      </c>
      <c r="T661" s="261">
        <v>657</v>
      </c>
      <c r="U661" s="262">
        <v>2808</v>
      </c>
      <c r="W661" s="261">
        <v>657</v>
      </c>
      <c r="X661" s="262">
        <v>5071.7</v>
      </c>
      <c r="Z661" s="261">
        <v>657</v>
      </c>
      <c r="AA661" s="262">
        <v>5110.1099999999997</v>
      </c>
      <c r="AC661" s="261">
        <v>657</v>
      </c>
      <c r="AD661" s="262">
        <v>16746.650000000001</v>
      </c>
      <c r="AF661" s="261">
        <v>657</v>
      </c>
      <c r="AG661" s="262">
        <v>44868.09</v>
      </c>
      <c r="AI661" s="261">
        <v>657</v>
      </c>
      <c r="AJ661" s="262">
        <v>18916</v>
      </c>
      <c r="AL661" s="261"/>
      <c r="AM661" s="262"/>
    </row>
    <row r="662" spans="2:39">
      <c r="B662" s="261" t="s">
        <v>1075</v>
      </c>
      <c r="C662" s="261">
        <v>21029</v>
      </c>
      <c r="E662" s="261" t="s">
        <v>1075</v>
      </c>
      <c r="F662" s="261">
        <v>20947.64</v>
      </c>
      <c r="N662" s="261">
        <v>658</v>
      </c>
      <c r="O662" s="262">
        <v>7428</v>
      </c>
      <c r="Q662" s="261">
        <v>658</v>
      </c>
      <c r="R662" s="262">
        <v>2806</v>
      </c>
      <c r="T662" s="261">
        <v>658</v>
      </c>
      <c r="U662" s="262">
        <v>2812</v>
      </c>
      <c r="W662" s="261">
        <v>658</v>
      </c>
      <c r="X662" s="262">
        <v>5079.2</v>
      </c>
      <c r="Z662" s="261">
        <v>658</v>
      </c>
      <c r="AA662" s="262">
        <v>5117.62</v>
      </c>
      <c r="AC662" s="261">
        <v>658</v>
      </c>
      <c r="AD662" s="262">
        <v>16772.349999999999</v>
      </c>
      <c r="AF662" s="261">
        <v>658</v>
      </c>
      <c r="AG662" s="262">
        <v>44936.54</v>
      </c>
      <c r="AI662" s="261">
        <v>658</v>
      </c>
      <c r="AJ662" s="262">
        <v>18944</v>
      </c>
      <c r="AL662" s="261"/>
      <c r="AM662" s="262"/>
    </row>
    <row r="663" spans="2:39">
      <c r="B663" s="261" t="s">
        <v>960</v>
      </c>
      <c r="C663" s="261">
        <v>21061</v>
      </c>
      <c r="E663" s="261" t="s">
        <v>960</v>
      </c>
      <c r="F663" s="261">
        <v>20979.05</v>
      </c>
      <c r="N663" s="261">
        <v>659</v>
      </c>
      <c r="O663" s="262">
        <v>7439.11</v>
      </c>
      <c r="Q663" s="261">
        <v>659</v>
      </c>
      <c r="R663" s="262">
        <v>2810</v>
      </c>
      <c r="T663" s="261">
        <v>659</v>
      </c>
      <c r="U663" s="262">
        <v>2816</v>
      </c>
      <c r="W663" s="261">
        <v>659</v>
      </c>
      <c r="X663" s="262">
        <v>5086.7</v>
      </c>
      <c r="Z663" s="261">
        <v>659</v>
      </c>
      <c r="AA663" s="262">
        <v>5125.1400000000003</v>
      </c>
      <c r="AC663" s="261">
        <v>659</v>
      </c>
      <c r="AD663" s="262">
        <v>16798.04</v>
      </c>
      <c r="AF663" s="261">
        <v>659</v>
      </c>
      <c r="AG663" s="262">
        <v>45004.98</v>
      </c>
      <c r="AI663" s="261">
        <v>659</v>
      </c>
      <c r="AJ663" s="262">
        <v>18973</v>
      </c>
      <c r="AL663" s="261"/>
      <c r="AM663" s="262"/>
    </row>
    <row r="664" spans="2:39">
      <c r="B664" s="261" t="s">
        <v>1076</v>
      </c>
      <c r="C664" s="261">
        <v>21092</v>
      </c>
      <c r="E664" s="261" t="s">
        <v>1076</v>
      </c>
      <c r="F664" s="261">
        <v>21010.309999999998</v>
      </c>
      <c r="N664" s="261">
        <v>660</v>
      </c>
      <c r="O664" s="262">
        <v>7450.21</v>
      </c>
      <c r="Q664" s="261">
        <v>660</v>
      </c>
      <c r="R664" s="262">
        <v>2815</v>
      </c>
      <c r="T664" s="261">
        <v>660</v>
      </c>
      <c r="U664" s="262">
        <v>2820</v>
      </c>
      <c r="W664" s="261">
        <v>660</v>
      </c>
      <c r="X664" s="262">
        <v>5094.2</v>
      </c>
      <c r="Z664" s="261">
        <v>660</v>
      </c>
      <c r="AA664" s="262">
        <v>5132.66</v>
      </c>
      <c r="AC664" s="261">
        <v>660</v>
      </c>
      <c r="AD664" s="262">
        <v>16823.740000000002</v>
      </c>
      <c r="AF664" s="261">
        <v>660</v>
      </c>
      <c r="AG664" s="262">
        <v>45073.43</v>
      </c>
      <c r="AI664" s="261">
        <v>660</v>
      </c>
      <c r="AJ664" s="262">
        <v>19001</v>
      </c>
      <c r="AL664" s="261"/>
      <c r="AM664" s="262"/>
    </row>
    <row r="665" spans="2:39">
      <c r="B665" s="261" t="s">
        <v>961</v>
      </c>
      <c r="C665" s="261">
        <v>21124</v>
      </c>
      <c r="E665" s="261" t="s">
        <v>961</v>
      </c>
      <c r="F665" s="261">
        <v>21041.71</v>
      </c>
      <c r="N665" s="261">
        <v>661</v>
      </c>
      <c r="O665" s="262">
        <v>7461.32</v>
      </c>
      <c r="Q665" s="261">
        <v>661</v>
      </c>
      <c r="R665" s="262">
        <v>2819</v>
      </c>
      <c r="T665" s="261">
        <v>661</v>
      </c>
      <c r="U665" s="262">
        <v>2824</v>
      </c>
      <c r="W665" s="261">
        <v>661</v>
      </c>
      <c r="X665" s="262">
        <v>5101.7</v>
      </c>
      <c r="Z665" s="261">
        <v>661</v>
      </c>
      <c r="AA665" s="262">
        <v>5140.18</v>
      </c>
      <c r="AC665" s="261">
        <v>661</v>
      </c>
      <c r="AD665" s="262">
        <v>16849.43</v>
      </c>
      <c r="AF665" s="261">
        <v>661</v>
      </c>
      <c r="AG665" s="262">
        <v>45141.88</v>
      </c>
      <c r="AI665" s="261">
        <v>661</v>
      </c>
      <c r="AJ665" s="262">
        <v>19030</v>
      </c>
      <c r="AL665" s="261"/>
      <c r="AM665" s="262"/>
    </row>
    <row r="666" spans="2:39">
      <c r="B666" s="261" t="s">
        <v>1077</v>
      </c>
      <c r="C666" s="261">
        <v>21155</v>
      </c>
      <c r="E666" s="261" t="s">
        <v>1077</v>
      </c>
      <c r="F666" s="261">
        <v>21072.969999999998</v>
      </c>
      <c r="N666" s="261">
        <v>662</v>
      </c>
      <c r="O666" s="262">
        <v>7472.43</v>
      </c>
      <c r="Q666" s="261">
        <v>662</v>
      </c>
      <c r="R666" s="262">
        <v>2823</v>
      </c>
      <c r="T666" s="261">
        <v>662</v>
      </c>
      <c r="U666" s="262">
        <v>2828</v>
      </c>
      <c r="W666" s="261">
        <v>662</v>
      </c>
      <c r="X666" s="262">
        <v>5109.2</v>
      </c>
      <c r="Z666" s="261">
        <v>662</v>
      </c>
      <c r="AA666" s="262">
        <v>5147.6899999999996</v>
      </c>
      <c r="AC666" s="261">
        <v>662</v>
      </c>
      <c r="AD666" s="262">
        <v>16875.13</v>
      </c>
      <c r="AF666" s="261">
        <v>662</v>
      </c>
      <c r="AG666" s="262">
        <v>45210.32</v>
      </c>
      <c r="AI666" s="261">
        <v>662</v>
      </c>
      <c r="AJ666" s="262">
        <v>19058</v>
      </c>
      <c r="AL666" s="261"/>
      <c r="AM666" s="262"/>
    </row>
    <row r="667" spans="2:39">
      <c r="B667" s="261" t="s">
        <v>962</v>
      </c>
      <c r="C667" s="261">
        <v>21187</v>
      </c>
      <c r="E667" s="261" t="s">
        <v>962</v>
      </c>
      <c r="F667" s="261">
        <v>21104.37</v>
      </c>
      <c r="N667" s="261">
        <v>663</v>
      </c>
      <c r="O667" s="262">
        <v>7483.53</v>
      </c>
      <c r="Q667" s="261">
        <v>663</v>
      </c>
      <c r="R667" s="262">
        <v>2827</v>
      </c>
      <c r="T667" s="261">
        <v>663</v>
      </c>
      <c r="U667" s="262">
        <v>2832</v>
      </c>
      <c r="W667" s="261">
        <v>663</v>
      </c>
      <c r="X667" s="262">
        <v>5116.7</v>
      </c>
      <c r="Z667" s="261">
        <v>663</v>
      </c>
      <c r="AA667" s="262">
        <v>5155.21</v>
      </c>
      <c r="AC667" s="261">
        <v>663</v>
      </c>
      <c r="AD667" s="262">
        <v>16900.830000000002</v>
      </c>
      <c r="AF667" s="261">
        <v>663</v>
      </c>
      <c r="AG667" s="262">
        <v>45278.77</v>
      </c>
      <c r="AI667" s="261">
        <v>663</v>
      </c>
      <c r="AJ667" s="262">
        <v>19086</v>
      </c>
      <c r="AL667" s="261"/>
      <c r="AM667" s="262"/>
    </row>
    <row r="668" spans="2:39">
      <c r="B668" s="261" t="s">
        <v>1078</v>
      </c>
      <c r="C668" s="261">
        <v>21218</v>
      </c>
      <c r="E668" s="261" t="s">
        <v>1078</v>
      </c>
      <c r="F668" s="261">
        <v>21135.629999999997</v>
      </c>
      <c r="N668" s="261">
        <v>664</v>
      </c>
      <c r="O668" s="262">
        <v>7494.64</v>
      </c>
      <c r="Q668" s="261">
        <v>664</v>
      </c>
      <c r="R668" s="262">
        <v>2831</v>
      </c>
      <c r="T668" s="261">
        <v>664</v>
      </c>
      <c r="U668" s="262">
        <v>2837</v>
      </c>
      <c r="W668" s="261">
        <v>664</v>
      </c>
      <c r="X668" s="262">
        <v>5124.2</v>
      </c>
      <c r="Z668" s="261">
        <v>664</v>
      </c>
      <c r="AA668" s="262">
        <v>5162.7299999999996</v>
      </c>
      <c r="AC668" s="261">
        <v>664</v>
      </c>
      <c r="AD668" s="262">
        <v>16926.52</v>
      </c>
      <c r="AF668" s="261">
        <v>664</v>
      </c>
      <c r="AG668" s="262">
        <v>45347.22</v>
      </c>
      <c r="AI668" s="261">
        <v>664</v>
      </c>
      <c r="AJ668" s="262">
        <v>19115</v>
      </c>
      <c r="AL668" s="261"/>
      <c r="AM668" s="262"/>
    </row>
    <row r="669" spans="2:39">
      <c r="B669" s="261" t="s">
        <v>963</v>
      </c>
      <c r="C669" s="261">
        <v>21250</v>
      </c>
      <c r="E669" s="261" t="s">
        <v>963</v>
      </c>
      <c r="F669" s="261">
        <v>21167.040000000001</v>
      </c>
      <c r="N669" s="261">
        <v>665</v>
      </c>
      <c r="O669" s="262">
        <v>7505.74</v>
      </c>
      <c r="Q669" s="261">
        <v>665</v>
      </c>
      <c r="R669" s="262">
        <v>2835</v>
      </c>
      <c r="T669" s="261">
        <v>665</v>
      </c>
      <c r="U669" s="262">
        <v>2841</v>
      </c>
      <c r="W669" s="261">
        <v>665</v>
      </c>
      <c r="X669" s="262">
        <v>5131.7</v>
      </c>
      <c r="Z669" s="261">
        <v>665</v>
      </c>
      <c r="AA669" s="262">
        <v>5170.25</v>
      </c>
      <c r="AC669" s="261">
        <v>665</v>
      </c>
      <c r="AD669" s="262">
        <v>16952.22</v>
      </c>
      <c r="AF669" s="261">
        <v>665</v>
      </c>
      <c r="AG669" s="262">
        <v>45415.66</v>
      </c>
      <c r="AI669" s="261">
        <v>665</v>
      </c>
      <c r="AJ669" s="262">
        <v>19143</v>
      </c>
      <c r="AL669" s="261"/>
      <c r="AM669" s="262"/>
    </row>
    <row r="670" spans="2:39">
      <c r="B670" s="261" t="s">
        <v>1079</v>
      </c>
      <c r="C670" s="261">
        <v>21281</v>
      </c>
      <c r="E670" s="261" t="s">
        <v>1079</v>
      </c>
      <c r="F670" s="261">
        <v>21198.3</v>
      </c>
      <c r="N670" s="261">
        <v>666</v>
      </c>
      <c r="O670" s="262">
        <v>7516.85</v>
      </c>
      <c r="Q670" s="261">
        <v>666</v>
      </c>
      <c r="R670" s="262">
        <v>2839</v>
      </c>
      <c r="T670" s="261">
        <v>666</v>
      </c>
      <c r="U670" s="262">
        <v>2845</v>
      </c>
      <c r="W670" s="261">
        <v>666</v>
      </c>
      <c r="X670" s="262">
        <v>5139.2</v>
      </c>
      <c r="Z670" s="261">
        <v>666</v>
      </c>
      <c r="AA670" s="262">
        <v>5177.7700000000004</v>
      </c>
      <c r="AC670" s="261">
        <v>666</v>
      </c>
      <c r="AD670" s="262">
        <v>16977.91</v>
      </c>
      <c r="AF670" s="261">
        <v>666</v>
      </c>
      <c r="AG670" s="262">
        <v>45484.11</v>
      </c>
      <c r="AI670" s="261">
        <v>666</v>
      </c>
      <c r="AJ670" s="262">
        <v>19172</v>
      </c>
      <c r="AL670" s="261"/>
      <c r="AM670" s="262"/>
    </row>
    <row r="671" spans="2:39">
      <c r="B671" s="261" t="s">
        <v>964</v>
      </c>
      <c r="C671" s="261">
        <v>21312</v>
      </c>
      <c r="E671" s="261" t="s">
        <v>964</v>
      </c>
      <c r="F671" s="261">
        <v>21229.7</v>
      </c>
      <c r="N671" s="261">
        <v>667</v>
      </c>
      <c r="O671" s="262">
        <v>7527.96</v>
      </c>
      <c r="Q671" s="261">
        <v>667</v>
      </c>
      <c r="R671" s="262">
        <v>2843</v>
      </c>
      <c r="T671" s="261">
        <v>667</v>
      </c>
      <c r="U671" s="262">
        <v>2849</v>
      </c>
      <c r="W671" s="261">
        <v>667</v>
      </c>
      <c r="X671" s="262">
        <v>5146.7</v>
      </c>
      <c r="Z671" s="261">
        <v>667</v>
      </c>
      <c r="AA671" s="262">
        <v>5185.28</v>
      </c>
      <c r="AC671" s="261">
        <v>667</v>
      </c>
      <c r="AD671" s="262">
        <v>17003.61</v>
      </c>
      <c r="AF671" s="261">
        <v>667</v>
      </c>
      <c r="AG671" s="262">
        <v>45552.56</v>
      </c>
      <c r="AI671" s="261">
        <v>667</v>
      </c>
      <c r="AJ671" s="262">
        <v>19200</v>
      </c>
      <c r="AL671" s="261"/>
      <c r="AM671" s="262"/>
    </row>
    <row r="672" spans="2:39">
      <c r="B672" s="261" t="s">
        <v>1080</v>
      </c>
      <c r="C672" s="261">
        <v>21343</v>
      </c>
      <c r="E672" s="261" t="s">
        <v>1080</v>
      </c>
      <c r="F672" s="261">
        <v>21260.959999999999</v>
      </c>
      <c r="N672" s="261">
        <v>668</v>
      </c>
      <c r="O672" s="262">
        <v>7539.06</v>
      </c>
      <c r="Q672" s="261">
        <v>668</v>
      </c>
      <c r="R672" s="262">
        <v>2848</v>
      </c>
      <c r="T672" s="261">
        <v>668</v>
      </c>
      <c r="U672" s="262">
        <v>2853</v>
      </c>
      <c r="W672" s="261">
        <v>668</v>
      </c>
      <c r="X672" s="262">
        <v>5154.3</v>
      </c>
      <c r="Z672" s="261">
        <v>668</v>
      </c>
      <c r="AA672" s="262">
        <v>5192.8</v>
      </c>
      <c r="AC672" s="261">
        <v>668</v>
      </c>
      <c r="AD672" s="262">
        <v>17029.310000000001</v>
      </c>
      <c r="AF672" s="261">
        <v>668</v>
      </c>
      <c r="AG672" s="262">
        <v>45621.01</v>
      </c>
      <c r="AI672" s="261">
        <v>668</v>
      </c>
      <c r="AJ672" s="262">
        <v>19228</v>
      </c>
      <c r="AL672" s="261"/>
      <c r="AM672" s="262"/>
    </row>
    <row r="673" spans="2:39">
      <c r="B673" s="261" t="s">
        <v>937</v>
      </c>
      <c r="C673" s="261">
        <v>21375</v>
      </c>
      <c r="E673" s="261" t="s">
        <v>937</v>
      </c>
      <c r="F673" s="261">
        <v>21292.36</v>
      </c>
      <c r="N673" s="261">
        <v>669</v>
      </c>
      <c r="O673" s="262">
        <v>7550.17</v>
      </c>
      <c r="Q673" s="261">
        <v>669</v>
      </c>
      <c r="R673" s="262">
        <v>2852</v>
      </c>
      <c r="T673" s="261">
        <v>669</v>
      </c>
      <c r="U673" s="262">
        <v>2857</v>
      </c>
      <c r="W673" s="261">
        <v>669</v>
      </c>
      <c r="X673" s="262">
        <v>5161.8</v>
      </c>
      <c r="Z673" s="261">
        <v>669</v>
      </c>
      <c r="AA673" s="262">
        <v>5200.32</v>
      </c>
      <c r="AC673" s="261">
        <v>669</v>
      </c>
      <c r="AD673" s="262">
        <v>17055</v>
      </c>
      <c r="AF673" s="261">
        <v>669</v>
      </c>
      <c r="AG673" s="262">
        <v>45689.45</v>
      </c>
      <c r="AI673" s="261">
        <v>669</v>
      </c>
      <c r="AJ673" s="262">
        <v>19257</v>
      </c>
      <c r="AL673" s="261"/>
      <c r="AM673" s="262"/>
    </row>
    <row r="674" spans="2:39">
      <c r="B674" s="261" t="s">
        <v>966</v>
      </c>
      <c r="C674" s="261">
        <v>21406</v>
      </c>
      <c r="E674" s="261" t="s">
        <v>966</v>
      </c>
      <c r="F674" s="261">
        <v>21323.62</v>
      </c>
      <c r="N674" s="261">
        <v>670</v>
      </c>
      <c r="O674" s="262">
        <v>7561.28</v>
      </c>
      <c r="Q674" s="261">
        <v>670</v>
      </c>
      <c r="R674" s="262">
        <v>2856</v>
      </c>
      <c r="T674" s="261">
        <v>670</v>
      </c>
      <c r="U674" s="262">
        <v>2861</v>
      </c>
      <c r="W674" s="261">
        <v>670</v>
      </c>
      <c r="X674" s="262">
        <v>5169.3</v>
      </c>
      <c r="Z674" s="261">
        <v>670</v>
      </c>
      <c r="AA674" s="262">
        <v>5207.84</v>
      </c>
      <c r="AC674" s="261">
        <v>670</v>
      </c>
      <c r="AD674" s="262">
        <v>17080.7</v>
      </c>
      <c r="AF674" s="261">
        <v>670</v>
      </c>
      <c r="AG674" s="262">
        <v>45757.9</v>
      </c>
      <c r="AI674" s="261">
        <v>670</v>
      </c>
      <c r="AJ674" s="262">
        <v>19285</v>
      </c>
      <c r="AL674" s="261"/>
      <c r="AM674" s="262"/>
    </row>
    <row r="675" spans="2:39">
      <c r="B675" s="261" t="s">
        <v>965</v>
      </c>
      <c r="C675" s="261">
        <v>21438</v>
      </c>
      <c r="E675" s="261" t="s">
        <v>965</v>
      </c>
      <c r="F675" s="261">
        <v>21355.02</v>
      </c>
      <c r="N675" s="261">
        <v>671</v>
      </c>
      <c r="O675" s="262">
        <v>7582.38</v>
      </c>
      <c r="Q675" s="261">
        <v>671</v>
      </c>
      <c r="R675" s="262">
        <v>2860</v>
      </c>
      <c r="T675" s="261">
        <v>671</v>
      </c>
      <c r="U675" s="262">
        <v>2866</v>
      </c>
      <c r="W675" s="261">
        <v>671</v>
      </c>
      <c r="X675" s="262">
        <v>5176.8</v>
      </c>
      <c r="Z675" s="261">
        <v>671</v>
      </c>
      <c r="AA675" s="262">
        <v>5215.3599999999997</v>
      </c>
      <c r="AC675" s="261">
        <v>671</v>
      </c>
      <c r="AD675" s="262">
        <v>17106.39</v>
      </c>
      <c r="AF675" s="261">
        <v>671</v>
      </c>
      <c r="AG675" s="262">
        <v>45826.35</v>
      </c>
      <c r="AI675" s="261">
        <v>671</v>
      </c>
      <c r="AJ675" s="262">
        <v>19314</v>
      </c>
      <c r="AL675" s="261"/>
      <c r="AM675" s="262"/>
    </row>
    <row r="676" spans="2:39">
      <c r="B676" s="261" t="s">
        <v>966</v>
      </c>
      <c r="C676" s="261">
        <v>21469</v>
      </c>
      <c r="E676" s="261" t="s">
        <v>966</v>
      </c>
      <c r="F676" s="261">
        <v>21386.28</v>
      </c>
      <c r="N676" s="261">
        <v>672</v>
      </c>
      <c r="O676" s="262">
        <v>7583.49</v>
      </c>
      <c r="Q676" s="261">
        <v>672</v>
      </c>
      <c r="R676" s="262">
        <v>2864</v>
      </c>
      <c r="T676" s="261">
        <v>672</v>
      </c>
      <c r="U676" s="262">
        <v>2870</v>
      </c>
      <c r="W676" s="261">
        <v>672</v>
      </c>
      <c r="X676" s="262">
        <v>5184.3</v>
      </c>
      <c r="Z676" s="261">
        <v>672</v>
      </c>
      <c r="AA676" s="262">
        <v>5222.87</v>
      </c>
      <c r="AC676" s="261">
        <v>672</v>
      </c>
      <c r="AD676" s="262">
        <v>17132.09</v>
      </c>
      <c r="AF676" s="261">
        <v>672</v>
      </c>
      <c r="AG676" s="262">
        <v>45894.79</v>
      </c>
      <c r="AI676" s="261">
        <v>672</v>
      </c>
      <c r="AJ676" s="262">
        <v>19342</v>
      </c>
      <c r="AL676" s="261"/>
      <c r="AM676" s="262"/>
    </row>
    <row r="677" spans="2:39">
      <c r="B677" s="261">
        <v>28</v>
      </c>
      <c r="C677" s="261">
        <v>21501</v>
      </c>
      <c r="E677" s="261">
        <v>28</v>
      </c>
      <c r="F677" s="261">
        <v>21417.69</v>
      </c>
      <c r="N677" s="261">
        <v>673</v>
      </c>
      <c r="O677" s="262">
        <v>7594.59</v>
      </c>
      <c r="Q677" s="261">
        <v>673</v>
      </c>
      <c r="R677" s="262">
        <v>2868</v>
      </c>
      <c r="T677" s="261">
        <v>673</v>
      </c>
      <c r="U677" s="262">
        <v>2874</v>
      </c>
      <c r="W677" s="261">
        <v>673</v>
      </c>
      <c r="X677" s="262">
        <v>5191.8</v>
      </c>
      <c r="Z677" s="261">
        <v>673</v>
      </c>
      <c r="AA677" s="262">
        <v>5230.3900000000003</v>
      </c>
      <c r="AC677" s="261">
        <v>673</v>
      </c>
      <c r="AD677" s="262">
        <v>17157.79</v>
      </c>
      <c r="AF677" s="261">
        <v>673</v>
      </c>
      <c r="AG677" s="262">
        <v>45963.24</v>
      </c>
      <c r="AI677" s="261">
        <v>673</v>
      </c>
      <c r="AJ677" s="262">
        <v>19370</v>
      </c>
      <c r="AL677" s="261"/>
      <c r="AM677" s="262"/>
    </row>
    <row r="678" spans="2:39">
      <c r="B678" s="261" t="s">
        <v>1081</v>
      </c>
      <c r="C678" s="261">
        <v>21532</v>
      </c>
      <c r="E678" s="261" t="s">
        <v>1081</v>
      </c>
      <c r="F678" s="261">
        <v>21448.949999999997</v>
      </c>
      <c r="N678" s="261">
        <v>674</v>
      </c>
      <c r="O678" s="262">
        <v>7605.7</v>
      </c>
      <c r="Q678" s="261">
        <v>674</v>
      </c>
      <c r="R678" s="262">
        <v>2872</v>
      </c>
      <c r="T678" s="261">
        <v>674</v>
      </c>
      <c r="U678" s="262">
        <v>2878</v>
      </c>
      <c r="W678" s="261">
        <v>674</v>
      </c>
      <c r="X678" s="262">
        <v>5199.3</v>
      </c>
      <c r="Z678" s="261">
        <v>674</v>
      </c>
      <c r="AA678" s="262">
        <v>5237.91</v>
      </c>
      <c r="AC678" s="261">
        <v>674</v>
      </c>
      <c r="AD678" s="262">
        <v>17183.48</v>
      </c>
      <c r="AF678" s="261">
        <v>674</v>
      </c>
      <c r="AG678" s="262">
        <v>46031.69</v>
      </c>
      <c r="AI678" s="261">
        <v>674</v>
      </c>
      <c r="AJ678" s="262">
        <v>19399</v>
      </c>
      <c r="AL678" s="261"/>
      <c r="AM678" s="262"/>
    </row>
    <row r="679" spans="2:39">
      <c r="B679" s="261" t="s">
        <v>967</v>
      </c>
      <c r="C679" s="261">
        <v>21564</v>
      </c>
      <c r="E679" s="261" t="s">
        <v>967</v>
      </c>
      <c r="F679" s="261">
        <v>21480.36</v>
      </c>
      <c r="N679" s="261">
        <v>675</v>
      </c>
      <c r="O679" s="262">
        <v>7616.81</v>
      </c>
      <c r="Q679" s="261">
        <v>675</v>
      </c>
      <c r="R679" s="262">
        <v>2876</v>
      </c>
      <c r="T679" s="261">
        <v>675</v>
      </c>
      <c r="U679" s="262">
        <v>2882</v>
      </c>
      <c r="W679" s="261">
        <v>675</v>
      </c>
      <c r="X679" s="262">
        <v>5206.8</v>
      </c>
      <c r="Z679" s="261">
        <v>675</v>
      </c>
      <c r="AA679" s="262">
        <v>5245.43</v>
      </c>
      <c r="AC679" s="261">
        <v>675</v>
      </c>
      <c r="AD679" s="262">
        <v>17209.18</v>
      </c>
      <c r="AF679" s="261">
        <v>675</v>
      </c>
      <c r="AG679" s="262">
        <v>46100.13</v>
      </c>
      <c r="AI679" s="261">
        <v>675</v>
      </c>
      <c r="AJ679" s="262">
        <v>19427</v>
      </c>
      <c r="AL679" s="261"/>
      <c r="AM679" s="262"/>
    </row>
    <row r="680" spans="2:39">
      <c r="B680" s="261" t="s">
        <v>1082</v>
      </c>
      <c r="C680" s="261">
        <v>21595</v>
      </c>
      <c r="E680" s="261" t="s">
        <v>1082</v>
      </c>
      <c r="F680" s="261">
        <v>21511.62</v>
      </c>
      <c r="N680" s="261">
        <v>676</v>
      </c>
      <c r="O680" s="262">
        <v>7627.91</v>
      </c>
      <c r="Q680" s="261">
        <v>676</v>
      </c>
      <c r="R680" s="262">
        <v>2881</v>
      </c>
      <c r="T680" s="261">
        <v>676</v>
      </c>
      <c r="U680" s="262">
        <v>2886</v>
      </c>
      <c r="W680" s="261">
        <v>676</v>
      </c>
      <c r="X680" s="262">
        <v>5214.3</v>
      </c>
      <c r="Z680" s="261">
        <v>676</v>
      </c>
      <c r="AA680" s="262">
        <v>5252.94</v>
      </c>
      <c r="AC680" s="261">
        <v>676</v>
      </c>
      <c r="AD680" s="262">
        <v>17234.87</v>
      </c>
      <c r="AF680" s="261">
        <v>676</v>
      </c>
      <c r="AG680" s="262">
        <v>46168.58</v>
      </c>
      <c r="AI680" s="261">
        <v>676</v>
      </c>
      <c r="AJ680" s="262">
        <v>19455</v>
      </c>
      <c r="AL680" s="261"/>
      <c r="AM680" s="262"/>
    </row>
    <row r="681" spans="2:39">
      <c r="B681" s="261" t="s">
        <v>968</v>
      </c>
      <c r="C681" s="261">
        <v>21627</v>
      </c>
      <c r="E681" s="261" t="s">
        <v>968</v>
      </c>
      <c r="F681" s="261">
        <v>21543.01</v>
      </c>
      <c r="N681" s="261">
        <v>677</v>
      </c>
      <c r="O681" s="262">
        <v>7639.02</v>
      </c>
      <c r="Q681" s="261">
        <v>677</v>
      </c>
      <c r="R681" s="262">
        <v>2885</v>
      </c>
      <c r="T681" s="261">
        <v>677</v>
      </c>
      <c r="U681" s="262">
        <v>2890</v>
      </c>
      <c r="W681" s="261">
        <v>677</v>
      </c>
      <c r="X681" s="262">
        <v>5221.8</v>
      </c>
      <c r="Z681" s="261">
        <v>677</v>
      </c>
      <c r="AA681" s="262">
        <v>5260.46</v>
      </c>
      <c r="AC681" s="261">
        <v>677</v>
      </c>
      <c r="AD681" s="262">
        <v>17260.57</v>
      </c>
      <c r="AF681" s="261">
        <v>677</v>
      </c>
      <c r="AG681" s="262">
        <v>46237.03</v>
      </c>
      <c r="AI681" s="261">
        <v>677</v>
      </c>
      <c r="AJ681" s="262">
        <v>19484</v>
      </c>
      <c r="AL681" s="261"/>
      <c r="AM681" s="262"/>
    </row>
    <row r="682" spans="2:39">
      <c r="B682" s="261" t="s">
        <v>1083</v>
      </c>
      <c r="C682" s="261">
        <v>21658</v>
      </c>
      <c r="E682" s="261" t="s">
        <v>1083</v>
      </c>
      <c r="F682" s="261">
        <v>21574.269999999997</v>
      </c>
      <c r="N682" s="261">
        <v>678</v>
      </c>
      <c r="O682" s="262">
        <v>7650.12</v>
      </c>
      <c r="Q682" s="261">
        <v>678</v>
      </c>
      <c r="R682" s="262">
        <v>2889</v>
      </c>
      <c r="T682" s="261">
        <v>678</v>
      </c>
      <c r="U682" s="262">
        <v>2894</v>
      </c>
      <c r="W682" s="261">
        <v>678</v>
      </c>
      <c r="X682" s="262">
        <v>5229.3</v>
      </c>
      <c r="Z682" s="261">
        <v>678</v>
      </c>
      <c r="AA682" s="262">
        <v>5267.98</v>
      </c>
      <c r="AC682" s="261">
        <v>678</v>
      </c>
      <c r="AD682" s="262">
        <v>17286.27</v>
      </c>
      <c r="AF682" s="261">
        <v>678</v>
      </c>
      <c r="AG682" s="262">
        <v>46305.48</v>
      </c>
      <c r="AI682" s="261">
        <v>678</v>
      </c>
      <c r="AJ682" s="262">
        <v>19512</v>
      </c>
      <c r="AL682" s="261"/>
      <c r="AM682" s="262"/>
    </row>
    <row r="683" spans="2:39">
      <c r="B683" s="261" t="s">
        <v>938</v>
      </c>
      <c r="C683" s="261">
        <v>21689</v>
      </c>
      <c r="E683" s="261" t="s">
        <v>938</v>
      </c>
      <c r="F683" s="261">
        <v>21605.68</v>
      </c>
      <c r="N683" s="261">
        <v>679</v>
      </c>
      <c r="O683" s="262">
        <v>7661.23</v>
      </c>
      <c r="Q683" s="261">
        <v>679</v>
      </c>
      <c r="R683" s="262">
        <v>2893</v>
      </c>
      <c r="T683" s="261">
        <v>679</v>
      </c>
      <c r="U683" s="262">
        <v>2899</v>
      </c>
      <c r="W683" s="261">
        <v>679</v>
      </c>
      <c r="X683" s="262">
        <v>5236.8999999999996</v>
      </c>
      <c r="Z683" s="261">
        <v>679</v>
      </c>
      <c r="AA683" s="262">
        <v>5275.5</v>
      </c>
      <c r="AC683" s="261">
        <v>679</v>
      </c>
      <c r="AD683" s="262">
        <v>17311.96</v>
      </c>
      <c r="AF683" s="261">
        <v>679</v>
      </c>
      <c r="AG683" s="262">
        <v>46373.919999999998</v>
      </c>
      <c r="AI683" s="261">
        <v>679</v>
      </c>
      <c r="AJ683" s="262">
        <v>19541</v>
      </c>
      <c r="AL683" s="261"/>
      <c r="AM683" s="262"/>
    </row>
    <row r="684" spans="2:39">
      <c r="B684" s="261" t="s">
        <v>1084</v>
      </c>
      <c r="C684" s="261">
        <v>21720</v>
      </c>
      <c r="E684" s="261" t="s">
        <v>1084</v>
      </c>
      <c r="F684" s="261">
        <v>21636.94</v>
      </c>
      <c r="N684" s="261">
        <v>680</v>
      </c>
      <c r="O684" s="262">
        <v>7672.34</v>
      </c>
      <c r="Q684" s="261">
        <v>680</v>
      </c>
      <c r="R684" s="262">
        <v>2897</v>
      </c>
      <c r="T684" s="261">
        <v>680</v>
      </c>
      <c r="U684" s="262">
        <v>2903</v>
      </c>
      <c r="W684" s="261">
        <v>680</v>
      </c>
      <c r="X684" s="262">
        <v>5244.4</v>
      </c>
      <c r="Z684" s="261">
        <v>680</v>
      </c>
      <c r="AA684" s="262">
        <v>5283.02</v>
      </c>
      <c r="AC684" s="261">
        <v>680</v>
      </c>
      <c r="AD684" s="262">
        <v>17337.66</v>
      </c>
      <c r="AF684" s="261">
        <v>680</v>
      </c>
      <c r="AG684" s="262">
        <v>46442.37</v>
      </c>
      <c r="AI684" s="261">
        <v>680</v>
      </c>
      <c r="AJ684" s="262">
        <v>19569</v>
      </c>
      <c r="AL684" s="261"/>
      <c r="AM684" s="262"/>
    </row>
    <row r="685" spans="2:39">
      <c r="B685" s="261" t="s">
        <v>969</v>
      </c>
      <c r="C685" s="261">
        <v>21752</v>
      </c>
      <c r="E685" s="261" t="s">
        <v>969</v>
      </c>
      <c r="F685" s="261">
        <v>21668.35</v>
      </c>
      <c r="N685" s="261">
        <v>681</v>
      </c>
      <c r="O685" s="262">
        <v>7683.44</v>
      </c>
      <c r="Q685" s="261">
        <v>681</v>
      </c>
      <c r="R685" s="262">
        <v>2901</v>
      </c>
      <c r="T685" s="261">
        <v>681</v>
      </c>
      <c r="U685" s="262">
        <v>2907</v>
      </c>
      <c r="W685" s="261">
        <v>681</v>
      </c>
      <c r="X685" s="262">
        <v>5251.9</v>
      </c>
      <c r="Z685" s="261">
        <v>681</v>
      </c>
      <c r="AA685" s="262">
        <v>5290.53</v>
      </c>
      <c r="AC685" s="261">
        <v>681</v>
      </c>
      <c r="AD685" s="262">
        <v>17363.349999999999</v>
      </c>
      <c r="AF685" s="261">
        <v>681</v>
      </c>
      <c r="AG685" s="262">
        <v>46510.82</v>
      </c>
      <c r="AI685" s="261">
        <v>681</v>
      </c>
      <c r="AJ685" s="262">
        <v>19597</v>
      </c>
      <c r="AL685" s="261"/>
      <c r="AM685" s="262"/>
    </row>
    <row r="686" spans="2:39">
      <c r="B686" s="261" t="s">
        <v>1085</v>
      </c>
      <c r="C686" s="261">
        <v>21783</v>
      </c>
      <c r="E686" s="261" t="s">
        <v>1085</v>
      </c>
      <c r="F686" s="261">
        <v>21699.609999999997</v>
      </c>
      <c r="N686" s="261">
        <v>682</v>
      </c>
      <c r="O686" s="262">
        <v>7694.55</v>
      </c>
      <c r="Q686" s="261">
        <v>682</v>
      </c>
      <c r="R686" s="262">
        <v>2905</v>
      </c>
      <c r="T686" s="261">
        <v>682</v>
      </c>
      <c r="U686" s="262">
        <v>2911</v>
      </c>
      <c r="W686" s="261">
        <v>682</v>
      </c>
      <c r="X686" s="262">
        <v>5259.4</v>
      </c>
      <c r="Z686" s="261">
        <v>682</v>
      </c>
      <c r="AA686" s="262">
        <v>5298.05</v>
      </c>
      <c r="AC686" s="261">
        <v>682</v>
      </c>
      <c r="AD686" s="262">
        <v>17389.05</v>
      </c>
      <c r="AF686" s="261">
        <v>682</v>
      </c>
      <c r="AG686" s="262">
        <v>46579.26</v>
      </c>
      <c r="AI686" s="261">
        <v>682</v>
      </c>
      <c r="AJ686" s="262">
        <v>19626</v>
      </c>
      <c r="AL686" s="261"/>
      <c r="AM686" s="262"/>
    </row>
    <row r="687" spans="2:39">
      <c r="B687" s="261" t="s">
        <v>970</v>
      </c>
      <c r="C687" s="261">
        <v>21815</v>
      </c>
      <c r="E687" s="261" t="s">
        <v>970</v>
      </c>
      <c r="F687" s="261">
        <v>21731.01</v>
      </c>
      <c r="N687" s="261">
        <v>683</v>
      </c>
      <c r="O687" s="262">
        <v>7705.65</v>
      </c>
      <c r="Q687" s="261">
        <v>683</v>
      </c>
      <c r="R687" s="262">
        <v>2909</v>
      </c>
      <c r="T687" s="261">
        <v>683</v>
      </c>
      <c r="U687" s="262">
        <v>2915</v>
      </c>
      <c r="W687" s="261">
        <v>683</v>
      </c>
      <c r="X687" s="262">
        <v>5266.9</v>
      </c>
      <c r="Z687" s="261">
        <v>683</v>
      </c>
      <c r="AA687" s="262">
        <v>5305.57</v>
      </c>
      <c r="AC687" s="261">
        <v>683</v>
      </c>
      <c r="AD687" s="262">
        <v>17414.75</v>
      </c>
      <c r="AF687" s="261">
        <v>683</v>
      </c>
      <c r="AG687" s="262">
        <v>46647.71</v>
      </c>
      <c r="AI687" s="261">
        <v>683</v>
      </c>
      <c r="AJ687" s="262">
        <v>19654</v>
      </c>
      <c r="AL687" s="261"/>
      <c r="AM687" s="262"/>
    </row>
    <row r="688" spans="2:39">
      <c r="B688" s="261" t="s">
        <v>1086</v>
      </c>
      <c r="C688" s="261">
        <v>21846</v>
      </c>
      <c r="E688" s="261" t="s">
        <v>1086</v>
      </c>
      <c r="F688" s="261">
        <v>21762.269999999997</v>
      </c>
      <c r="N688" s="261">
        <v>684</v>
      </c>
      <c r="O688" s="262">
        <v>7716.76</v>
      </c>
      <c r="Q688" s="261">
        <v>684</v>
      </c>
      <c r="R688" s="262">
        <v>2913</v>
      </c>
      <c r="T688" s="261">
        <v>684</v>
      </c>
      <c r="U688" s="262">
        <v>2919</v>
      </c>
      <c r="W688" s="261">
        <v>684</v>
      </c>
      <c r="X688" s="262">
        <v>5274.4</v>
      </c>
      <c r="Z688" s="261">
        <v>684</v>
      </c>
      <c r="AA688" s="262">
        <v>5313.09</v>
      </c>
      <c r="AC688" s="261">
        <v>684</v>
      </c>
      <c r="AD688" s="262">
        <v>17440.439999999999</v>
      </c>
      <c r="AF688" s="261">
        <v>684</v>
      </c>
      <c r="AG688" s="262">
        <v>46716.160000000003</v>
      </c>
      <c r="AI688" s="261">
        <v>684</v>
      </c>
      <c r="AJ688" s="262">
        <v>19683</v>
      </c>
      <c r="AL688" s="261"/>
      <c r="AM688" s="262"/>
    </row>
    <row r="689" spans="2:39" ht="12.75" customHeight="1">
      <c r="B689" s="261" t="s">
        <v>971</v>
      </c>
      <c r="C689" s="261">
        <v>21878</v>
      </c>
      <c r="E689" s="261" t="s">
        <v>971</v>
      </c>
      <c r="F689" s="261">
        <v>21793.68</v>
      </c>
      <c r="N689" s="261">
        <v>685</v>
      </c>
      <c r="O689" s="262">
        <v>7727.87</v>
      </c>
      <c r="Q689" s="261">
        <v>685</v>
      </c>
      <c r="R689" s="262">
        <v>2918</v>
      </c>
      <c r="T689" s="261">
        <v>685</v>
      </c>
      <c r="U689" s="262">
        <v>2923</v>
      </c>
      <c r="W689" s="261">
        <v>685</v>
      </c>
      <c r="X689" s="262">
        <v>5281.9</v>
      </c>
      <c r="Z689" s="261">
        <v>685</v>
      </c>
      <c r="AA689" s="262">
        <v>5320.6</v>
      </c>
      <c r="AC689" s="261">
        <v>685</v>
      </c>
      <c r="AD689" s="262">
        <v>17466.14</v>
      </c>
      <c r="AF689" s="261">
        <v>685</v>
      </c>
      <c r="AG689" s="262">
        <v>46784.6</v>
      </c>
      <c r="AI689" s="261">
        <v>685</v>
      </c>
      <c r="AJ689" s="262">
        <v>19711</v>
      </c>
      <c r="AL689" s="261"/>
      <c r="AM689" s="262"/>
    </row>
    <row r="690" spans="2:39" ht="12.75" customHeight="1">
      <c r="B690" s="261" t="s">
        <v>1087</v>
      </c>
      <c r="C690" s="261">
        <v>21909</v>
      </c>
      <c r="E690" s="261" t="s">
        <v>1087</v>
      </c>
      <c r="F690" s="261">
        <v>21824.94</v>
      </c>
      <c r="N690" s="261">
        <v>686</v>
      </c>
      <c r="O690" s="262">
        <v>7738.97</v>
      </c>
      <c r="Q690" s="261">
        <v>686</v>
      </c>
      <c r="R690" s="262">
        <v>2922</v>
      </c>
      <c r="T690" s="261">
        <v>686</v>
      </c>
      <c r="U690" s="262">
        <v>2928</v>
      </c>
      <c r="W690" s="261">
        <v>686</v>
      </c>
      <c r="X690" s="262">
        <v>5289.4</v>
      </c>
      <c r="Z690" s="261">
        <v>686</v>
      </c>
      <c r="AA690" s="262">
        <v>5328.12</v>
      </c>
      <c r="AC690" s="261">
        <v>686</v>
      </c>
      <c r="AD690" s="262">
        <v>17491.830000000002</v>
      </c>
      <c r="AF690" s="261">
        <v>686</v>
      </c>
      <c r="AG690" s="262">
        <v>46853.05</v>
      </c>
      <c r="AI690" s="261">
        <v>686</v>
      </c>
      <c r="AJ690" s="262">
        <v>19739</v>
      </c>
      <c r="AL690" s="261"/>
      <c r="AM690" s="262"/>
    </row>
    <row r="691" spans="2:39" ht="12.75" customHeight="1">
      <c r="B691" s="261" t="s">
        <v>972</v>
      </c>
      <c r="C691" s="261">
        <v>21941</v>
      </c>
      <c r="E691" s="261" t="s">
        <v>972</v>
      </c>
      <c r="F691" s="261">
        <v>21856.33</v>
      </c>
      <c r="N691" s="261">
        <v>687</v>
      </c>
      <c r="O691" s="262">
        <v>7750.08</v>
      </c>
      <c r="Q691" s="261">
        <v>687</v>
      </c>
      <c r="R691" s="262">
        <v>2926</v>
      </c>
      <c r="T691" s="261">
        <v>687</v>
      </c>
      <c r="U691" s="262">
        <v>2932</v>
      </c>
      <c r="W691" s="261">
        <v>687</v>
      </c>
      <c r="X691" s="262">
        <v>5296.9</v>
      </c>
      <c r="Z691" s="261">
        <v>687</v>
      </c>
      <c r="AA691" s="262">
        <v>5335.64</v>
      </c>
      <c r="AC691" s="261">
        <v>687</v>
      </c>
      <c r="AD691" s="262">
        <v>17517.53</v>
      </c>
      <c r="AF691" s="261">
        <v>687</v>
      </c>
      <c r="AG691" s="262">
        <v>46921.5</v>
      </c>
      <c r="AI691" s="261">
        <v>687</v>
      </c>
      <c r="AJ691" s="262">
        <v>19768</v>
      </c>
      <c r="AL691" s="261"/>
      <c r="AM691" s="262"/>
    </row>
    <row r="692" spans="2:39" ht="12.75" customHeight="1">
      <c r="B692" s="261" t="s">
        <v>1088</v>
      </c>
      <c r="C692" s="261">
        <v>21972</v>
      </c>
      <c r="E692" s="261" t="s">
        <v>1088</v>
      </c>
      <c r="F692" s="261">
        <v>21887.59</v>
      </c>
      <c r="N692" s="261">
        <v>688</v>
      </c>
      <c r="O692" s="262">
        <v>7761.18</v>
      </c>
      <c r="Q692" s="261">
        <v>688</v>
      </c>
      <c r="R692" s="262">
        <v>2930</v>
      </c>
      <c r="T692" s="261">
        <v>688</v>
      </c>
      <c r="U692" s="262">
        <v>2936</v>
      </c>
      <c r="W692" s="261">
        <v>688</v>
      </c>
      <c r="X692" s="262">
        <v>5304.4</v>
      </c>
      <c r="Z692" s="261">
        <v>688</v>
      </c>
      <c r="AA692" s="262">
        <v>5343.16</v>
      </c>
      <c r="AC692" s="261">
        <v>688</v>
      </c>
      <c r="AD692" s="262">
        <v>17543.23</v>
      </c>
      <c r="AF692" s="261">
        <v>688</v>
      </c>
      <c r="AG692" s="262">
        <v>46989.95</v>
      </c>
      <c r="AI692" s="261">
        <v>688</v>
      </c>
      <c r="AJ692" s="262">
        <v>19796</v>
      </c>
      <c r="AL692" s="261"/>
      <c r="AM692" s="262"/>
    </row>
    <row r="693" spans="2:39" ht="12.75" customHeight="1">
      <c r="B693" s="261" t="s">
        <v>973</v>
      </c>
      <c r="C693" s="261">
        <v>22004</v>
      </c>
      <c r="E693" s="261" t="s">
        <v>973</v>
      </c>
      <c r="F693" s="261">
        <v>21919</v>
      </c>
      <c r="N693" s="261">
        <v>689</v>
      </c>
      <c r="O693" s="262">
        <v>7772.29</v>
      </c>
      <c r="Q693" s="261">
        <v>689</v>
      </c>
      <c r="R693" s="262">
        <v>2934</v>
      </c>
      <c r="T693" s="261">
        <v>689</v>
      </c>
      <c r="U693" s="262">
        <v>2940</v>
      </c>
      <c r="W693" s="261">
        <v>689</v>
      </c>
      <c r="X693" s="262">
        <v>5311.9</v>
      </c>
      <c r="Z693" s="261">
        <v>689</v>
      </c>
      <c r="AA693" s="262">
        <v>5350.68</v>
      </c>
      <c r="AC693" s="261">
        <v>689</v>
      </c>
      <c r="AD693" s="262">
        <v>17568.919999999998</v>
      </c>
      <c r="AF693" s="261">
        <v>689</v>
      </c>
      <c r="AG693" s="262">
        <v>47058.39</v>
      </c>
      <c r="AI693" s="261">
        <v>689</v>
      </c>
      <c r="AJ693" s="262">
        <v>19825</v>
      </c>
      <c r="AL693" s="261"/>
      <c r="AM693" s="262"/>
    </row>
    <row r="694" spans="2:39" ht="12.75" customHeight="1">
      <c r="B694" s="261" t="s">
        <v>1089</v>
      </c>
      <c r="C694" s="261">
        <v>22035</v>
      </c>
      <c r="E694" s="261" t="s">
        <v>1089</v>
      </c>
      <c r="F694" s="261">
        <v>21950.26</v>
      </c>
      <c r="N694" s="261">
        <v>690</v>
      </c>
      <c r="O694" s="262">
        <v>7783.4</v>
      </c>
      <c r="Q694" s="261">
        <v>690</v>
      </c>
      <c r="R694" s="262">
        <v>2938</v>
      </c>
      <c r="T694" s="261">
        <v>690</v>
      </c>
      <c r="U694" s="262">
        <v>2944</v>
      </c>
      <c r="W694" s="261">
        <v>690</v>
      </c>
      <c r="X694" s="262">
        <v>5319.5</v>
      </c>
      <c r="Z694" s="261">
        <v>690</v>
      </c>
      <c r="AA694" s="262">
        <v>5358.19</v>
      </c>
      <c r="AC694" s="261">
        <v>690</v>
      </c>
      <c r="AD694" s="262">
        <v>17594.62</v>
      </c>
      <c r="AF694" s="261">
        <v>690</v>
      </c>
      <c r="AG694" s="262">
        <v>47126.84</v>
      </c>
      <c r="AI694" s="261">
        <v>690</v>
      </c>
      <c r="AJ694" s="262">
        <v>19853</v>
      </c>
      <c r="AL694" s="261"/>
      <c r="AM694" s="262"/>
    </row>
    <row r="695" spans="2:39" ht="12.75" customHeight="1">
      <c r="B695" s="261" t="s">
        <v>974</v>
      </c>
      <c r="C695" s="261">
        <v>22066</v>
      </c>
      <c r="E695" s="261" t="s">
        <v>974</v>
      </c>
      <c r="F695" s="261">
        <v>21981.66</v>
      </c>
      <c r="N695" s="261">
        <v>691</v>
      </c>
      <c r="O695" s="262">
        <v>7794.5</v>
      </c>
      <c r="Q695" s="261">
        <v>691</v>
      </c>
      <c r="R695" s="262">
        <v>2942</v>
      </c>
      <c r="T695" s="261">
        <v>691</v>
      </c>
      <c r="U695" s="262">
        <v>2948</v>
      </c>
      <c r="W695" s="261">
        <v>691</v>
      </c>
      <c r="X695" s="262">
        <v>5327</v>
      </c>
      <c r="Z695" s="261">
        <v>691</v>
      </c>
      <c r="AA695" s="262">
        <v>5365.71</v>
      </c>
      <c r="AC695" s="261">
        <v>691</v>
      </c>
      <c r="AD695" s="262">
        <v>17620.310000000001</v>
      </c>
      <c r="AF695" s="261">
        <v>691</v>
      </c>
      <c r="AG695" s="262">
        <v>47195.29</v>
      </c>
      <c r="AI695" s="261">
        <v>691</v>
      </c>
      <c r="AJ695" s="262">
        <v>19881</v>
      </c>
      <c r="AL695" s="261"/>
      <c r="AM695" s="262"/>
    </row>
    <row r="696" spans="2:39" ht="12.75" customHeight="1">
      <c r="B696" s="261" t="s">
        <v>1090</v>
      </c>
      <c r="C696" s="261">
        <v>22097</v>
      </c>
      <c r="E696" s="261" t="s">
        <v>1090</v>
      </c>
      <c r="F696" s="261">
        <v>22012.92</v>
      </c>
      <c r="N696" s="261">
        <v>692</v>
      </c>
      <c r="O696" s="262">
        <v>7805.61</v>
      </c>
      <c r="Q696" s="261">
        <v>692</v>
      </c>
      <c r="R696" s="262">
        <v>2946</v>
      </c>
      <c r="T696" s="261">
        <v>692</v>
      </c>
      <c r="U696" s="262">
        <v>2952</v>
      </c>
      <c r="W696" s="261">
        <v>692</v>
      </c>
      <c r="X696" s="262">
        <v>5334.5</v>
      </c>
      <c r="Z696" s="261">
        <v>692</v>
      </c>
      <c r="AA696" s="262">
        <v>5373.23</v>
      </c>
      <c r="AC696" s="261">
        <v>692</v>
      </c>
      <c r="AD696" s="262">
        <v>17646.009999999998</v>
      </c>
      <c r="AF696" s="261">
        <v>692</v>
      </c>
      <c r="AG696" s="262">
        <v>47263.73</v>
      </c>
      <c r="AI696" s="261">
        <v>692</v>
      </c>
      <c r="AJ696" s="262">
        <v>19910</v>
      </c>
      <c r="AL696" s="261"/>
      <c r="AM696" s="262"/>
    </row>
    <row r="697" spans="2:39" ht="12.75" customHeight="1">
      <c r="B697" s="261" t="s">
        <v>939</v>
      </c>
      <c r="C697" s="261">
        <v>22129</v>
      </c>
      <c r="E697" s="261" t="s">
        <v>939</v>
      </c>
      <c r="F697" s="261">
        <v>22044.33</v>
      </c>
      <c r="N697" s="261">
        <v>693</v>
      </c>
      <c r="O697" s="262">
        <v>7816.71</v>
      </c>
      <c r="Q697" s="261">
        <v>693</v>
      </c>
      <c r="R697" s="262">
        <v>2951</v>
      </c>
      <c r="T697" s="261">
        <v>693</v>
      </c>
      <c r="U697" s="262">
        <v>2957</v>
      </c>
      <c r="W697" s="261">
        <v>693</v>
      </c>
      <c r="X697" s="262">
        <v>5342</v>
      </c>
      <c r="Z697" s="261">
        <v>693</v>
      </c>
      <c r="AA697" s="262">
        <v>5380.75</v>
      </c>
      <c r="AC697" s="261">
        <v>693</v>
      </c>
      <c r="AD697" s="262">
        <v>17671.71</v>
      </c>
      <c r="AF697" s="261">
        <v>693</v>
      </c>
      <c r="AG697" s="262">
        <v>47332.18</v>
      </c>
      <c r="AI697" s="261">
        <v>693</v>
      </c>
      <c r="AJ697" s="262">
        <v>19938</v>
      </c>
      <c r="AL697" s="261"/>
      <c r="AM697" s="262"/>
    </row>
    <row r="698" spans="2:39" ht="12.75" customHeight="1">
      <c r="B698" s="261" t="s">
        <v>1091</v>
      </c>
      <c r="C698" s="261">
        <v>22160</v>
      </c>
      <c r="E698" s="261" t="s">
        <v>1091</v>
      </c>
      <c r="F698" s="261">
        <v>22075.59</v>
      </c>
      <c r="N698" s="261">
        <v>694</v>
      </c>
      <c r="O698" s="262">
        <v>7827.82</v>
      </c>
      <c r="Q698" s="261">
        <v>694</v>
      </c>
      <c r="R698" s="262">
        <v>2955</v>
      </c>
      <c r="T698" s="261">
        <v>694</v>
      </c>
      <c r="U698" s="262">
        <v>2961</v>
      </c>
      <c r="W698" s="261">
        <v>694</v>
      </c>
      <c r="X698" s="262">
        <v>5349.5</v>
      </c>
      <c r="Z698" s="261">
        <v>694</v>
      </c>
      <c r="AA698" s="262">
        <v>5388.26</v>
      </c>
      <c r="AC698" s="261">
        <v>694</v>
      </c>
      <c r="AD698" s="262">
        <v>17697.400000000001</v>
      </c>
      <c r="AF698" s="261">
        <v>694</v>
      </c>
      <c r="AG698" s="262">
        <v>47400.63</v>
      </c>
      <c r="AI698" s="261">
        <v>694</v>
      </c>
      <c r="AJ698" s="262">
        <v>19967</v>
      </c>
      <c r="AL698" s="261"/>
      <c r="AM698" s="262"/>
    </row>
    <row r="699" spans="2:39" ht="12.75" customHeight="1">
      <c r="B699" s="261" t="s">
        <v>975</v>
      </c>
      <c r="C699" s="261">
        <v>22192</v>
      </c>
      <c r="E699" s="261" t="s">
        <v>975</v>
      </c>
      <c r="F699" s="261">
        <v>22106.99</v>
      </c>
      <c r="N699" s="261">
        <v>695</v>
      </c>
      <c r="O699" s="262">
        <v>7838.93</v>
      </c>
      <c r="Q699" s="261">
        <v>695</v>
      </c>
      <c r="R699" s="262">
        <v>2959</v>
      </c>
      <c r="T699" s="261">
        <v>695</v>
      </c>
      <c r="U699" s="262">
        <v>2965</v>
      </c>
      <c r="W699" s="261">
        <v>695</v>
      </c>
      <c r="X699" s="262">
        <v>5357</v>
      </c>
      <c r="Z699" s="261">
        <v>695</v>
      </c>
      <c r="AA699" s="262">
        <v>5395.78</v>
      </c>
      <c r="AC699" s="261">
        <v>695</v>
      </c>
      <c r="AD699" s="262">
        <v>17723.099999999999</v>
      </c>
      <c r="AF699" s="261">
        <v>695</v>
      </c>
      <c r="AG699" s="262">
        <v>47469.07</v>
      </c>
      <c r="AI699" s="261">
        <v>695</v>
      </c>
      <c r="AJ699" s="262">
        <v>19995</v>
      </c>
      <c r="AL699" s="261"/>
      <c r="AM699" s="262"/>
    </row>
    <row r="700" spans="2:39" ht="12.75" customHeight="1">
      <c r="B700" s="261" t="s">
        <v>1092</v>
      </c>
      <c r="C700" s="261">
        <v>22223</v>
      </c>
      <c r="E700" s="261" t="s">
        <v>1092</v>
      </c>
      <c r="F700" s="261">
        <v>22138.25</v>
      </c>
      <c r="N700" s="261">
        <v>696</v>
      </c>
      <c r="O700" s="262">
        <v>7850.03</v>
      </c>
      <c r="Q700" s="261">
        <v>696</v>
      </c>
      <c r="R700" s="262">
        <v>2963</v>
      </c>
      <c r="T700" s="261">
        <v>696</v>
      </c>
      <c r="U700" s="262">
        <v>2969</v>
      </c>
      <c r="W700" s="261">
        <v>696</v>
      </c>
      <c r="X700" s="262">
        <v>5364.5</v>
      </c>
      <c r="Z700" s="261">
        <v>696</v>
      </c>
      <c r="AA700" s="262">
        <v>5403.3</v>
      </c>
      <c r="AC700" s="261">
        <v>696</v>
      </c>
      <c r="AD700" s="262">
        <v>17748.79</v>
      </c>
      <c r="AF700" s="261">
        <v>696</v>
      </c>
      <c r="AG700" s="262">
        <v>47537.52</v>
      </c>
      <c r="AI700" s="261">
        <v>696</v>
      </c>
      <c r="AJ700" s="262">
        <v>20023</v>
      </c>
      <c r="AL700" s="261"/>
      <c r="AM700" s="262"/>
    </row>
    <row r="701" spans="2:39" ht="12.75" customHeight="1">
      <c r="B701" s="261">
        <v>29</v>
      </c>
      <c r="C701" s="261">
        <v>22255</v>
      </c>
      <c r="E701" s="261">
        <v>29</v>
      </c>
      <c r="F701" s="261">
        <v>22169.65</v>
      </c>
      <c r="N701" s="261">
        <v>697</v>
      </c>
      <c r="O701" s="262">
        <v>7861.14</v>
      </c>
      <c r="Q701" s="261">
        <v>697</v>
      </c>
      <c r="R701" s="262">
        <v>2967</v>
      </c>
      <c r="T701" s="261">
        <v>697</v>
      </c>
      <c r="U701" s="262">
        <v>2973</v>
      </c>
      <c r="W701" s="261">
        <v>697</v>
      </c>
      <c r="X701" s="262">
        <v>5372</v>
      </c>
      <c r="Z701" s="261">
        <v>697</v>
      </c>
      <c r="AA701" s="262">
        <v>5410.82</v>
      </c>
      <c r="AC701" s="261">
        <v>697</v>
      </c>
      <c r="AD701" s="262">
        <v>17774.490000000002</v>
      </c>
      <c r="AF701" s="261">
        <v>697</v>
      </c>
      <c r="AG701" s="262">
        <v>47605.97</v>
      </c>
      <c r="AI701" s="261">
        <v>697</v>
      </c>
      <c r="AJ701" s="262">
        <v>20052</v>
      </c>
      <c r="AL701" s="261"/>
      <c r="AM701" s="262"/>
    </row>
    <row r="702" spans="2:39" ht="12.75" customHeight="1">
      <c r="B702" s="261" t="s">
        <v>1093</v>
      </c>
      <c r="C702" s="261">
        <v>22286</v>
      </c>
      <c r="E702" s="261" t="s">
        <v>1093</v>
      </c>
      <c r="F702" s="261">
        <v>22200.91</v>
      </c>
      <c r="N702" s="261">
        <v>698</v>
      </c>
      <c r="O702" s="262">
        <v>7872.24</v>
      </c>
      <c r="Q702" s="261">
        <v>698</v>
      </c>
      <c r="R702" s="262">
        <v>2971</v>
      </c>
      <c r="T702" s="261">
        <v>698</v>
      </c>
      <c r="U702" s="262">
        <v>2977</v>
      </c>
      <c r="W702" s="261">
        <v>698</v>
      </c>
      <c r="X702" s="262">
        <v>5379.5</v>
      </c>
      <c r="Z702" s="261">
        <v>698</v>
      </c>
      <c r="AA702" s="262">
        <v>5418.34</v>
      </c>
      <c r="AC702" s="261">
        <v>698</v>
      </c>
      <c r="AD702" s="262">
        <v>17800.189999999999</v>
      </c>
      <c r="AF702" s="261">
        <v>698</v>
      </c>
      <c r="AG702" s="262">
        <v>47674.42</v>
      </c>
      <c r="AI702" s="261">
        <v>698</v>
      </c>
      <c r="AJ702" s="262">
        <v>20080</v>
      </c>
      <c r="AL702" s="261"/>
      <c r="AM702" s="262"/>
    </row>
    <row r="703" spans="2:39" ht="12.75" customHeight="1">
      <c r="B703" s="261" t="s">
        <v>976</v>
      </c>
      <c r="C703" s="261">
        <v>22318</v>
      </c>
      <c r="E703" s="261" t="s">
        <v>976</v>
      </c>
      <c r="F703" s="261">
        <v>22232.32</v>
      </c>
      <c r="N703" s="261">
        <v>699</v>
      </c>
      <c r="O703" s="262">
        <v>7883.35</v>
      </c>
      <c r="Q703" s="261">
        <v>699</v>
      </c>
      <c r="R703" s="262">
        <v>2975</v>
      </c>
      <c r="T703" s="261">
        <v>699</v>
      </c>
      <c r="U703" s="262">
        <v>2981</v>
      </c>
      <c r="W703" s="261">
        <v>699</v>
      </c>
      <c r="X703" s="262">
        <v>5387</v>
      </c>
      <c r="Z703" s="261">
        <v>699</v>
      </c>
      <c r="AA703" s="262">
        <v>5425.85</v>
      </c>
      <c r="AC703" s="261">
        <v>699</v>
      </c>
      <c r="AD703" s="262">
        <v>17825.88</v>
      </c>
      <c r="AF703" s="261">
        <v>699</v>
      </c>
      <c r="AG703" s="262">
        <v>47742.86</v>
      </c>
      <c r="AI703" s="261">
        <v>699</v>
      </c>
      <c r="AJ703" s="262">
        <v>20109</v>
      </c>
      <c r="AL703" s="261"/>
      <c r="AM703" s="262"/>
    </row>
    <row r="704" spans="2:39" ht="12.75" customHeight="1">
      <c r="B704" s="261" t="s">
        <v>1094</v>
      </c>
      <c r="C704" s="261">
        <v>22349</v>
      </c>
      <c r="E704" s="261" t="s">
        <v>1094</v>
      </c>
      <c r="F704" s="261">
        <v>22263.579999999998</v>
      </c>
      <c r="N704" s="261">
        <v>700</v>
      </c>
      <c r="O704" s="262">
        <v>7894.46</v>
      </c>
      <c r="Q704" s="261">
        <v>700</v>
      </c>
      <c r="R704" s="262">
        <v>2979</v>
      </c>
      <c r="T704" s="261">
        <v>700</v>
      </c>
      <c r="U704" s="262">
        <v>2986</v>
      </c>
      <c r="W704" s="261">
        <v>700</v>
      </c>
      <c r="X704" s="262">
        <v>5394.6</v>
      </c>
      <c r="Z704" s="261">
        <v>700</v>
      </c>
      <c r="AA704" s="262">
        <v>5433.37</v>
      </c>
      <c r="AC704" s="261">
        <v>700</v>
      </c>
      <c r="AD704" s="262">
        <v>17851.580000000002</v>
      </c>
      <c r="AF704" s="261">
        <v>700</v>
      </c>
      <c r="AG704" s="262">
        <v>47811.31</v>
      </c>
      <c r="AI704" s="261">
        <v>700</v>
      </c>
      <c r="AJ704" s="262">
        <v>20137</v>
      </c>
      <c r="AL704" s="261"/>
      <c r="AM704" s="262"/>
    </row>
    <row r="705" spans="2:39" ht="12.75" customHeight="1">
      <c r="B705" s="261" t="s">
        <v>977</v>
      </c>
      <c r="C705" s="261">
        <v>22380</v>
      </c>
      <c r="E705" s="261" t="s">
        <v>977</v>
      </c>
      <c r="F705" s="261">
        <v>22294.98</v>
      </c>
      <c r="N705" s="261">
        <v>701</v>
      </c>
      <c r="O705" s="262">
        <v>7905.65</v>
      </c>
      <c r="Q705" s="261">
        <v>701</v>
      </c>
      <c r="R705" s="262">
        <v>2984</v>
      </c>
      <c r="T705" s="261">
        <v>701</v>
      </c>
      <c r="U705" s="262">
        <v>2990</v>
      </c>
      <c r="W705" s="261">
        <v>701</v>
      </c>
      <c r="X705" s="262">
        <v>5402.1</v>
      </c>
      <c r="Z705" s="261">
        <v>701</v>
      </c>
      <c r="AA705" s="262">
        <v>5440.89</v>
      </c>
      <c r="AC705" s="261">
        <v>701</v>
      </c>
      <c r="AD705" s="262">
        <v>17877.27</v>
      </c>
      <c r="AF705" s="261">
        <v>701</v>
      </c>
      <c r="AG705" s="262">
        <v>47879.76</v>
      </c>
      <c r="AI705" s="261">
        <v>701</v>
      </c>
      <c r="AJ705" s="262">
        <v>20165</v>
      </c>
      <c r="AL705" s="261"/>
      <c r="AM705" s="262"/>
    </row>
    <row r="706" spans="2:39" ht="12.75" customHeight="1">
      <c r="B706" s="261" t="s">
        <v>1095</v>
      </c>
      <c r="C706" s="261">
        <v>22411</v>
      </c>
      <c r="E706" s="261" t="s">
        <v>1095</v>
      </c>
      <c r="F706" s="261">
        <v>22326.239999999998</v>
      </c>
      <c r="N706" s="261">
        <v>702</v>
      </c>
      <c r="O706" s="262">
        <v>7916.67</v>
      </c>
      <c r="Q706" s="261">
        <v>702</v>
      </c>
      <c r="R706" s="262">
        <v>2988</v>
      </c>
      <c r="T706" s="261">
        <v>702</v>
      </c>
      <c r="U706" s="262">
        <v>2994</v>
      </c>
      <c r="W706" s="261">
        <v>702</v>
      </c>
      <c r="X706" s="262">
        <v>5409.6</v>
      </c>
      <c r="Z706" s="261">
        <v>702</v>
      </c>
      <c r="AA706" s="262">
        <v>5448.41</v>
      </c>
      <c r="AC706" s="261">
        <v>702</v>
      </c>
      <c r="AD706" s="262">
        <v>17902.97</v>
      </c>
      <c r="AF706" s="261">
        <v>702</v>
      </c>
      <c r="AG706" s="262">
        <v>47948.2</v>
      </c>
      <c r="AI706" s="261">
        <v>702</v>
      </c>
      <c r="AJ706" s="262">
        <v>20194</v>
      </c>
      <c r="AL706" s="261"/>
      <c r="AM706" s="262"/>
    </row>
    <row r="707" spans="2:39" ht="12.75" customHeight="1">
      <c r="B707" s="261" t="s">
        <v>978</v>
      </c>
      <c r="C707" s="261">
        <v>22443</v>
      </c>
      <c r="E707" s="261" t="s">
        <v>978</v>
      </c>
      <c r="F707" s="261">
        <v>22357.64</v>
      </c>
      <c r="N707" s="261">
        <v>703</v>
      </c>
      <c r="O707" s="262">
        <v>7927.77</v>
      </c>
      <c r="Q707" s="261">
        <v>703</v>
      </c>
      <c r="R707" s="262">
        <v>2992</v>
      </c>
      <c r="T707" s="261">
        <v>703</v>
      </c>
      <c r="U707" s="262">
        <v>2998</v>
      </c>
      <c r="W707" s="261">
        <v>703</v>
      </c>
      <c r="X707" s="262">
        <v>5417.1</v>
      </c>
      <c r="Z707" s="261">
        <v>703</v>
      </c>
      <c r="AA707" s="262">
        <v>5455.93</v>
      </c>
      <c r="AC707" s="261">
        <v>703</v>
      </c>
      <c r="AD707" s="262">
        <v>17928.669999999998</v>
      </c>
      <c r="AF707" s="261">
        <v>703</v>
      </c>
      <c r="AG707" s="262">
        <v>48016.65</v>
      </c>
      <c r="AI707" s="261">
        <v>703</v>
      </c>
      <c r="AJ707" s="262">
        <v>20222</v>
      </c>
      <c r="AL707" s="261"/>
      <c r="AM707" s="262"/>
    </row>
    <row r="708" spans="2:39" ht="12.75" customHeight="1">
      <c r="B708" s="261" t="s">
        <v>1096</v>
      </c>
      <c r="C708" s="261">
        <v>22474</v>
      </c>
      <c r="E708" s="261" t="s">
        <v>1096</v>
      </c>
      <c r="F708" s="261">
        <v>22388.899999999998</v>
      </c>
      <c r="N708" s="261">
        <v>704</v>
      </c>
      <c r="O708" s="262">
        <v>7938.88</v>
      </c>
      <c r="Q708" s="261">
        <v>704</v>
      </c>
      <c r="R708" s="262">
        <v>2996</v>
      </c>
      <c r="T708" s="261">
        <v>704</v>
      </c>
      <c r="U708" s="262">
        <v>3002</v>
      </c>
      <c r="W708" s="261">
        <v>704</v>
      </c>
      <c r="X708" s="262">
        <v>5424.6</v>
      </c>
      <c r="Z708" s="261">
        <v>704</v>
      </c>
      <c r="AA708" s="262">
        <v>5463.44</v>
      </c>
      <c r="AC708" s="261">
        <v>704</v>
      </c>
      <c r="AD708" s="262">
        <v>17954.36</v>
      </c>
      <c r="AF708" s="261">
        <v>704</v>
      </c>
      <c r="AG708" s="262">
        <v>48085.1</v>
      </c>
      <c r="AI708" s="261">
        <v>704</v>
      </c>
      <c r="AJ708" s="262">
        <v>20250</v>
      </c>
      <c r="AL708" s="261"/>
      <c r="AM708" s="262"/>
    </row>
    <row r="709" spans="2:39" ht="12.75" customHeight="1">
      <c r="B709" s="261" t="s">
        <v>979</v>
      </c>
      <c r="C709" s="261">
        <v>22506</v>
      </c>
      <c r="E709" s="261" t="s">
        <v>979</v>
      </c>
      <c r="F709" s="261">
        <v>22420.31</v>
      </c>
      <c r="N709" s="261">
        <v>705</v>
      </c>
      <c r="O709" s="262">
        <v>7949.99</v>
      </c>
      <c r="Q709" s="261">
        <v>705</v>
      </c>
      <c r="R709" s="262">
        <v>3000</v>
      </c>
      <c r="T709" s="261">
        <v>705</v>
      </c>
      <c r="U709" s="262">
        <v>3006</v>
      </c>
      <c r="W709" s="261">
        <v>705</v>
      </c>
      <c r="X709" s="262">
        <v>5432.1</v>
      </c>
      <c r="Z709" s="261">
        <v>705</v>
      </c>
      <c r="AA709" s="262">
        <v>5470.96</v>
      </c>
      <c r="AC709" s="261">
        <v>705</v>
      </c>
      <c r="AD709" s="262">
        <v>17980.060000000001</v>
      </c>
      <c r="AF709" s="261">
        <v>705</v>
      </c>
      <c r="AG709" s="262">
        <v>48153.54</v>
      </c>
      <c r="AI709" s="261">
        <v>705</v>
      </c>
      <c r="AJ709" s="262">
        <v>20279</v>
      </c>
      <c r="AL709" s="261"/>
      <c r="AM709" s="262"/>
    </row>
    <row r="710" spans="2:39" ht="12.75" customHeight="1">
      <c r="B710" s="261" t="s">
        <v>1097</v>
      </c>
      <c r="C710" s="261">
        <v>22537</v>
      </c>
      <c r="E710" s="261" t="s">
        <v>1097</v>
      </c>
      <c r="F710" s="261">
        <v>22451.57</v>
      </c>
      <c r="N710" s="261">
        <v>706</v>
      </c>
      <c r="O710" s="262">
        <v>7961.09</v>
      </c>
      <c r="Q710" s="261">
        <v>706</v>
      </c>
      <c r="R710" s="262">
        <v>3004</v>
      </c>
      <c r="T710" s="261">
        <v>706</v>
      </c>
      <c r="U710" s="262">
        <v>3010</v>
      </c>
      <c r="W710" s="261">
        <v>706</v>
      </c>
      <c r="X710" s="262">
        <v>5439.6</v>
      </c>
      <c r="Z710" s="261">
        <v>706</v>
      </c>
      <c r="AA710" s="262">
        <v>5478.48</v>
      </c>
      <c r="AC710" s="261">
        <v>706</v>
      </c>
      <c r="AD710" s="262">
        <v>18005.75</v>
      </c>
      <c r="AF710" s="261">
        <v>706</v>
      </c>
      <c r="AG710" s="262">
        <v>48221.99</v>
      </c>
      <c r="AI710" s="261">
        <v>706</v>
      </c>
      <c r="AJ710" s="262">
        <v>20307</v>
      </c>
      <c r="AL710" s="261"/>
      <c r="AM710" s="262"/>
    </row>
    <row r="711" spans="2:39" ht="12.75" customHeight="1">
      <c r="B711" s="261" t="s">
        <v>958</v>
      </c>
      <c r="C711" s="261">
        <v>22569</v>
      </c>
      <c r="E711" s="261" t="s">
        <v>958</v>
      </c>
      <c r="F711" s="261">
        <v>22482.97</v>
      </c>
      <c r="N711" s="261">
        <v>707</v>
      </c>
      <c r="O711" s="262">
        <v>7972.2</v>
      </c>
      <c r="Q711" s="261">
        <v>707</v>
      </c>
      <c r="R711" s="262">
        <v>3008</v>
      </c>
      <c r="T711" s="261">
        <v>707</v>
      </c>
      <c r="U711" s="262">
        <v>3014</v>
      </c>
      <c r="W711" s="261">
        <v>707</v>
      </c>
      <c r="X711" s="262">
        <v>5447.1</v>
      </c>
      <c r="Z711" s="261">
        <v>707</v>
      </c>
      <c r="AA711" s="262">
        <v>5486</v>
      </c>
      <c r="AC711" s="261">
        <v>707</v>
      </c>
      <c r="AD711" s="262">
        <v>18031.45</v>
      </c>
      <c r="AF711" s="261">
        <v>707</v>
      </c>
      <c r="AG711" s="262">
        <v>48290.44</v>
      </c>
      <c r="AI711" s="261">
        <v>707</v>
      </c>
      <c r="AJ711" s="262">
        <v>20336</v>
      </c>
      <c r="AL711" s="261"/>
      <c r="AM711" s="262"/>
    </row>
    <row r="712" spans="2:39" ht="12.75" customHeight="1">
      <c r="B712" s="261" t="s">
        <v>1098</v>
      </c>
      <c r="C712" s="261">
        <v>22600</v>
      </c>
      <c r="E712" s="261" t="s">
        <v>1098</v>
      </c>
      <c r="F712" s="261">
        <v>22514.23</v>
      </c>
      <c r="N712" s="261">
        <v>708</v>
      </c>
      <c r="O712" s="262">
        <v>7983.3</v>
      </c>
      <c r="Q712" s="261">
        <v>708</v>
      </c>
      <c r="R712" s="262">
        <v>3012</v>
      </c>
      <c r="T712" s="261">
        <v>708</v>
      </c>
      <c r="U712" s="262">
        <v>3019</v>
      </c>
      <c r="W712" s="261">
        <v>708</v>
      </c>
      <c r="X712" s="262">
        <v>5454.6</v>
      </c>
      <c r="Z712" s="261">
        <v>708</v>
      </c>
      <c r="AA712" s="262">
        <v>5493.51</v>
      </c>
      <c r="AC712" s="261">
        <v>708</v>
      </c>
      <c r="AD712" s="262">
        <v>18057.150000000001</v>
      </c>
      <c r="AF712" s="261">
        <v>708</v>
      </c>
      <c r="AG712" s="262">
        <v>48358.89</v>
      </c>
      <c r="AI712" s="261">
        <v>708</v>
      </c>
      <c r="AJ712" s="262">
        <v>20364</v>
      </c>
      <c r="AL712" s="261"/>
      <c r="AM712" s="262"/>
    </row>
    <row r="713" spans="2:39" ht="12.75" customHeight="1">
      <c r="B713" s="261" t="s">
        <v>980</v>
      </c>
      <c r="C713" s="261">
        <v>22632</v>
      </c>
      <c r="E713" s="261" t="s">
        <v>980</v>
      </c>
      <c r="F713" s="261">
        <v>22545.63</v>
      </c>
      <c r="N713" s="261">
        <v>709</v>
      </c>
      <c r="O713" s="262">
        <v>7994.41</v>
      </c>
      <c r="Q713" s="261">
        <v>709</v>
      </c>
      <c r="R713" s="262">
        <v>3017</v>
      </c>
      <c r="T713" s="261">
        <v>709</v>
      </c>
      <c r="U713" s="262">
        <v>3023</v>
      </c>
      <c r="W713" s="261">
        <v>709</v>
      </c>
      <c r="X713" s="262">
        <v>5462.1</v>
      </c>
      <c r="Z713" s="261">
        <v>709</v>
      </c>
      <c r="AA713" s="262">
        <v>5501.03</v>
      </c>
      <c r="AC713" s="261">
        <v>709</v>
      </c>
      <c r="AD713" s="262">
        <v>18082.84</v>
      </c>
      <c r="AF713" s="261">
        <v>709</v>
      </c>
      <c r="AG713" s="262">
        <v>48427.33</v>
      </c>
      <c r="AI713" s="261">
        <v>709</v>
      </c>
      <c r="AJ713" s="262">
        <v>20392</v>
      </c>
      <c r="AL713" s="261"/>
      <c r="AM713" s="262"/>
    </row>
    <row r="714" spans="2:39" ht="12.75" customHeight="1">
      <c r="B714" s="261" t="s">
        <v>1099</v>
      </c>
      <c r="C714" s="261">
        <v>22663</v>
      </c>
      <c r="E714" s="261" t="s">
        <v>1099</v>
      </c>
      <c r="F714" s="261">
        <v>22576.89</v>
      </c>
      <c r="N714" s="261">
        <v>710</v>
      </c>
      <c r="O714" s="262">
        <v>8005.52</v>
      </c>
      <c r="Q714" s="261">
        <v>710</v>
      </c>
      <c r="R714" s="262">
        <v>3021</v>
      </c>
      <c r="T714" s="261">
        <v>710</v>
      </c>
      <c r="U714" s="262">
        <v>3027</v>
      </c>
      <c r="W714" s="261">
        <v>710</v>
      </c>
      <c r="X714" s="262">
        <v>5469.6</v>
      </c>
      <c r="Z714" s="261">
        <v>710</v>
      </c>
      <c r="AA714" s="262">
        <v>5508.55</v>
      </c>
      <c r="AC714" s="261">
        <v>710</v>
      </c>
      <c r="AD714" s="262">
        <v>18108.54</v>
      </c>
      <c r="AF714" s="261">
        <v>710</v>
      </c>
      <c r="AG714" s="262">
        <v>48495.78</v>
      </c>
      <c r="AI714" s="261">
        <v>710</v>
      </c>
      <c r="AJ714" s="262">
        <v>20421</v>
      </c>
      <c r="AL714" s="261"/>
      <c r="AM714" s="262"/>
    </row>
    <row r="715" spans="2:39" ht="12.75" customHeight="1">
      <c r="B715" s="261" t="s">
        <v>981</v>
      </c>
      <c r="C715" s="261">
        <v>22695</v>
      </c>
      <c r="E715" s="261" t="s">
        <v>981</v>
      </c>
      <c r="F715" s="261">
        <v>22608.29</v>
      </c>
      <c r="N715" s="261">
        <v>711</v>
      </c>
      <c r="O715" s="262">
        <v>8016.62</v>
      </c>
      <c r="Q715" s="261">
        <v>711</v>
      </c>
      <c r="R715" s="262">
        <v>3025</v>
      </c>
      <c r="T715" s="261">
        <v>711</v>
      </c>
      <c r="U715" s="262">
        <v>3031</v>
      </c>
      <c r="W715" s="261">
        <v>711</v>
      </c>
      <c r="X715" s="262">
        <v>5477.2</v>
      </c>
      <c r="Z715" s="261">
        <v>711</v>
      </c>
      <c r="AA715" s="262">
        <v>5516.07</v>
      </c>
      <c r="AC715" s="261">
        <v>711</v>
      </c>
      <c r="AD715" s="262">
        <v>18134.23</v>
      </c>
      <c r="AF715" s="261">
        <v>711</v>
      </c>
      <c r="AG715" s="262">
        <v>48564.23</v>
      </c>
      <c r="AI715" s="261">
        <v>711</v>
      </c>
      <c r="AJ715" s="262">
        <v>20449</v>
      </c>
      <c r="AL715" s="261"/>
      <c r="AM715" s="262"/>
    </row>
    <row r="716" spans="2:39" ht="12.75" customHeight="1">
      <c r="B716" s="261" t="s">
        <v>1100</v>
      </c>
      <c r="C716" s="261">
        <v>22726</v>
      </c>
      <c r="E716" s="261" t="s">
        <v>1100</v>
      </c>
      <c r="F716" s="261">
        <v>22639.55</v>
      </c>
      <c r="N716" s="261">
        <v>712</v>
      </c>
      <c r="O716" s="262">
        <v>8027.73</v>
      </c>
      <c r="Q716" s="261">
        <v>712</v>
      </c>
      <c r="R716" s="262">
        <v>3029</v>
      </c>
      <c r="T716" s="261">
        <v>712</v>
      </c>
      <c r="U716" s="262">
        <v>3035</v>
      </c>
      <c r="W716" s="261">
        <v>712</v>
      </c>
      <c r="X716" s="262">
        <v>5484.7</v>
      </c>
      <c r="Z716" s="261">
        <v>712</v>
      </c>
      <c r="AA716" s="262">
        <v>5523.59</v>
      </c>
      <c r="AC716" s="261">
        <v>712</v>
      </c>
      <c r="AD716" s="262">
        <v>18159.93</v>
      </c>
      <c r="AF716" s="261">
        <v>712</v>
      </c>
      <c r="AG716" s="262">
        <v>48632.67</v>
      </c>
      <c r="AI716" s="261">
        <v>712</v>
      </c>
      <c r="AJ716" s="262">
        <v>20478</v>
      </c>
      <c r="AL716" s="261"/>
      <c r="AM716" s="262"/>
    </row>
    <row r="717" spans="2:39" ht="12.75" customHeight="1">
      <c r="B717" s="261" t="s">
        <v>982</v>
      </c>
      <c r="C717" s="261">
        <v>22757</v>
      </c>
      <c r="E717" s="261" t="s">
        <v>982</v>
      </c>
      <c r="F717" s="261">
        <v>22670.959999999999</v>
      </c>
      <c r="N717" s="261">
        <v>713</v>
      </c>
      <c r="O717" s="262">
        <v>8038.83</v>
      </c>
      <c r="Q717" s="261">
        <v>713</v>
      </c>
      <c r="R717" s="262">
        <v>3033</v>
      </c>
      <c r="T717" s="261">
        <v>713</v>
      </c>
      <c r="U717" s="262">
        <v>3039</v>
      </c>
      <c r="W717" s="261">
        <v>713</v>
      </c>
      <c r="X717" s="262">
        <v>5492.2</v>
      </c>
      <c r="Z717" s="261">
        <v>713</v>
      </c>
      <c r="AA717" s="262">
        <v>5531.1</v>
      </c>
      <c r="AC717" s="261">
        <v>713</v>
      </c>
      <c r="AD717" s="262">
        <v>18185.63</v>
      </c>
      <c r="AF717" s="261">
        <v>713</v>
      </c>
      <c r="AG717" s="262">
        <v>48701.120000000003</v>
      </c>
      <c r="AI717" s="261">
        <v>713</v>
      </c>
      <c r="AJ717" s="262">
        <v>20506</v>
      </c>
      <c r="AL717" s="261"/>
      <c r="AM717" s="262"/>
    </row>
    <row r="718" spans="2:39" ht="12.75" customHeight="1">
      <c r="B718" s="261" t="s">
        <v>1101</v>
      </c>
      <c r="C718" s="261">
        <v>22788</v>
      </c>
      <c r="E718" s="261" t="s">
        <v>1101</v>
      </c>
      <c r="F718" s="261">
        <v>22702.219999999998</v>
      </c>
      <c r="N718" s="261">
        <v>714</v>
      </c>
      <c r="O718" s="262">
        <v>8049.94</v>
      </c>
      <c r="Q718" s="261">
        <v>714</v>
      </c>
      <c r="R718" s="262">
        <v>3037</v>
      </c>
      <c r="T718" s="261">
        <v>714</v>
      </c>
      <c r="U718" s="262">
        <v>3043</v>
      </c>
      <c r="W718" s="261">
        <v>714</v>
      </c>
      <c r="X718" s="262">
        <v>5499.7</v>
      </c>
      <c r="Z718" s="261">
        <v>714</v>
      </c>
      <c r="AA718" s="262">
        <v>5538.62</v>
      </c>
      <c r="AC718" s="261">
        <v>714</v>
      </c>
      <c r="AD718" s="262">
        <v>18211.32</v>
      </c>
      <c r="AF718" s="261">
        <v>714</v>
      </c>
      <c r="AG718" s="262">
        <v>48769.57</v>
      </c>
      <c r="AI718" s="261">
        <v>714</v>
      </c>
      <c r="AJ718" s="262">
        <v>20534</v>
      </c>
      <c r="AL718" s="261"/>
      <c r="AM718" s="262"/>
    </row>
    <row r="719" spans="2:39" ht="12.75" customHeight="1">
      <c r="B719" s="261" t="s">
        <v>983</v>
      </c>
      <c r="C719" s="261">
        <v>22820</v>
      </c>
      <c r="E719" s="261" t="s">
        <v>983</v>
      </c>
      <c r="F719" s="261">
        <v>22733.63</v>
      </c>
      <c r="N719" s="261">
        <v>715</v>
      </c>
      <c r="O719" s="262">
        <v>8061.05</v>
      </c>
      <c r="Q719" s="261">
        <v>715</v>
      </c>
      <c r="R719" s="262">
        <v>3041</v>
      </c>
      <c r="T719" s="261">
        <v>715</v>
      </c>
      <c r="U719" s="262">
        <v>3048</v>
      </c>
      <c r="W719" s="261">
        <v>715</v>
      </c>
      <c r="X719" s="262">
        <v>5507.2</v>
      </c>
      <c r="Z719" s="261">
        <v>715</v>
      </c>
      <c r="AA719" s="262">
        <v>5546.14</v>
      </c>
      <c r="AC719" s="261">
        <v>715</v>
      </c>
      <c r="AD719" s="262">
        <v>18237.02</v>
      </c>
      <c r="AF719" s="261">
        <v>715</v>
      </c>
      <c r="AG719" s="262">
        <v>48838.01</v>
      </c>
      <c r="AI719" s="261">
        <v>715</v>
      </c>
      <c r="AJ719" s="262">
        <v>20563</v>
      </c>
      <c r="AL719" s="261"/>
      <c r="AM719" s="262"/>
    </row>
    <row r="720" spans="2:39" ht="12.75" customHeight="1">
      <c r="B720" s="261" t="s">
        <v>1102</v>
      </c>
      <c r="C720" s="261">
        <v>22851</v>
      </c>
      <c r="E720" s="261" t="s">
        <v>1102</v>
      </c>
      <c r="F720" s="261">
        <v>22764.89</v>
      </c>
      <c r="N720" s="261">
        <v>716</v>
      </c>
      <c r="O720" s="262">
        <v>8072.15</v>
      </c>
      <c r="Q720" s="261">
        <v>716</v>
      </c>
      <c r="R720" s="262">
        <v>3045</v>
      </c>
      <c r="T720" s="261">
        <v>716</v>
      </c>
      <c r="U720" s="262">
        <v>3052</v>
      </c>
      <c r="W720" s="261">
        <v>716</v>
      </c>
      <c r="X720" s="262">
        <v>5514.7</v>
      </c>
      <c r="Z720" s="261">
        <v>716</v>
      </c>
      <c r="AA720" s="262">
        <v>5553.66</v>
      </c>
      <c r="AC720" s="261">
        <v>716</v>
      </c>
      <c r="AD720" s="262">
        <v>18262.71</v>
      </c>
      <c r="AF720" s="261">
        <v>716</v>
      </c>
      <c r="AG720" s="262">
        <v>48906.46</v>
      </c>
      <c r="AI720" s="261">
        <v>716</v>
      </c>
      <c r="AJ720" s="262">
        <v>20591</v>
      </c>
      <c r="AL720" s="261"/>
      <c r="AM720" s="262"/>
    </row>
    <row r="721" spans="2:39" ht="12.75" customHeight="1">
      <c r="B721" s="261" t="s">
        <v>940</v>
      </c>
      <c r="C721" s="261">
        <v>22883</v>
      </c>
      <c r="E721" s="261" t="s">
        <v>940</v>
      </c>
      <c r="F721" s="261">
        <v>22796.28</v>
      </c>
      <c r="N721" s="261">
        <v>717</v>
      </c>
      <c r="O721" s="262">
        <v>8083.26</v>
      </c>
      <c r="Q721" s="261">
        <v>717</v>
      </c>
      <c r="R721" s="262">
        <v>3049</v>
      </c>
      <c r="T721" s="261">
        <v>717</v>
      </c>
      <c r="U721" s="262">
        <v>3056</v>
      </c>
      <c r="W721" s="261">
        <v>717</v>
      </c>
      <c r="X721" s="262">
        <v>5522.2</v>
      </c>
      <c r="Z721" s="261">
        <v>717</v>
      </c>
      <c r="AA721" s="262">
        <v>5561.17</v>
      </c>
      <c r="AC721" s="261">
        <v>717</v>
      </c>
      <c r="AD721" s="262">
        <v>18288.41</v>
      </c>
      <c r="AF721" s="261">
        <v>717</v>
      </c>
      <c r="AG721" s="262">
        <v>48974.91</v>
      </c>
      <c r="AI721" s="261">
        <v>717</v>
      </c>
      <c r="AJ721" s="262">
        <v>20620</v>
      </c>
      <c r="AL721" s="261"/>
      <c r="AM721" s="262"/>
    </row>
    <row r="722" spans="2:39" ht="12.75" customHeight="1">
      <c r="B722" s="261" t="s">
        <v>1103</v>
      </c>
      <c r="C722" s="261">
        <v>22914</v>
      </c>
      <c r="E722" s="261" t="s">
        <v>1103</v>
      </c>
      <c r="F722" s="261">
        <v>22827.539999999997</v>
      </c>
      <c r="N722" s="261">
        <v>718</v>
      </c>
      <c r="O722" s="262">
        <v>8094.37</v>
      </c>
      <c r="Q722" s="261">
        <v>718</v>
      </c>
      <c r="R722" s="262">
        <v>3054</v>
      </c>
      <c r="T722" s="261">
        <v>718</v>
      </c>
      <c r="U722" s="262">
        <v>3060</v>
      </c>
      <c r="W722" s="261">
        <v>718</v>
      </c>
      <c r="X722" s="262">
        <v>5529.7</v>
      </c>
      <c r="Z722" s="261">
        <v>718</v>
      </c>
      <c r="AA722" s="262">
        <v>5568.69</v>
      </c>
      <c r="AC722" s="261">
        <v>718</v>
      </c>
      <c r="AD722" s="262">
        <v>18314.11</v>
      </c>
      <c r="AF722" s="261">
        <v>718</v>
      </c>
      <c r="AG722" s="262">
        <v>49043.360000000001</v>
      </c>
      <c r="AI722" s="261">
        <v>718</v>
      </c>
      <c r="AJ722" s="262">
        <v>20648</v>
      </c>
      <c r="AL722" s="261"/>
      <c r="AM722" s="262"/>
    </row>
    <row r="723" spans="2:39" ht="12.75" customHeight="1">
      <c r="B723" s="261" t="s">
        <v>984</v>
      </c>
      <c r="C723" s="261">
        <v>22946</v>
      </c>
      <c r="E723" s="261" t="s">
        <v>984</v>
      </c>
      <c r="F723" s="261">
        <v>22858.95</v>
      </c>
      <c r="N723" s="261">
        <v>719</v>
      </c>
      <c r="O723" s="262">
        <v>8105.47</v>
      </c>
      <c r="Q723" s="261">
        <v>719</v>
      </c>
      <c r="R723" s="262">
        <v>3058</v>
      </c>
      <c r="T723" s="261">
        <v>719</v>
      </c>
      <c r="U723" s="262">
        <v>3064</v>
      </c>
      <c r="W723" s="261">
        <v>719</v>
      </c>
      <c r="X723" s="262">
        <v>5537.2</v>
      </c>
      <c r="Z723" s="261">
        <v>719</v>
      </c>
      <c r="AA723" s="262">
        <v>5576.2</v>
      </c>
      <c r="AC723" s="261">
        <v>719</v>
      </c>
      <c r="AD723" s="262">
        <v>18339.8</v>
      </c>
      <c r="AF723" s="261">
        <v>719</v>
      </c>
      <c r="AG723" s="262">
        <v>49111.8</v>
      </c>
      <c r="AI723" s="261">
        <v>719</v>
      </c>
      <c r="AJ723" s="262">
        <v>20676</v>
      </c>
      <c r="AL723" s="261"/>
      <c r="AM723" s="262"/>
    </row>
    <row r="724" spans="2:39" ht="12.75" customHeight="1">
      <c r="B724" s="261" t="s">
        <v>1104</v>
      </c>
      <c r="C724" s="261">
        <v>22977</v>
      </c>
      <c r="E724" s="261" t="s">
        <v>1104</v>
      </c>
      <c r="F724" s="261">
        <v>22890.21</v>
      </c>
      <c r="N724" s="261">
        <v>720</v>
      </c>
      <c r="O724" s="262">
        <v>8116.58</v>
      </c>
      <c r="Q724" s="261">
        <v>720</v>
      </c>
      <c r="R724" s="262">
        <v>3062</v>
      </c>
      <c r="T724" s="261">
        <v>720</v>
      </c>
      <c r="U724" s="262">
        <v>3068</v>
      </c>
      <c r="W724" s="261">
        <v>720</v>
      </c>
      <c r="X724" s="262">
        <v>5544.7</v>
      </c>
      <c r="Z724" s="261">
        <v>720</v>
      </c>
      <c r="AA724" s="262">
        <v>5583.72</v>
      </c>
      <c r="AC724" s="261">
        <v>720</v>
      </c>
      <c r="AD724" s="262">
        <v>18365.5</v>
      </c>
      <c r="AF724" s="261">
        <v>720</v>
      </c>
      <c r="AG724" s="262">
        <v>49180.28</v>
      </c>
      <c r="AI724" s="261">
        <v>720</v>
      </c>
      <c r="AJ724" s="262">
        <v>20705</v>
      </c>
      <c r="AL724" s="261"/>
      <c r="AM724" s="262"/>
    </row>
    <row r="725" spans="2:39" ht="12.75" customHeight="1">
      <c r="B725" s="261">
        <v>30</v>
      </c>
      <c r="C725" s="261">
        <v>23009</v>
      </c>
      <c r="E725" s="261">
        <v>30</v>
      </c>
      <c r="F725" s="261">
        <v>22921.61</v>
      </c>
      <c r="N725" s="261">
        <v>721</v>
      </c>
      <c r="O725" s="262">
        <v>8127.68</v>
      </c>
      <c r="Q725" s="261">
        <v>721</v>
      </c>
      <c r="R725" s="262">
        <v>3066</v>
      </c>
      <c r="T725" s="261">
        <v>721</v>
      </c>
      <c r="U725" s="262">
        <v>3072</v>
      </c>
      <c r="W725" s="261">
        <v>721</v>
      </c>
      <c r="X725" s="262">
        <v>5552.2</v>
      </c>
      <c r="Z725" s="261">
        <v>721</v>
      </c>
      <c r="AA725" s="262">
        <v>5591.23</v>
      </c>
      <c r="AC725" s="261">
        <v>721</v>
      </c>
      <c r="AD725" s="262">
        <v>18391.189999999999</v>
      </c>
      <c r="AF725" s="261">
        <v>721</v>
      </c>
      <c r="AG725" s="262">
        <v>49248.75</v>
      </c>
      <c r="AI725" s="261">
        <v>721</v>
      </c>
      <c r="AJ725" s="262">
        <v>20733</v>
      </c>
      <c r="AL725" s="261"/>
      <c r="AM725" s="262"/>
    </row>
    <row r="726" spans="2:39" ht="12.75" customHeight="1">
      <c r="B726" s="261" t="s">
        <v>1105</v>
      </c>
      <c r="C726" s="261">
        <v>23040</v>
      </c>
      <c r="E726" s="261" t="s">
        <v>1105</v>
      </c>
      <c r="F726" s="261">
        <v>22952.87</v>
      </c>
      <c r="N726" s="261">
        <v>722</v>
      </c>
      <c r="O726" s="262">
        <v>8138.79</v>
      </c>
      <c r="Q726" s="261">
        <v>722</v>
      </c>
      <c r="R726" s="262">
        <v>3070</v>
      </c>
      <c r="T726" s="261">
        <v>722</v>
      </c>
      <c r="U726" s="262">
        <v>3077</v>
      </c>
      <c r="W726" s="261">
        <v>722</v>
      </c>
      <c r="X726" s="262">
        <v>5559.8</v>
      </c>
      <c r="Z726" s="261">
        <v>722</v>
      </c>
      <c r="AA726" s="262">
        <v>5598.75</v>
      </c>
      <c r="AC726" s="261">
        <v>722</v>
      </c>
      <c r="AD726" s="262">
        <v>18416.89</v>
      </c>
      <c r="AF726" s="261">
        <v>722</v>
      </c>
      <c r="AG726" s="262">
        <v>49317.22</v>
      </c>
      <c r="AI726" s="261">
        <v>722</v>
      </c>
      <c r="AJ726" s="262">
        <v>20762</v>
      </c>
      <c r="AL726" s="261"/>
      <c r="AM726" s="262"/>
    </row>
    <row r="727" spans="2:39" ht="12.75" customHeight="1">
      <c r="B727" s="261" t="s">
        <v>985</v>
      </c>
      <c r="C727" s="261">
        <v>23071</v>
      </c>
      <c r="E727" s="261" t="s">
        <v>985</v>
      </c>
      <c r="F727" s="261">
        <v>22984.28</v>
      </c>
      <c r="N727" s="261">
        <v>723</v>
      </c>
      <c r="O727" s="262">
        <v>8149.9</v>
      </c>
      <c r="Q727" s="261">
        <v>723</v>
      </c>
      <c r="R727" s="262">
        <v>3074</v>
      </c>
      <c r="T727" s="261">
        <v>723</v>
      </c>
      <c r="U727" s="262">
        <v>3081</v>
      </c>
      <c r="W727" s="261">
        <v>723</v>
      </c>
      <c r="X727" s="262">
        <v>5567.3</v>
      </c>
      <c r="Z727" s="261">
        <v>723</v>
      </c>
      <c r="AA727" s="262">
        <v>5606.26</v>
      </c>
      <c r="AC727" s="261">
        <v>723</v>
      </c>
      <c r="AD727" s="262">
        <v>18442.59</v>
      </c>
      <c r="AF727" s="261">
        <v>723</v>
      </c>
      <c r="AG727" s="262">
        <v>49385.69</v>
      </c>
      <c r="AI727" s="261">
        <v>723</v>
      </c>
      <c r="AJ727" s="262">
        <v>20790</v>
      </c>
      <c r="AL727" s="261"/>
      <c r="AM727" s="262"/>
    </row>
    <row r="728" spans="2:39" ht="12.75" customHeight="1">
      <c r="B728" s="261" t="s">
        <v>1106</v>
      </c>
      <c r="C728" s="261">
        <v>23102</v>
      </c>
      <c r="E728" s="261" t="s">
        <v>1106</v>
      </c>
      <c r="F728" s="261">
        <v>23015.539999999997</v>
      </c>
      <c r="N728" s="261">
        <v>724</v>
      </c>
      <c r="O728" s="262">
        <v>8161</v>
      </c>
      <c r="Q728" s="261">
        <v>724</v>
      </c>
      <c r="R728" s="262">
        <v>3078</v>
      </c>
      <c r="T728" s="261">
        <v>724</v>
      </c>
      <c r="U728" s="262">
        <v>3085</v>
      </c>
      <c r="W728" s="261">
        <v>724</v>
      </c>
      <c r="X728" s="262">
        <v>5574.8</v>
      </c>
      <c r="Z728" s="261">
        <v>724</v>
      </c>
      <c r="AA728" s="262">
        <v>5613.77</v>
      </c>
      <c r="AC728" s="261">
        <v>724</v>
      </c>
      <c r="AD728" s="262">
        <v>18468.28</v>
      </c>
      <c r="AF728" s="261">
        <v>724</v>
      </c>
      <c r="AG728" s="262">
        <v>49454.17</v>
      </c>
      <c r="AI728" s="261">
        <v>724</v>
      </c>
      <c r="AJ728" s="262">
        <v>20818</v>
      </c>
      <c r="AL728" s="261"/>
      <c r="AM728" s="262"/>
    </row>
    <row r="729" spans="2:39" ht="12.75" customHeight="1">
      <c r="B729" s="261" t="s">
        <v>986</v>
      </c>
      <c r="C729" s="261">
        <v>23134</v>
      </c>
      <c r="E729" s="261" t="s">
        <v>986</v>
      </c>
      <c r="F729" s="261">
        <v>23046.95</v>
      </c>
      <c r="N729" s="261">
        <v>725</v>
      </c>
      <c r="O729" s="262">
        <v>8172.11</v>
      </c>
      <c r="Q729" s="261">
        <v>725</v>
      </c>
      <c r="R729" s="262">
        <v>3082</v>
      </c>
      <c r="W729" s="261">
        <v>725</v>
      </c>
      <c r="X729" s="262">
        <v>5582.3</v>
      </c>
      <c r="Z729" s="261">
        <v>725</v>
      </c>
      <c r="AA729" s="262">
        <v>5621.29</v>
      </c>
      <c r="AC729" s="261">
        <v>725</v>
      </c>
      <c r="AD729" s="262">
        <v>18493.98</v>
      </c>
      <c r="AF729" s="261">
        <v>725</v>
      </c>
      <c r="AG729" s="262">
        <v>49522.64</v>
      </c>
      <c r="AI729" s="261">
        <v>725</v>
      </c>
      <c r="AJ729" s="262">
        <v>20847</v>
      </c>
      <c r="AL729" s="261"/>
      <c r="AM729" s="262"/>
    </row>
    <row r="730" spans="2:39" ht="12.75" customHeight="1">
      <c r="B730" s="261" t="s">
        <v>1107</v>
      </c>
      <c r="C730" s="261">
        <v>23165</v>
      </c>
      <c r="E730" s="261" t="s">
        <v>1107</v>
      </c>
      <c r="F730" s="261">
        <v>23078.21</v>
      </c>
      <c r="N730" s="261">
        <v>726</v>
      </c>
      <c r="O730" s="262">
        <v>8183.21</v>
      </c>
      <c r="Q730" s="261">
        <v>726</v>
      </c>
      <c r="R730" s="262">
        <v>3087</v>
      </c>
      <c r="W730" s="261">
        <v>726</v>
      </c>
      <c r="X730" s="262">
        <v>5589.8</v>
      </c>
      <c r="Z730" s="261">
        <v>726</v>
      </c>
      <c r="AA730" s="262">
        <v>5628.8</v>
      </c>
      <c r="AC730" s="261">
        <v>726</v>
      </c>
      <c r="AD730" s="262">
        <v>18519.669999999998</v>
      </c>
      <c r="AF730" s="261">
        <v>726</v>
      </c>
      <c r="AG730" s="262">
        <v>49591.11</v>
      </c>
      <c r="AI730" s="261">
        <v>726</v>
      </c>
      <c r="AJ730" s="262">
        <v>20875</v>
      </c>
      <c r="AL730" s="261"/>
      <c r="AM730" s="262"/>
    </row>
    <row r="731" spans="2:39" ht="12.75" customHeight="1">
      <c r="B731" s="261" t="s">
        <v>987</v>
      </c>
      <c r="C731" s="261">
        <v>23197</v>
      </c>
      <c r="E731" s="261" t="s">
        <v>987</v>
      </c>
      <c r="F731" s="261">
        <v>23109.599999999999</v>
      </c>
      <c r="N731" s="261">
        <v>727</v>
      </c>
      <c r="O731" s="262">
        <v>8194.32</v>
      </c>
      <c r="Q731" s="261">
        <v>727</v>
      </c>
      <c r="R731" s="262">
        <v>3091</v>
      </c>
      <c r="W731" s="261">
        <v>727</v>
      </c>
      <c r="X731" s="262">
        <v>5597.3</v>
      </c>
      <c r="Z731" s="261">
        <v>727</v>
      </c>
      <c r="AA731" s="262">
        <v>5636.32</v>
      </c>
      <c r="AC731" s="261">
        <v>727</v>
      </c>
      <c r="AD731" s="262">
        <v>18545.37</v>
      </c>
      <c r="AF731" s="261">
        <v>727</v>
      </c>
      <c r="AG731" s="262">
        <v>49659.59</v>
      </c>
      <c r="AI731" s="261">
        <v>727</v>
      </c>
      <c r="AJ731" s="262">
        <v>20904</v>
      </c>
      <c r="AL731" s="261"/>
      <c r="AM731" s="262"/>
    </row>
    <row r="732" spans="2:39" ht="12.75" customHeight="1">
      <c r="B732" s="261" t="s">
        <v>1108</v>
      </c>
      <c r="C732" s="261">
        <v>23228</v>
      </c>
      <c r="E732" s="261" t="s">
        <v>1108</v>
      </c>
      <c r="F732" s="261">
        <v>23140.859999999997</v>
      </c>
      <c r="N732" s="261">
        <v>728</v>
      </c>
      <c r="O732" s="262">
        <v>8205.43</v>
      </c>
      <c r="Q732" s="261">
        <v>728</v>
      </c>
      <c r="R732" s="262">
        <v>3095</v>
      </c>
      <c r="W732" s="261">
        <v>728</v>
      </c>
      <c r="X732" s="262">
        <v>5604.8</v>
      </c>
      <c r="Z732" s="261">
        <v>728</v>
      </c>
      <c r="AA732" s="262">
        <v>5643.83</v>
      </c>
      <c r="AC732" s="261">
        <v>728</v>
      </c>
      <c r="AD732" s="262">
        <v>18571.070000000051</v>
      </c>
      <c r="AF732" s="261">
        <v>728</v>
      </c>
      <c r="AG732" s="262">
        <v>49728.06</v>
      </c>
      <c r="AI732" s="261">
        <v>728</v>
      </c>
      <c r="AJ732" s="262">
        <v>20932</v>
      </c>
      <c r="AL732" s="261"/>
      <c r="AM732" s="262"/>
    </row>
    <row r="733" spans="2:39" ht="12.75" customHeight="1">
      <c r="B733" s="261" t="s">
        <v>988</v>
      </c>
      <c r="C733" s="261">
        <v>23260</v>
      </c>
      <c r="E733" s="261" t="s">
        <v>988</v>
      </c>
      <c r="F733" s="261">
        <v>23172.27</v>
      </c>
      <c r="N733" s="261">
        <v>729</v>
      </c>
      <c r="O733" s="262">
        <v>8216.5300000000007</v>
      </c>
      <c r="Q733" s="261">
        <v>729</v>
      </c>
      <c r="R733" s="262">
        <v>3099</v>
      </c>
      <c r="W733" s="261">
        <v>729</v>
      </c>
      <c r="X733" s="262">
        <v>5612.3</v>
      </c>
      <c r="Z733" s="261">
        <v>729</v>
      </c>
      <c r="AA733" s="262">
        <v>5651.35</v>
      </c>
      <c r="AC733" s="261">
        <v>729</v>
      </c>
      <c r="AD733" s="262">
        <v>18596.760000000053</v>
      </c>
      <c r="AF733" s="261">
        <v>729</v>
      </c>
      <c r="AG733" s="262">
        <v>49796.53</v>
      </c>
      <c r="AI733" s="261">
        <v>729</v>
      </c>
      <c r="AJ733" s="262">
        <v>20960</v>
      </c>
      <c r="AL733" s="261"/>
      <c r="AM733" s="262"/>
    </row>
    <row r="734" spans="2:39" ht="12.75" customHeight="1">
      <c r="B734" s="261" t="s">
        <v>1063</v>
      </c>
      <c r="C734" s="261">
        <v>23291</v>
      </c>
      <c r="E734" s="261" t="s">
        <v>1063</v>
      </c>
      <c r="F734" s="261">
        <v>23203.53</v>
      </c>
      <c r="N734" s="261">
        <v>730</v>
      </c>
      <c r="O734" s="262">
        <v>8227.64</v>
      </c>
      <c r="Q734" s="261">
        <v>730</v>
      </c>
      <c r="R734" s="262">
        <v>3103</v>
      </c>
      <c r="W734" s="261">
        <v>730</v>
      </c>
      <c r="X734" s="262">
        <v>5619.8</v>
      </c>
      <c r="Z734" s="261">
        <v>730</v>
      </c>
      <c r="AA734" s="262">
        <v>5658.86</v>
      </c>
      <c r="AC734" s="261">
        <v>730</v>
      </c>
      <c r="AD734" s="262">
        <v>18622.46000000005</v>
      </c>
      <c r="AF734" s="261">
        <v>730</v>
      </c>
      <c r="AG734" s="262">
        <v>49865.01</v>
      </c>
      <c r="AI734" s="261">
        <v>730</v>
      </c>
      <c r="AJ734" s="262">
        <v>20989</v>
      </c>
      <c r="AL734" s="261"/>
      <c r="AM734" s="262"/>
    </row>
    <row r="735" spans="2:39" ht="12.75" customHeight="1">
      <c r="B735" s="261" t="s">
        <v>989</v>
      </c>
      <c r="C735" s="261">
        <v>23323</v>
      </c>
      <c r="E735" s="261" t="s">
        <v>989</v>
      </c>
      <c r="F735" s="261">
        <v>23234.94</v>
      </c>
      <c r="N735" s="261">
        <v>731</v>
      </c>
      <c r="O735" s="262">
        <v>8238.74</v>
      </c>
      <c r="Q735" s="261">
        <v>731</v>
      </c>
      <c r="R735" s="262">
        <v>3107</v>
      </c>
      <c r="W735" s="261">
        <v>731</v>
      </c>
      <c r="X735" s="262">
        <v>5627.3</v>
      </c>
      <c r="Z735" s="261">
        <v>731</v>
      </c>
      <c r="AA735" s="262">
        <v>5666.38</v>
      </c>
      <c r="AC735" s="261">
        <v>731</v>
      </c>
      <c r="AD735" s="262">
        <v>18648.150000000052</v>
      </c>
      <c r="AF735" s="261">
        <v>731</v>
      </c>
      <c r="AG735" s="262">
        <v>49933.48</v>
      </c>
      <c r="AI735" s="261">
        <v>731</v>
      </c>
      <c r="AJ735" s="262">
        <v>21017</v>
      </c>
      <c r="AL735" s="261"/>
      <c r="AM735" s="262"/>
    </row>
    <row r="736" spans="2:39" ht="12.75" customHeight="1">
      <c r="B736" s="261" t="s">
        <v>1109</v>
      </c>
      <c r="C736" s="261">
        <v>23354</v>
      </c>
      <c r="E736" s="261" t="s">
        <v>1109</v>
      </c>
      <c r="F736" s="261">
        <v>23266.199999999997</v>
      </c>
      <c r="N736" s="261">
        <v>732</v>
      </c>
      <c r="O736" s="262">
        <v>8249.85</v>
      </c>
      <c r="Q736" s="261">
        <v>732</v>
      </c>
      <c r="R736" s="262">
        <v>3111</v>
      </c>
      <c r="W736" s="261">
        <v>732</v>
      </c>
      <c r="X736" s="262">
        <v>5634.8</v>
      </c>
      <c r="Z736" s="261">
        <v>732</v>
      </c>
      <c r="AA736" s="262">
        <v>5673.89</v>
      </c>
      <c r="AC736" s="261">
        <v>732</v>
      </c>
      <c r="AD736" s="262">
        <v>18673.850000000053</v>
      </c>
      <c r="AF736" s="261">
        <v>732</v>
      </c>
      <c r="AG736" s="262">
        <v>50001.95</v>
      </c>
      <c r="AI736" s="261">
        <v>732</v>
      </c>
      <c r="AJ736" s="262">
        <v>21045</v>
      </c>
      <c r="AL736" s="261"/>
      <c r="AM736" s="262"/>
    </row>
    <row r="737" spans="2:39" ht="12.75" customHeight="1">
      <c r="B737" s="261" t="s">
        <v>1110</v>
      </c>
      <c r="C737" s="261">
        <v>23386</v>
      </c>
      <c r="E737" s="261" t="s">
        <v>1110</v>
      </c>
      <c r="F737" s="261">
        <v>23297.599999999999</v>
      </c>
      <c r="N737" s="261">
        <v>733</v>
      </c>
      <c r="O737" s="262">
        <v>8260.9599999999991</v>
      </c>
      <c r="Q737" s="261">
        <v>733</v>
      </c>
      <c r="R737" s="262">
        <v>3115</v>
      </c>
      <c r="W737" s="261">
        <v>733</v>
      </c>
      <c r="X737" s="262">
        <v>5642.4</v>
      </c>
      <c r="Z737" s="261">
        <v>733</v>
      </c>
      <c r="AA737" s="262">
        <v>5681.41</v>
      </c>
      <c r="AC737" s="261">
        <v>733</v>
      </c>
      <c r="AD737" s="262">
        <v>18699.550000000054</v>
      </c>
      <c r="AF737" s="261">
        <v>733</v>
      </c>
      <c r="AG737" s="262">
        <v>50070.42</v>
      </c>
      <c r="AI737" s="261">
        <v>733</v>
      </c>
      <c r="AJ737" s="262">
        <v>21074</v>
      </c>
      <c r="AL737" s="261"/>
      <c r="AM737" s="262"/>
    </row>
    <row r="738" spans="2:39" ht="12.75" customHeight="1">
      <c r="B738" s="261" t="s">
        <v>1111</v>
      </c>
      <c r="C738" s="261">
        <v>23417</v>
      </c>
      <c r="E738" s="261" t="s">
        <v>1111</v>
      </c>
      <c r="F738" s="261">
        <v>23328.859999999997</v>
      </c>
      <c r="N738" s="261">
        <v>734</v>
      </c>
      <c r="O738" s="262">
        <v>8272.06</v>
      </c>
      <c r="Q738" s="261">
        <v>734</v>
      </c>
      <c r="R738" s="262">
        <v>3120</v>
      </c>
      <c r="W738" s="261">
        <v>734</v>
      </c>
      <c r="X738" s="262">
        <v>5649.9</v>
      </c>
      <c r="Z738" s="261">
        <v>734</v>
      </c>
      <c r="AA738" s="262">
        <v>5688.92</v>
      </c>
      <c r="AC738" s="261">
        <v>734</v>
      </c>
      <c r="AD738" s="262">
        <v>18725.240000000056</v>
      </c>
      <c r="AF738" s="261">
        <v>734</v>
      </c>
      <c r="AG738" s="262">
        <v>50138.9</v>
      </c>
      <c r="AI738" s="261">
        <v>734</v>
      </c>
      <c r="AJ738" s="262">
        <v>21102</v>
      </c>
      <c r="AL738" s="261"/>
      <c r="AM738" s="262"/>
    </row>
    <row r="739" spans="2:39" ht="12.75" customHeight="1">
      <c r="B739" s="261" t="s">
        <v>990</v>
      </c>
      <c r="C739" s="261">
        <v>23448</v>
      </c>
      <c r="E739" s="261" t="s">
        <v>990</v>
      </c>
      <c r="F739" s="261">
        <v>23360.26</v>
      </c>
      <c r="N739" s="261">
        <v>735</v>
      </c>
      <c r="O739" s="262">
        <v>8283.17</v>
      </c>
      <c r="Q739" s="261">
        <v>735</v>
      </c>
      <c r="R739" s="262">
        <v>3124</v>
      </c>
      <c r="W739" s="261">
        <v>735</v>
      </c>
      <c r="X739" s="262">
        <v>5657.4</v>
      </c>
      <c r="Z739" s="261">
        <v>735</v>
      </c>
      <c r="AA739" s="262">
        <v>5696.44</v>
      </c>
      <c r="AC739" s="261">
        <v>735</v>
      </c>
      <c r="AD739" s="262">
        <v>18750.940000000053</v>
      </c>
      <c r="AF739" s="261">
        <v>735</v>
      </c>
      <c r="AG739" s="262">
        <v>50207.37</v>
      </c>
      <c r="AI739" s="261">
        <v>735</v>
      </c>
      <c r="AJ739" s="262">
        <v>21131</v>
      </c>
      <c r="AL739" s="261"/>
      <c r="AM739" s="262"/>
    </row>
    <row r="740" spans="2:39" ht="12.75" customHeight="1">
      <c r="B740" s="261" t="s">
        <v>1112</v>
      </c>
      <c r="C740" s="261">
        <v>23479</v>
      </c>
      <c r="E740" s="261" t="s">
        <v>1112</v>
      </c>
      <c r="F740" s="261">
        <v>23391.519999999997</v>
      </c>
      <c r="N740" s="261">
        <v>736</v>
      </c>
      <c r="O740" s="262">
        <v>8294.27</v>
      </c>
      <c r="Q740" s="261">
        <v>736</v>
      </c>
      <c r="R740" s="262">
        <v>3128</v>
      </c>
      <c r="W740" s="261">
        <v>736</v>
      </c>
      <c r="X740" s="262">
        <v>5664.9</v>
      </c>
      <c r="Z740" s="261">
        <v>736</v>
      </c>
      <c r="AA740" s="262">
        <v>5703.95</v>
      </c>
      <c r="AC740" s="261">
        <v>736</v>
      </c>
      <c r="AD740" s="262">
        <v>18776.630000000056</v>
      </c>
      <c r="AF740" s="261">
        <v>736</v>
      </c>
      <c r="AG740" s="262">
        <v>50275.839999999997</v>
      </c>
      <c r="AI740" s="261">
        <v>736</v>
      </c>
      <c r="AJ740" s="262">
        <v>21159</v>
      </c>
      <c r="AL740" s="261"/>
      <c r="AM740" s="262"/>
    </row>
    <row r="741" spans="2:39" ht="12.75" customHeight="1">
      <c r="B741" s="261" t="s">
        <v>991</v>
      </c>
      <c r="C741" s="261">
        <v>23511</v>
      </c>
      <c r="E741" s="261" t="s">
        <v>991</v>
      </c>
      <c r="F741" s="261">
        <v>23422.92</v>
      </c>
      <c r="N741" s="261">
        <v>737</v>
      </c>
      <c r="O741" s="262">
        <v>8305.3799999999992</v>
      </c>
      <c r="Q741" s="261">
        <v>737</v>
      </c>
      <c r="R741" s="262">
        <v>3132</v>
      </c>
      <c r="W741" s="261">
        <v>737</v>
      </c>
      <c r="X741" s="262">
        <v>5672.4</v>
      </c>
      <c r="Z741" s="261">
        <v>737</v>
      </c>
      <c r="AA741" s="262">
        <v>5711.47</v>
      </c>
      <c r="AC741" s="261">
        <v>737</v>
      </c>
      <c r="AD741" s="262">
        <v>18802.330000000056</v>
      </c>
      <c r="AF741" s="261">
        <v>737</v>
      </c>
      <c r="AG741" s="262">
        <v>50344.32</v>
      </c>
      <c r="AI741" s="261">
        <v>737</v>
      </c>
      <c r="AJ741" s="262">
        <v>21187</v>
      </c>
      <c r="AL741" s="261"/>
      <c r="AM741" s="262"/>
    </row>
    <row r="742" spans="2:39" ht="12.75" customHeight="1">
      <c r="B742" s="261" t="s">
        <v>1113</v>
      </c>
      <c r="C742" s="261">
        <v>23542</v>
      </c>
      <c r="E742" s="261" t="s">
        <v>1113</v>
      </c>
      <c r="F742" s="261">
        <v>23454.179999999997</v>
      </c>
      <c r="N742" s="261">
        <v>738</v>
      </c>
      <c r="O742" s="262">
        <v>8316.48</v>
      </c>
      <c r="Q742" s="261">
        <v>738</v>
      </c>
      <c r="R742" s="262">
        <v>3136</v>
      </c>
      <c r="W742" s="261">
        <v>738</v>
      </c>
      <c r="X742" s="262">
        <v>5679.9</v>
      </c>
      <c r="Z742" s="261">
        <v>738</v>
      </c>
      <c r="AA742" s="262">
        <v>5718.98</v>
      </c>
      <c r="AC742" s="261">
        <v>738</v>
      </c>
      <c r="AD742" s="262">
        <v>18828.030000000057</v>
      </c>
      <c r="AF742" s="261">
        <v>738</v>
      </c>
      <c r="AG742" s="262">
        <v>50412.79</v>
      </c>
      <c r="AI742" s="261">
        <v>738</v>
      </c>
      <c r="AJ742" s="262">
        <v>21216</v>
      </c>
      <c r="AL742" s="261"/>
      <c r="AM742" s="262"/>
    </row>
    <row r="743" spans="2:39" ht="12.75" customHeight="1">
      <c r="B743" s="261" t="s">
        <v>992</v>
      </c>
      <c r="C743" s="261">
        <v>23574</v>
      </c>
      <c r="E743" s="261" t="s">
        <v>992</v>
      </c>
      <c r="F743" s="261">
        <v>23485.59</v>
      </c>
      <c r="N743" s="261">
        <v>739</v>
      </c>
      <c r="O743" s="262">
        <v>8327.59</v>
      </c>
      <c r="Q743" s="261">
        <v>739</v>
      </c>
      <c r="R743" s="262">
        <v>3140</v>
      </c>
      <c r="W743" s="261">
        <v>739</v>
      </c>
      <c r="X743" s="262">
        <v>5687.4</v>
      </c>
      <c r="Z743" s="261">
        <v>739</v>
      </c>
      <c r="AA743" s="262">
        <v>5726.49</v>
      </c>
      <c r="AC743" s="261">
        <v>739</v>
      </c>
      <c r="AD743" s="262">
        <v>18853.720000000059</v>
      </c>
      <c r="AF743" s="261">
        <v>739</v>
      </c>
      <c r="AG743" s="262">
        <v>50481.26</v>
      </c>
      <c r="AI743" s="261">
        <v>739</v>
      </c>
      <c r="AJ743" s="262">
        <v>21244</v>
      </c>
      <c r="AL743" s="261"/>
      <c r="AM743" s="262"/>
    </row>
    <row r="744" spans="2:39" ht="12.75" customHeight="1">
      <c r="B744" s="261" t="s">
        <v>1114</v>
      </c>
      <c r="C744" s="261">
        <v>23605</v>
      </c>
      <c r="E744" s="261" t="s">
        <v>1114</v>
      </c>
      <c r="F744" s="261">
        <v>23516.85</v>
      </c>
      <c r="N744" s="261">
        <v>740</v>
      </c>
      <c r="O744" s="262">
        <v>8338.7000000000007</v>
      </c>
      <c r="Q744" s="261">
        <v>740</v>
      </c>
      <c r="R744" s="262">
        <v>3144</v>
      </c>
      <c r="W744" s="261">
        <v>740</v>
      </c>
      <c r="X744" s="262">
        <v>5694.9</v>
      </c>
      <c r="Z744" s="261">
        <v>740</v>
      </c>
      <c r="AA744" s="262">
        <v>5734.01</v>
      </c>
      <c r="AC744" s="261">
        <v>740</v>
      </c>
      <c r="AD744" s="262">
        <v>18879.420000000056</v>
      </c>
      <c r="AF744" s="261">
        <v>740</v>
      </c>
      <c r="AG744" s="262">
        <v>50549.74</v>
      </c>
      <c r="AI744" s="261">
        <v>740</v>
      </c>
      <c r="AJ744" s="262">
        <v>21273</v>
      </c>
      <c r="AL744" s="261"/>
      <c r="AM744" s="262"/>
    </row>
    <row r="745" spans="2:39" ht="12.75" customHeight="1">
      <c r="B745" s="261" t="s">
        <v>941</v>
      </c>
      <c r="C745" s="261">
        <v>23637</v>
      </c>
      <c r="E745" s="261" t="s">
        <v>941</v>
      </c>
      <c r="F745" s="261">
        <v>23548.25</v>
      </c>
      <c r="N745" s="261">
        <v>741</v>
      </c>
      <c r="O745" s="262">
        <v>8349.81</v>
      </c>
      <c r="Q745" s="261">
        <v>741</v>
      </c>
      <c r="R745" s="262">
        <v>3148</v>
      </c>
      <c r="W745" s="261">
        <v>741</v>
      </c>
      <c r="X745" s="262">
        <v>5702.4</v>
      </c>
      <c r="Z745" s="261">
        <v>741</v>
      </c>
      <c r="AA745" s="262">
        <v>5741.52</v>
      </c>
      <c r="AC745" s="261">
        <v>741</v>
      </c>
      <c r="AD745" s="262">
        <v>18905.110000000059</v>
      </c>
      <c r="AF745" s="261">
        <v>741</v>
      </c>
      <c r="AG745" s="262">
        <v>50618.21</v>
      </c>
      <c r="AI745" s="261">
        <v>741</v>
      </c>
      <c r="AJ745" s="262">
        <v>21301</v>
      </c>
      <c r="AL745" s="261"/>
      <c r="AM745" s="262"/>
    </row>
    <row r="746" spans="2:39" ht="12.75" customHeight="1">
      <c r="B746" s="261" t="s">
        <v>1115</v>
      </c>
      <c r="C746" s="261">
        <v>23668</v>
      </c>
      <c r="E746" s="261" t="s">
        <v>1115</v>
      </c>
      <c r="F746" s="261">
        <v>23579.51</v>
      </c>
      <c r="N746" s="261">
        <v>742</v>
      </c>
      <c r="O746" s="262">
        <v>8360.91</v>
      </c>
      <c r="Q746" s="261">
        <v>742</v>
      </c>
      <c r="R746" s="262">
        <v>3152</v>
      </c>
      <c r="W746" s="261">
        <v>742</v>
      </c>
      <c r="X746" s="262">
        <v>5709.9</v>
      </c>
      <c r="Z746" s="261">
        <v>742</v>
      </c>
      <c r="AA746" s="262">
        <v>5749.04</v>
      </c>
      <c r="AC746" s="261">
        <v>742</v>
      </c>
      <c r="AD746" s="262">
        <v>18930.81000000006</v>
      </c>
      <c r="AF746" s="261">
        <v>742</v>
      </c>
      <c r="AG746" s="262">
        <v>50686.68</v>
      </c>
      <c r="AI746" s="261">
        <v>742</v>
      </c>
      <c r="AJ746" s="262">
        <v>21329</v>
      </c>
      <c r="AL746" s="261"/>
      <c r="AM746" s="262"/>
    </row>
    <row r="747" spans="2:39" ht="12.75" customHeight="1">
      <c r="B747" s="261" t="s">
        <v>993</v>
      </c>
      <c r="C747" s="261">
        <v>23700</v>
      </c>
      <c r="E747" s="261" t="s">
        <v>993</v>
      </c>
      <c r="F747" s="261">
        <v>23610.91</v>
      </c>
      <c r="N747" s="261">
        <v>743</v>
      </c>
      <c r="O747" s="262">
        <v>8372.02</v>
      </c>
      <c r="Q747" s="261">
        <v>743</v>
      </c>
      <c r="R747" s="262">
        <v>3157</v>
      </c>
      <c r="W747" s="261">
        <v>743</v>
      </c>
      <c r="X747" s="262">
        <v>5717.4</v>
      </c>
      <c r="Z747" s="261">
        <v>743</v>
      </c>
      <c r="AA747" s="262">
        <v>5756.55</v>
      </c>
      <c r="AC747" s="261">
        <v>743</v>
      </c>
      <c r="AD747" s="262">
        <v>18956.51000000006</v>
      </c>
      <c r="AF747" s="261">
        <v>743</v>
      </c>
      <c r="AG747" s="262">
        <v>50755.15</v>
      </c>
      <c r="AI747" s="261">
        <v>743</v>
      </c>
      <c r="AJ747" s="262">
        <v>21358</v>
      </c>
      <c r="AL747" s="261"/>
      <c r="AM747" s="262"/>
    </row>
    <row r="748" spans="2:39" ht="12.75" customHeight="1">
      <c r="B748" s="261" t="s">
        <v>1116</v>
      </c>
      <c r="C748" s="261">
        <v>23731</v>
      </c>
      <c r="E748" s="261" t="s">
        <v>1116</v>
      </c>
      <c r="F748" s="261">
        <v>23642.17</v>
      </c>
      <c r="N748" s="261">
        <v>744</v>
      </c>
      <c r="O748" s="262">
        <v>8383.1299999999992</v>
      </c>
      <c r="Q748" s="261">
        <v>744</v>
      </c>
      <c r="R748" s="262">
        <v>3161</v>
      </c>
      <c r="W748" s="261">
        <v>744</v>
      </c>
      <c r="X748" s="262">
        <v>5724.9</v>
      </c>
      <c r="Z748" s="261">
        <v>744</v>
      </c>
      <c r="AA748" s="262">
        <v>5764.07</v>
      </c>
      <c r="AC748" s="261">
        <v>744</v>
      </c>
      <c r="AD748" s="262">
        <v>18982.200000000063</v>
      </c>
      <c r="AF748" s="261">
        <v>744</v>
      </c>
      <c r="AG748" s="262">
        <v>50823.63</v>
      </c>
      <c r="AI748" s="261">
        <v>744</v>
      </c>
      <c r="AJ748" s="262">
        <v>21386</v>
      </c>
      <c r="AL748" s="261"/>
      <c r="AM748" s="262"/>
    </row>
    <row r="749" spans="2:39" ht="12.75" customHeight="1">
      <c r="B749" s="261">
        <v>31</v>
      </c>
      <c r="C749" s="261">
        <v>23762</v>
      </c>
      <c r="E749" s="261">
        <v>31</v>
      </c>
      <c r="F749" s="261">
        <v>23673.61</v>
      </c>
      <c r="N749" s="261">
        <v>745</v>
      </c>
      <c r="O749" s="262">
        <v>8394.24</v>
      </c>
      <c r="Q749" s="261">
        <v>745</v>
      </c>
      <c r="R749" s="262">
        <v>3165</v>
      </c>
      <c r="W749" s="261">
        <v>745</v>
      </c>
      <c r="X749" s="262">
        <v>5732.5</v>
      </c>
      <c r="Z749" s="261">
        <v>745</v>
      </c>
      <c r="AA749" s="262">
        <v>5771.58</v>
      </c>
      <c r="AC749" s="261">
        <v>745</v>
      </c>
      <c r="AD749" s="262">
        <v>19007.90000000006</v>
      </c>
      <c r="AF749" s="261">
        <v>745</v>
      </c>
      <c r="AG749" s="262">
        <v>50892.1</v>
      </c>
      <c r="AI749" s="261">
        <v>745</v>
      </c>
      <c r="AJ749" s="262">
        <v>21415</v>
      </c>
      <c r="AL749" s="261"/>
      <c r="AM749" s="262"/>
    </row>
    <row r="750" spans="2:39" ht="12.75" customHeight="1">
      <c r="B750" s="261" t="s">
        <v>1117</v>
      </c>
      <c r="C750" s="261">
        <v>23793</v>
      </c>
      <c r="E750" s="261" t="s">
        <v>1117</v>
      </c>
      <c r="F750" s="261">
        <v>23704.87</v>
      </c>
      <c r="N750" s="261">
        <v>746</v>
      </c>
      <c r="O750" s="262">
        <v>8405.35</v>
      </c>
      <c r="Q750" s="261">
        <v>746</v>
      </c>
      <c r="R750" s="262">
        <v>3169</v>
      </c>
      <c r="W750" s="261">
        <v>746</v>
      </c>
      <c r="X750" s="262">
        <v>5740</v>
      </c>
      <c r="Z750" s="261">
        <v>746</v>
      </c>
      <c r="AA750" s="262">
        <v>5779.1</v>
      </c>
      <c r="AC750" s="261">
        <v>746</v>
      </c>
      <c r="AD750" s="262">
        <v>19033.590000000062</v>
      </c>
      <c r="AF750" s="261">
        <v>746</v>
      </c>
      <c r="AG750" s="262">
        <v>50960.57</v>
      </c>
      <c r="AI750" s="261">
        <v>746</v>
      </c>
      <c r="AJ750" s="262">
        <v>21443</v>
      </c>
      <c r="AL750" s="261"/>
      <c r="AM750" s="262"/>
    </row>
    <row r="751" spans="2:39" ht="12.75" customHeight="1">
      <c r="B751" s="261" t="s">
        <v>994</v>
      </c>
      <c r="C751" s="261">
        <v>23825</v>
      </c>
      <c r="E751" s="261" t="s">
        <v>994</v>
      </c>
      <c r="F751" s="261">
        <v>23736.3</v>
      </c>
      <c r="N751" s="261">
        <v>747</v>
      </c>
      <c r="O751" s="262">
        <v>8416.4500000000007</v>
      </c>
      <c r="Q751" s="261">
        <v>747</v>
      </c>
      <c r="R751" s="262">
        <v>3173</v>
      </c>
      <c r="W751" s="261">
        <v>747</v>
      </c>
      <c r="X751" s="262">
        <v>5747.5</v>
      </c>
      <c r="Z751" s="261">
        <v>747</v>
      </c>
      <c r="AA751" s="262">
        <v>5786.61</v>
      </c>
      <c r="AC751" s="261">
        <v>747</v>
      </c>
      <c r="AD751" s="262">
        <v>19059.290000000063</v>
      </c>
      <c r="AF751" s="261">
        <v>747</v>
      </c>
      <c r="AG751" s="262">
        <v>51029.05</v>
      </c>
      <c r="AI751" s="261">
        <v>747</v>
      </c>
      <c r="AJ751" s="262">
        <v>21471</v>
      </c>
      <c r="AL751" s="261"/>
      <c r="AM751" s="262"/>
    </row>
    <row r="752" spans="2:39" ht="12.75" customHeight="1">
      <c r="B752" s="261" t="s">
        <v>1118</v>
      </c>
      <c r="C752" s="261">
        <v>23856</v>
      </c>
      <c r="E752" s="261" t="s">
        <v>1118</v>
      </c>
      <c r="F752" s="261">
        <v>23767.559999999998</v>
      </c>
      <c r="N752" s="261">
        <v>748</v>
      </c>
      <c r="O752" s="262">
        <v>8427.56</v>
      </c>
      <c r="Q752" s="261">
        <v>748</v>
      </c>
      <c r="R752" s="262">
        <v>3177</v>
      </c>
      <c r="W752" s="261">
        <v>748</v>
      </c>
      <c r="X752" s="262">
        <v>5755</v>
      </c>
      <c r="Z752" s="261">
        <v>748</v>
      </c>
      <c r="AA752" s="262">
        <v>5794.13</v>
      </c>
      <c r="AC752" s="261">
        <v>748</v>
      </c>
      <c r="AD752" s="262">
        <v>19084.990000000063</v>
      </c>
      <c r="AF752" s="261">
        <v>748</v>
      </c>
      <c r="AG752" s="262">
        <v>51097.52</v>
      </c>
      <c r="AI752" s="261">
        <v>748</v>
      </c>
      <c r="AJ752" s="262">
        <v>21500</v>
      </c>
      <c r="AL752" s="261"/>
      <c r="AM752" s="262"/>
    </row>
    <row r="753" spans="2:39" ht="12.75" customHeight="1">
      <c r="B753" s="261" t="s">
        <v>995</v>
      </c>
      <c r="C753" s="261">
        <v>23888</v>
      </c>
      <c r="E753" s="261" t="s">
        <v>995</v>
      </c>
      <c r="F753" s="261">
        <v>23798.99</v>
      </c>
      <c r="N753" s="261">
        <v>749</v>
      </c>
      <c r="O753" s="262">
        <v>8438.67</v>
      </c>
      <c r="Q753" s="261">
        <v>749</v>
      </c>
      <c r="R753" s="262">
        <v>3181</v>
      </c>
      <c r="W753" s="261">
        <v>749</v>
      </c>
      <c r="X753" s="262">
        <v>5762.5</v>
      </c>
      <c r="Z753" s="261">
        <v>749</v>
      </c>
      <c r="AA753" s="262">
        <v>5801.64</v>
      </c>
      <c r="AC753" s="261">
        <v>749</v>
      </c>
      <c r="AD753" s="262">
        <v>19110.680000000066</v>
      </c>
      <c r="AF753" s="261">
        <v>749</v>
      </c>
      <c r="AG753" s="262">
        <v>51165.99</v>
      </c>
      <c r="AI753" s="261">
        <v>749</v>
      </c>
      <c r="AJ753" s="262">
        <v>21528</v>
      </c>
      <c r="AL753" s="261"/>
      <c r="AM753" s="262"/>
    </row>
    <row r="754" spans="2:39" ht="12.75" customHeight="1">
      <c r="B754" s="261" t="s">
        <v>1064</v>
      </c>
      <c r="C754" s="261">
        <v>23919</v>
      </c>
      <c r="E754" s="261" t="s">
        <v>1064</v>
      </c>
      <c r="F754" s="261">
        <v>23830.25</v>
      </c>
      <c r="N754" s="261">
        <v>750</v>
      </c>
      <c r="O754" s="262">
        <v>8449.7800000000007</v>
      </c>
      <c r="Q754" s="261">
        <v>750</v>
      </c>
      <c r="R754" s="262">
        <v>3185</v>
      </c>
      <c r="W754" s="261">
        <v>750</v>
      </c>
      <c r="X754" s="262">
        <v>5770</v>
      </c>
      <c r="Z754" s="261">
        <v>750</v>
      </c>
      <c r="AA754" s="262">
        <v>5809.16</v>
      </c>
      <c r="AC754" s="261">
        <v>750</v>
      </c>
      <c r="AD754" s="262">
        <v>19136.380000000063</v>
      </c>
      <c r="AF754" s="261">
        <v>750</v>
      </c>
      <c r="AG754" s="262">
        <v>51234.47</v>
      </c>
      <c r="AI754" s="261">
        <v>750</v>
      </c>
      <c r="AJ754" s="262">
        <v>21557</v>
      </c>
      <c r="AL754" s="261"/>
      <c r="AM754" s="262"/>
    </row>
    <row r="755" spans="2:39" ht="12.75" customHeight="1">
      <c r="B755" s="261" t="s">
        <v>996</v>
      </c>
      <c r="C755" s="261">
        <v>23951</v>
      </c>
      <c r="E755" s="261" t="s">
        <v>996</v>
      </c>
      <c r="F755" s="261">
        <v>23861.68</v>
      </c>
      <c r="N755" s="261">
        <v>751</v>
      </c>
      <c r="O755" s="262">
        <v>8460.89</v>
      </c>
      <c r="Q755" s="261">
        <v>751</v>
      </c>
      <c r="R755" s="262">
        <v>3190</v>
      </c>
      <c r="W755" s="261">
        <v>751</v>
      </c>
      <c r="X755" s="262">
        <v>5777.5</v>
      </c>
      <c r="Z755" s="261">
        <v>751</v>
      </c>
      <c r="AA755" s="262">
        <v>5816.67</v>
      </c>
      <c r="AC755" s="261">
        <v>751</v>
      </c>
      <c r="AD755" s="262">
        <v>19162.070000000065</v>
      </c>
      <c r="AF755" s="261">
        <v>751</v>
      </c>
      <c r="AG755" s="262">
        <v>51302.94</v>
      </c>
      <c r="AI755" s="261">
        <v>751</v>
      </c>
      <c r="AJ755" s="262">
        <v>21585</v>
      </c>
      <c r="AL755" s="261"/>
      <c r="AM755" s="262"/>
    </row>
    <row r="756" spans="2:39" ht="12.75" customHeight="1">
      <c r="B756" s="261" t="s">
        <v>1065</v>
      </c>
      <c r="C756" s="261">
        <v>23982</v>
      </c>
      <c r="E756" s="261" t="s">
        <v>1065</v>
      </c>
      <c r="F756" s="261">
        <v>23892.94</v>
      </c>
      <c r="N756" s="261">
        <v>752</v>
      </c>
      <c r="O756" s="262">
        <v>8471.99</v>
      </c>
      <c r="Q756" s="261">
        <v>752</v>
      </c>
      <c r="R756" s="262">
        <v>3194</v>
      </c>
      <c r="W756" s="261">
        <v>752</v>
      </c>
      <c r="X756" s="262">
        <v>5785</v>
      </c>
      <c r="Z756" s="261">
        <v>752</v>
      </c>
      <c r="AA756" s="262">
        <v>5824.19</v>
      </c>
      <c r="AC756" s="261">
        <v>752</v>
      </c>
      <c r="AD756" s="262">
        <v>19187.770000000066</v>
      </c>
      <c r="AF756" s="261">
        <v>752</v>
      </c>
      <c r="AG756" s="262">
        <v>51371.41</v>
      </c>
      <c r="AI756" s="261">
        <v>752</v>
      </c>
      <c r="AJ756" s="262">
        <v>21613</v>
      </c>
      <c r="AL756" s="261"/>
      <c r="AM756" s="262"/>
    </row>
    <row r="757" spans="2:39" ht="12.75" customHeight="1">
      <c r="B757" s="261" t="s">
        <v>959</v>
      </c>
      <c r="C757" s="261">
        <v>24014</v>
      </c>
      <c r="E757" s="261" t="s">
        <v>959</v>
      </c>
      <c r="F757" s="261">
        <v>23924.38</v>
      </c>
      <c r="N757" s="261">
        <v>753</v>
      </c>
      <c r="O757" s="262">
        <v>8483.1</v>
      </c>
      <c r="Q757" s="261">
        <v>753</v>
      </c>
      <c r="R757" s="262">
        <v>3198</v>
      </c>
      <c r="W757" s="261">
        <v>753</v>
      </c>
      <c r="X757" s="262">
        <v>5792.5</v>
      </c>
      <c r="Z757" s="261">
        <v>753</v>
      </c>
      <c r="AA757" s="262">
        <v>5831.7</v>
      </c>
      <c r="AC757" s="261">
        <v>753</v>
      </c>
      <c r="AD757" s="262">
        <v>19213.470000000067</v>
      </c>
      <c r="AF757" s="261">
        <v>753</v>
      </c>
      <c r="AG757" s="262">
        <v>51439.88</v>
      </c>
      <c r="AI757" s="261">
        <v>753</v>
      </c>
      <c r="AJ757" s="262">
        <v>21642</v>
      </c>
      <c r="AL757" s="261"/>
      <c r="AM757" s="262"/>
    </row>
    <row r="758" spans="2:39" ht="12.75" customHeight="1">
      <c r="B758" s="261" t="s">
        <v>997</v>
      </c>
      <c r="C758" s="261">
        <v>24045</v>
      </c>
      <c r="E758" s="261" t="s">
        <v>997</v>
      </c>
      <c r="F758" s="261">
        <v>23955.64</v>
      </c>
      <c r="N758" s="261">
        <v>754</v>
      </c>
      <c r="O758" s="262">
        <v>8494.2099999999991</v>
      </c>
      <c r="Q758" s="261">
        <v>754</v>
      </c>
      <c r="R758" s="262">
        <v>3202</v>
      </c>
      <c r="W758" s="261">
        <v>754</v>
      </c>
      <c r="X758" s="262">
        <v>5800</v>
      </c>
      <c r="Z758" s="261">
        <v>754</v>
      </c>
      <c r="AA758" s="262">
        <v>5839.22</v>
      </c>
      <c r="AC758" s="261">
        <v>754</v>
      </c>
      <c r="AD758" s="262">
        <v>19239.160000000069</v>
      </c>
      <c r="AF758" s="261">
        <v>754</v>
      </c>
      <c r="AG758" s="262">
        <v>51508.36</v>
      </c>
      <c r="AI758" s="261">
        <v>754</v>
      </c>
      <c r="AJ758" s="262">
        <v>21670</v>
      </c>
      <c r="AL758" s="261"/>
      <c r="AM758" s="262"/>
    </row>
    <row r="759" spans="2:39" ht="12.75" customHeight="1">
      <c r="B759" s="261" t="s">
        <v>998</v>
      </c>
      <c r="C759" s="261">
        <v>24077</v>
      </c>
      <c r="E759" s="261" t="s">
        <v>998</v>
      </c>
      <c r="F759" s="261">
        <v>23987.08</v>
      </c>
      <c r="N759" s="261">
        <v>755</v>
      </c>
      <c r="O759" s="262">
        <v>8505.32</v>
      </c>
      <c r="Q759" s="261">
        <v>755</v>
      </c>
      <c r="R759" s="262">
        <v>3206</v>
      </c>
      <c r="W759" s="261">
        <v>755</v>
      </c>
      <c r="X759" s="262">
        <v>5807.5</v>
      </c>
      <c r="Z759" s="261">
        <v>755</v>
      </c>
      <c r="AA759" s="262">
        <v>5846.73</v>
      </c>
      <c r="AC759" s="261">
        <v>755</v>
      </c>
      <c r="AD759" s="262">
        <v>19264.860000000066</v>
      </c>
      <c r="AF759" s="261">
        <v>755</v>
      </c>
      <c r="AG759" s="262">
        <v>51576.83</v>
      </c>
      <c r="AI759" s="261">
        <v>755</v>
      </c>
      <c r="AJ759" s="262">
        <v>21699</v>
      </c>
      <c r="AL759" s="261"/>
      <c r="AM759" s="262"/>
    </row>
    <row r="760" spans="2:39" ht="12.75" customHeight="1">
      <c r="B760" s="261" t="s">
        <v>1119</v>
      </c>
      <c r="C760" s="261">
        <v>24108</v>
      </c>
      <c r="E760" s="261" t="s">
        <v>1119</v>
      </c>
      <c r="F760" s="261">
        <v>24018.34</v>
      </c>
      <c r="N760" s="261">
        <v>756</v>
      </c>
      <c r="O760" s="262">
        <v>8516.43</v>
      </c>
      <c r="Q760" s="261">
        <v>756</v>
      </c>
      <c r="R760" s="262">
        <v>3210</v>
      </c>
      <c r="W760" s="261">
        <v>756</v>
      </c>
      <c r="X760" s="262">
        <v>5815</v>
      </c>
      <c r="Z760" s="261">
        <v>756</v>
      </c>
      <c r="AA760" s="262">
        <v>5854.24</v>
      </c>
      <c r="AC760" s="261">
        <v>756</v>
      </c>
      <c r="AD760" s="262">
        <v>19290.550000000068</v>
      </c>
      <c r="AF760" s="261">
        <v>756</v>
      </c>
      <c r="AG760" s="262">
        <v>51645.3</v>
      </c>
      <c r="AI760" s="261">
        <v>756</v>
      </c>
      <c r="AJ760" s="262">
        <v>21727</v>
      </c>
      <c r="AL760" s="261"/>
      <c r="AM760" s="262"/>
    </row>
    <row r="761" spans="2:39" ht="12.75" customHeight="1">
      <c r="B761" s="261" t="s">
        <v>1120</v>
      </c>
      <c r="C761" s="261">
        <v>24139</v>
      </c>
      <c r="E761" s="261" t="s">
        <v>1120</v>
      </c>
      <c r="F761" s="261">
        <v>24049.67</v>
      </c>
      <c r="N761" s="261">
        <v>757</v>
      </c>
      <c r="O761" s="262">
        <v>8527.5300000000007</v>
      </c>
      <c r="Q761" s="261">
        <v>757</v>
      </c>
      <c r="R761" s="262">
        <v>3214</v>
      </c>
      <c r="W761" s="261">
        <v>757</v>
      </c>
      <c r="X761" s="262">
        <v>5822.6</v>
      </c>
      <c r="Z761" s="261">
        <v>757</v>
      </c>
      <c r="AA761" s="262">
        <v>5861.76</v>
      </c>
      <c r="AC761" s="261">
        <v>757</v>
      </c>
      <c r="AD761" s="262">
        <v>19316.250000000069</v>
      </c>
      <c r="AF761" s="261">
        <v>757</v>
      </c>
      <c r="AG761" s="262">
        <v>51713.78</v>
      </c>
      <c r="AI761" s="261">
        <v>757</v>
      </c>
      <c r="AJ761" s="262">
        <v>21755</v>
      </c>
      <c r="AL761" s="261"/>
      <c r="AM761" s="262"/>
    </row>
    <row r="762" spans="2:39" ht="12.75" customHeight="1">
      <c r="B762" s="261" t="s">
        <v>1121</v>
      </c>
      <c r="C762" s="261">
        <v>24170</v>
      </c>
      <c r="E762" s="261" t="s">
        <v>1121</v>
      </c>
      <c r="F762" s="261">
        <v>24080.929999999997</v>
      </c>
      <c r="N762" s="261">
        <v>758</v>
      </c>
      <c r="O762" s="262">
        <v>8538.64</v>
      </c>
      <c r="Q762" s="261">
        <v>758</v>
      </c>
      <c r="R762" s="262">
        <v>3218</v>
      </c>
      <c r="W762" s="261">
        <v>758</v>
      </c>
      <c r="X762" s="262">
        <v>5830.1</v>
      </c>
      <c r="Z762" s="261">
        <v>758</v>
      </c>
      <c r="AA762" s="262">
        <v>5869.27</v>
      </c>
      <c r="AC762" s="261">
        <v>758</v>
      </c>
      <c r="AD762" s="262">
        <v>19341.95000000007</v>
      </c>
      <c r="AF762" s="261">
        <v>758</v>
      </c>
      <c r="AG762" s="262">
        <v>51782.25</v>
      </c>
      <c r="AI762" s="261">
        <v>758</v>
      </c>
      <c r="AJ762" s="262">
        <v>21784</v>
      </c>
      <c r="AL762" s="261"/>
      <c r="AM762" s="262"/>
    </row>
    <row r="763" spans="2:39" ht="12.75" customHeight="1">
      <c r="B763" s="261" t="s">
        <v>999</v>
      </c>
      <c r="C763" s="261">
        <v>24202</v>
      </c>
      <c r="E763" s="261" t="s">
        <v>999</v>
      </c>
      <c r="F763" s="261">
        <v>24112.46</v>
      </c>
      <c r="N763" s="261">
        <v>759</v>
      </c>
      <c r="O763" s="262">
        <v>8549.75</v>
      </c>
      <c r="Q763" s="261">
        <v>759</v>
      </c>
      <c r="R763" s="262">
        <v>3223</v>
      </c>
      <c r="W763" s="261">
        <v>759</v>
      </c>
      <c r="X763" s="262">
        <v>5837.6</v>
      </c>
      <c r="Z763" s="261">
        <v>759</v>
      </c>
      <c r="AA763" s="262">
        <v>5876.79</v>
      </c>
      <c r="AC763" s="261">
        <v>759</v>
      </c>
      <c r="AD763" s="262">
        <v>19367.640000000072</v>
      </c>
      <c r="AF763" s="261">
        <v>759</v>
      </c>
      <c r="AG763" s="262">
        <v>51850.720000000001</v>
      </c>
      <c r="AI763" s="261">
        <v>759</v>
      </c>
      <c r="AJ763" s="262">
        <v>21812</v>
      </c>
      <c r="AL763" s="261"/>
      <c r="AM763" s="262"/>
    </row>
    <row r="764" spans="2:39" ht="12.75" customHeight="1">
      <c r="B764" s="261" t="s">
        <v>1122</v>
      </c>
      <c r="C764" s="261">
        <v>24233</v>
      </c>
      <c r="E764" s="261" t="s">
        <v>1122</v>
      </c>
      <c r="F764" s="261">
        <v>24143.719999999998</v>
      </c>
      <c r="N764" s="261">
        <v>760</v>
      </c>
      <c r="O764" s="262">
        <v>8560.86</v>
      </c>
      <c r="Q764" s="261">
        <v>760</v>
      </c>
      <c r="R764" s="262">
        <v>3227</v>
      </c>
      <c r="W764" s="261">
        <v>760</v>
      </c>
      <c r="X764" s="262">
        <v>5845.1</v>
      </c>
      <c r="Z764" s="261">
        <v>760</v>
      </c>
      <c r="AA764" s="262">
        <v>5884.3</v>
      </c>
      <c r="AC764" s="261">
        <v>760</v>
      </c>
      <c r="AD764" s="262">
        <v>19393.340000000069</v>
      </c>
      <c r="AF764" s="261">
        <v>760</v>
      </c>
      <c r="AG764" s="262">
        <v>51919.199999999997</v>
      </c>
      <c r="AI764" s="261">
        <v>760</v>
      </c>
      <c r="AJ764" s="262">
        <v>21841</v>
      </c>
      <c r="AL764" s="261"/>
      <c r="AM764" s="262"/>
    </row>
    <row r="765" spans="2:39" ht="12.75" customHeight="1">
      <c r="B765" s="261" t="s">
        <v>1000</v>
      </c>
      <c r="C765" s="261">
        <v>24265</v>
      </c>
      <c r="E765" s="261" t="s">
        <v>1000</v>
      </c>
      <c r="F765" s="261">
        <v>24175.16</v>
      </c>
      <c r="N765" s="261">
        <v>761</v>
      </c>
      <c r="O765" s="262">
        <v>8571.9699999999993</v>
      </c>
      <c r="Q765" s="261">
        <v>761</v>
      </c>
      <c r="R765" s="262">
        <v>3231</v>
      </c>
      <c r="W765" s="261">
        <v>761</v>
      </c>
      <c r="X765" s="262">
        <v>5852.6</v>
      </c>
      <c r="Z765" s="261">
        <v>761</v>
      </c>
      <c r="AA765" s="262">
        <v>5891.82</v>
      </c>
      <c r="AC765" s="261">
        <v>761</v>
      </c>
      <c r="AD765" s="262">
        <v>19419.030000000072</v>
      </c>
      <c r="AF765" s="261">
        <v>761</v>
      </c>
      <c r="AG765" s="262">
        <v>51987.67</v>
      </c>
      <c r="AI765" s="261">
        <v>761</v>
      </c>
      <c r="AJ765" s="262">
        <v>21869</v>
      </c>
      <c r="AL765" s="261"/>
      <c r="AM765" s="262"/>
    </row>
    <row r="766" spans="2:39" ht="12.75" customHeight="1">
      <c r="B766" s="261" t="s">
        <v>1123</v>
      </c>
      <c r="C766" s="261">
        <v>24296</v>
      </c>
      <c r="E766" s="261" t="s">
        <v>1123</v>
      </c>
      <c r="F766" s="261">
        <v>24206.42</v>
      </c>
      <c r="N766" s="261">
        <v>762</v>
      </c>
      <c r="O766" s="262">
        <v>8583.07</v>
      </c>
      <c r="Q766" s="261">
        <v>762</v>
      </c>
      <c r="R766" s="262">
        <v>3235</v>
      </c>
      <c r="W766" s="261">
        <v>762</v>
      </c>
      <c r="X766" s="262">
        <v>5860.1</v>
      </c>
      <c r="Z766" s="261">
        <v>762</v>
      </c>
      <c r="AA766" s="262">
        <v>5899.33</v>
      </c>
      <c r="AC766" s="261">
        <v>762</v>
      </c>
      <c r="AD766" s="262">
        <v>19444.730000000072</v>
      </c>
      <c r="AF766" s="261">
        <v>762</v>
      </c>
      <c r="AG766" s="262">
        <v>52056.14</v>
      </c>
      <c r="AI766" s="261">
        <v>762</v>
      </c>
      <c r="AJ766" s="262">
        <v>21897</v>
      </c>
      <c r="AL766" s="261"/>
      <c r="AM766" s="262"/>
    </row>
    <row r="767" spans="2:39" ht="12.75" customHeight="1">
      <c r="B767" s="261" t="s">
        <v>1001</v>
      </c>
      <c r="C767" s="261">
        <v>24328</v>
      </c>
      <c r="E767" s="261" t="s">
        <v>1001</v>
      </c>
      <c r="F767" s="261">
        <v>24237.85</v>
      </c>
      <c r="N767" s="261">
        <v>763</v>
      </c>
      <c r="O767" s="262">
        <v>8594.18</v>
      </c>
      <c r="Q767" s="261">
        <v>763</v>
      </c>
      <c r="R767" s="262">
        <v>3239</v>
      </c>
      <c r="W767" s="261">
        <v>763</v>
      </c>
      <c r="X767" s="262">
        <v>5867.6</v>
      </c>
      <c r="Z767" s="261">
        <v>763</v>
      </c>
      <c r="AA767" s="262">
        <v>5906.85</v>
      </c>
      <c r="AC767" s="261">
        <v>763</v>
      </c>
      <c r="AD767" s="262">
        <v>19470.430000000073</v>
      </c>
      <c r="AF767" s="261">
        <v>763</v>
      </c>
      <c r="AG767" s="262">
        <v>52124.61</v>
      </c>
      <c r="AI767" s="261">
        <v>763</v>
      </c>
      <c r="AJ767" s="262">
        <v>21926</v>
      </c>
      <c r="AL767" s="261"/>
      <c r="AM767" s="262"/>
    </row>
    <row r="768" spans="2:39" ht="12.75" customHeight="1">
      <c r="B768" s="261" t="s">
        <v>1124</v>
      </c>
      <c r="C768" s="261">
        <v>24359</v>
      </c>
      <c r="E768" s="261" t="s">
        <v>1124</v>
      </c>
      <c r="F768" s="261">
        <v>24269.109999999997</v>
      </c>
      <c r="N768" s="261">
        <v>764</v>
      </c>
      <c r="O768" s="262">
        <v>8605.2900000000009</v>
      </c>
      <c r="Q768" s="261">
        <v>764</v>
      </c>
      <c r="R768" s="262">
        <v>3243</v>
      </c>
      <c r="W768" s="261">
        <v>764</v>
      </c>
      <c r="X768" s="262">
        <v>5875.1</v>
      </c>
      <c r="Z768" s="261">
        <v>764</v>
      </c>
      <c r="AA768" s="262">
        <v>5914.36</v>
      </c>
      <c r="AC768" s="261">
        <v>764</v>
      </c>
      <c r="AD768" s="262">
        <v>19496.120000000075</v>
      </c>
      <c r="AF768" s="261">
        <v>764</v>
      </c>
      <c r="AG768" s="262">
        <v>52193.09</v>
      </c>
      <c r="AI768" s="261">
        <v>764</v>
      </c>
      <c r="AJ768" s="262">
        <v>21954</v>
      </c>
      <c r="AL768" s="261"/>
      <c r="AM768" s="262"/>
    </row>
    <row r="769" spans="2:39" ht="12.75" customHeight="1">
      <c r="B769" s="261" t="s">
        <v>942</v>
      </c>
      <c r="C769" s="261">
        <v>24391</v>
      </c>
      <c r="E769" s="261" t="s">
        <v>942</v>
      </c>
      <c r="F769" s="261">
        <v>24300.54</v>
      </c>
      <c r="N769" s="261">
        <v>765</v>
      </c>
      <c r="O769" s="262">
        <v>8616.4</v>
      </c>
      <c r="Q769" s="261">
        <v>765</v>
      </c>
      <c r="R769" s="262">
        <v>3247</v>
      </c>
      <c r="W769" s="261">
        <v>765</v>
      </c>
      <c r="X769" s="262">
        <v>5882.2</v>
      </c>
      <c r="Z769" s="261">
        <v>765</v>
      </c>
      <c r="AA769" s="262">
        <v>5921.88</v>
      </c>
      <c r="AC769" s="261">
        <v>765</v>
      </c>
      <c r="AD769" s="262">
        <v>19521.820000000072</v>
      </c>
      <c r="AF769" s="261">
        <v>765</v>
      </c>
      <c r="AG769" s="262">
        <v>52261.56</v>
      </c>
      <c r="AI769" s="261">
        <v>765</v>
      </c>
      <c r="AJ769" s="262">
        <v>21983</v>
      </c>
      <c r="AL769" s="261"/>
      <c r="AM769" s="262"/>
    </row>
    <row r="770" spans="2:39" ht="12.75" customHeight="1">
      <c r="B770" s="261" t="s">
        <v>1125</v>
      </c>
      <c r="C770" s="261">
        <v>24422</v>
      </c>
      <c r="E770" s="261" t="s">
        <v>1125</v>
      </c>
      <c r="F770" s="261">
        <v>24331.8</v>
      </c>
      <c r="N770" s="261">
        <v>766</v>
      </c>
      <c r="O770" s="262">
        <v>8627.51</v>
      </c>
      <c r="Q770" s="261">
        <v>766</v>
      </c>
      <c r="R770" s="262">
        <v>3251</v>
      </c>
      <c r="W770" s="261">
        <v>766</v>
      </c>
      <c r="X770" s="262">
        <v>5890.1</v>
      </c>
      <c r="Z770" s="261">
        <v>766</v>
      </c>
      <c r="AA770" s="262">
        <v>5929.39</v>
      </c>
      <c r="AC770" s="261">
        <v>766</v>
      </c>
      <c r="AD770" s="262">
        <v>19547.510000000075</v>
      </c>
      <c r="AF770" s="261">
        <v>766</v>
      </c>
      <c r="AG770" s="262">
        <v>52330.03</v>
      </c>
      <c r="AI770" s="261">
        <v>766</v>
      </c>
      <c r="AJ770" s="262">
        <v>22011</v>
      </c>
      <c r="AL770" s="261"/>
      <c r="AM770" s="262"/>
    </row>
    <row r="771" spans="2:39" ht="12.75" customHeight="1">
      <c r="B771" s="261" t="s">
        <v>1126</v>
      </c>
      <c r="C771" s="261">
        <v>24454</v>
      </c>
      <c r="E771" s="261" t="s">
        <v>1126</v>
      </c>
      <c r="F771" s="261">
        <v>24363.23</v>
      </c>
      <c r="N771" s="261">
        <v>767</v>
      </c>
      <c r="O771" s="262">
        <v>8638.61</v>
      </c>
      <c r="Q771" s="261">
        <v>767</v>
      </c>
      <c r="R771" s="262">
        <v>3256</v>
      </c>
      <c r="W771" s="261">
        <v>767</v>
      </c>
      <c r="X771" s="262">
        <v>5897.6</v>
      </c>
      <c r="Z771" s="261">
        <v>767</v>
      </c>
      <c r="AA771" s="262">
        <v>5936.91</v>
      </c>
      <c r="AC771" s="261">
        <v>767</v>
      </c>
      <c r="AD771" s="262">
        <v>19573.210000000076</v>
      </c>
      <c r="AF771" s="261">
        <v>767</v>
      </c>
      <c r="AG771" s="262">
        <v>52398.51</v>
      </c>
      <c r="AI771" s="261">
        <v>767</v>
      </c>
      <c r="AJ771" s="262">
        <v>22039</v>
      </c>
      <c r="AL771" s="261"/>
      <c r="AM771" s="262"/>
    </row>
    <row r="772" spans="2:39" ht="12.75" customHeight="1">
      <c r="B772" s="261" t="s">
        <v>1127</v>
      </c>
      <c r="C772" s="261">
        <v>24485</v>
      </c>
      <c r="E772" s="261" t="s">
        <v>1127</v>
      </c>
      <c r="F772" s="261">
        <v>24394.489999999998</v>
      </c>
      <c r="N772" s="261">
        <v>768</v>
      </c>
      <c r="O772" s="262">
        <v>8649.7199999999993</v>
      </c>
      <c r="Q772" s="261">
        <v>768</v>
      </c>
      <c r="R772" s="262">
        <v>3260</v>
      </c>
      <c r="W772" s="261">
        <v>768</v>
      </c>
      <c r="X772" s="262">
        <v>5905.2</v>
      </c>
      <c r="Z772" s="261">
        <v>768</v>
      </c>
      <c r="AA772" s="262">
        <v>5944.42</v>
      </c>
      <c r="AC772" s="261">
        <v>768</v>
      </c>
      <c r="AD772" s="262">
        <v>19598.910000000076</v>
      </c>
      <c r="AF772" s="261">
        <v>768</v>
      </c>
      <c r="AG772" s="262">
        <v>52466.98</v>
      </c>
      <c r="AI772" s="261">
        <v>768</v>
      </c>
      <c r="AJ772" s="262">
        <v>22068</v>
      </c>
      <c r="AL772" s="261"/>
      <c r="AM772" s="262"/>
    </row>
    <row r="773" spans="2:39" ht="12.75" customHeight="1">
      <c r="B773" s="261">
        <v>32</v>
      </c>
      <c r="C773" s="261">
        <v>24516</v>
      </c>
      <c r="E773" s="261">
        <v>32</v>
      </c>
      <c r="F773" s="261">
        <v>24425.93</v>
      </c>
      <c r="N773" s="261">
        <v>769</v>
      </c>
      <c r="O773" s="262">
        <v>8660.83</v>
      </c>
      <c r="Q773" s="261">
        <v>769</v>
      </c>
      <c r="R773" s="262">
        <v>3264</v>
      </c>
      <c r="W773" s="261">
        <v>769</v>
      </c>
      <c r="X773" s="262">
        <v>5912.7</v>
      </c>
      <c r="Z773" s="261">
        <v>769</v>
      </c>
      <c r="AA773" s="262">
        <v>5951.94</v>
      </c>
      <c r="AC773" s="261">
        <v>769</v>
      </c>
      <c r="AD773" s="262">
        <v>19624.600000000079</v>
      </c>
      <c r="AF773" s="261">
        <v>769</v>
      </c>
      <c r="AG773" s="262">
        <v>52535.45</v>
      </c>
      <c r="AI773" s="261">
        <v>769</v>
      </c>
      <c r="AJ773" s="262">
        <v>22096</v>
      </c>
      <c r="AL773" s="261"/>
      <c r="AM773" s="262"/>
    </row>
    <row r="774" spans="2:39" ht="12.75" customHeight="1">
      <c r="B774" s="261" t="s">
        <v>1128</v>
      </c>
      <c r="C774" s="261">
        <v>24547</v>
      </c>
      <c r="E774" s="261" t="s">
        <v>1128</v>
      </c>
      <c r="F774" s="261">
        <v>24457.19</v>
      </c>
      <c r="N774" s="261">
        <v>770</v>
      </c>
      <c r="O774" s="262">
        <v>8671.94</v>
      </c>
      <c r="Q774" s="261">
        <v>770</v>
      </c>
      <c r="R774" s="262">
        <v>3268</v>
      </c>
      <c r="W774" s="261">
        <v>770</v>
      </c>
      <c r="X774" s="262">
        <v>5920.2</v>
      </c>
      <c r="Z774" s="261">
        <v>770</v>
      </c>
      <c r="AA774" s="262">
        <v>5959.45</v>
      </c>
      <c r="AC774" s="261">
        <v>770</v>
      </c>
      <c r="AD774" s="262">
        <v>19650.300000000076</v>
      </c>
      <c r="AF774" s="261">
        <v>770</v>
      </c>
      <c r="AG774" s="262">
        <v>52603.93</v>
      </c>
      <c r="AI774" s="261">
        <v>770</v>
      </c>
      <c r="AJ774" s="262">
        <v>22125</v>
      </c>
      <c r="AL774" s="261"/>
      <c r="AM774" s="262"/>
    </row>
    <row r="775" spans="2:39" ht="12.75" customHeight="1">
      <c r="B775" s="261" t="s">
        <v>1002</v>
      </c>
      <c r="C775" s="261">
        <v>24579</v>
      </c>
      <c r="E775" s="261" t="s">
        <v>1002</v>
      </c>
      <c r="F775" s="261">
        <v>24488.62</v>
      </c>
      <c r="N775" s="261">
        <v>771</v>
      </c>
      <c r="O775" s="262">
        <v>8683.0499999999993</v>
      </c>
      <c r="Q775" s="261">
        <v>771</v>
      </c>
      <c r="R775" s="262">
        <v>3272</v>
      </c>
      <c r="W775" s="261">
        <v>771</v>
      </c>
      <c r="X775" s="262">
        <v>5927.7</v>
      </c>
      <c r="Z775" s="261">
        <v>771</v>
      </c>
      <c r="AA775" s="262">
        <v>5966.97</v>
      </c>
      <c r="AC775" s="261">
        <v>771</v>
      </c>
      <c r="AD775" s="262">
        <v>19675.990000000078</v>
      </c>
      <c r="AF775" s="261">
        <v>771</v>
      </c>
      <c r="AG775" s="262">
        <v>52672.4</v>
      </c>
      <c r="AI775" s="261">
        <v>771</v>
      </c>
      <c r="AJ775" s="262">
        <v>22153</v>
      </c>
      <c r="AL775" s="261"/>
      <c r="AM775" s="262"/>
    </row>
    <row r="776" spans="2:39" ht="12.75" customHeight="1">
      <c r="B776" s="261" t="s">
        <v>1129</v>
      </c>
      <c r="C776" s="261">
        <v>24610</v>
      </c>
      <c r="E776" s="261" t="s">
        <v>1129</v>
      </c>
      <c r="F776" s="261">
        <v>24519.879999999997</v>
      </c>
      <c r="N776" s="261">
        <v>772</v>
      </c>
      <c r="O776" s="262">
        <v>8694.15</v>
      </c>
      <c r="Q776" s="261">
        <v>772</v>
      </c>
      <c r="R776" s="262">
        <v>3276</v>
      </c>
      <c r="W776" s="261">
        <v>772</v>
      </c>
      <c r="X776" s="262">
        <v>5935.2</v>
      </c>
      <c r="Z776" s="261">
        <v>772</v>
      </c>
      <c r="AA776" s="262">
        <v>5974.48</v>
      </c>
      <c r="AC776" s="261">
        <v>772</v>
      </c>
      <c r="AD776" s="262">
        <v>19701.690000000079</v>
      </c>
      <c r="AF776" s="261">
        <v>772</v>
      </c>
      <c r="AG776" s="262">
        <v>52740.87</v>
      </c>
      <c r="AI776" s="261">
        <v>772</v>
      </c>
      <c r="AJ776" s="262">
        <v>22181</v>
      </c>
      <c r="AL776" s="261"/>
      <c r="AM776" s="262"/>
    </row>
    <row r="777" spans="2:39" ht="12.75" customHeight="1">
      <c r="B777" s="261" t="s">
        <v>1003</v>
      </c>
      <c r="C777" s="261">
        <v>24642</v>
      </c>
      <c r="E777" s="261" t="s">
        <v>1003</v>
      </c>
      <c r="F777" s="261">
        <v>24551.32</v>
      </c>
      <c r="N777" s="261">
        <v>773</v>
      </c>
      <c r="O777" s="262">
        <v>8705.26</v>
      </c>
      <c r="Q777" s="261">
        <v>773</v>
      </c>
      <c r="R777" s="262">
        <v>3280</v>
      </c>
      <c r="W777" s="261">
        <v>773</v>
      </c>
      <c r="X777" s="262">
        <v>5942.7</v>
      </c>
      <c r="Z777" s="261">
        <v>773</v>
      </c>
      <c r="AA777" s="262">
        <v>5981.99</v>
      </c>
      <c r="AC777" s="261">
        <v>773</v>
      </c>
      <c r="AD777" s="262">
        <v>19727.390000000079</v>
      </c>
      <c r="AF777" s="261">
        <v>773</v>
      </c>
      <c r="AG777" s="262">
        <v>52809.34</v>
      </c>
      <c r="AI777" s="261">
        <v>773</v>
      </c>
      <c r="AJ777" s="262">
        <v>22210</v>
      </c>
      <c r="AL777" s="261"/>
      <c r="AM777" s="262"/>
    </row>
    <row r="778" spans="2:39" ht="12.75" customHeight="1">
      <c r="B778" s="261" t="s">
        <v>1130</v>
      </c>
      <c r="C778" s="261">
        <v>24673</v>
      </c>
      <c r="E778" s="261" t="s">
        <v>1130</v>
      </c>
      <c r="F778" s="261">
        <v>24582.579999999998</v>
      </c>
      <c r="N778" s="261">
        <v>774</v>
      </c>
      <c r="O778" s="262">
        <v>8716.3700000000008</v>
      </c>
      <c r="Q778" s="261">
        <v>774</v>
      </c>
      <c r="R778" s="262">
        <v>3284</v>
      </c>
      <c r="W778" s="261">
        <v>774</v>
      </c>
      <c r="X778" s="262">
        <v>5950.2</v>
      </c>
      <c r="Z778" s="261">
        <v>774</v>
      </c>
      <c r="AA778" s="262">
        <v>5989.51</v>
      </c>
      <c r="AC778" s="261">
        <v>774</v>
      </c>
      <c r="AD778" s="262">
        <v>19753.080000000082</v>
      </c>
      <c r="AF778" s="261">
        <v>774</v>
      </c>
      <c r="AG778" s="262">
        <v>52877.82</v>
      </c>
      <c r="AI778" s="261">
        <v>774</v>
      </c>
      <c r="AJ778" s="262">
        <v>22238</v>
      </c>
      <c r="AL778" s="261"/>
      <c r="AM778" s="262"/>
    </row>
    <row r="779" spans="2:39" ht="12.75" customHeight="1">
      <c r="B779" s="261" t="s">
        <v>1004</v>
      </c>
      <c r="C779" s="261">
        <v>24705</v>
      </c>
      <c r="E779" s="261" t="s">
        <v>1004</v>
      </c>
      <c r="F779" s="261">
        <v>24614.01</v>
      </c>
      <c r="N779" s="261">
        <v>775</v>
      </c>
      <c r="O779" s="262">
        <v>8727.48</v>
      </c>
      <c r="Q779" s="261">
        <v>775</v>
      </c>
      <c r="R779" s="262">
        <v>3288</v>
      </c>
      <c r="W779" s="261">
        <v>775</v>
      </c>
      <c r="X779" s="262">
        <v>5957.7</v>
      </c>
      <c r="Z779" s="261">
        <v>775</v>
      </c>
      <c r="AA779" s="262">
        <v>5997.02</v>
      </c>
      <c r="AC779" s="261">
        <v>775</v>
      </c>
      <c r="AD779" s="262">
        <v>19778.780000000079</v>
      </c>
      <c r="AF779" s="261">
        <v>775</v>
      </c>
      <c r="AG779" s="262">
        <v>52946.29</v>
      </c>
      <c r="AI779" s="261">
        <v>775</v>
      </c>
      <c r="AJ779" s="262">
        <v>22267</v>
      </c>
      <c r="AL779" s="261"/>
      <c r="AM779" s="262"/>
    </row>
    <row r="780" spans="2:39" ht="12.75" customHeight="1">
      <c r="B780" s="261" t="s">
        <v>1131</v>
      </c>
      <c r="C780" s="261">
        <v>24736</v>
      </c>
      <c r="E780" s="261" t="s">
        <v>1131</v>
      </c>
      <c r="F780" s="261">
        <v>24645.269999999997</v>
      </c>
      <c r="N780" s="261">
        <v>776</v>
      </c>
      <c r="O780" s="262">
        <v>8738.59</v>
      </c>
      <c r="W780" s="261">
        <v>776</v>
      </c>
      <c r="X780" s="262">
        <v>5965.2</v>
      </c>
      <c r="Z780" s="261">
        <v>776</v>
      </c>
      <c r="AA780" s="262">
        <v>6004.54</v>
      </c>
      <c r="AC780" s="261">
        <v>776</v>
      </c>
      <c r="AD780" s="262">
        <v>19804.470000000081</v>
      </c>
      <c r="AF780" s="261">
        <v>776</v>
      </c>
      <c r="AG780" s="262">
        <v>53014.76</v>
      </c>
      <c r="AI780" s="261">
        <v>776</v>
      </c>
      <c r="AJ780" s="262">
        <v>22295</v>
      </c>
      <c r="AL780" s="261"/>
      <c r="AM780" s="262"/>
    </row>
    <row r="781" spans="2:39" ht="12.75" customHeight="1">
      <c r="B781" s="261" t="s">
        <v>1005</v>
      </c>
      <c r="C781" s="261">
        <v>24768</v>
      </c>
      <c r="E781" s="261" t="s">
        <v>1005</v>
      </c>
      <c r="F781" s="261">
        <v>24676.7</v>
      </c>
      <c r="N781" s="261">
        <v>777</v>
      </c>
      <c r="O781" s="262">
        <v>8749.69</v>
      </c>
      <c r="W781" s="261">
        <v>777</v>
      </c>
      <c r="X781" s="262">
        <v>5972.7</v>
      </c>
      <c r="Z781" s="261">
        <v>777</v>
      </c>
      <c r="AA781" s="262">
        <v>6012.05</v>
      </c>
      <c r="AC781" s="261">
        <v>777</v>
      </c>
      <c r="AD781" s="262">
        <v>19830.170000000082</v>
      </c>
      <c r="AF781" s="261">
        <v>777</v>
      </c>
      <c r="AG781" s="262">
        <v>53083.24</v>
      </c>
      <c r="AI781" s="261">
        <v>777</v>
      </c>
      <c r="AJ781" s="262">
        <v>22323</v>
      </c>
      <c r="AL781" s="261"/>
      <c r="AM781" s="262"/>
    </row>
    <row r="782" spans="2:39" ht="12.75" customHeight="1">
      <c r="B782" s="261" t="s">
        <v>1132</v>
      </c>
      <c r="C782" s="261">
        <v>24799</v>
      </c>
      <c r="E782" s="261" t="s">
        <v>1132</v>
      </c>
      <c r="F782" s="261">
        <v>24707.96</v>
      </c>
      <c r="N782" s="261">
        <v>778</v>
      </c>
      <c r="O782" s="262">
        <v>8760.7999999999993</v>
      </c>
      <c r="W782" s="261">
        <v>778</v>
      </c>
      <c r="X782" s="262">
        <v>5980.2</v>
      </c>
      <c r="Z782" s="261">
        <v>778</v>
      </c>
      <c r="AA782" s="262">
        <v>6019.57</v>
      </c>
      <c r="AC782" s="261">
        <v>778</v>
      </c>
      <c r="AD782" s="262">
        <v>19855.870000000083</v>
      </c>
      <c r="AF782" s="261">
        <v>778</v>
      </c>
      <c r="AG782" s="262">
        <v>53151.71</v>
      </c>
      <c r="AI782" s="261">
        <v>778</v>
      </c>
      <c r="AJ782" s="262">
        <v>22352</v>
      </c>
      <c r="AL782" s="261"/>
      <c r="AM782" s="262"/>
    </row>
    <row r="783" spans="2:39" ht="12.75" customHeight="1">
      <c r="B783" s="261" t="s">
        <v>1006</v>
      </c>
      <c r="C783" s="261">
        <v>24831</v>
      </c>
      <c r="E783" s="261" t="s">
        <v>1006</v>
      </c>
      <c r="F783" s="261">
        <v>24739.4</v>
      </c>
      <c r="N783" s="261">
        <v>779</v>
      </c>
      <c r="O783" s="262">
        <v>8771.91</v>
      </c>
      <c r="W783" s="261">
        <v>779</v>
      </c>
      <c r="X783" s="262">
        <v>5987.7</v>
      </c>
      <c r="Z783" s="261">
        <v>779</v>
      </c>
      <c r="AA783" s="262">
        <v>6027.08</v>
      </c>
      <c r="AC783" s="261">
        <v>779</v>
      </c>
      <c r="AD783" s="262">
        <v>19881.560000000085</v>
      </c>
      <c r="AF783" s="261">
        <v>779</v>
      </c>
      <c r="AG783" s="262">
        <v>53220.18</v>
      </c>
      <c r="AI783" s="261">
        <v>779</v>
      </c>
      <c r="AJ783" s="262">
        <v>22380</v>
      </c>
      <c r="AL783" s="261"/>
      <c r="AM783" s="262"/>
    </row>
    <row r="784" spans="2:39" ht="12.75" customHeight="1">
      <c r="B784" s="261" t="s">
        <v>1133</v>
      </c>
      <c r="C784" s="261">
        <v>24862</v>
      </c>
      <c r="E784" s="261" t="s">
        <v>1133</v>
      </c>
      <c r="F784" s="261">
        <v>24770.66</v>
      </c>
      <c r="N784" s="261">
        <v>780</v>
      </c>
      <c r="O784" s="262">
        <v>8783.02</v>
      </c>
      <c r="W784" s="261">
        <v>780</v>
      </c>
      <c r="X784" s="262">
        <v>5995.3</v>
      </c>
      <c r="Z784" s="261">
        <v>780</v>
      </c>
      <c r="AA784" s="262">
        <v>6034.6</v>
      </c>
      <c r="AC784" s="261">
        <v>780</v>
      </c>
      <c r="AD784" s="262">
        <v>19907.260000000082</v>
      </c>
      <c r="AF784" s="261">
        <v>780</v>
      </c>
      <c r="AG784" s="262">
        <v>53288.66</v>
      </c>
      <c r="AI784" s="261">
        <v>780</v>
      </c>
      <c r="AJ784" s="262">
        <v>22409</v>
      </c>
      <c r="AL784" s="261"/>
      <c r="AM784" s="262"/>
    </row>
    <row r="785" spans="2:39" ht="12.75" customHeight="1">
      <c r="B785" s="261" t="s">
        <v>1134</v>
      </c>
      <c r="C785" s="261">
        <v>24893</v>
      </c>
      <c r="E785" s="261" t="s">
        <v>1134</v>
      </c>
      <c r="F785" s="261">
        <v>24802.09</v>
      </c>
      <c r="N785" s="261">
        <v>781</v>
      </c>
      <c r="O785" s="262">
        <v>8794.1299999999992</v>
      </c>
      <c r="W785" s="261">
        <v>781</v>
      </c>
      <c r="X785" s="262">
        <v>6002.8</v>
      </c>
      <c r="Z785" s="261">
        <v>781</v>
      </c>
      <c r="AA785" s="262">
        <v>6042.11</v>
      </c>
      <c r="AC785" s="261">
        <v>781</v>
      </c>
      <c r="AD785" s="262">
        <v>19932.950000000084</v>
      </c>
      <c r="AF785" s="261">
        <v>781</v>
      </c>
      <c r="AG785" s="262">
        <v>53357.13</v>
      </c>
      <c r="AI785" s="261">
        <v>781</v>
      </c>
      <c r="AJ785" s="262">
        <v>22437</v>
      </c>
      <c r="AL785" s="261"/>
      <c r="AM785" s="262"/>
    </row>
    <row r="786" spans="2:39" ht="12.75" customHeight="1">
      <c r="B786" s="261" t="s">
        <v>1135</v>
      </c>
      <c r="C786" s="261">
        <v>24924</v>
      </c>
      <c r="E786" s="261" t="s">
        <v>1135</v>
      </c>
      <c r="F786" s="261">
        <v>24833.35</v>
      </c>
      <c r="N786" s="261">
        <v>782</v>
      </c>
      <c r="O786" s="262">
        <v>8805.23</v>
      </c>
      <c r="W786" s="261">
        <v>782</v>
      </c>
      <c r="X786" s="262">
        <v>6010.3</v>
      </c>
      <c r="Z786" s="261">
        <v>782</v>
      </c>
      <c r="AA786" s="262">
        <v>6049.63</v>
      </c>
      <c r="AC786" s="261">
        <v>782</v>
      </c>
      <c r="AD786" s="262">
        <v>19958.650000000085</v>
      </c>
      <c r="AF786" s="261">
        <v>782</v>
      </c>
      <c r="AG786" s="262">
        <v>53425.599999999999</v>
      </c>
      <c r="AI786" s="261">
        <v>782</v>
      </c>
      <c r="AJ786" s="262">
        <v>22465</v>
      </c>
      <c r="AL786" s="261"/>
      <c r="AM786" s="262"/>
    </row>
    <row r="787" spans="2:39" ht="12.75" customHeight="1">
      <c r="B787" s="261" t="s">
        <v>1007</v>
      </c>
      <c r="C787" s="261">
        <v>24956</v>
      </c>
      <c r="E787" s="261" t="s">
        <v>1007</v>
      </c>
      <c r="F787" s="261">
        <v>24864.79</v>
      </c>
      <c r="N787" s="261">
        <v>783</v>
      </c>
      <c r="O787" s="262">
        <v>8816.34</v>
      </c>
      <c r="W787" s="261">
        <v>783</v>
      </c>
      <c r="X787" s="262">
        <v>6017.8</v>
      </c>
      <c r="Z787" s="261">
        <v>783</v>
      </c>
      <c r="AA787" s="262">
        <v>6057.14</v>
      </c>
      <c r="AC787" s="261">
        <v>783</v>
      </c>
      <c r="AD787" s="262">
        <v>19984.350000000086</v>
      </c>
      <c r="AF787" s="261">
        <v>783</v>
      </c>
      <c r="AG787" s="262">
        <v>53494.07</v>
      </c>
      <c r="AI787" s="261">
        <v>783</v>
      </c>
      <c r="AJ787" s="262">
        <v>22494</v>
      </c>
      <c r="AL787" s="261"/>
      <c r="AM787" s="262"/>
    </row>
    <row r="788" spans="2:39" ht="12.75" customHeight="1">
      <c r="B788" s="261" t="s">
        <v>1136</v>
      </c>
      <c r="C788" s="261">
        <v>24987</v>
      </c>
      <c r="E788" s="261" t="s">
        <v>1136</v>
      </c>
      <c r="F788" s="261">
        <v>24896.05</v>
      </c>
      <c r="N788" s="261">
        <v>784</v>
      </c>
      <c r="O788" s="262">
        <v>8827.4500000000007</v>
      </c>
      <c r="W788" s="261">
        <v>784</v>
      </c>
      <c r="X788" s="262">
        <v>6025.3</v>
      </c>
      <c r="Z788" s="261">
        <v>784</v>
      </c>
      <c r="AA788" s="262">
        <v>6064.66</v>
      </c>
      <c r="AC788" s="261">
        <v>784</v>
      </c>
      <c r="AD788" s="262">
        <v>20010.040000000088</v>
      </c>
      <c r="AF788" s="261">
        <v>784</v>
      </c>
      <c r="AG788" s="262">
        <v>53562.55</v>
      </c>
      <c r="AI788" s="261">
        <v>784</v>
      </c>
      <c r="AJ788" s="262">
        <v>22522</v>
      </c>
      <c r="AL788" s="261"/>
      <c r="AM788" s="262"/>
    </row>
    <row r="789" spans="2:39" ht="12.75" customHeight="1">
      <c r="B789" s="261" t="s">
        <v>1008</v>
      </c>
      <c r="C789" s="261">
        <v>25019</v>
      </c>
      <c r="E789" s="261" t="s">
        <v>1008</v>
      </c>
      <c r="F789" s="261">
        <v>24927.48</v>
      </c>
      <c r="N789" s="261">
        <v>785</v>
      </c>
      <c r="O789" s="262">
        <v>8838.56</v>
      </c>
      <c r="W789" s="261">
        <v>785</v>
      </c>
      <c r="X789" s="262">
        <v>6032.8</v>
      </c>
      <c r="Z789" s="261">
        <v>785</v>
      </c>
      <c r="AA789" s="262">
        <v>6072.17</v>
      </c>
      <c r="AC789" s="261">
        <v>785</v>
      </c>
      <c r="AD789" s="262">
        <v>20035.740000000085</v>
      </c>
      <c r="AF789" s="261">
        <v>785</v>
      </c>
      <c r="AG789" s="262">
        <v>53631.02</v>
      </c>
      <c r="AI789" s="261">
        <v>785</v>
      </c>
      <c r="AJ789" s="262">
        <v>22551</v>
      </c>
      <c r="AL789" s="261"/>
      <c r="AM789" s="262"/>
    </row>
    <row r="790" spans="2:39" ht="12.75" customHeight="1">
      <c r="B790" s="261" t="s">
        <v>1137</v>
      </c>
      <c r="C790" s="261">
        <v>25050</v>
      </c>
      <c r="E790" s="261" t="s">
        <v>1137</v>
      </c>
      <c r="F790" s="261">
        <v>24958.739999999998</v>
      </c>
      <c r="N790" s="261">
        <v>786</v>
      </c>
      <c r="O790" s="262">
        <v>8849.67</v>
      </c>
      <c r="W790" s="261">
        <v>786</v>
      </c>
      <c r="X790" s="262">
        <v>6040.3</v>
      </c>
      <c r="Z790" s="261">
        <v>786</v>
      </c>
      <c r="AA790" s="262">
        <v>6079.69</v>
      </c>
      <c r="AC790" s="261">
        <v>786</v>
      </c>
      <c r="AD790" s="262">
        <v>20061.430000000088</v>
      </c>
      <c r="AF790" s="261">
        <v>786</v>
      </c>
      <c r="AG790" s="262">
        <v>53699.49</v>
      </c>
      <c r="AI790" s="261">
        <v>786</v>
      </c>
      <c r="AJ790" s="262">
        <v>22579</v>
      </c>
      <c r="AL790" s="261"/>
      <c r="AM790" s="262"/>
    </row>
    <row r="791" spans="2:39" ht="12.75" customHeight="1">
      <c r="B791" s="261" t="s">
        <v>1009</v>
      </c>
      <c r="C791" s="261">
        <v>25082</v>
      </c>
      <c r="E791" s="261" t="s">
        <v>1009</v>
      </c>
      <c r="F791" s="261">
        <v>24990.17</v>
      </c>
      <c r="N791" s="261">
        <v>787</v>
      </c>
      <c r="O791" s="262">
        <v>8860.77</v>
      </c>
      <c r="W791" s="261">
        <v>787</v>
      </c>
      <c r="X791" s="262">
        <v>6047.8</v>
      </c>
      <c r="Z791" s="261">
        <v>787</v>
      </c>
      <c r="AA791" s="262">
        <v>6087.2</v>
      </c>
      <c r="AC791" s="261">
        <v>787</v>
      </c>
      <c r="AD791" s="262">
        <v>20087.130000000088</v>
      </c>
      <c r="AF791" s="261">
        <v>787</v>
      </c>
      <c r="AG791" s="262">
        <v>53767.97</v>
      </c>
      <c r="AI791" s="261">
        <v>787</v>
      </c>
      <c r="AJ791" s="262">
        <v>22607</v>
      </c>
      <c r="AL791" s="261"/>
      <c r="AM791" s="262"/>
    </row>
    <row r="792" spans="2:39" ht="12.75" customHeight="1">
      <c r="B792" s="261" t="s">
        <v>1138</v>
      </c>
      <c r="C792" s="261">
        <v>25113</v>
      </c>
      <c r="E792" s="261" t="s">
        <v>1138</v>
      </c>
      <c r="F792" s="261">
        <v>25021.429999999997</v>
      </c>
      <c r="N792" s="261">
        <v>788</v>
      </c>
      <c r="O792" s="262">
        <v>8871.8799999999992</v>
      </c>
      <c r="W792" s="261">
        <v>788</v>
      </c>
      <c r="X792" s="262">
        <v>6055.3</v>
      </c>
      <c r="Z792" s="261">
        <v>788</v>
      </c>
      <c r="AA792" s="262">
        <v>6094.72</v>
      </c>
      <c r="AC792" s="261">
        <v>788</v>
      </c>
      <c r="AD792" s="262">
        <v>20112.830000000089</v>
      </c>
      <c r="AF792" s="261">
        <v>788</v>
      </c>
      <c r="AG792" s="262">
        <v>53836.44</v>
      </c>
      <c r="AI792" s="261">
        <v>788</v>
      </c>
      <c r="AJ792" s="262">
        <v>22636</v>
      </c>
      <c r="AL792" s="261"/>
      <c r="AM792" s="262"/>
    </row>
    <row r="793" spans="2:39" ht="12.75" customHeight="1">
      <c r="B793" s="261" t="s">
        <v>943</v>
      </c>
      <c r="C793" s="261">
        <v>25145</v>
      </c>
      <c r="E793" s="261" t="s">
        <v>943</v>
      </c>
      <c r="F793" s="261">
        <v>25052.86</v>
      </c>
      <c r="N793" s="261">
        <v>789</v>
      </c>
      <c r="O793" s="262">
        <v>8882.99</v>
      </c>
      <c r="W793" s="261">
        <v>789</v>
      </c>
      <c r="X793" s="262">
        <v>6062.8</v>
      </c>
      <c r="Z793" s="261">
        <v>789</v>
      </c>
      <c r="AA793" s="262">
        <v>6102.23</v>
      </c>
      <c r="AC793" s="261">
        <v>789</v>
      </c>
      <c r="AD793" s="262">
        <v>20138.520000000091</v>
      </c>
      <c r="AF793" s="261">
        <v>789</v>
      </c>
      <c r="AG793" s="262">
        <v>53904.91</v>
      </c>
      <c r="AI793" s="261">
        <v>789</v>
      </c>
      <c r="AJ793" s="262">
        <v>22664</v>
      </c>
      <c r="AL793" s="261"/>
      <c r="AM793" s="262"/>
    </row>
    <row r="794" spans="2:39" ht="12.75" customHeight="1">
      <c r="B794" s="261" t="s">
        <v>1139</v>
      </c>
      <c r="C794" s="261">
        <v>25176</v>
      </c>
      <c r="E794" s="261" t="s">
        <v>1139</v>
      </c>
      <c r="F794" s="261">
        <v>25084.12</v>
      </c>
      <c r="N794" s="261">
        <v>790</v>
      </c>
      <c r="O794" s="262">
        <v>8894.1</v>
      </c>
      <c r="W794" s="261">
        <v>790</v>
      </c>
      <c r="X794" s="262">
        <v>6070.3</v>
      </c>
      <c r="Z794" s="261">
        <v>790</v>
      </c>
      <c r="AA794" s="262">
        <v>6109.74</v>
      </c>
      <c r="AC794" s="261">
        <v>790</v>
      </c>
      <c r="AD794" s="262">
        <v>20164.220000000088</v>
      </c>
      <c r="AF794" s="261">
        <v>790</v>
      </c>
      <c r="AG794" s="262">
        <v>53973.39</v>
      </c>
      <c r="AI794" s="261">
        <v>790</v>
      </c>
      <c r="AJ794" s="262">
        <v>22693</v>
      </c>
      <c r="AL794" s="261"/>
      <c r="AM794" s="262"/>
    </row>
    <row r="795" spans="2:39" ht="12.75" customHeight="1">
      <c r="B795" s="261" t="s">
        <v>1010</v>
      </c>
      <c r="C795" s="261">
        <v>25208</v>
      </c>
      <c r="E795" s="261" t="s">
        <v>1010</v>
      </c>
      <c r="F795" s="261">
        <v>25115.56</v>
      </c>
      <c r="N795" s="261">
        <v>791</v>
      </c>
      <c r="O795" s="262">
        <v>8905.2099999999991</v>
      </c>
      <c r="W795" s="261">
        <v>791</v>
      </c>
      <c r="X795" s="262">
        <v>6077.9</v>
      </c>
      <c r="Z795" s="261">
        <v>791</v>
      </c>
      <c r="AA795" s="262">
        <v>6117.26</v>
      </c>
      <c r="AC795" s="261">
        <v>791</v>
      </c>
      <c r="AD795" s="262">
        <v>20189.910000000091</v>
      </c>
      <c r="AF795" s="261">
        <v>791</v>
      </c>
      <c r="AG795" s="262">
        <v>54041.86</v>
      </c>
      <c r="AI795" s="261">
        <v>791</v>
      </c>
      <c r="AJ795" s="262">
        <v>22721</v>
      </c>
      <c r="AL795" s="261"/>
      <c r="AM795" s="262"/>
    </row>
    <row r="796" spans="2:39" ht="12.75" customHeight="1">
      <c r="B796" s="261" t="s">
        <v>1140</v>
      </c>
      <c r="C796" s="261">
        <v>25239</v>
      </c>
      <c r="E796" s="261" t="s">
        <v>1140</v>
      </c>
      <c r="F796" s="261">
        <v>25146.82</v>
      </c>
      <c r="N796" s="261">
        <v>792</v>
      </c>
      <c r="O796" s="262">
        <v>8916.31</v>
      </c>
      <c r="W796" s="261">
        <v>792</v>
      </c>
      <c r="X796" s="262">
        <v>6085.4</v>
      </c>
      <c r="Z796" s="261">
        <v>792</v>
      </c>
      <c r="AA796" s="262">
        <v>6124.77</v>
      </c>
      <c r="AC796" s="261">
        <v>792</v>
      </c>
      <c r="AD796" s="262">
        <v>20215.610000000092</v>
      </c>
      <c r="AF796" s="261">
        <v>792</v>
      </c>
      <c r="AG796" s="262">
        <v>54110.33</v>
      </c>
      <c r="AI796" s="261">
        <v>792</v>
      </c>
      <c r="AJ796" s="262">
        <v>22749</v>
      </c>
      <c r="AL796" s="261"/>
      <c r="AM796" s="262"/>
    </row>
    <row r="797" spans="2:39" ht="12.75" customHeight="1">
      <c r="B797" s="261">
        <v>33</v>
      </c>
      <c r="C797" s="261">
        <v>25270</v>
      </c>
      <c r="E797" s="261">
        <v>33</v>
      </c>
      <c r="F797" s="261">
        <v>25178.25</v>
      </c>
      <c r="N797" s="261">
        <v>793</v>
      </c>
      <c r="O797" s="262">
        <v>8927.42</v>
      </c>
      <c r="W797" s="261">
        <v>793</v>
      </c>
      <c r="X797" s="262">
        <v>6092.9</v>
      </c>
      <c r="Z797" s="261">
        <v>793</v>
      </c>
      <c r="AA797" s="262">
        <v>6132.29</v>
      </c>
      <c r="AC797" s="261">
        <v>793</v>
      </c>
      <c r="AD797" s="262">
        <v>20241.310000000092</v>
      </c>
      <c r="AF797" s="261">
        <v>793</v>
      </c>
      <c r="AG797" s="262">
        <v>54178.8</v>
      </c>
      <c r="AI797" s="261">
        <v>793</v>
      </c>
      <c r="AJ797" s="262">
        <v>22778</v>
      </c>
      <c r="AL797" s="261"/>
      <c r="AM797" s="262"/>
    </row>
    <row r="798" spans="2:39" ht="12.75" customHeight="1">
      <c r="B798" s="261" t="s">
        <v>1141</v>
      </c>
      <c r="C798" s="261">
        <v>25301</v>
      </c>
      <c r="E798" s="261" t="s">
        <v>1141</v>
      </c>
      <c r="F798" s="261">
        <v>25209.51</v>
      </c>
      <c r="N798" s="261">
        <v>794</v>
      </c>
      <c r="O798" s="262">
        <v>8938.5300000000007</v>
      </c>
      <c r="W798" s="261">
        <v>794</v>
      </c>
      <c r="X798" s="262">
        <v>6100.4</v>
      </c>
      <c r="Z798" s="261">
        <v>794</v>
      </c>
      <c r="AA798" s="262">
        <v>6139.8</v>
      </c>
      <c r="AC798" s="261">
        <v>794</v>
      </c>
      <c r="AD798" s="262">
        <v>20267.000000000095</v>
      </c>
      <c r="AF798" s="261">
        <v>794</v>
      </c>
      <c r="AG798" s="262">
        <v>54247.28</v>
      </c>
      <c r="AI798" s="261">
        <v>794</v>
      </c>
      <c r="AJ798" s="262">
        <v>22806</v>
      </c>
      <c r="AL798" s="261"/>
      <c r="AM798" s="262"/>
    </row>
    <row r="799" spans="2:39" ht="12.75" customHeight="1">
      <c r="B799" s="261" t="s">
        <v>1011</v>
      </c>
      <c r="C799" s="261">
        <v>25333</v>
      </c>
      <c r="E799" s="261" t="s">
        <v>1011</v>
      </c>
      <c r="F799" s="261">
        <v>25240.95</v>
      </c>
      <c r="N799" s="261">
        <v>795</v>
      </c>
      <c r="O799" s="262">
        <v>8949.64</v>
      </c>
      <c r="W799" s="261">
        <v>795</v>
      </c>
      <c r="X799" s="262">
        <v>6107.9</v>
      </c>
      <c r="Z799" s="261">
        <v>795</v>
      </c>
      <c r="AA799" s="262">
        <v>6147.32</v>
      </c>
      <c r="AC799" s="261">
        <v>795</v>
      </c>
      <c r="AD799" s="262">
        <v>20292.700000000092</v>
      </c>
      <c r="AF799" s="261">
        <v>795</v>
      </c>
      <c r="AG799" s="262">
        <v>54315.75</v>
      </c>
      <c r="AI799" s="261">
        <v>795</v>
      </c>
      <c r="AJ799" s="262">
        <v>22835</v>
      </c>
      <c r="AL799" s="261"/>
      <c r="AM799" s="262"/>
    </row>
    <row r="800" spans="2:39" ht="12.75" customHeight="1">
      <c r="B800" s="261" t="s">
        <v>1142</v>
      </c>
      <c r="C800" s="261">
        <v>25364</v>
      </c>
      <c r="E800" s="261" t="s">
        <v>1142</v>
      </c>
      <c r="F800" s="261">
        <v>25272.21</v>
      </c>
      <c r="N800" s="261">
        <v>796</v>
      </c>
      <c r="O800" s="262">
        <v>8960.75</v>
      </c>
      <c r="W800" s="261">
        <v>796</v>
      </c>
      <c r="X800" s="262">
        <v>6115.4</v>
      </c>
      <c r="Z800" s="261">
        <v>796</v>
      </c>
      <c r="AA800" s="262">
        <v>6154.83</v>
      </c>
      <c r="AC800" s="261">
        <v>796</v>
      </c>
      <c r="AD800" s="262">
        <v>20318.390000000094</v>
      </c>
      <c r="AF800" s="261">
        <v>796</v>
      </c>
      <c r="AG800" s="262">
        <v>54384.22</v>
      </c>
      <c r="AI800" s="261">
        <v>796</v>
      </c>
      <c r="AJ800" s="262">
        <v>22863</v>
      </c>
      <c r="AL800" s="261"/>
      <c r="AM800" s="262"/>
    </row>
    <row r="801" spans="2:39" ht="12.75" customHeight="1">
      <c r="B801" s="261" t="s">
        <v>1012</v>
      </c>
      <c r="C801" s="261">
        <v>25396</v>
      </c>
      <c r="E801" s="261" t="s">
        <v>1012</v>
      </c>
      <c r="F801" s="261">
        <v>25303.64</v>
      </c>
      <c r="N801" s="261">
        <v>797</v>
      </c>
      <c r="O801" s="262">
        <v>8971.85</v>
      </c>
      <c r="W801" s="261">
        <v>797</v>
      </c>
      <c r="X801" s="262">
        <v>6122.9</v>
      </c>
      <c r="Z801" s="261">
        <v>797</v>
      </c>
      <c r="AA801" s="262">
        <v>6162.35</v>
      </c>
      <c r="AC801" s="261">
        <v>797</v>
      </c>
      <c r="AD801" s="262">
        <v>20344.090000000095</v>
      </c>
      <c r="AF801" s="261">
        <v>797</v>
      </c>
      <c r="AG801" s="262">
        <v>54452.7</v>
      </c>
      <c r="AI801" s="261">
        <v>797</v>
      </c>
      <c r="AJ801" s="262">
        <v>22891</v>
      </c>
      <c r="AL801" s="261"/>
      <c r="AM801" s="262"/>
    </row>
    <row r="802" spans="2:39" ht="12.75" customHeight="1">
      <c r="B802" s="261" t="s">
        <v>1143</v>
      </c>
      <c r="C802" s="261">
        <v>25427</v>
      </c>
      <c r="E802" s="261" t="s">
        <v>1143</v>
      </c>
      <c r="F802" s="261">
        <v>25334.899999999998</v>
      </c>
      <c r="N802" s="261">
        <v>798</v>
      </c>
      <c r="O802" s="262">
        <v>8982.9599999999991</v>
      </c>
      <c r="W802" s="261">
        <v>798</v>
      </c>
      <c r="X802" s="262">
        <v>6130.4</v>
      </c>
      <c r="Z802" s="261">
        <v>798</v>
      </c>
      <c r="AA802" s="262">
        <v>6169.86</v>
      </c>
      <c r="AC802" s="261">
        <v>798</v>
      </c>
      <c r="AD802" s="262">
        <v>20369.790000000095</v>
      </c>
      <c r="AF802" s="261">
        <v>798</v>
      </c>
      <c r="AG802" s="262">
        <v>54521.17</v>
      </c>
      <c r="AI802" s="261">
        <v>798</v>
      </c>
      <c r="AJ802" s="262">
        <v>22920</v>
      </c>
      <c r="AL802" s="261"/>
      <c r="AM802" s="262"/>
    </row>
    <row r="803" spans="2:39" ht="12.75" customHeight="1">
      <c r="B803" s="261" t="s">
        <v>1013</v>
      </c>
      <c r="C803" s="261">
        <v>25459</v>
      </c>
      <c r="E803" s="261" t="s">
        <v>1013</v>
      </c>
      <c r="F803" s="261">
        <v>25366.33</v>
      </c>
      <c r="N803" s="261">
        <v>799</v>
      </c>
      <c r="O803" s="262">
        <v>8994.07</v>
      </c>
      <c r="W803" s="261">
        <v>799</v>
      </c>
      <c r="X803" s="262">
        <v>6137.9</v>
      </c>
      <c r="Z803" s="261">
        <v>799</v>
      </c>
      <c r="AA803" s="262">
        <v>6177.38</v>
      </c>
      <c r="AC803" s="261">
        <v>799</v>
      </c>
      <c r="AD803" s="262">
        <v>20395.480000000098</v>
      </c>
      <c r="AF803" s="261">
        <v>799</v>
      </c>
      <c r="AG803" s="262">
        <v>54589.64</v>
      </c>
      <c r="AI803" s="261">
        <v>799</v>
      </c>
      <c r="AJ803" s="262">
        <v>22948</v>
      </c>
      <c r="AL803" s="261"/>
      <c r="AM803" s="262"/>
    </row>
    <row r="804" spans="2:39" ht="12.75" customHeight="1">
      <c r="B804" s="261" t="s">
        <v>1144</v>
      </c>
      <c r="C804" s="261">
        <v>25490</v>
      </c>
      <c r="E804" s="261" t="s">
        <v>1144</v>
      </c>
      <c r="F804" s="261">
        <v>25397.59</v>
      </c>
      <c r="N804" s="261">
        <v>800</v>
      </c>
      <c r="O804" s="262">
        <v>9005.18</v>
      </c>
      <c r="W804" s="261">
        <v>800</v>
      </c>
      <c r="X804" s="262">
        <v>6145.4</v>
      </c>
      <c r="Z804" s="261">
        <v>800</v>
      </c>
      <c r="AA804" s="262">
        <v>6184.89</v>
      </c>
      <c r="AC804" s="261">
        <v>800</v>
      </c>
      <c r="AD804" s="262">
        <v>20421.180000000095</v>
      </c>
      <c r="AF804" s="261">
        <v>800</v>
      </c>
      <c r="AG804" s="262">
        <v>54658.12</v>
      </c>
      <c r="AI804" s="261">
        <v>800</v>
      </c>
      <c r="AJ804" s="262">
        <v>22977</v>
      </c>
      <c r="AL804" s="261"/>
      <c r="AM804" s="262"/>
    </row>
    <row r="805" spans="2:39" ht="12.75" customHeight="1">
      <c r="B805" s="261" t="s">
        <v>1014</v>
      </c>
      <c r="C805" s="261">
        <v>25522</v>
      </c>
      <c r="E805" s="261" t="s">
        <v>1014</v>
      </c>
      <c r="F805" s="261">
        <v>25429.03</v>
      </c>
      <c r="N805" s="261">
        <v>801</v>
      </c>
      <c r="O805" s="262">
        <v>9016.2900000000009</v>
      </c>
      <c r="W805" s="261">
        <v>801</v>
      </c>
      <c r="X805" s="262">
        <v>6152.9</v>
      </c>
      <c r="Z805" s="261">
        <v>801</v>
      </c>
      <c r="AA805" s="262">
        <v>6192.41</v>
      </c>
      <c r="AC805" s="261">
        <v>801</v>
      </c>
      <c r="AD805" s="262">
        <v>20446.870000000097</v>
      </c>
      <c r="AF805" s="261">
        <v>801</v>
      </c>
      <c r="AG805" s="262">
        <v>54726.59</v>
      </c>
      <c r="AI805" s="261">
        <v>801</v>
      </c>
      <c r="AJ805" s="262">
        <v>23005</v>
      </c>
      <c r="AL805" s="261"/>
      <c r="AM805" s="262"/>
    </row>
    <row r="806" spans="2:39" ht="12.75" customHeight="1">
      <c r="B806" s="261" t="s">
        <v>1145</v>
      </c>
      <c r="C806" s="261">
        <v>25553</v>
      </c>
      <c r="E806" s="261" t="s">
        <v>1145</v>
      </c>
      <c r="F806" s="261">
        <v>25460.289999999997</v>
      </c>
      <c r="N806" s="261">
        <v>802</v>
      </c>
      <c r="O806" s="262">
        <v>9027.39</v>
      </c>
      <c r="W806" s="261">
        <v>802</v>
      </c>
      <c r="X806" s="262">
        <v>6160.4</v>
      </c>
      <c r="Z806" s="261">
        <v>802</v>
      </c>
      <c r="AA806" s="262">
        <v>6199.92</v>
      </c>
      <c r="AC806" s="261">
        <v>802</v>
      </c>
      <c r="AD806" s="262">
        <v>20472.570000000098</v>
      </c>
      <c r="AF806" s="261">
        <v>802</v>
      </c>
      <c r="AG806" s="262">
        <v>54795.06</v>
      </c>
      <c r="AI806" s="261">
        <v>802</v>
      </c>
      <c r="AJ806" s="262">
        <v>23033</v>
      </c>
      <c r="AL806" s="261"/>
      <c r="AM806" s="262"/>
    </row>
    <row r="807" spans="2:39" ht="12.75" customHeight="1">
      <c r="B807" s="261" t="s">
        <v>1015</v>
      </c>
      <c r="C807" s="261">
        <v>25585</v>
      </c>
      <c r="E807" s="261" t="s">
        <v>1015</v>
      </c>
      <c r="F807" s="261">
        <v>25491.72</v>
      </c>
      <c r="N807" s="261">
        <v>803</v>
      </c>
      <c r="O807" s="262">
        <v>9038.5</v>
      </c>
      <c r="W807" s="261">
        <v>803</v>
      </c>
      <c r="X807" s="262">
        <v>6168</v>
      </c>
      <c r="Z807" s="261">
        <v>803</v>
      </c>
      <c r="AA807" s="262">
        <v>6207.44</v>
      </c>
      <c r="AC807" s="261">
        <v>803</v>
      </c>
      <c r="AD807" s="262">
        <v>20498.270000000099</v>
      </c>
      <c r="AF807" s="261">
        <v>803</v>
      </c>
      <c r="AG807" s="262">
        <v>54863.53</v>
      </c>
      <c r="AI807" s="261">
        <v>803</v>
      </c>
      <c r="AJ807" s="262">
        <v>23062</v>
      </c>
      <c r="AL807" s="261"/>
      <c r="AM807" s="262"/>
    </row>
    <row r="808" spans="2:39" ht="12.75" customHeight="1">
      <c r="B808" s="261" t="s">
        <v>1016</v>
      </c>
      <c r="C808" s="261">
        <v>25616</v>
      </c>
      <c r="E808" s="261" t="s">
        <v>1016</v>
      </c>
      <c r="F808" s="261">
        <v>25522.98</v>
      </c>
      <c r="N808" s="261">
        <v>804</v>
      </c>
      <c r="O808" s="262">
        <v>9049.6200000000008</v>
      </c>
      <c r="W808" s="261">
        <v>804</v>
      </c>
      <c r="X808" s="262">
        <v>6175.5</v>
      </c>
      <c r="Z808" s="261">
        <v>804</v>
      </c>
      <c r="AA808" s="262">
        <v>6214.95</v>
      </c>
      <c r="AC808" s="261">
        <v>804</v>
      </c>
      <c r="AD808" s="262">
        <v>20523.960000000101</v>
      </c>
      <c r="AF808" s="261">
        <v>804</v>
      </c>
      <c r="AG808" s="262">
        <v>54932.01</v>
      </c>
      <c r="AI808" s="261">
        <v>804</v>
      </c>
      <c r="AJ808" s="262">
        <v>23090</v>
      </c>
      <c r="AL808" s="261"/>
      <c r="AM808" s="262"/>
    </row>
    <row r="809" spans="2:39" ht="12.75" customHeight="1">
      <c r="B809" s="261" t="s">
        <v>1146</v>
      </c>
      <c r="C809" s="261">
        <v>25647</v>
      </c>
      <c r="E809" s="261" t="s">
        <v>1146</v>
      </c>
      <c r="F809" s="261">
        <v>25554.42</v>
      </c>
      <c r="N809" s="261">
        <v>805</v>
      </c>
      <c r="O809" s="262">
        <v>9060.7199999999993</v>
      </c>
      <c r="W809" s="261">
        <v>805</v>
      </c>
      <c r="X809" s="262">
        <v>6183</v>
      </c>
      <c r="Z809" s="261">
        <v>805</v>
      </c>
      <c r="AA809" s="262">
        <v>6222.47</v>
      </c>
      <c r="AC809" s="261">
        <v>805</v>
      </c>
      <c r="AD809" s="262">
        <v>20549.660000000098</v>
      </c>
      <c r="AF809" s="261">
        <v>805</v>
      </c>
      <c r="AG809" s="262">
        <v>55000.480000000003</v>
      </c>
      <c r="AI809" s="261">
        <v>805</v>
      </c>
      <c r="AJ809" s="262">
        <v>23119</v>
      </c>
      <c r="AL809" s="261"/>
      <c r="AM809" s="262"/>
    </row>
    <row r="810" spans="2:39" ht="12.75" customHeight="1">
      <c r="B810" s="261" t="s">
        <v>1147</v>
      </c>
      <c r="C810" s="261">
        <v>25678</v>
      </c>
      <c r="E810" s="261" t="s">
        <v>1147</v>
      </c>
      <c r="F810" s="261">
        <v>25585.679999999997</v>
      </c>
      <c r="N810" s="261">
        <v>806</v>
      </c>
      <c r="O810" s="262">
        <v>9071.83</v>
      </c>
      <c r="W810" s="261">
        <v>806</v>
      </c>
      <c r="X810" s="262">
        <v>6190.5</v>
      </c>
      <c r="Z810" s="261">
        <v>806</v>
      </c>
      <c r="AA810" s="262">
        <v>6229.98</v>
      </c>
      <c r="AC810" s="261">
        <v>806</v>
      </c>
      <c r="AD810" s="262">
        <v>20575.3500000001</v>
      </c>
      <c r="AF810" s="261">
        <v>806</v>
      </c>
      <c r="AG810" s="262">
        <v>55068.95</v>
      </c>
      <c r="AI810" s="261">
        <v>806</v>
      </c>
      <c r="AJ810" s="262">
        <v>23147</v>
      </c>
      <c r="AL810" s="261"/>
      <c r="AM810" s="262"/>
    </row>
    <row r="811" spans="2:39" ht="12.75" customHeight="1">
      <c r="B811" s="261" t="s">
        <v>1017</v>
      </c>
      <c r="C811" s="261">
        <v>25710</v>
      </c>
      <c r="E811" s="261" t="s">
        <v>1017</v>
      </c>
      <c r="F811" s="261">
        <v>25617.11</v>
      </c>
      <c r="N811" s="261">
        <v>807</v>
      </c>
      <c r="O811" s="262">
        <v>9082.93</v>
      </c>
      <c r="W811" s="261">
        <v>807</v>
      </c>
      <c r="X811" s="262">
        <v>6198</v>
      </c>
      <c r="Z811" s="261">
        <v>807</v>
      </c>
      <c r="AA811" s="262">
        <v>6237.49</v>
      </c>
      <c r="AC811" s="261">
        <v>807</v>
      </c>
      <c r="AD811" s="262">
        <v>20601.050000000101</v>
      </c>
      <c r="AF811" s="261">
        <v>807</v>
      </c>
      <c r="AG811" s="262">
        <v>55137.43</v>
      </c>
      <c r="AI811" s="261">
        <v>807</v>
      </c>
      <c r="AJ811" s="262">
        <v>23175</v>
      </c>
      <c r="AL811" s="261"/>
      <c r="AM811" s="262"/>
    </row>
    <row r="812" spans="2:39" ht="12.75" customHeight="1">
      <c r="B812" s="261" t="s">
        <v>1148</v>
      </c>
      <c r="C812" s="261">
        <v>25741</v>
      </c>
      <c r="E812" s="261" t="s">
        <v>1148</v>
      </c>
      <c r="F812" s="261">
        <v>25648.37</v>
      </c>
      <c r="N812" s="261">
        <v>808</v>
      </c>
      <c r="O812" s="262">
        <v>9094.07</v>
      </c>
      <c r="W812" s="261">
        <v>808</v>
      </c>
      <c r="X812" s="262">
        <v>6205.5</v>
      </c>
      <c r="Z812" s="261">
        <v>808</v>
      </c>
      <c r="AA812" s="262">
        <v>6245.01</v>
      </c>
      <c r="AC812" s="261">
        <v>808</v>
      </c>
      <c r="AD812" s="262">
        <v>20626.750000000102</v>
      </c>
      <c r="AF812" s="261">
        <v>808</v>
      </c>
      <c r="AG812" s="262">
        <v>55205.9</v>
      </c>
      <c r="AI812" s="261">
        <v>808</v>
      </c>
      <c r="AJ812" s="262">
        <v>23204</v>
      </c>
      <c r="AL812" s="261"/>
      <c r="AM812" s="262"/>
    </row>
    <row r="813" spans="2:39" ht="12.75" customHeight="1">
      <c r="B813" s="261" t="s">
        <v>1018</v>
      </c>
      <c r="C813" s="261">
        <v>25773</v>
      </c>
      <c r="E813" s="261" t="s">
        <v>1018</v>
      </c>
      <c r="F813" s="261">
        <v>25679.8</v>
      </c>
      <c r="N813" s="261">
        <v>809</v>
      </c>
      <c r="O813" s="262">
        <v>9105.15</v>
      </c>
      <c r="W813" s="261">
        <v>809</v>
      </c>
      <c r="X813" s="262">
        <v>6213</v>
      </c>
      <c r="Z813" s="261">
        <v>809</v>
      </c>
      <c r="AA813" s="262">
        <v>6252.52</v>
      </c>
      <c r="AC813" s="261">
        <v>809</v>
      </c>
      <c r="AD813" s="262">
        <v>20652.440000000104</v>
      </c>
      <c r="AF813" s="261">
        <v>809</v>
      </c>
      <c r="AG813" s="262">
        <v>55274.37</v>
      </c>
      <c r="AI813" s="261">
        <v>809</v>
      </c>
      <c r="AJ813" s="262">
        <v>23232</v>
      </c>
      <c r="AL813" s="261"/>
      <c r="AM813" s="262"/>
    </row>
    <row r="814" spans="2:39" ht="12.75" customHeight="1">
      <c r="B814" s="261" t="s">
        <v>1149</v>
      </c>
      <c r="C814" s="261">
        <v>25804</v>
      </c>
      <c r="E814" s="261" t="s">
        <v>1149</v>
      </c>
      <c r="F814" s="261">
        <v>25711.059999999998</v>
      </c>
      <c r="N814" s="261">
        <v>810</v>
      </c>
      <c r="O814" s="262">
        <v>9116.26</v>
      </c>
      <c r="W814" s="261">
        <v>810</v>
      </c>
      <c r="X814" s="262">
        <v>6220.5</v>
      </c>
      <c r="Z814" s="261">
        <v>810</v>
      </c>
      <c r="AA814" s="262">
        <v>6260.04</v>
      </c>
      <c r="AC814" s="261">
        <v>810</v>
      </c>
      <c r="AD814" s="262">
        <v>20678.140000000101</v>
      </c>
      <c r="AF814" s="261">
        <v>810</v>
      </c>
      <c r="AG814" s="262">
        <v>55342.85</v>
      </c>
      <c r="AI814" s="261">
        <v>810</v>
      </c>
      <c r="AJ814" s="262">
        <v>23261</v>
      </c>
      <c r="AL814" s="261"/>
      <c r="AM814" s="262"/>
    </row>
    <row r="815" spans="2:39" ht="12.75" customHeight="1">
      <c r="B815" s="261" t="s">
        <v>1019</v>
      </c>
      <c r="C815" s="261">
        <v>25836</v>
      </c>
      <c r="E815" s="261" t="s">
        <v>1019</v>
      </c>
      <c r="F815" s="261">
        <v>25742.49</v>
      </c>
      <c r="N815" s="261">
        <v>811</v>
      </c>
      <c r="O815" s="262">
        <v>9127.3700000000008</v>
      </c>
      <c r="W815" s="261">
        <v>811</v>
      </c>
      <c r="X815" s="262">
        <v>6228</v>
      </c>
      <c r="Z815" s="261">
        <v>811</v>
      </c>
      <c r="AA815" s="262">
        <v>6267.55</v>
      </c>
      <c r="AC815" s="261">
        <v>811</v>
      </c>
      <c r="AD815" s="262">
        <v>20703.830000000104</v>
      </c>
      <c r="AF815" s="261">
        <v>811</v>
      </c>
      <c r="AG815" s="262">
        <v>55411.32</v>
      </c>
      <c r="AI815" s="261">
        <v>811</v>
      </c>
      <c r="AJ815" s="262">
        <v>23289</v>
      </c>
      <c r="AL815" s="261"/>
      <c r="AM815" s="262"/>
    </row>
    <row r="816" spans="2:39" ht="12.75" customHeight="1">
      <c r="B816" s="261" t="s">
        <v>1150</v>
      </c>
      <c r="C816" s="261">
        <v>25867</v>
      </c>
      <c r="E816" s="261" t="s">
        <v>1150</v>
      </c>
      <c r="F816" s="261">
        <v>25773.75</v>
      </c>
      <c r="N816" s="261">
        <v>812</v>
      </c>
      <c r="O816" s="262">
        <v>9138.4699999999993</v>
      </c>
      <c r="W816" s="261">
        <v>812</v>
      </c>
      <c r="X816" s="262">
        <v>6235.5</v>
      </c>
      <c r="Z816" s="261">
        <v>812</v>
      </c>
      <c r="AA816" s="262">
        <v>6275.07</v>
      </c>
      <c r="AC816" s="261">
        <v>812</v>
      </c>
      <c r="AD816" s="262">
        <v>20729.530000000104</v>
      </c>
      <c r="AF816" s="261">
        <v>812</v>
      </c>
      <c r="AG816" s="262">
        <v>55479.79</v>
      </c>
      <c r="AI816" s="261">
        <v>812</v>
      </c>
      <c r="AJ816" s="262">
        <v>23317</v>
      </c>
      <c r="AL816" s="261"/>
      <c r="AM816" s="262"/>
    </row>
    <row r="817" spans="2:39" ht="12.75" customHeight="1">
      <c r="B817" s="261" t="s">
        <v>944</v>
      </c>
      <c r="C817" s="261">
        <v>25899</v>
      </c>
      <c r="E817" s="261" t="s">
        <v>944</v>
      </c>
      <c r="F817" s="261">
        <v>25805.19</v>
      </c>
      <c r="N817" s="261">
        <v>813</v>
      </c>
      <c r="O817" s="262">
        <v>9149.58</v>
      </c>
      <c r="W817" s="261">
        <v>813</v>
      </c>
      <c r="X817" s="262">
        <v>6243</v>
      </c>
      <c r="Z817" s="261">
        <v>813</v>
      </c>
      <c r="AA817" s="262">
        <v>6282.58</v>
      </c>
      <c r="AC817" s="261">
        <v>813</v>
      </c>
      <c r="AD817" s="262">
        <v>20755.230000000105</v>
      </c>
      <c r="AF817" s="261">
        <v>813</v>
      </c>
      <c r="AG817" s="262">
        <v>55548.26</v>
      </c>
      <c r="AI817" s="261">
        <v>813</v>
      </c>
      <c r="AJ817" s="262">
        <v>23346</v>
      </c>
      <c r="AL817" s="261"/>
      <c r="AM817" s="262"/>
    </row>
    <row r="818" spans="2:39" ht="12.75" customHeight="1">
      <c r="B818" s="261" t="s">
        <v>1151</v>
      </c>
      <c r="C818" s="261">
        <v>25930</v>
      </c>
      <c r="E818" s="261" t="s">
        <v>1151</v>
      </c>
      <c r="F818" s="261">
        <v>25836.449999999997</v>
      </c>
      <c r="N818" s="261">
        <v>814</v>
      </c>
      <c r="O818" s="262">
        <v>9160.69</v>
      </c>
      <c r="W818" s="261">
        <v>814</v>
      </c>
      <c r="X818" s="262">
        <v>6250.5</v>
      </c>
      <c r="Z818" s="261">
        <v>814</v>
      </c>
      <c r="AA818" s="262">
        <v>6290.1</v>
      </c>
      <c r="AC818" s="261">
        <v>814</v>
      </c>
      <c r="AD818" s="262">
        <v>20780.920000000107</v>
      </c>
      <c r="AF818" s="261">
        <v>814</v>
      </c>
      <c r="AG818" s="262">
        <v>55616.74</v>
      </c>
      <c r="AI818" s="261">
        <v>814</v>
      </c>
      <c r="AJ818" s="262">
        <v>23374</v>
      </c>
      <c r="AL818" s="261"/>
      <c r="AM818" s="262"/>
    </row>
    <row r="819" spans="2:39" ht="12.75" customHeight="1">
      <c r="B819" s="261" t="s">
        <v>1020</v>
      </c>
      <c r="C819" s="261">
        <v>25962</v>
      </c>
      <c r="E819" s="261" t="s">
        <v>1020</v>
      </c>
      <c r="F819" s="261">
        <v>25867.89</v>
      </c>
      <c r="N819" s="261">
        <v>815</v>
      </c>
      <c r="O819" s="262">
        <v>9171.7999999999993</v>
      </c>
      <c r="W819" s="261">
        <v>815</v>
      </c>
      <c r="X819" s="262">
        <v>6258.1</v>
      </c>
      <c r="Z819" s="261">
        <v>815</v>
      </c>
      <c r="AA819" s="262">
        <v>6297.61</v>
      </c>
      <c r="AC819" s="261">
        <v>815</v>
      </c>
      <c r="AD819" s="262">
        <v>20806.620000000104</v>
      </c>
      <c r="AF819" s="261">
        <v>815</v>
      </c>
      <c r="AG819" s="262">
        <v>55685.21</v>
      </c>
      <c r="AI819" s="261">
        <v>815</v>
      </c>
      <c r="AJ819" s="262">
        <v>23403</v>
      </c>
      <c r="AL819" s="261"/>
      <c r="AM819" s="262"/>
    </row>
    <row r="820" spans="2:39" ht="12.75" customHeight="1">
      <c r="B820" s="261" t="s">
        <v>1152</v>
      </c>
      <c r="C820" s="261">
        <v>25993</v>
      </c>
      <c r="E820" s="261" t="s">
        <v>1152</v>
      </c>
      <c r="F820" s="261">
        <v>25899.149999999998</v>
      </c>
      <c r="N820" s="261">
        <v>816</v>
      </c>
      <c r="O820" s="262">
        <v>9182.91</v>
      </c>
      <c r="W820" s="261">
        <v>816</v>
      </c>
      <c r="X820" s="262">
        <v>6265.6</v>
      </c>
      <c r="Z820" s="261">
        <v>816</v>
      </c>
      <c r="AA820" s="262">
        <v>6305.13</v>
      </c>
      <c r="AC820" s="261">
        <v>816</v>
      </c>
      <c r="AD820" s="262">
        <v>20832.310000000107</v>
      </c>
      <c r="AF820" s="261">
        <v>816</v>
      </c>
      <c r="AG820" s="262">
        <v>55753.68</v>
      </c>
      <c r="AI820" s="261">
        <v>816</v>
      </c>
      <c r="AJ820" s="262">
        <v>23431</v>
      </c>
      <c r="AL820" s="261"/>
      <c r="AM820" s="262"/>
    </row>
    <row r="821" spans="2:39" ht="12.75" customHeight="1">
      <c r="B821" s="261">
        <v>34</v>
      </c>
      <c r="C821" s="261">
        <v>26024</v>
      </c>
      <c r="E821" s="261">
        <v>34</v>
      </c>
      <c r="F821" s="261">
        <v>25930.57</v>
      </c>
      <c r="N821" s="261">
        <v>817</v>
      </c>
      <c r="O821" s="262">
        <v>9194.01</v>
      </c>
      <c r="W821" s="261">
        <v>817</v>
      </c>
      <c r="X821" s="262">
        <v>6273.1</v>
      </c>
      <c r="Z821" s="261">
        <v>817</v>
      </c>
      <c r="AA821" s="262">
        <v>6312.64</v>
      </c>
      <c r="AC821" s="261">
        <v>817</v>
      </c>
      <c r="AD821" s="262">
        <v>20858.010000000108</v>
      </c>
      <c r="AF821" s="261">
        <v>817</v>
      </c>
      <c r="AG821" s="262">
        <v>55822.16</v>
      </c>
      <c r="AI821" s="261">
        <v>817</v>
      </c>
      <c r="AJ821" s="262">
        <v>23459</v>
      </c>
      <c r="AL821" s="261"/>
      <c r="AM821" s="262"/>
    </row>
    <row r="822" spans="2:39" ht="12.75" customHeight="1">
      <c r="B822" s="261" t="s">
        <v>1153</v>
      </c>
      <c r="C822" s="261">
        <v>26055</v>
      </c>
      <c r="E822" s="261" t="s">
        <v>1153</v>
      </c>
      <c r="F822" s="261">
        <v>25961.829999999998</v>
      </c>
      <c r="N822" s="261">
        <v>818</v>
      </c>
      <c r="O822" s="262">
        <v>9205.1200000000008</v>
      </c>
      <c r="W822" s="261">
        <v>818</v>
      </c>
      <c r="X822" s="262">
        <v>6280.6</v>
      </c>
      <c r="Z822" s="261">
        <v>818</v>
      </c>
      <c r="AA822" s="262">
        <v>6320.16</v>
      </c>
      <c r="AC822" s="261">
        <v>818</v>
      </c>
      <c r="AD822" s="262">
        <v>20883.710000000108</v>
      </c>
      <c r="AF822" s="261">
        <v>818</v>
      </c>
      <c r="AG822" s="262">
        <v>55890.63</v>
      </c>
      <c r="AI822" s="261">
        <v>818</v>
      </c>
      <c r="AJ822" s="262">
        <v>23488</v>
      </c>
      <c r="AL822" s="261"/>
      <c r="AM822" s="262"/>
    </row>
    <row r="823" spans="2:39" ht="12.75" customHeight="1">
      <c r="B823" s="261" t="s">
        <v>1021</v>
      </c>
      <c r="C823" s="261">
        <v>26087</v>
      </c>
      <c r="E823" s="261" t="s">
        <v>1021</v>
      </c>
      <c r="F823" s="261">
        <v>25993.27</v>
      </c>
      <c r="N823" s="261">
        <v>819</v>
      </c>
      <c r="O823" s="262">
        <v>9216.23</v>
      </c>
      <c r="W823" s="261">
        <v>819</v>
      </c>
      <c r="X823" s="262">
        <v>6288.1</v>
      </c>
      <c r="Z823" s="261">
        <v>819</v>
      </c>
      <c r="AA823" s="262">
        <v>6327.67</v>
      </c>
      <c r="AC823" s="261">
        <v>819</v>
      </c>
      <c r="AD823" s="262">
        <v>20909.400000000111</v>
      </c>
      <c r="AF823" s="261">
        <v>819</v>
      </c>
      <c r="AG823" s="262">
        <v>55959.1</v>
      </c>
      <c r="AI823" s="261">
        <v>819</v>
      </c>
      <c r="AJ823" s="262">
        <v>23516</v>
      </c>
      <c r="AL823" s="261"/>
      <c r="AM823" s="262"/>
    </row>
    <row r="824" spans="2:39" ht="12.75" customHeight="1">
      <c r="B824" s="261" t="s">
        <v>1154</v>
      </c>
      <c r="C824" s="261">
        <v>26118</v>
      </c>
      <c r="E824" s="261" t="s">
        <v>1154</v>
      </c>
      <c r="F824" s="261">
        <v>26024.53</v>
      </c>
      <c r="N824" s="261">
        <v>820</v>
      </c>
      <c r="O824" s="262">
        <v>9227.34</v>
      </c>
      <c r="W824" s="261">
        <v>820</v>
      </c>
      <c r="X824" s="262">
        <v>6295.6</v>
      </c>
      <c r="Z824" s="261">
        <v>820</v>
      </c>
      <c r="AA824" s="262">
        <v>6335.19</v>
      </c>
      <c r="AC824" s="261">
        <v>820</v>
      </c>
      <c r="AD824" s="262">
        <v>20935.100000000108</v>
      </c>
      <c r="AF824" s="261">
        <v>820</v>
      </c>
      <c r="AG824" s="262">
        <v>56027.58</v>
      </c>
      <c r="AI824" s="261">
        <v>820</v>
      </c>
      <c r="AJ824" s="262">
        <v>23545</v>
      </c>
      <c r="AL824" s="261"/>
      <c r="AM824" s="262"/>
    </row>
    <row r="825" spans="2:39" ht="12.75" customHeight="1">
      <c r="B825" s="261" t="s">
        <v>1022</v>
      </c>
      <c r="C825" s="261">
        <v>26150</v>
      </c>
      <c r="E825" s="261" t="s">
        <v>1022</v>
      </c>
      <c r="F825" s="261">
        <v>26055.97</v>
      </c>
      <c r="N825" s="261">
        <v>821</v>
      </c>
      <c r="O825" s="262">
        <v>9238.4500000000007</v>
      </c>
      <c r="W825" s="261">
        <v>821</v>
      </c>
      <c r="X825" s="262">
        <v>6303.1</v>
      </c>
      <c r="Z825" s="261">
        <v>821</v>
      </c>
      <c r="AA825" s="262">
        <v>6342.7</v>
      </c>
      <c r="AC825" s="261">
        <v>821</v>
      </c>
      <c r="AD825" s="262">
        <v>20960.79000000011</v>
      </c>
      <c r="AF825" s="261">
        <v>821</v>
      </c>
      <c r="AG825" s="262">
        <v>56096.05</v>
      </c>
      <c r="AI825" s="261">
        <v>821</v>
      </c>
      <c r="AJ825" s="262">
        <v>23573</v>
      </c>
      <c r="AL825" s="261"/>
      <c r="AM825" s="262"/>
    </row>
    <row r="826" spans="2:39" ht="12.75" customHeight="1">
      <c r="B826" s="261" t="s">
        <v>1155</v>
      </c>
      <c r="C826" s="261">
        <v>26181</v>
      </c>
      <c r="E826" s="261" t="s">
        <v>1155</v>
      </c>
      <c r="F826" s="261">
        <v>26087.23</v>
      </c>
      <c r="N826" s="261">
        <v>822</v>
      </c>
      <c r="O826" s="262">
        <v>9249.5499999999993</v>
      </c>
      <c r="W826" s="261">
        <v>822</v>
      </c>
      <c r="X826" s="262">
        <v>6310.6</v>
      </c>
      <c r="Z826" s="261">
        <v>822</v>
      </c>
      <c r="AA826" s="262">
        <v>6350.21</v>
      </c>
      <c r="AC826" s="261">
        <v>822</v>
      </c>
      <c r="AD826" s="262">
        <v>20986.490000000111</v>
      </c>
      <c r="AF826" s="261">
        <v>822</v>
      </c>
      <c r="AG826" s="262">
        <v>56164.52</v>
      </c>
      <c r="AI826" s="261">
        <v>822</v>
      </c>
      <c r="AJ826" s="262">
        <v>23601</v>
      </c>
      <c r="AL826" s="261"/>
      <c r="AM826" s="262"/>
    </row>
    <row r="827" spans="2:39" ht="12.75" customHeight="1">
      <c r="B827" s="261" t="s">
        <v>1023</v>
      </c>
      <c r="C827" s="261">
        <v>26213</v>
      </c>
      <c r="E827" s="261" t="s">
        <v>1023</v>
      </c>
      <c r="F827" s="261">
        <v>26118.66</v>
      </c>
      <c r="N827" s="261">
        <v>823</v>
      </c>
      <c r="O827" s="262">
        <v>9260.66</v>
      </c>
      <c r="W827" s="261">
        <v>823</v>
      </c>
      <c r="X827" s="262">
        <v>6318.1</v>
      </c>
      <c r="Z827" s="261">
        <v>823</v>
      </c>
      <c r="AA827" s="262">
        <v>6357.73</v>
      </c>
      <c r="AC827" s="261">
        <v>823</v>
      </c>
      <c r="AD827" s="262">
        <v>21012.190000000111</v>
      </c>
      <c r="AF827" s="261">
        <v>823</v>
      </c>
      <c r="AG827" s="262">
        <v>56232.99</v>
      </c>
      <c r="AI827" s="261">
        <v>823</v>
      </c>
      <c r="AJ827" s="262">
        <v>23630</v>
      </c>
      <c r="AL827" s="261"/>
      <c r="AM827" s="262"/>
    </row>
    <row r="828" spans="2:39" ht="12.75" customHeight="1">
      <c r="B828" s="261" t="s">
        <v>1156</v>
      </c>
      <c r="C828" s="261">
        <v>26244</v>
      </c>
      <c r="E828" s="261" t="s">
        <v>1156</v>
      </c>
      <c r="F828" s="261">
        <v>26149.919999999998</v>
      </c>
      <c r="N828" s="261">
        <v>824</v>
      </c>
      <c r="O828" s="262">
        <v>9271.77</v>
      </c>
      <c r="W828" s="261">
        <v>824</v>
      </c>
      <c r="X828" s="262">
        <v>6325.6</v>
      </c>
      <c r="Z828" s="261">
        <v>824</v>
      </c>
      <c r="AA828" s="262">
        <v>6365.24</v>
      </c>
      <c r="AC828" s="261">
        <v>824</v>
      </c>
      <c r="AD828" s="262">
        <v>21037.880000000114</v>
      </c>
      <c r="AF828" s="261">
        <v>824</v>
      </c>
      <c r="AG828" s="262">
        <v>56301.47</v>
      </c>
      <c r="AI828" s="261">
        <v>824</v>
      </c>
      <c r="AJ828" s="262">
        <v>23658</v>
      </c>
      <c r="AL828" s="261"/>
      <c r="AM828" s="262"/>
    </row>
    <row r="829" spans="2:39" ht="12.75" customHeight="1">
      <c r="B829" s="261" t="s">
        <v>1024</v>
      </c>
      <c r="C829" s="261">
        <v>26276</v>
      </c>
      <c r="E829" s="261" t="s">
        <v>1024</v>
      </c>
      <c r="F829" s="261">
        <v>26181.35</v>
      </c>
      <c r="N829" s="261">
        <v>825</v>
      </c>
      <c r="O829" s="262">
        <v>9282.8799999999992</v>
      </c>
      <c r="W829" s="261">
        <v>825</v>
      </c>
      <c r="X829" s="262">
        <v>6333.1</v>
      </c>
      <c r="Z829" s="261">
        <v>825</v>
      </c>
      <c r="AA829" s="262">
        <v>6372.76</v>
      </c>
      <c r="AC829" s="261">
        <v>825</v>
      </c>
      <c r="AD829" s="262">
        <v>21063.580000000111</v>
      </c>
      <c r="AF829" s="261">
        <v>825</v>
      </c>
      <c r="AG829" s="262">
        <v>56369.94</v>
      </c>
      <c r="AI829" s="261">
        <v>825</v>
      </c>
      <c r="AJ829" s="262">
        <v>23687</v>
      </c>
      <c r="AL829" s="261"/>
      <c r="AM829" s="262"/>
    </row>
    <row r="830" spans="2:39" ht="12.75" customHeight="1">
      <c r="B830" s="261" t="s">
        <v>1157</v>
      </c>
      <c r="C830" s="261">
        <v>26307</v>
      </c>
      <c r="E830" s="261" t="s">
        <v>1157</v>
      </c>
      <c r="F830" s="261">
        <v>26212.609999999997</v>
      </c>
      <c r="N830" s="261">
        <v>826</v>
      </c>
      <c r="O830" s="262">
        <v>9293.99</v>
      </c>
      <c r="W830" s="261">
        <v>826</v>
      </c>
      <c r="X830" s="262">
        <v>6340.7</v>
      </c>
      <c r="Z830" s="261">
        <v>826</v>
      </c>
      <c r="AA830" s="262">
        <v>6380.27</v>
      </c>
      <c r="AC830" s="261">
        <v>826</v>
      </c>
      <c r="AD830" s="262">
        <v>21089.270000000113</v>
      </c>
      <c r="AF830" s="261">
        <v>826</v>
      </c>
      <c r="AG830" s="262">
        <v>56438.41</v>
      </c>
      <c r="AI830" s="261">
        <v>826</v>
      </c>
      <c r="AJ830" s="262">
        <v>23715</v>
      </c>
      <c r="AL830" s="261"/>
      <c r="AM830" s="262"/>
    </row>
    <row r="831" spans="2:39" ht="12.75" customHeight="1">
      <c r="B831" s="261" t="s">
        <v>1025</v>
      </c>
      <c r="C831" s="261">
        <v>26339</v>
      </c>
      <c r="E831" s="261" t="s">
        <v>1025</v>
      </c>
      <c r="F831" s="261">
        <v>26244.04</v>
      </c>
      <c r="N831" s="261">
        <v>827</v>
      </c>
      <c r="O831" s="262">
        <v>9305.09</v>
      </c>
      <c r="W831" s="261">
        <v>827</v>
      </c>
      <c r="X831" s="262">
        <v>6348.2</v>
      </c>
      <c r="Z831" s="261">
        <v>827</v>
      </c>
      <c r="AA831" s="262">
        <v>6387.79</v>
      </c>
      <c r="AC831" s="261">
        <v>827</v>
      </c>
      <c r="AD831" s="262">
        <v>21114.970000000114</v>
      </c>
      <c r="AF831" s="261">
        <v>827</v>
      </c>
      <c r="AG831" s="262">
        <v>56506.89</v>
      </c>
      <c r="AI831" s="261">
        <v>827</v>
      </c>
      <c r="AJ831" s="262">
        <v>23743</v>
      </c>
      <c r="AL831" s="261"/>
      <c r="AM831" s="262"/>
    </row>
    <row r="832" spans="2:39" ht="12.75" customHeight="1">
      <c r="B832" s="261" t="s">
        <v>1158</v>
      </c>
      <c r="C832" s="261">
        <v>26370</v>
      </c>
      <c r="E832" s="261" t="s">
        <v>1158</v>
      </c>
      <c r="F832" s="261">
        <v>26275.3</v>
      </c>
      <c r="N832" s="261">
        <v>828</v>
      </c>
      <c r="O832" s="262">
        <v>9316.2000000000007</v>
      </c>
      <c r="W832" s="261">
        <v>828</v>
      </c>
      <c r="X832" s="262">
        <v>6355.7</v>
      </c>
      <c r="Z832" s="261">
        <v>828</v>
      </c>
      <c r="AA832" s="262">
        <v>6395.3</v>
      </c>
      <c r="AC832" s="261">
        <v>828</v>
      </c>
      <c r="AD832" s="262">
        <v>21140.670000000115</v>
      </c>
      <c r="AF832" s="261">
        <v>828</v>
      </c>
      <c r="AG832" s="262">
        <v>56575.360000000001</v>
      </c>
      <c r="AI832" s="261">
        <v>828</v>
      </c>
      <c r="AJ832" s="262">
        <v>23772</v>
      </c>
      <c r="AL832" s="261"/>
      <c r="AM832" s="262"/>
    </row>
    <row r="833" spans="2:39" ht="12.75" customHeight="1">
      <c r="B833" s="261" t="s">
        <v>1159</v>
      </c>
      <c r="C833" s="261">
        <v>26401</v>
      </c>
      <c r="E833" s="261" t="s">
        <v>1159</v>
      </c>
      <c r="F833" s="261">
        <v>26306.74</v>
      </c>
      <c r="N833" s="261">
        <v>829</v>
      </c>
      <c r="O833" s="262">
        <v>9327.31</v>
      </c>
      <c r="W833" s="261">
        <v>829</v>
      </c>
      <c r="X833" s="262">
        <v>6363.2</v>
      </c>
      <c r="Z833" s="261">
        <v>829</v>
      </c>
      <c r="AA833" s="262">
        <v>6402.82</v>
      </c>
      <c r="AC833" s="261">
        <v>829</v>
      </c>
      <c r="AD833" s="262">
        <v>21166.360000000117</v>
      </c>
      <c r="AF833" s="261">
        <v>829</v>
      </c>
      <c r="AG833" s="262">
        <v>56643.83</v>
      </c>
      <c r="AI833" s="261">
        <v>829</v>
      </c>
      <c r="AJ833" s="262">
        <v>23800</v>
      </c>
      <c r="AL833" s="261"/>
      <c r="AM833" s="262"/>
    </row>
    <row r="834" spans="2:39" ht="12.75" customHeight="1">
      <c r="B834" s="261" t="s">
        <v>1160</v>
      </c>
      <c r="C834" s="261">
        <v>26432</v>
      </c>
      <c r="E834" s="261" t="s">
        <v>1160</v>
      </c>
      <c r="F834" s="261">
        <v>26338</v>
      </c>
      <c r="N834" s="261">
        <v>830</v>
      </c>
      <c r="O834" s="262">
        <v>9338.42</v>
      </c>
      <c r="W834" s="261">
        <v>830</v>
      </c>
      <c r="X834" s="262">
        <v>6370.7</v>
      </c>
      <c r="Z834" s="261">
        <v>830</v>
      </c>
      <c r="AA834" s="262">
        <v>6410.33</v>
      </c>
      <c r="AC834" s="261">
        <v>830</v>
      </c>
      <c r="AD834" s="262">
        <v>21192.060000000114</v>
      </c>
      <c r="AF834" s="261">
        <v>830</v>
      </c>
      <c r="AG834" s="262">
        <v>56712.31</v>
      </c>
      <c r="AI834" s="261">
        <v>830</v>
      </c>
      <c r="AJ834" s="262">
        <v>23829</v>
      </c>
      <c r="AL834" s="261"/>
      <c r="AM834" s="262"/>
    </row>
    <row r="835" spans="2:39" ht="12.75" customHeight="1">
      <c r="B835" s="261" t="s">
        <v>1026</v>
      </c>
      <c r="C835" s="261">
        <v>26464</v>
      </c>
      <c r="E835" s="261" t="s">
        <v>1026</v>
      </c>
      <c r="F835" s="261">
        <v>26369.43</v>
      </c>
      <c r="N835" s="261">
        <v>831</v>
      </c>
      <c r="O835" s="262">
        <v>9349.5300000000007</v>
      </c>
      <c r="W835" s="261">
        <v>831</v>
      </c>
      <c r="X835" s="262">
        <v>6378.2</v>
      </c>
      <c r="Z835" s="261">
        <v>831</v>
      </c>
      <c r="AA835" s="262">
        <v>6417.85</v>
      </c>
      <c r="AC835" s="261">
        <v>831</v>
      </c>
      <c r="AD835" s="262">
        <v>21217.750000000116</v>
      </c>
      <c r="AF835" s="261">
        <v>831</v>
      </c>
      <c r="AG835" s="262">
        <v>56780.78</v>
      </c>
      <c r="AI835" s="261">
        <v>831</v>
      </c>
      <c r="AJ835" s="262">
        <v>23857</v>
      </c>
      <c r="AL835" s="261"/>
      <c r="AM835" s="262"/>
    </row>
    <row r="836" spans="2:39" ht="12.75" customHeight="1">
      <c r="B836" s="261" t="s">
        <v>1161</v>
      </c>
      <c r="C836" s="261">
        <v>26495</v>
      </c>
      <c r="E836" s="261" t="s">
        <v>1161</v>
      </c>
      <c r="F836" s="261">
        <v>26400.69</v>
      </c>
      <c r="N836" s="261">
        <v>832</v>
      </c>
      <c r="O836" s="262">
        <v>9360.6299999999992</v>
      </c>
      <c r="W836" s="261">
        <v>832</v>
      </c>
      <c r="X836" s="262">
        <v>6385.7</v>
      </c>
      <c r="Z836" s="261">
        <v>832</v>
      </c>
      <c r="AA836" s="262">
        <v>6425.36</v>
      </c>
      <c r="AC836" s="261">
        <v>832</v>
      </c>
      <c r="AD836" s="262">
        <v>21243.450000000117</v>
      </c>
      <c r="AF836" s="261">
        <v>832</v>
      </c>
      <c r="AG836" s="262">
        <v>56849.25</v>
      </c>
      <c r="AI836" s="261">
        <v>832</v>
      </c>
      <c r="AJ836" s="262">
        <v>23885</v>
      </c>
      <c r="AL836" s="261"/>
      <c r="AM836" s="262"/>
    </row>
    <row r="837" spans="2:39" ht="12.75" customHeight="1">
      <c r="B837" s="261" t="s">
        <v>1027</v>
      </c>
      <c r="C837" s="261">
        <v>26527</v>
      </c>
      <c r="E837" s="261" t="s">
        <v>1027</v>
      </c>
      <c r="F837" s="261">
        <v>26432.13</v>
      </c>
      <c r="N837" s="261">
        <v>833</v>
      </c>
      <c r="O837" s="262">
        <v>9371.74</v>
      </c>
      <c r="W837" s="261">
        <v>833</v>
      </c>
      <c r="X837" s="262">
        <v>6393.2</v>
      </c>
      <c r="Z837" s="261">
        <v>833</v>
      </c>
      <c r="AA837" s="262">
        <v>6432.88</v>
      </c>
      <c r="AC837" s="261">
        <v>833</v>
      </c>
      <c r="AD837" s="262">
        <v>21269.150000000118</v>
      </c>
      <c r="AF837" s="261">
        <v>833</v>
      </c>
      <c r="AG837" s="262">
        <v>56917.72</v>
      </c>
      <c r="AI837" s="261">
        <v>833</v>
      </c>
      <c r="AJ837" s="262">
        <v>23914</v>
      </c>
      <c r="AL837" s="261"/>
      <c r="AM837" s="262"/>
    </row>
    <row r="838" spans="2:39" ht="12.75" customHeight="1">
      <c r="B838" s="261" t="s">
        <v>1162</v>
      </c>
      <c r="C838" s="261">
        <v>26558</v>
      </c>
      <c r="E838" s="261" t="s">
        <v>1162</v>
      </c>
      <c r="F838" s="261">
        <v>26463.39</v>
      </c>
      <c r="N838" s="261">
        <v>834</v>
      </c>
      <c r="O838" s="262">
        <v>9382.85</v>
      </c>
      <c r="W838" s="261">
        <v>834</v>
      </c>
      <c r="X838" s="262">
        <v>6400.7</v>
      </c>
      <c r="Z838" s="261">
        <v>834</v>
      </c>
      <c r="AA838" s="262">
        <v>6440.39</v>
      </c>
      <c r="AC838" s="261">
        <v>834</v>
      </c>
      <c r="AD838" s="262">
        <v>21294.84000000012</v>
      </c>
      <c r="AF838" s="261">
        <v>834</v>
      </c>
      <c r="AG838" s="262">
        <v>56986.2</v>
      </c>
      <c r="AI838" s="261">
        <v>834</v>
      </c>
      <c r="AJ838" s="262">
        <v>23942</v>
      </c>
      <c r="AL838" s="261"/>
      <c r="AM838" s="262"/>
    </row>
    <row r="839" spans="2:39" ht="12.75" customHeight="1">
      <c r="B839" s="261" t="s">
        <v>1028</v>
      </c>
      <c r="C839" s="261">
        <v>26590</v>
      </c>
      <c r="E839" s="261" t="s">
        <v>1028</v>
      </c>
      <c r="F839" s="261">
        <v>26494.82</v>
      </c>
      <c r="N839" s="261">
        <v>835</v>
      </c>
      <c r="O839" s="262">
        <v>9393.9599999999991</v>
      </c>
      <c r="W839" s="261">
        <v>835</v>
      </c>
      <c r="X839" s="262">
        <v>6408.2</v>
      </c>
      <c r="Z839" s="261">
        <v>835</v>
      </c>
      <c r="AA839" s="262">
        <v>6447.91</v>
      </c>
      <c r="AC839" s="261">
        <v>835</v>
      </c>
      <c r="AD839" s="262">
        <v>21320.540000000117</v>
      </c>
      <c r="AF839" s="261">
        <v>835</v>
      </c>
      <c r="AG839" s="262">
        <v>57054.67</v>
      </c>
      <c r="AI839" s="261">
        <v>835</v>
      </c>
      <c r="AJ839" s="262">
        <v>23971</v>
      </c>
      <c r="AL839" s="261"/>
      <c r="AM839" s="262"/>
    </row>
    <row r="840" spans="2:39" ht="12.75" customHeight="1">
      <c r="B840" s="261" t="s">
        <v>1163</v>
      </c>
      <c r="C840" s="261">
        <v>26621</v>
      </c>
      <c r="E840" s="261" t="s">
        <v>1163</v>
      </c>
      <c r="F840" s="261">
        <v>26526.079999999998</v>
      </c>
      <c r="N840" s="261">
        <v>836</v>
      </c>
      <c r="O840" s="262">
        <v>9405.07</v>
      </c>
      <c r="W840" s="261">
        <v>836</v>
      </c>
      <c r="X840" s="262">
        <v>6415.7</v>
      </c>
      <c r="Z840" s="261">
        <v>836</v>
      </c>
      <c r="AA840" s="262">
        <v>6455.42</v>
      </c>
      <c r="AC840" s="261">
        <v>836</v>
      </c>
      <c r="AD840" s="262">
        <v>21346.23000000012</v>
      </c>
      <c r="AF840" s="261">
        <v>836</v>
      </c>
      <c r="AG840" s="262">
        <v>57123.14</v>
      </c>
      <c r="AI840" s="261">
        <v>836</v>
      </c>
      <c r="AJ840" s="262">
        <v>23999</v>
      </c>
      <c r="AL840" s="261"/>
      <c r="AM840" s="262"/>
    </row>
    <row r="841" spans="2:39" ht="12.75" customHeight="1">
      <c r="B841" s="261" t="s">
        <v>945</v>
      </c>
      <c r="C841" s="261">
        <v>26653</v>
      </c>
      <c r="E841" s="261" t="s">
        <v>945</v>
      </c>
      <c r="F841" s="261">
        <v>26557.51</v>
      </c>
      <c r="N841" s="261">
        <v>837</v>
      </c>
      <c r="O841" s="262">
        <v>9416.17</v>
      </c>
      <c r="W841" s="261">
        <v>837</v>
      </c>
      <c r="X841" s="262">
        <v>6423.2</v>
      </c>
      <c r="Z841" s="261">
        <v>837</v>
      </c>
      <c r="AA841" s="262">
        <v>6462.94</v>
      </c>
      <c r="AC841" s="261">
        <v>837</v>
      </c>
      <c r="AD841" s="262">
        <v>21371.93000000012</v>
      </c>
      <c r="AF841" s="261">
        <v>837</v>
      </c>
      <c r="AG841" s="262">
        <v>57191.62</v>
      </c>
      <c r="AI841" s="261">
        <v>837</v>
      </c>
      <c r="AJ841" s="262">
        <v>24027</v>
      </c>
      <c r="AL841" s="261"/>
      <c r="AM841" s="262"/>
    </row>
    <row r="842" spans="2:39" ht="12.75" customHeight="1">
      <c r="B842" s="261" t="s">
        <v>1164</v>
      </c>
      <c r="C842" s="261">
        <v>26684</v>
      </c>
      <c r="E842" s="261" t="s">
        <v>1164</v>
      </c>
      <c r="F842" s="261">
        <v>26588.769999999997</v>
      </c>
      <c r="N842" s="261">
        <v>838</v>
      </c>
      <c r="O842" s="262">
        <v>9427.2800000000007</v>
      </c>
      <c r="W842" s="261">
        <v>838</v>
      </c>
      <c r="X842" s="262">
        <v>6430.8</v>
      </c>
      <c r="Z842" s="261">
        <v>838</v>
      </c>
      <c r="AA842" s="262">
        <v>6470.45</v>
      </c>
      <c r="AC842" s="261">
        <v>838</v>
      </c>
      <c r="AD842" s="262">
        <v>21397.630000000121</v>
      </c>
      <c r="AF842" s="261">
        <v>838</v>
      </c>
      <c r="AG842" s="262">
        <v>57260.09</v>
      </c>
      <c r="AI842" s="261">
        <v>838</v>
      </c>
      <c r="AJ842" s="262">
        <v>24056</v>
      </c>
      <c r="AL842" s="261"/>
      <c r="AM842" s="262"/>
    </row>
    <row r="843" spans="2:39" ht="12.75" customHeight="1">
      <c r="B843" s="261" t="s">
        <v>1029</v>
      </c>
      <c r="C843" s="261">
        <v>26716</v>
      </c>
      <c r="E843" s="261" t="s">
        <v>1029</v>
      </c>
      <c r="F843" s="261">
        <v>26620.21</v>
      </c>
      <c r="N843" s="261">
        <v>839</v>
      </c>
      <c r="O843" s="262">
        <v>9438.39</v>
      </c>
      <c r="W843" s="261">
        <v>839</v>
      </c>
      <c r="X843" s="262">
        <v>6438.3</v>
      </c>
      <c r="Z843" s="261">
        <v>839</v>
      </c>
      <c r="AA843" s="262">
        <v>6477.96</v>
      </c>
      <c r="AC843" s="261">
        <v>839</v>
      </c>
      <c r="AD843" s="262">
        <v>21423.320000000123</v>
      </c>
      <c r="AF843" s="261">
        <v>839</v>
      </c>
      <c r="AG843" s="262">
        <v>57328.56</v>
      </c>
      <c r="AI843" s="261">
        <v>839</v>
      </c>
      <c r="AJ843" s="262">
        <v>24084</v>
      </c>
      <c r="AL843" s="261"/>
      <c r="AM843" s="262"/>
    </row>
    <row r="844" spans="2:39" ht="12.75" customHeight="1">
      <c r="B844" s="261" t="s">
        <v>1165</v>
      </c>
      <c r="C844" s="261">
        <v>26747</v>
      </c>
      <c r="E844" s="261" t="s">
        <v>1165</v>
      </c>
      <c r="F844" s="261">
        <v>26651.469999999998</v>
      </c>
      <c r="N844" s="261">
        <v>840</v>
      </c>
      <c r="O844" s="262">
        <v>9449.5</v>
      </c>
      <c r="W844" s="261">
        <v>840</v>
      </c>
      <c r="X844" s="262">
        <v>6445.8</v>
      </c>
      <c r="Z844" s="261">
        <v>840</v>
      </c>
      <c r="AA844" s="262">
        <v>6485.48</v>
      </c>
      <c r="AC844" s="261">
        <v>840</v>
      </c>
      <c r="AD844" s="262">
        <v>21449.02000000012</v>
      </c>
      <c r="AF844" s="261">
        <v>840</v>
      </c>
      <c r="AG844" s="262">
        <v>57397.04</v>
      </c>
      <c r="AI844" s="261">
        <v>840</v>
      </c>
      <c r="AJ844" s="262">
        <v>24113</v>
      </c>
      <c r="AL844" s="261"/>
      <c r="AM844" s="262"/>
    </row>
    <row r="845" spans="2:39" ht="12.75" customHeight="1">
      <c r="B845" s="261">
        <v>35</v>
      </c>
      <c r="C845" s="261">
        <v>26778</v>
      </c>
      <c r="E845" s="261">
        <v>35</v>
      </c>
      <c r="F845" s="261">
        <v>26682.9</v>
      </c>
      <c r="N845" s="261">
        <v>841</v>
      </c>
      <c r="O845" s="262">
        <v>9460.61</v>
      </c>
      <c r="W845" s="261">
        <v>841</v>
      </c>
      <c r="X845" s="262">
        <v>6453.3</v>
      </c>
      <c r="Z845" s="261">
        <v>841</v>
      </c>
      <c r="AA845" s="262">
        <v>6492.99</v>
      </c>
      <c r="AC845" s="261">
        <v>841</v>
      </c>
      <c r="AD845" s="262">
        <v>21474.710000000123</v>
      </c>
      <c r="AF845" s="261">
        <v>841</v>
      </c>
      <c r="AG845" s="262">
        <v>57465.51</v>
      </c>
      <c r="AI845" s="261">
        <v>841</v>
      </c>
      <c r="AJ845" s="262">
        <v>24141</v>
      </c>
      <c r="AL845" s="261"/>
      <c r="AM845" s="262"/>
    </row>
    <row r="846" spans="2:39" ht="12.75" customHeight="1">
      <c r="B846" s="261" t="s">
        <v>1166</v>
      </c>
      <c r="C846" s="261">
        <v>26809</v>
      </c>
      <c r="E846" s="261" t="s">
        <v>1166</v>
      </c>
      <c r="F846" s="261">
        <v>26714.16</v>
      </c>
      <c r="N846" s="261">
        <v>842</v>
      </c>
      <c r="O846" s="262">
        <v>9471.7099999999991</v>
      </c>
      <c r="W846" s="261">
        <v>842</v>
      </c>
      <c r="X846" s="262">
        <v>6460.8</v>
      </c>
      <c r="Z846" s="261">
        <v>842</v>
      </c>
      <c r="AA846" s="262">
        <v>6500.51</v>
      </c>
      <c r="AC846" s="261">
        <v>842</v>
      </c>
      <c r="AD846" s="262">
        <v>21500.410000000124</v>
      </c>
      <c r="AF846" s="261">
        <v>842</v>
      </c>
      <c r="AG846" s="262">
        <v>57533.98</v>
      </c>
      <c r="AI846" s="261">
        <v>842</v>
      </c>
      <c r="AJ846" s="262">
        <v>24169</v>
      </c>
      <c r="AL846" s="261"/>
      <c r="AM846" s="262"/>
    </row>
    <row r="847" spans="2:39" ht="12.75" customHeight="1">
      <c r="B847" s="261" t="s">
        <v>1030</v>
      </c>
      <c r="C847" s="261">
        <v>26841</v>
      </c>
      <c r="E847" s="261" t="s">
        <v>1030</v>
      </c>
      <c r="F847" s="261">
        <v>26745.599999999999</v>
      </c>
      <c r="N847" s="261">
        <v>843</v>
      </c>
      <c r="O847" s="262">
        <v>9482.82</v>
      </c>
      <c r="W847" s="261">
        <v>843</v>
      </c>
      <c r="X847" s="262">
        <v>6468.3</v>
      </c>
      <c r="Z847" s="261">
        <v>843</v>
      </c>
      <c r="AA847" s="262">
        <v>6508.02</v>
      </c>
      <c r="AC847" s="261">
        <v>843</v>
      </c>
      <c r="AD847" s="262">
        <v>21526.110000000124</v>
      </c>
      <c r="AF847" s="261">
        <v>843</v>
      </c>
      <c r="AG847" s="262">
        <v>57602.45</v>
      </c>
      <c r="AI847" s="261">
        <v>843</v>
      </c>
      <c r="AJ847" s="262">
        <v>24198</v>
      </c>
      <c r="AL847" s="261"/>
      <c r="AM847" s="262"/>
    </row>
    <row r="848" spans="2:39" ht="12.75" customHeight="1">
      <c r="B848" s="261" t="s">
        <v>1167</v>
      </c>
      <c r="C848" s="261">
        <v>26872</v>
      </c>
      <c r="E848" s="261" t="s">
        <v>1167</v>
      </c>
      <c r="F848" s="261">
        <v>26776.859999999997</v>
      </c>
      <c r="N848" s="261">
        <v>844</v>
      </c>
      <c r="O848" s="262">
        <v>9493.93</v>
      </c>
      <c r="W848" s="261">
        <v>844</v>
      </c>
      <c r="X848" s="262">
        <v>6475.8</v>
      </c>
      <c r="Z848" s="261">
        <v>844</v>
      </c>
      <c r="AA848" s="262">
        <v>6515.54</v>
      </c>
      <c r="AC848" s="261">
        <v>844</v>
      </c>
      <c r="AD848" s="262">
        <v>21551.800000000127</v>
      </c>
      <c r="AF848" s="261">
        <v>844</v>
      </c>
      <c r="AG848" s="262">
        <v>57670.93</v>
      </c>
      <c r="AI848" s="261">
        <v>844</v>
      </c>
      <c r="AJ848" s="262">
        <v>24226</v>
      </c>
      <c r="AL848" s="261"/>
      <c r="AM848" s="262"/>
    </row>
    <row r="849" spans="2:39" ht="12.75" customHeight="1">
      <c r="B849" s="261" t="s">
        <v>1031</v>
      </c>
      <c r="C849" s="261">
        <v>26904</v>
      </c>
      <c r="E849" s="261" t="s">
        <v>1031</v>
      </c>
      <c r="F849" s="261">
        <v>26808.29</v>
      </c>
      <c r="N849" s="261">
        <v>845</v>
      </c>
      <c r="O849" s="262">
        <v>9505.0400000000009</v>
      </c>
      <c r="W849" s="261">
        <v>845</v>
      </c>
      <c r="X849" s="262">
        <v>6483.3</v>
      </c>
      <c r="Z849" s="261">
        <v>845</v>
      </c>
      <c r="AA849" s="262">
        <v>6523.05</v>
      </c>
      <c r="AC849" s="261">
        <v>845</v>
      </c>
      <c r="AD849" s="262">
        <v>21577.500000000124</v>
      </c>
      <c r="AF849" s="261">
        <v>845</v>
      </c>
      <c r="AG849" s="262">
        <v>57739.4</v>
      </c>
      <c r="AI849" s="261">
        <v>845</v>
      </c>
      <c r="AJ849" s="262">
        <v>24255</v>
      </c>
      <c r="AL849" s="261"/>
      <c r="AM849" s="262"/>
    </row>
    <row r="850" spans="2:39" ht="12.75" customHeight="1">
      <c r="B850" s="261" t="s">
        <v>1168</v>
      </c>
      <c r="C850" s="261">
        <v>26935</v>
      </c>
      <c r="E850" s="261" t="s">
        <v>1168</v>
      </c>
      <c r="F850" s="261">
        <v>26839.55</v>
      </c>
      <c r="N850" s="261">
        <v>846</v>
      </c>
      <c r="O850" s="262">
        <v>9516.15</v>
      </c>
      <c r="W850" s="261">
        <v>846</v>
      </c>
      <c r="X850" s="262">
        <v>6490.8</v>
      </c>
      <c r="Z850" s="261">
        <v>846</v>
      </c>
      <c r="AA850" s="262">
        <v>6530.57</v>
      </c>
      <c r="AC850" s="261">
        <v>846</v>
      </c>
      <c r="AD850" s="262">
        <v>21603.190000000126</v>
      </c>
      <c r="AF850" s="261">
        <v>846</v>
      </c>
      <c r="AG850" s="262">
        <v>57807.87</v>
      </c>
      <c r="AI850" s="261">
        <v>846</v>
      </c>
      <c r="AJ850" s="262">
        <v>24283</v>
      </c>
      <c r="AL850" s="261"/>
      <c r="AM850" s="262"/>
    </row>
    <row r="851" spans="2:39" ht="12.75" customHeight="1">
      <c r="B851" s="261" t="s">
        <v>1032</v>
      </c>
      <c r="C851" s="261">
        <v>26967</v>
      </c>
      <c r="E851" s="261" t="s">
        <v>1032</v>
      </c>
      <c r="F851" s="261">
        <v>26870.98</v>
      </c>
      <c r="N851" s="261">
        <v>847</v>
      </c>
      <c r="O851" s="262">
        <v>9527.25</v>
      </c>
      <c r="W851" s="261">
        <v>847</v>
      </c>
      <c r="X851" s="262">
        <v>6498.8</v>
      </c>
      <c r="Z851" s="261">
        <v>847</v>
      </c>
      <c r="AA851" s="262">
        <v>6538.08</v>
      </c>
      <c r="AC851" s="261">
        <v>847</v>
      </c>
      <c r="AD851" s="262">
        <v>21628.890000000127</v>
      </c>
      <c r="AF851" s="261">
        <v>847</v>
      </c>
      <c r="AG851" s="262">
        <v>57876.35</v>
      </c>
      <c r="AI851" s="261">
        <v>847</v>
      </c>
      <c r="AJ851" s="262">
        <v>24311</v>
      </c>
      <c r="AL851" s="261"/>
      <c r="AM851" s="262"/>
    </row>
    <row r="852" spans="2:39" ht="12.75" customHeight="1">
      <c r="B852" s="261" t="s">
        <v>1169</v>
      </c>
      <c r="C852" s="261">
        <v>26998</v>
      </c>
      <c r="E852" s="261" t="s">
        <v>1169</v>
      </c>
      <c r="F852" s="261">
        <v>26902.239999999998</v>
      </c>
      <c r="N852" s="261">
        <v>848</v>
      </c>
      <c r="O852" s="262">
        <v>9538.36</v>
      </c>
      <c r="W852" s="261">
        <v>848</v>
      </c>
      <c r="X852" s="262">
        <v>6505.8</v>
      </c>
      <c r="Z852" s="261">
        <v>848</v>
      </c>
      <c r="AA852" s="262">
        <v>6545.6</v>
      </c>
      <c r="AC852" s="261">
        <v>848</v>
      </c>
      <c r="AD852" s="262">
        <v>21654.590000000127</v>
      </c>
      <c r="AF852" s="261">
        <v>848</v>
      </c>
      <c r="AG852" s="262">
        <v>57944.82</v>
      </c>
      <c r="AI852" s="261">
        <v>848</v>
      </c>
      <c r="AJ852" s="262">
        <v>24340</v>
      </c>
      <c r="AL852" s="261"/>
      <c r="AM852" s="262"/>
    </row>
    <row r="853" spans="2:39" ht="12.75" customHeight="1">
      <c r="B853" s="261" t="s">
        <v>1033</v>
      </c>
      <c r="C853" s="261">
        <v>27030</v>
      </c>
      <c r="E853" s="261" t="s">
        <v>1033</v>
      </c>
      <c r="F853" s="261">
        <v>26933.67</v>
      </c>
      <c r="N853" s="261">
        <v>849</v>
      </c>
      <c r="O853" s="262">
        <v>9549.4699999999993</v>
      </c>
      <c r="W853" s="261">
        <v>849</v>
      </c>
      <c r="X853" s="262">
        <v>6513.4</v>
      </c>
      <c r="Z853" s="261">
        <v>849</v>
      </c>
      <c r="AA853" s="262">
        <v>6553.11</v>
      </c>
      <c r="AC853" s="261">
        <v>849</v>
      </c>
      <c r="AD853" s="262">
        <v>21680.28000000013</v>
      </c>
      <c r="AF853" s="261">
        <v>849</v>
      </c>
      <c r="AG853" s="262">
        <v>58013.29</v>
      </c>
      <c r="AI853" s="261">
        <v>849</v>
      </c>
      <c r="AJ853" s="262">
        <v>24368</v>
      </c>
      <c r="AL853" s="261"/>
      <c r="AM853" s="262"/>
    </row>
    <row r="854" spans="2:39" ht="12.75" customHeight="1">
      <c r="B854" s="261" t="s">
        <v>1170</v>
      </c>
      <c r="C854" s="261">
        <v>27061</v>
      </c>
      <c r="E854" s="261" t="s">
        <v>1170</v>
      </c>
      <c r="F854" s="261">
        <v>26964.929999999997</v>
      </c>
      <c r="N854" s="261">
        <v>850</v>
      </c>
      <c r="O854" s="262">
        <v>9560.58</v>
      </c>
      <c r="W854" s="261">
        <v>850</v>
      </c>
      <c r="X854" s="262">
        <v>6520.9</v>
      </c>
      <c r="Z854" s="261">
        <v>850</v>
      </c>
      <c r="AA854" s="262">
        <v>6560.63</v>
      </c>
      <c r="AC854" s="261">
        <v>850</v>
      </c>
      <c r="AD854" s="262">
        <v>21705.980000000127</v>
      </c>
      <c r="AF854" s="261">
        <v>850</v>
      </c>
      <c r="AG854" s="262">
        <v>58081.77</v>
      </c>
      <c r="AI854" s="261">
        <v>850</v>
      </c>
      <c r="AJ854" s="262">
        <v>24397</v>
      </c>
      <c r="AL854" s="261"/>
      <c r="AM854" s="262"/>
    </row>
    <row r="855" spans="2:39" ht="12.75" customHeight="1">
      <c r="B855" s="261" t="s">
        <v>1034</v>
      </c>
      <c r="C855" s="261">
        <v>27093</v>
      </c>
      <c r="E855" s="261" t="s">
        <v>1034</v>
      </c>
      <c r="F855" s="261">
        <v>26996.37</v>
      </c>
      <c r="N855" s="261">
        <v>851</v>
      </c>
      <c r="O855" s="262">
        <v>9571.68</v>
      </c>
      <c r="W855" s="261">
        <v>851</v>
      </c>
      <c r="X855" s="262">
        <v>6528.4</v>
      </c>
      <c r="Z855" s="261">
        <v>851</v>
      </c>
      <c r="AA855" s="262">
        <v>6568.14</v>
      </c>
      <c r="AC855" s="261">
        <v>851</v>
      </c>
      <c r="AD855" s="262">
        <v>21731.670000000129</v>
      </c>
      <c r="AF855" s="261">
        <v>851</v>
      </c>
      <c r="AG855" s="262">
        <v>58150.239999999998</v>
      </c>
      <c r="AI855" s="261">
        <v>851</v>
      </c>
      <c r="AJ855" s="262">
        <v>24425</v>
      </c>
      <c r="AL855" s="261"/>
      <c r="AM855" s="262"/>
    </row>
    <row r="856" spans="2:39" ht="12.75" customHeight="1">
      <c r="B856" s="261" t="s">
        <v>1171</v>
      </c>
      <c r="C856" s="261">
        <v>27124</v>
      </c>
      <c r="E856" s="261" t="s">
        <v>1171</v>
      </c>
      <c r="F856" s="261">
        <v>27027.629999999997</v>
      </c>
      <c r="N856" s="261">
        <v>852</v>
      </c>
      <c r="O856" s="262">
        <v>9582.7900000000009</v>
      </c>
      <c r="W856" s="261">
        <v>852</v>
      </c>
      <c r="X856" s="262">
        <v>6535.9</v>
      </c>
      <c r="Z856" s="261">
        <v>852</v>
      </c>
      <c r="AA856" s="262">
        <v>6575.66</v>
      </c>
      <c r="AC856" s="261">
        <v>852</v>
      </c>
      <c r="AD856" s="262">
        <v>21757.37000000013</v>
      </c>
      <c r="AF856" s="261">
        <v>852</v>
      </c>
      <c r="AG856" s="262">
        <v>58218.71</v>
      </c>
      <c r="AI856" s="261">
        <v>852</v>
      </c>
      <c r="AJ856" s="262">
        <v>24453</v>
      </c>
      <c r="AL856" s="261"/>
      <c r="AM856" s="262"/>
    </row>
    <row r="857" spans="2:39" ht="12.75" customHeight="1">
      <c r="B857" s="261" t="s">
        <v>1172</v>
      </c>
      <c r="C857" s="261">
        <v>27156</v>
      </c>
      <c r="E857" s="261" t="s">
        <v>1172</v>
      </c>
      <c r="F857" s="261">
        <v>27059.06</v>
      </c>
      <c r="N857" s="261">
        <v>853</v>
      </c>
      <c r="O857" s="262">
        <v>9593.9</v>
      </c>
      <c r="W857" s="261">
        <v>853</v>
      </c>
      <c r="X857" s="262">
        <v>6543.4</v>
      </c>
      <c r="Z857" s="261">
        <v>853</v>
      </c>
      <c r="AA857" s="262">
        <v>6583.17</v>
      </c>
      <c r="AC857" s="261">
        <v>853</v>
      </c>
      <c r="AD857" s="262">
        <v>21783.070000000131</v>
      </c>
      <c r="AF857" s="261">
        <v>853</v>
      </c>
      <c r="AG857" s="262">
        <v>58287.18</v>
      </c>
      <c r="AI857" s="261">
        <v>853</v>
      </c>
      <c r="AJ857" s="262">
        <v>24482</v>
      </c>
      <c r="AL857" s="261"/>
      <c r="AM857" s="262"/>
    </row>
    <row r="858" spans="2:39" ht="12.75" customHeight="1">
      <c r="B858" s="261" t="s">
        <v>1173</v>
      </c>
      <c r="C858" s="261">
        <v>27187</v>
      </c>
      <c r="E858" s="261" t="s">
        <v>1173</v>
      </c>
      <c r="F858" s="261">
        <v>27090.32</v>
      </c>
      <c r="N858" s="261">
        <v>854</v>
      </c>
      <c r="O858" s="262">
        <v>9605.01</v>
      </c>
      <c r="W858" s="261">
        <v>854</v>
      </c>
      <c r="X858" s="262">
        <v>6550.9</v>
      </c>
      <c r="Z858" s="261">
        <v>854</v>
      </c>
      <c r="AA858" s="262">
        <v>6590.69</v>
      </c>
      <c r="AC858" s="261">
        <v>854</v>
      </c>
      <c r="AD858" s="262">
        <v>21808.760000000133</v>
      </c>
      <c r="AF858" s="261">
        <v>854</v>
      </c>
      <c r="AG858" s="262">
        <v>58355.66</v>
      </c>
      <c r="AI858" s="261">
        <v>854</v>
      </c>
      <c r="AJ858" s="262">
        <v>24510</v>
      </c>
      <c r="AL858" s="261"/>
      <c r="AM858" s="262"/>
    </row>
    <row r="859" spans="2:39" ht="12.75" customHeight="1">
      <c r="B859" s="261" t="s">
        <v>1035</v>
      </c>
      <c r="C859" s="261">
        <v>27218</v>
      </c>
      <c r="E859" s="261" t="s">
        <v>1035</v>
      </c>
      <c r="F859" s="261">
        <v>27121.759999999998</v>
      </c>
      <c r="N859" s="261">
        <v>855</v>
      </c>
      <c r="O859" s="262">
        <v>9616.1200000000008</v>
      </c>
      <c r="W859" s="261">
        <v>855</v>
      </c>
      <c r="X859" s="262">
        <v>6558.4</v>
      </c>
      <c r="Z859" s="261">
        <v>855</v>
      </c>
      <c r="AA859" s="262">
        <v>6598.2</v>
      </c>
      <c r="AC859" s="261">
        <v>855</v>
      </c>
      <c r="AD859" s="262">
        <v>21834.46000000013</v>
      </c>
      <c r="AF859" s="261">
        <v>855</v>
      </c>
      <c r="AG859" s="262">
        <v>58424.13</v>
      </c>
      <c r="AI859" s="261">
        <v>855</v>
      </c>
      <c r="AJ859" s="262">
        <v>24539</v>
      </c>
      <c r="AL859" s="261"/>
      <c r="AM859" s="262"/>
    </row>
    <row r="860" spans="2:39" ht="12.75" customHeight="1">
      <c r="B860" s="261" t="s">
        <v>1174</v>
      </c>
      <c r="C860" s="261">
        <v>27249</v>
      </c>
      <c r="E860" s="261" t="s">
        <v>1174</v>
      </c>
      <c r="F860" s="261">
        <v>27153.019999999997</v>
      </c>
      <c r="N860" s="261">
        <v>856</v>
      </c>
      <c r="O860" s="262">
        <v>9627.2199999999993</v>
      </c>
      <c r="W860" s="261">
        <v>856</v>
      </c>
      <c r="X860" s="262">
        <v>6565.9</v>
      </c>
      <c r="Z860" s="261"/>
      <c r="AA860" s="262"/>
      <c r="AC860" s="261">
        <v>856</v>
      </c>
      <c r="AD860" s="262">
        <v>21860.150000000132</v>
      </c>
      <c r="AF860" s="261">
        <v>856</v>
      </c>
      <c r="AG860" s="262">
        <v>58492.6</v>
      </c>
      <c r="AI860" s="261">
        <v>856</v>
      </c>
      <c r="AJ860" s="262">
        <v>24567</v>
      </c>
      <c r="AL860" s="261"/>
      <c r="AM860" s="262"/>
    </row>
    <row r="861" spans="2:39" ht="12.75" customHeight="1">
      <c r="B861" s="261" t="s">
        <v>1036</v>
      </c>
      <c r="C861" s="261">
        <v>27281</v>
      </c>
      <c r="E861" s="261" t="s">
        <v>1036</v>
      </c>
      <c r="F861" s="261">
        <v>27184.45</v>
      </c>
      <c r="N861" s="261">
        <v>857</v>
      </c>
      <c r="O861" s="262">
        <v>9638.33</v>
      </c>
      <c r="W861" s="261">
        <v>857</v>
      </c>
      <c r="X861" s="262">
        <v>6573.4</v>
      </c>
      <c r="Z861" s="261"/>
      <c r="AA861" s="262"/>
      <c r="AC861" s="261">
        <v>857</v>
      </c>
      <c r="AD861" s="262">
        <v>21885.850000000133</v>
      </c>
      <c r="AF861" s="261">
        <v>857</v>
      </c>
      <c r="AG861" s="262">
        <v>58561.08</v>
      </c>
      <c r="AI861" s="261">
        <v>857</v>
      </c>
      <c r="AJ861" s="262">
        <v>24595</v>
      </c>
      <c r="AL861" s="261"/>
      <c r="AM861" s="262"/>
    </row>
    <row r="862" spans="2:39" ht="12.75" customHeight="1">
      <c r="B862" s="261" t="s">
        <v>1175</v>
      </c>
      <c r="C862" s="261">
        <v>27312</v>
      </c>
      <c r="E862" s="261" t="s">
        <v>1175</v>
      </c>
      <c r="F862" s="261">
        <v>27215.71</v>
      </c>
      <c r="N862" s="261">
        <v>858</v>
      </c>
      <c r="O862" s="262">
        <v>9649.44</v>
      </c>
      <c r="W862" s="261">
        <v>858</v>
      </c>
      <c r="X862" s="262">
        <v>6580.9</v>
      </c>
      <c r="Z862" s="261"/>
      <c r="AA862" s="262"/>
      <c r="AC862" s="261">
        <v>858</v>
      </c>
      <c r="AD862" s="262">
        <v>21911.550000000134</v>
      </c>
      <c r="AF862" s="261">
        <v>858</v>
      </c>
      <c r="AG862" s="262">
        <v>58629.55</v>
      </c>
      <c r="AI862" s="261">
        <v>858</v>
      </c>
      <c r="AJ862" s="262">
        <v>24624</v>
      </c>
      <c r="AL862" s="261"/>
      <c r="AM862" s="262"/>
    </row>
    <row r="863" spans="2:39" ht="12.75" customHeight="1">
      <c r="B863" s="261" t="s">
        <v>1037</v>
      </c>
      <c r="C863" s="261">
        <v>27344</v>
      </c>
      <c r="E863" s="261" t="s">
        <v>1037</v>
      </c>
      <c r="F863" s="261">
        <v>27247.14</v>
      </c>
      <c r="N863" s="261">
        <v>859</v>
      </c>
      <c r="O863" s="262">
        <v>9660.5499999999993</v>
      </c>
      <c r="W863" s="261">
        <v>859</v>
      </c>
      <c r="X863" s="262">
        <v>6588.4</v>
      </c>
      <c r="Z863" s="261"/>
      <c r="AA863" s="262"/>
      <c r="AC863" s="261">
        <v>859</v>
      </c>
      <c r="AD863" s="262">
        <v>21937.240000000136</v>
      </c>
      <c r="AF863" s="261">
        <v>859</v>
      </c>
      <c r="AG863" s="262">
        <v>58698.02</v>
      </c>
      <c r="AI863" s="261">
        <v>859</v>
      </c>
      <c r="AJ863" s="262">
        <v>24652</v>
      </c>
      <c r="AL863" s="261"/>
      <c r="AM863" s="262"/>
    </row>
    <row r="864" spans="2:39" ht="12.75" customHeight="1">
      <c r="B864" s="261" t="s">
        <v>1176</v>
      </c>
      <c r="C864" s="261">
        <v>27375</v>
      </c>
      <c r="E864" s="261" t="s">
        <v>1176</v>
      </c>
      <c r="F864" s="261">
        <v>27278.399999999998</v>
      </c>
      <c r="N864" s="261">
        <v>860</v>
      </c>
      <c r="O864" s="262">
        <v>9671.66</v>
      </c>
      <c r="W864" s="261">
        <v>860</v>
      </c>
      <c r="X864" s="262">
        <v>6595.9</v>
      </c>
      <c r="Z864" s="261"/>
      <c r="AA864" s="262"/>
      <c r="AC864" s="261">
        <v>860</v>
      </c>
      <c r="AD864" s="262">
        <v>21962.940000000133</v>
      </c>
      <c r="AF864" s="261">
        <v>860</v>
      </c>
      <c r="AG864" s="262">
        <v>58766.5</v>
      </c>
      <c r="AI864" s="261">
        <v>860</v>
      </c>
      <c r="AJ864" s="262">
        <v>24681</v>
      </c>
      <c r="AL864" s="261"/>
      <c r="AM864" s="262"/>
    </row>
    <row r="865" spans="2:39" ht="12.75" customHeight="1">
      <c r="B865" s="261" t="s">
        <v>946</v>
      </c>
      <c r="C865" s="261">
        <v>27407</v>
      </c>
      <c r="E865" s="261" t="s">
        <v>946</v>
      </c>
      <c r="F865" s="261">
        <v>27309.84</v>
      </c>
      <c r="N865" s="261">
        <v>861</v>
      </c>
      <c r="O865" s="262">
        <v>9682.76</v>
      </c>
      <c r="W865" s="261">
        <v>861</v>
      </c>
      <c r="X865" s="262">
        <v>6603.5</v>
      </c>
      <c r="Z865" s="261"/>
      <c r="AA865" s="262"/>
      <c r="AC865" s="261">
        <v>861</v>
      </c>
      <c r="AD865" s="262">
        <v>21988.630000000136</v>
      </c>
      <c r="AF865" s="261">
        <v>861</v>
      </c>
      <c r="AG865" s="262">
        <v>58834.97</v>
      </c>
      <c r="AI865" s="261">
        <v>861</v>
      </c>
      <c r="AJ865" s="262">
        <v>24709</v>
      </c>
      <c r="AL865" s="261"/>
      <c r="AM865" s="262"/>
    </row>
    <row r="866" spans="2:39" ht="12.75" customHeight="1">
      <c r="B866" s="261" t="s">
        <v>1177</v>
      </c>
      <c r="C866" s="261">
        <v>27438</v>
      </c>
      <c r="E866" s="261" t="s">
        <v>1177</v>
      </c>
      <c r="F866" s="261">
        <v>27341.1</v>
      </c>
      <c r="N866" s="261">
        <v>862</v>
      </c>
      <c r="O866" s="262">
        <v>9693.8700000000008</v>
      </c>
      <c r="W866" s="261">
        <v>862</v>
      </c>
      <c r="X866" s="262">
        <v>6611</v>
      </c>
      <c r="Z866" s="261"/>
      <c r="AA866" s="262"/>
      <c r="AC866" s="261">
        <v>862</v>
      </c>
      <c r="AD866" s="262">
        <v>22014.330000000136</v>
      </c>
      <c r="AF866" s="261">
        <v>862</v>
      </c>
      <c r="AG866" s="262">
        <v>58903.44</v>
      </c>
      <c r="AI866" s="261">
        <v>862</v>
      </c>
      <c r="AJ866" s="262">
        <v>24737</v>
      </c>
      <c r="AL866" s="261"/>
      <c r="AM866" s="262"/>
    </row>
    <row r="867" spans="2:39" ht="12.75" customHeight="1">
      <c r="B867" s="261" t="s">
        <v>1038</v>
      </c>
      <c r="C867" s="261">
        <v>27470</v>
      </c>
      <c r="E867" s="261" t="s">
        <v>1038</v>
      </c>
      <c r="F867" s="261">
        <v>27372.53</v>
      </c>
      <c r="N867" s="261">
        <v>863</v>
      </c>
      <c r="O867" s="262">
        <v>9704.98</v>
      </c>
      <c r="W867" s="261">
        <v>863</v>
      </c>
      <c r="X867" s="262">
        <v>6618.5</v>
      </c>
      <c r="Z867" s="261"/>
      <c r="AA867" s="262"/>
      <c r="AC867" s="261">
        <v>863</v>
      </c>
      <c r="AD867" s="262">
        <v>22040.030000000137</v>
      </c>
      <c r="AF867" s="261">
        <v>863</v>
      </c>
      <c r="AG867" s="262">
        <v>58971.91</v>
      </c>
      <c r="AI867" s="261">
        <v>863</v>
      </c>
      <c r="AJ867" s="262">
        <v>24766</v>
      </c>
      <c r="AL867" s="261"/>
      <c r="AM867" s="262"/>
    </row>
    <row r="868" spans="2:39" ht="12.75" customHeight="1">
      <c r="B868" s="261" t="s">
        <v>1178</v>
      </c>
      <c r="C868" s="261">
        <v>27501</v>
      </c>
      <c r="E868" s="261" t="s">
        <v>1178</v>
      </c>
      <c r="F868" s="261">
        <v>27403.789999999997</v>
      </c>
      <c r="N868" s="261">
        <v>864</v>
      </c>
      <c r="O868" s="262">
        <v>9716.09</v>
      </c>
      <c r="W868" s="261">
        <v>864</v>
      </c>
      <c r="X868" s="262">
        <v>6626</v>
      </c>
      <c r="Z868" s="261"/>
      <c r="AA868" s="262"/>
      <c r="AC868" s="261">
        <v>864</v>
      </c>
      <c r="AD868" s="262">
        <v>22065.720000000139</v>
      </c>
      <c r="AF868" s="261">
        <v>864</v>
      </c>
      <c r="AG868" s="262">
        <v>59040.39</v>
      </c>
      <c r="AI868" s="261">
        <v>864</v>
      </c>
      <c r="AJ868" s="262">
        <v>24794</v>
      </c>
      <c r="AL868" s="261"/>
      <c r="AM868" s="262"/>
    </row>
    <row r="869" spans="2:39" ht="12.75" customHeight="1">
      <c r="B869" s="261">
        <v>36</v>
      </c>
      <c r="C869" s="261">
        <v>27533</v>
      </c>
      <c r="E869" s="261">
        <v>36</v>
      </c>
      <c r="F869" s="261">
        <v>27435.23</v>
      </c>
      <c r="N869" s="261">
        <v>865</v>
      </c>
      <c r="O869" s="262">
        <v>9727.2000000000007</v>
      </c>
      <c r="AC869" s="261">
        <v>865</v>
      </c>
      <c r="AD869" s="262">
        <v>22091.420000000136</v>
      </c>
      <c r="AF869" s="261">
        <v>865</v>
      </c>
      <c r="AG869" s="262">
        <v>59108.86</v>
      </c>
      <c r="AI869" s="261">
        <v>865</v>
      </c>
      <c r="AJ869" s="262">
        <v>24823</v>
      </c>
      <c r="AL869" s="261"/>
      <c r="AM869" s="262"/>
    </row>
    <row r="870" spans="2:39" ht="12.75" customHeight="1">
      <c r="B870" s="261" t="s">
        <v>1179</v>
      </c>
      <c r="C870" s="261">
        <v>27564</v>
      </c>
      <c r="E870" s="261" t="s">
        <v>1179</v>
      </c>
      <c r="F870" s="261">
        <v>27466.489999999998</v>
      </c>
      <c r="N870" s="261">
        <v>866</v>
      </c>
      <c r="O870" s="262">
        <v>9738.2999999999993</v>
      </c>
      <c r="AC870" s="261">
        <v>866</v>
      </c>
      <c r="AD870" s="262">
        <v>22117.110000000139</v>
      </c>
      <c r="AF870" s="261">
        <v>866</v>
      </c>
      <c r="AG870" s="262">
        <v>59177.33</v>
      </c>
      <c r="AI870" s="261">
        <v>866</v>
      </c>
      <c r="AJ870" s="262">
        <v>24851</v>
      </c>
      <c r="AL870" s="261"/>
      <c r="AM870" s="262"/>
    </row>
    <row r="871" spans="2:39" ht="12.75" customHeight="1">
      <c r="B871" s="261" t="s">
        <v>1039</v>
      </c>
      <c r="C871" s="261">
        <v>27595</v>
      </c>
      <c r="E871" s="261" t="s">
        <v>1039</v>
      </c>
      <c r="F871" s="261">
        <v>27497.919999999998</v>
      </c>
      <c r="N871" s="261">
        <v>867</v>
      </c>
      <c r="O871" s="262">
        <v>9749.41</v>
      </c>
      <c r="AC871" s="261">
        <v>867</v>
      </c>
      <c r="AD871" s="262">
        <v>22142.81000000014</v>
      </c>
      <c r="AF871" s="261">
        <v>867</v>
      </c>
      <c r="AG871" s="262">
        <v>59245.81</v>
      </c>
      <c r="AI871" s="261">
        <v>867</v>
      </c>
      <c r="AJ871" s="262">
        <v>24879</v>
      </c>
      <c r="AL871" s="261"/>
      <c r="AM871" s="262"/>
    </row>
    <row r="872" spans="2:39" ht="12.75" customHeight="1">
      <c r="B872" s="261" t="s">
        <v>1040</v>
      </c>
      <c r="C872" s="261">
        <v>27626</v>
      </c>
      <c r="E872" s="261" t="s">
        <v>1040</v>
      </c>
      <c r="F872" s="261">
        <v>27529.179999999997</v>
      </c>
      <c r="N872" s="261">
        <v>868</v>
      </c>
      <c r="O872" s="262">
        <v>9760.52</v>
      </c>
      <c r="AC872" s="261">
        <v>868</v>
      </c>
      <c r="AD872" s="262">
        <v>22168.51000000014</v>
      </c>
      <c r="AF872" s="261">
        <v>868</v>
      </c>
      <c r="AG872" s="262">
        <v>59314.28</v>
      </c>
      <c r="AI872" s="261">
        <v>868</v>
      </c>
      <c r="AJ872" s="262">
        <v>24908</v>
      </c>
      <c r="AL872" s="261"/>
      <c r="AM872" s="262"/>
    </row>
    <row r="873" spans="2:39" ht="12.75" customHeight="1">
      <c r="B873" s="261" t="s">
        <v>1041</v>
      </c>
      <c r="C873" s="261">
        <v>27658</v>
      </c>
      <c r="E873" s="261" t="s">
        <v>1041</v>
      </c>
      <c r="F873" s="261">
        <v>27560.61</v>
      </c>
      <c r="N873" s="261">
        <v>869</v>
      </c>
      <c r="O873" s="262">
        <v>9771.6299999999992</v>
      </c>
      <c r="AC873" s="261">
        <v>869</v>
      </c>
      <c r="AD873" s="262">
        <v>22194.200000000143</v>
      </c>
      <c r="AF873" s="261">
        <v>869</v>
      </c>
      <c r="AG873" s="262">
        <v>59382.75</v>
      </c>
      <c r="AI873" s="261">
        <v>869</v>
      </c>
      <c r="AJ873" s="262">
        <v>24936</v>
      </c>
      <c r="AL873" s="261"/>
      <c r="AM873" s="262"/>
    </row>
    <row r="874" spans="2:39" ht="12.75" customHeight="1">
      <c r="B874" s="261" t="s">
        <v>1180</v>
      </c>
      <c r="C874" s="261">
        <v>27689</v>
      </c>
      <c r="E874" s="261" t="s">
        <v>1180</v>
      </c>
      <c r="F874" s="261">
        <v>27591.87</v>
      </c>
      <c r="N874" s="261">
        <v>870</v>
      </c>
      <c r="O874" s="262">
        <v>9782.74</v>
      </c>
      <c r="AC874" s="261">
        <v>870</v>
      </c>
      <c r="AD874" s="262">
        <v>22219.90000000014</v>
      </c>
      <c r="AF874" s="261">
        <v>870</v>
      </c>
      <c r="AG874" s="262">
        <v>59451.23</v>
      </c>
      <c r="AI874" s="261">
        <v>870</v>
      </c>
      <c r="AJ874" s="262">
        <v>24965</v>
      </c>
      <c r="AL874" s="261"/>
      <c r="AM874" s="262"/>
    </row>
    <row r="875" spans="2:39" ht="12.75" customHeight="1">
      <c r="B875" s="261" t="s">
        <v>1042</v>
      </c>
      <c r="C875" s="261">
        <v>27721</v>
      </c>
      <c r="E875" s="261" t="s">
        <v>1042</v>
      </c>
      <c r="F875" s="261">
        <v>27623.3</v>
      </c>
      <c r="N875" s="261">
        <v>871</v>
      </c>
      <c r="O875" s="262">
        <v>9793.84</v>
      </c>
      <c r="AC875" s="261">
        <v>871</v>
      </c>
      <c r="AD875" s="262">
        <v>22245.590000000142</v>
      </c>
      <c r="AF875" s="261">
        <v>871</v>
      </c>
      <c r="AG875" s="262">
        <v>59519.7</v>
      </c>
      <c r="AI875" s="261">
        <v>871</v>
      </c>
      <c r="AJ875" s="262">
        <v>24993</v>
      </c>
      <c r="AL875" s="261"/>
      <c r="AM875" s="262"/>
    </row>
    <row r="876" spans="2:39" ht="12.75" customHeight="1">
      <c r="B876" s="261" t="s">
        <v>1181</v>
      </c>
      <c r="C876" s="261">
        <v>27752</v>
      </c>
      <c r="E876" s="261" t="s">
        <v>1181</v>
      </c>
      <c r="F876" s="261">
        <v>27654.559999999998</v>
      </c>
      <c r="N876" s="261">
        <v>872</v>
      </c>
      <c r="O876" s="262">
        <v>9804.9500000000007</v>
      </c>
      <c r="AC876" s="261">
        <v>872</v>
      </c>
      <c r="AD876" s="262">
        <v>22271.290000000143</v>
      </c>
      <c r="AF876" s="261">
        <v>872</v>
      </c>
      <c r="AG876" s="262">
        <v>59588.17</v>
      </c>
      <c r="AI876" s="261">
        <v>872</v>
      </c>
      <c r="AJ876" s="262">
        <v>25021</v>
      </c>
      <c r="AL876" s="261"/>
      <c r="AM876" s="262"/>
    </row>
    <row r="877" spans="2:39" ht="12.75" customHeight="1">
      <c r="B877" s="261" t="s">
        <v>1043</v>
      </c>
      <c r="C877" s="261">
        <v>27784</v>
      </c>
      <c r="E877" s="261" t="s">
        <v>1043</v>
      </c>
      <c r="F877" s="261">
        <v>27686</v>
      </c>
      <c r="N877" s="261">
        <v>873</v>
      </c>
      <c r="O877" s="262">
        <v>9816.06</v>
      </c>
      <c r="AC877" s="261">
        <v>873</v>
      </c>
      <c r="AD877" s="262">
        <v>22296.990000000143</v>
      </c>
      <c r="AF877" s="261">
        <v>873</v>
      </c>
      <c r="AG877" s="262">
        <v>59656.639999999999</v>
      </c>
      <c r="AI877" s="261">
        <v>873</v>
      </c>
      <c r="AJ877" s="262">
        <v>25050</v>
      </c>
      <c r="AL877" s="261"/>
      <c r="AM877" s="262"/>
    </row>
    <row r="878" spans="2:39" ht="12.75" customHeight="1">
      <c r="B878" s="261" t="s">
        <v>1066</v>
      </c>
      <c r="C878" s="261">
        <v>27815</v>
      </c>
      <c r="E878" s="261" t="s">
        <v>1066</v>
      </c>
      <c r="F878" s="261">
        <v>27717.26</v>
      </c>
      <c r="N878" s="261">
        <v>874</v>
      </c>
      <c r="O878" s="262">
        <v>9827.17</v>
      </c>
      <c r="AC878" s="261">
        <v>874</v>
      </c>
      <c r="AD878" s="262">
        <v>22322.680000000146</v>
      </c>
      <c r="AF878" s="261">
        <v>874</v>
      </c>
      <c r="AG878" s="262">
        <v>59725.120000000003</v>
      </c>
      <c r="AI878" s="261">
        <v>874</v>
      </c>
      <c r="AJ878" s="262">
        <v>25078</v>
      </c>
      <c r="AL878" s="261"/>
      <c r="AM878" s="262"/>
    </row>
    <row r="879" spans="2:39" ht="12.75" customHeight="1">
      <c r="B879" s="261" t="s">
        <v>1044</v>
      </c>
      <c r="C879" s="261">
        <v>27847</v>
      </c>
      <c r="E879" s="261" t="s">
        <v>1044</v>
      </c>
      <c r="F879" s="261">
        <v>27748.7</v>
      </c>
      <c r="N879" s="261">
        <v>875</v>
      </c>
      <c r="O879" s="262">
        <v>9838.2800000000007</v>
      </c>
      <c r="AC879" s="261">
        <v>875</v>
      </c>
      <c r="AD879" s="262">
        <v>22348.380000000143</v>
      </c>
      <c r="AF879" s="261">
        <v>875</v>
      </c>
      <c r="AG879" s="262">
        <v>59793.59</v>
      </c>
      <c r="AI879" s="261">
        <v>875</v>
      </c>
      <c r="AJ879" s="262">
        <v>25107</v>
      </c>
      <c r="AL879" s="261"/>
      <c r="AM879" s="262"/>
    </row>
    <row r="880" spans="2:39" ht="12.75" customHeight="1">
      <c r="B880" s="261" t="s">
        <v>1182</v>
      </c>
      <c r="C880" s="261">
        <v>27878</v>
      </c>
      <c r="E880" s="261" t="s">
        <v>1182</v>
      </c>
      <c r="F880" s="261">
        <v>27779.96</v>
      </c>
      <c r="N880" s="261">
        <v>876</v>
      </c>
      <c r="O880" s="262">
        <v>9849.3799999999992</v>
      </c>
      <c r="AC880" s="261">
        <v>876</v>
      </c>
      <c r="AD880" s="262">
        <v>22374.070000000145</v>
      </c>
      <c r="AF880" s="261">
        <v>876</v>
      </c>
      <c r="AG880" s="262">
        <v>59862.06</v>
      </c>
      <c r="AI880" s="261">
        <v>876</v>
      </c>
      <c r="AJ880" s="262">
        <v>25135</v>
      </c>
      <c r="AL880" s="261"/>
      <c r="AM880" s="262"/>
    </row>
    <row r="881" spans="2:39" ht="12.75" customHeight="1">
      <c r="B881" s="261" t="s">
        <v>1183</v>
      </c>
      <c r="C881" s="261">
        <v>27910</v>
      </c>
      <c r="E881" s="261" t="s">
        <v>1183</v>
      </c>
      <c r="F881" s="261">
        <v>27811.38</v>
      </c>
      <c r="N881" s="261">
        <v>877</v>
      </c>
      <c r="O881" s="262">
        <v>9860.49</v>
      </c>
      <c r="AC881" s="261">
        <v>877</v>
      </c>
      <c r="AD881" s="262">
        <v>22399.770000000146</v>
      </c>
      <c r="AF881" s="261">
        <v>877</v>
      </c>
      <c r="AG881" s="262">
        <v>59930.54</v>
      </c>
      <c r="AI881" s="261">
        <v>877</v>
      </c>
      <c r="AJ881" s="262">
        <v>25163</v>
      </c>
      <c r="AL881" s="261"/>
      <c r="AM881" s="262"/>
    </row>
    <row r="882" spans="2:39" ht="12.75" customHeight="1">
      <c r="B882" s="261" t="s">
        <v>1184</v>
      </c>
      <c r="C882" s="261">
        <v>27941</v>
      </c>
      <c r="E882" s="261" t="s">
        <v>1184</v>
      </c>
      <c r="F882" s="261">
        <v>27842.639999999999</v>
      </c>
      <c r="N882" s="261">
        <v>878</v>
      </c>
      <c r="O882" s="262">
        <v>9871.6</v>
      </c>
      <c r="AC882" s="261">
        <v>878</v>
      </c>
      <c r="AD882" s="262">
        <v>22425.470000000147</v>
      </c>
      <c r="AF882" s="261">
        <v>878</v>
      </c>
      <c r="AG882" s="262">
        <v>59999.01</v>
      </c>
      <c r="AI882" s="261">
        <v>878</v>
      </c>
      <c r="AJ882" s="262">
        <v>25192</v>
      </c>
      <c r="AL882" s="261"/>
      <c r="AM882" s="262"/>
    </row>
    <row r="883" spans="2:39" ht="12.75" customHeight="1">
      <c r="B883" s="261" t="s">
        <v>1045</v>
      </c>
      <c r="C883" s="261">
        <v>27972</v>
      </c>
      <c r="E883" s="261" t="s">
        <v>1045</v>
      </c>
      <c r="F883" s="261">
        <v>27874.080000000002</v>
      </c>
      <c r="N883" s="261">
        <v>879</v>
      </c>
      <c r="O883" s="262">
        <v>9882.7099999999991</v>
      </c>
      <c r="AC883" s="261">
        <v>879</v>
      </c>
      <c r="AD883" s="262">
        <v>22451.160000000149</v>
      </c>
      <c r="AF883" s="261">
        <v>879</v>
      </c>
      <c r="AG883" s="262">
        <v>60067.48</v>
      </c>
      <c r="AI883" s="261">
        <v>879</v>
      </c>
      <c r="AJ883" s="262">
        <v>25220</v>
      </c>
      <c r="AL883" s="261"/>
      <c r="AM883" s="262"/>
    </row>
    <row r="884" spans="2:39" ht="12.75" customHeight="1">
      <c r="B884" s="261" t="s">
        <v>1185</v>
      </c>
      <c r="C884" s="261">
        <v>28003</v>
      </c>
      <c r="E884" s="261" t="s">
        <v>1185</v>
      </c>
      <c r="F884" s="261">
        <v>27905.34</v>
      </c>
      <c r="N884" s="261">
        <v>880</v>
      </c>
      <c r="O884" s="262">
        <v>9893.82</v>
      </c>
      <c r="AC884" s="261">
        <v>880</v>
      </c>
      <c r="AD884" s="262">
        <v>22476.860000000146</v>
      </c>
      <c r="AF884" s="261">
        <v>880</v>
      </c>
      <c r="AG884" s="262">
        <v>60135.96</v>
      </c>
      <c r="AI884" s="261">
        <v>880</v>
      </c>
      <c r="AJ884" s="262">
        <v>25249</v>
      </c>
      <c r="AL884" s="261"/>
      <c r="AM884" s="262"/>
    </row>
    <row r="885" spans="2:39" ht="12.75" customHeight="1">
      <c r="B885" s="261" t="s">
        <v>1046</v>
      </c>
      <c r="C885" s="261">
        <v>28035</v>
      </c>
      <c r="E885" s="261" t="s">
        <v>1046</v>
      </c>
      <c r="F885" s="261">
        <v>27936.78</v>
      </c>
      <c r="N885" s="261">
        <v>881</v>
      </c>
      <c r="O885" s="262">
        <v>9904.92</v>
      </c>
      <c r="AC885" s="261">
        <v>881</v>
      </c>
      <c r="AD885" s="262">
        <v>22502.550000000148</v>
      </c>
      <c r="AF885" s="261">
        <v>881</v>
      </c>
      <c r="AG885" s="262">
        <v>60204.43</v>
      </c>
      <c r="AI885" s="261">
        <v>881</v>
      </c>
      <c r="AJ885" s="262">
        <v>25277</v>
      </c>
      <c r="AL885" s="261"/>
      <c r="AM885" s="262"/>
    </row>
    <row r="886" spans="2:39" ht="12.75" customHeight="1">
      <c r="B886" s="261" t="s">
        <v>1186</v>
      </c>
      <c r="C886" s="261">
        <v>28066</v>
      </c>
      <c r="E886" s="261" t="s">
        <v>1186</v>
      </c>
      <c r="F886" s="261">
        <v>27968.039999999997</v>
      </c>
      <c r="N886" s="261">
        <v>882</v>
      </c>
      <c r="O886" s="262">
        <v>9916.0300000000007</v>
      </c>
      <c r="AC886" s="261">
        <v>882</v>
      </c>
      <c r="AD886" s="262">
        <v>22528.250000000149</v>
      </c>
      <c r="AF886" s="261">
        <v>882</v>
      </c>
      <c r="AG886" s="262">
        <v>60272.9</v>
      </c>
      <c r="AI886" s="261">
        <v>882</v>
      </c>
      <c r="AJ886" s="262">
        <v>25305</v>
      </c>
      <c r="AL886" s="261"/>
      <c r="AM886" s="262"/>
    </row>
    <row r="887" spans="2:39" ht="12.75" customHeight="1">
      <c r="B887" s="261" t="s">
        <v>1047</v>
      </c>
      <c r="C887" s="261">
        <v>28098</v>
      </c>
      <c r="E887" s="261" t="s">
        <v>1047</v>
      </c>
      <c r="F887" s="261">
        <v>27999.47</v>
      </c>
      <c r="N887" s="261">
        <v>883</v>
      </c>
      <c r="O887" s="262">
        <v>9927.14</v>
      </c>
      <c r="AC887" s="261">
        <v>883</v>
      </c>
      <c r="AD887" s="262">
        <v>22553.95000000015</v>
      </c>
      <c r="AF887" s="261">
        <v>883</v>
      </c>
      <c r="AG887" s="262">
        <v>60341.37</v>
      </c>
      <c r="AI887" s="261">
        <v>883</v>
      </c>
      <c r="AJ887" s="262">
        <v>25334</v>
      </c>
      <c r="AL887" s="261"/>
      <c r="AM887" s="262"/>
    </row>
    <row r="888" spans="2:39" ht="12.75" customHeight="1">
      <c r="B888" s="261" t="s">
        <v>1187</v>
      </c>
      <c r="C888" s="261">
        <v>28129</v>
      </c>
      <c r="E888" s="261" t="s">
        <v>1187</v>
      </c>
      <c r="F888" s="261">
        <v>28030.73</v>
      </c>
      <c r="N888" s="261">
        <v>884</v>
      </c>
      <c r="O888" s="262">
        <v>9938.25</v>
      </c>
      <c r="AC888" s="261">
        <v>884</v>
      </c>
      <c r="AD888" s="262">
        <v>22579.640000000152</v>
      </c>
      <c r="AF888" s="261">
        <v>884</v>
      </c>
      <c r="AG888" s="262">
        <v>60409.85</v>
      </c>
      <c r="AI888" s="261">
        <v>884</v>
      </c>
      <c r="AJ888" s="262">
        <v>25362</v>
      </c>
      <c r="AL888" s="261"/>
      <c r="AM888" s="262"/>
    </row>
    <row r="889" spans="2:39" ht="12.75" customHeight="1">
      <c r="B889" s="261" t="s">
        <v>947</v>
      </c>
      <c r="C889" s="261">
        <v>28161</v>
      </c>
      <c r="E889" s="261" t="s">
        <v>947</v>
      </c>
      <c r="F889" s="261">
        <v>28062.16</v>
      </c>
      <c r="N889" s="261">
        <v>885</v>
      </c>
      <c r="O889" s="262">
        <v>9949.36</v>
      </c>
      <c r="AC889" s="261">
        <v>885</v>
      </c>
      <c r="AD889" s="262">
        <v>22605.340000000149</v>
      </c>
      <c r="AF889" s="261">
        <v>885</v>
      </c>
      <c r="AG889" s="262">
        <v>60478.32</v>
      </c>
      <c r="AI889" s="261">
        <v>885</v>
      </c>
      <c r="AJ889" s="262">
        <v>25391</v>
      </c>
      <c r="AL889" s="261"/>
      <c r="AM889" s="262"/>
    </row>
    <row r="890" spans="2:39" ht="12.75" customHeight="1">
      <c r="B890" s="261" t="s">
        <v>1188</v>
      </c>
      <c r="C890" s="261">
        <v>28192</v>
      </c>
      <c r="E890" s="261" t="s">
        <v>1188</v>
      </c>
      <c r="F890" s="261">
        <v>28093.42</v>
      </c>
      <c r="N890" s="261">
        <v>886</v>
      </c>
      <c r="O890" s="262">
        <v>9960.4599999999991</v>
      </c>
      <c r="AC890" s="261">
        <v>886</v>
      </c>
      <c r="AD890" s="262">
        <v>22631.030000000152</v>
      </c>
      <c r="AF890" s="261">
        <v>886</v>
      </c>
      <c r="AG890" s="262">
        <v>60546.79</v>
      </c>
      <c r="AI890" s="261">
        <v>886</v>
      </c>
      <c r="AJ890" s="262">
        <v>25419</v>
      </c>
      <c r="AL890" s="261"/>
      <c r="AM890" s="262"/>
    </row>
    <row r="891" spans="2:39" ht="12.75" customHeight="1">
      <c r="B891" s="261" t="s">
        <v>1049</v>
      </c>
      <c r="C891" s="261">
        <v>28224</v>
      </c>
      <c r="E891" s="261" t="s">
        <v>1049</v>
      </c>
      <c r="F891" s="261">
        <v>28124.85</v>
      </c>
      <c r="N891" s="261">
        <v>887</v>
      </c>
      <c r="O891" s="262">
        <v>9971.57</v>
      </c>
      <c r="AC891" s="261">
        <v>887</v>
      </c>
      <c r="AD891" s="262">
        <v>22656.730000000152</v>
      </c>
      <c r="AF891" s="261">
        <v>887</v>
      </c>
      <c r="AG891" s="262">
        <v>60615.27</v>
      </c>
      <c r="AI891" s="261">
        <v>887</v>
      </c>
      <c r="AJ891" s="262">
        <v>25448</v>
      </c>
      <c r="AL891" s="261"/>
      <c r="AM891" s="262"/>
    </row>
    <row r="892" spans="2:39" ht="12.75" customHeight="1">
      <c r="B892" s="261" t="s">
        <v>1048</v>
      </c>
      <c r="C892" s="261">
        <v>28255</v>
      </c>
      <c r="E892" s="261" t="s">
        <v>1048</v>
      </c>
      <c r="F892" s="261">
        <v>28156.109999999997</v>
      </c>
      <c r="N892" s="261">
        <v>888</v>
      </c>
      <c r="O892" s="262">
        <v>9982.68</v>
      </c>
      <c r="AC892" s="261">
        <v>888</v>
      </c>
      <c r="AD892" s="262">
        <v>22682.430000000153</v>
      </c>
      <c r="AF892" s="261">
        <v>888</v>
      </c>
      <c r="AG892" s="262">
        <v>60683.74</v>
      </c>
      <c r="AI892" s="261">
        <v>888</v>
      </c>
      <c r="AJ892" s="262">
        <v>25476</v>
      </c>
      <c r="AL892" s="261"/>
      <c r="AM892" s="262"/>
    </row>
    <row r="893" spans="2:39" ht="12.75" customHeight="1">
      <c r="B893" s="261">
        <v>37</v>
      </c>
      <c r="C893" s="261">
        <v>28287</v>
      </c>
      <c r="E893" s="261">
        <v>37</v>
      </c>
      <c r="F893" s="261">
        <v>28187.55</v>
      </c>
      <c r="N893" s="261">
        <v>889</v>
      </c>
      <c r="O893" s="262">
        <v>9993.7900000000009</v>
      </c>
      <c r="AC893" s="261">
        <v>889</v>
      </c>
      <c r="AD893" s="262">
        <v>22708.120000000155</v>
      </c>
      <c r="AF893" s="261">
        <v>889</v>
      </c>
      <c r="AG893" s="262">
        <v>60752.21</v>
      </c>
      <c r="AI893" s="261">
        <v>889</v>
      </c>
      <c r="AJ893" s="262">
        <v>25504</v>
      </c>
      <c r="AL893" s="261"/>
      <c r="AM893" s="262"/>
    </row>
    <row r="894" spans="2:39" ht="12.75" customHeight="1">
      <c r="B894" s="261" t="s">
        <v>1189</v>
      </c>
      <c r="C894" s="261">
        <v>28318</v>
      </c>
      <c r="E894" s="261" t="s">
        <v>1189</v>
      </c>
      <c r="F894" s="261">
        <v>28218.809999999998</v>
      </c>
      <c r="N894" s="261">
        <v>890</v>
      </c>
      <c r="O894" s="262">
        <v>10004.9</v>
      </c>
      <c r="AC894" s="261">
        <v>890</v>
      </c>
      <c r="AD894" s="262">
        <v>22733.820000000153</v>
      </c>
      <c r="AF894" s="261">
        <v>890</v>
      </c>
      <c r="AG894" s="262">
        <v>60820.69</v>
      </c>
      <c r="AI894" s="261">
        <v>890</v>
      </c>
      <c r="AJ894" s="262">
        <v>25533</v>
      </c>
      <c r="AL894" s="261"/>
      <c r="AM894" s="262"/>
    </row>
    <row r="895" spans="2:39" ht="12.75" customHeight="1">
      <c r="B895" s="261" t="s">
        <v>1050</v>
      </c>
      <c r="C895" s="261">
        <v>28349</v>
      </c>
      <c r="E895" s="261" t="s">
        <v>1050</v>
      </c>
      <c r="F895" s="261">
        <v>28250.240000000002</v>
      </c>
      <c r="N895" s="261">
        <v>891</v>
      </c>
      <c r="O895" s="262">
        <v>10016</v>
      </c>
      <c r="AC895" s="261">
        <v>891</v>
      </c>
      <c r="AD895" s="262">
        <v>22759.510000000155</v>
      </c>
      <c r="AF895" s="261">
        <v>891</v>
      </c>
      <c r="AG895" s="262">
        <v>60889.16</v>
      </c>
      <c r="AI895" s="261">
        <v>891</v>
      </c>
      <c r="AJ895" s="262">
        <v>25561</v>
      </c>
      <c r="AL895" s="261"/>
      <c r="AM895" s="262"/>
    </row>
    <row r="896" spans="2:39" ht="12.75" customHeight="1">
      <c r="B896" s="261" t="s">
        <v>1190</v>
      </c>
      <c r="C896" s="261">
        <v>28380</v>
      </c>
      <c r="E896" s="261" t="s">
        <v>1190</v>
      </c>
      <c r="F896" s="261">
        <v>28281.5</v>
      </c>
      <c r="N896" s="261">
        <v>892</v>
      </c>
      <c r="O896" s="262">
        <v>10027.11</v>
      </c>
      <c r="AC896" s="261">
        <v>892</v>
      </c>
      <c r="AD896" s="262">
        <v>22785.210000000156</v>
      </c>
      <c r="AF896" s="261">
        <v>892</v>
      </c>
      <c r="AG896" s="262">
        <v>60957.63</v>
      </c>
      <c r="AI896" s="261">
        <v>892</v>
      </c>
      <c r="AJ896" s="262">
        <v>25590</v>
      </c>
      <c r="AL896" s="261"/>
      <c r="AM896" s="262"/>
    </row>
    <row r="897" spans="2:39" ht="12.75" customHeight="1">
      <c r="B897" s="261" t="s">
        <v>1051</v>
      </c>
      <c r="C897" s="261">
        <v>28412</v>
      </c>
      <c r="E897" s="261" t="s">
        <v>1051</v>
      </c>
      <c r="F897" s="261">
        <v>28312.94</v>
      </c>
      <c r="N897" s="261">
        <v>893</v>
      </c>
      <c r="O897" s="262">
        <v>10038</v>
      </c>
      <c r="AC897" s="261">
        <v>893</v>
      </c>
      <c r="AD897" s="262">
        <v>22810.910000000156</v>
      </c>
      <c r="AF897" s="261">
        <v>893</v>
      </c>
      <c r="AG897" s="262">
        <v>61026.1</v>
      </c>
      <c r="AI897" s="261">
        <v>893</v>
      </c>
      <c r="AJ897" s="262">
        <v>25618</v>
      </c>
      <c r="AL897" s="261"/>
      <c r="AM897" s="262"/>
    </row>
    <row r="898" spans="2:39" ht="12.75" customHeight="1">
      <c r="B898" s="261" t="s">
        <v>1191</v>
      </c>
      <c r="C898" s="261">
        <v>28443</v>
      </c>
      <c r="E898" s="261" t="s">
        <v>1191</v>
      </c>
      <c r="F898" s="261">
        <v>28344.199999999997</v>
      </c>
      <c r="N898" s="261">
        <v>894</v>
      </c>
      <c r="O898" s="262">
        <v>10049.33</v>
      </c>
      <c r="AC898" s="261">
        <v>894</v>
      </c>
      <c r="AD898" s="262">
        <v>22836.600000000159</v>
      </c>
      <c r="AF898" s="261">
        <v>894</v>
      </c>
      <c r="AG898" s="262">
        <v>61094.58</v>
      </c>
      <c r="AI898" s="261">
        <v>894</v>
      </c>
      <c r="AJ898" s="262">
        <v>25646</v>
      </c>
      <c r="AL898" s="261"/>
      <c r="AM898" s="262"/>
    </row>
    <row r="899" spans="2:39" ht="12.75" customHeight="1">
      <c r="B899" s="261" t="s">
        <v>1052</v>
      </c>
      <c r="C899" s="261">
        <v>28475</v>
      </c>
      <c r="E899" s="261" t="s">
        <v>1052</v>
      </c>
      <c r="F899" s="261">
        <v>28375.63</v>
      </c>
      <c r="N899" s="261">
        <v>895</v>
      </c>
      <c r="O899" s="262">
        <v>10060.44</v>
      </c>
      <c r="AC899" s="261">
        <v>895</v>
      </c>
      <c r="AD899" s="262">
        <v>22862.300000000156</v>
      </c>
      <c r="AF899" s="261">
        <v>895</v>
      </c>
      <c r="AG899" s="262">
        <v>61163.05</v>
      </c>
      <c r="AI899" s="261">
        <v>895</v>
      </c>
      <c r="AJ899" s="262">
        <v>25675</v>
      </c>
      <c r="AL899" s="261"/>
      <c r="AM899" s="262"/>
    </row>
    <row r="900" spans="2:39" ht="12.75" customHeight="1">
      <c r="B900" s="261" t="s">
        <v>1192</v>
      </c>
      <c r="C900" s="261">
        <v>28506</v>
      </c>
      <c r="E900" s="261" t="s">
        <v>1192</v>
      </c>
      <c r="F900" s="261">
        <v>28406.89</v>
      </c>
      <c r="N900" s="261">
        <v>896</v>
      </c>
      <c r="O900" s="262">
        <v>10071.540000000001</v>
      </c>
      <c r="AC900" s="261">
        <v>896</v>
      </c>
      <c r="AD900" s="262">
        <v>22887.990000000158</v>
      </c>
      <c r="AF900" s="261">
        <v>896</v>
      </c>
      <c r="AG900" s="262">
        <v>61231.519999999997</v>
      </c>
      <c r="AI900" s="261">
        <v>896</v>
      </c>
      <c r="AJ900" s="262">
        <v>25703</v>
      </c>
      <c r="AL900" s="261"/>
      <c r="AM900" s="262"/>
    </row>
    <row r="901" spans="2:39" ht="12.75" customHeight="1">
      <c r="B901" s="261" t="s">
        <v>1053</v>
      </c>
      <c r="C901" s="261">
        <v>28538</v>
      </c>
      <c r="E901" s="261" t="s">
        <v>1053</v>
      </c>
      <c r="F901" s="261">
        <v>28438.32</v>
      </c>
      <c r="N901" s="261">
        <v>897</v>
      </c>
      <c r="O901" s="262">
        <v>10082</v>
      </c>
      <c r="AC901" s="261">
        <v>897</v>
      </c>
      <c r="AD901" s="262">
        <v>22913.690000000159</v>
      </c>
      <c r="AF901" s="261">
        <v>897</v>
      </c>
      <c r="AG901" s="262">
        <v>61300</v>
      </c>
      <c r="AI901" s="261">
        <v>897</v>
      </c>
      <c r="AJ901" s="262">
        <v>25732</v>
      </c>
      <c r="AL901" s="261"/>
      <c r="AM901" s="262"/>
    </row>
    <row r="902" spans="2:39" ht="12.75" customHeight="1">
      <c r="B902" s="261" t="s">
        <v>1193</v>
      </c>
      <c r="C902" s="261">
        <v>28569</v>
      </c>
      <c r="E902" s="261" t="s">
        <v>1193</v>
      </c>
      <c r="F902" s="261">
        <v>28469.579999999998</v>
      </c>
      <c r="N902" s="261">
        <v>898</v>
      </c>
      <c r="O902" s="262">
        <v>10093.76</v>
      </c>
      <c r="AC902" s="261">
        <v>898</v>
      </c>
      <c r="AD902" s="262">
        <v>22939.390000000159</v>
      </c>
      <c r="AF902" s="261">
        <v>898</v>
      </c>
      <c r="AG902" s="262">
        <v>61368.47</v>
      </c>
      <c r="AI902" s="261">
        <v>898</v>
      </c>
      <c r="AJ902" s="262">
        <v>25760</v>
      </c>
      <c r="AL902" s="261"/>
      <c r="AM902" s="262"/>
    </row>
    <row r="903" spans="2:39" ht="12.75" customHeight="1">
      <c r="B903" s="261" t="s">
        <v>1054</v>
      </c>
      <c r="C903" s="261">
        <v>28601</v>
      </c>
      <c r="E903" s="261" t="s">
        <v>1054</v>
      </c>
      <c r="F903" s="261">
        <v>28501.02</v>
      </c>
      <c r="N903" s="261">
        <v>899</v>
      </c>
      <c r="O903" s="262">
        <v>10104.870000000001</v>
      </c>
      <c r="AC903" s="261">
        <v>899</v>
      </c>
      <c r="AD903" s="262">
        <v>22965.080000000162</v>
      </c>
      <c r="AF903" s="261">
        <v>899</v>
      </c>
      <c r="AG903" s="262">
        <v>61436.94</v>
      </c>
      <c r="AI903" s="261">
        <v>899</v>
      </c>
      <c r="AJ903" s="262">
        <v>25788</v>
      </c>
      <c r="AL903" s="261"/>
      <c r="AM903" s="262"/>
    </row>
    <row r="904" spans="2:39" ht="12.75" customHeight="1">
      <c r="B904" s="261" t="s">
        <v>1194</v>
      </c>
      <c r="C904" s="261">
        <v>28632</v>
      </c>
      <c r="E904" s="261" t="s">
        <v>1194</v>
      </c>
      <c r="F904" s="261">
        <v>28532.28</v>
      </c>
      <c r="N904" s="261">
        <v>900</v>
      </c>
      <c r="O904" s="262">
        <v>10115.98</v>
      </c>
      <c r="AC904" s="261">
        <v>900</v>
      </c>
      <c r="AD904" s="262">
        <v>22990.780000000159</v>
      </c>
      <c r="AF904" s="261">
        <v>900</v>
      </c>
      <c r="AG904" s="262">
        <v>61505.42</v>
      </c>
      <c r="AI904" s="261">
        <v>900</v>
      </c>
      <c r="AJ904" s="262">
        <v>25817</v>
      </c>
      <c r="AL904" s="261"/>
      <c r="AM904" s="262"/>
    </row>
    <row r="905" spans="2:39" ht="12.75" customHeight="1">
      <c r="B905" s="261" t="s">
        <v>1195</v>
      </c>
      <c r="C905" s="261">
        <v>28664</v>
      </c>
      <c r="E905" s="261" t="s">
        <v>1195</v>
      </c>
      <c r="F905" s="261">
        <v>28563.71</v>
      </c>
      <c r="N905" s="261">
        <v>901</v>
      </c>
      <c r="O905" s="262">
        <v>10127.08</v>
      </c>
      <c r="AC905" s="261">
        <v>901</v>
      </c>
      <c r="AD905" s="262">
        <v>23016.470000000161</v>
      </c>
      <c r="AF905" s="261">
        <v>901</v>
      </c>
      <c r="AG905" s="262">
        <v>61573.89</v>
      </c>
      <c r="AI905" s="261">
        <v>901</v>
      </c>
      <c r="AJ905" s="262">
        <v>25845</v>
      </c>
      <c r="AL905" s="261"/>
      <c r="AM905" s="262"/>
    </row>
    <row r="906" spans="2:39" ht="12.75" customHeight="1">
      <c r="B906" s="261" t="s">
        <v>1196</v>
      </c>
      <c r="C906" s="261">
        <v>28695</v>
      </c>
      <c r="E906" s="261" t="s">
        <v>1196</v>
      </c>
      <c r="F906" s="261">
        <v>28594.969999999998</v>
      </c>
      <c r="N906" s="261">
        <v>902</v>
      </c>
      <c r="O906" s="262">
        <v>10138.19</v>
      </c>
      <c r="AC906" s="261">
        <v>902</v>
      </c>
      <c r="AD906" s="262">
        <v>23042.170000000162</v>
      </c>
      <c r="AF906" s="261">
        <v>902</v>
      </c>
      <c r="AG906" s="262">
        <v>61642.36</v>
      </c>
      <c r="AI906" s="261">
        <v>902</v>
      </c>
      <c r="AJ906" s="262">
        <v>25873</v>
      </c>
      <c r="AL906" s="261"/>
      <c r="AM906" s="262"/>
    </row>
    <row r="907" spans="2:39" ht="12.75" customHeight="1">
      <c r="B907" s="261" t="s">
        <v>1055</v>
      </c>
      <c r="C907" s="261">
        <v>28726</v>
      </c>
      <c r="E907" s="261" t="s">
        <v>1055</v>
      </c>
      <c r="F907" s="261">
        <v>28626.41</v>
      </c>
      <c r="N907" s="261">
        <v>903</v>
      </c>
      <c r="O907" s="262">
        <v>10149.299999999999</v>
      </c>
      <c r="AC907" s="261">
        <v>903</v>
      </c>
      <c r="AD907" s="262">
        <v>23067.870000000163</v>
      </c>
      <c r="AF907" s="261">
        <v>903</v>
      </c>
      <c r="AG907" s="262">
        <v>61710.83</v>
      </c>
      <c r="AI907" s="261">
        <v>903</v>
      </c>
      <c r="AJ907" s="262">
        <v>25902</v>
      </c>
      <c r="AL907" s="261"/>
      <c r="AM907" s="262"/>
    </row>
    <row r="908" spans="2:39" ht="12.75" customHeight="1">
      <c r="B908" s="261" t="s">
        <v>1197</v>
      </c>
      <c r="C908" s="261">
        <v>28757</v>
      </c>
      <c r="E908" s="261" t="s">
        <v>1197</v>
      </c>
      <c r="F908" s="261">
        <v>28657.67</v>
      </c>
      <c r="N908" s="261">
        <v>904</v>
      </c>
      <c r="O908" s="262">
        <v>10160.41</v>
      </c>
      <c r="AC908" s="261">
        <v>904</v>
      </c>
      <c r="AD908" s="262">
        <v>23093.560000000165</v>
      </c>
      <c r="AF908" s="261">
        <v>904</v>
      </c>
      <c r="AG908" s="262">
        <v>61779.31</v>
      </c>
      <c r="AI908" s="261">
        <v>904</v>
      </c>
      <c r="AJ908" s="262">
        <v>25930</v>
      </c>
      <c r="AL908" s="261"/>
      <c r="AM908" s="262"/>
    </row>
    <row r="909" spans="2:39" ht="12.75" customHeight="1">
      <c r="B909" s="261" t="s">
        <v>1056</v>
      </c>
      <c r="C909" s="261">
        <v>28789</v>
      </c>
      <c r="E909" s="261" t="s">
        <v>1056</v>
      </c>
      <c r="F909" s="261">
        <v>28689.1</v>
      </c>
      <c r="N909" s="261">
        <v>905</v>
      </c>
      <c r="O909" s="262">
        <v>10171.52</v>
      </c>
      <c r="AC909" s="261">
        <v>905</v>
      </c>
      <c r="AD909" s="262">
        <v>23119.260000000162</v>
      </c>
      <c r="AF909" s="261">
        <v>905</v>
      </c>
      <c r="AG909" s="262">
        <v>61847.78</v>
      </c>
      <c r="AI909" s="261">
        <v>905</v>
      </c>
      <c r="AJ909" s="262">
        <v>25959</v>
      </c>
      <c r="AL909" s="261"/>
      <c r="AM909" s="262"/>
    </row>
    <row r="910" spans="2:39" ht="12.75" customHeight="1">
      <c r="B910" s="261" t="s">
        <v>1198</v>
      </c>
      <c r="C910" s="261">
        <v>28820</v>
      </c>
      <c r="E910" s="261" t="s">
        <v>1198</v>
      </c>
      <c r="F910" s="261">
        <v>28720.359999999997</v>
      </c>
      <c r="N910" s="261">
        <v>906</v>
      </c>
      <c r="O910" s="262">
        <v>10182.620000000001</v>
      </c>
      <c r="AC910" s="261">
        <v>906</v>
      </c>
      <c r="AD910" s="262">
        <v>23144.950000000164</v>
      </c>
      <c r="AF910" s="261">
        <v>906</v>
      </c>
      <c r="AG910" s="262">
        <v>61916.25</v>
      </c>
      <c r="AI910" s="261">
        <v>906</v>
      </c>
      <c r="AJ910" s="262">
        <v>25987</v>
      </c>
      <c r="AL910" s="261"/>
      <c r="AM910" s="262"/>
    </row>
    <row r="911" spans="2:39" ht="12.75" customHeight="1">
      <c r="B911" s="261" t="s">
        <v>1057</v>
      </c>
      <c r="C911" s="261">
        <v>28852</v>
      </c>
      <c r="E911" s="261" t="s">
        <v>1057</v>
      </c>
      <c r="F911" s="261">
        <v>28751.79</v>
      </c>
      <c r="N911" s="261">
        <v>907</v>
      </c>
      <c r="O911" s="262">
        <v>10193.73</v>
      </c>
      <c r="AC911" s="261">
        <v>907</v>
      </c>
      <c r="AD911" s="262">
        <v>23170.650000000165</v>
      </c>
      <c r="AF911" s="261">
        <v>907</v>
      </c>
      <c r="AG911" s="262">
        <v>61984.73</v>
      </c>
      <c r="AI911" s="261">
        <v>907</v>
      </c>
      <c r="AJ911" s="262">
        <v>26015</v>
      </c>
      <c r="AL911" s="261"/>
      <c r="AM911" s="262"/>
    </row>
    <row r="912" spans="2:39" ht="12.75" customHeight="1">
      <c r="B912" s="261" t="s">
        <v>1199</v>
      </c>
      <c r="C912" s="261">
        <v>28883</v>
      </c>
      <c r="E912" s="261" t="s">
        <v>1199</v>
      </c>
      <c r="F912" s="261">
        <v>28783.05</v>
      </c>
      <c r="N912" s="261">
        <v>908</v>
      </c>
      <c r="O912" s="262">
        <v>10204.84</v>
      </c>
      <c r="AC912" s="261">
        <v>908</v>
      </c>
      <c r="AD912" s="262">
        <v>23196.350000000166</v>
      </c>
      <c r="AF912" s="261">
        <v>908</v>
      </c>
      <c r="AG912" s="262">
        <v>62053.2</v>
      </c>
      <c r="AI912" s="261">
        <v>908</v>
      </c>
      <c r="AJ912" s="262">
        <v>26044</v>
      </c>
      <c r="AL912" s="261"/>
      <c r="AM912" s="262"/>
    </row>
    <row r="913" spans="2:39" ht="12.75" customHeight="1">
      <c r="B913" s="261" t="s">
        <v>948</v>
      </c>
      <c r="C913" s="261">
        <v>28915</v>
      </c>
      <c r="E913" s="261" t="s">
        <v>948</v>
      </c>
      <c r="F913" s="261">
        <v>28814.49</v>
      </c>
      <c r="N913" s="261">
        <v>909</v>
      </c>
      <c r="O913" s="262">
        <v>10215.950000000001</v>
      </c>
      <c r="AC913" s="261">
        <v>909</v>
      </c>
      <c r="AD913" s="262">
        <v>23222.040000000168</v>
      </c>
      <c r="AF913" s="261">
        <v>909</v>
      </c>
      <c r="AG913" s="262">
        <v>62121.67</v>
      </c>
      <c r="AI913" s="261">
        <v>909</v>
      </c>
      <c r="AJ913" s="262">
        <v>26072</v>
      </c>
      <c r="AL913" s="261"/>
      <c r="AM913" s="262"/>
    </row>
    <row r="914" spans="2:39" ht="12.75" customHeight="1">
      <c r="B914" s="261" t="s">
        <v>1200</v>
      </c>
      <c r="C914" s="261">
        <v>28946</v>
      </c>
      <c r="E914" s="261" t="s">
        <v>1200</v>
      </c>
      <c r="F914" s="261">
        <v>28845.75</v>
      </c>
      <c r="N914" s="261">
        <v>910</v>
      </c>
      <c r="O914" s="262">
        <v>10227.06</v>
      </c>
      <c r="AC914" s="261">
        <v>910</v>
      </c>
      <c r="AD914" s="262">
        <v>23247.740000000165</v>
      </c>
      <c r="AF914" s="261">
        <v>910</v>
      </c>
      <c r="AG914" s="262">
        <v>62190.15</v>
      </c>
      <c r="AI914" s="261">
        <v>910</v>
      </c>
      <c r="AJ914" s="262">
        <v>26101</v>
      </c>
      <c r="AL914" s="261"/>
      <c r="AM914" s="262"/>
    </row>
    <row r="915" spans="2:39" ht="12.75" customHeight="1">
      <c r="B915" s="261" t="s">
        <v>1058</v>
      </c>
      <c r="C915" s="261">
        <v>28978</v>
      </c>
      <c r="E915" s="261" t="s">
        <v>1058</v>
      </c>
      <c r="F915" s="261">
        <v>28877.18</v>
      </c>
      <c r="N915" s="261">
        <v>911</v>
      </c>
      <c r="O915" s="262">
        <v>10238.16</v>
      </c>
      <c r="AC915" s="261">
        <v>911</v>
      </c>
      <c r="AD915" s="262">
        <v>23273.430000000168</v>
      </c>
      <c r="AF915" s="261">
        <v>911</v>
      </c>
      <c r="AG915" s="262">
        <v>62258.62</v>
      </c>
      <c r="AI915" s="261">
        <v>911</v>
      </c>
      <c r="AJ915" s="262">
        <v>26129</v>
      </c>
      <c r="AL915" s="261"/>
      <c r="AM915" s="262"/>
    </row>
    <row r="916" spans="2:39" ht="12.75" customHeight="1">
      <c r="B916" s="261" t="s">
        <v>1201</v>
      </c>
      <c r="C916" s="261">
        <v>29009</v>
      </c>
      <c r="E916" s="261" t="s">
        <v>1201</v>
      </c>
      <c r="F916" s="261">
        <v>28908.44</v>
      </c>
      <c r="N916" s="261">
        <v>912</v>
      </c>
      <c r="O916" s="262">
        <v>10249.27</v>
      </c>
      <c r="AC916" s="261">
        <v>912</v>
      </c>
      <c r="AD916" s="262">
        <v>23299.130000000168</v>
      </c>
      <c r="AF916" s="261">
        <v>912</v>
      </c>
      <c r="AG916" s="262">
        <v>62327.09</v>
      </c>
      <c r="AI916" s="261">
        <v>912</v>
      </c>
      <c r="AJ916" s="262">
        <v>26157</v>
      </c>
      <c r="AL916" s="261"/>
      <c r="AM916" s="262"/>
    </row>
    <row r="917" spans="2:39" ht="12.75" customHeight="1">
      <c r="B917" s="261">
        <v>38</v>
      </c>
      <c r="C917" s="261">
        <v>29041</v>
      </c>
      <c r="E917" s="261">
        <v>38</v>
      </c>
      <c r="F917" s="261">
        <v>28939.87</v>
      </c>
      <c r="N917" s="261">
        <v>913</v>
      </c>
      <c r="O917" s="262">
        <v>10260.379999999999</v>
      </c>
      <c r="AC917" s="261">
        <v>913</v>
      </c>
      <c r="AD917" s="262">
        <v>23324.830000000169</v>
      </c>
      <c r="AF917" s="261">
        <v>913</v>
      </c>
      <c r="AG917" s="262">
        <v>62395.56</v>
      </c>
      <c r="AI917" s="261">
        <v>913</v>
      </c>
      <c r="AJ917" s="262">
        <v>26186</v>
      </c>
      <c r="AL917" s="261"/>
      <c r="AM917" s="262"/>
    </row>
    <row r="918" spans="2:39" ht="12.75" customHeight="1">
      <c r="B918" s="261" t="s">
        <v>1202</v>
      </c>
      <c r="C918" s="261">
        <v>29072</v>
      </c>
      <c r="E918" s="261" t="s">
        <v>1202</v>
      </c>
      <c r="F918" s="261">
        <v>28971.129999999997</v>
      </c>
      <c r="N918" s="261">
        <v>914</v>
      </c>
      <c r="O918" s="262">
        <v>10271.49</v>
      </c>
      <c r="AC918" s="261">
        <v>914</v>
      </c>
      <c r="AD918" s="262">
        <v>23350.520000000171</v>
      </c>
      <c r="AF918" s="261">
        <v>914</v>
      </c>
      <c r="AG918" s="262">
        <v>62464.04</v>
      </c>
      <c r="AI918" s="261">
        <v>914</v>
      </c>
      <c r="AJ918" s="262">
        <v>26214</v>
      </c>
      <c r="AL918" s="261"/>
      <c r="AM918" s="262"/>
    </row>
    <row r="919" spans="2:39" ht="12.75" customHeight="1">
      <c r="B919" s="261" t="s">
        <v>1203</v>
      </c>
      <c r="C919" s="261">
        <v>29103</v>
      </c>
      <c r="E919" s="261" t="s">
        <v>1203</v>
      </c>
      <c r="F919" s="261">
        <v>29002.57</v>
      </c>
      <c r="N919" s="261">
        <v>915</v>
      </c>
      <c r="O919" s="262">
        <v>10282.6</v>
      </c>
      <c r="AC919" s="261">
        <v>915</v>
      </c>
      <c r="AD919" s="262">
        <v>23376.220000000169</v>
      </c>
      <c r="AF919" s="261">
        <v>915</v>
      </c>
      <c r="AG919" s="262">
        <v>62532.51</v>
      </c>
      <c r="AI919" s="261">
        <v>915</v>
      </c>
      <c r="AJ919" s="262">
        <v>26243</v>
      </c>
      <c r="AL919" s="261"/>
      <c r="AM919" s="262"/>
    </row>
    <row r="920" spans="2:39" ht="12.75" customHeight="1">
      <c r="B920" s="261" t="s">
        <v>1204</v>
      </c>
      <c r="C920" s="261">
        <v>29134</v>
      </c>
      <c r="E920" s="261" t="s">
        <v>1204</v>
      </c>
      <c r="F920" s="261">
        <v>29033.829999999998</v>
      </c>
      <c r="N920" s="261">
        <v>916</v>
      </c>
      <c r="O920" s="262">
        <v>10293.700000000001</v>
      </c>
      <c r="AC920" s="261">
        <v>916</v>
      </c>
      <c r="AD920" s="262">
        <v>23401.910000000171</v>
      </c>
      <c r="AF920" s="261">
        <v>916</v>
      </c>
      <c r="AG920" s="262">
        <v>62600.98</v>
      </c>
      <c r="AI920" s="261">
        <v>916</v>
      </c>
      <c r="AJ920" s="262">
        <v>26271</v>
      </c>
      <c r="AL920" s="261"/>
      <c r="AM920" s="262"/>
    </row>
    <row r="921" spans="2:39" ht="12.75" customHeight="1">
      <c r="B921" s="261" t="s">
        <v>1205</v>
      </c>
      <c r="C921" s="261">
        <v>29166</v>
      </c>
      <c r="E921" s="261" t="s">
        <v>1205</v>
      </c>
      <c r="F921" s="261">
        <v>29065.26</v>
      </c>
      <c r="N921" s="261">
        <v>917</v>
      </c>
      <c r="O921" s="262">
        <v>10304.81</v>
      </c>
      <c r="AC921" s="261">
        <v>917</v>
      </c>
      <c r="AD921" s="262">
        <v>23427.610000000172</v>
      </c>
      <c r="AF921" s="261">
        <v>917</v>
      </c>
      <c r="AG921" s="262">
        <v>62669.46</v>
      </c>
      <c r="AI921" s="261">
        <v>917</v>
      </c>
      <c r="AJ921" s="262">
        <v>26299</v>
      </c>
      <c r="AL921" s="261"/>
      <c r="AM921" s="262"/>
    </row>
    <row r="922" spans="2:39" ht="12.75" customHeight="1">
      <c r="B922" s="261" t="s">
        <v>1206</v>
      </c>
      <c r="C922" s="261">
        <v>29197</v>
      </c>
      <c r="E922" s="261" t="s">
        <v>1206</v>
      </c>
      <c r="F922" s="261">
        <v>29096.519999999997</v>
      </c>
      <c r="N922" s="261">
        <v>918</v>
      </c>
      <c r="O922" s="262">
        <v>10315.92</v>
      </c>
      <c r="AC922" s="261">
        <v>918</v>
      </c>
      <c r="AD922" s="262">
        <v>23453.310000000172</v>
      </c>
      <c r="AF922" s="261">
        <v>918</v>
      </c>
      <c r="AG922" s="262">
        <v>62737.93</v>
      </c>
      <c r="AI922" s="261">
        <v>918</v>
      </c>
      <c r="AJ922" s="262">
        <v>26328</v>
      </c>
      <c r="AL922" s="261"/>
      <c r="AM922" s="262"/>
    </row>
    <row r="923" spans="2:39" ht="12.75" customHeight="1">
      <c r="B923" s="261" t="s">
        <v>1207</v>
      </c>
      <c r="C923" s="261">
        <v>29229</v>
      </c>
      <c r="E923" s="261" t="s">
        <v>1207</v>
      </c>
      <c r="F923" s="261">
        <v>29127.75</v>
      </c>
      <c r="N923" s="261">
        <v>919</v>
      </c>
      <c r="O923" s="262">
        <v>10327.030000000001</v>
      </c>
      <c r="AC923" s="261">
        <v>919</v>
      </c>
      <c r="AD923" s="262">
        <v>23479.000000000175</v>
      </c>
      <c r="AF923" s="261">
        <v>919</v>
      </c>
      <c r="AG923" s="262">
        <v>62806.400000000001</v>
      </c>
      <c r="AI923" s="261">
        <v>919</v>
      </c>
      <c r="AJ923" s="262">
        <v>26356</v>
      </c>
      <c r="AL923" s="261"/>
      <c r="AM923" s="262"/>
    </row>
    <row r="924" spans="2:39" ht="12.75" customHeight="1">
      <c r="B924" s="261" t="s">
        <v>1208</v>
      </c>
      <c r="C924" s="261">
        <v>29260</v>
      </c>
      <c r="E924" s="261" t="s">
        <v>1208</v>
      </c>
      <c r="F924" s="261">
        <v>29159.01</v>
      </c>
      <c r="N924" s="261">
        <v>920</v>
      </c>
      <c r="O924" s="262">
        <v>10338.14</v>
      </c>
      <c r="AC924" s="261">
        <v>920</v>
      </c>
      <c r="AD924" s="262">
        <v>23504.700000000172</v>
      </c>
      <c r="AF924" s="261">
        <v>920</v>
      </c>
      <c r="AG924" s="262">
        <v>62874.879999999997</v>
      </c>
      <c r="AI924" s="261">
        <v>920</v>
      </c>
      <c r="AJ924" s="262">
        <v>26385</v>
      </c>
      <c r="AL924" s="261"/>
      <c r="AM924" s="262"/>
    </row>
    <row r="925" spans="2:39" ht="12.75" customHeight="1">
      <c r="B925" s="261" t="s">
        <v>1209</v>
      </c>
      <c r="C925" s="261">
        <v>29292</v>
      </c>
      <c r="E925" s="261" t="s">
        <v>1209</v>
      </c>
      <c r="F925" s="261">
        <v>29190.65</v>
      </c>
      <c r="N925" s="261">
        <v>921</v>
      </c>
      <c r="O925" s="262">
        <v>10349.24</v>
      </c>
      <c r="AC925" s="261">
        <v>921</v>
      </c>
      <c r="AD925" s="262">
        <v>23530.390000000174</v>
      </c>
      <c r="AF925" s="261">
        <v>921</v>
      </c>
      <c r="AG925" s="262">
        <v>62943.35</v>
      </c>
      <c r="AI925" s="261">
        <v>921</v>
      </c>
      <c r="AJ925" s="262">
        <v>26413</v>
      </c>
      <c r="AL925" s="261"/>
      <c r="AM925" s="262"/>
    </row>
    <row r="926" spans="2:39" ht="12.75" customHeight="1">
      <c r="B926" s="261" t="s">
        <v>1210</v>
      </c>
      <c r="C926" s="261">
        <v>29323</v>
      </c>
      <c r="E926" s="261" t="s">
        <v>1210</v>
      </c>
      <c r="F926" s="261">
        <v>29221.91</v>
      </c>
      <c r="N926" s="261">
        <v>922</v>
      </c>
      <c r="O926" s="262">
        <v>10360.35</v>
      </c>
      <c r="AC926" s="261">
        <v>922</v>
      </c>
      <c r="AD926" s="262">
        <v>23556.090000000175</v>
      </c>
      <c r="AF926" s="261">
        <v>922</v>
      </c>
      <c r="AG926" s="262">
        <v>63011.82</v>
      </c>
      <c r="AI926" s="261">
        <v>922</v>
      </c>
      <c r="AJ926" s="262">
        <v>26441</v>
      </c>
      <c r="AL926" s="261"/>
      <c r="AM926" s="262"/>
    </row>
    <row r="927" spans="2:39" ht="12.75" customHeight="1">
      <c r="B927" s="261" t="s">
        <v>1211</v>
      </c>
      <c r="C927" s="261">
        <v>29355</v>
      </c>
      <c r="E927" s="261" t="s">
        <v>1211</v>
      </c>
      <c r="F927" s="261">
        <v>29253.34</v>
      </c>
      <c r="N927" s="261">
        <v>923</v>
      </c>
      <c r="O927" s="262">
        <v>10371.459999999999</v>
      </c>
      <c r="AC927" s="261">
        <v>923</v>
      </c>
      <c r="AD927" s="262">
        <v>23581.790000000175</v>
      </c>
      <c r="AF927" s="261">
        <v>923</v>
      </c>
      <c r="AG927" s="262">
        <v>63080.29</v>
      </c>
      <c r="AI927" s="261">
        <v>923</v>
      </c>
      <c r="AJ927" s="262">
        <v>26470</v>
      </c>
      <c r="AL927" s="261"/>
      <c r="AM927" s="262"/>
    </row>
    <row r="928" spans="2:39" ht="12.75" customHeight="1">
      <c r="B928" s="261" t="s">
        <v>1212</v>
      </c>
      <c r="C928" s="261">
        <v>29386</v>
      </c>
      <c r="E928" s="261" t="s">
        <v>1212</v>
      </c>
      <c r="F928" s="261">
        <v>29284.6</v>
      </c>
      <c r="N928" s="261">
        <v>924</v>
      </c>
      <c r="O928" s="262">
        <v>10382.57</v>
      </c>
      <c r="AC928" s="261">
        <v>924</v>
      </c>
      <c r="AD928" s="262">
        <v>23607.480000000178</v>
      </c>
      <c r="AF928" s="261">
        <v>924</v>
      </c>
      <c r="AG928" s="262">
        <v>63148.77</v>
      </c>
      <c r="AI928" s="261">
        <v>924</v>
      </c>
      <c r="AJ928" s="262">
        <v>26498</v>
      </c>
      <c r="AL928" s="261"/>
      <c r="AM928" s="262"/>
    </row>
    <row r="929" spans="2:39" ht="12.75" customHeight="1">
      <c r="B929" s="261" t="s">
        <v>1213</v>
      </c>
      <c r="C929" s="261">
        <v>29418</v>
      </c>
      <c r="E929" s="261" t="s">
        <v>1213</v>
      </c>
      <c r="F929" s="261">
        <v>29316.04</v>
      </c>
      <c r="N929" s="261">
        <v>925</v>
      </c>
      <c r="O929" s="262">
        <v>10393.68</v>
      </c>
      <c r="AC929" s="261">
        <v>925</v>
      </c>
      <c r="AD929" s="262">
        <v>23633.180000000175</v>
      </c>
      <c r="AF929" s="261">
        <v>925</v>
      </c>
      <c r="AG929" s="262">
        <v>63217.24</v>
      </c>
      <c r="AI929" s="261">
        <v>925</v>
      </c>
      <c r="AJ929" s="262">
        <v>26527</v>
      </c>
      <c r="AL929" s="261"/>
      <c r="AM929" s="262"/>
    </row>
    <row r="930" spans="2:39" ht="12.75" customHeight="1">
      <c r="B930" s="261" t="s">
        <v>1214</v>
      </c>
      <c r="C930" s="261">
        <v>29449</v>
      </c>
      <c r="E930" s="261" t="s">
        <v>1214</v>
      </c>
      <c r="F930" s="261">
        <v>29347.3</v>
      </c>
      <c r="N930" s="261">
        <v>926</v>
      </c>
      <c r="O930" s="262">
        <v>10404.780000000001</v>
      </c>
      <c r="AC930" s="261">
        <v>926</v>
      </c>
      <c r="AD930" s="262">
        <v>23658.870000000177</v>
      </c>
      <c r="AF930" s="261">
        <v>926</v>
      </c>
      <c r="AG930" s="262">
        <v>63285.71</v>
      </c>
      <c r="AI930" s="261">
        <v>926</v>
      </c>
      <c r="AJ930" s="262">
        <v>26555</v>
      </c>
      <c r="AL930" s="261"/>
      <c r="AM930" s="262"/>
    </row>
    <row r="931" spans="2:39" ht="12.75" customHeight="1">
      <c r="B931" s="261" t="s">
        <v>1215</v>
      </c>
      <c r="C931" s="261">
        <v>29480</v>
      </c>
      <c r="E931" s="261" t="s">
        <v>1215</v>
      </c>
      <c r="F931" s="261">
        <v>29378.73</v>
      </c>
      <c r="N931" s="261">
        <v>927</v>
      </c>
      <c r="O931" s="262">
        <v>10415.89</v>
      </c>
      <c r="AC931" s="261">
        <v>927</v>
      </c>
      <c r="AD931" s="262">
        <v>23684.570000000178</v>
      </c>
      <c r="AF931" s="261">
        <v>927</v>
      </c>
      <c r="AG931" s="262">
        <v>63354.19</v>
      </c>
      <c r="AI931" s="261">
        <v>927</v>
      </c>
      <c r="AJ931" s="262">
        <v>26583</v>
      </c>
      <c r="AL931" s="261"/>
      <c r="AM931" s="262"/>
    </row>
    <row r="932" spans="2:39" ht="12.75" customHeight="1">
      <c r="B932" s="261" t="s">
        <v>1216</v>
      </c>
      <c r="C932" s="261">
        <v>29511</v>
      </c>
      <c r="E932" s="261" t="s">
        <v>1216</v>
      </c>
      <c r="F932" s="261">
        <v>29409.989999999998</v>
      </c>
      <c r="N932" s="261">
        <v>928</v>
      </c>
      <c r="O932" s="262">
        <v>10427</v>
      </c>
      <c r="AC932" s="261">
        <v>928</v>
      </c>
      <c r="AD932" s="262">
        <v>23710.270000000179</v>
      </c>
      <c r="AF932" s="261">
        <v>928</v>
      </c>
      <c r="AG932" s="262">
        <v>63422.66</v>
      </c>
      <c r="AI932" s="261">
        <v>928</v>
      </c>
      <c r="AJ932" s="262">
        <v>26612</v>
      </c>
      <c r="AL932" s="261"/>
      <c r="AM932" s="262"/>
    </row>
    <row r="933" spans="2:39" ht="12.75" customHeight="1">
      <c r="B933" s="261" t="s">
        <v>1217</v>
      </c>
      <c r="C933" s="261">
        <v>29543</v>
      </c>
      <c r="E933" s="261" t="s">
        <v>1217</v>
      </c>
      <c r="F933" s="261">
        <v>29441.42</v>
      </c>
      <c r="N933" s="261">
        <v>929</v>
      </c>
      <c r="O933" s="262">
        <v>10438.11</v>
      </c>
      <c r="AC933" s="261">
        <v>929</v>
      </c>
      <c r="AD933" s="262">
        <v>23735.960000000181</v>
      </c>
      <c r="AF933" s="261">
        <v>929</v>
      </c>
      <c r="AG933" s="262">
        <v>63491.13</v>
      </c>
      <c r="AI933" s="261">
        <v>929</v>
      </c>
      <c r="AJ933" s="262">
        <v>26640</v>
      </c>
      <c r="AL933" s="261"/>
      <c r="AM933" s="262"/>
    </row>
    <row r="934" spans="2:39" ht="12.75" customHeight="1">
      <c r="B934" s="261" t="s">
        <v>1218</v>
      </c>
      <c r="C934" s="261">
        <v>29574</v>
      </c>
      <c r="E934" s="261" t="s">
        <v>1218</v>
      </c>
      <c r="F934" s="261">
        <v>29472.679999999997</v>
      </c>
      <c r="N934" s="261">
        <v>930</v>
      </c>
      <c r="O934" s="262">
        <v>10449.219999999999</v>
      </c>
      <c r="AC934" s="261">
        <v>930</v>
      </c>
      <c r="AD934" s="262">
        <v>23761.660000000178</v>
      </c>
      <c r="AF934" s="261">
        <v>930</v>
      </c>
      <c r="AG934" s="262">
        <v>63559.61</v>
      </c>
      <c r="AI934" s="261">
        <v>930</v>
      </c>
      <c r="AJ934" s="262">
        <v>26669</v>
      </c>
      <c r="AL934" s="261"/>
      <c r="AM934" s="262"/>
    </row>
    <row r="935" spans="2:39" ht="12.75" customHeight="1">
      <c r="B935" s="261" t="s">
        <v>1219</v>
      </c>
      <c r="C935" s="261">
        <v>29606</v>
      </c>
      <c r="E935" s="261" t="s">
        <v>1219</v>
      </c>
      <c r="F935" s="261">
        <v>29504.11</v>
      </c>
      <c r="N935" s="261">
        <v>931</v>
      </c>
      <c r="O935" s="262">
        <v>10460.32</v>
      </c>
      <c r="AC935" s="261">
        <v>931</v>
      </c>
      <c r="AD935" s="262">
        <v>23787.35000000018</v>
      </c>
      <c r="AF935" s="261">
        <v>931</v>
      </c>
      <c r="AG935" s="262">
        <v>63628.08</v>
      </c>
      <c r="AI935" s="261">
        <v>931</v>
      </c>
      <c r="AJ935" s="262">
        <v>26697</v>
      </c>
      <c r="AL935" s="261"/>
      <c r="AM935" s="262"/>
    </row>
    <row r="936" spans="2:39" ht="12.75" customHeight="1">
      <c r="B936" s="261" t="s">
        <v>1220</v>
      </c>
      <c r="C936" s="261">
        <v>29637</v>
      </c>
      <c r="E936" s="261" t="s">
        <v>1220</v>
      </c>
      <c r="F936" s="261">
        <v>29535.37</v>
      </c>
      <c r="N936" s="261">
        <v>932</v>
      </c>
      <c r="O936" s="262">
        <v>10471.43</v>
      </c>
      <c r="AC936" s="261">
        <v>932</v>
      </c>
      <c r="AD936" s="262">
        <v>23813.050000000181</v>
      </c>
      <c r="AF936" s="261">
        <v>932</v>
      </c>
      <c r="AG936" s="262">
        <v>63696.55</v>
      </c>
      <c r="AI936" s="261">
        <v>932</v>
      </c>
      <c r="AJ936" s="262">
        <v>26725</v>
      </c>
      <c r="AL936" s="261"/>
      <c r="AM936" s="262"/>
    </row>
    <row r="937" spans="2:39" ht="12.75" customHeight="1">
      <c r="B937" s="261" t="s">
        <v>1221</v>
      </c>
      <c r="C937" s="261">
        <v>29669</v>
      </c>
      <c r="E937"/>
      <c r="F937"/>
      <c r="N937" s="261">
        <v>933</v>
      </c>
      <c r="O937" s="262">
        <v>10482.540000000001</v>
      </c>
      <c r="AC937" s="261">
        <v>933</v>
      </c>
      <c r="AD937" s="262">
        <v>23838.750000000182</v>
      </c>
      <c r="AF937" s="261">
        <v>933</v>
      </c>
      <c r="AG937" s="262">
        <v>63765.02</v>
      </c>
      <c r="AI937" s="261">
        <v>933</v>
      </c>
      <c r="AJ937" s="262">
        <v>26754</v>
      </c>
      <c r="AL937" s="261"/>
      <c r="AM937" s="262"/>
    </row>
    <row r="938" spans="2:39" ht="12.75" customHeight="1">
      <c r="B938" s="261" t="s">
        <v>1222</v>
      </c>
      <c r="C938" s="261">
        <v>29700</v>
      </c>
      <c r="E938"/>
      <c r="F938"/>
      <c r="N938" s="261">
        <v>934</v>
      </c>
      <c r="O938" s="262">
        <v>10493.65</v>
      </c>
      <c r="AC938" s="261">
        <v>934</v>
      </c>
      <c r="AD938" s="262">
        <v>23864.440000000184</v>
      </c>
      <c r="AF938" s="261">
        <v>934</v>
      </c>
      <c r="AG938" s="262">
        <v>63833.5</v>
      </c>
      <c r="AI938" s="261">
        <v>934</v>
      </c>
      <c r="AJ938" s="262">
        <v>26782</v>
      </c>
      <c r="AL938" s="261"/>
      <c r="AM938" s="262"/>
    </row>
    <row r="939" spans="2:39" ht="12.75" customHeight="1">
      <c r="B939" s="261" t="s">
        <v>1223</v>
      </c>
      <c r="C939" s="261">
        <v>29732</v>
      </c>
      <c r="E939"/>
      <c r="F939"/>
      <c r="N939" s="261">
        <v>935</v>
      </c>
      <c r="O939" s="262">
        <v>10504.76</v>
      </c>
      <c r="AC939" s="261">
        <v>935</v>
      </c>
      <c r="AD939" s="262">
        <v>23890.140000000181</v>
      </c>
      <c r="AF939" s="261">
        <v>935</v>
      </c>
      <c r="AG939" s="262">
        <v>63901.97</v>
      </c>
      <c r="AI939" s="261">
        <v>935</v>
      </c>
      <c r="AJ939" s="262">
        <v>26811</v>
      </c>
      <c r="AL939" s="261"/>
      <c r="AM939" s="262"/>
    </row>
    <row r="940" spans="2:39" ht="12.75" customHeight="1">
      <c r="B940" s="261" t="s">
        <v>1224</v>
      </c>
      <c r="C940" s="261">
        <v>29763</v>
      </c>
      <c r="E940"/>
      <c r="F940"/>
      <c r="N940" s="261">
        <v>936</v>
      </c>
      <c r="O940" s="262">
        <v>10515.86</v>
      </c>
      <c r="AC940" s="261">
        <v>936</v>
      </c>
      <c r="AD940" s="262">
        <v>23915.830000000184</v>
      </c>
      <c r="AF940" s="261">
        <v>936</v>
      </c>
      <c r="AG940" s="262">
        <v>63970.44</v>
      </c>
      <c r="AI940" s="261">
        <v>936</v>
      </c>
      <c r="AJ940" s="262">
        <v>26839</v>
      </c>
      <c r="AL940" s="261"/>
      <c r="AM940" s="262"/>
    </row>
    <row r="941" spans="2:39" ht="12.75" customHeight="1">
      <c r="B941" s="261">
        <v>39</v>
      </c>
      <c r="C941" s="261">
        <v>29795</v>
      </c>
      <c r="E941"/>
      <c r="F941"/>
      <c r="N941" s="261">
        <v>937</v>
      </c>
      <c r="O941" s="262">
        <v>10526.97</v>
      </c>
      <c r="AC941" s="261">
        <v>937</v>
      </c>
      <c r="AD941" s="262">
        <v>23941.530000000184</v>
      </c>
      <c r="AF941" s="261">
        <v>937</v>
      </c>
      <c r="AG941" s="262">
        <v>64038.92</v>
      </c>
      <c r="AI941" s="261">
        <v>937</v>
      </c>
      <c r="AJ941" s="262">
        <v>26867</v>
      </c>
      <c r="AL941" s="261"/>
      <c r="AM941" s="262"/>
    </row>
    <row r="942" spans="2:39" ht="12.75" customHeight="1">
      <c r="B942" s="261" t="s">
        <v>1225</v>
      </c>
      <c r="C942" s="261">
        <v>29826</v>
      </c>
      <c r="E942"/>
      <c r="F942"/>
      <c r="N942" s="261">
        <v>938</v>
      </c>
      <c r="O942" s="262">
        <v>10538.08</v>
      </c>
      <c r="AC942" s="261">
        <v>938</v>
      </c>
      <c r="AD942" s="262">
        <v>23967.230000000185</v>
      </c>
      <c r="AF942" s="261">
        <v>938</v>
      </c>
      <c r="AG942" s="262">
        <v>64107.39</v>
      </c>
      <c r="AI942" s="261">
        <v>938</v>
      </c>
      <c r="AJ942" s="262">
        <v>26896</v>
      </c>
      <c r="AL942" s="261"/>
      <c r="AM942" s="262"/>
    </row>
    <row r="943" spans="2:39" ht="12.75" customHeight="1">
      <c r="B943" s="261" t="s">
        <v>1226</v>
      </c>
      <c r="C943" s="261">
        <v>29857</v>
      </c>
      <c r="E943"/>
      <c r="F943"/>
      <c r="N943" s="261">
        <v>939</v>
      </c>
      <c r="O943" s="262">
        <v>10549.19</v>
      </c>
      <c r="AC943" s="261">
        <v>939</v>
      </c>
      <c r="AD943" s="262">
        <v>23992.920000000187</v>
      </c>
      <c r="AF943" s="261">
        <v>939</v>
      </c>
      <c r="AG943" s="262">
        <v>64175.86</v>
      </c>
      <c r="AI943" s="261">
        <v>939</v>
      </c>
      <c r="AJ943" s="262">
        <v>26924</v>
      </c>
      <c r="AL943" s="261"/>
      <c r="AM943" s="262"/>
    </row>
    <row r="944" spans="2:39" ht="12.75" customHeight="1">
      <c r="B944" s="261" t="s">
        <v>1227</v>
      </c>
      <c r="C944" s="261">
        <v>29888</v>
      </c>
      <c r="E944"/>
      <c r="F944"/>
      <c r="N944" s="261">
        <v>940</v>
      </c>
      <c r="O944" s="262">
        <v>10560.3</v>
      </c>
      <c r="AC944" s="261">
        <v>940</v>
      </c>
      <c r="AD944" s="262">
        <v>24018.620000000185</v>
      </c>
      <c r="AF944" s="261">
        <v>940</v>
      </c>
      <c r="AG944" s="262">
        <v>64244.34</v>
      </c>
      <c r="AI944" s="261">
        <v>940</v>
      </c>
      <c r="AJ944" s="262">
        <v>26953</v>
      </c>
      <c r="AL944" s="261"/>
      <c r="AM944" s="262"/>
    </row>
    <row r="945" spans="2:39" ht="12.75" customHeight="1">
      <c r="B945" s="261" t="s">
        <v>1228</v>
      </c>
      <c r="C945" s="261">
        <v>29920</v>
      </c>
      <c r="E945"/>
      <c r="F945"/>
      <c r="N945" s="261">
        <v>941</v>
      </c>
      <c r="O945" s="262">
        <v>10571.4</v>
      </c>
      <c r="AC945" s="261">
        <v>941</v>
      </c>
      <c r="AD945" s="262">
        <v>24044.310000000187</v>
      </c>
      <c r="AF945" s="261">
        <v>941</v>
      </c>
      <c r="AG945" s="262">
        <v>64312.81</v>
      </c>
      <c r="AI945" s="261">
        <v>941</v>
      </c>
      <c r="AJ945" s="262">
        <v>26981</v>
      </c>
      <c r="AL945" s="261"/>
      <c r="AM945" s="262"/>
    </row>
    <row r="946" spans="2:39" ht="12.75" customHeight="1">
      <c r="B946" s="261" t="s">
        <v>1229</v>
      </c>
      <c r="C946" s="261">
        <v>29951</v>
      </c>
      <c r="E946"/>
      <c r="F946"/>
      <c r="N946" s="261">
        <v>942</v>
      </c>
      <c r="O946" s="262">
        <v>10582.51</v>
      </c>
      <c r="AC946" s="261">
        <v>942</v>
      </c>
      <c r="AD946" s="262">
        <v>24070.010000000188</v>
      </c>
      <c r="AF946" s="261">
        <v>942</v>
      </c>
      <c r="AG946" s="262">
        <v>64381.279999999999</v>
      </c>
      <c r="AI946" s="261">
        <v>942</v>
      </c>
      <c r="AJ946" s="262">
        <v>27009</v>
      </c>
      <c r="AL946" s="261"/>
      <c r="AM946" s="262"/>
    </row>
    <row r="947" spans="2:39" ht="12.75" customHeight="1">
      <c r="B947" s="261" t="s">
        <v>1230</v>
      </c>
      <c r="C947" s="261">
        <v>29983</v>
      </c>
      <c r="E947"/>
      <c r="F947"/>
      <c r="N947" s="261">
        <v>943</v>
      </c>
      <c r="O947" s="262">
        <v>10593.62</v>
      </c>
      <c r="AC947" s="261">
        <v>943</v>
      </c>
      <c r="AD947" s="262">
        <v>24095.710000000188</v>
      </c>
      <c r="AF947" s="261">
        <v>943</v>
      </c>
      <c r="AG947" s="262">
        <v>64449.75</v>
      </c>
      <c r="AI947" s="261">
        <v>943</v>
      </c>
      <c r="AJ947" s="262">
        <v>27038</v>
      </c>
      <c r="AL947" s="261"/>
      <c r="AM947" s="262"/>
    </row>
    <row r="948" spans="2:39" ht="12.75" customHeight="1">
      <c r="B948" s="261" t="s">
        <v>1231</v>
      </c>
      <c r="C948" s="261">
        <v>30014</v>
      </c>
      <c r="E948"/>
      <c r="F948"/>
      <c r="N948" s="261">
        <v>944</v>
      </c>
      <c r="O948" s="262">
        <v>10604.73</v>
      </c>
      <c r="AC948" s="261">
        <v>944</v>
      </c>
      <c r="AD948" s="262">
        <v>24121.400000000191</v>
      </c>
      <c r="AF948" s="261">
        <v>944</v>
      </c>
      <c r="AG948" s="262">
        <v>64518.23</v>
      </c>
      <c r="AI948" s="261">
        <v>944</v>
      </c>
      <c r="AJ948" s="262">
        <v>27066</v>
      </c>
      <c r="AL948" s="261"/>
      <c r="AM948" s="262"/>
    </row>
    <row r="949" spans="2:39" ht="12.75" customHeight="1">
      <c r="B949" s="261" t="s">
        <v>1232</v>
      </c>
      <c r="C949" s="261">
        <v>30046</v>
      </c>
      <c r="E949"/>
      <c r="F949"/>
      <c r="N949" s="261">
        <v>945</v>
      </c>
      <c r="O949" s="262">
        <v>10615.84</v>
      </c>
      <c r="AC949" s="261">
        <v>945</v>
      </c>
      <c r="AD949" s="262">
        <v>24147.100000000188</v>
      </c>
      <c r="AF949" s="261">
        <v>945</v>
      </c>
      <c r="AG949" s="262">
        <v>64586.7</v>
      </c>
      <c r="AI949" s="261">
        <v>945</v>
      </c>
      <c r="AJ949" s="262">
        <v>27094</v>
      </c>
      <c r="AL949" s="261"/>
      <c r="AM949" s="262"/>
    </row>
    <row r="950" spans="2:39" ht="12.75" customHeight="1">
      <c r="B950" s="261" t="s">
        <v>1233</v>
      </c>
      <c r="C950" s="261">
        <v>30077</v>
      </c>
      <c r="E950"/>
      <c r="F950"/>
      <c r="N950" s="261">
        <v>946</v>
      </c>
      <c r="O950" s="262">
        <v>10626.94</v>
      </c>
      <c r="AC950" s="261">
        <v>946</v>
      </c>
      <c r="AD950" s="262">
        <v>24172.79000000019</v>
      </c>
      <c r="AF950" s="261">
        <v>946</v>
      </c>
      <c r="AG950" s="262">
        <v>64655.17</v>
      </c>
      <c r="AI950" s="261">
        <v>946</v>
      </c>
      <c r="AJ950" s="262">
        <v>27123</v>
      </c>
      <c r="AL950" s="261"/>
      <c r="AM950" s="262"/>
    </row>
    <row r="951" spans="2:39" ht="12.75" customHeight="1">
      <c r="B951" s="261" t="s">
        <v>957</v>
      </c>
      <c r="C951" s="261">
        <v>30109</v>
      </c>
      <c r="E951"/>
      <c r="F951"/>
      <c r="N951" s="261">
        <v>947</v>
      </c>
      <c r="O951" s="262">
        <v>10638.05</v>
      </c>
      <c r="AC951" s="261">
        <v>947</v>
      </c>
      <c r="AD951" s="262">
        <v>24198.490000000191</v>
      </c>
      <c r="AF951" s="261">
        <v>947</v>
      </c>
      <c r="AG951" s="262">
        <v>64723.65</v>
      </c>
      <c r="AI951" s="261">
        <v>947</v>
      </c>
      <c r="AJ951" s="262">
        <v>27151</v>
      </c>
      <c r="AL951" s="261"/>
      <c r="AM951" s="262"/>
    </row>
    <row r="952" spans="2:39" ht="12.75" customHeight="1">
      <c r="B952" s="261" t="s">
        <v>1234</v>
      </c>
      <c r="C952" s="261">
        <v>30140</v>
      </c>
      <c r="E952"/>
      <c r="F952"/>
      <c r="N952" s="261">
        <v>948</v>
      </c>
      <c r="O952" s="262">
        <v>10649.16</v>
      </c>
      <c r="AC952" s="261">
        <v>948</v>
      </c>
      <c r="AD952" s="262">
        <v>24224.190000000192</v>
      </c>
      <c r="AF952" s="261">
        <v>948</v>
      </c>
      <c r="AG952" s="262">
        <v>64792.12</v>
      </c>
      <c r="AI952" s="261">
        <v>948</v>
      </c>
      <c r="AJ952" s="262">
        <v>27180</v>
      </c>
      <c r="AL952" s="261"/>
      <c r="AM952" s="262"/>
    </row>
    <row r="953" spans="2:39" ht="12.75" customHeight="1">
      <c r="B953" s="261" t="s">
        <v>1235</v>
      </c>
      <c r="C953" s="261">
        <v>30172</v>
      </c>
      <c r="E953"/>
      <c r="F953"/>
      <c r="N953" s="261">
        <v>949</v>
      </c>
      <c r="O953" s="262">
        <v>10660.27</v>
      </c>
      <c r="AC953" s="261">
        <v>949</v>
      </c>
      <c r="AD953" s="262">
        <v>24249.880000000194</v>
      </c>
      <c r="AF953" s="261">
        <v>949</v>
      </c>
      <c r="AG953" s="262">
        <v>64860.59</v>
      </c>
      <c r="AI953" s="261">
        <v>949</v>
      </c>
      <c r="AJ953" s="262">
        <v>27208</v>
      </c>
      <c r="AL953" s="261"/>
      <c r="AM953" s="262"/>
    </row>
    <row r="954" spans="2:39" ht="12.75" customHeight="1">
      <c r="B954" s="261" t="s">
        <v>1236</v>
      </c>
      <c r="C954" s="261">
        <v>30203</v>
      </c>
      <c r="E954"/>
      <c r="F954"/>
      <c r="N954" s="261">
        <v>950</v>
      </c>
      <c r="O954" s="262">
        <v>10671.38</v>
      </c>
      <c r="AC954" s="261">
        <v>950</v>
      </c>
      <c r="AD954" s="262">
        <v>24275.580000000191</v>
      </c>
      <c r="AF954" s="261">
        <v>950</v>
      </c>
      <c r="AG954" s="262">
        <v>64929.07</v>
      </c>
      <c r="AI954" s="261">
        <v>950</v>
      </c>
      <c r="AJ954" s="262">
        <v>27236</v>
      </c>
      <c r="AL954" s="261"/>
      <c r="AM954" s="262"/>
    </row>
    <row r="955" spans="2:39" ht="12.75" customHeight="1">
      <c r="B955" s="261" t="s">
        <v>1237</v>
      </c>
      <c r="C955" s="261">
        <v>30234</v>
      </c>
      <c r="E955"/>
      <c r="F955"/>
      <c r="N955" s="261">
        <v>951</v>
      </c>
      <c r="O955" s="262">
        <v>10682.48</v>
      </c>
      <c r="AC955" s="261">
        <v>951</v>
      </c>
      <c r="AD955" s="262">
        <v>24301.270000000193</v>
      </c>
      <c r="AF955" s="261">
        <v>951</v>
      </c>
      <c r="AG955" s="262">
        <v>64997.54</v>
      </c>
      <c r="AI955" s="261">
        <v>951</v>
      </c>
      <c r="AJ955" s="262">
        <v>27265</v>
      </c>
      <c r="AL955" s="261"/>
      <c r="AM955" s="262"/>
    </row>
    <row r="956" spans="2:39" ht="12.75" customHeight="1">
      <c r="B956" s="261" t="s">
        <v>1238</v>
      </c>
      <c r="C956" s="261">
        <v>30265</v>
      </c>
      <c r="E956"/>
      <c r="F956"/>
      <c r="N956" s="261">
        <v>952</v>
      </c>
      <c r="O956" s="262">
        <v>10693.59</v>
      </c>
      <c r="AC956" s="261">
        <v>952</v>
      </c>
      <c r="AD956" s="262">
        <v>24326.970000000194</v>
      </c>
      <c r="AF956" s="261">
        <v>952</v>
      </c>
      <c r="AG956" s="262">
        <v>65066.01</v>
      </c>
      <c r="AI956" s="261">
        <v>952</v>
      </c>
      <c r="AJ956" s="262">
        <v>27293</v>
      </c>
      <c r="AL956" s="261"/>
      <c r="AM956" s="262"/>
    </row>
    <row r="957" spans="2:39" ht="12.75" customHeight="1">
      <c r="B957" s="261" t="s">
        <v>1239</v>
      </c>
      <c r="C957" s="261">
        <v>30297</v>
      </c>
      <c r="E957"/>
      <c r="F957"/>
      <c r="N957" s="261">
        <v>953</v>
      </c>
      <c r="O957" s="262">
        <v>10704.7</v>
      </c>
      <c r="AC957" s="261">
        <v>953</v>
      </c>
      <c r="AD957" s="262">
        <v>24352.670000000195</v>
      </c>
      <c r="AF957" s="261">
        <v>953</v>
      </c>
      <c r="AG957" s="262">
        <v>65134.48</v>
      </c>
      <c r="AI957" s="261">
        <v>953</v>
      </c>
      <c r="AJ957" s="262">
        <v>27322</v>
      </c>
      <c r="AL957" s="261"/>
      <c r="AM957" s="262"/>
    </row>
    <row r="958" spans="2:39" ht="12.75" customHeight="1">
      <c r="B958" s="261" t="s">
        <v>1240</v>
      </c>
      <c r="C958" s="261">
        <v>30328</v>
      </c>
      <c r="E958"/>
      <c r="F958"/>
      <c r="N958" s="261">
        <v>954</v>
      </c>
      <c r="O958" s="262">
        <v>10715.81</v>
      </c>
      <c r="AC958" s="261">
        <v>954</v>
      </c>
      <c r="AD958" s="262">
        <v>24378.360000000197</v>
      </c>
      <c r="AF958" s="261">
        <v>954</v>
      </c>
      <c r="AG958" s="262">
        <v>65202.96</v>
      </c>
      <c r="AI958" s="261">
        <v>954</v>
      </c>
      <c r="AJ958" s="262">
        <v>27350</v>
      </c>
      <c r="AL958" s="261"/>
      <c r="AM958" s="262"/>
    </row>
    <row r="959" spans="2:39" ht="12.75" customHeight="1">
      <c r="B959" s="261" t="s">
        <v>1241</v>
      </c>
      <c r="C959" s="261">
        <v>30360</v>
      </c>
      <c r="E959"/>
      <c r="F959"/>
      <c r="N959" s="261">
        <v>955</v>
      </c>
      <c r="O959" s="262">
        <v>10726.92</v>
      </c>
      <c r="AC959" s="261">
        <v>955</v>
      </c>
      <c r="AD959" s="262">
        <v>24404.060000000194</v>
      </c>
      <c r="AF959" s="261">
        <v>955</v>
      </c>
      <c r="AG959" s="262">
        <v>65271.43</v>
      </c>
      <c r="AI959" s="261">
        <v>955</v>
      </c>
      <c r="AJ959" s="262">
        <v>27378</v>
      </c>
      <c r="AL959" s="261"/>
      <c r="AM959" s="262"/>
    </row>
    <row r="960" spans="2:39" ht="12.75" customHeight="1">
      <c r="B960" s="261" t="s">
        <v>1242</v>
      </c>
      <c r="C960" s="261">
        <v>30391</v>
      </c>
      <c r="E960"/>
      <c r="F960"/>
      <c r="N960" s="261">
        <v>956</v>
      </c>
      <c r="O960" s="262">
        <v>10738.02</v>
      </c>
      <c r="AC960" s="261">
        <v>956</v>
      </c>
      <c r="AD960" s="262">
        <v>24429.750000000196</v>
      </c>
      <c r="AF960" s="261">
        <v>956</v>
      </c>
      <c r="AG960" s="262">
        <v>65339.9</v>
      </c>
      <c r="AI960" s="261">
        <v>956</v>
      </c>
      <c r="AJ960" s="262">
        <v>27407</v>
      </c>
      <c r="AL960" s="261"/>
      <c r="AM960" s="262"/>
    </row>
    <row r="961" spans="2:39" ht="12.75" customHeight="1">
      <c r="B961" s="261" t="s">
        <v>1243</v>
      </c>
      <c r="C961" s="261">
        <v>30423</v>
      </c>
      <c r="E961"/>
      <c r="F961"/>
      <c r="N961" s="261">
        <v>957</v>
      </c>
      <c r="O961" s="262">
        <v>10749.13</v>
      </c>
      <c r="AC961" s="261">
        <v>957</v>
      </c>
      <c r="AD961" s="262">
        <v>24455.450000000197</v>
      </c>
      <c r="AF961" s="261">
        <v>957</v>
      </c>
      <c r="AG961" s="262">
        <v>65408.38</v>
      </c>
      <c r="AI961" s="261">
        <v>957</v>
      </c>
      <c r="AJ961" s="262">
        <v>27435</v>
      </c>
      <c r="AL961" s="261"/>
      <c r="AM961" s="262"/>
    </row>
    <row r="962" spans="2:39" ht="12.75" customHeight="1">
      <c r="B962" s="261" t="s">
        <v>1244</v>
      </c>
      <c r="C962" s="261">
        <v>30454</v>
      </c>
      <c r="E962"/>
      <c r="F962"/>
      <c r="N962" s="261">
        <v>958</v>
      </c>
      <c r="O962" s="262">
        <v>10760.24</v>
      </c>
      <c r="AC962" s="261">
        <v>958</v>
      </c>
      <c r="AD962" s="262">
        <v>24481.150000000198</v>
      </c>
      <c r="AF962" s="261">
        <v>958</v>
      </c>
      <c r="AG962" s="262">
        <v>65476.85</v>
      </c>
      <c r="AI962" s="261">
        <v>958</v>
      </c>
      <c r="AJ962" s="262">
        <v>27464</v>
      </c>
      <c r="AL962" s="261"/>
      <c r="AM962" s="262"/>
    </row>
    <row r="963" spans="2:39" ht="12.75" customHeight="1">
      <c r="B963" s="261" t="s">
        <v>1245</v>
      </c>
      <c r="C963" s="261">
        <v>30486</v>
      </c>
      <c r="E963"/>
      <c r="F963"/>
      <c r="N963" s="261">
        <v>959</v>
      </c>
      <c r="O963" s="262">
        <v>10771.35</v>
      </c>
      <c r="AC963" s="261">
        <v>959</v>
      </c>
      <c r="AD963" s="262">
        <v>24506.8400000002</v>
      </c>
      <c r="AF963" s="261">
        <v>959</v>
      </c>
      <c r="AG963" s="262">
        <v>65545.320000000007</v>
      </c>
      <c r="AI963" s="261">
        <v>959</v>
      </c>
      <c r="AJ963" s="262">
        <v>27492</v>
      </c>
      <c r="AL963" s="261"/>
      <c r="AM963" s="262"/>
    </row>
    <row r="964" spans="2:39" ht="12.75" customHeight="1">
      <c r="B964" s="261" t="s">
        <v>1246</v>
      </c>
      <c r="C964" s="261">
        <v>30517</v>
      </c>
      <c r="E964"/>
      <c r="F964"/>
      <c r="N964" s="261">
        <v>960</v>
      </c>
      <c r="O964" s="262">
        <v>10782.46</v>
      </c>
      <c r="AC964" s="261">
        <v>960</v>
      </c>
      <c r="AD964" s="262">
        <v>24532.540000000197</v>
      </c>
      <c r="AF964" s="261">
        <v>960</v>
      </c>
      <c r="AG964" s="262">
        <v>65613.8</v>
      </c>
      <c r="AI964" s="261">
        <v>960</v>
      </c>
      <c r="AJ964" s="262">
        <v>27520</v>
      </c>
      <c r="AL964" s="261"/>
      <c r="AM964" s="262"/>
    </row>
    <row r="965" spans="2:39" ht="12.75" customHeight="1">
      <c r="B965" s="261">
        <v>40</v>
      </c>
      <c r="C965" s="261">
        <v>30549</v>
      </c>
      <c r="E965"/>
      <c r="F965"/>
      <c r="N965" s="261">
        <v>961</v>
      </c>
      <c r="O965" s="262">
        <v>10793.56</v>
      </c>
      <c r="AC965" s="261">
        <v>961</v>
      </c>
      <c r="AD965" s="262">
        <v>24558.2300000002</v>
      </c>
      <c r="AF965" s="261">
        <v>961</v>
      </c>
      <c r="AG965" s="262">
        <v>65682.27</v>
      </c>
      <c r="AI965" s="261">
        <v>961</v>
      </c>
      <c r="AJ965" s="262">
        <v>27549</v>
      </c>
      <c r="AL965" s="261"/>
      <c r="AM965" s="262"/>
    </row>
    <row r="966" spans="2:39" ht="12.75" customHeight="1">
      <c r="N966" s="261">
        <v>962</v>
      </c>
      <c r="O966" s="262">
        <v>10804.67</v>
      </c>
      <c r="AC966" s="261">
        <v>962</v>
      </c>
      <c r="AD966" s="262">
        <v>24583.9300000002</v>
      </c>
      <c r="AF966" s="261">
        <v>962</v>
      </c>
      <c r="AG966" s="262">
        <v>65750.740000000005</v>
      </c>
      <c r="AI966" s="261">
        <v>962</v>
      </c>
      <c r="AJ966" s="262">
        <v>27577</v>
      </c>
      <c r="AL966" s="261"/>
      <c r="AM966" s="262"/>
    </row>
    <row r="967" spans="2:39" ht="12.75" customHeight="1">
      <c r="N967" s="261">
        <v>963</v>
      </c>
      <c r="O967" s="262">
        <v>10815.78</v>
      </c>
      <c r="AC967" s="261">
        <v>963</v>
      </c>
      <c r="AD967" s="262">
        <v>24609.630000000201</v>
      </c>
      <c r="AF967" s="261">
        <v>963</v>
      </c>
      <c r="AG967" s="262">
        <v>65819.210000000006</v>
      </c>
      <c r="AI967" s="261">
        <v>963</v>
      </c>
      <c r="AJ967" s="262">
        <v>27606</v>
      </c>
      <c r="AL967" s="261"/>
      <c r="AM967" s="262"/>
    </row>
    <row r="968" spans="2:39" ht="12.75" customHeight="1">
      <c r="N968" s="261">
        <v>964</v>
      </c>
      <c r="O968" s="262">
        <v>10826.89</v>
      </c>
      <c r="AC968" s="261">
        <v>964</v>
      </c>
      <c r="AD968" s="262">
        <v>24635.320000000203</v>
      </c>
      <c r="AF968" s="261">
        <v>964</v>
      </c>
      <c r="AG968" s="262">
        <v>65887.69</v>
      </c>
      <c r="AI968" s="261">
        <v>964</v>
      </c>
      <c r="AJ968" s="262">
        <v>27634</v>
      </c>
      <c r="AL968" s="261"/>
      <c r="AM968" s="262"/>
    </row>
    <row r="969" spans="2:39" ht="12.75" customHeight="1">
      <c r="N969" s="261">
        <v>965</v>
      </c>
      <c r="O969" s="262">
        <v>10838</v>
      </c>
      <c r="AC969" s="261">
        <v>965</v>
      </c>
      <c r="AD969" s="262">
        <v>24661.020000000201</v>
      </c>
      <c r="AF969" s="261">
        <v>965</v>
      </c>
      <c r="AG969" s="262">
        <v>65956.19</v>
      </c>
      <c r="AI969" s="261">
        <v>965</v>
      </c>
      <c r="AJ969" s="262">
        <v>27662</v>
      </c>
      <c r="AL969" s="261"/>
      <c r="AM969" s="262"/>
    </row>
    <row r="970" spans="2:39" ht="12.75" customHeight="1">
      <c r="N970" s="261">
        <v>966</v>
      </c>
      <c r="O970" s="262">
        <v>10849.1</v>
      </c>
      <c r="AC970" s="261">
        <v>966</v>
      </c>
      <c r="AD970" s="262">
        <v>24686.710000000203</v>
      </c>
      <c r="AF970" s="261">
        <v>966</v>
      </c>
      <c r="AG970" s="262">
        <v>66024.7</v>
      </c>
      <c r="AI970" s="261">
        <v>966</v>
      </c>
      <c r="AJ970" s="262">
        <v>27691</v>
      </c>
      <c r="AL970" s="261"/>
      <c r="AM970" s="262"/>
    </row>
    <row r="971" spans="2:39" ht="12.75" customHeight="1">
      <c r="N971" s="261">
        <v>967</v>
      </c>
      <c r="O971" s="262">
        <v>10860.21</v>
      </c>
      <c r="AC971" s="261">
        <v>967</v>
      </c>
      <c r="AD971" s="262">
        <v>24712.410000000204</v>
      </c>
      <c r="AF971" s="261">
        <v>967</v>
      </c>
      <c r="AG971" s="262">
        <v>66093.2</v>
      </c>
      <c r="AI971" s="261">
        <v>967</v>
      </c>
      <c r="AJ971" s="262">
        <v>27719</v>
      </c>
      <c r="AL971" s="261"/>
      <c r="AM971" s="262"/>
    </row>
    <row r="972" spans="2:39" ht="12.75" customHeight="1">
      <c r="N972" s="261">
        <v>968</v>
      </c>
      <c r="O972" s="262">
        <v>10871.32</v>
      </c>
      <c r="AC972" s="261">
        <v>968</v>
      </c>
      <c r="AD972" s="262">
        <v>24738.110000000204</v>
      </c>
      <c r="AF972" s="261">
        <v>968</v>
      </c>
      <c r="AG972" s="262">
        <v>66161.7</v>
      </c>
      <c r="AI972" s="261">
        <v>968</v>
      </c>
      <c r="AJ972" s="262">
        <v>27748</v>
      </c>
      <c r="AL972" s="261"/>
      <c r="AM972" s="262"/>
    </row>
    <row r="973" spans="2:39" ht="12.75" customHeight="1">
      <c r="N973" s="261">
        <v>969</v>
      </c>
      <c r="O973" s="262">
        <v>10882.43</v>
      </c>
      <c r="AC973" s="261">
        <v>969</v>
      </c>
      <c r="AD973" s="262">
        <v>24763.800000000207</v>
      </c>
      <c r="AF973" s="261">
        <v>969</v>
      </c>
      <c r="AG973" s="262">
        <v>66230.210000000006</v>
      </c>
      <c r="AI973" s="261">
        <v>969</v>
      </c>
      <c r="AJ973" s="262">
        <v>27776</v>
      </c>
      <c r="AL973" s="261"/>
      <c r="AM973" s="262"/>
    </row>
    <row r="974" spans="2:39" ht="12.75" customHeight="1">
      <c r="N974" s="261">
        <v>970</v>
      </c>
      <c r="O974" s="262">
        <v>10893.54</v>
      </c>
      <c r="AC974" s="261">
        <v>970</v>
      </c>
      <c r="AD974" s="262">
        <v>24789.500000000204</v>
      </c>
      <c r="AF974" s="261">
        <v>970</v>
      </c>
      <c r="AG974" s="262">
        <v>66298.710000000006</v>
      </c>
      <c r="AI974" s="261">
        <v>970</v>
      </c>
      <c r="AJ974" s="262">
        <v>27804</v>
      </c>
      <c r="AL974" s="261"/>
      <c r="AM974" s="262"/>
    </row>
    <row r="975" spans="2:39" ht="12.75" customHeight="1">
      <c r="N975" s="261">
        <v>971</v>
      </c>
      <c r="O975" s="262">
        <v>10904.64</v>
      </c>
      <c r="AC975" s="261">
        <v>971</v>
      </c>
      <c r="AD975" s="262">
        <v>24815.190000000206</v>
      </c>
      <c r="AF975" s="261">
        <v>971</v>
      </c>
      <c r="AG975" s="262">
        <v>66367.22</v>
      </c>
      <c r="AI975" s="261">
        <v>971</v>
      </c>
      <c r="AJ975" s="262">
        <v>27833</v>
      </c>
      <c r="AL975" s="261"/>
      <c r="AM975" s="262"/>
    </row>
    <row r="976" spans="2:39" ht="12.75" customHeight="1">
      <c r="N976" s="261">
        <v>972</v>
      </c>
      <c r="O976" s="262">
        <v>10915.75</v>
      </c>
      <c r="AC976" s="261">
        <v>972</v>
      </c>
      <c r="AD976" s="262">
        <v>24840.890000000207</v>
      </c>
      <c r="AF976" s="261">
        <v>972</v>
      </c>
      <c r="AG976" s="262">
        <v>66435.72</v>
      </c>
      <c r="AI976" s="261">
        <v>972</v>
      </c>
      <c r="AJ976" s="262">
        <v>27861</v>
      </c>
      <c r="AL976" s="261"/>
      <c r="AM976" s="262"/>
    </row>
    <row r="977" spans="14:39" ht="12.75" customHeight="1">
      <c r="N977" s="261">
        <v>973</v>
      </c>
      <c r="O977" s="262">
        <v>10926.86</v>
      </c>
      <c r="AC977" s="261">
        <v>973</v>
      </c>
      <c r="AD977" s="262">
        <v>24866.590000000208</v>
      </c>
      <c r="AF977" s="261">
        <v>973</v>
      </c>
      <c r="AG977" s="262">
        <v>66504.22</v>
      </c>
      <c r="AI977" s="261">
        <v>973</v>
      </c>
      <c r="AJ977" s="262">
        <v>27890</v>
      </c>
      <c r="AL977" s="261"/>
      <c r="AM977" s="262"/>
    </row>
    <row r="978" spans="14:39" ht="12.75" customHeight="1">
      <c r="N978" s="261">
        <v>974</v>
      </c>
      <c r="O978" s="262">
        <v>10937.97</v>
      </c>
      <c r="AC978" s="261">
        <v>974</v>
      </c>
      <c r="AD978" s="262">
        <v>24892.28000000021</v>
      </c>
      <c r="AF978" s="261">
        <v>974</v>
      </c>
      <c r="AG978" s="262">
        <v>66572.73</v>
      </c>
      <c r="AI978" s="261">
        <v>974</v>
      </c>
      <c r="AJ978" s="262">
        <v>27918</v>
      </c>
      <c r="AL978" s="261"/>
      <c r="AM978" s="262"/>
    </row>
    <row r="979" spans="14:39" ht="12.75" customHeight="1">
      <c r="N979" s="261">
        <v>975</v>
      </c>
      <c r="O979" s="262">
        <v>10949.08</v>
      </c>
      <c r="AC979" s="261">
        <v>975</v>
      </c>
      <c r="AD979" s="262">
        <v>24917.980000000207</v>
      </c>
      <c r="AF979" s="261">
        <v>975</v>
      </c>
      <c r="AG979" s="262">
        <v>66641.23</v>
      </c>
      <c r="AI979" s="261">
        <v>975</v>
      </c>
      <c r="AJ979" s="262">
        <v>27946</v>
      </c>
      <c r="AL979" s="261"/>
      <c r="AM979" s="262"/>
    </row>
    <row r="980" spans="14:39" ht="12.75" customHeight="1">
      <c r="N980" s="261">
        <v>976</v>
      </c>
      <c r="O980" s="262">
        <v>10960.18</v>
      </c>
      <c r="AC980" s="261">
        <v>976</v>
      </c>
      <c r="AD980" s="262">
        <v>24943.670000000209</v>
      </c>
      <c r="AF980" s="261">
        <v>976</v>
      </c>
      <c r="AG980" s="262">
        <v>66709.740000000005</v>
      </c>
      <c r="AI980" s="261">
        <v>976</v>
      </c>
      <c r="AJ980" s="262">
        <v>27975</v>
      </c>
      <c r="AL980" s="261"/>
      <c r="AM980" s="262"/>
    </row>
    <row r="981" spans="14:39" ht="12.75" customHeight="1">
      <c r="N981" s="261">
        <v>977</v>
      </c>
      <c r="O981" s="262">
        <v>10971.29</v>
      </c>
      <c r="AC981" s="261">
        <v>977</v>
      </c>
      <c r="AD981" s="262">
        <v>24969.37000000021</v>
      </c>
      <c r="AF981" s="261">
        <v>977</v>
      </c>
      <c r="AG981" s="262">
        <v>66778.240000000005</v>
      </c>
      <c r="AI981" s="261">
        <v>977</v>
      </c>
      <c r="AJ981" s="262">
        <v>28003</v>
      </c>
      <c r="AL981" s="261"/>
      <c r="AM981" s="262"/>
    </row>
    <row r="982" spans="14:39" ht="12.75" customHeight="1">
      <c r="N982" s="261">
        <v>978</v>
      </c>
      <c r="O982" s="262">
        <v>10982.4</v>
      </c>
      <c r="AC982" s="261">
        <v>978</v>
      </c>
      <c r="AD982" s="262">
        <v>24995.070000000211</v>
      </c>
      <c r="AF982" s="261">
        <v>978</v>
      </c>
      <c r="AG982" s="262">
        <v>66846.740000000005</v>
      </c>
      <c r="AI982" s="261">
        <v>978</v>
      </c>
      <c r="AJ982" s="262">
        <v>28032</v>
      </c>
      <c r="AL982" s="261"/>
      <c r="AM982" s="262"/>
    </row>
    <row r="983" spans="14:39" ht="12.75" customHeight="1">
      <c r="N983" s="261">
        <v>979</v>
      </c>
      <c r="O983" s="262">
        <v>10993.51</v>
      </c>
      <c r="AC983" s="261">
        <v>979</v>
      </c>
      <c r="AD983" s="262">
        <v>25020.760000000213</v>
      </c>
      <c r="AF983" s="261">
        <v>979</v>
      </c>
      <c r="AG983" s="262">
        <v>66915.25</v>
      </c>
      <c r="AI983" s="261">
        <v>979</v>
      </c>
      <c r="AJ983" s="262">
        <v>28060</v>
      </c>
      <c r="AL983" s="261"/>
      <c r="AM983" s="262"/>
    </row>
    <row r="984" spans="14:39" ht="12.75" customHeight="1">
      <c r="N984" s="261">
        <v>980</v>
      </c>
      <c r="O984" s="262">
        <v>11004.62</v>
      </c>
      <c r="AC984" s="261">
        <v>980</v>
      </c>
      <c r="AD984" s="262">
        <v>25046.46000000021</v>
      </c>
      <c r="AF984" s="261">
        <v>980</v>
      </c>
      <c r="AG984" s="262">
        <v>66983.75</v>
      </c>
      <c r="AI984" s="261">
        <v>980</v>
      </c>
      <c r="AJ984" s="262">
        <v>28088</v>
      </c>
      <c r="AL984" s="261"/>
      <c r="AM984" s="262"/>
    </row>
    <row r="985" spans="14:39" ht="12.75" customHeight="1">
      <c r="N985" s="261">
        <v>981</v>
      </c>
      <c r="O985" s="262">
        <v>11015.72</v>
      </c>
      <c r="AC985" s="261">
        <v>981</v>
      </c>
      <c r="AD985" s="262">
        <v>25072.150000000212</v>
      </c>
      <c r="AF985" s="261">
        <v>981</v>
      </c>
      <c r="AG985" s="262">
        <v>67052.259999999995</v>
      </c>
      <c r="AI985" s="261">
        <v>981</v>
      </c>
      <c r="AJ985" s="262">
        <v>28117</v>
      </c>
      <c r="AL985" s="261"/>
      <c r="AM985" s="262"/>
    </row>
    <row r="986" spans="14:39" ht="12.75" customHeight="1">
      <c r="N986" s="261">
        <v>982</v>
      </c>
      <c r="O986" s="262">
        <v>11026.83</v>
      </c>
      <c r="AC986" s="261">
        <v>982</v>
      </c>
      <c r="AD986" s="262">
        <v>25097.850000000213</v>
      </c>
      <c r="AF986" s="261">
        <v>982</v>
      </c>
      <c r="AG986" s="262">
        <v>67120.759999999995</v>
      </c>
      <c r="AI986" s="261">
        <v>982</v>
      </c>
      <c r="AJ986" s="262">
        <v>28145</v>
      </c>
      <c r="AL986" s="261"/>
      <c r="AM986" s="262"/>
    </row>
    <row r="987" spans="14:39" ht="12.75" customHeight="1">
      <c r="N987" s="261">
        <v>983</v>
      </c>
      <c r="O987" s="262">
        <v>11037.94</v>
      </c>
      <c r="AC987" s="261">
        <v>983</v>
      </c>
      <c r="AD987" s="262">
        <v>25123.550000000214</v>
      </c>
      <c r="AF987" s="261">
        <v>983</v>
      </c>
      <c r="AG987" s="262">
        <v>67189.259999999995</v>
      </c>
      <c r="AI987" s="261">
        <v>983</v>
      </c>
      <c r="AJ987" s="262">
        <v>28174</v>
      </c>
      <c r="AL987" s="261"/>
      <c r="AM987" s="262"/>
    </row>
    <row r="988" spans="14:39" ht="12.75" customHeight="1">
      <c r="N988" s="261">
        <v>984</v>
      </c>
      <c r="O988" s="262">
        <v>11049.05</v>
      </c>
      <c r="AC988" s="261">
        <v>984</v>
      </c>
      <c r="AD988" s="262">
        <v>25149.240000000216</v>
      </c>
      <c r="AF988" s="261">
        <v>984</v>
      </c>
      <c r="AG988" s="262">
        <v>67257.77</v>
      </c>
      <c r="AI988" s="261">
        <v>984</v>
      </c>
      <c r="AJ988" s="262">
        <v>28202</v>
      </c>
      <c r="AL988" s="261"/>
      <c r="AM988" s="262"/>
    </row>
    <row r="989" spans="14:39" ht="12.75" customHeight="1">
      <c r="N989" s="261">
        <v>985</v>
      </c>
      <c r="O989" s="262">
        <v>11060.16</v>
      </c>
      <c r="AC989" s="261">
        <v>985</v>
      </c>
      <c r="AD989" s="262">
        <v>25174.940000000213</v>
      </c>
      <c r="AF989" s="261">
        <v>985</v>
      </c>
      <c r="AG989" s="262">
        <v>67326.27</v>
      </c>
      <c r="AI989" s="261">
        <v>985</v>
      </c>
      <c r="AJ989" s="262">
        <v>28230</v>
      </c>
      <c r="AL989" s="261"/>
      <c r="AM989" s="262"/>
    </row>
    <row r="990" spans="14:39" ht="12.75" customHeight="1">
      <c r="N990" s="261">
        <v>986</v>
      </c>
      <c r="O990" s="262">
        <v>11071.26</v>
      </c>
      <c r="AC990" s="261">
        <v>986</v>
      </c>
      <c r="AD990" s="262">
        <v>25200.630000000216</v>
      </c>
      <c r="AF990" s="261">
        <v>986</v>
      </c>
      <c r="AG990" s="262">
        <v>67394.78</v>
      </c>
      <c r="AI990" s="261">
        <v>986</v>
      </c>
      <c r="AJ990" s="262">
        <v>28259</v>
      </c>
      <c r="AL990" s="261"/>
      <c r="AM990" s="262"/>
    </row>
    <row r="991" spans="14:39" ht="12.75" customHeight="1">
      <c r="N991" s="261">
        <v>987</v>
      </c>
      <c r="O991" s="262">
        <v>11082.37</v>
      </c>
      <c r="AC991" s="261">
        <v>987</v>
      </c>
      <c r="AD991" s="262">
        <v>25226.330000000216</v>
      </c>
      <c r="AF991" s="261">
        <v>987</v>
      </c>
      <c r="AG991" s="262">
        <v>67463.28</v>
      </c>
      <c r="AI991" s="261">
        <v>987</v>
      </c>
      <c r="AJ991" s="262">
        <v>28287</v>
      </c>
      <c r="AL991" s="261"/>
      <c r="AM991" s="262"/>
    </row>
    <row r="992" spans="14:39" ht="12.75" customHeight="1">
      <c r="N992" s="261">
        <v>988</v>
      </c>
      <c r="O992" s="262">
        <v>11093.48</v>
      </c>
      <c r="AC992" s="261">
        <v>988</v>
      </c>
      <c r="AD992" s="262">
        <v>25252.030000000217</v>
      </c>
      <c r="AF992" s="261">
        <v>988</v>
      </c>
      <c r="AG992" s="262">
        <v>67531.78</v>
      </c>
      <c r="AI992" s="261">
        <v>988</v>
      </c>
      <c r="AJ992" s="262">
        <v>28316</v>
      </c>
      <c r="AL992" s="261"/>
      <c r="AM992" s="262"/>
    </row>
    <row r="993" spans="14:39" ht="12.75" customHeight="1">
      <c r="N993" s="261">
        <v>989</v>
      </c>
      <c r="O993" s="262">
        <v>11104.59</v>
      </c>
      <c r="AC993" s="261">
        <v>989</v>
      </c>
      <c r="AD993" s="262">
        <v>25277.720000000219</v>
      </c>
      <c r="AF993" s="261">
        <v>989</v>
      </c>
      <c r="AG993" s="262">
        <v>67600.289999999994</v>
      </c>
      <c r="AI993" s="261">
        <v>989</v>
      </c>
      <c r="AJ993" s="262">
        <v>28344</v>
      </c>
      <c r="AL993" s="261"/>
      <c r="AM993" s="262"/>
    </row>
    <row r="994" spans="14:39" ht="12.75" customHeight="1">
      <c r="N994" s="261">
        <v>990</v>
      </c>
      <c r="O994" s="262">
        <v>11115.7</v>
      </c>
      <c r="AC994" s="261">
        <v>990</v>
      </c>
      <c r="AD994" s="262">
        <v>25303.420000000217</v>
      </c>
      <c r="AF994" s="261">
        <v>990</v>
      </c>
      <c r="AG994" s="262">
        <v>67668.789999999994</v>
      </c>
      <c r="AI994" s="261">
        <v>990</v>
      </c>
      <c r="AJ994" s="262">
        <v>28372</v>
      </c>
      <c r="AL994" s="261"/>
      <c r="AM994" s="262"/>
    </row>
    <row r="995" spans="14:39" ht="12.75" customHeight="1">
      <c r="N995" s="261">
        <v>991</v>
      </c>
      <c r="O995" s="262">
        <v>11126.81</v>
      </c>
      <c r="AC995" s="261">
        <v>991</v>
      </c>
      <c r="AD995" s="262">
        <v>25329.110000000219</v>
      </c>
      <c r="AF995" s="261">
        <v>991</v>
      </c>
      <c r="AG995" s="262">
        <v>67737.3</v>
      </c>
      <c r="AI995" s="261">
        <v>991</v>
      </c>
      <c r="AJ995" s="262">
        <v>28401</v>
      </c>
      <c r="AL995" s="261"/>
      <c r="AM995" s="262"/>
    </row>
    <row r="996" spans="14:39" ht="12.75" customHeight="1">
      <c r="N996" s="261">
        <v>992</v>
      </c>
      <c r="O996" s="262">
        <v>11137.92</v>
      </c>
      <c r="AC996" s="261">
        <v>992</v>
      </c>
      <c r="AD996" s="262">
        <v>25354.81000000022</v>
      </c>
      <c r="AF996" s="261">
        <v>992</v>
      </c>
      <c r="AG996" s="262">
        <v>67805.8</v>
      </c>
      <c r="AI996" s="261">
        <v>992</v>
      </c>
      <c r="AJ996" s="262">
        <v>28429</v>
      </c>
      <c r="AL996" s="261"/>
      <c r="AM996" s="262"/>
    </row>
    <row r="997" spans="14:39" ht="12.75" customHeight="1">
      <c r="N997" s="261">
        <v>993</v>
      </c>
      <c r="O997" s="262">
        <v>11149.04</v>
      </c>
      <c r="AC997" s="261">
        <v>993</v>
      </c>
      <c r="AD997" s="262">
        <v>25380.51000000022</v>
      </c>
      <c r="AF997" s="261">
        <v>993</v>
      </c>
      <c r="AG997" s="262">
        <v>67874.3</v>
      </c>
      <c r="AI997" s="261">
        <v>993</v>
      </c>
      <c r="AJ997" s="262">
        <v>28457</v>
      </c>
      <c r="AL997" s="261"/>
      <c r="AM997" s="262"/>
    </row>
    <row r="998" spans="14:39" ht="12.75" customHeight="1">
      <c r="N998" s="261">
        <v>994</v>
      </c>
      <c r="O998" s="262">
        <v>11160.15</v>
      </c>
      <c r="AC998" s="261">
        <v>994</v>
      </c>
      <c r="AD998" s="262">
        <v>25406.200000000223</v>
      </c>
      <c r="AF998" s="261">
        <v>994</v>
      </c>
      <c r="AG998" s="262">
        <v>67942.81</v>
      </c>
      <c r="AI998" s="261">
        <v>994</v>
      </c>
      <c r="AJ998" s="262">
        <v>28486</v>
      </c>
      <c r="AL998" s="261"/>
      <c r="AM998" s="262"/>
    </row>
    <row r="999" spans="14:39" ht="12.75" customHeight="1">
      <c r="N999" s="261">
        <v>995</v>
      </c>
      <c r="O999" s="262">
        <v>11171.26</v>
      </c>
      <c r="AC999" s="261">
        <v>995</v>
      </c>
      <c r="AD999" s="262">
        <v>25431.90000000022</v>
      </c>
      <c r="AF999" s="261">
        <v>995</v>
      </c>
      <c r="AG999" s="262">
        <v>68011.31</v>
      </c>
      <c r="AI999" s="261">
        <v>995</v>
      </c>
      <c r="AJ999" s="262">
        <v>28514</v>
      </c>
      <c r="AL999" s="261"/>
      <c r="AM999" s="262"/>
    </row>
    <row r="1000" spans="14:39" ht="12.75" customHeight="1">
      <c r="N1000" s="261">
        <v>996</v>
      </c>
      <c r="O1000" s="262">
        <v>11182.37</v>
      </c>
      <c r="AC1000" s="261">
        <v>996</v>
      </c>
      <c r="AD1000" s="262">
        <v>25457.590000000222</v>
      </c>
      <c r="AF1000" s="261">
        <v>996</v>
      </c>
      <c r="AG1000" s="262">
        <v>68079.820000000007</v>
      </c>
      <c r="AI1000" s="261">
        <v>996</v>
      </c>
      <c r="AJ1000" s="262">
        <v>28543</v>
      </c>
      <c r="AL1000" s="261"/>
      <c r="AM1000" s="262"/>
    </row>
    <row r="1001" spans="14:39" ht="12.75" customHeight="1">
      <c r="N1001" s="261">
        <v>997</v>
      </c>
      <c r="O1001" s="262">
        <v>11193.49</v>
      </c>
      <c r="AC1001" s="261">
        <v>997</v>
      </c>
      <c r="AD1001" s="262">
        <v>25483.290000000223</v>
      </c>
      <c r="AF1001" s="261">
        <v>997</v>
      </c>
      <c r="AG1001" s="262">
        <v>68148.320000000007</v>
      </c>
      <c r="AI1001" s="261">
        <v>997</v>
      </c>
      <c r="AJ1001" s="262">
        <v>28571</v>
      </c>
      <c r="AL1001" s="261"/>
      <c r="AM1001" s="262"/>
    </row>
    <row r="1002" spans="14:39" ht="12.75" customHeight="1">
      <c r="N1002" s="261">
        <v>998</v>
      </c>
      <c r="O1002" s="262">
        <v>11204.6</v>
      </c>
      <c r="AC1002" s="261">
        <v>998</v>
      </c>
      <c r="AD1002" s="262">
        <v>25508.990000000224</v>
      </c>
      <c r="AF1002" s="261">
        <v>998</v>
      </c>
      <c r="AG1002" s="262">
        <v>68216.820000000007</v>
      </c>
      <c r="AI1002" s="261">
        <v>998</v>
      </c>
      <c r="AJ1002" s="262">
        <v>28599</v>
      </c>
      <c r="AL1002" s="261"/>
      <c r="AM1002" s="262"/>
    </row>
    <row r="1003" spans="14:39" ht="12.75" customHeight="1">
      <c r="N1003" s="261">
        <v>999</v>
      </c>
      <c r="O1003" s="262">
        <v>11215.71</v>
      </c>
      <c r="AC1003" s="261">
        <v>999</v>
      </c>
      <c r="AD1003" s="262">
        <v>25534.680000000226</v>
      </c>
      <c r="AF1003" s="261">
        <v>999</v>
      </c>
      <c r="AG1003" s="262">
        <v>68285.33</v>
      </c>
      <c r="AI1003" s="261">
        <v>999</v>
      </c>
      <c r="AJ1003" s="262">
        <v>28628</v>
      </c>
      <c r="AL1003" s="261"/>
      <c r="AM1003" s="262"/>
    </row>
    <row r="1004" spans="14:39" ht="12.75" customHeight="1">
      <c r="N1004" s="261">
        <v>1000</v>
      </c>
      <c r="O1004" s="262">
        <v>11226.83</v>
      </c>
      <c r="AC1004" s="261">
        <v>1000</v>
      </c>
      <c r="AD1004" s="262">
        <v>25560.380000000223</v>
      </c>
      <c r="AF1004" s="261">
        <v>1000</v>
      </c>
      <c r="AG1004" s="262">
        <v>68353.83</v>
      </c>
      <c r="AI1004" s="261">
        <v>1000</v>
      </c>
      <c r="AJ1004" s="262">
        <v>28656</v>
      </c>
      <c r="AL1004" s="261"/>
      <c r="AM1004" s="262"/>
    </row>
    <row r="1005" spans="14:39" ht="12.75" customHeight="1">
      <c r="N1005" s="261">
        <v>1001</v>
      </c>
      <c r="O1005" s="262">
        <v>11237.94</v>
      </c>
      <c r="AC1005" s="261">
        <v>1001</v>
      </c>
      <c r="AD1005" s="262">
        <v>25586.070000000225</v>
      </c>
      <c r="AF1005" s="261">
        <v>1001</v>
      </c>
      <c r="AG1005" s="262">
        <v>68422.34</v>
      </c>
      <c r="AI1005" s="261">
        <v>1001</v>
      </c>
      <c r="AJ1005" s="262">
        <v>28685</v>
      </c>
      <c r="AL1005" s="261"/>
      <c r="AM1005" s="262"/>
    </row>
    <row r="1006" spans="14:39" ht="12.75" customHeight="1">
      <c r="N1006" s="261">
        <v>1002</v>
      </c>
      <c r="O1006" s="262">
        <v>11249.05</v>
      </c>
      <c r="AC1006" s="261">
        <v>1002</v>
      </c>
      <c r="AD1006" s="262">
        <v>25611.770000000226</v>
      </c>
      <c r="AF1006" s="261">
        <v>1002</v>
      </c>
      <c r="AG1006" s="262">
        <v>68490.84</v>
      </c>
      <c r="AI1006" s="261">
        <v>1002</v>
      </c>
      <c r="AJ1006" s="262">
        <v>28713</v>
      </c>
      <c r="AL1006" s="261"/>
      <c r="AM1006" s="262"/>
    </row>
    <row r="1007" spans="14:39" ht="12.75" customHeight="1">
      <c r="N1007" s="261">
        <v>1003</v>
      </c>
      <c r="O1007" s="262">
        <v>11260.17</v>
      </c>
      <c r="AC1007" s="261">
        <v>1003</v>
      </c>
      <c r="AD1007" s="262">
        <v>25637.470000000227</v>
      </c>
      <c r="AF1007" s="261">
        <v>1003</v>
      </c>
      <c r="AG1007" s="262">
        <v>68559.34</v>
      </c>
      <c r="AI1007" s="261">
        <v>1003</v>
      </c>
      <c r="AJ1007" s="262">
        <v>28741</v>
      </c>
      <c r="AL1007" s="261"/>
      <c r="AM1007" s="262"/>
    </row>
    <row r="1008" spans="14:39" ht="12.75" customHeight="1">
      <c r="N1008" s="261">
        <v>1004</v>
      </c>
      <c r="O1008" s="262">
        <v>11271.28</v>
      </c>
      <c r="AC1008" s="261">
        <v>1004</v>
      </c>
      <c r="AD1008" s="262">
        <v>25663.160000000229</v>
      </c>
      <c r="AF1008" s="261">
        <v>1004</v>
      </c>
      <c r="AG1008" s="262">
        <v>68627.850000000006</v>
      </c>
      <c r="AI1008" s="261">
        <v>1004</v>
      </c>
      <c r="AJ1008" s="262">
        <v>28770</v>
      </c>
      <c r="AL1008" s="261"/>
      <c r="AM1008" s="262"/>
    </row>
    <row r="1009" spans="14:39" ht="12.75" customHeight="1">
      <c r="N1009" s="261">
        <v>1005</v>
      </c>
      <c r="O1009" s="262">
        <v>11282.39</v>
      </c>
      <c r="AC1009" s="261">
        <v>1005</v>
      </c>
      <c r="AD1009" s="262">
        <v>25688.860000000226</v>
      </c>
      <c r="AF1009" s="261">
        <v>1005</v>
      </c>
      <c r="AG1009" s="262">
        <v>68696.350000000006</v>
      </c>
      <c r="AI1009" s="261">
        <v>1005</v>
      </c>
      <c r="AJ1009" s="262">
        <v>28798</v>
      </c>
      <c r="AL1009" s="261"/>
      <c r="AM1009" s="262"/>
    </row>
    <row r="1010" spans="14:39" ht="12.75" customHeight="1">
      <c r="N1010" s="261">
        <v>1006</v>
      </c>
      <c r="O1010" s="262">
        <v>11293.51</v>
      </c>
      <c r="AC1010" s="261">
        <v>1006</v>
      </c>
      <c r="AD1010" s="262">
        <v>25714.550000000228</v>
      </c>
      <c r="AF1010" s="261">
        <v>1006</v>
      </c>
      <c r="AG1010" s="262">
        <v>68764.86</v>
      </c>
      <c r="AI1010" s="261">
        <v>1006</v>
      </c>
      <c r="AJ1010" s="262">
        <v>28827</v>
      </c>
      <c r="AL1010" s="261"/>
      <c r="AM1010" s="262"/>
    </row>
    <row r="1011" spans="14:39" ht="12.75" customHeight="1">
      <c r="N1011" s="261">
        <v>1007</v>
      </c>
      <c r="O1011" s="262">
        <v>11304.62</v>
      </c>
      <c r="AC1011" s="261">
        <v>1007</v>
      </c>
      <c r="AD1011" s="262">
        <v>25740.250000000229</v>
      </c>
      <c r="AF1011" s="261">
        <v>1007</v>
      </c>
      <c r="AG1011" s="262">
        <v>68833.36</v>
      </c>
      <c r="AI1011" s="261">
        <v>1007</v>
      </c>
      <c r="AJ1011" s="262">
        <v>28855</v>
      </c>
      <c r="AL1011" s="261"/>
      <c r="AM1011" s="262"/>
    </row>
    <row r="1012" spans="14:39" ht="12.75" customHeight="1">
      <c r="N1012" s="261">
        <v>1008</v>
      </c>
      <c r="O1012" s="262">
        <v>11315.73</v>
      </c>
      <c r="AC1012" s="261">
        <v>1008</v>
      </c>
      <c r="AD1012" s="262">
        <v>25765.95000000023</v>
      </c>
      <c r="AF1012" s="261">
        <v>1008</v>
      </c>
      <c r="AG1012" s="262">
        <v>68901.86</v>
      </c>
      <c r="AI1012" s="261">
        <v>1008</v>
      </c>
      <c r="AJ1012" s="262">
        <v>28883</v>
      </c>
      <c r="AL1012" s="261"/>
      <c r="AM1012" s="262"/>
    </row>
    <row r="1013" spans="14:39" ht="12.75" customHeight="1">
      <c r="N1013" s="261">
        <v>1009</v>
      </c>
      <c r="O1013" s="262">
        <v>11326.84</v>
      </c>
      <c r="AC1013" s="261">
        <v>1009</v>
      </c>
      <c r="AD1013" s="262">
        <v>25791.640000000232</v>
      </c>
      <c r="AF1013" s="261">
        <v>1009</v>
      </c>
      <c r="AG1013" s="262">
        <v>68970.37</v>
      </c>
      <c r="AI1013" s="261">
        <v>1009</v>
      </c>
      <c r="AJ1013" s="262">
        <v>28912</v>
      </c>
      <c r="AL1013" s="261"/>
      <c r="AM1013" s="262"/>
    </row>
    <row r="1014" spans="14:39" ht="12.75" customHeight="1">
      <c r="N1014" s="261">
        <v>1010</v>
      </c>
      <c r="O1014" s="262">
        <v>11337.96</v>
      </c>
      <c r="AC1014" s="261">
        <v>1010</v>
      </c>
      <c r="AD1014" s="262">
        <v>25817.340000000229</v>
      </c>
      <c r="AF1014" s="261">
        <v>1010</v>
      </c>
      <c r="AG1014" s="262">
        <v>69038.87</v>
      </c>
      <c r="AI1014" s="261">
        <v>1010</v>
      </c>
      <c r="AJ1014" s="262">
        <v>28940</v>
      </c>
      <c r="AL1014" s="261"/>
      <c r="AM1014" s="262"/>
    </row>
    <row r="1015" spans="14:39" ht="12.75" customHeight="1">
      <c r="N1015" s="261">
        <v>1011</v>
      </c>
      <c r="O1015" s="262">
        <v>11349.07</v>
      </c>
      <c r="AC1015" s="261">
        <v>1011</v>
      </c>
      <c r="AD1015" s="262">
        <v>25843.030000000232</v>
      </c>
      <c r="AF1015" s="261">
        <v>1011</v>
      </c>
      <c r="AG1015" s="262">
        <v>69107.38</v>
      </c>
      <c r="AI1015" s="261">
        <v>1011</v>
      </c>
      <c r="AJ1015" s="262">
        <v>28969</v>
      </c>
      <c r="AL1015" s="261"/>
      <c r="AM1015" s="262"/>
    </row>
    <row r="1016" spans="14:39" ht="12.75" customHeight="1">
      <c r="N1016" s="261">
        <v>1012</v>
      </c>
      <c r="O1016" s="262">
        <v>11360.18</v>
      </c>
      <c r="AC1016" s="261">
        <v>1012</v>
      </c>
      <c r="AD1016" s="262">
        <v>25868.730000000232</v>
      </c>
      <c r="AF1016" s="261">
        <v>1012</v>
      </c>
      <c r="AG1016" s="262">
        <v>69175.88</v>
      </c>
      <c r="AI1016" s="261">
        <v>1012</v>
      </c>
      <c r="AJ1016" s="262">
        <v>28997</v>
      </c>
      <c r="AL1016" s="261"/>
      <c r="AM1016" s="262"/>
    </row>
    <row r="1017" spans="14:39" ht="12.75" customHeight="1">
      <c r="N1017" s="261">
        <v>1013</v>
      </c>
      <c r="O1017" s="262">
        <v>11371.3</v>
      </c>
      <c r="AC1017" s="261">
        <v>1013</v>
      </c>
      <c r="AD1017" s="262">
        <v>25894.430000000233</v>
      </c>
      <c r="AF1017" s="261">
        <v>1013</v>
      </c>
      <c r="AG1017" s="262">
        <v>69244.38</v>
      </c>
      <c r="AI1017" s="261">
        <v>1013</v>
      </c>
      <c r="AJ1017" s="262">
        <v>29025</v>
      </c>
      <c r="AL1017" s="261"/>
      <c r="AM1017" s="262"/>
    </row>
    <row r="1018" spans="14:39" ht="12.75" customHeight="1">
      <c r="N1018" s="261">
        <v>1014</v>
      </c>
      <c r="O1018" s="262">
        <v>11382.41</v>
      </c>
      <c r="AC1018" s="261">
        <v>1014</v>
      </c>
      <c r="AD1018" s="262">
        <v>25920.120000000235</v>
      </c>
      <c r="AF1018" s="261">
        <v>1014</v>
      </c>
      <c r="AG1018" s="262">
        <v>69312.89</v>
      </c>
      <c r="AI1018" s="261">
        <v>1014</v>
      </c>
      <c r="AJ1018" s="262">
        <v>29054</v>
      </c>
      <c r="AL1018" s="261"/>
      <c r="AM1018" s="262"/>
    </row>
    <row r="1019" spans="14:39" ht="12.75" customHeight="1">
      <c r="N1019" s="261">
        <v>1015</v>
      </c>
      <c r="O1019" s="262">
        <v>11393.52</v>
      </c>
      <c r="AC1019" s="261">
        <v>1015</v>
      </c>
      <c r="AD1019" s="262">
        <v>25945.820000000233</v>
      </c>
      <c r="AF1019" s="261">
        <v>1015</v>
      </c>
      <c r="AG1019" s="262">
        <v>69381.39</v>
      </c>
      <c r="AI1019" s="261">
        <v>1015</v>
      </c>
      <c r="AJ1019" s="262">
        <v>29082</v>
      </c>
      <c r="AL1019" s="261"/>
      <c r="AM1019" s="262"/>
    </row>
    <row r="1020" spans="14:39" ht="12.75" customHeight="1">
      <c r="N1020" s="261">
        <v>1016</v>
      </c>
      <c r="O1020" s="262">
        <v>11404.64</v>
      </c>
      <c r="AC1020" s="261">
        <v>1016</v>
      </c>
      <c r="AD1020" s="262">
        <v>25971.510000000235</v>
      </c>
      <c r="AF1020" s="261">
        <v>1016</v>
      </c>
      <c r="AG1020" s="262">
        <v>69449.899999999994</v>
      </c>
      <c r="AI1020" s="261">
        <v>1016</v>
      </c>
      <c r="AJ1020" s="262">
        <v>29111</v>
      </c>
      <c r="AL1020" s="261"/>
      <c r="AM1020" s="262"/>
    </row>
    <row r="1021" spans="14:39" ht="12.75" customHeight="1">
      <c r="N1021" s="261">
        <v>1017</v>
      </c>
      <c r="O1021" s="262">
        <v>11415.75</v>
      </c>
      <c r="AC1021" s="261">
        <v>1017</v>
      </c>
      <c r="AD1021" s="262">
        <v>25997.210000000236</v>
      </c>
      <c r="AF1021" s="261">
        <v>1017</v>
      </c>
      <c r="AG1021" s="262">
        <v>69518.399999999994</v>
      </c>
      <c r="AI1021" s="261">
        <v>1017</v>
      </c>
      <c r="AJ1021" s="262">
        <v>29139</v>
      </c>
      <c r="AL1021" s="261"/>
      <c r="AM1021" s="262"/>
    </row>
    <row r="1022" spans="14:39" ht="12.75" customHeight="1">
      <c r="N1022" s="261">
        <v>1018</v>
      </c>
      <c r="O1022" s="262">
        <v>11426.86</v>
      </c>
      <c r="AC1022" s="261">
        <v>1018</v>
      </c>
      <c r="AD1022" s="262">
        <v>26022.910000000236</v>
      </c>
      <c r="AF1022" s="261">
        <v>1018</v>
      </c>
      <c r="AG1022" s="262">
        <v>69586.899999999994</v>
      </c>
      <c r="AI1022" s="261">
        <v>1018</v>
      </c>
      <c r="AJ1022" s="262">
        <v>29167</v>
      </c>
      <c r="AL1022" s="261"/>
      <c r="AM1022" s="262"/>
    </row>
    <row r="1023" spans="14:39" ht="12.75" customHeight="1">
      <c r="N1023" s="261">
        <v>1019</v>
      </c>
      <c r="O1023" s="262">
        <v>11437.98</v>
      </c>
      <c r="AC1023" s="261">
        <v>1019</v>
      </c>
      <c r="AD1023" s="262">
        <v>26048.600000000239</v>
      </c>
      <c r="AF1023" s="261">
        <v>1019</v>
      </c>
      <c r="AG1023" s="262">
        <v>69655.41</v>
      </c>
      <c r="AI1023" s="261">
        <v>1019</v>
      </c>
      <c r="AJ1023" s="262">
        <v>29196</v>
      </c>
      <c r="AL1023" s="261"/>
      <c r="AM1023" s="262"/>
    </row>
    <row r="1024" spans="14:39" ht="12.75" customHeight="1">
      <c r="N1024" s="261">
        <v>1020</v>
      </c>
      <c r="O1024" s="262">
        <v>11449.09</v>
      </c>
      <c r="AC1024" s="261">
        <v>1020</v>
      </c>
      <c r="AD1024" s="262">
        <v>26074.300000000236</v>
      </c>
      <c r="AF1024" s="261">
        <v>1020</v>
      </c>
      <c r="AG1024" s="262">
        <v>69723.91</v>
      </c>
      <c r="AI1024" s="261">
        <v>1020</v>
      </c>
      <c r="AJ1024" s="262">
        <v>29224</v>
      </c>
      <c r="AL1024" s="261"/>
      <c r="AM1024" s="262"/>
    </row>
    <row r="1025" spans="14:39" ht="12.75" customHeight="1">
      <c r="N1025" s="261">
        <v>1021</v>
      </c>
      <c r="O1025" s="262">
        <v>11460.2</v>
      </c>
      <c r="AC1025" s="261">
        <v>1021</v>
      </c>
      <c r="AD1025" s="262">
        <v>26099.990000000238</v>
      </c>
      <c r="AF1025" s="261">
        <v>1021</v>
      </c>
      <c r="AG1025" s="262">
        <v>69792.42</v>
      </c>
      <c r="AI1025" s="261">
        <v>1021</v>
      </c>
      <c r="AJ1025" s="262">
        <v>29253</v>
      </c>
      <c r="AL1025" s="261"/>
      <c r="AM1025" s="262"/>
    </row>
    <row r="1026" spans="14:39" ht="12.75" customHeight="1">
      <c r="N1026" s="261">
        <v>1022</v>
      </c>
      <c r="O1026" s="262">
        <v>11471.32</v>
      </c>
      <c r="AC1026" s="261">
        <v>1022</v>
      </c>
      <c r="AD1026" s="262">
        <v>26125.690000000239</v>
      </c>
      <c r="AF1026" s="261">
        <v>1022</v>
      </c>
      <c r="AG1026" s="262">
        <v>69860.92</v>
      </c>
      <c r="AI1026" s="261">
        <v>1022</v>
      </c>
      <c r="AJ1026" s="262">
        <v>29281</v>
      </c>
      <c r="AL1026" s="261"/>
      <c r="AM1026" s="262"/>
    </row>
    <row r="1027" spans="14:39" ht="12.75" customHeight="1">
      <c r="N1027" s="261">
        <v>1023</v>
      </c>
      <c r="O1027" s="262">
        <v>11482.43</v>
      </c>
      <c r="AC1027" s="261">
        <v>1023</v>
      </c>
      <c r="AD1027" s="262">
        <v>26151.39000000024</v>
      </c>
      <c r="AF1027" s="261">
        <v>1023</v>
      </c>
      <c r="AG1027" s="262">
        <v>69929.42</v>
      </c>
      <c r="AI1027" s="261">
        <v>1023</v>
      </c>
      <c r="AJ1027" s="262">
        <v>29309</v>
      </c>
      <c r="AL1027" s="261"/>
      <c r="AM1027" s="262"/>
    </row>
    <row r="1028" spans="14:39" ht="12.75" customHeight="1">
      <c r="N1028" s="261">
        <v>1024</v>
      </c>
      <c r="O1028" s="262">
        <v>11493.54</v>
      </c>
      <c r="AC1028" s="261">
        <v>1024</v>
      </c>
      <c r="AD1028" s="262">
        <v>26177.080000000242</v>
      </c>
      <c r="AF1028" s="261">
        <v>1024</v>
      </c>
      <c r="AG1028" s="262">
        <v>69997.929999999993</v>
      </c>
      <c r="AI1028" s="261">
        <v>1024</v>
      </c>
      <c r="AJ1028" s="262">
        <v>29338</v>
      </c>
      <c r="AL1028" s="261"/>
      <c r="AM1028" s="262"/>
    </row>
    <row r="1029" spans="14:39" ht="12.75" customHeight="1">
      <c r="N1029" s="261">
        <v>1025</v>
      </c>
      <c r="O1029" s="262">
        <v>11504.65</v>
      </c>
      <c r="AC1029" s="261">
        <v>1025</v>
      </c>
      <c r="AD1029" s="262">
        <v>26202.780000000239</v>
      </c>
      <c r="AF1029" s="261">
        <v>1025</v>
      </c>
      <c r="AG1029" s="262">
        <v>70066.429999999993</v>
      </c>
      <c r="AI1029" s="261">
        <v>1025</v>
      </c>
      <c r="AJ1029" s="262">
        <v>29366</v>
      </c>
      <c r="AL1029" s="261"/>
      <c r="AM1029" s="262"/>
    </row>
    <row r="1030" spans="14:39" ht="12.75" customHeight="1">
      <c r="N1030" s="261">
        <v>1026</v>
      </c>
      <c r="O1030" s="262">
        <v>11515.77</v>
      </c>
      <c r="AC1030" s="261">
        <v>1026</v>
      </c>
      <c r="AD1030" s="262">
        <v>26228.470000000241</v>
      </c>
      <c r="AF1030" s="261">
        <v>1026</v>
      </c>
      <c r="AG1030" s="262">
        <v>70134.94</v>
      </c>
      <c r="AI1030" s="261">
        <v>1026</v>
      </c>
      <c r="AJ1030" s="262">
        <v>29395</v>
      </c>
      <c r="AL1030" s="261"/>
      <c r="AM1030" s="262"/>
    </row>
    <row r="1031" spans="14:39" ht="12.75" customHeight="1">
      <c r="N1031" s="261">
        <v>1027</v>
      </c>
      <c r="O1031" s="262">
        <v>11526.88</v>
      </c>
      <c r="AC1031" s="261">
        <v>1027</v>
      </c>
      <c r="AD1031" s="262">
        <v>26254.170000000242</v>
      </c>
      <c r="AF1031" s="261">
        <v>1027</v>
      </c>
      <c r="AG1031" s="262">
        <v>70203.44</v>
      </c>
      <c r="AI1031" s="261">
        <v>1027</v>
      </c>
      <c r="AJ1031" s="262">
        <v>29423</v>
      </c>
      <c r="AL1031" s="261"/>
      <c r="AM1031" s="262"/>
    </row>
    <row r="1032" spans="14:39" ht="12.75" customHeight="1">
      <c r="N1032" s="261">
        <v>1028</v>
      </c>
      <c r="O1032" s="262">
        <v>11537.99</v>
      </c>
      <c r="AC1032" s="261">
        <v>1028</v>
      </c>
      <c r="AD1032" s="262">
        <v>26279.870000000243</v>
      </c>
      <c r="AF1032" s="261">
        <v>1028</v>
      </c>
      <c r="AG1032" s="262">
        <v>70271.94</v>
      </c>
      <c r="AI1032" s="261">
        <v>1028</v>
      </c>
      <c r="AJ1032" s="262">
        <v>29451</v>
      </c>
      <c r="AL1032" s="261"/>
      <c r="AM1032" s="262"/>
    </row>
    <row r="1033" spans="14:39" ht="12.75" customHeight="1">
      <c r="N1033" s="261">
        <v>1029</v>
      </c>
      <c r="O1033" s="262">
        <v>11549.11</v>
      </c>
      <c r="AC1033" s="261">
        <v>1029</v>
      </c>
      <c r="AD1033" s="262">
        <v>26305.560000000245</v>
      </c>
      <c r="AF1033" s="261">
        <v>1029</v>
      </c>
      <c r="AG1033" s="262">
        <v>70340.45</v>
      </c>
      <c r="AI1033" s="261">
        <v>1029</v>
      </c>
      <c r="AJ1033" s="262">
        <v>29480</v>
      </c>
      <c r="AL1033" s="261"/>
      <c r="AM1033" s="262"/>
    </row>
    <row r="1034" spans="14:39" ht="12.75" customHeight="1">
      <c r="N1034" s="261">
        <v>1030</v>
      </c>
      <c r="O1034" s="262">
        <v>11560.22</v>
      </c>
      <c r="AC1034" s="261">
        <v>1030</v>
      </c>
      <c r="AD1034" s="262">
        <v>26331.260000000242</v>
      </c>
      <c r="AF1034" s="261">
        <v>1030</v>
      </c>
      <c r="AG1034" s="262">
        <v>70408.95</v>
      </c>
      <c r="AI1034" s="261">
        <v>1030</v>
      </c>
      <c r="AJ1034" s="262">
        <v>29508</v>
      </c>
      <c r="AL1034" s="261"/>
      <c r="AM1034" s="262"/>
    </row>
    <row r="1035" spans="14:39" ht="12.75" customHeight="1">
      <c r="N1035" s="261">
        <v>1031</v>
      </c>
      <c r="O1035" s="262">
        <v>11571.33</v>
      </c>
      <c r="AC1035" s="261">
        <v>1031</v>
      </c>
      <c r="AD1035" s="262">
        <v>26356.950000000244</v>
      </c>
      <c r="AF1035" s="261">
        <v>1031</v>
      </c>
      <c r="AG1035" s="262">
        <v>70477.460000000006</v>
      </c>
      <c r="AI1035" s="261">
        <v>1031</v>
      </c>
      <c r="AJ1035" s="262">
        <v>29537</v>
      </c>
      <c r="AL1035" s="261"/>
      <c r="AM1035" s="262"/>
    </row>
    <row r="1036" spans="14:39" ht="12.75" customHeight="1">
      <c r="N1036" s="261">
        <v>1032</v>
      </c>
      <c r="O1036" s="262">
        <v>11582.45</v>
      </c>
      <c r="AC1036" s="261">
        <v>1032</v>
      </c>
      <c r="AD1036" s="262">
        <v>26382.650000000245</v>
      </c>
      <c r="AF1036" s="261">
        <v>1032</v>
      </c>
      <c r="AG1036" s="262">
        <v>70545.960000000006</v>
      </c>
      <c r="AI1036" s="261">
        <v>1032</v>
      </c>
      <c r="AJ1036" s="262">
        <v>29565</v>
      </c>
      <c r="AL1036" s="261"/>
      <c r="AM1036" s="262"/>
    </row>
    <row r="1037" spans="14:39" ht="12.75" customHeight="1">
      <c r="N1037" s="261">
        <v>1033</v>
      </c>
      <c r="O1037" s="262">
        <v>11593.56</v>
      </c>
      <c r="AC1037" s="261">
        <v>1033</v>
      </c>
      <c r="AD1037" s="262">
        <v>26408.350000000246</v>
      </c>
      <c r="AF1037" s="261">
        <v>1033</v>
      </c>
      <c r="AG1037" s="262">
        <v>70614.460000000006</v>
      </c>
      <c r="AI1037" s="261">
        <v>1033</v>
      </c>
      <c r="AJ1037" s="262">
        <v>29593</v>
      </c>
      <c r="AL1037" s="261"/>
      <c r="AM1037" s="262"/>
    </row>
    <row r="1038" spans="14:39" ht="12.75" customHeight="1">
      <c r="N1038" s="261">
        <v>1034</v>
      </c>
      <c r="O1038" s="262">
        <v>11604.67</v>
      </c>
      <c r="AC1038" s="261">
        <v>1034</v>
      </c>
      <c r="AD1038" s="262">
        <v>26434.040000000248</v>
      </c>
      <c r="AF1038" s="261">
        <v>1034</v>
      </c>
      <c r="AG1038" s="262">
        <v>70682.97</v>
      </c>
      <c r="AI1038" s="261">
        <v>1034</v>
      </c>
      <c r="AJ1038" s="262">
        <v>29622</v>
      </c>
      <c r="AL1038" s="261"/>
      <c r="AM1038" s="262"/>
    </row>
    <row r="1039" spans="14:39" ht="12.75" customHeight="1">
      <c r="N1039" s="261">
        <v>1035</v>
      </c>
      <c r="O1039" s="262">
        <v>11615.79</v>
      </c>
      <c r="AC1039" s="261">
        <v>1035</v>
      </c>
      <c r="AD1039" s="262">
        <v>26459.740000000245</v>
      </c>
      <c r="AF1039" s="261">
        <v>1035</v>
      </c>
      <c r="AG1039" s="262">
        <v>70751.47</v>
      </c>
      <c r="AI1039" s="261">
        <v>1035</v>
      </c>
      <c r="AJ1039" s="262">
        <v>29650</v>
      </c>
      <c r="AL1039" s="261"/>
      <c r="AM1039" s="262"/>
    </row>
    <row r="1040" spans="14:39" ht="12.75" customHeight="1">
      <c r="N1040" s="261">
        <v>1036</v>
      </c>
      <c r="O1040" s="262">
        <v>11626.9</v>
      </c>
      <c r="AC1040" s="261">
        <v>1036</v>
      </c>
      <c r="AD1040" s="262">
        <v>26485.430000000248</v>
      </c>
      <c r="AF1040" s="261">
        <v>1036</v>
      </c>
      <c r="AG1040" s="262">
        <v>70819.98</v>
      </c>
      <c r="AI1040" s="261">
        <v>1036</v>
      </c>
      <c r="AJ1040" s="262">
        <v>29679</v>
      </c>
      <c r="AL1040" s="261"/>
      <c r="AM1040" s="262"/>
    </row>
    <row r="1041" spans="14:39" ht="12.75" customHeight="1">
      <c r="N1041" s="261">
        <v>1037</v>
      </c>
      <c r="O1041" s="262">
        <v>11638.01</v>
      </c>
      <c r="AC1041" s="261">
        <v>1037</v>
      </c>
      <c r="AD1041" s="262">
        <v>26511.130000000248</v>
      </c>
      <c r="AF1041" s="261">
        <v>1037</v>
      </c>
      <c r="AG1041" s="262">
        <v>70888.479999999996</v>
      </c>
      <c r="AI1041" s="261">
        <v>1037</v>
      </c>
      <c r="AJ1041" s="262">
        <v>29707</v>
      </c>
      <c r="AL1041" s="261"/>
      <c r="AM1041" s="262"/>
    </row>
    <row r="1042" spans="14:39" ht="12.75" customHeight="1">
      <c r="N1042" s="261">
        <v>1038</v>
      </c>
      <c r="O1042" s="262">
        <v>11649.12</v>
      </c>
      <c r="AC1042" s="261">
        <v>1038</v>
      </c>
      <c r="AD1042" s="262">
        <v>26536.830000000249</v>
      </c>
      <c r="AF1042" s="261">
        <v>1038</v>
      </c>
      <c r="AG1042" s="262">
        <v>70956.98</v>
      </c>
      <c r="AI1042" s="261">
        <v>1038</v>
      </c>
      <c r="AJ1042" s="262">
        <v>29735</v>
      </c>
      <c r="AL1042" s="261"/>
      <c r="AM1042" s="262"/>
    </row>
    <row r="1043" spans="14:39" ht="12.75" customHeight="1">
      <c r="N1043" s="261">
        <v>1039</v>
      </c>
      <c r="O1043" s="262">
        <v>11660.24</v>
      </c>
      <c r="AC1043" s="261">
        <v>1039</v>
      </c>
      <c r="AD1043" s="262">
        <v>26562.520000000251</v>
      </c>
      <c r="AF1043" s="261">
        <v>1039</v>
      </c>
      <c r="AG1043" s="262">
        <v>71025.490000000005</v>
      </c>
      <c r="AI1043" s="261">
        <v>1039</v>
      </c>
      <c r="AJ1043" s="262">
        <v>29764</v>
      </c>
      <c r="AL1043" s="261"/>
      <c r="AM1043" s="262"/>
    </row>
    <row r="1044" spans="14:39" ht="12.75" customHeight="1">
      <c r="N1044" s="261">
        <v>1040</v>
      </c>
      <c r="O1044" s="262">
        <v>11671.35</v>
      </c>
      <c r="AC1044" s="261">
        <v>1040</v>
      </c>
      <c r="AD1044" s="262">
        <v>26588.220000000249</v>
      </c>
      <c r="AF1044" s="261">
        <v>1040</v>
      </c>
      <c r="AG1044" s="262">
        <v>71093.990000000005</v>
      </c>
      <c r="AI1044" s="261">
        <v>1040</v>
      </c>
      <c r="AJ1044" s="262">
        <v>29792</v>
      </c>
      <c r="AL1044" s="261"/>
      <c r="AM1044" s="262"/>
    </row>
    <row r="1045" spans="14:39" ht="12.75" customHeight="1">
      <c r="N1045" s="261">
        <v>1041</v>
      </c>
      <c r="O1045" s="262">
        <v>11682.46</v>
      </c>
      <c r="AC1045" s="261">
        <v>1041</v>
      </c>
      <c r="AD1045" s="262">
        <v>26613.910000000251</v>
      </c>
      <c r="AF1045" s="261">
        <v>1041</v>
      </c>
      <c r="AG1045" s="262">
        <v>71162.5</v>
      </c>
      <c r="AI1045" s="261">
        <v>1041</v>
      </c>
      <c r="AJ1045" s="262">
        <v>29821</v>
      </c>
      <c r="AL1045" s="261"/>
      <c r="AM1045" s="262"/>
    </row>
    <row r="1046" spans="14:39" ht="12.75" customHeight="1">
      <c r="N1046" s="261">
        <v>1042</v>
      </c>
      <c r="O1046" s="262">
        <v>11693.58</v>
      </c>
      <c r="AC1046" s="261">
        <v>1042</v>
      </c>
      <c r="AD1046" s="262">
        <v>26639.610000000252</v>
      </c>
      <c r="AF1046" s="261">
        <v>1042</v>
      </c>
      <c r="AG1046" s="262">
        <v>71231</v>
      </c>
      <c r="AI1046" s="261">
        <v>1042</v>
      </c>
      <c r="AJ1046" s="262">
        <v>29849</v>
      </c>
      <c r="AL1046" s="261"/>
      <c r="AM1046" s="262"/>
    </row>
    <row r="1047" spans="14:39" ht="12.75" customHeight="1">
      <c r="N1047" s="261">
        <v>1043</v>
      </c>
      <c r="O1047" s="262">
        <v>11704.69</v>
      </c>
      <c r="AC1047" s="261">
        <v>1043</v>
      </c>
      <c r="AD1047" s="262">
        <v>26665.310000000252</v>
      </c>
      <c r="AF1047" s="261">
        <v>1043</v>
      </c>
      <c r="AG1047" s="262">
        <v>71299.5</v>
      </c>
      <c r="AI1047" s="261">
        <v>1043</v>
      </c>
      <c r="AJ1047" s="262">
        <v>29877</v>
      </c>
      <c r="AL1047" s="261"/>
      <c r="AM1047" s="262"/>
    </row>
    <row r="1048" spans="14:39" ht="12.75" customHeight="1">
      <c r="N1048" s="261">
        <v>1044</v>
      </c>
      <c r="O1048" s="262">
        <v>11715.8</v>
      </c>
      <c r="AC1048" s="261">
        <v>1044</v>
      </c>
      <c r="AD1048" s="262">
        <v>26691.000000000255</v>
      </c>
      <c r="AF1048" s="261">
        <v>1044</v>
      </c>
      <c r="AG1048" s="262">
        <v>71368.009999999995</v>
      </c>
      <c r="AI1048" s="261">
        <v>1044</v>
      </c>
      <c r="AJ1048" s="262">
        <v>29906</v>
      </c>
      <c r="AL1048" s="261"/>
      <c r="AM1048" s="262"/>
    </row>
    <row r="1049" spans="14:39" ht="12.75" customHeight="1">
      <c r="N1049" s="261">
        <v>1045</v>
      </c>
      <c r="O1049" s="262">
        <v>11726.92</v>
      </c>
      <c r="AC1049" s="261">
        <v>1045</v>
      </c>
      <c r="AD1049" s="262">
        <v>26716.700000000252</v>
      </c>
      <c r="AF1049" s="261">
        <v>1045</v>
      </c>
      <c r="AG1049" s="262">
        <v>71436.509999999995</v>
      </c>
      <c r="AI1049" s="261">
        <v>1045</v>
      </c>
      <c r="AJ1049" s="262">
        <v>29934</v>
      </c>
      <c r="AL1049" s="261"/>
      <c r="AM1049" s="262"/>
    </row>
    <row r="1050" spans="14:39" ht="12.75" customHeight="1">
      <c r="N1050" s="261">
        <v>1046</v>
      </c>
      <c r="O1050" s="262">
        <v>11738.03</v>
      </c>
      <c r="AC1050" s="261">
        <v>1046</v>
      </c>
      <c r="AD1050" s="262">
        <v>26742.390000000254</v>
      </c>
      <c r="AF1050" s="261">
        <v>1046</v>
      </c>
      <c r="AG1050" s="262">
        <v>71505.02</v>
      </c>
      <c r="AI1050" s="261">
        <v>1046</v>
      </c>
      <c r="AJ1050" s="262">
        <v>29963</v>
      </c>
      <c r="AL1050" s="261"/>
      <c r="AM1050" s="262"/>
    </row>
    <row r="1051" spans="14:39" ht="12.75" customHeight="1">
      <c r="N1051" s="261">
        <v>1047</v>
      </c>
      <c r="O1051" s="262">
        <v>11749.14</v>
      </c>
      <c r="AC1051" s="261">
        <v>1047</v>
      </c>
      <c r="AD1051" s="262">
        <v>26768.090000000255</v>
      </c>
      <c r="AF1051" s="261">
        <v>1047</v>
      </c>
      <c r="AG1051" s="262">
        <v>71573.52</v>
      </c>
      <c r="AI1051" s="261">
        <v>1047</v>
      </c>
      <c r="AJ1051" s="262">
        <v>29991</v>
      </c>
      <c r="AL1051" s="261"/>
      <c r="AM1051" s="262"/>
    </row>
    <row r="1052" spans="14:39" ht="12.75" customHeight="1">
      <c r="N1052" s="261">
        <v>1048</v>
      </c>
      <c r="O1052" s="262">
        <v>11760.26</v>
      </c>
      <c r="AC1052" s="261">
        <v>1048</v>
      </c>
      <c r="AD1052" s="262">
        <v>26793.790000000256</v>
      </c>
      <c r="AF1052" s="261">
        <v>1048</v>
      </c>
      <c r="AG1052" s="262">
        <v>71642.02</v>
      </c>
      <c r="AI1052" s="261">
        <v>1048</v>
      </c>
      <c r="AJ1052" s="262">
        <v>30019</v>
      </c>
      <c r="AL1052" s="261"/>
      <c r="AM1052" s="262"/>
    </row>
    <row r="1053" spans="14:39" ht="12.75" customHeight="1">
      <c r="N1053" s="261">
        <v>1049</v>
      </c>
      <c r="O1053" s="262">
        <v>11771.37</v>
      </c>
      <c r="AC1053" s="261">
        <v>1049</v>
      </c>
      <c r="AD1053" s="262">
        <v>26819.480000000258</v>
      </c>
      <c r="AF1053" s="261">
        <v>1049</v>
      </c>
      <c r="AG1053" s="262">
        <v>71710.53</v>
      </c>
      <c r="AI1053" s="261">
        <v>1049</v>
      </c>
      <c r="AJ1053" s="262">
        <v>30048</v>
      </c>
      <c r="AL1053" s="261"/>
      <c r="AM1053" s="262"/>
    </row>
    <row r="1054" spans="14:39" ht="12.75" customHeight="1">
      <c r="N1054" s="261">
        <v>1050</v>
      </c>
      <c r="O1054" s="262">
        <v>11782.48</v>
      </c>
      <c r="AC1054" s="261">
        <v>1050</v>
      </c>
      <c r="AD1054" s="262">
        <v>26845.180000000255</v>
      </c>
      <c r="AF1054" s="261">
        <v>1050</v>
      </c>
      <c r="AG1054" s="262">
        <v>71779.03</v>
      </c>
      <c r="AI1054" s="261">
        <v>1050</v>
      </c>
      <c r="AJ1054" s="262">
        <v>30076</v>
      </c>
      <c r="AL1054" s="261"/>
      <c r="AM1054" s="262"/>
    </row>
    <row r="1055" spans="14:39" ht="12.75" customHeight="1">
      <c r="N1055" s="261">
        <v>1051</v>
      </c>
      <c r="O1055" s="262">
        <v>11793.59</v>
      </c>
      <c r="AC1055" s="261">
        <v>1051</v>
      </c>
      <c r="AD1055" s="262">
        <v>26870.870000000257</v>
      </c>
      <c r="AF1055" s="261">
        <v>1051</v>
      </c>
      <c r="AG1055" s="262">
        <v>71847.539999999994</v>
      </c>
      <c r="AI1055" s="261">
        <v>1051</v>
      </c>
      <c r="AJ1055" s="262">
        <v>30104</v>
      </c>
      <c r="AL1055" s="261"/>
      <c r="AM1055" s="262"/>
    </row>
    <row r="1056" spans="14:39" ht="12.75" customHeight="1">
      <c r="N1056" s="261">
        <v>1052</v>
      </c>
      <c r="O1056" s="262">
        <v>11804.71</v>
      </c>
      <c r="AC1056" s="261">
        <v>1052</v>
      </c>
      <c r="AD1056" s="262">
        <v>26896.570000000258</v>
      </c>
      <c r="AF1056" s="261">
        <v>1052</v>
      </c>
      <c r="AG1056" s="262">
        <v>71916.039999999994</v>
      </c>
      <c r="AI1056" s="261">
        <v>1052</v>
      </c>
      <c r="AJ1056" s="262">
        <v>30133</v>
      </c>
      <c r="AL1056" s="261"/>
      <c r="AM1056" s="262"/>
    </row>
    <row r="1057" spans="14:39" ht="12.75" customHeight="1">
      <c r="N1057" s="261">
        <v>1053</v>
      </c>
      <c r="O1057" s="262">
        <v>11815.82</v>
      </c>
      <c r="AC1057" s="261">
        <v>1053</v>
      </c>
      <c r="AD1057" s="262">
        <v>26922.270000000259</v>
      </c>
      <c r="AF1057" s="261">
        <v>1053</v>
      </c>
      <c r="AG1057" s="262">
        <v>71984.539999999994</v>
      </c>
      <c r="AI1057" s="261">
        <v>1053</v>
      </c>
      <c r="AJ1057" s="262">
        <v>30161</v>
      </c>
      <c r="AL1057" s="261"/>
      <c r="AM1057" s="262"/>
    </row>
    <row r="1058" spans="14:39" ht="12.75" customHeight="1">
      <c r="N1058" s="261">
        <v>1054</v>
      </c>
      <c r="O1058" s="262">
        <v>11826.93</v>
      </c>
      <c r="AC1058" s="261">
        <v>1054</v>
      </c>
      <c r="AD1058" s="262">
        <v>26947.960000000261</v>
      </c>
      <c r="AF1058" s="261">
        <v>1054</v>
      </c>
      <c r="AG1058" s="262">
        <v>72053.05</v>
      </c>
      <c r="AI1058" s="261">
        <v>1054</v>
      </c>
      <c r="AJ1058" s="262">
        <v>30190</v>
      </c>
      <c r="AL1058" s="261"/>
      <c r="AM1058" s="262"/>
    </row>
    <row r="1059" spans="14:39" ht="12.75" customHeight="1">
      <c r="N1059" s="261">
        <v>1055</v>
      </c>
      <c r="O1059" s="262">
        <v>11838.05</v>
      </c>
      <c r="AC1059" s="261">
        <v>1055</v>
      </c>
      <c r="AD1059" s="262">
        <v>26973.660000000258</v>
      </c>
      <c r="AF1059" s="261">
        <v>1055</v>
      </c>
      <c r="AG1059" s="262">
        <v>72121.55</v>
      </c>
      <c r="AI1059" s="261">
        <v>1055</v>
      </c>
      <c r="AJ1059" s="262">
        <v>30218</v>
      </c>
      <c r="AL1059" s="261"/>
      <c r="AM1059" s="262"/>
    </row>
    <row r="1060" spans="14:39" ht="12.75" customHeight="1">
      <c r="N1060" s="261">
        <v>1056</v>
      </c>
      <c r="O1060" s="262">
        <v>11849.16</v>
      </c>
      <c r="AC1060" s="261">
        <v>1056</v>
      </c>
      <c r="AD1060" s="262">
        <v>26999.35000000026</v>
      </c>
      <c r="AF1060" s="261">
        <v>1056</v>
      </c>
      <c r="AG1060" s="262">
        <v>72190.06</v>
      </c>
      <c r="AI1060" s="261">
        <v>1056</v>
      </c>
      <c r="AJ1060" s="262">
        <v>30246</v>
      </c>
      <c r="AL1060" s="261"/>
      <c r="AM1060" s="262"/>
    </row>
    <row r="1061" spans="14:39" ht="12.75" customHeight="1">
      <c r="N1061" s="261">
        <v>1057</v>
      </c>
      <c r="O1061" s="262">
        <v>11860.27</v>
      </c>
      <c r="AC1061" s="261">
        <v>1057</v>
      </c>
      <c r="AD1061" s="262">
        <v>27025.050000000261</v>
      </c>
      <c r="AF1061" s="261">
        <v>1057</v>
      </c>
      <c r="AG1061" s="262">
        <v>72258.559999999998</v>
      </c>
      <c r="AI1061" s="261">
        <v>1057</v>
      </c>
      <c r="AJ1061" s="262">
        <v>30275</v>
      </c>
      <c r="AL1061" s="261"/>
      <c r="AM1061" s="262"/>
    </row>
    <row r="1062" spans="14:39" ht="12.75" customHeight="1">
      <c r="N1062" s="261">
        <v>1058</v>
      </c>
      <c r="O1062" s="262">
        <v>11871.39</v>
      </c>
      <c r="AC1062" s="261">
        <v>1058</v>
      </c>
      <c r="AD1062" s="262">
        <v>27050.750000000262</v>
      </c>
      <c r="AF1062" s="261">
        <v>1058</v>
      </c>
      <c r="AG1062" s="262">
        <v>72327.06</v>
      </c>
      <c r="AI1062" s="261">
        <v>1058</v>
      </c>
      <c r="AJ1062" s="262">
        <v>30303</v>
      </c>
      <c r="AL1062" s="261"/>
      <c r="AM1062" s="262"/>
    </row>
    <row r="1063" spans="14:39" ht="12.75" customHeight="1">
      <c r="N1063" s="261">
        <v>1059</v>
      </c>
      <c r="O1063" s="262">
        <v>11882.5</v>
      </c>
      <c r="AC1063" s="261">
        <v>1059</v>
      </c>
      <c r="AD1063" s="262">
        <v>27076.440000000264</v>
      </c>
      <c r="AF1063" s="261">
        <v>1059</v>
      </c>
      <c r="AG1063" s="262">
        <v>72395.570000000007</v>
      </c>
      <c r="AI1063" s="261">
        <v>1059</v>
      </c>
      <c r="AJ1063" s="262">
        <v>30331</v>
      </c>
      <c r="AL1063" s="261"/>
      <c r="AM1063" s="262"/>
    </row>
    <row r="1064" spans="14:39" ht="12.75" customHeight="1">
      <c r="N1064" s="261">
        <v>1060</v>
      </c>
      <c r="O1064" s="262">
        <v>11893.61</v>
      </c>
      <c r="AC1064" s="261">
        <v>1060</v>
      </c>
      <c r="AD1064" s="262">
        <v>27102.140000000261</v>
      </c>
      <c r="AF1064" s="261">
        <v>1060</v>
      </c>
      <c r="AG1064" s="262">
        <v>72464.070000000007</v>
      </c>
      <c r="AI1064" s="261">
        <v>1060</v>
      </c>
      <c r="AJ1064" s="262">
        <v>30360</v>
      </c>
      <c r="AL1064" s="261"/>
      <c r="AM1064" s="262"/>
    </row>
    <row r="1065" spans="14:39" ht="12.75" customHeight="1">
      <c r="N1065" s="261">
        <v>1061</v>
      </c>
      <c r="O1065" s="262">
        <v>11904.73</v>
      </c>
      <c r="AC1065" s="261">
        <v>1061</v>
      </c>
      <c r="AD1065" s="262">
        <v>27127.830000000264</v>
      </c>
      <c r="AF1065" s="261">
        <v>1061</v>
      </c>
      <c r="AG1065" s="262">
        <v>72532.58</v>
      </c>
      <c r="AI1065" s="261">
        <v>1061</v>
      </c>
      <c r="AJ1065" s="262">
        <v>30388</v>
      </c>
      <c r="AL1065" s="261"/>
      <c r="AM1065" s="262"/>
    </row>
    <row r="1066" spans="14:39" ht="12.75" customHeight="1">
      <c r="N1066" s="261">
        <v>1062</v>
      </c>
      <c r="O1066" s="262">
        <v>11915.84</v>
      </c>
      <c r="AC1066" s="261">
        <v>1062</v>
      </c>
      <c r="AD1066" s="262">
        <v>27153.530000000264</v>
      </c>
      <c r="AF1066" s="261">
        <v>1062</v>
      </c>
      <c r="AG1066" s="262">
        <v>72601.08</v>
      </c>
      <c r="AI1066" s="261">
        <v>1062</v>
      </c>
      <c r="AJ1066" s="262">
        <v>30417</v>
      </c>
      <c r="AL1066" s="261"/>
      <c r="AM1066" s="262"/>
    </row>
    <row r="1067" spans="14:39" ht="12.75" customHeight="1">
      <c r="N1067" s="261">
        <v>1063</v>
      </c>
      <c r="O1067" s="262">
        <v>11926.95</v>
      </c>
      <c r="AC1067" s="261">
        <v>1063</v>
      </c>
      <c r="AD1067" s="262">
        <v>27179.230000000265</v>
      </c>
      <c r="AF1067" s="261">
        <v>1063</v>
      </c>
      <c r="AG1067" s="262">
        <v>72669.58</v>
      </c>
      <c r="AI1067" s="261">
        <v>1063</v>
      </c>
      <c r="AJ1067" s="262">
        <v>30445</v>
      </c>
      <c r="AL1067" s="261"/>
      <c r="AM1067" s="262"/>
    </row>
    <row r="1068" spans="14:39" ht="12.75" customHeight="1">
      <c r="N1068" s="261">
        <v>1064</v>
      </c>
      <c r="O1068" s="262">
        <v>11938.06</v>
      </c>
      <c r="AC1068" s="261">
        <v>1064</v>
      </c>
      <c r="AD1068" s="262">
        <v>27204.920000000267</v>
      </c>
      <c r="AF1068" s="261">
        <v>1064</v>
      </c>
      <c r="AG1068" s="262">
        <v>72738.09</v>
      </c>
      <c r="AI1068" s="261">
        <v>1064</v>
      </c>
      <c r="AJ1068" s="262">
        <v>30473</v>
      </c>
      <c r="AL1068" s="261"/>
      <c r="AM1068" s="262"/>
    </row>
    <row r="1069" spans="14:39" ht="12.75" customHeight="1">
      <c r="N1069" s="261">
        <v>1065</v>
      </c>
      <c r="O1069" s="262">
        <v>11949.18</v>
      </c>
      <c r="AC1069" s="261">
        <v>1065</v>
      </c>
      <c r="AD1069" s="262">
        <v>27230.620000000265</v>
      </c>
      <c r="AF1069" s="261">
        <v>1065</v>
      </c>
      <c r="AG1069" s="262">
        <v>72806.59</v>
      </c>
      <c r="AI1069" s="261">
        <v>1065</v>
      </c>
      <c r="AJ1069" s="262">
        <v>30502</v>
      </c>
      <c r="AL1069" s="261"/>
      <c r="AM1069" s="262"/>
    </row>
    <row r="1070" spans="14:39" ht="12.75" customHeight="1">
      <c r="N1070" s="261">
        <v>1066</v>
      </c>
      <c r="O1070" s="262">
        <v>11960.29</v>
      </c>
      <c r="AC1070" s="261">
        <v>1066</v>
      </c>
      <c r="AD1070" s="262">
        <v>27256.310000000267</v>
      </c>
      <c r="AF1070" s="261">
        <v>1066</v>
      </c>
      <c r="AG1070" s="262">
        <v>72875.100000000006</v>
      </c>
      <c r="AI1070" s="261">
        <v>1066</v>
      </c>
      <c r="AJ1070" s="262">
        <v>30530</v>
      </c>
      <c r="AL1070" s="261"/>
      <c r="AM1070" s="262"/>
    </row>
    <row r="1071" spans="14:39" ht="12.75" customHeight="1">
      <c r="N1071" s="261">
        <v>1067</v>
      </c>
      <c r="O1071" s="262">
        <v>11971.4</v>
      </c>
      <c r="AC1071" s="261">
        <v>1067</v>
      </c>
      <c r="AD1071" s="262">
        <v>27282.010000000268</v>
      </c>
      <c r="AF1071" s="261">
        <v>1067</v>
      </c>
      <c r="AG1071" s="262">
        <v>72943.600000000006</v>
      </c>
      <c r="AI1071" s="261">
        <v>1067</v>
      </c>
      <c r="AJ1071" s="262">
        <v>30559</v>
      </c>
      <c r="AL1071" s="261"/>
      <c r="AM1071" s="262"/>
    </row>
    <row r="1072" spans="14:39" ht="12.75" customHeight="1">
      <c r="N1072" s="261">
        <v>1068</v>
      </c>
      <c r="O1072" s="262">
        <v>11982.52</v>
      </c>
      <c r="AC1072" s="261">
        <v>1068</v>
      </c>
      <c r="AD1072" s="262">
        <v>27307.710000000268</v>
      </c>
      <c r="AF1072" s="261">
        <v>1068</v>
      </c>
      <c r="AG1072" s="262">
        <v>73012.100000000006</v>
      </c>
      <c r="AI1072" s="261">
        <v>1068</v>
      </c>
      <c r="AJ1072" s="262">
        <v>30587</v>
      </c>
      <c r="AL1072" s="261"/>
      <c r="AM1072" s="262"/>
    </row>
    <row r="1073" spans="14:39" ht="12.75" customHeight="1">
      <c r="N1073" s="261">
        <v>1069</v>
      </c>
      <c r="O1073" s="262">
        <v>11993.63</v>
      </c>
      <c r="AC1073" s="261">
        <v>1069</v>
      </c>
      <c r="AD1073" s="262">
        <v>27333.400000000271</v>
      </c>
      <c r="AF1073" s="261">
        <v>1069</v>
      </c>
      <c r="AG1073" s="262">
        <v>73080.61</v>
      </c>
      <c r="AI1073" s="261">
        <v>1069</v>
      </c>
      <c r="AJ1073" s="262">
        <v>30615</v>
      </c>
      <c r="AL1073" s="261"/>
      <c r="AM1073" s="262"/>
    </row>
    <row r="1074" spans="14:39" ht="12.75" customHeight="1">
      <c r="N1074" s="261">
        <v>1070</v>
      </c>
      <c r="O1074" s="262">
        <v>12004.74</v>
      </c>
      <c r="AC1074" s="261">
        <v>1070</v>
      </c>
      <c r="AD1074" s="262">
        <v>27359.100000000268</v>
      </c>
      <c r="AF1074" s="261">
        <v>1070</v>
      </c>
      <c r="AG1074" s="262">
        <v>73149.11</v>
      </c>
      <c r="AI1074" s="261">
        <v>1070</v>
      </c>
      <c r="AJ1074" s="262">
        <v>30644</v>
      </c>
      <c r="AL1074" s="261"/>
      <c r="AM1074" s="262"/>
    </row>
    <row r="1075" spans="14:39" ht="12.75" customHeight="1">
      <c r="N1075" s="261">
        <v>1071</v>
      </c>
      <c r="O1075" s="262">
        <v>12015.86</v>
      </c>
      <c r="AC1075" s="261">
        <v>1071</v>
      </c>
      <c r="AD1075" s="262">
        <v>27384.79000000027</v>
      </c>
      <c r="AF1075" s="261">
        <v>1071</v>
      </c>
      <c r="AG1075" s="262">
        <v>73217.62</v>
      </c>
      <c r="AI1075" s="261">
        <v>1071</v>
      </c>
      <c r="AJ1075" s="262">
        <v>30672</v>
      </c>
      <c r="AL1075" s="261"/>
      <c r="AM1075" s="262"/>
    </row>
    <row r="1076" spans="14:39" ht="12.75" customHeight="1">
      <c r="N1076" s="261">
        <v>1072</v>
      </c>
      <c r="O1076" s="262">
        <v>12026.97</v>
      </c>
      <c r="AC1076" s="261">
        <v>1072</v>
      </c>
      <c r="AD1076" s="262">
        <v>27410.490000000271</v>
      </c>
      <c r="AF1076" s="261">
        <v>1072</v>
      </c>
      <c r="AG1076" s="262">
        <v>73286.12</v>
      </c>
      <c r="AI1076" s="261">
        <v>1072</v>
      </c>
      <c r="AJ1076" s="262">
        <v>30700</v>
      </c>
      <c r="AL1076" s="261"/>
      <c r="AM1076" s="262"/>
    </row>
    <row r="1077" spans="14:39" ht="12.75" customHeight="1">
      <c r="N1077" s="261">
        <v>1073</v>
      </c>
      <c r="O1077" s="262">
        <v>12038.08</v>
      </c>
      <c r="AC1077" s="261">
        <v>1073</v>
      </c>
      <c r="AD1077" s="262">
        <v>27436.190000000272</v>
      </c>
      <c r="AF1077" s="261">
        <v>1073</v>
      </c>
      <c r="AG1077" s="262">
        <v>73354.62</v>
      </c>
      <c r="AI1077" s="261">
        <v>1073</v>
      </c>
      <c r="AJ1077" s="262">
        <v>30729</v>
      </c>
      <c r="AL1077" s="261"/>
      <c r="AM1077" s="262"/>
    </row>
    <row r="1078" spans="14:39" ht="12.75" customHeight="1">
      <c r="N1078" s="261">
        <v>1074</v>
      </c>
      <c r="O1078" s="262">
        <v>12049.2</v>
      </c>
      <c r="AC1078" s="261">
        <v>1074</v>
      </c>
      <c r="AD1078" s="262">
        <v>27461.880000000274</v>
      </c>
      <c r="AF1078" s="261">
        <v>1074</v>
      </c>
      <c r="AG1078" s="262">
        <v>73423.13</v>
      </c>
      <c r="AI1078" s="261">
        <v>1074</v>
      </c>
      <c r="AJ1078" s="262">
        <v>30757</v>
      </c>
      <c r="AL1078" s="261"/>
      <c r="AM1078" s="262"/>
    </row>
    <row r="1079" spans="14:39" ht="12.75" customHeight="1">
      <c r="N1079" s="261">
        <v>1075</v>
      </c>
      <c r="O1079" s="262">
        <v>12060.31</v>
      </c>
      <c r="AC1079" s="261">
        <v>1075</v>
      </c>
      <c r="AD1079" s="262">
        <v>27487.580000000271</v>
      </c>
      <c r="AF1079" s="261">
        <v>1075</v>
      </c>
      <c r="AG1079" s="262">
        <v>73491.63</v>
      </c>
      <c r="AI1079" s="261">
        <v>1075</v>
      </c>
      <c r="AJ1079" s="262">
        <v>30786</v>
      </c>
      <c r="AL1079" s="261"/>
      <c r="AM1079" s="262"/>
    </row>
    <row r="1080" spans="14:39" ht="12.75" customHeight="1">
      <c r="N1080" s="261">
        <v>1076</v>
      </c>
      <c r="O1080" s="262">
        <v>12071.42</v>
      </c>
      <c r="AC1080" s="261">
        <v>1076</v>
      </c>
      <c r="AD1080" s="262">
        <v>27513.270000000273</v>
      </c>
      <c r="AF1080" s="261">
        <v>1076</v>
      </c>
      <c r="AG1080" s="262">
        <v>73560.14</v>
      </c>
      <c r="AI1080" s="261">
        <v>1076</v>
      </c>
      <c r="AJ1080" s="262">
        <v>30814</v>
      </c>
      <c r="AL1080" s="261"/>
      <c r="AM1080" s="262"/>
    </row>
    <row r="1081" spans="14:39" ht="12.75" customHeight="1">
      <c r="N1081" s="261">
        <v>1077</v>
      </c>
      <c r="O1081" s="262">
        <v>12082.53</v>
      </c>
      <c r="AC1081" s="261">
        <v>1077</v>
      </c>
      <c r="AD1081" s="262">
        <v>27538.970000000274</v>
      </c>
      <c r="AF1081" s="261">
        <v>1077</v>
      </c>
      <c r="AG1081" s="262">
        <v>73628.639999999999</v>
      </c>
      <c r="AI1081" s="261">
        <v>1077</v>
      </c>
      <c r="AJ1081" s="262">
        <v>30842</v>
      </c>
      <c r="AL1081" s="261"/>
      <c r="AM1081" s="262"/>
    </row>
    <row r="1082" spans="14:39" ht="12.75" customHeight="1">
      <c r="N1082" s="261">
        <v>1078</v>
      </c>
      <c r="O1082" s="262">
        <v>12093.65</v>
      </c>
      <c r="AC1082" s="261">
        <v>1078</v>
      </c>
      <c r="AD1082" s="262">
        <v>27564.670000000275</v>
      </c>
      <c r="AF1082" s="261">
        <v>1078</v>
      </c>
      <c r="AG1082" s="262">
        <v>73697.14</v>
      </c>
      <c r="AI1082" s="261">
        <v>1078</v>
      </c>
      <c r="AJ1082" s="262">
        <v>30871</v>
      </c>
      <c r="AL1082" s="261"/>
      <c r="AM1082" s="262"/>
    </row>
    <row r="1083" spans="14:39" ht="12.75" customHeight="1">
      <c r="N1083" s="261">
        <v>1079</v>
      </c>
      <c r="O1083" s="262">
        <v>12104.76</v>
      </c>
      <c r="AC1083" s="261">
        <v>1079</v>
      </c>
      <c r="AD1083" s="262">
        <v>27590.360000000277</v>
      </c>
      <c r="AF1083" s="261">
        <v>1079</v>
      </c>
      <c r="AG1083" s="262">
        <v>73765.649999999994</v>
      </c>
      <c r="AI1083" s="261">
        <v>1079</v>
      </c>
      <c r="AJ1083" s="262">
        <v>30899</v>
      </c>
      <c r="AL1083" s="261"/>
      <c r="AM1083" s="262"/>
    </row>
    <row r="1084" spans="14:39" ht="12.75" customHeight="1">
      <c r="N1084" s="261">
        <v>1080</v>
      </c>
      <c r="O1084" s="262">
        <v>12115.87</v>
      </c>
      <c r="AC1084" s="261">
        <v>1080</v>
      </c>
      <c r="AD1084" s="262">
        <v>27616.060000000274</v>
      </c>
      <c r="AF1084" s="261">
        <v>1080</v>
      </c>
      <c r="AG1084" s="262">
        <v>73834.149999999994</v>
      </c>
      <c r="AI1084" s="261">
        <v>1080</v>
      </c>
      <c r="AJ1084" s="262">
        <v>30928</v>
      </c>
      <c r="AL1084" s="261"/>
      <c r="AM1084" s="262"/>
    </row>
    <row r="1085" spans="14:39" ht="12.75" customHeight="1">
      <c r="N1085" s="261">
        <v>1081</v>
      </c>
      <c r="O1085" s="262">
        <v>12126.99</v>
      </c>
      <c r="AC1085" s="261">
        <v>1081</v>
      </c>
      <c r="AD1085" s="262">
        <v>27641.750000000276</v>
      </c>
      <c r="AF1085" s="261">
        <v>1081</v>
      </c>
      <c r="AG1085" s="262">
        <v>73902.66</v>
      </c>
      <c r="AI1085" s="261">
        <v>1081</v>
      </c>
      <c r="AJ1085" s="262">
        <v>30956</v>
      </c>
      <c r="AL1085" s="261"/>
      <c r="AM1085" s="262"/>
    </row>
    <row r="1086" spans="14:39" ht="12.75" customHeight="1">
      <c r="N1086" s="261">
        <v>1082</v>
      </c>
      <c r="O1086" s="262">
        <v>12138.1</v>
      </c>
      <c r="AC1086" s="261">
        <v>1082</v>
      </c>
      <c r="AD1086" s="262">
        <v>27667.450000000277</v>
      </c>
      <c r="AF1086" s="261">
        <v>1082</v>
      </c>
      <c r="AG1086" s="262">
        <v>73971.16</v>
      </c>
      <c r="AI1086" s="261">
        <v>1082</v>
      </c>
      <c r="AJ1086" s="262">
        <v>30984</v>
      </c>
      <c r="AL1086" s="261"/>
      <c r="AM1086" s="262"/>
    </row>
    <row r="1087" spans="14:39" ht="12.75" customHeight="1">
      <c r="N1087" s="261">
        <v>1083</v>
      </c>
      <c r="O1087" s="262">
        <v>12149.21</v>
      </c>
      <c r="AC1087" s="261">
        <v>1083</v>
      </c>
      <c r="AD1087" s="262">
        <v>27693.150000000278</v>
      </c>
      <c r="AF1087" s="261">
        <v>1083</v>
      </c>
      <c r="AG1087" s="262">
        <v>74039.66</v>
      </c>
      <c r="AI1087" s="261">
        <v>1083</v>
      </c>
      <c r="AJ1087" s="262">
        <v>31013</v>
      </c>
      <c r="AL1087" s="261"/>
      <c r="AM1087" s="262"/>
    </row>
    <row r="1088" spans="14:39" ht="12.75" customHeight="1">
      <c r="N1088" s="261">
        <v>1084</v>
      </c>
      <c r="O1088" s="262">
        <v>12160.33</v>
      </c>
      <c r="AC1088" s="261">
        <v>1084</v>
      </c>
      <c r="AD1088" s="262">
        <v>27718.84000000028</v>
      </c>
      <c r="AF1088" s="261">
        <v>1084</v>
      </c>
      <c r="AG1088" s="262">
        <v>74108.17</v>
      </c>
      <c r="AI1088" s="261">
        <v>1084</v>
      </c>
      <c r="AJ1088" s="262">
        <v>31041</v>
      </c>
      <c r="AL1088" s="261"/>
      <c r="AM1088" s="262"/>
    </row>
    <row r="1089" spans="14:39" ht="12.75" customHeight="1">
      <c r="N1089" s="261">
        <v>1085</v>
      </c>
      <c r="O1089" s="262">
        <v>12171.44</v>
      </c>
      <c r="AC1089" s="261">
        <v>1085</v>
      </c>
      <c r="AD1089" s="262">
        <v>27744.540000000277</v>
      </c>
      <c r="AF1089" s="261">
        <v>1085</v>
      </c>
      <c r="AG1089" s="262">
        <v>74176.67</v>
      </c>
      <c r="AI1089" s="261">
        <v>1085</v>
      </c>
      <c r="AJ1089" s="262">
        <v>31069</v>
      </c>
      <c r="AL1089" s="261"/>
      <c r="AM1089" s="262"/>
    </row>
    <row r="1090" spans="14:39" ht="12.75" customHeight="1">
      <c r="N1090" s="261">
        <v>1086</v>
      </c>
      <c r="O1090" s="262">
        <v>12182.55</v>
      </c>
      <c r="AC1090" s="261">
        <v>1086</v>
      </c>
      <c r="AD1090" s="262">
        <v>27770.23000000028</v>
      </c>
      <c r="AF1090" s="261">
        <v>1086</v>
      </c>
      <c r="AG1090" s="262">
        <v>74245.179999999993</v>
      </c>
      <c r="AI1090" s="261">
        <v>1086</v>
      </c>
      <c r="AJ1090" s="262">
        <v>31098</v>
      </c>
      <c r="AL1090" s="261"/>
      <c r="AM1090" s="262"/>
    </row>
    <row r="1091" spans="14:39" ht="12.75" customHeight="1">
      <c r="N1091" s="261">
        <v>1087</v>
      </c>
      <c r="O1091" s="262">
        <v>12193.67</v>
      </c>
      <c r="AC1091" s="261">
        <v>1087</v>
      </c>
      <c r="AD1091" s="262">
        <v>27795.93000000028</v>
      </c>
      <c r="AF1091" s="261">
        <v>1087</v>
      </c>
      <c r="AG1091" s="262">
        <v>74313.679999999993</v>
      </c>
      <c r="AI1091" s="261">
        <v>1087</v>
      </c>
      <c r="AJ1091" s="262">
        <v>31126</v>
      </c>
      <c r="AL1091" s="261"/>
      <c r="AM1091" s="262"/>
    </row>
    <row r="1092" spans="14:39" ht="12.75" customHeight="1">
      <c r="N1092" s="261">
        <v>1088</v>
      </c>
      <c r="O1092" s="262">
        <v>12204.78</v>
      </c>
      <c r="AC1092" s="261">
        <v>1088</v>
      </c>
      <c r="AD1092" s="262">
        <v>27821.630000000281</v>
      </c>
      <c r="AF1092" s="261">
        <v>1088</v>
      </c>
      <c r="AG1092" s="262">
        <v>74382.179999999993</v>
      </c>
      <c r="AI1092" s="261">
        <v>1088</v>
      </c>
      <c r="AJ1092" s="262">
        <v>31155</v>
      </c>
      <c r="AL1092" s="261"/>
      <c r="AM1092" s="262"/>
    </row>
    <row r="1093" spans="14:39" ht="12.75" customHeight="1">
      <c r="N1093" s="261">
        <v>1089</v>
      </c>
      <c r="O1093" s="262">
        <v>12215.89</v>
      </c>
      <c r="AC1093" s="261">
        <v>1089</v>
      </c>
      <c r="AD1093" s="262">
        <v>27847.320000000283</v>
      </c>
      <c r="AF1093" s="261">
        <v>1089</v>
      </c>
      <c r="AG1093" s="262">
        <v>74450.69</v>
      </c>
      <c r="AI1093" s="261">
        <v>1089</v>
      </c>
      <c r="AJ1093" s="262">
        <v>31183</v>
      </c>
      <c r="AL1093" s="261"/>
      <c r="AM1093" s="262"/>
    </row>
    <row r="1094" spans="14:39" ht="12.75" customHeight="1">
      <c r="N1094" s="261">
        <v>1090</v>
      </c>
      <c r="O1094" s="262">
        <v>12227</v>
      </c>
      <c r="AC1094" s="261">
        <v>1090</v>
      </c>
      <c r="AD1094" s="262">
        <v>27873.020000000281</v>
      </c>
      <c r="AF1094" s="261">
        <v>1090</v>
      </c>
      <c r="AG1094" s="262">
        <v>74519.19</v>
      </c>
      <c r="AI1094" s="261">
        <v>1090</v>
      </c>
      <c r="AJ1094" s="262">
        <v>31211</v>
      </c>
      <c r="AL1094" s="261"/>
      <c r="AM1094" s="262"/>
    </row>
    <row r="1095" spans="14:39" ht="12.75" customHeight="1">
      <c r="N1095" s="261">
        <v>1091</v>
      </c>
      <c r="O1095" s="262">
        <v>12238.12</v>
      </c>
      <c r="AC1095" s="261">
        <v>1091</v>
      </c>
      <c r="AD1095" s="262">
        <v>27898.710000000283</v>
      </c>
      <c r="AF1095" s="261">
        <v>1091</v>
      </c>
      <c r="AG1095" s="262">
        <v>74587.7</v>
      </c>
      <c r="AI1095" s="261">
        <v>1091</v>
      </c>
      <c r="AJ1095" s="262">
        <v>31240</v>
      </c>
      <c r="AL1095" s="261"/>
      <c r="AM1095" s="262"/>
    </row>
    <row r="1096" spans="14:39" ht="12.75" customHeight="1">
      <c r="N1096" s="261">
        <v>1092</v>
      </c>
      <c r="O1096" s="262">
        <v>12249.23</v>
      </c>
      <c r="AC1096" s="261">
        <v>1092</v>
      </c>
      <c r="AD1096" s="262">
        <v>27924.410000000284</v>
      </c>
      <c r="AF1096" s="261">
        <v>1092</v>
      </c>
      <c r="AG1096" s="262">
        <v>74656.2</v>
      </c>
      <c r="AI1096" s="261">
        <v>1092</v>
      </c>
      <c r="AJ1096" s="262">
        <v>31268</v>
      </c>
      <c r="AL1096" s="261"/>
      <c r="AM1096" s="262"/>
    </row>
    <row r="1097" spans="14:39" ht="12.75" customHeight="1">
      <c r="N1097" s="261">
        <v>1093</v>
      </c>
      <c r="O1097" s="262">
        <v>12260.34</v>
      </c>
      <c r="AC1097" s="261">
        <v>1093</v>
      </c>
      <c r="AD1097" s="262">
        <v>27950.110000000284</v>
      </c>
      <c r="AF1097" s="261">
        <v>1093</v>
      </c>
      <c r="AG1097" s="262">
        <v>74724.7</v>
      </c>
      <c r="AI1097" s="261">
        <v>1093</v>
      </c>
      <c r="AJ1097" s="262">
        <v>31296</v>
      </c>
      <c r="AL1097" s="261"/>
      <c r="AM1097" s="262"/>
    </row>
    <row r="1098" spans="14:39" ht="12.75" customHeight="1">
      <c r="N1098" s="261">
        <v>1094</v>
      </c>
      <c r="O1098" s="262">
        <v>12271.46</v>
      </c>
      <c r="AC1098" s="261">
        <v>1094</v>
      </c>
      <c r="AD1098" s="262">
        <v>27975.800000000287</v>
      </c>
      <c r="AF1098" s="261">
        <v>1094</v>
      </c>
      <c r="AG1098" s="262">
        <v>74793.210000000006</v>
      </c>
      <c r="AI1098" s="261">
        <v>1094</v>
      </c>
      <c r="AJ1098" s="262">
        <v>31325</v>
      </c>
      <c r="AL1098" s="261"/>
      <c r="AM1098" s="262"/>
    </row>
    <row r="1099" spans="14:39" ht="12.75" customHeight="1">
      <c r="N1099" s="261">
        <v>1095</v>
      </c>
      <c r="O1099" s="262">
        <v>12282.57</v>
      </c>
      <c r="AC1099" s="261">
        <v>1095</v>
      </c>
      <c r="AD1099" s="262">
        <v>28001.500000000284</v>
      </c>
      <c r="AF1099" s="261">
        <v>1095</v>
      </c>
      <c r="AG1099" s="262">
        <v>74861.710000000006</v>
      </c>
      <c r="AI1099" s="261">
        <v>1095</v>
      </c>
      <c r="AJ1099" s="262">
        <v>31353</v>
      </c>
      <c r="AL1099" s="261"/>
      <c r="AM1099" s="262"/>
    </row>
    <row r="1100" spans="14:39" ht="12.75" customHeight="1">
      <c r="N1100" s="261">
        <v>1096</v>
      </c>
      <c r="O1100" s="262">
        <v>12293.68</v>
      </c>
      <c r="AC1100" s="261">
        <v>1096</v>
      </c>
      <c r="AD1100" s="262">
        <v>28027.190000000286</v>
      </c>
      <c r="AF1100" s="261">
        <v>1096</v>
      </c>
      <c r="AG1100" s="262">
        <v>74930.22</v>
      </c>
      <c r="AI1100" s="261">
        <v>1096</v>
      </c>
      <c r="AJ1100" s="262">
        <v>31382</v>
      </c>
      <c r="AL1100" s="261"/>
      <c r="AM1100" s="262"/>
    </row>
    <row r="1101" spans="14:39" ht="12.75" customHeight="1">
      <c r="N1101" s="261">
        <v>1097</v>
      </c>
      <c r="O1101" s="262">
        <v>12304.8</v>
      </c>
      <c r="AC1101" s="261">
        <v>1097</v>
      </c>
      <c r="AD1101" s="262">
        <v>28052.890000000287</v>
      </c>
      <c r="AF1101" s="261">
        <v>1097</v>
      </c>
      <c r="AG1101" s="262">
        <v>74998.720000000001</v>
      </c>
      <c r="AI1101" s="261">
        <v>1097</v>
      </c>
      <c r="AJ1101" s="262">
        <v>31410</v>
      </c>
      <c r="AL1101" s="261"/>
      <c r="AM1101" s="262"/>
    </row>
    <row r="1102" spans="14:39" ht="12.75" customHeight="1">
      <c r="N1102" s="261">
        <v>1098</v>
      </c>
      <c r="O1102" s="262">
        <v>12315.91</v>
      </c>
      <c r="AC1102" s="261">
        <v>1098</v>
      </c>
      <c r="AD1102" s="262">
        <v>28078.590000000288</v>
      </c>
      <c r="AF1102" s="261">
        <v>1098</v>
      </c>
      <c r="AG1102" s="262">
        <v>75067.22</v>
      </c>
      <c r="AI1102" s="261">
        <v>1098</v>
      </c>
      <c r="AJ1102" s="262">
        <v>31438</v>
      </c>
      <c r="AL1102" s="261"/>
      <c r="AM1102" s="262"/>
    </row>
    <row r="1103" spans="14:39" ht="12.75" customHeight="1">
      <c r="N1103" s="261">
        <v>1099</v>
      </c>
      <c r="O1103" s="262">
        <v>12327.02</v>
      </c>
      <c r="AC1103" s="261">
        <v>1099</v>
      </c>
      <c r="AD1103" s="262">
        <v>28104.28000000029</v>
      </c>
      <c r="AF1103" s="261">
        <v>1099</v>
      </c>
      <c r="AG1103" s="262">
        <v>75135.73</v>
      </c>
      <c r="AI1103" s="261">
        <v>1099</v>
      </c>
      <c r="AJ1103" s="262">
        <v>31467</v>
      </c>
      <c r="AL1103" s="261"/>
      <c r="AM1103" s="262"/>
    </row>
    <row r="1104" spans="14:39" ht="12.75" customHeight="1">
      <c r="N1104" s="261">
        <v>1100</v>
      </c>
      <c r="O1104" s="262">
        <v>12338.14</v>
      </c>
      <c r="AC1104" s="261">
        <v>1100</v>
      </c>
      <c r="AD1104" s="262">
        <v>28129.980000000287</v>
      </c>
      <c r="AF1104" s="261">
        <v>1100</v>
      </c>
      <c r="AG1104" s="262">
        <v>75204.23</v>
      </c>
      <c r="AI1104" s="261">
        <v>1100</v>
      </c>
      <c r="AJ1104" s="262">
        <v>31495</v>
      </c>
      <c r="AL1104" s="261"/>
      <c r="AM1104" s="262"/>
    </row>
    <row r="1105" spans="14:39" ht="12.75" customHeight="1">
      <c r="N1105" s="261">
        <v>1101</v>
      </c>
      <c r="O1105" s="262">
        <v>12349.25</v>
      </c>
      <c r="AC1105" s="261">
        <v>1101</v>
      </c>
      <c r="AD1105" s="262">
        <v>28155.670000000289</v>
      </c>
      <c r="AF1105" s="261">
        <v>1101</v>
      </c>
      <c r="AG1105" s="262">
        <v>75272.740000000005</v>
      </c>
      <c r="AI1105" s="261">
        <v>1101</v>
      </c>
      <c r="AJ1105" s="262">
        <v>31524</v>
      </c>
      <c r="AL1105" s="261"/>
      <c r="AM1105" s="262"/>
    </row>
    <row r="1106" spans="14:39" ht="12.75" customHeight="1">
      <c r="N1106" s="261">
        <v>1102</v>
      </c>
      <c r="O1106" s="262">
        <v>12360.36</v>
      </c>
      <c r="AC1106" s="261">
        <v>1102</v>
      </c>
      <c r="AD1106" s="262">
        <v>28181.37000000029</v>
      </c>
      <c r="AF1106" s="261">
        <v>1102</v>
      </c>
      <c r="AG1106" s="262">
        <v>75341.240000000005</v>
      </c>
      <c r="AI1106" s="261">
        <v>1102</v>
      </c>
      <c r="AJ1106" s="262">
        <v>31552</v>
      </c>
      <c r="AL1106" s="261"/>
      <c r="AM1106" s="262"/>
    </row>
    <row r="1107" spans="14:39" ht="12.75" customHeight="1">
      <c r="N1107" s="261">
        <v>1103</v>
      </c>
      <c r="O1107" s="262">
        <v>12371.47</v>
      </c>
      <c r="AC1107" s="261">
        <v>1103</v>
      </c>
      <c r="AD1107" s="262">
        <v>28207.070000000291</v>
      </c>
      <c r="AF1107" s="261">
        <v>1103</v>
      </c>
      <c r="AG1107" s="262">
        <v>75409.740000000005</v>
      </c>
      <c r="AI1107" s="261">
        <v>1103</v>
      </c>
      <c r="AJ1107" s="262">
        <v>31580</v>
      </c>
      <c r="AL1107" s="261"/>
      <c r="AM1107" s="262"/>
    </row>
    <row r="1108" spans="14:39" ht="12.75" customHeight="1">
      <c r="N1108" s="261">
        <v>1104</v>
      </c>
      <c r="O1108" s="262">
        <v>12382.59</v>
      </c>
      <c r="AC1108" s="261">
        <v>1104</v>
      </c>
      <c r="AD1108" s="262">
        <v>28232.760000000293</v>
      </c>
      <c r="AF1108" s="261">
        <v>1104</v>
      </c>
      <c r="AG1108" s="262">
        <v>75478.25</v>
      </c>
      <c r="AI1108" s="261">
        <v>1104</v>
      </c>
      <c r="AJ1108" s="262">
        <v>31609</v>
      </c>
      <c r="AL1108" s="261"/>
      <c r="AM1108" s="262"/>
    </row>
    <row r="1109" spans="14:39" ht="12.75" customHeight="1">
      <c r="N1109" s="261">
        <v>1105</v>
      </c>
      <c r="O1109" s="262">
        <v>12393.7</v>
      </c>
      <c r="AC1109" s="261">
        <v>1105</v>
      </c>
      <c r="AD1109" s="262">
        <v>28258.46000000029</v>
      </c>
      <c r="AF1109" s="261">
        <v>1105</v>
      </c>
      <c r="AG1109" s="262">
        <v>75546.75</v>
      </c>
      <c r="AI1109" s="261">
        <v>1105</v>
      </c>
      <c r="AJ1109" s="262">
        <v>31637</v>
      </c>
      <c r="AL1109" s="261"/>
      <c r="AM1109" s="262"/>
    </row>
    <row r="1110" spans="14:39" ht="12.75" customHeight="1">
      <c r="N1110" s="261">
        <v>1106</v>
      </c>
      <c r="O1110" s="262">
        <v>12404.81</v>
      </c>
      <c r="AC1110" s="261">
        <v>1106</v>
      </c>
      <c r="AD1110" s="262">
        <v>28284.150000000292</v>
      </c>
      <c r="AF1110" s="261">
        <v>1106</v>
      </c>
      <c r="AG1110" s="262">
        <v>75615.259999999995</v>
      </c>
      <c r="AI1110" s="261">
        <v>1106</v>
      </c>
      <c r="AJ1110" s="262">
        <v>31666</v>
      </c>
      <c r="AL1110" s="261"/>
      <c r="AM1110" s="262"/>
    </row>
    <row r="1111" spans="14:39" ht="12.75" customHeight="1">
      <c r="N1111" s="261">
        <v>1107</v>
      </c>
      <c r="O1111" s="262">
        <v>12415.93</v>
      </c>
      <c r="AC1111" s="261">
        <v>1107</v>
      </c>
      <c r="AD1111" s="262">
        <v>28309.850000000293</v>
      </c>
      <c r="AF1111" s="261">
        <v>1107</v>
      </c>
      <c r="AG1111" s="262">
        <v>75683.759999999995</v>
      </c>
      <c r="AI1111" s="261">
        <v>1107</v>
      </c>
      <c r="AJ1111" s="262">
        <v>31694</v>
      </c>
      <c r="AL1111" s="261"/>
      <c r="AM1111" s="262"/>
    </row>
    <row r="1112" spans="14:39" ht="12.75" customHeight="1">
      <c r="N1112" s="261">
        <v>1108</v>
      </c>
      <c r="O1112" s="262">
        <v>12427.04</v>
      </c>
      <c r="AC1112" s="261">
        <v>1108</v>
      </c>
      <c r="AD1112" s="262">
        <v>28335.550000000294</v>
      </c>
      <c r="AF1112" s="261">
        <v>1108</v>
      </c>
      <c r="AG1112" s="262">
        <v>75752.259999999995</v>
      </c>
      <c r="AI1112" s="261">
        <v>1108</v>
      </c>
      <c r="AJ1112" s="262">
        <v>31722</v>
      </c>
      <c r="AL1112" s="261"/>
      <c r="AM1112" s="262"/>
    </row>
    <row r="1113" spans="14:39" ht="12.75" customHeight="1">
      <c r="N1113" s="261">
        <v>1109</v>
      </c>
      <c r="O1113" s="262">
        <v>12438.15</v>
      </c>
      <c r="AC1113" s="261">
        <v>1109</v>
      </c>
      <c r="AD1113" s="262">
        <v>28361.240000000296</v>
      </c>
      <c r="AF1113" s="261">
        <v>1109</v>
      </c>
      <c r="AG1113" s="262">
        <v>75820.77</v>
      </c>
      <c r="AI1113" s="261">
        <v>1109</v>
      </c>
      <c r="AJ1113" s="262">
        <v>31751</v>
      </c>
      <c r="AL1113" s="261"/>
      <c r="AM1113" s="262"/>
    </row>
    <row r="1114" spans="14:39" ht="12.75" customHeight="1">
      <c r="N1114" s="261">
        <v>1110</v>
      </c>
      <c r="O1114" s="262">
        <v>12449.27</v>
      </c>
      <c r="AC1114" s="261">
        <v>1110</v>
      </c>
      <c r="AD1114" s="262">
        <v>28386.940000000293</v>
      </c>
      <c r="AF1114" s="261">
        <v>1110</v>
      </c>
      <c r="AG1114" s="262">
        <v>75889.27</v>
      </c>
      <c r="AI1114" s="261">
        <v>1110</v>
      </c>
      <c r="AJ1114" s="262">
        <v>31779</v>
      </c>
      <c r="AL1114" s="261"/>
      <c r="AM1114" s="262"/>
    </row>
    <row r="1115" spans="14:39" ht="12.75" customHeight="1">
      <c r="N1115" s="261">
        <v>1111</v>
      </c>
      <c r="O1115" s="262">
        <v>12460.38</v>
      </c>
      <c r="AC1115" s="261">
        <v>1111</v>
      </c>
      <c r="AD1115" s="262">
        <v>28412.630000000296</v>
      </c>
      <c r="AF1115" s="261">
        <v>1111</v>
      </c>
      <c r="AG1115" s="262">
        <v>75957.78</v>
      </c>
      <c r="AI1115" s="261">
        <v>1111</v>
      </c>
      <c r="AJ1115" s="262">
        <v>31807</v>
      </c>
      <c r="AL1115" s="261"/>
      <c r="AM1115" s="262"/>
    </row>
    <row r="1116" spans="14:39" ht="12.75" customHeight="1">
      <c r="N1116" s="261">
        <v>1112</v>
      </c>
      <c r="O1116" s="262">
        <v>12471.49</v>
      </c>
      <c r="AC1116" s="261">
        <v>1112</v>
      </c>
      <c r="AD1116" s="262">
        <v>28438.330000000296</v>
      </c>
      <c r="AF1116" s="261">
        <v>1112</v>
      </c>
      <c r="AG1116" s="262">
        <v>76026.28</v>
      </c>
      <c r="AI1116" s="261">
        <v>1112</v>
      </c>
      <c r="AJ1116" s="262">
        <v>31836</v>
      </c>
      <c r="AL1116" s="261"/>
      <c r="AM1116" s="262"/>
    </row>
    <row r="1117" spans="14:39" ht="12.75" customHeight="1">
      <c r="N1117" s="261">
        <v>1113</v>
      </c>
      <c r="O1117" s="262">
        <v>12482.61</v>
      </c>
      <c r="AC1117" s="261">
        <v>1113</v>
      </c>
      <c r="AD1117" s="262">
        <v>28464.030000000297</v>
      </c>
      <c r="AF1117" s="261">
        <v>1113</v>
      </c>
      <c r="AG1117" s="262">
        <v>76094.78</v>
      </c>
      <c r="AI1117" s="261">
        <v>1113</v>
      </c>
      <c r="AJ1117" s="262">
        <v>31864</v>
      </c>
      <c r="AL1117" s="261"/>
      <c r="AM1117" s="262"/>
    </row>
    <row r="1118" spans="14:39" ht="12.75" customHeight="1">
      <c r="N1118" s="261">
        <v>1114</v>
      </c>
      <c r="O1118" s="262">
        <v>12493.72</v>
      </c>
      <c r="AC1118" s="261">
        <v>1114</v>
      </c>
      <c r="AD1118" s="262">
        <v>28489.720000000299</v>
      </c>
      <c r="AF1118" s="261">
        <v>1114</v>
      </c>
      <c r="AG1118" s="262">
        <v>76163.289999999994</v>
      </c>
      <c r="AI1118" s="261">
        <v>1114</v>
      </c>
      <c r="AJ1118" s="262">
        <v>31893</v>
      </c>
      <c r="AL1118" s="261"/>
      <c r="AM1118" s="262"/>
    </row>
    <row r="1119" spans="14:39" ht="12.75" customHeight="1">
      <c r="N1119" s="261">
        <v>1115</v>
      </c>
      <c r="O1119" s="262">
        <v>12504.83</v>
      </c>
      <c r="AC1119" s="261">
        <v>1115</v>
      </c>
      <c r="AD1119" s="262">
        <v>28515.420000000297</v>
      </c>
      <c r="AF1119" s="261">
        <v>1115</v>
      </c>
      <c r="AG1119" s="262">
        <v>76231.789999999994</v>
      </c>
      <c r="AI1119" s="261">
        <v>1115</v>
      </c>
      <c r="AJ1119" s="262">
        <v>31921</v>
      </c>
      <c r="AL1119" s="261"/>
      <c r="AM1119" s="262"/>
    </row>
    <row r="1120" spans="14:39" ht="12.75" customHeight="1">
      <c r="N1120" s="261">
        <v>1116</v>
      </c>
      <c r="O1120" s="262">
        <v>12515.94</v>
      </c>
      <c r="AC1120" s="261">
        <v>1116</v>
      </c>
      <c r="AD1120" s="262">
        <v>28541.110000000299</v>
      </c>
      <c r="AF1120" s="261">
        <v>1116</v>
      </c>
      <c r="AG1120" s="262">
        <v>76300.3</v>
      </c>
      <c r="AI1120" s="261">
        <v>1116</v>
      </c>
      <c r="AJ1120" s="262">
        <v>31949</v>
      </c>
      <c r="AL1120" s="261"/>
      <c r="AM1120" s="262"/>
    </row>
    <row r="1121" spans="14:39" ht="12.75" customHeight="1">
      <c r="N1121" s="261">
        <v>1117</v>
      </c>
      <c r="O1121" s="262">
        <v>12527.06</v>
      </c>
      <c r="AC1121" s="261">
        <v>1117</v>
      </c>
      <c r="AD1121" s="262">
        <v>28566.8100000003</v>
      </c>
      <c r="AF1121" s="261">
        <v>1117</v>
      </c>
      <c r="AG1121" s="262">
        <v>76368.800000000003</v>
      </c>
      <c r="AI1121" s="261">
        <v>1117</v>
      </c>
      <c r="AJ1121" s="262">
        <v>31978</v>
      </c>
      <c r="AL1121" s="261"/>
      <c r="AM1121" s="262"/>
    </row>
    <row r="1122" spans="14:39" ht="12.75" customHeight="1">
      <c r="N1122" s="261">
        <v>1118</v>
      </c>
      <c r="O1122" s="262">
        <v>12538.17</v>
      </c>
      <c r="AC1122" s="261">
        <v>1118</v>
      </c>
      <c r="AD1122" s="262">
        <v>28592.5100000003</v>
      </c>
      <c r="AF1122" s="261">
        <v>1118</v>
      </c>
      <c r="AG1122" s="262">
        <v>76437.3</v>
      </c>
      <c r="AI1122" s="261">
        <v>1118</v>
      </c>
      <c r="AJ1122" s="262">
        <v>32006</v>
      </c>
      <c r="AL1122" s="261"/>
      <c r="AM1122" s="262"/>
    </row>
    <row r="1123" spans="14:39" ht="12.75" customHeight="1">
      <c r="N1123" s="261">
        <v>1119</v>
      </c>
      <c r="O1123" s="262">
        <v>12549.28</v>
      </c>
      <c r="AC1123" s="261">
        <v>1119</v>
      </c>
      <c r="AD1123" s="262">
        <v>28618.200000000303</v>
      </c>
      <c r="AF1123" s="261">
        <v>1119</v>
      </c>
      <c r="AG1123" s="262">
        <v>76505.81</v>
      </c>
      <c r="AI1123" s="261">
        <v>1119</v>
      </c>
      <c r="AJ1123" s="262">
        <v>32034</v>
      </c>
      <c r="AL1123" s="261"/>
      <c r="AM1123" s="262"/>
    </row>
    <row r="1124" spans="14:39" ht="12.75" customHeight="1">
      <c r="N1124" s="261">
        <v>1120</v>
      </c>
      <c r="O1124" s="262">
        <v>12560.4</v>
      </c>
      <c r="AC1124" s="261">
        <v>1120</v>
      </c>
      <c r="AD1124" s="262">
        <v>28643.9000000003</v>
      </c>
      <c r="AF1124" s="261">
        <v>1120</v>
      </c>
      <c r="AG1124" s="262">
        <v>76574.31</v>
      </c>
      <c r="AI1124" s="261">
        <v>1120</v>
      </c>
      <c r="AJ1124" s="262">
        <v>32063</v>
      </c>
      <c r="AL1124" s="261"/>
      <c r="AM1124" s="262"/>
    </row>
    <row r="1125" spans="14:39" ht="12.75" customHeight="1">
      <c r="N1125" s="261">
        <v>1121</v>
      </c>
      <c r="O1125" s="262">
        <v>12571.51</v>
      </c>
      <c r="AC1125" s="261">
        <v>1121</v>
      </c>
      <c r="AD1125" s="262">
        <v>28669.590000000302</v>
      </c>
      <c r="AF1125" s="261">
        <v>1121</v>
      </c>
      <c r="AG1125" s="262">
        <v>76642.820000000007</v>
      </c>
      <c r="AI1125" s="261">
        <v>1121</v>
      </c>
      <c r="AJ1125" s="262">
        <v>32091</v>
      </c>
      <c r="AL1125" s="261"/>
      <c r="AM1125" s="262"/>
    </row>
    <row r="1126" spans="14:39" ht="12.75" customHeight="1">
      <c r="N1126" s="261">
        <v>1122</v>
      </c>
      <c r="O1126" s="262">
        <v>12582.62</v>
      </c>
      <c r="AC1126" s="261">
        <v>1122</v>
      </c>
      <c r="AD1126" s="262">
        <v>28695.290000000303</v>
      </c>
      <c r="AF1126" s="261">
        <v>1122</v>
      </c>
      <c r="AG1126" s="262">
        <v>76711.320000000007</v>
      </c>
      <c r="AI1126" s="261">
        <v>1122</v>
      </c>
      <c r="AJ1126" s="262">
        <v>32120</v>
      </c>
      <c r="AL1126" s="261"/>
      <c r="AM1126" s="262"/>
    </row>
    <row r="1127" spans="14:39" ht="12.75" customHeight="1">
      <c r="N1127" s="261">
        <v>1123</v>
      </c>
      <c r="O1127" s="262">
        <v>12593.74</v>
      </c>
      <c r="AC1127" s="261">
        <v>1123</v>
      </c>
      <c r="AD1127" s="262">
        <v>28720.990000000304</v>
      </c>
      <c r="AF1127" s="261">
        <v>1123</v>
      </c>
      <c r="AG1127" s="262">
        <v>76779.820000000007</v>
      </c>
      <c r="AI1127" s="261">
        <v>1123</v>
      </c>
      <c r="AJ1127" s="262">
        <v>32148</v>
      </c>
      <c r="AL1127" s="261"/>
      <c r="AM1127" s="262"/>
    </row>
    <row r="1128" spans="14:39" ht="12.75" customHeight="1">
      <c r="N1128" s="261">
        <v>1124</v>
      </c>
      <c r="O1128" s="262">
        <v>12604.85</v>
      </c>
      <c r="AC1128" s="261">
        <v>1124</v>
      </c>
      <c r="AD1128" s="262">
        <v>28746.680000000306</v>
      </c>
      <c r="AF1128" s="261">
        <v>1124</v>
      </c>
      <c r="AG1128" s="262">
        <v>76848.33</v>
      </c>
      <c r="AI1128" s="261">
        <v>1124</v>
      </c>
      <c r="AJ1128" s="262">
        <v>32176</v>
      </c>
      <c r="AL1128" s="261"/>
      <c r="AM1128" s="262"/>
    </row>
    <row r="1129" spans="14:39" ht="12.75" customHeight="1">
      <c r="N1129" s="261">
        <v>1125</v>
      </c>
      <c r="O1129" s="262">
        <v>12615.96</v>
      </c>
      <c r="AC1129" s="261">
        <v>1125</v>
      </c>
      <c r="AD1129" s="262">
        <v>28772.380000000303</v>
      </c>
      <c r="AF1129" s="261">
        <v>1125</v>
      </c>
      <c r="AG1129" s="262">
        <v>76916.83</v>
      </c>
      <c r="AI1129" s="261">
        <v>1125</v>
      </c>
      <c r="AJ1129" s="262">
        <v>32205</v>
      </c>
      <c r="AL1129" s="261"/>
      <c r="AM1129" s="262"/>
    </row>
    <row r="1130" spans="14:39" ht="12.75" customHeight="1">
      <c r="N1130" s="261">
        <v>1126</v>
      </c>
      <c r="O1130" s="262">
        <v>12627.08</v>
      </c>
      <c r="AC1130" s="261">
        <v>1126</v>
      </c>
      <c r="AD1130" s="262">
        <v>28798.070000000305</v>
      </c>
      <c r="AF1130" s="261">
        <v>1126</v>
      </c>
      <c r="AG1130" s="262">
        <v>76985.34</v>
      </c>
      <c r="AI1130" s="261">
        <v>1126</v>
      </c>
      <c r="AJ1130" s="262">
        <v>32233</v>
      </c>
      <c r="AL1130" s="261"/>
      <c r="AM1130" s="262"/>
    </row>
    <row r="1131" spans="14:39" ht="12.75" customHeight="1">
      <c r="N1131" s="261">
        <v>1127</v>
      </c>
      <c r="O1131" s="262">
        <v>12638.19</v>
      </c>
      <c r="AC1131" s="261">
        <v>1127</v>
      </c>
      <c r="AD1131" s="262">
        <v>28823.770000000306</v>
      </c>
      <c r="AF1131" s="261">
        <v>1127</v>
      </c>
      <c r="AG1131" s="262">
        <v>77053.84</v>
      </c>
      <c r="AI1131" s="261">
        <v>1127</v>
      </c>
      <c r="AJ1131" s="262">
        <v>32262</v>
      </c>
      <c r="AL1131" s="261"/>
      <c r="AM1131" s="262"/>
    </row>
    <row r="1132" spans="14:39" ht="12.75" customHeight="1">
      <c r="N1132" s="261">
        <v>1128</v>
      </c>
      <c r="O1132" s="262">
        <v>12649.3</v>
      </c>
      <c r="AC1132" s="261">
        <v>1128</v>
      </c>
      <c r="AD1132" s="262">
        <v>28849.470000000307</v>
      </c>
      <c r="AF1132" s="261">
        <v>1128</v>
      </c>
      <c r="AG1132" s="262">
        <v>77122.34</v>
      </c>
      <c r="AI1132" s="261">
        <v>1128</v>
      </c>
      <c r="AJ1132" s="262">
        <v>32290</v>
      </c>
      <c r="AL1132" s="261"/>
      <c r="AM1132" s="262"/>
    </row>
    <row r="1133" spans="14:39" ht="12.75" customHeight="1">
      <c r="N1133" s="261">
        <v>1129</v>
      </c>
      <c r="O1133" s="262">
        <v>12660.41</v>
      </c>
      <c r="AC1133" s="261">
        <v>1129</v>
      </c>
      <c r="AD1133" s="262">
        <v>28875.160000000309</v>
      </c>
      <c r="AF1133" s="261">
        <v>1129</v>
      </c>
      <c r="AG1133" s="262">
        <v>77190.850000000006</v>
      </c>
      <c r="AI1133" s="261">
        <v>1129</v>
      </c>
      <c r="AJ1133" s="262">
        <v>32318</v>
      </c>
      <c r="AL1133" s="261"/>
      <c r="AM1133" s="262"/>
    </row>
    <row r="1134" spans="14:39" ht="12.75" customHeight="1">
      <c r="N1134" s="261">
        <v>1130</v>
      </c>
      <c r="O1134" s="262">
        <v>12671.53</v>
      </c>
      <c r="AC1134" s="261">
        <v>1130</v>
      </c>
      <c r="AD1134" s="262">
        <v>28900.860000000306</v>
      </c>
      <c r="AF1134" s="261">
        <v>1130</v>
      </c>
      <c r="AG1134" s="262">
        <v>77259.350000000006</v>
      </c>
      <c r="AI1134" s="261">
        <v>1130</v>
      </c>
      <c r="AJ1134" s="262">
        <v>32347</v>
      </c>
      <c r="AL1134" s="261"/>
      <c r="AM1134" s="262"/>
    </row>
    <row r="1135" spans="14:39" ht="12.75" customHeight="1">
      <c r="N1135" s="261">
        <v>1131</v>
      </c>
      <c r="O1135" s="262">
        <v>12682.64</v>
      </c>
      <c r="AC1135" s="261">
        <v>1131</v>
      </c>
      <c r="AD1135" s="262">
        <v>28926.550000000309</v>
      </c>
      <c r="AF1135" s="261">
        <v>1131</v>
      </c>
      <c r="AG1135" s="262">
        <v>77327.86</v>
      </c>
      <c r="AI1135" s="261">
        <v>1131</v>
      </c>
      <c r="AJ1135" s="262">
        <v>32375</v>
      </c>
      <c r="AL1135" s="261"/>
      <c r="AM1135" s="262"/>
    </row>
    <row r="1136" spans="14:39" ht="12.75" customHeight="1">
      <c r="N1136" s="261">
        <v>1132</v>
      </c>
      <c r="O1136" s="262">
        <v>12693.75</v>
      </c>
      <c r="AC1136" s="261">
        <v>1132</v>
      </c>
      <c r="AD1136" s="262">
        <v>28952.250000000309</v>
      </c>
      <c r="AF1136" s="261">
        <v>1132</v>
      </c>
      <c r="AG1136" s="262">
        <v>77396.36</v>
      </c>
      <c r="AI1136" s="261">
        <v>1132</v>
      </c>
      <c r="AJ1136" s="262">
        <v>32403</v>
      </c>
      <c r="AL1136" s="261"/>
      <c r="AM1136" s="262"/>
    </row>
    <row r="1137" spans="14:39" ht="12.75" customHeight="1">
      <c r="N1137" s="261">
        <v>1133</v>
      </c>
      <c r="O1137" s="262">
        <v>12704.87</v>
      </c>
      <c r="AC1137" s="261">
        <v>1133</v>
      </c>
      <c r="AD1137" s="262">
        <v>28977.95000000031</v>
      </c>
      <c r="AF1137" s="261">
        <v>1133</v>
      </c>
      <c r="AG1137" s="262">
        <v>77464.86</v>
      </c>
      <c r="AI1137" s="261">
        <v>1133</v>
      </c>
      <c r="AJ1137" s="262">
        <v>32432</v>
      </c>
      <c r="AL1137" s="261"/>
      <c r="AM1137" s="262"/>
    </row>
    <row r="1138" spans="14:39" ht="12.75" customHeight="1">
      <c r="N1138" s="261">
        <v>1134</v>
      </c>
      <c r="O1138" s="262">
        <v>12715.98</v>
      </c>
      <c r="AC1138" s="261">
        <v>1134</v>
      </c>
      <c r="AD1138" s="262">
        <v>29003.640000000312</v>
      </c>
      <c r="AF1138" s="261">
        <v>1134</v>
      </c>
      <c r="AG1138" s="262">
        <v>77533.37</v>
      </c>
      <c r="AI1138" s="261">
        <v>1134</v>
      </c>
      <c r="AJ1138" s="262">
        <v>32460</v>
      </c>
      <c r="AL1138" s="261"/>
      <c r="AM1138" s="262"/>
    </row>
    <row r="1139" spans="14:39" ht="12.75" customHeight="1">
      <c r="N1139" s="261">
        <v>1135</v>
      </c>
      <c r="O1139" s="262">
        <v>12727.09</v>
      </c>
      <c r="AC1139" s="261">
        <v>1135</v>
      </c>
      <c r="AD1139" s="262">
        <v>29029.340000000309</v>
      </c>
      <c r="AF1139" s="261">
        <v>1135</v>
      </c>
      <c r="AG1139" s="262">
        <v>77601.87</v>
      </c>
      <c r="AI1139" s="261">
        <v>1135</v>
      </c>
      <c r="AJ1139" s="262">
        <v>32489</v>
      </c>
      <c r="AL1139" s="261"/>
      <c r="AM1139" s="262"/>
    </row>
    <row r="1140" spans="14:39" ht="12.75" customHeight="1">
      <c r="N1140" s="261">
        <v>1136</v>
      </c>
      <c r="O1140" s="262">
        <v>12738.21</v>
      </c>
      <c r="AC1140" s="261">
        <v>1136</v>
      </c>
      <c r="AD1140" s="262">
        <v>29055.030000000312</v>
      </c>
      <c r="AF1140" s="261">
        <v>1136</v>
      </c>
      <c r="AG1140" s="262">
        <v>77670.38</v>
      </c>
      <c r="AI1140" s="261">
        <v>1136</v>
      </c>
      <c r="AJ1140" s="262">
        <v>32517</v>
      </c>
      <c r="AL1140" s="261"/>
      <c r="AM1140" s="262"/>
    </row>
    <row r="1141" spans="14:39" ht="12.75" customHeight="1">
      <c r="N1141" s="261">
        <v>1137</v>
      </c>
      <c r="O1141" s="262">
        <v>12749.32</v>
      </c>
      <c r="AC1141" s="261">
        <v>1137</v>
      </c>
      <c r="AD1141" s="262">
        <v>29080.730000000312</v>
      </c>
      <c r="AF1141" s="261">
        <v>1137</v>
      </c>
      <c r="AG1141" s="262">
        <v>77738.880000000005</v>
      </c>
      <c r="AI1141" s="261">
        <v>1137</v>
      </c>
      <c r="AJ1141" s="262">
        <v>32545</v>
      </c>
      <c r="AL1141" s="261"/>
      <c r="AM1141" s="262"/>
    </row>
    <row r="1142" spans="14:39" ht="12.75" customHeight="1">
      <c r="N1142" s="261">
        <v>1138</v>
      </c>
      <c r="O1142" s="262">
        <v>12760.43</v>
      </c>
      <c r="AC1142" s="261">
        <v>1138</v>
      </c>
      <c r="AD1142" s="262">
        <v>29106.430000000313</v>
      </c>
      <c r="AF1142" s="261">
        <v>1138</v>
      </c>
      <c r="AG1142" s="262">
        <v>77807.38</v>
      </c>
      <c r="AI1142" s="261">
        <v>1138</v>
      </c>
      <c r="AJ1142" s="262">
        <v>32574</v>
      </c>
      <c r="AL1142" s="261"/>
      <c r="AM1142" s="262"/>
    </row>
    <row r="1143" spans="14:39" ht="12.75" customHeight="1">
      <c r="N1143" s="261">
        <v>1139</v>
      </c>
      <c r="O1143" s="262">
        <v>12771.55</v>
      </c>
      <c r="AC1143" s="261">
        <v>1139</v>
      </c>
      <c r="AD1143" s="262">
        <v>29132.120000000315</v>
      </c>
      <c r="AF1143" s="261">
        <v>1139</v>
      </c>
      <c r="AG1143" s="262">
        <v>77875.89</v>
      </c>
      <c r="AI1143" s="261">
        <v>1139</v>
      </c>
      <c r="AJ1143" s="262">
        <v>32602</v>
      </c>
      <c r="AL1143" s="261"/>
      <c r="AM1143" s="262"/>
    </row>
    <row r="1144" spans="14:39" ht="12.75" customHeight="1">
      <c r="N1144" s="261">
        <v>1140</v>
      </c>
      <c r="O1144" s="262">
        <v>12782.66</v>
      </c>
      <c r="AC1144" s="261">
        <v>1140</v>
      </c>
      <c r="AD1144" s="262">
        <v>29157.820000000313</v>
      </c>
      <c r="AF1144" s="261">
        <v>1140</v>
      </c>
      <c r="AG1144" s="262">
        <v>77944.39</v>
      </c>
      <c r="AI1144" s="261">
        <v>1140</v>
      </c>
      <c r="AJ1144" s="262">
        <v>32631</v>
      </c>
      <c r="AL1144" s="261"/>
      <c r="AM1144" s="262"/>
    </row>
    <row r="1145" spans="14:39" ht="12.75" customHeight="1">
      <c r="N1145" s="261">
        <v>1141</v>
      </c>
      <c r="O1145" s="262">
        <v>12793.77</v>
      </c>
      <c r="AC1145" s="261">
        <v>1141</v>
      </c>
      <c r="AD1145" s="262">
        <v>29183.510000000315</v>
      </c>
      <c r="AF1145" s="261">
        <v>1141</v>
      </c>
      <c r="AG1145" s="262">
        <v>78012.899999999994</v>
      </c>
      <c r="AI1145" s="261">
        <v>1141</v>
      </c>
      <c r="AJ1145" s="262">
        <v>32659</v>
      </c>
      <c r="AL1145" s="261"/>
      <c r="AM1145" s="262"/>
    </row>
    <row r="1146" spans="14:39" ht="12.75" customHeight="1">
      <c r="N1146" s="261">
        <v>1142</v>
      </c>
      <c r="O1146" s="262">
        <v>12804.88</v>
      </c>
      <c r="AC1146" s="261">
        <v>1142</v>
      </c>
      <c r="AD1146" s="262">
        <v>29209.210000000316</v>
      </c>
      <c r="AF1146" s="261">
        <v>1142</v>
      </c>
      <c r="AG1146" s="262">
        <v>78081.399999999994</v>
      </c>
      <c r="AI1146" s="261">
        <v>1142</v>
      </c>
      <c r="AJ1146" s="262">
        <v>32687</v>
      </c>
      <c r="AL1146" s="261"/>
      <c r="AM1146" s="262"/>
    </row>
    <row r="1147" spans="14:39" ht="12.75" customHeight="1">
      <c r="N1147" s="261">
        <v>1143</v>
      </c>
      <c r="O1147" s="262">
        <v>12816</v>
      </c>
      <c r="AC1147" s="261">
        <v>1143</v>
      </c>
      <c r="AD1147" s="262">
        <v>29234.910000000316</v>
      </c>
      <c r="AF1147" s="261">
        <v>1143</v>
      </c>
      <c r="AG1147" s="262">
        <v>78149.899999999994</v>
      </c>
      <c r="AI1147" s="261">
        <v>1143</v>
      </c>
      <c r="AJ1147" s="262">
        <v>32716</v>
      </c>
      <c r="AL1147" s="261"/>
      <c r="AM1147" s="262"/>
    </row>
    <row r="1148" spans="14:39" ht="12.75" customHeight="1">
      <c r="N1148" s="261">
        <v>1144</v>
      </c>
      <c r="O1148" s="262">
        <v>12827.11</v>
      </c>
      <c r="AC1148" s="261">
        <v>1144</v>
      </c>
      <c r="AD1148" s="262">
        <v>29260.600000000319</v>
      </c>
      <c r="AF1148" s="261">
        <v>1144</v>
      </c>
      <c r="AG1148" s="262">
        <v>78218.41</v>
      </c>
      <c r="AI1148" s="261">
        <v>1144</v>
      </c>
      <c r="AJ1148" s="262">
        <v>32744</v>
      </c>
      <c r="AL1148" s="261"/>
      <c r="AM1148" s="262"/>
    </row>
    <row r="1149" spans="14:39" ht="12.75" customHeight="1">
      <c r="N1149" s="261">
        <v>1145</v>
      </c>
      <c r="O1149" s="262">
        <v>12838.22</v>
      </c>
      <c r="AC1149" s="261">
        <v>1145</v>
      </c>
      <c r="AD1149" s="262">
        <v>29286.300000000316</v>
      </c>
      <c r="AF1149" s="261">
        <v>1145</v>
      </c>
      <c r="AG1149" s="262">
        <v>78286.91</v>
      </c>
      <c r="AI1149" s="261">
        <v>1145</v>
      </c>
      <c r="AJ1149" s="262">
        <v>32772</v>
      </c>
      <c r="AL1149" s="261"/>
      <c r="AM1149" s="262"/>
    </row>
    <row r="1150" spans="14:39" ht="12.75" customHeight="1">
      <c r="N1150" s="261">
        <v>1146</v>
      </c>
      <c r="O1150" s="262">
        <v>12849.34</v>
      </c>
      <c r="AC1150" s="261">
        <v>1146</v>
      </c>
      <c r="AD1150" s="262">
        <v>29311.990000000318</v>
      </c>
      <c r="AF1150" s="261">
        <v>1146</v>
      </c>
      <c r="AG1150" s="262">
        <v>78355.42</v>
      </c>
      <c r="AI1150" s="261">
        <v>1146</v>
      </c>
      <c r="AJ1150" s="262">
        <v>32801</v>
      </c>
      <c r="AL1150" s="261"/>
      <c r="AM1150" s="262"/>
    </row>
    <row r="1151" spans="14:39" ht="12.75" customHeight="1">
      <c r="N1151" s="261">
        <v>1147</v>
      </c>
      <c r="O1151" s="262">
        <v>12860.45</v>
      </c>
      <c r="AC1151" s="261">
        <v>1147</v>
      </c>
      <c r="AD1151" s="262">
        <v>29337.690000000319</v>
      </c>
      <c r="AF1151" s="261">
        <v>1147</v>
      </c>
      <c r="AG1151" s="262">
        <v>78423.92</v>
      </c>
      <c r="AI1151" s="261">
        <v>1147</v>
      </c>
      <c r="AJ1151" s="262">
        <v>32829</v>
      </c>
      <c r="AL1151" s="261"/>
      <c r="AM1151" s="262"/>
    </row>
    <row r="1152" spans="14:39" ht="12.75" customHeight="1">
      <c r="N1152" s="261">
        <v>1148</v>
      </c>
      <c r="O1152" s="262">
        <v>12871.56</v>
      </c>
      <c r="AC1152" s="261">
        <v>1148</v>
      </c>
      <c r="AD1152" s="262">
        <v>29363.39000000032</v>
      </c>
      <c r="AF1152" s="261">
        <v>1148</v>
      </c>
      <c r="AG1152" s="262">
        <v>78492.42</v>
      </c>
      <c r="AI1152" s="261">
        <v>1148</v>
      </c>
      <c r="AJ1152" s="262">
        <v>32858</v>
      </c>
      <c r="AL1152" s="261"/>
      <c r="AM1152" s="262"/>
    </row>
    <row r="1153" spans="14:39" ht="12.75" customHeight="1">
      <c r="N1153" s="261">
        <v>1149</v>
      </c>
      <c r="O1153" s="262">
        <v>12882.68</v>
      </c>
      <c r="AC1153" s="261">
        <v>1149</v>
      </c>
      <c r="AD1153" s="262">
        <v>29389.080000000322</v>
      </c>
      <c r="AF1153" s="261">
        <v>1149</v>
      </c>
      <c r="AG1153" s="262">
        <v>78560.929999999993</v>
      </c>
      <c r="AI1153" s="261">
        <v>1149</v>
      </c>
      <c r="AJ1153" s="262">
        <v>32886</v>
      </c>
      <c r="AL1153" s="261"/>
      <c r="AM1153" s="262"/>
    </row>
    <row r="1154" spans="14:39" ht="12.75" customHeight="1">
      <c r="N1154" s="261">
        <v>1150</v>
      </c>
      <c r="O1154" s="262">
        <v>12893.79</v>
      </c>
      <c r="AC1154" s="261">
        <v>1150</v>
      </c>
      <c r="AD1154" s="262">
        <v>29414.780000000319</v>
      </c>
      <c r="AF1154" s="261">
        <v>1150</v>
      </c>
      <c r="AG1154" s="262">
        <v>78629.429999999993</v>
      </c>
      <c r="AI1154" s="261">
        <v>1150</v>
      </c>
      <c r="AJ1154" s="262">
        <v>32914</v>
      </c>
      <c r="AL1154" s="261"/>
      <c r="AM1154" s="262"/>
    </row>
    <row r="1155" spans="14:39" ht="12.75" customHeight="1">
      <c r="N1155" s="261">
        <v>1151</v>
      </c>
      <c r="O1155" s="262">
        <v>12904.91</v>
      </c>
      <c r="AC1155" s="261">
        <v>1151</v>
      </c>
      <c r="AD1155" s="262">
        <v>29440.470000000321</v>
      </c>
      <c r="AF1155" s="261">
        <v>1151</v>
      </c>
      <c r="AG1155" s="262">
        <v>78697.94</v>
      </c>
      <c r="AI1155" s="261">
        <v>1151</v>
      </c>
      <c r="AJ1155" s="262">
        <v>32943</v>
      </c>
      <c r="AL1155" s="261"/>
      <c r="AM1155" s="262"/>
    </row>
    <row r="1156" spans="14:39" ht="12.75" customHeight="1">
      <c r="N1156" s="261">
        <v>1152</v>
      </c>
      <c r="O1156" s="262">
        <v>12916.02</v>
      </c>
      <c r="AC1156" s="261">
        <v>1152</v>
      </c>
      <c r="AD1156" s="262">
        <v>29466.170000000322</v>
      </c>
      <c r="AF1156" s="261">
        <v>1152</v>
      </c>
      <c r="AG1156" s="262">
        <v>78766.44</v>
      </c>
      <c r="AI1156" s="261">
        <v>1152</v>
      </c>
      <c r="AJ1156" s="262">
        <v>32971</v>
      </c>
      <c r="AL1156" s="261"/>
      <c r="AM1156" s="262"/>
    </row>
    <row r="1157" spans="14:39" ht="12.75" customHeight="1">
      <c r="N1157" s="261">
        <v>1153</v>
      </c>
      <c r="O1157" s="262">
        <v>12927.13</v>
      </c>
      <c r="AC1157" s="261">
        <v>1153</v>
      </c>
      <c r="AD1157" s="262">
        <v>29491.870000000323</v>
      </c>
      <c r="AF1157" s="261">
        <v>1153</v>
      </c>
      <c r="AG1157" s="262">
        <v>78834.94</v>
      </c>
      <c r="AI1157" s="261">
        <v>1153</v>
      </c>
      <c r="AJ1157" s="262">
        <v>33000</v>
      </c>
      <c r="AL1157" s="261"/>
      <c r="AM1157" s="262"/>
    </row>
    <row r="1158" spans="14:39" ht="12.75" customHeight="1">
      <c r="N1158" s="261">
        <v>1154</v>
      </c>
      <c r="O1158" s="262">
        <v>12938.24</v>
      </c>
      <c r="AC1158" s="261">
        <v>1154</v>
      </c>
      <c r="AD1158" s="262">
        <v>29517.560000000325</v>
      </c>
      <c r="AF1158" s="261">
        <v>1154</v>
      </c>
      <c r="AG1158" s="262">
        <v>78903.45</v>
      </c>
      <c r="AI1158" s="261">
        <v>1154</v>
      </c>
      <c r="AJ1158" s="262">
        <v>33028</v>
      </c>
      <c r="AL1158" s="261"/>
      <c r="AM1158" s="262"/>
    </row>
    <row r="1159" spans="14:39" ht="12.75" customHeight="1">
      <c r="N1159" s="261">
        <v>1155</v>
      </c>
      <c r="O1159" s="262">
        <v>12949.36</v>
      </c>
      <c r="AC1159" s="261">
        <v>1155</v>
      </c>
      <c r="AD1159" s="262">
        <v>29543.260000000322</v>
      </c>
      <c r="AF1159" s="261">
        <v>1155</v>
      </c>
      <c r="AG1159" s="262">
        <v>78971.95</v>
      </c>
      <c r="AI1159" s="261">
        <v>1155</v>
      </c>
      <c r="AJ1159" s="262">
        <v>33056</v>
      </c>
      <c r="AL1159" s="261"/>
      <c r="AM1159" s="262"/>
    </row>
    <row r="1160" spans="14:39" ht="12.75" customHeight="1">
      <c r="N1160" s="261">
        <v>1156</v>
      </c>
      <c r="O1160" s="262">
        <v>12960.47</v>
      </c>
      <c r="AC1160" s="261">
        <v>1156</v>
      </c>
      <c r="AD1160" s="262">
        <v>29568.950000000325</v>
      </c>
      <c r="AF1160" s="261">
        <v>1156</v>
      </c>
      <c r="AG1160" s="262">
        <v>79040.460000000006</v>
      </c>
      <c r="AI1160" s="261">
        <v>1156</v>
      </c>
      <c r="AJ1160" s="262">
        <v>33085</v>
      </c>
      <c r="AL1160" s="261"/>
      <c r="AM1160" s="262"/>
    </row>
    <row r="1161" spans="14:39" ht="12.75" customHeight="1">
      <c r="N1161" s="261">
        <v>1157</v>
      </c>
      <c r="O1161" s="262">
        <v>12971.58</v>
      </c>
      <c r="AC1161" s="261">
        <v>1157</v>
      </c>
      <c r="AD1161" s="262">
        <v>29594.650000000325</v>
      </c>
      <c r="AF1161" s="261">
        <v>1157</v>
      </c>
      <c r="AG1161" s="262">
        <v>79108.960000000006</v>
      </c>
      <c r="AI1161" s="261">
        <v>1157</v>
      </c>
      <c r="AJ1161" s="262">
        <v>33113</v>
      </c>
      <c r="AL1161" s="261"/>
      <c r="AM1161" s="262"/>
    </row>
    <row r="1162" spans="14:39" ht="12.75" customHeight="1">
      <c r="N1162" s="261">
        <v>1158</v>
      </c>
      <c r="O1162" s="262">
        <v>12982.7</v>
      </c>
      <c r="AC1162" s="261">
        <v>1158</v>
      </c>
      <c r="AD1162" s="262">
        <v>29620.350000000326</v>
      </c>
      <c r="AF1162" s="261">
        <v>1158</v>
      </c>
      <c r="AG1162" s="262">
        <v>79177.460000000006</v>
      </c>
      <c r="AI1162" s="261">
        <v>1158</v>
      </c>
      <c r="AJ1162" s="262">
        <v>33141</v>
      </c>
      <c r="AL1162" s="261"/>
      <c r="AM1162" s="262"/>
    </row>
    <row r="1163" spans="14:39" ht="12.75" customHeight="1">
      <c r="N1163" s="261">
        <v>1159</v>
      </c>
      <c r="O1163" s="262">
        <v>12993.81</v>
      </c>
      <c r="AC1163" s="261">
        <v>1159</v>
      </c>
      <c r="AD1163" s="262">
        <v>29646.040000000328</v>
      </c>
      <c r="AF1163" s="261">
        <v>1159</v>
      </c>
      <c r="AG1163" s="262">
        <v>79245.97</v>
      </c>
      <c r="AI1163" s="261">
        <v>1159</v>
      </c>
      <c r="AJ1163" s="262">
        <v>33170</v>
      </c>
      <c r="AL1163" s="261"/>
      <c r="AM1163" s="262"/>
    </row>
    <row r="1164" spans="14:39" ht="12.75" customHeight="1">
      <c r="N1164" s="261">
        <v>1160</v>
      </c>
      <c r="O1164" s="262">
        <v>13004.92</v>
      </c>
      <c r="AC1164" s="261">
        <v>1160</v>
      </c>
      <c r="AD1164" s="262">
        <v>29671.740000000325</v>
      </c>
      <c r="AF1164" s="261">
        <v>1160</v>
      </c>
      <c r="AG1164" s="262">
        <v>79314.47</v>
      </c>
      <c r="AI1164" s="261">
        <v>1160</v>
      </c>
      <c r="AJ1164" s="262">
        <v>33198</v>
      </c>
      <c r="AL1164" s="261"/>
      <c r="AM1164" s="262"/>
    </row>
    <row r="1165" spans="14:39" ht="12.75" customHeight="1">
      <c r="N1165" s="261">
        <v>1161</v>
      </c>
      <c r="O1165" s="262">
        <v>13016.04</v>
      </c>
      <c r="AC1165" s="261">
        <v>1161</v>
      </c>
      <c r="AD1165" s="262">
        <v>29697.430000000328</v>
      </c>
      <c r="AF1165" s="261">
        <v>1161</v>
      </c>
      <c r="AG1165" s="262">
        <v>79382.98</v>
      </c>
      <c r="AI1165" s="261">
        <v>1161</v>
      </c>
      <c r="AJ1165" s="262">
        <v>33227</v>
      </c>
      <c r="AL1165" s="261"/>
      <c r="AM1165" s="262"/>
    </row>
    <row r="1166" spans="14:39" ht="12.75" customHeight="1">
      <c r="N1166" s="261">
        <v>1162</v>
      </c>
      <c r="O1166" s="262">
        <v>13027.15</v>
      </c>
      <c r="AC1166" s="261">
        <v>1162</v>
      </c>
      <c r="AD1166" s="262">
        <v>29723.130000000328</v>
      </c>
      <c r="AF1166" s="261">
        <v>1162</v>
      </c>
      <c r="AG1166" s="262">
        <v>79451.48</v>
      </c>
      <c r="AI1166" s="261">
        <v>1162</v>
      </c>
      <c r="AJ1166" s="262">
        <v>33255</v>
      </c>
      <c r="AL1166" s="261"/>
      <c r="AM1166" s="262"/>
    </row>
    <row r="1167" spans="14:39" ht="12.75" customHeight="1">
      <c r="N1167" s="261">
        <v>1163</v>
      </c>
      <c r="O1167" s="262">
        <v>13038.26</v>
      </c>
      <c r="AC1167" s="261">
        <v>1163</v>
      </c>
      <c r="AD1167" s="262">
        <v>29748.830000000329</v>
      </c>
      <c r="AF1167" s="261">
        <v>1163</v>
      </c>
      <c r="AG1167" s="262">
        <v>79519.98</v>
      </c>
      <c r="AI1167" s="261">
        <v>1163</v>
      </c>
      <c r="AJ1167" s="262">
        <v>33283</v>
      </c>
      <c r="AL1167" s="261"/>
      <c r="AM1167" s="262"/>
    </row>
    <row r="1168" spans="14:39" ht="12.75" customHeight="1">
      <c r="N1168" s="261">
        <v>1164</v>
      </c>
      <c r="O1168" s="262">
        <v>13049.38</v>
      </c>
      <c r="AC1168" s="261">
        <v>1164</v>
      </c>
      <c r="AD1168" s="262">
        <v>29774.520000000331</v>
      </c>
      <c r="AF1168" s="261">
        <v>1164</v>
      </c>
      <c r="AG1168" s="262">
        <v>79588.490000000005</v>
      </c>
      <c r="AI1168" s="261">
        <v>1164</v>
      </c>
      <c r="AJ1168" s="262">
        <v>33312</v>
      </c>
      <c r="AL1168" s="261"/>
      <c r="AM1168" s="262"/>
    </row>
    <row r="1169" spans="14:39" ht="12.75" customHeight="1">
      <c r="N1169" s="261">
        <v>1165</v>
      </c>
      <c r="O1169" s="262">
        <v>13060.49</v>
      </c>
      <c r="AC1169" s="261">
        <v>1165</v>
      </c>
      <c r="AD1169" s="262">
        <v>29800.220000000329</v>
      </c>
      <c r="AF1169" s="261">
        <v>1165</v>
      </c>
      <c r="AG1169" s="262">
        <v>79656.990000000005</v>
      </c>
      <c r="AI1169" s="261">
        <v>1165</v>
      </c>
      <c r="AJ1169" s="262">
        <v>33340</v>
      </c>
      <c r="AL1169" s="261"/>
      <c r="AM1169" s="262"/>
    </row>
    <row r="1170" spans="14:39" ht="12.75" customHeight="1">
      <c r="N1170" s="261">
        <v>1166</v>
      </c>
      <c r="O1170" s="262">
        <v>13071.6</v>
      </c>
      <c r="AC1170" s="261">
        <v>1166</v>
      </c>
      <c r="AD1170" s="262">
        <v>29825.910000000331</v>
      </c>
      <c r="AF1170" s="261">
        <v>1166</v>
      </c>
      <c r="AG1170" s="262">
        <v>79725.5</v>
      </c>
      <c r="AI1170" s="261">
        <v>1166</v>
      </c>
      <c r="AJ1170" s="262">
        <v>33368</v>
      </c>
      <c r="AL1170" s="261"/>
      <c r="AM1170" s="262"/>
    </row>
    <row r="1171" spans="14:39" ht="12.75" customHeight="1">
      <c r="N1171" s="261">
        <v>1167</v>
      </c>
      <c r="O1171" s="262">
        <v>13082.72</v>
      </c>
      <c r="AC1171" s="261">
        <v>1167</v>
      </c>
      <c r="AD1171" s="262">
        <v>29851.610000000332</v>
      </c>
      <c r="AF1171" s="261">
        <v>1167</v>
      </c>
      <c r="AG1171" s="262">
        <v>79794</v>
      </c>
      <c r="AI1171" s="261">
        <v>1167</v>
      </c>
      <c r="AJ1171" s="262">
        <v>33397</v>
      </c>
      <c r="AL1171" s="261"/>
      <c r="AM1171" s="262"/>
    </row>
    <row r="1172" spans="14:39" ht="12.75" customHeight="1">
      <c r="N1172" s="261">
        <v>1168</v>
      </c>
      <c r="O1172" s="262">
        <v>13093.83</v>
      </c>
      <c r="AC1172" s="261">
        <v>1168</v>
      </c>
      <c r="AD1172" s="262">
        <v>29877.310000000332</v>
      </c>
      <c r="AF1172" s="261">
        <v>1168</v>
      </c>
      <c r="AG1172" s="262">
        <v>79862.5</v>
      </c>
      <c r="AI1172" s="261">
        <v>1168</v>
      </c>
      <c r="AJ1172" s="262">
        <v>33425</v>
      </c>
      <c r="AL1172" s="261"/>
      <c r="AM1172" s="262"/>
    </row>
    <row r="1173" spans="14:39" ht="12.75" customHeight="1">
      <c r="N1173" s="261">
        <v>1169</v>
      </c>
      <c r="O1173" s="262">
        <v>13104.94</v>
      </c>
      <c r="AC1173" s="261">
        <v>1169</v>
      </c>
      <c r="AD1173" s="262">
        <v>29903.000000000335</v>
      </c>
      <c r="AF1173" s="261">
        <v>1169</v>
      </c>
      <c r="AG1173" s="262">
        <v>79931.009999999995</v>
      </c>
      <c r="AI1173" s="261">
        <v>1169</v>
      </c>
      <c r="AJ1173" s="262">
        <v>33454</v>
      </c>
      <c r="AL1173" s="261"/>
      <c r="AM1173" s="262"/>
    </row>
    <row r="1174" spans="14:39" ht="12.75" customHeight="1">
      <c r="N1174" s="261">
        <v>1170</v>
      </c>
      <c r="O1174" s="262">
        <v>13116.05</v>
      </c>
      <c r="AC1174" s="261">
        <v>1170</v>
      </c>
      <c r="AD1174" s="262">
        <v>29928.700000000332</v>
      </c>
      <c r="AF1174" s="261">
        <v>1170</v>
      </c>
      <c r="AG1174" s="262">
        <v>79999.509999999995</v>
      </c>
      <c r="AI1174" s="261">
        <v>1170</v>
      </c>
      <c r="AJ1174" s="262">
        <v>33482</v>
      </c>
      <c r="AL1174" s="261"/>
      <c r="AM1174" s="262"/>
    </row>
    <row r="1175" spans="14:39" ht="12.75" customHeight="1">
      <c r="N1175" s="261">
        <v>1171</v>
      </c>
      <c r="O1175" s="262">
        <v>13127.17</v>
      </c>
      <c r="AC1175" s="261">
        <v>1171</v>
      </c>
      <c r="AD1175" s="262">
        <v>29954.390000000334</v>
      </c>
      <c r="AF1175" s="261">
        <v>1171</v>
      </c>
      <c r="AG1175" s="262">
        <v>80068.02</v>
      </c>
      <c r="AI1175" s="261">
        <v>1171</v>
      </c>
      <c r="AJ1175" s="262">
        <v>33510</v>
      </c>
      <c r="AL1175" s="261"/>
      <c r="AM1175" s="262"/>
    </row>
    <row r="1176" spans="14:39" ht="12.75" customHeight="1">
      <c r="N1176" s="261">
        <v>1172</v>
      </c>
      <c r="O1176" s="262">
        <v>13138.28</v>
      </c>
      <c r="AC1176" s="261">
        <v>1172</v>
      </c>
      <c r="AD1176" s="262">
        <v>29980.090000000335</v>
      </c>
      <c r="AF1176" s="261">
        <v>1172</v>
      </c>
      <c r="AG1176" s="262">
        <v>80136.52</v>
      </c>
      <c r="AI1176" s="261">
        <v>1172</v>
      </c>
      <c r="AJ1176" s="262">
        <v>33539</v>
      </c>
      <c r="AL1176" s="261"/>
      <c r="AM1176" s="262"/>
    </row>
    <row r="1177" spans="14:39" ht="12.75" customHeight="1">
      <c r="N1177" s="261">
        <v>1173</v>
      </c>
      <c r="O1177" s="262">
        <v>13149.39</v>
      </c>
      <c r="AC1177" s="261">
        <v>1173</v>
      </c>
      <c r="AD1177" s="262">
        <v>30005.790000000336</v>
      </c>
      <c r="AF1177" s="261">
        <v>1173</v>
      </c>
      <c r="AG1177" s="262">
        <v>80205.02</v>
      </c>
      <c r="AI1177" s="261">
        <v>1173</v>
      </c>
      <c r="AJ1177" s="262">
        <v>33567</v>
      </c>
      <c r="AL1177" s="261"/>
      <c r="AM1177" s="262"/>
    </row>
    <row r="1178" spans="14:39" ht="12.75" customHeight="1">
      <c r="N1178" s="261">
        <v>1174</v>
      </c>
      <c r="O1178" s="262">
        <v>13160.51</v>
      </c>
      <c r="AC1178" s="261">
        <v>1174</v>
      </c>
      <c r="AD1178" s="262">
        <v>30031.480000000338</v>
      </c>
      <c r="AF1178" s="261">
        <v>1174</v>
      </c>
      <c r="AG1178" s="262">
        <v>80273.53</v>
      </c>
      <c r="AI1178" s="261">
        <v>1174</v>
      </c>
      <c r="AJ1178" s="262">
        <v>33596</v>
      </c>
      <c r="AL1178" s="261"/>
      <c r="AM1178" s="262"/>
    </row>
    <row r="1179" spans="14:39" ht="12.75" customHeight="1">
      <c r="N1179" s="261">
        <v>1175</v>
      </c>
      <c r="O1179" s="262">
        <v>13171.62</v>
      </c>
      <c r="AC1179" s="261">
        <v>1175</v>
      </c>
      <c r="AD1179" s="262">
        <v>30057.180000000335</v>
      </c>
      <c r="AF1179" s="261">
        <v>1175</v>
      </c>
      <c r="AG1179" s="262">
        <v>80342.03</v>
      </c>
      <c r="AI1179" s="261">
        <v>1175</v>
      </c>
      <c r="AJ1179" s="262">
        <v>33624</v>
      </c>
      <c r="AL1179" s="261"/>
      <c r="AM1179" s="262"/>
    </row>
    <row r="1180" spans="14:39" ht="12.75" customHeight="1">
      <c r="N1180" s="261">
        <v>1176</v>
      </c>
      <c r="O1180" s="262">
        <v>13182.73</v>
      </c>
      <c r="AC1180" s="261">
        <v>1176</v>
      </c>
      <c r="AD1180" s="262">
        <v>30082.870000000337</v>
      </c>
      <c r="AF1180" s="261">
        <v>1176</v>
      </c>
      <c r="AG1180" s="262">
        <v>80410.539999999994</v>
      </c>
      <c r="AI1180" s="261">
        <v>1176</v>
      </c>
      <c r="AJ1180" s="262">
        <v>33652</v>
      </c>
      <c r="AL1180" s="261"/>
      <c r="AM1180" s="262"/>
    </row>
    <row r="1181" spans="14:39" ht="12.75" customHeight="1">
      <c r="N1181" s="261">
        <v>1177</v>
      </c>
      <c r="O1181" s="262">
        <v>13193.85</v>
      </c>
      <c r="AC1181" s="261">
        <v>1177</v>
      </c>
      <c r="AD1181" s="262">
        <v>30108.570000000338</v>
      </c>
      <c r="AF1181" s="261">
        <v>1177</v>
      </c>
      <c r="AG1181" s="262">
        <v>80479.039999999994</v>
      </c>
      <c r="AI1181" s="261">
        <v>1177</v>
      </c>
      <c r="AJ1181" s="262">
        <v>33681</v>
      </c>
      <c r="AL1181" s="261"/>
      <c r="AM1181" s="262"/>
    </row>
    <row r="1182" spans="14:39" ht="12.75" customHeight="1">
      <c r="N1182" s="261">
        <v>1178</v>
      </c>
      <c r="O1182" s="262">
        <v>13204.96</v>
      </c>
      <c r="AC1182" s="261">
        <v>1178</v>
      </c>
      <c r="AD1182" s="262">
        <v>30134.270000000339</v>
      </c>
      <c r="AF1182" s="261">
        <v>1178</v>
      </c>
      <c r="AG1182" s="262">
        <v>80547.539999999994</v>
      </c>
      <c r="AI1182" s="261">
        <v>1178</v>
      </c>
      <c r="AJ1182" s="262">
        <v>33709</v>
      </c>
      <c r="AL1182" s="261"/>
      <c r="AM1182" s="262"/>
    </row>
    <row r="1183" spans="14:39" ht="12.75" customHeight="1">
      <c r="N1183" s="261">
        <v>1179</v>
      </c>
      <c r="O1183" s="262">
        <v>13216.07</v>
      </c>
      <c r="AC1183" s="261">
        <v>1179</v>
      </c>
      <c r="AD1183" s="262">
        <v>30159.960000000341</v>
      </c>
      <c r="AF1183" s="261">
        <v>1179</v>
      </c>
      <c r="AG1183" s="262">
        <v>80616.05</v>
      </c>
      <c r="AI1183" s="261">
        <v>1179</v>
      </c>
      <c r="AJ1183" s="262">
        <v>33737</v>
      </c>
      <c r="AL1183" s="261"/>
      <c r="AM1183" s="262"/>
    </row>
    <row r="1184" spans="14:39" ht="12.75" customHeight="1">
      <c r="N1184" s="261">
        <v>1180</v>
      </c>
      <c r="O1184" s="262">
        <v>13227.19</v>
      </c>
      <c r="AC1184" s="261">
        <v>1180</v>
      </c>
      <c r="AD1184" s="262">
        <v>30185.660000000338</v>
      </c>
      <c r="AF1184" s="261">
        <v>1180</v>
      </c>
      <c r="AG1184" s="262">
        <v>80684.55</v>
      </c>
      <c r="AI1184" s="261">
        <v>1180</v>
      </c>
      <c r="AJ1184" s="262">
        <v>33766</v>
      </c>
      <c r="AL1184" s="261"/>
      <c r="AM1184" s="262"/>
    </row>
    <row r="1185" spans="14:39" ht="12.75" customHeight="1">
      <c r="N1185" s="261">
        <v>1181</v>
      </c>
      <c r="O1185" s="262">
        <v>13238.3</v>
      </c>
      <c r="AC1185" s="261">
        <v>1181</v>
      </c>
      <c r="AD1185" s="262">
        <v>30211.350000000341</v>
      </c>
      <c r="AF1185" s="261">
        <v>1181</v>
      </c>
      <c r="AG1185" s="262">
        <v>80753.06</v>
      </c>
      <c r="AI1185" s="261">
        <v>1181</v>
      </c>
      <c r="AJ1185" s="262">
        <v>33794</v>
      </c>
      <c r="AL1185" s="261"/>
      <c r="AM1185" s="262"/>
    </row>
    <row r="1186" spans="14:39" ht="12.75" customHeight="1">
      <c r="N1186" s="261">
        <v>1182</v>
      </c>
      <c r="O1186" s="262">
        <v>13249.41</v>
      </c>
      <c r="AC1186" s="261">
        <v>1182</v>
      </c>
      <c r="AD1186" s="262">
        <v>30237.050000000341</v>
      </c>
      <c r="AF1186" s="261">
        <v>1182</v>
      </c>
      <c r="AG1186" s="262">
        <v>80821.56</v>
      </c>
      <c r="AI1186" s="261">
        <v>1182</v>
      </c>
      <c r="AJ1186" s="262">
        <v>33823</v>
      </c>
      <c r="AL1186" s="261"/>
      <c r="AM1186" s="262"/>
    </row>
    <row r="1187" spans="14:39" ht="12.75" customHeight="1">
      <c r="N1187" s="261">
        <v>1183</v>
      </c>
      <c r="O1187" s="262">
        <v>13260.53</v>
      </c>
      <c r="AC1187" s="261">
        <v>1183</v>
      </c>
      <c r="AD1187" s="262">
        <v>30262.750000000342</v>
      </c>
      <c r="AF1187" s="261">
        <v>1183</v>
      </c>
      <c r="AG1187" s="262">
        <v>80890.06</v>
      </c>
      <c r="AI1187" s="261">
        <v>1183</v>
      </c>
      <c r="AJ1187" s="262">
        <v>33851</v>
      </c>
      <c r="AL1187" s="261"/>
      <c r="AM1187" s="262"/>
    </row>
    <row r="1188" spans="14:39" ht="12.75" customHeight="1">
      <c r="N1188" s="261">
        <v>1184</v>
      </c>
      <c r="O1188" s="262">
        <v>13271.64</v>
      </c>
      <c r="AC1188" s="261">
        <v>1184</v>
      </c>
      <c r="AD1188" s="262">
        <v>30288.440000000344</v>
      </c>
      <c r="AF1188" s="261">
        <v>1184</v>
      </c>
      <c r="AG1188" s="262">
        <v>80958.570000000007</v>
      </c>
      <c r="AI1188" s="261">
        <v>1184</v>
      </c>
      <c r="AJ1188" s="262">
        <v>33879</v>
      </c>
      <c r="AL1188" s="261"/>
      <c r="AM1188" s="262"/>
    </row>
    <row r="1189" spans="14:39" ht="12.75" customHeight="1">
      <c r="N1189" s="261">
        <v>1185</v>
      </c>
      <c r="O1189" s="262">
        <v>13282.75</v>
      </c>
      <c r="AC1189" s="261">
        <v>1185</v>
      </c>
      <c r="AD1189" s="262">
        <v>30314.140000000341</v>
      </c>
      <c r="AF1189" s="261">
        <v>1185</v>
      </c>
      <c r="AG1189" s="262">
        <v>81027.070000000007</v>
      </c>
      <c r="AI1189" s="261">
        <v>1185</v>
      </c>
      <c r="AJ1189" s="262">
        <v>33908</v>
      </c>
      <c r="AL1189" s="261"/>
      <c r="AM1189" s="262"/>
    </row>
    <row r="1190" spans="14:39" ht="12.75" customHeight="1">
      <c r="AC1190" s="261">
        <v>1186</v>
      </c>
      <c r="AD1190" s="262">
        <v>30339.830000000344</v>
      </c>
      <c r="AF1190" s="261">
        <v>1186</v>
      </c>
      <c r="AG1190" s="262">
        <v>81095.58</v>
      </c>
      <c r="AI1190" s="261">
        <v>1186</v>
      </c>
      <c r="AJ1190" s="262">
        <v>33936</v>
      </c>
      <c r="AL1190" s="261"/>
      <c r="AM1190" s="262"/>
    </row>
    <row r="1191" spans="14:39" ht="12.75" customHeight="1">
      <c r="AC1191" s="261">
        <v>1187</v>
      </c>
      <c r="AD1191" s="262">
        <v>30365.530000000344</v>
      </c>
      <c r="AF1191" s="261">
        <v>1187</v>
      </c>
      <c r="AG1191" s="262">
        <v>81164.08</v>
      </c>
      <c r="AI1191" s="261">
        <v>1187</v>
      </c>
      <c r="AJ1191" s="262">
        <v>33965</v>
      </c>
      <c r="AL1191" s="261"/>
      <c r="AM1191" s="262"/>
    </row>
    <row r="1192" spans="14:39" ht="12.75" customHeight="1">
      <c r="AC1192" s="261">
        <v>1188</v>
      </c>
      <c r="AD1192" s="262">
        <v>30391.230000000345</v>
      </c>
      <c r="AF1192" s="261">
        <v>1188</v>
      </c>
      <c r="AG1192" s="262">
        <v>81232.58</v>
      </c>
      <c r="AI1192" s="261">
        <v>1188</v>
      </c>
      <c r="AJ1192" s="262">
        <v>33993</v>
      </c>
      <c r="AL1192" s="261"/>
      <c r="AM1192" s="262"/>
    </row>
    <row r="1193" spans="14:39" ht="12.75" customHeight="1">
      <c r="AC1193" s="261">
        <v>1189</v>
      </c>
      <c r="AD1193" s="262">
        <v>30416.920000000347</v>
      </c>
      <c r="AF1193" s="261">
        <v>1189</v>
      </c>
      <c r="AG1193" s="262">
        <v>81301.09</v>
      </c>
      <c r="AI1193" s="261">
        <v>1189</v>
      </c>
      <c r="AJ1193" s="262">
        <v>34021</v>
      </c>
      <c r="AL1193" s="261"/>
      <c r="AM1193" s="262"/>
    </row>
    <row r="1194" spans="14:39" ht="12.75" customHeight="1">
      <c r="AC1194" s="261">
        <v>1190</v>
      </c>
      <c r="AD1194" s="262">
        <v>30442.620000000345</v>
      </c>
      <c r="AF1194" s="261">
        <v>1190</v>
      </c>
      <c r="AG1194" s="262">
        <v>81369.59</v>
      </c>
      <c r="AI1194" s="261">
        <v>1190</v>
      </c>
      <c r="AJ1194" s="262">
        <v>34050</v>
      </c>
      <c r="AL1194" s="261"/>
      <c r="AM1194" s="262"/>
    </row>
    <row r="1195" spans="14:39" ht="12.75" customHeight="1">
      <c r="AC1195" s="261">
        <v>1191</v>
      </c>
      <c r="AD1195" s="262">
        <v>30468.310000000347</v>
      </c>
      <c r="AF1195" s="261">
        <v>1191</v>
      </c>
      <c r="AG1195" s="262">
        <v>81438.100000000006</v>
      </c>
      <c r="AI1195" s="261">
        <v>1191</v>
      </c>
      <c r="AJ1195" s="262">
        <v>34078</v>
      </c>
      <c r="AL1195" s="261"/>
      <c r="AM1195" s="262"/>
    </row>
    <row r="1196" spans="14:39" ht="12.75" customHeight="1">
      <c r="AF1196" s="261">
        <v>1192</v>
      </c>
      <c r="AG1196" s="262">
        <v>81506.600000000006</v>
      </c>
      <c r="AI1196" s="261">
        <v>1192</v>
      </c>
      <c r="AJ1196" s="262">
        <v>34106</v>
      </c>
      <c r="AL1196" s="261"/>
      <c r="AM1196" s="262"/>
    </row>
    <row r="1197" spans="14:39" ht="12.75" customHeight="1">
      <c r="AF1197" s="261">
        <v>1193</v>
      </c>
      <c r="AG1197" s="262">
        <v>81575.100000000006</v>
      </c>
      <c r="AI1197" s="261">
        <v>1193</v>
      </c>
      <c r="AJ1197" s="262">
        <v>34135</v>
      </c>
      <c r="AL1197" s="261"/>
      <c r="AM1197" s="262"/>
    </row>
    <row r="1198" spans="14:39" ht="12.75" customHeight="1">
      <c r="AF1198" s="261">
        <v>1194</v>
      </c>
      <c r="AG1198" s="262">
        <v>81643.61</v>
      </c>
      <c r="AI1198" s="261">
        <v>1194</v>
      </c>
      <c r="AJ1198" s="262">
        <v>34163</v>
      </c>
      <c r="AL1198" s="261"/>
      <c r="AM1198" s="262"/>
    </row>
    <row r="1199" spans="14:39" ht="12.75" customHeight="1">
      <c r="AF1199" s="261">
        <v>1195</v>
      </c>
      <c r="AG1199" s="262">
        <v>81712.11</v>
      </c>
      <c r="AI1199" s="261">
        <v>1195</v>
      </c>
      <c r="AJ1199" s="262">
        <v>34192</v>
      </c>
      <c r="AL1199" s="261"/>
      <c r="AM1199" s="262"/>
    </row>
    <row r="1200" spans="14:39" ht="12.75" customHeight="1">
      <c r="AF1200" s="261">
        <v>1196</v>
      </c>
      <c r="AG1200" s="262">
        <v>81780.62</v>
      </c>
      <c r="AI1200" s="261">
        <v>1196</v>
      </c>
      <c r="AJ1200" s="262">
        <v>34220</v>
      </c>
      <c r="AL1200" s="261"/>
      <c r="AM1200" s="262"/>
    </row>
    <row r="1201" spans="32:39" ht="12.75" customHeight="1">
      <c r="AF1201" s="261">
        <v>1197</v>
      </c>
      <c r="AG1201" s="262">
        <v>81849.119999999995</v>
      </c>
      <c r="AI1201" s="261">
        <v>1197</v>
      </c>
      <c r="AJ1201" s="262">
        <v>34248</v>
      </c>
      <c r="AL1201" s="261"/>
      <c r="AM1201" s="262"/>
    </row>
    <row r="1202" spans="32:39" ht="12.75" customHeight="1">
      <c r="AF1202" s="261">
        <v>1198</v>
      </c>
      <c r="AG1202" s="262">
        <v>81917.62</v>
      </c>
    </row>
    <row r="1203" spans="32:39" ht="12.75" customHeight="1">
      <c r="AF1203" s="261">
        <v>1199</v>
      </c>
      <c r="AG1203" s="262">
        <v>81986.13</v>
      </c>
    </row>
    <row r="1204" spans="32:39" ht="12.75" customHeight="1">
      <c r="AF1204" s="261">
        <v>1200</v>
      </c>
      <c r="AG1204" s="262">
        <v>82054.63</v>
      </c>
    </row>
    <row r="1205" spans="32:39" ht="12.75" customHeight="1">
      <c r="AF1205" s="261">
        <v>1201</v>
      </c>
      <c r="AG1205" s="262">
        <v>82123.14</v>
      </c>
    </row>
    <row r="1206" spans="32:39" ht="12.75" customHeight="1">
      <c r="AF1206" s="261">
        <v>1202</v>
      </c>
      <c r="AG1206" s="262">
        <v>82191.64</v>
      </c>
    </row>
    <row r="1207" spans="32:39" ht="12.75" customHeight="1">
      <c r="AF1207" s="261">
        <v>1203</v>
      </c>
      <c r="AG1207" s="262">
        <v>82260.14</v>
      </c>
    </row>
    <row r="1208" spans="32:39" ht="12.75" customHeight="1">
      <c r="AF1208" s="261">
        <v>1204</v>
      </c>
      <c r="AG1208" s="262">
        <v>82328.649999999994</v>
      </c>
    </row>
    <row r="1209" spans="32:39" ht="12.75" customHeight="1">
      <c r="AF1209" s="261">
        <v>1205</v>
      </c>
      <c r="AG1209" s="262">
        <v>82397.149999999994</v>
      </c>
    </row>
    <row r="1210" spans="32:39" ht="12.75" customHeight="1">
      <c r="AF1210" s="261">
        <v>1206</v>
      </c>
      <c r="AG1210" s="262">
        <v>82465.66</v>
      </c>
    </row>
    <row r="1211" spans="32:39" ht="12.75" customHeight="1">
      <c r="AF1211" s="261">
        <v>1207</v>
      </c>
      <c r="AG1211" s="262">
        <v>82534.16</v>
      </c>
    </row>
    <row r="1212" spans="32:39" ht="12.75" customHeight="1">
      <c r="AF1212" s="261">
        <v>1208</v>
      </c>
      <c r="AG1212" s="262">
        <v>82602.66</v>
      </c>
    </row>
    <row r="1213" spans="32:39" ht="12.75" customHeight="1">
      <c r="AF1213" s="261">
        <v>1209</v>
      </c>
      <c r="AG1213" s="262">
        <v>82671.17</v>
      </c>
    </row>
    <row r="1214" spans="32:39" ht="12.75" customHeight="1">
      <c r="AF1214" s="261">
        <v>1210</v>
      </c>
      <c r="AG1214" s="262">
        <v>82729.710000000006</v>
      </c>
    </row>
    <row r="1215" spans="32:39" ht="12.75" customHeight="1">
      <c r="AF1215" s="261">
        <v>1211</v>
      </c>
      <c r="AG1215" s="262">
        <v>82788.25</v>
      </c>
    </row>
    <row r="1216" spans="32:39" ht="12.75" customHeight="1">
      <c r="AF1216" s="261">
        <v>1212</v>
      </c>
      <c r="AG1216" s="262">
        <v>82846.78</v>
      </c>
    </row>
    <row r="1217" spans="32:33" ht="12.75" customHeight="1">
      <c r="AF1217" s="261">
        <v>1213</v>
      </c>
      <c r="AG1217" s="262">
        <v>82905.320000000007</v>
      </c>
    </row>
    <row r="1218" spans="32:33" ht="12.75" customHeight="1">
      <c r="AF1218" s="261">
        <v>1214</v>
      </c>
      <c r="AG1218" s="262">
        <v>82963.86</v>
      </c>
    </row>
    <row r="1219" spans="32:33" ht="12.75" customHeight="1">
      <c r="AF1219" s="261">
        <v>1215</v>
      </c>
      <c r="AG1219" s="262">
        <v>83022.399999999994</v>
      </c>
    </row>
    <row r="1220" spans="32:33" ht="12.75" customHeight="1">
      <c r="AF1220" s="261">
        <v>1216</v>
      </c>
      <c r="AG1220" s="262">
        <v>83080.94</v>
      </c>
    </row>
    <row r="1221" spans="32:33" ht="12.75" customHeight="1">
      <c r="AF1221" s="261">
        <v>1217</v>
      </c>
      <c r="AG1221" s="262">
        <v>83139.48</v>
      </c>
    </row>
    <row r="1222" spans="32:33" ht="12.75" customHeight="1">
      <c r="AF1222" s="261">
        <v>1218</v>
      </c>
      <c r="AG1222" s="262">
        <v>83198.02</v>
      </c>
    </row>
    <row r="1223" spans="32:33" ht="12.75" customHeight="1">
      <c r="AF1223" s="261">
        <v>1219</v>
      </c>
      <c r="AG1223" s="262">
        <v>83256.56</v>
      </c>
    </row>
    <row r="1224" spans="32:33" ht="12.75" customHeight="1">
      <c r="AF1224" s="261">
        <v>1220</v>
      </c>
      <c r="AG1224" s="262">
        <v>83315.100000000006</v>
      </c>
    </row>
    <row r="1225" spans="32:33" ht="12.75" customHeight="1">
      <c r="AF1225" s="261">
        <v>1221</v>
      </c>
      <c r="AG1225" s="262">
        <v>83373.64</v>
      </c>
    </row>
    <row r="1226" spans="32:33" ht="12.75" customHeight="1">
      <c r="AF1226" s="261">
        <v>1222</v>
      </c>
      <c r="AG1226" s="262">
        <v>83432.17</v>
      </c>
    </row>
    <row r="1227" spans="32:33" ht="12.75" customHeight="1">
      <c r="AF1227" s="261">
        <v>1223</v>
      </c>
      <c r="AG1227" s="262">
        <v>83490.710000000006</v>
      </c>
    </row>
    <row r="1228" spans="32:33" ht="12.75" customHeight="1">
      <c r="AF1228" s="261">
        <v>1224</v>
      </c>
      <c r="AG1228" s="262">
        <v>83549.25</v>
      </c>
    </row>
    <row r="1229" spans="32:33" ht="12.75" customHeight="1">
      <c r="AF1229" s="261">
        <v>1225</v>
      </c>
      <c r="AG1229" s="262">
        <v>83607.789999999994</v>
      </c>
    </row>
    <row r="1230" spans="32:33" ht="12.75" customHeight="1">
      <c r="AF1230" s="261">
        <v>1226</v>
      </c>
      <c r="AG1230" s="262">
        <v>83666.33</v>
      </c>
    </row>
    <row r="1231" spans="32:33" ht="12.75" customHeight="1">
      <c r="AF1231" s="261">
        <v>1227</v>
      </c>
      <c r="AG1231" s="262">
        <v>83724.87</v>
      </c>
    </row>
    <row r="1232" spans="32:33" ht="12.75" customHeight="1">
      <c r="AF1232" s="261">
        <v>1228</v>
      </c>
      <c r="AG1232" s="262">
        <v>83783.41</v>
      </c>
    </row>
    <row r="1233" spans="32:33" ht="12.75" customHeight="1">
      <c r="AF1233" s="261">
        <v>1229</v>
      </c>
      <c r="AG1233" s="262">
        <v>83841.95</v>
      </c>
    </row>
    <row r="1234" spans="32:33" ht="12.75" customHeight="1">
      <c r="AF1234" s="261">
        <v>1230</v>
      </c>
      <c r="AG1234" s="262">
        <v>83900.49</v>
      </c>
    </row>
    <row r="1235" spans="32:33" ht="12.75" customHeight="1">
      <c r="AF1235" s="261">
        <v>1231</v>
      </c>
      <c r="AG1235" s="262">
        <v>83959.03</v>
      </c>
    </row>
    <row r="1236" spans="32:33" ht="12.75" customHeight="1">
      <c r="AF1236" s="261">
        <v>1232</v>
      </c>
      <c r="AG1236" s="262">
        <v>84017.56</v>
      </c>
    </row>
    <row r="1237" spans="32:33" ht="12.75" customHeight="1">
      <c r="AF1237" s="261">
        <v>1233</v>
      </c>
      <c r="AG1237" s="262">
        <v>84076.1</v>
      </c>
    </row>
    <row r="1238" spans="32:33" ht="12.75" customHeight="1">
      <c r="AF1238" s="261">
        <v>1234</v>
      </c>
      <c r="AG1238" s="262">
        <v>84134.64</v>
      </c>
    </row>
    <row r="1239" spans="32:33" ht="12.75" customHeight="1">
      <c r="AF1239" s="261">
        <v>1235</v>
      </c>
      <c r="AG1239" s="262">
        <v>84193.18</v>
      </c>
    </row>
    <row r="1240" spans="32:33" ht="12.75" customHeight="1">
      <c r="AF1240" s="261">
        <v>1236</v>
      </c>
      <c r="AG1240" s="262">
        <v>84251.72</v>
      </c>
    </row>
    <row r="1241" spans="32:33" ht="12.75" customHeight="1">
      <c r="AF1241" s="261">
        <v>1237</v>
      </c>
      <c r="AG1241" s="262">
        <v>84310.26</v>
      </c>
    </row>
    <row r="1242" spans="32:33" ht="12.75" customHeight="1">
      <c r="AF1242" s="261">
        <v>1238</v>
      </c>
      <c r="AG1242" s="262">
        <v>84368.8</v>
      </c>
    </row>
    <row r="1243" spans="32:33" ht="12.75" customHeight="1">
      <c r="AF1243" s="261">
        <v>1239</v>
      </c>
      <c r="AG1243" s="262">
        <v>84427.34</v>
      </c>
    </row>
    <row r="1244" spans="32:33" ht="12.75" customHeight="1">
      <c r="AF1244" s="261">
        <v>1240</v>
      </c>
      <c r="AG1244" s="262">
        <v>84485.88</v>
      </c>
    </row>
    <row r="1245" spans="32:33" ht="12.75" customHeight="1">
      <c r="AF1245" s="261">
        <v>1241</v>
      </c>
      <c r="AG1245" s="262">
        <v>84544.42</v>
      </c>
    </row>
    <row r="1246" spans="32:33" ht="12.75" customHeight="1">
      <c r="AF1246" s="261">
        <v>1242</v>
      </c>
      <c r="AG1246" s="262">
        <v>84602.95</v>
      </c>
    </row>
    <row r="1247" spans="32:33" ht="12.75" customHeight="1">
      <c r="AF1247" s="261">
        <v>1243</v>
      </c>
      <c r="AG1247" s="262">
        <v>84661.49</v>
      </c>
    </row>
    <row r="1248" spans="32:33" ht="12.75" customHeight="1">
      <c r="AF1248" s="261">
        <v>1244</v>
      </c>
      <c r="AG1248" s="262">
        <v>84720.03</v>
      </c>
    </row>
    <row r="1249" spans="32:33" ht="12.75" customHeight="1">
      <c r="AF1249" s="261">
        <v>1245</v>
      </c>
      <c r="AG1249" s="262">
        <v>84778.57</v>
      </c>
    </row>
    <row r="1250" spans="32:33" ht="12.75" customHeight="1">
      <c r="AF1250" s="261">
        <v>1246</v>
      </c>
      <c r="AG1250" s="262">
        <v>84837.11</v>
      </c>
    </row>
    <row r="1251" spans="32:33" ht="12.75" customHeight="1">
      <c r="AF1251" s="261">
        <v>1247</v>
      </c>
      <c r="AG1251" s="262">
        <v>84895.649999999951</v>
      </c>
    </row>
    <row r="1252" spans="32:33" ht="12.75" customHeight="1">
      <c r="AF1252" s="261">
        <v>1248</v>
      </c>
      <c r="AG1252" s="262">
        <v>84954.19</v>
      </c>
    </row>
    <row r="1253" spans="32:33" ht="12.75" customHeight="1">
      <c r="AF1253" s="261">
        <v>1249</v>
      </c>
      <c r="AG1253" s="262">
        <v>85012.73</v>
      </c>
    </row>
    <row r="1254" spans="32:33" ht="12.75" customHeight="1">
      <c r="AF1254" s="261">
        <v>1250</v>
      </c>
      <c r="AG1254" s="262">
        <v>85071.27</v>
      </c>
    </row>
    <row r="1255" spans="32:33" ht="12.75" customHeight="1">
      <c r="AF1255" s="261">
        <v>1251</v>
      </c>
      <c r="AG1255" s="262">
        <v>85129.81</v>
      </c>
    </row>
    <row r="1256" spans="32:33" ht="12.75" customHeight="1">
      <c r="AF1256" s="261">
        <v>1252</v>
      </c>
      <c r="AG1256" s="262">
        <v>85188.34</v>
      </c>
    </row>
    <row r="1257" spans="32:33" ht="12.75" customHeight="1">
      <c r="AF1257" s="261">
        <v>1253</v>
      </c>
      <c r="AG1257" s="262">
        <v>85246.88</v>
      </c>
    </row>
    <row r="1258" spans="32:33" ht="12.75" customHeight="1">
      <c r="AF1258" s="261">
        <v>1254</v>
      </c>
      <c r="AG1258" s="262">
        <v>85305.42</v>
      </c>
    </row>
    <row r="1259" spans="32:33" ht="12.75" customHeight="1">
      <c r="AF1259" s="261">
        <v>1255</v>
      </c>
      <c r="AG1259" s="262">
        <v>85363.96</v>
      </c>
    </row>
    <row r="1260" spans="32:33" ht="12.75" customHeight="1">
      <c r="AF1260" s="261">
        <v>1256</v>
      </c>
      <c r="AG1260" s="262">
        <v>85422.5</v>
      </c>
    </row>
    <row r="1261" spans="32:33" ht="12.75" customHeight="1">
      <c r="AF1261" s="261">
        <v>1257</v>
      </c>
      <c r="AG1261" s="262">
        <v>85481.04</v>
      </c>
    </row>
    <row r="1262" spans="32:33" ht="12.75" customHeight="1">
      <c r="AF1262" s="261">
        <v>1258</v>
      </c>
      <c r="AG1262" s="262">
        <v>85539.58</v>
      </c>
    </row>
    <row r="1263" spans="32:33" ht="12.75" customHeight="1">
      <c r="AF1263" s="261">
        <v>1259</v>
      </c>
      <c r="AG1263" s="262">
        <v>85598.119999999952</v>
      </c>
    </row>
    <row r="1264" spans="32:33" ht="12.75" customHeight="1">
      <c r="AF1264" s="261">
        <v>1260</v>
      </c>
      <c r="AG1264" s="262">
        <v>85656.66</v>
      </c>
    </row>
    <row r="1265" spans="32:33" ht="12.75" customHeight="1">
      <c r="AF1265" s="261">
        <v>1261</v>
      </c>
      <c r="AG1265" s="262">
        <v>85715.199999999997</v>
      </c>
    </row>
    <row r="1266" spans="32:33" ht="12.75" customHeight="1">
      <c r="AF1266" s="261">
        <v>1262</v>
      </c>
      <c r="AG1266" s="262">
        <v>85773.73</v>
      </c>
    </row>
    <row r="1267" spans="32:33" ht="12.75" customHeight="1">
      <c r="AF1267" s="261">
        <v>1263</v>
      </c>
      <c r="AG1267" s="262">
        <v>85832.27</v>
      </c>
    </row>
    <row r="1268" spans="32:33" ht="12.75" customHeight="1">
      <c r="AF1268" s="261">
        <v>1264</v>
      </c>
      <c r="AG1268" s="262">
        <v>85890.81</v>
      </c>
    </row>
    <row r="1269" spans="32:33" ht="12.75" customHeight="1">
      <c r="AF1269" s="261">
        <v>1265</v>
      </c>
      <c r="AG1269" s="262">
        <v>85949.35</v>
      </c>
    </row>
    <row r="1270" spans="32:33" ht="12.75" customHeight="1">
      <c r="AF1270" s="261">
        <v>1266</v>
      </c>
      <c r="AG1270" s="262">
        <v>86007.89</v>
      </c>
    </row>
    <row r="1271" spans="32:33" ht="12.75" customHeight="1">
      <c r="AF1271" s="261">
        <v>1267</v>
      </c>
      <c r="AG1271" s="262">
        <v>86066.43</v>
      </c>
    </row>
    <row r="1272" spans="32:33" ht="12.75" customHeight="1">
      <c r="AF1272" s="261">
        <v>1268</v>
      </c>
      <c r="AG1272" s="262">
        <v>86124.97</v>
      </c>
    </row>
    <row r="1273" spans="32:33" ht="12.75" customHeight="1">
      <c r="AF1273" s="261">
        <v>1269</v>
      </c>
      <c r="AG1273" s="262">
        <v>86183.509999999951</v>
      </c>
    </row>
    <row r="1274" spans="32:33" ht="12.75" customHeight="1">
      <c r="AF1274" s="261">
        <v>1270</v>
      </c>
      <c r="AG1274" s="262">
        <v>86242.05</v>
      </c>
    </row>
    <row r="1275" spans="32:33" ht="12.75" customHeight="1">
      <c r="AF1275" s="261">
        <v>1271</v>
      </c>
      <c r="AG1275" s="262">
        <v>86300.59</v>
      </c>
    </row>
    <row r="1276" spans="32:33" ht="12.75" customHeight="1">
      <c r="AF1276" s="261">
        <v>1272</v>
      </c>
      <c r="AG1276" s="262">
        <v>86359.12</v>
      </c>
    </row>
    <row r="1277" spans="32:33" ht="12.75" customHeight="1">
      <c r="AF1277" s="261">
        <v>1273</v>
      </c>
      <c r="AG1277" s="262">
        <v>86417.66</v>
      </c>
    </row>
    <row r="1278" spans="32:33" ht="12.75" customHeight="1">
      <c r="AF1278" s="261">
        <v>1274</v>
      </c>
      <c r="AG1278" s="262">
        <v>86476.2</v>
      </c>
    </row>
    <row r="1279" spans="32:33" ht="12.75" customHeight="1">
      <c r="AF1279" s="261">
        <v>1275</v>
      </c>
      <c r="AG1279" s="262">
        <v>86534.74</v>
      </c>
    </row>
    <row r="1280" spans="32:33" ht="12.75" customHeight="1">
      <c r="AF1280" s="261">
        <v>1276</v>
      </c>
      <c r="AG1280" s="262">
        <v>86593.279999999999</v>
      </c>
    </row>
    <row r="1281" spans="32:33" ht="12.75" customHeight="1">
      <c r="AF1281" s="261">
        <v>1277</v>
      </c>
      <c r="AG1281" s="262">
        <v>86651.82</v>
      </c>
    </row>
    <row r="1282" spans="32:33" ht="12.75" customHeight="1">
      <c r="AF1282" s="261">
        <v>1278</v>
      </c>
      <c r="AG1282" s="262">
        <v>86710.36</v>
      </c>
    </row>
    <row r="1283" spans="32:33" ht="12.75" customHeight="1">
      <c r="AF1283" s="261">
        <v>1279</v>
      </c>
      <c r="AG1283" s="262">
        <v>86768.899999999951</v>
      </c>
    </row>
    <row r="1284" spans="32:33" ht="12.75" customHeight="1">
      <c r="AF1284" s="261">
        <v>1280</v>
      </c>
      <c r="AG1284" s="262">
        <v>86827.44</v>
      </c>
    </row>
    <row r="1285" spans="32:33" ht="12.75" customHeight="1">
      <c r="AF1285" s="261">
        <v>1281</v>
      </c>
      <c r="AG1285" s="262">
        <v>86885.98</v>
      </c>
    </row>
    <row r="1286" spans="32:33" ht="12.75" customHeight="1">
      <c r="AF1286" s="261">
        <v>1282</v>
      </c>
      <c r="AG1286" s="262">
        <v>86944.51</v>
      </c>
    </row>
    <row r="1287" spans="32:33" ht="12.75" customHeight="1">
      <c r="AF1287" s="261">
        <v>1283</v>
      </c>
      <c r="AG1287" s="262">
        <v>87003.05</v>
      </c>
    </row>
    <row r="1288" spans="32:33" ht="12.75" customHeight="1">
      <c r="AF1288" s="261">
        <v>1284</v>
      </c>
      <c r="AG1288" s="262">
        <v>87061.59</v>
      </c>
    </row>
    <row r="1289" spans="32:33" ht="12.75" customHeight="1">
      <c r="AF1289" s="261">
        <v>1285</v>
      </c>
      <c r="AG1289" s="262">
        <v>87120.13</v>
      </c>
    </row>
    <row r="1290" spans="32:33" ht="12.75" customHeight="1">
      <c r="AF1290" s="261">
        <v>1286</v>
      </c>
      <c r="AG1290" s="262">
        <v>87178.67</v>
      </c>
    </row>
    <row r="1291" spans="32:33" ht="12.75" customHeight="1">
      <c r="AF1291" s="261">
        <v>1287</v>
      </c>
      <c r="AG1291" s="262">
        <v>87237.21</v>
      </c>
    </row>
    <row r="1292" spans="32:33" ht="12.75" customHeight="1">
      <c r="AF1292" s="261">
        <v>1288</v>
      </c>
      <c r="AG1292" s="262">
        <v>87295.75</v>
      </c>
    </row>
    <row r="1293" spans="32:33" ht="12.75" customHeight="1">
      <c r="AF1293" s="261">
        <v>1289</v>
      </c>
      <c r="AG1293" s="262">
        <v>87354.29</v>
      </c>
    </row>
    <row r="1294" spans="32:33" ht="12.75" customHeight="1">
      <c r="AF1294" s="261">
        <v>1290</v>
      </c>
      <c r="AG1294" s="262">
        <v>87412.83</v>
      </c>
    </row>
    <row r="1295" spans="32:33" ht="12.75" customHeight="1">
      <c r="AF1295" s="261">
        <v>1291</v>
      </c>
      <c r="AG1295" s="262">
        <v>87471.37</v>
      </c>
    </row>
    <row r="1296" spans="32:33" ht="12.75" customHeight="1">
      <c r="AF1296" s="261">
        <v>1292</v>
      </c>
      <c r="AG1296" s="262">
        <v>87529.9</v>
      </c>
    </row>
    <row r="1297" spans="32:33" ht="12.75" customHeight="1">
      <c r="AF1297" s="261">
        <v>1293</v>
      </c>
      <c r="AG1297" s="262">
        <v>87588.44</v>
      </c>
    </row>
    <row r="1298" spans="32:33" ht="12.75" customHeight="1">
      <c r="AF1298" s="261">
        <v>1294</v>
      </c>
      <c r="AG1298" s="262">
        <v>87646.98</v>
      </c>
    </row>
    <row r="1299" spans="32:33" ht="12.75" customHeight="1">
      <c r="AF1299" s="261">
        <v>1295</v>
      </c>
      <c r="AG1299" s="262">
        <v>87705.52</v>
      </c>
    </row>
    <row r="1300" spans="32:33" ht="12.75" customHeight="1">
      <c r="AF1300" s="261">
        <v>1296</v>
      </c>
      <c r="AG1300" s="262">
        <v>87764.06</v>
      </c>
    </row>
    <row r="1301" spans="32:33" ht="12.75" customHeight="1">
      <c r="AF1301" s="261">
        <v>1297</v>
      </c>
      <c r="AG1301" s="262">
        <v>87822.6</v>
      </c>
    </row>
    <row r="1302" spans="32:33" ht="12.75" customHeight="1">
      <c r="AF1302" s="261">
        <v>1298</v>
      </c>
      <c r="AG1302" s="262">
        <v>87881.14</v>
      </c>
    </row>
    <row r="1303" spans="32:33" ht="12.75" customHeight="1">
      <c r="AF1303" s="261">
        <v>1299</v>
      </c>
      <c r="AG1303" s="262">
        <v>87939.68</v>
      </c>
    </row>
    <row r="1304" spans="32:33" ht="12.75" customHeight="1">
      <c r="AF1304" s="261">
        <v>1300</v>
      </c>
      <c r="AG1304" s="262">
        <v>87998.22</v>
      </c>
    </row>
    <row r="1305" spans="32:33" ht="12.75" customHeight="1">
      <c r="AF1305" s="261">
        <v>1301</v>
      </c>
      <c r="AG1305" s="262">
        <v>88056.76</v>
      </c>
    </row>
    <row r="1306" spans="32:33" ht="12.75" customHeight="1">
      <c r="AF1306" s="261">
        <v>1302</v>
      </c>
      <c r="AG1306" s="262">
        <v>88115.29</v>
      </c>
    </row>
    <row r="1307" spans="32:33" ht="12.75" customHeight="1">
      <c r="AF1307" s="261">
        <v>1303</v>
      </c>
      <c r="AG1307" s="262">
        <v>88173.83</v>
      </c>
    </row>
    <row r="1308" spans="32:33" ht="12.75" customHeight="1">
      <c r="AF1308" s="261">
        <v>1304</v>
      </c>
      <c r="AG1308" s="262">
        <v>88232.37</v>
      </c>
    </row>
    <row r="1309" spans="32:33" ht="12.75" customHeight="1">
      <c r="AF1309" s="261">
        <v>1305</v>
      </c>
      <c r="AG1309" s="262">
        <v>88290.91</v>
      </c>
    </row>
    <row r="1310" spans="32:33" ht="12.75" customHeight="1">
      <c r="AF1310" s="261">
        <v>1306</v>
      </c>
      <c r="AG1310" s="262">
        <v>88349.45</v>
      </c>
    </row>
    <row r="1311" spans="32:33" ht="12.75" customHeight="1">
      <c r="AF1311" s="261">
        <v>1307</v>
      </c>
      <c r="AG1311" s="262">
        <v>88407.99</v>
      </c>
    </row>
    <row r="1312" spans="32:33" ht="12.75" customHeight="1">
      <c r="AF1312" s="261">
        <v>1308</v>
      </c>
      <c r="AG1312" s="262">
        <v>88466.53</v>
      </c>
    </row>
    <row r="1313" spans="32:33" ht="12.75" customHeight="1">
      <c r="AF1313" s="261">
        <v>1309</v>
      </c>
      <c r="AG1313" s="262">
        <v>88525.07</v>
      </c>
    </row>
    <row r="1314" spans="32:33" ht="12.75" customHeight="1">
      <c r="AF1314" s="261">
        <v>1310</v>
      </c>
      <c r="AG1314" s="262">
        <v>88583.61</v>
      </c>
    </row>
    <row r="1315" spans="32:33" ht="12.75" customHeight="1">
      <c r="AF1315" s="261">
        <v>1311</v>
      </c>
      <c r="AG1315" s="262">
        <v>88642.15</v>
      </c>
    </row>
    <row r="1316" spans="32:33" ht="12.75" customHeight="1">
      <c r="AF1316" s="261">
        <v>1312</v>
      </c>
      <c r="AG1316" s="262">
        <v>88700.68</v>
      </c>
    </row>
    <row r="1317" spans="32:33" ht="12.75" customHeight="1">
      <c r="AF1317" s="261">
        <v>1313</v>
      </c>
      <c r="AG1317" s="262">
        <v>88759.22</v>
      </c>
    </row>
    <row r="1318" spans="32:33" ht="12.75" customHeight="1">
      <c r="AF1318" s="261">
        <v>1314</v>
      </c>
      <c r="AG1318" s="262">
        <v>88817.76</v>
      </c>
    </row>
    <row r="1319" spans="32:33" ht="12.75" customHeight="1">
      <c r="AF1319" s="261">
        <v>1315</v>
      </c>
      <c r="AG1319" s="262">
        <v>88876.3</v>
      </c>
    </row>
    <row r="1320" spans="32:33" ht="12.75" customHeight="1">
      <c r="AF1320" s="261">
        <v>1316</v>
      </c>
      <c r="AG1320" s="262">
        <v>88934.84</v>
      </c>
    </row>
    <row r="1321" spans="32:33" ht="12.75" customHeight="1">
      <c r="AF1321" s="261">
        <v>1317</v>
      </c>
      <c r="AG1321" s="262">
        <v>88993.38</v>
      </c>
    </row>
    <row r="1322" spans="32:33" ht="12.75" customHeight="1">
      <c r="AF1322" s="261">
        <v>1318</v>
      </c>
      <c r="AG1322" s="262">
        <v>89051.92</v>
      </c>
    </row>
    <row r="1323" spans="32:33" ht="12.75" customHeight="1">
      <c r="AF1323" s="261">
        <v>1319</v>
      </c>
      <c r="AG1323" s="262">
        <v>89110.46</v>
      </c>
    </row>
    <row r="1324" spans="32:33" ht="12.75" customHeight="1">
      <c r="AF1324" s="261">
        <v>1320</v>
      </c>
      <c r="AG1324" s="262">
        <v>89169</v>
      </c>
    </row>
    <row r="1325" spans="32:33" ht="12.75" customHeight="1">
      <c r="AF1325" s="261">
        <v>1321</v>
      </c>
      <c r="AG1325" s="262">
        <v>89227.54</v>
      </c>
    </row>
    <row r="1326" spans="32:33" ht="12.75" customHeight="1">
      <c r="AF1326" s="261">
        <v>1322</v>
      </c>
      <c r="AG1326" s="262">
        <v>89286.07</v>
      </c>
    </row>
    <row r="1327" spans="32:33" ht="12.75" customHeight="1">
      <c r="AF1327" s="261">
        <v>1323</v>
      </c>
      <c r="AG1327" s="262">
        <v>89344.61</v>
      </c>
    </row>
    <row r="1328" spans="32:33" ht="12.75" customHeight="1">
      <c r="AF1328" s="261">
        <v>1324</v>
      </c>
      <c r="AG1328" s="262">
        <v>89403.15</v>
      </c>
    </row>
    <row r="1329" spans="32:33" ht="12.75" customHeight="1">
      <c r="AF1329" s="261">
        <v>1325</v>
      </c>
      <c r="AG1329" s="262">
        <v>89461.69</v>
      </c>
    </row>
    <row r="1330" spans="32:33" ht="12.75" customHeight="1">
      <c r="AF1330" s="261">
        <v>1326</v>
      </c>
      <c r="AG1330" s="262">
        <v>89520.23</v>
      </c>
    </row>
    <row r="1331" spans="32:33" ht="12.75" customHeight="1">
      <c r="AF1331" s="261">
        <v>1327</v>
      </c>
      <c r="AG1331" s="262">
        <v>89578.77</v>
      </c>
    </row>
    <row r="1332" spans="32:33" ht="12.75" customHeight="1">
      <c r="AF1332" s="261">
        <v>1328</v>
      </c>
      <c r="AG1332" s="262">
        <v>89637.31</v>
      </c>
    </row>
    <row r="1333" spans="32:33" ht="12.75" customHeight="1">
      <c r="AF1333" s="261">
        <v>1329</v>
      </c>
      <c r="AG1333" s="262">
        <v>89695.85</v>
      </c>
    </row>
    <row r="1334" spans="32:33" ht="12.75" customHeight="1">
      <c r="AF1334" s="261">
        <v>1330</v>
      </c>
      <c r="AG1334" s="262">
        <v>89754.39</v>
      </c>
    </row>
    <row r="1335" spans="32:33" ht="12.75" customHeight="1">
      <c r="AF1335" s="261">
        <v>1331</v>
      </c>
      <c r="AG1335" s="262">
        <v>89812.93</v>
      </c>
    </row>
    <row r="1336" spans="32:33" ht="12.75" customHeight="1">
      <c r="AF1336" s="261">
        <v>1332</v>
      </c>
      <c r="AG1336" s="262">
        <v>89871.46</v>
      </c>
    </row>
    <row r="1337" spans="32:33" ht="12.75" customHeight="1">
      <c r="AF1337" s="261">
        <v>1333</v>
      </c>
      <c r="AG1337" s="262">
        <v>89930</v>
      </c>
    </row>
    <row r="1338" spans="32:33" ht="12.75" customHeight="1">
      <c r="AF1338" s="261">
        <v>1334</v>
      </c>
      <c r="AG1338" s="262">
        <v>89988.54</v>
      </c>
    </row>
    <row r="1339" spans="32:33" ht="12.75" customHeight="1">
      <c r="AF1339" s="261">
        <v>1335</v>
      </c>
      <c r="AG1339" s="262">
        <v>90047.08</v>
      </c>
    </row>
    <row r="1340" spans="32:33" ht="12.75" customHeight="1">
      <c r="AF1340" s="261">
        <v>1336</v>
      </c>
      <c r="AG1340" s="262">
        <v>90105.62</v>
      </c>
    </row>
    <row r="1341" spans="32:33" ht="12.75" customHeight="1">
      <c r="AF1341" s="261">
        <v>1337</v>
      </c>
      <c r="AG1341" s="262">
        <v>90164.160000000003</v>
      </c>
    </row>
    <row r="1342" spans="32:33" ht="12.75" customHeight="1">
      <c r="AF1342" s="261">
        <v>1338</v>
      </c>
      <c r="AG1342" s="262">
        <v>90222.7</v>
      </c>
    </row>
    <row r="1343" spans="32:33" ht="12.75" customHeight="1">
      <c r="AF1343" s="261">
        <v>1339</v>
      </c>
      <c r="AG1343" s="262">
        <v>90281.24</v>
      </c>
    </row>
    <row r="1344" spans="32:33" ht="12.75" customHeight="1">
      <c r="AF1344" s="261">
        <v>1340</v>
      </c>
      <c r="AG1344" s="262">
        <v>90339.78</v>
      </c>
    </row>
    <row r="1345" spans="32:33" ht="12.75" customHeight="1">
      <c r="AF1345" s="261">
        <v>1341</v>
      </c>
      <c r="AG1345" s="262">
        <v>90398.32</v>
      </c>
    </row>
    <row r="1346" spans="32:33" ht="12.75" customHeight="1">
      <c r="AF1346" s="261">
        <v>1342</v>
      </c>
      <c r="AG1346" s="262">
        <v>90456.85</v>
      </c>
    </row>
    <row r="1347" spans="32:33" ht="12.75" customHeight="1">
      <c r="AF1347" s="261">
        <v>1343</v>
      </c>
      <c r="AG1347" s="262">
        <v>90515.39</v>
      </c>
    </row>
    <row r="1348" spans="32:33" ht="12.75" customHeight="1">
      <c r="AF1348" s="261">
        <v>1344</v>
      </c>
      <c r="AG1348" s="262">
        <v>90573.93</v>
      </c>
    </row>
    <row r="1349" spans="32:33" ht="12.75" customHeight="1">
      <c r="AF1349" s="261">
        <v>1345</v>
      </c>
      <c r="AG1349" s="262">
        <v>90632.47</v>
      </c>
    </row>
    <row r="1350" spans="32:33" ht="12.75" customHeight="1">
      <c r="AF1350" s="261">
        <v>1346</v>
      </c>
      <c r="AG1350" s="262">
        <v>90691.01</v>
      </c>
    </row>
    <row r="1351" spans="32:33" ht="12.75" customHeight="1">
      <c r="AF1351" s="261">
        <v>1347</v>
      </c>
      <c r="AG1351" s="262">
        <v>90749.55</v>
      </c>
    </row>
    <row r="1352" spans="32:33" ht="12.75" customHeight="1">
      <c r="AF1352" s="261">
        <v>1348</v>
      </c>
      <c r="AG1352" s="262">
        <v>90808.09</v>
      </c>
    </row>
    <row r="1353" spans="32:33" ht="12.75" customHeight="1">
      <c r="AF1353" s="261">
        <v>1349</v>
      </c>
      <c r="AG1353" s="262">
        <v>90866.63</v>
      </c>
    </row>
    <row r="1354" spans="32:33" ht="12.75" customHeight="1">
      <c r="AF1354" s="261">
        <v>1350</v>
      </c>
      <c r="AG1354" s="262">
        <v>90925.17</v>
      </c>
    </row>
    <row r="1355" spans="32:33" ht="12.75" customHeight="1">
      <c r="AF1355" s="261">
        <v>1351</v>
      </c>
      <c r="AG1355" s="262">
        <v>90983.71</v>
      </c>
    </row>
    <row r="1356" spans="32:33" ht="12.75" customHeight="1">
      <c r="AF1356" s="261">
        <v>1352</v>
      </c>
      <c r="AG1356" s="262">
        <v>91042.240000000005</v>
      </c>
    </row>
    <row r="1357" spans="32:33" ht="12.75" customHeight="1">
      <c r="AF1357" s="261">
        <v>1353</v>
      </c>
      <c r="AG1357" s="262">
        <v>91100.78</v>
      </c>
    </row>
    <row r="1358" spans="32:33" ht="12.75" customHeight="1">
      <c r="AF1358" s="261">
        <v>1354</v>
      </c>
      <c r="AG1358" s="262">
        <v>91159.32</v>
      </c>
    </row>
    <row r="1359" spans="32:33" ht="12.75" customHeight="1">
      <c r="AF1359" s="261">
        <v>1355</v>
      </c>
      <c r="AG1359" s="262">
        <v>91217.86</v>
      </c>
    </row>
    <row r="1360" spans="32:33" ht="12.75" customHeight="1">
      <c r="AF1360" s="261">
        <v>1356</v>
      </c>
      <c r="AG1360" s="262">
        <v>91276.4</v>
      </c>
    </row>
    <row r="1361" spans="32:33" ht="12.75" customHeight="1">
      <c r="AF1361" s="261">
        <v>1357</v>
      </c>
      <c r="AG1361" s="262">
        <v>91334.94</v>
      </c>
    </row>
    <row r="1362" spans="32:33" ht="12.75" customHeight="1">
      <c r="AF1362" s="261">
        <v>1358</v>
      </c>
      <c r="AG1362" s="262">
        <v>91393.48</v>
      </c>
    </row>
    <row r="1363" spans="32:33" ht="12.75" customHeight="1">
      <c r="AF1363" s="261">
        <v>1359</v>
      </c>
      <c r="AG1363" s="262">
        <v>91452.02</v>
      </c>
    </row>
    <row r="1364" spans="32:33" ht="12.75" customHeight="1">
      <c r="AF1364" s="261">
        <v>1360</v>
      </c>
      <c r="AG1364" s="262">
        <v>91510.56</v>
      </c>
    </row>
    <row r="1365" spans="32:33" ht="12.75" customHeight="1">
      <c r="AF1365" s="261">
        <v>1361</v>
      </c>
      <c r="AG1365" s="262">
        <v>91569.1</v>
      </c>
    </row>
    <row r="1366" spans="32:33" ht="12.75" customHeight="1">
      <c r="AF1366" s="261">
        <v>1362</v>
      </c>
      <c r="AG1366" s="262">
        <v>91627.63</v>
      </c>
    </row>
    <row r="1367" spans="32:33" ht="12.75" customHeight="1">
      <c r="AF1367" s="261">
        <v>1363</v>
      </c>
      <c r="AG1367" s="262">
        <v>91686.17</v>
      </c>
    </row>
    <row r="1368" spans="32:33" ht="12.75" customHeight="1">
      <c r="AF1368" s="261">
        <v>1364</v>
      </c>
      <c r="AG1368" s="262">
        <v>91744.71</v>
      </c>
    </row>
    <row r="1369" spans="32:33" ht="12.75" customHeight="1">
      <c r="AF1369" s="261">
        <v>1365</v>
      </c>
      <c r="AG1369" s="262">
        <v>91803.25</v>
      </c>
    </row>
    <row r="1370" spans="32:33" ht="12.75" customHeight="1">
      <c r="AF1370" s="261">
        <v>1366</v>
      </c>
      <c r="AG1370" s="262">
        <v>91861.79</v>
      </c>
    </row>
    <row r="1371" spans="32:33" ht="12.75" customHeight="1">
      <c r="AF1371" s="261">
        <v>1367</v>
      </c>
      <c r="AG1371" s="262">
        <v>91920.33</v>
      </c>
    </row>
    <row r="1372" spans="32:33" ht="12.75" customHeight="1">
      <c r="AF1372" s="261">
        <v>1368</v>
      </c>
      <c r="AG1372" s="262">
        <v>91978.87</v>
      </c>
    </row>
    <row r="1373" spans="32:33" ht="12.75" customHeight="1">
      <c r="AF1373" s="261">
        <v>1369</v>
      </c>
      <c r="AG1373" s="262">
        <v>92037.41</v>
      </c>
    </row>
    <row r="1374" spans="32:33" ht="12.75" customHeight="1">
      <c r="AF1374" s="261">
        <v>1370</v>
      </c>
      <c r="AG1374" s="262">
        <v>92095.95</v>
      </c>
    </row>
    <row r="1375" spans="32:33" ht="12.75" customHeight="1">
      <c r="AF1375" s="261">
        <v>1371</v>
      </c>
      <c r="AG1375" s="262">
        <v>92154.49</v>
      </c>
    </row>
    <row r="1376" spans="32:33" ht="12.75" customHeight="1">
      <c r="AF1376" s="261">
        <v>1372</v>
      </c>
      <c r="AG1376" s="262">
        <v>92213.02</v>
      </c>
    </row>
    <row r="1377" spans="32:33" ht="12.75" customHeight="1">
      <c r="AF1377" s="261">
        <v>1373</v>
      </c>
      <c r="AG1377" s="262">
        <v>92271.56</v>
      </c>
    </row>
    <row r="1378" spans="32:33" ht="12.75" customHeight="1">
      <c r="AF1378" s="261">
        <v>1374</v>
      </c>
      <c r="AG1378" s="262">
        <v>92330.1</v>
      </c>
    </row>
    <row r="1379" spans="32:33" ht="12.75" customHeight="1">
      <c r="AF1379" s="261">
        <v>1375</v>
      </c>
      <c r="AG1379" s="262">
        <v>92388.64</v>
      </c>
    </row>
    <row r="1380" spans="32:33" ht="12.75" customHeight="1">
      <c r="AF1380" s="261">
        <v>1376</v>
      </c>
      <c r="AG1380" s="262">
        <v>92447.18</v>
      </c>
    </row>
    <row r="1381" spans="32:33" ht="12.75" customHeight="1">
      <c r="AF1381" s="261">
        <v>1377</v>
      </c>
      <c r="AG1381" s="262">
        <v>92505.72</v>
      </c>
    </row>
    <row r="1382" spans="32:33" ht="12.75" customHeight="1">
      <c r="AF1382" s="261">
        <v>1378</v>
      </c>
      <c r="AG1382" s="262">
        <v>92564.26</v>
      </c>
    </row>
    <row r="1383" spans="32:33" ht="12.75" customHeight="1">
      <c r="AF1383" s="261">
        <v>1379</v>
      </c>
      <c r="AG1383" s="262">
        <v>92622.8</v>
      </c>
    </row>
    <row r="1384" spans="32:33" ht="12.75" customHeight="1">
      <c r="AF1384" s="261">
        <v>1380</v>
      </c>
      <c r="AG1384" s="262">
        <v>92681.339999999953</v>
      </c>
    </row>
    <row r="1385" spans="32:33" ht="12.75" customHeight="1">
      <c r="AF1385" s="261">
        <v>1381</v>
      </c>
      <c r="AG1385" s="262">
        <v>92739.88</v>
      </c>
    </row>
    <row r="1386" spans="32:33" ht="12.75" customHeight="1">
      <c r="AF1386" s="261">
        <v>1382</v>
      </c>
      <c r="AG1386" s="262">
        <v>92798.41</v>
      </c>
    </row>
    <row r="1387" spans="32:33" ht="12.75" customHeight="1">
      <c r="AF1387" s="261">
        <v>1383</v>
      </c>
      <c r="AG1387" s="262">
        <v>92856.95</v>
      </c>
    </row>
    <row r="1388" spans="32:33" ht="12.75" customHeight="1">
      <c r="AF1388" s="261">
        <v>1384</v>
      </c>
      <c r="AG1388" s="262">
        <v>92915.49</v>
      </c>
    </row>
    <row r="1389" spans="32:33" ht="12.75" customHeight="1">
      <c r="AF1389" s="261">
        <v>1385</v>
      </c>
      <c r="AG1389" s="262">
        <v>92974.03</v>
      </c>
    </row>
    <row r="1390" spans="32:33" ht="12.75" customHeight="1">
      <c r="AF1390" s="261">
        <v>1386</v>
      </c>
      <c r="AG1390" s="262">
        <v>93032.57</v>
      </c>
    </row>
    <row r="1391" spans="32:33" ht="12.75" customHeight="1">
      <c r="AF1391" s="261">
        <v>1387</v>
      </c>
      <c r="AG1391" s="262">
        <v>93091.11</v>
      </c>
    </row>
    <row r="1392" spans="32:33" ht="12.75" customHeight="1">
      <c r="AF1392" s="261">
        <v>1388</v>
      </c>
      <c r="AG1392" s="262">
        <v>93149.65</v>
      </c>
    </row>
    <row r="1393" spans="32:33" ht="12.75" customHeight="1">
      <c r="AF1393" s="261">
        <v>1389</v>
      </c>
      <c r="AG1393" s="262">
        <v>93208.19</v>
      </c>
    </row>
    <row r="1394" spans="32:33" ht="12.75" customHeight="1">
      <c r="AF1394" s="261">
        <v>1390</v>
      </c>
      <c r="AG1394" s="262">
        <v>93266.729999999952</v>
      </c>
    </row>
    <row r="1395" spans="32:33" ht="12.75" customHeight="1">
      <c r="AF1395" s="261">
        <v>1391</v>
      </c>
      <c r="AG1395" s="262">
        <v>93325.27</v>
      </c>
    </row>
    <row r="1396" spans="32:33" ht="12.75" customHeight="1">
      <c r="AF1396" s="261">
        <v>1392</v>
      </c>
      <c r="AG1396" s="262">
        <v>93383.8</v>
      </c>
    </row>
    <row r="1397" spans="32:33" ht="12.75" customHeight="1">
      <c r="AF1397" s="261">
        <v>1393</v>
      </c>
      <c r="AG1397" s="262">
        <v>93442.34</v>
      </c>
    </row>
    <row r="1398" spans="32:33" ht="12.75" customHeight="1">
      <c r="AF1398" s="261">
        <v>1394</v>
      </c>
      <c r="AG1398" s="262">
        <v>93500.88</v>
      </c>
    </row>
    <row r="1399" spans="32:33" ht="12.75" customHeight="1">
      <c r="AF1399" s="261">
        <v>1395</v>
      </c>
      <c r="AG1399" s="262">
        <v>93559.42</v>
      </c>
    </row>
    <row r="1400" spans="32:33" ht="12.75" customHeight="1">
      <c r="AF1400" s="261">
        <v>1396</v>
      </c>
      <c r="AG1400" s="262">
        <v>93617.96</v>
      </c>
    </row>
    <row r="1401" spans="32:33" ht="12.75" customHeight="1">
      <c r="AF1401" s="261">
        <v>1397</v>
      </c>
      <c r="AG1401" s="262">
        <v>93676.5</v>
      </c>
    </row>
    <row r="1402" spans="32:33" ht="12.75" customHeight="1">
      <c r="AF1402" s="261">
        <v>1398</v>
      </c>
      <c r="AG1402" s="262">
        <v>93735.039999999994</v>
      </c>
    </row>
    <row r="1403" spans="32:33" ht="12.75" customHeight="1">
      <c r="AF1403" s="261">
        <v>1399</v>
      </c>
      <c r="AG1403" s="262">
        <v>93793.58</v>
      </c>
    </row>
    <row r="1404" spans="32:33" ht="12.75" customHeight="1">
      <c r="AF1404" s="261">
        <v>1400</v>
      </c>
      <c r="AG1404" s="262">
        <v>93852.119999999952</v>
      </c>
    </row>
    <row r="1405" spans="32:33" ht="12.75" customHeight="1">
      <c r="AF1405" s="261">
        <v>1401</v>
      </c>
      <c r="AG1405" s="262">
        <v>93910.66</v>
      </c>
    </row>
    <row r="1406" spans="32:33" ht="12.75" customHeight="1">
      <c r="AF1406" s="261">
        <v>1402</v>
      </c>
      <c r="AG1406" s="262">
        <v>93969.19</v>
      </c>
    </row>
    <row r="1407" spans="32:33" ht="12.75" customHeight="1">
      <c r="AF1407" s="261">
        <v>1403</v>
      </c>
      <c r="AG1407" s="262">
        <v>94027.73</v>
      </c>
    </row>
    <row r="1408" spans="32:33" ht="12.75" customHeight="1">
      <c r="AF1408" s="261">
        <v>1404</v>
      </c>
      <c r="AG1408" s="262">
        <v>94086.27</v>
      </c>
    </row>
    <row r="1409" spans="32:33" ht="12.75" customHeight="1">
      <c r="AF1409" s="261">
        <v>1405</v>
      </c>
      <c r="AG1409" s="262">
        <v>94144.81</v>
      </c>
    </row>
    <row r="1410" spans="32:33" ht="12.75" customHeight="1">
      <c r="AF1410" s="261">
        <v>1406</v>
      </c>
      <c r="AG1410" s="262">
        <v>94203.35</v>
      </c>
    </row>
    <row r="1411" spans="32:33" ht="12.75" customHeight="1">
      <c r="AF1411" s="261">
        <v>1407</v>
      </c>
      <c r="AG1411" s="262">
        <v>94261.89</v>
      </c>
    </row>
    <row r="1412" spans="32:33" ht="12.75" customHeight="1">
      <c r="AF1412" s="261">
        <v>1408</v>
      </c>
      <c r="AG1412" s="262">
        <v>94320.43</v>
      </c>
    </row>
    <row r="1413" spans="32:33" ht="12.75" customHeight="1">
      <c r="AF1413" s="261">
        <v>1409</v>
      </c>
      <c r="AG1413" s="262">
        <v>94378.97</v>
      </c>
    </row>
    <row r="1414" spans="32:33" ht="12.75" customHeight="1">
      <c r="AF1414" s="261">
        <v>1410</v>
      </c>
      <c r="AG1414" s="262">
        <v>94437.51</v>
      </c>
    </row>
    <row r="1415" spans="32:33" ht="12.75" customHeight="1">
      <c r="AF1415" s="261">
        <v>1411</v>
      </c>
      <c r="AG1415" s="262">
        <v>94496.05</v>
      </c>
    </row>
    <row r="1416" spans="32:33" ht="12.75" customHeight="1">
      <c r="AF1416" s="261">
        <v>1412</v>
      </c>
      <c r="AG1416" s="262">
        <v>94554.58</v>
      </c>
    </row>
    <row r="1417" spans="32:33" ht="12.75" customHeight="1">
      <c r="AF1417" s="261">
        <v>1413</v>
      </c>
      <c r="AG1417" s="262">
        <v>94613.119999999995</v>
      </c>
    </row>
    <row r="1418" spans="32:33" ht="12.75" customHeight="1">
      <c r="AF1418" s="261">
        <v>1414</v>
      </c>
      <c r="AG1418" s="262">
        <v>94671.66</v>
      </c>
    </row>
    <row r="1419" spans="32:33" ht="12.75" customHeight="1">
      <c r="AF1419" s="261">
        <v>1415</v>
      </c>
      <c r="AG1419" s="262">
        <v>94730.2</v>
      </c>
    </row>
    <row r="1420" spans="32:33" ht="12.75" customHeight="1">
      <c r="AF1420" s="261">
        <v>1416</v>
      </c>
      <c r="AG1420" s="262">
        <v>94788.74</v>
      </c>
    </row>
    <row r="1421" spans="32:33" ht="12.75" customHeight="1">
      <c r="AF1421" s="261">
        <v>1417</v>
      </c>
      <c r="AG1421" s="262">
        <v>94847.28</v>
      </c>
    </row>
    <row r="1422" spans="32:33" ht="12.75" customHeight="1">
      <c r="AF1422" s="261">
        <v>1418</v>
      </c>
      <c r="AG1422" s="262">
        <v>94905.82</v>
      </c>
    </row>
    <row r="1423" spans="32:33" ht="12.75" customHeight="1">
      <c r="AF1423" s="261">
        <v>1419</v>
      </c>
      <c r="AG1423" s="262">
        <v>94964.36</v>
      </c>
    </row>
    <row r="1424" spans="32:33" ht="12.75" customHeight="1">
      <c r="AF1424" s="261">
        <v>1420</v>
      </c>
      <c r="AG1424" s="262">
        <v>95022.899999999951</v>
      </c>
    </row>
    <row r="1425" spans="32:33" ht="12.75" customHeight="1">
      <c r="AF1425" s="261">
        <v>1421</v>
      </c>
      <c r="AG1425" s="262">
        <v>95081.44</v>
      </c>
    </row>
    <row r="1426" spans="32:33" ht="12.75" customHeight="1">
      <c r="AF1426" s="261">
        <v>1422</v>
      </c>
      <c r="AG1426" s="262">
        <v>95139.97</v>
      </c>
    </row>
    <row r="1427" spans="32:33" ht="12.75" customHeight="1">
      <c r="AF1427" s="261">
        <v>1423</v>
      </c>
      <c r="AG1427" s="262">
        <v>95198.51</v>
      </c>
    </row>
    <row r="1428" spans="32:33" ht="12.75" customHeight="1">
      <c r="AF1428" s="261">
        <v>1424</v>
      </c>
      <c r="AG1428" s="262">
        <v>95257.05</v>
      </c>
    </row>
    <row r="1429" spans="32:33" ht="12.75" customHeight="1">
      <c r="AF1429" s="261">
        <v>1425</v>
      </c>
      <c r="AG1429" s="262">
        <v>95315.59</v>
      </c>
    </row>
    <row r="1430" spans="32:33" ht="12.75" customHeight="1">
      <c r="AF1430" s="261">
        <v>1426</v>
      </c>
      <c r="AG1430" s="262">
        <v>95374.13</v>
      </c>
    </row>
    <row r="1431" spans="32:33" ht="12.75" customHeight="1">
      <c r="AF1431" s="261">
        <v>1427</v>
      </c>
      <c r="AG1431" s="262">
        <v>95432.67</v>
      </c>
    </row>
    <row r="1432" spans="32:33" ht="12.75" customHeight="1">
      <c r="AF1432" s="261">
        <v>1428</v>
      </c>
      <c r="AG1432" s="262">
        <v>95491.21</v>
      </c>
    </row>
    <row r="1433" spans="32:33" ht="12.75" customHeight="1">
      <c r="AF1433" s="261">
        <v>1429</v>
      </c>
      <c r="AG1433" s="262">
        <v>95549.75</v>
      </c>
    </row>
    <row r="1434" spans="32:33" ht="12.75" customHeight="1">
      <c r="AF1434" s="261">
        <v>1430</v>
      </c>
      <c r="AG1434" s="262">
        <v>95608.29</v>
      </c>
    </row>
    <row r="1435" spans="32:33" ht="12.75" customHeight="1">
      <c r="AF1435" s="261">
        <v>1431</v>
      </c>
      <c r="AG1435" s="262">
        <v>95666.83</v>
      </c>
    </row>
    <row r="1436" spans="32:33" ht="12.75" customHeight="1">
      <c r="AF1436" s="261">
        <v>1432</v>
      </c>
      <c r="AG1436" s="262">
        <v>95725.36</v>
      </c>
    </row>
    <row r="1437" spans="32:33" ht="12.75" customHeight="1">
      <c r="AF1437" s="261">
        <v>1433</v>
      </c>
      <c r="AG1437" s="262">
        <v>95783.9</v>
      </c>
    </row>
    <row r="1438" spans="32:33" ht="12.75" customHeight="1">
      <c r="AF1438" s="261">
        <v>1434</v>
      </c>
      <c r="AG1438" s="262">
        <v>95842.44</v>
      </c>
    </row>
    <row r="1439" spans="32:33" ht="12.75" customHeight="1">
      <c r="AF1439" s="261">
        <v>1435</v>
      </c>
      <c r="AG1439" s="262">
        <v>95900.98</v>
      </c>
    </row>
    <row r="1440" spans="32:33" ht="12.75" customHeight="1">
      <c r="AF1440" s="261">
        <v>1436</v>
      </c>
      <c r="AG1440" s="262">
        <v>95959.52</v>
      </c>
    </row>
    <row r="1441" spans="32:33" ht="12.75" customHeight="1">
      <c r="AF1441" s="261">
        <v>1437</v>
      </c>
      <c r="AG1441" s="262">
        <v>96018.06</v>
      </c>
    </row>
    <row r="1442" spans="32:33" ht="12.75" customHeight="1">
      <c r="AF1442" s="261">
        <v>1438</v>
      </c>
      <c r="AG1442" s="262">
        <v>96076.6</v>
      </c>
    </row>
    <row r="1443" spans="32:33" ht="12.75" customHeight="1">
      <c r="AF1443" s="261">
        <v>1439</v>
      </c>
      <c r="AG1443" s="262">
        <v>96135.14</v>
      </c>
    </row>
    <row r="1444" spans="32:33" ht="12.75" customHeight="1">
      <c r="AF1444" s="261">
        <v>1440</v>
      </c>
      <c r="AG1444" s="262">
        <v>96193.68</v>
      </c>
    </row>
    <row r="1445" spans="32:33" ht="12.75" customHeight="1">
      <c r="AF1445" s="261">
        <v>1441</v>
      </c>
      <c r="AG1445" s="262">
        <v>96252.22</v>
      </c>
    </row>
    <row r="1446" spans="32:33" ht="12.75" customHeight="1">
      <c r="AF1446" s="261">
        <v>1442</v>
      </c>
      <c r="AG1446" s="262">
        <v>96310.75</v>
      </c>
    </row>
    <row r="1447" spans="32:33" ht="12.75" customHeight="1">
      <c r="AF1447" s="261">
        <v>1443</v>
      </c>
      <c r="AG1447" s="262">
        <v>96369.29</v>
      </c>
    </row>
    <row r="1448" spans="32:33" ht="12.75" customHeight="1">
      <c r="AF1448" s="261">
        <v>1444</v>
      </c>
      <c r="AG1448" s="262">
        <v>96427.83</v>
      </c>
    </row>
    <row r="1449" spans="32:33" ht="12.75" customHeight="1">
      <c r="AF1449" s="261">
        <v>1445</v>
      </c>
      <c r="AG1449" s="262">
        <v>96486.37</v>
      </c>
    </row>
    <row r="1450" spans="32:33" ht="12.75" customHeight="1">
      <c r="AF1450" s="261">
        <v>1446</v>
      </c>
      <c r="AG1450" s="262">
        <v>96544.91</v>
      </c>
    </row>
    <row r="1451" spans="32:33" ht="12.75" customHeight="1">
      <c r="AF1451" s="261">
        <v>1447</v>
      </c>
      <c r="AG1451" s="262">
        <v>96603.45</v>
      </c>
    </row>
    <row r="1452" spans="32:33" ht="12.75" customHeight="1">
      <c r="AF1452" s="261">
        <v>1448</v>
      </c>
      <c r="AG1452" s="262">
        <v>96661.99</v>
      </c>
    </row>
    <row r="1453" spans="32:33" ht="12.75" customHeight="1">
      <c r="AF1453" s="261">
        <v>1449</v>
      </c>
      <c r="AG1453" s="262">
        <v>96720.53</v>
      </c>
    </row>
    <row r="1454" spans="32:33" ht="12.75" customHeight="1">
      <c r="AF1454" s="261">
        <v>1450</v>
      </c>
      <c r="AG1454" s="262">
        <v>96779.07</v>
      </c>
    </row>
    <row r="1455" spans="32:33" ht="12.75" customHeight="1">
      <c r="AF1455" s="261">
        <v>1451</v>
      </c>
      <c r="AG1455" s="262">
        <v>96837.61</v>
      </c>
    </row>
    <row r="1456" spans="32:33" ht="12.75" customHeight="1">
      <c r="AF1456" s="261">
        <v>1452</v>
      </c>
      <c r="AG1456" s="262">
        <v>96896.14</v>
      </c>
    </row>
    <row r="1457" spans="32:33" ht="12.75" customHeight="1">
      <c r="AF1457" s="261">
        <v>1453</v>
      </c>
      <c r="AG1457" s="262">
        <v>96954.68</v>
      </c>
    </row>
    <row r="1458" spans="32:33" ht="12.75" customHeight="1">
      <c r="AF1458" s="261">
        <v>1454</v>
      </c>
      <c r="AG1458" s="262">
        <v>97013.22</v>
      </c>
    </row>
  </sheetData>
  <customSheetViews>
    <customSheetView guid="{9FD33A57-86F0-4BF5-A6C0-5833A5B59516}" showGridLines="0" state="hidden">
      <pane ySplit="3" topLeftCell="A4" activePane="bottomLeft" state="frozen"/>
      <selection pane="bottomLeft" activeCell="F6" sqref="F6"/>
      <pageMargins left="0.7" right="0.7" top="0.75" bottom="0.75" header="0.3" footer="0.3"/>
      <pageSetup paperSize="9" orientation="portrait" r:id="rId1"/>
    </customSheetView>
  </customSheetViews>
  <mergeCells count="14">
    <mergeCell ref="B2:C2"/>
    <mergeCell ref="E2:F2"/>
    <mergeCell ref="AO2:AP2"/>
    <mergeCell ref="H2:I2"/>
    <mergeCell ref="K2:L2"/>
    <mergeCell ref="Q2:R2"/>
    <mergeCell ref="N2:O2"/>
    <mergeCell ref="T2:U2"/>
    <mergeCell ref="W2:X2"/>
    <mergeCell ref="Z2:AA2"/>
    <mergeCell ref="AC2:AD2"/>
    <mergeCell ref="AF2:AG2"/>
    <mergeCell ref="AI2:AJ2"/>
    <mergeCell ref="AL2:AM2"/>
  </mergeCells>
  <phoneticPr fontId="153" type="noConversion"/>
  <pageMargins left="0.7" right="0.7" top="0.75" bottom="0.75"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BC221"/>
  <sheetViews>
    <sheetView workbookViewId="0"/>
  </sheetViews>
  <sheetFormatPr defaultRowHeight="15.75" customHeight="1"/>
  <cols>
    <col min="1" max="1" width="3.140625" customWidth="1"/>
    <col min="3" max="3" width="9.7109375" customWidth="1"/>
    <col min="4" max="19" width="10.140625" bestFit="1" customWidth="1"/>
    <col min="20" max="53" width="9.5703125" bestFit="1" customWidth="1"/>
  </cols>
  <sheetData>
    <row r="1" spans="1:55" s="7" customFormat="1" ht="30.2" customHeight="1">
      <c r="A1" s="64"/>
      <c r="B1" s="4" t="s">
        <v>248</v>
      </c>
      <c r="C1" s="47"/>
      <c r="D1" s="55"/>
      <c r="E1" s="55"/>
      <c r="F1" s="55"/>
      <c r="H1" s="55"/>
      <c r="I1" s="55"/>
      <c r="J1" s="55"/>
      <c r="AL1" s="55"/>
      <c r="AM1" s="55"/>
      <c r="BA1" s="97"/>
      <c r="BB1" s="243"/>
      <c r="BC1" s="97"/>
    </row>
    <row r="2" spans="1:55" s="244" customFormat="1" ht="21.75" customHeight="1">
      <c r="B2" s="245"/>
      <c r="C2" s="246">
        <v>20</v>
      </c>
      <c r="D2" s="246">
        <v>20.5</v>
      </c>
      <c r="E2" s="246">
        <v>21</v>
      </c>
      <c r="F2" s="246">
        <v>21.5</v>
      </c>
      <c r="G2" s="246">
        <v>22</v>
      </c>
      <c r="H2" s="246">
        <v>22.5</v>
      </c>
      <c r="I2" s="246">
        <v>23</v>
      </c>
      <c r="J2" s="246">
        <v>23.5</v>
      </c>
      <c r="K2" s="246">
        <v>24</v>
      </c>
      <c r="L2" s="246">
        <v>24.5</v>
      </c>
      <c r="M2" s="246">
        <v>25</v>
      </c>
      <c r="N2" s="246">
        <v>25.5</v>
      </c>
      <c r="O2" s="246">
        <v>26</v>
      </c>
      <c r="P2" s="246">
        <v>26.5</v>
      </c>
      <c r="Q2" s="246">
        <v>27</v>
      </c>
      <c r="R2" s="246">
        <v>27.5</v>
      </c>
      <c r="S2" s="246">
        <v>28</v>
      </c>
      <c r="T2" s="246">
        <v>28.5</v>
      </c>
      <c r="U2" s="246">
        <v>29</v>
      </c>
      <c r="V2" s="246">
        <v>29.5</v>
      </c>
      <c r="W2" s="246">
        <v>30</v>
      </c>
      <c r="X2" s="246">
        <v>30.5</v>
      </c>
      <c r="Y2" s="246">
        <v>31</v>
      </c>
      <c r="Z2" s="246">
        <v>31.5</v>
      </c>
      <c r="AA2" s="246">
        <v>32</v>
      </c>
      <c r="AB2" s="246">
        <v>32.5</v>
      </c>
      <c r="AC2" s="246">
        <v>33</v>
      </c>
      <c r="AD2" s="246">
        <v>33.5</v>
      </c>
      <c r="AE2" s="246">
        <v>34</v>
      </c>
      <c r="AF2" s="246">
        <v>34.5</v>
      </c>
      <c r="AG2" s="246">
        <v>35</v>
      </c>
      <c r="AH2" s="246">
        <v>35.5</v>
      </c>
      <c r="AI2" s="246">
        <v>36</v>
      </c>
      <c r="AJ2" s="246">
        <v>36.5</v>
      </c>
      <c r="AK2" s="246">
        <v>37</v>
      </c>
      <c r="AL2" s="246">
        <v>37.5</v>
      </c>
      <c r="AM2" s="246">
        <v>38</v>
      </c>
      <c r="AN2" s="246">
        <v>38.5</v>
      </c>
      <c r="AO2" s="246">
        <v>39</v>
      </c>
      <c r="AP2" s="246">
        <v>39.5</v>
      </c>
      <c r="AQ2" s="246">
        <v>40</v>
      </c>
      <c r="AR2" s="246">
        <v>40.5</v>
      </c>
      <c r="AS2" s="246">
        <v>41</v>
      </c>
      <c r="AT2" s="246">
        <v>41.5</v>
      </c>
      <c r="AU2" s="246">
        <v>42</v>
      </c>
      <c r="AV2" s="246">
        <v>42.5</v>
      </c>
      <c r="AW2" s="246">
        <v>43</v>
      </c>
      <c r="AX2" s="246">
        <v>43.5</v>
      </c>
      <c r="AY2" s="246">
        <v>44</v>
      </c>
      <c r="AZ2" s="246">
        <v>44.5</v>
      </c>
      <c r="BA2" s="247">
        <v>45</v>
      </c>
    </row>
    <row r="3" spans="1:55" s="244" customFormat="1" ht="15.75" customHeight="1">
      <c r="B3" s="248">
        <v>45</v>
      </c>
      <c r="C3" s="249">
        <v>1.0059</v>
      </c>
      <c r="D3" s="249">
        <v>1.0059</v>
      </c>
      <c r="E3" s="249">
        <v>1.0059</v>
      </c>
      <c r="F3" s="249">
        <v>1.006</v>
      </c>
      <c r="G3" s="249">
        <v>1.006</v>
      </c>
      <c r="H3" s="249">
        <v>1.0061</v>
      </c>
      <c r="I3" s="249">
        <v>1.0061</v>
      </c>
      <c r="J3" s="249">
        <v>1.0061</v>
      </c>
      <c r="K3" s="249">
        <v>1.0062</v>
      </c>
      <c r="L3" s="249">
        <v>1.0062</v>
      </c>
      <c r="M3" s="249">
        <v>1.0063</v>
      </c>
      <c r="N3" s="250">
        <v>1.0063</v>
      </c>
      <c r="O3" s="250">
        <v>1.0063</v>
      </c>
      <c r="P3" s="250">
        <v>1.0064</v>
      </c>
      <c r="Q3" s="250">
        <v>1.0064</v>
      </c>
      <c r="R3" s="250">
        <v>1.0065</v>
      </c>
      <c r="S3" s="250">
        <v>1.0065</v>
      </c>
      <c r="T3" s="250">
        <v>1.0065</v>
      </c>
      <c r="U3" s="250">
        <v>1.0065999999999999</v>
      </c>
      <c r="V3" s="250">
        <v>1.0065999999999999</v>
      </c>
      <c r="W3" s="250">
        <v>1.0066999999999999</v>
      </c>
      <c r="X3" s="249">
        <v>1.0066999999999999</v>
      </c>
      <c r="Y3" s="249">
        <v>1.0066999999999999</v>
      </c>
      <c r="Z3" s="249">
        <v>1.0067999999999999</v>
      </c>
      <c r="AA3" s="249">
        <v>1.0067999999999999</v>
      </c>
      <c r="AB3" s="249">
        <v>1.0068999999999999</v>
      </c>
      <c r="AC3" s="249">
        <v>1.0068999999999999</v>
      </c>
      <c r="AD3" s="249">
        <v>1.0069999999999999</v>
      </c>
      <c r="AE3" s="249">
        <v>1.0069999999999999</v>
      </c>
      <c r="AF3" s="249">
        <v>1.0069999999999999</v>
      </c>
      <c r="AG3" s="249">
        <v>1.0071000000000001</v>
      </c>
      <c r="AH3" s="249">
        <v>1.0071000000000001</v>
      </c>
      <c r="AI3" s="249">
        <v>1.0072000000000001</v>
      </c>
      <c r="AJ3" s="249">
        <v>1.0072000000000001</v>
      </c>
      <c r="AK3" s="249">
        <v>1.0073000000000001</v>
      </c>
      <c r="AL3" s="249">
        <v>1.0073000000000001</v>
      </c>
      <c r="AM3" s="249">
        <v>1.0073000000000001</v>
      </c>
      <c r="AN3" s="249">
        <v>1.0074000000000001</v>
      </c>
      <c r="AO3" s="249">
        <v>1.0074000000000001</v>
      </c>
      <c r="AP3" s="249">
        <v>1.0075000000000001</v>
      </c>
      <c r="AQ3" s="249">
        <v>1.0075000000000001</v>
      </c>
      <c r="AR3" s="249">
        <v>1.0076000000000001</v>
      </c>
      <c r="AS3" s="249">
        <v>1.0076000000000001</v>
      </c>
      <c r="AT3" s="249">
        <v>1.0077</v>
      </c>
      <c r="AU3" s="249">
        <v>1.0077</v>
      </c>
      <c r="AV3" s="249">
        <v>1.0077</v>
      </c>
      <c r="AW3" s="249">
        <v>1.0078</v>
      </c>
      <c r="AX3" s="249">
        <v>1.0078</v>
      </c>
      <c r="AY3" s="249">
        <v>1.0079</v>
      </c>
      <c r="AZ3" s="249">
        <v>1.0079</v>
      </c>
      <c r="BA3" s="251">
        <v>1.008</v>
      </c>
    </row>
    <row r="4" spans="1:55" s="244" customFormat="1" ht="15.75" customHeight="1">
      <c r="B4" s="248">
        <v>45.5</v>
      </c>
      <c r="C4" s="249">
        <v>1.0057</v>
      </c>
      <c r="D4" s="249">
        <v>1.0057</v>
      </c>
      <c r="E4" s="249">
        <v>1.0057</v>
      </c>
      <c r="F4" s="249">
        <v>1.0058</v>
      </c>
      <c r="G4" s="249">
        <v>1.0058</v>
      </c>
      <c r="H4" s="249">
        <v>1.0059</v>
      </c>
      <c r="I4" s="249">
        <v>1.0059</v>
      </c>
      <c r="J4" s="249">
        <v>1.0059</v>
      </c>
      <c r="K4" s="249">
        <v>1.006</v>
      </c>
      <c r="L4" s="249">
        <v>1.006</v>
      </c>
      <c r="M4" s="249">
        <v>1.0061</v>
      </c>
      <c r="N4" s="250">
        <v>1.0061</v>
      </c>
      <c r="O4" s="250">
        <v>1.0061</v>
      </c>
      <c r="P4" s="250">
        <v>1.0062</v>
      </c>
      <c r="Q4" s="250">
        <v>1.0062</v>
      </c>
      <c r="R4" s="250">
        <v>1.0062</v>
      </c>
      <c r="S4" s="250">
        <v>1.0063</v>
      </c>
      <c r="T4" s="250">
        <v>1.0063</v>
      </c>
      <c r="U4" s="250">
        <v>1.0064</v>
      </c>
      <c r="V4" s="250">
        <v>1.0064</v>
      </c>
      <c r="W4" s="250">
        <v>1.0064</v>
      </c>
      <c r="X4" s="249">
        <v>1.0065</v>
      </c>
      <c r="Y4" s="249">
        <v>1.0065</v>
      </c>
      <c r="Z4" s="249">
        <v>1.0065999999999999</v>
      </c>
      <c r="AA4" s="249">
        <v>1.0065999999999999</v>
      </c>
      <c r="AB4" s="249">
        <v>1.0065999999999999</v>
      </c>
      <c r="AC4" s="249">
        <v>1.0066999999999999</v>
      </c>
      <c r="AD4" s="249">
        <v>1.0066999999999999</v>
      </c>
      <c r="AE4" s="249">
        <v>1.0067999999999999</v>
      </c>
      <c r="AF4" s="249">
        <v>1.0067999999999999</v>
      </c>
      <c r="AG4" s="249">
        <v>1.0067999999999999</v>
      </c>
      <c r="AH4" s="249">
        <v>1.0068999999999999</v>
      </c>
      <c r="AI4" s="249">
        <v>1.0068999999999999</v>
      </c>
      <c r="AJ4" s="249">
        <v>1.0069999999999999</v>
      </c>
      <c r="AK4" s="249">
        <v>1.0069999999999999</v>
      </c>
      <c r="AL4" s="249">
        <v>1.0071000000000001</v>
      </c>
      <c r="AM4" s="249">
        <v>1.0071000000000001</v>
      </c>
      <c r="AN4" s="249">
        <v>1.0071000000000001</v>
      </c>
      <c r="AO4" s="249">
        <v>1.0072000000000001</v>
      </c>
      <c r="AP4" s="249">
        <v>1.0072000000000001</v>
      </c>
      <c r="AQ4" s="249">
        <v>1.0073000000000001</v>
      </c>
      <c r="AR4" s="249">
        <v>1.0073000000000001</v>
      </c>
      <c r="AS4" s="249">
        <v>1.0073000000000001</v>
      </c>
      <c r="AT4" s="249">
        <v>1.0074000000000001</v>
      </c>
      <c r="AU4" s="249">
        <v>1.0074000000000001</v>
      </c>
      <c r="AV4" s="249">
        <v>1.0075000000000001</v>
      </c>
      <c r="AW4" s="249">
        <v>1.0075000000000001</v>
      </c>
      <c r="AX4" s="249">
        <v>1.0076000000000001</v>
      </c>
      <c r="AY4" s="249">
        <v>1.0076000000000001</v>
      </c>
      <c r="AZ4" s="249">
        <v>1.0076000000000001</v>
      </c>
      <c r="BA4" s="251">
        <v>1.0077</v>
      </c>
    </row>
    <row r="5" spans="1:55" s="244" customFormat="1" ht="15.75" customHeight="1">
      <c r="B5" s="248">
        <v>46</v>
      </c>
      <c r="C5" s="249">
        <v>1.0055000000000001</v>
      </c>
      <c r="D5" s="249">
        <v>1.0055000000000001</v>
      </c>
      <c r="E5" s="249">
        <v>1.0055000000000001</v>
      </c>
      <c r="F5" s="249">
        <v>1.0056</v>
      </c>
      <c r="G5" s="249">
        <v>1.0056</v>
      </c>
      <c r="H5" s="249">
        <v>1.0057</v>
      </c>
      <c r="I5" s="249">
        <v>1.0057</v>
      </c>
      <c r="J5" s="249">
        <v>1.0057</v>
      </c>
      <c r="K5" s="249">
        <v>1.0058</v>
      </c>
      <c r="L5" s="249">
        <v>1.0058</v>
      </c>
      <c r="M5" s="249">
        <v>1.0058</v>
      </c>
      <c r="N5" s="250">
        <v>1.0059</v>
      </c>
      <c r="O5" s="250">
        <v>1.0059</v>
      </c>
      <c r="P5" s="250">
        <v>1.006</v>
      </c>
      <c r="Q5" s="250">
        <v>1.006</v>
      </c>
      <c r="R5" s="250">
        <v>1.006</v>
      </c>
      <c r="S5" s="250">
        <v>1.0061</v>
      </c>
      <c r="T5" s="250">
        <v>1.0061</v>
      </c>
      <c r="U5" s="250">
        <v>1.0061</v>
      </c>
      <c r="V5" s="250">
        <v>1.0062</v>
      </c>
      <c r="W5" s="250">
        <v>1.0062</v>
      </c>
      <c r="X5" s="249">
        <v>1.0063</v>
      </c>
      <c r="Y5" s="249">
        <v>1.0063</v>
      </c>
      <c r="Z5" s="249">
        <v>1.0063</v>
      </c>
      <c r="AA5" s="249">
        <v>1.0064</v>
      </c>
      <c r="AB5" s="249">
        <v>1.0064</v>
      </c>
      <c r="AC5" s="249">
        <v>1.0065</v>
      </c>
      <c r="AD5" s="249">
        <v>1.0065</v>
      </c>
      <c r="AE5" s="249">
        <v>1.0065</v>
      </c>
      <c r="AF5" s="249">
        <v>1.0065999999999999</v>
      </c>
      <c r="AG5" s="249">
        <v>1.0065999999999999</v>
      </c>
      <c r="AH5" s="249">
        <v>1.0066999999999999</v>
      </c>
      <c r="AI5" s="249">
        <v>1.0066999999999999</v>
      </c>
      <c r="AJ5" s="249">
        <v>1.0066999999999999</v>
      </c>
      <c r="AK5" s="249">
        <v>1.0067999999999999</v>
      </c>
      <c r="AL5" s="249">
        <v>1.0067999999999999</v>
      </c>
      <c r="AM5" s="249">
        <v>1.0068999999999999</v>
      </c>
      <c r="AN5" s="249">
        <v>1.0068999999999999</v>
      </c>
      <c r="AO5" s="249">
        <v>1.0068999999999999</v>
      </c>
      <c r="AP5" s="249">
        <v>1.0069999999999999</v>
      </c>
      <c r="AQ5" s="249">
        <v>1.0069999999999999</v>
      </c>
      <c r="AR5" s="249">
        <v>1.0071000000000001</v>
      </c>
      <c r="AS5" s="249">
        <v>1.0071000000000001</v>
      </c>
      <c r="AT5" s="249">
        <v>1.0072000000000001</v>
      </c>
      <c r="AU5" s="249">
        <v>1.0072000000000001</v>
      </c>
      <c r="AV5" s="249">
        <v>1.0072000000000001</v>
      </c>
      <c r="AW5" s="249">
        <v>1.0073000000000001</v>
      </c>
      <c r="AX5" s="249">
        <v>1.0073000000000001</v>
      </c>
      <c r="AY5" s="249">
        <v>1.0073000000000001</v>
      </c>
      <c r="AZ5" s="249">
        <v>1.0074000000000001</v>
      </c>
      <c r="BA5" s="251">
        <v>1.0074000000000001</v>
      </c>
    </row>
    <row r="6" spans="1:55" s="244" customFormat="1" ht="15.75" customHeight="1">
      <c r="B6" s="248">
        <v>46.5</v>
      </c>
      <c r="C6" s="249">
        <v>1.0053000000000001</v>
      </c>
      <c r="D6" s="249">
        <v>1.0053000000000001</v>
      </c>
      <c r="E6" s="249">
        <v>1.0054000000000001</v>
      </c>
      <c r="F6" s="249">
        <v>1.0054000000000001</v>
      </c>
      <c r="G6" s="249">
        <v>1.0054000000000001</v>
      </c>
      <c r="H6" s="249">
        <v>1.0055000000000001</v>
      </c>
      <c r="I6" s="249">
        <v>1.0055000000000001</v>
      </c>
      <c r="J6" s="249">
        <v>1.0055000000000001</v>
      </c>
      <c r="K6" s="249">
        <v>1.0056</v>
      </c>
      <c r="L6" s="249">
        <v>1.0056</v>
      </c>
      <c r="M6" s="249">
        <v>1.0056</v>
      </c>
      <c r="N6" s="250">
        <v>1.0057</v>
      </c>
      <c r="O6" s="250">
        <v>1.0057</v>
      </c>
      <c r="P6" s="250">
        <v>1.0057</v>
      </c>
      <c r="Q6" s="250">
        <v>1.0058</v>
      </c>
      <c r="R6" s="250">
        <v>1.0058</v>
      </c>
      <c r="S6" s="250">
        <v>1.0059</v>
      </c>
      <c r="T6" s="250">
        <v>1.0059</v>
      </c>
      <c r="U6" s="250">
        <v>1.0059</v>
      </c>
      <c r="V6" s="250">
        <v>1.006</v>
      </c>
      <c r="W6" s="250">
        <v>1.006</v>
      </c>
      <c r="X6" s="249">
        <v>1.006</v>
      </c>
      <c r="Y6" s="249">
        <v>1.0061</v>
      </c>
      <c r="Z6" s="249">
        <v>1.0061</v>
      </c>
      <c r="AA6" s="249">
        <v>1.0061</v>
      </c>
      <c r="AB6" s="249">
        <v>1.0062</v>
      </c>
      <c r="AC6" s="249">
        <v>1.0062</v>
      </c>
      <c r="AD6" s="249">
        <v>1.0063</v>
      </c>
      <c r="AE6" s="249">
        <v>1.0063</v>
      </c>
      <c r="AF6" s="249">
        <v>1.0063</v>
      </c>
      <c r="AG6" s="249">
        <v>1.0064</v>
      </c>
      <c r="AH6" s="249">
        <v>1.0064</v>
      </c>
      <c r="AI6" s="249">
        <v>1.0065</v>
      </c>
      <c r="AJ6" s="249">
        <v>1.0065</v>
      </c>
      <c r="AK6" s="249">
        <v>1.0065</v>
      </c>
      <c r="AL6" s="249">
        <v>1.0065999999999999</v>
      </c>
      <c r="AM6" s="249">
        <v>1.0065999999999999</v>
      </c>
      <c r="AN6" s="249">
        <v>1.0065999999999999</v>
      </c>
      <c r="AO6" s="249">
        <v>1.0066999999999999</v>
      </c>
      <c r="AP6" s="249">
        <v>1.0066999999999999</v>
      </c>
      <c r="AQ6" s="249">
        <v>1.0067999999999999</v>
      </c>
      <c r="AR6" s="249">
        <v>1.0067999999999999</v>
      </c>
      <c r="AS6" s="249">
        <v>1.0067999999999999</v>
      </c>
      <c r="AT6" s="249">
        <v>1.0068999999999999</v>
      </c>
      <c r="AU6" s="249">
        <v>1.0068999999999999</v>
      </c>
      <c r="AV6" s="249">
        <v>1.0069999999999999</v>
      </c>
      <c r="AW6" s="249">
        <v>1.0069999999999999</v>
      </c>
      <c r="AX6" s="249">
        <v>1.0069999999999999</v>
      </c>
      <c r="AY6" s="249">
        <v>1.0071000000000001</v>
      </c>
      <c r="AZ6" s="249">
        <v>1.0071000000000001</v>
      </c>
      <c r="BA6" s="251">
        <v>1.0072000000000001</v>
      </c>
    </row>
    <row r="7" spans="1:55" s="244" customFormat="1" ht="15.75" customHeight="1">
      <c r="B7" s="248">
        <v>47</v>
      </c>
      <c r="C7" s="249">
        <v>1.0051000000000001</v>
      </c>
      <c r="D7" s="249">
        <v>1.0051000000000001</v>
      </c>
      <c r="E7" s="249">
        <v>1.0052000000000001</v>
      </c>
      <c r="F7" s="249">
        <v>1.0052000000000001</v>
      </c>
      <c r="G7" s="249">
        <v>1.0052000000000001</v>
      </c>
      <c r="H7" s="249">
        <v>1.0053000000000001</v>
      </c>
      <c r="I7" s="249">
        <v>1.0053000000000001</v>
      </c>
      <c r="J7" s="249">
        <v>1.0053000000000001</v>
      </c>
      <c r="K7" s="249">
        <v>1.0054000000000001</v>
      </c>
      <c r="L7" s="249">
        <v>1.0054000000000001</v>
      </c>
      <c r="M7" s="249">
        <v>1.0054000000000001</v>
      </c>
      <c r="N7" s="250">
        <v>1.0055000000000001</v>
      </c>
      <c r="O7" s="250">
        <v>1.0055000000000001</v>
      </c>
      <c r="P7" s="250">
        <v>1.0055000000000001</v>
      </c>
      <c r="Q7" s="250">
        <v>1.0056</v>
      </c>
      <c r="R7" s="250">
        <v>1.0056</v>
      </c>
      <c r="S7" s="250">
        <v>1.0056</v>
      </c>
      <c r="T7" s="250">
        <v>1.0057</v>
      </c>
      <c r="U7" s="250">
        <v>1.0057</v>
      </c>
      <c r="V7" s="250">
        <v>1.0057</v>
      </c>
      <c r="W7" s="250">
        <v>1.0058</v>
      </c>
      <c r="X7" s="249">
        <v>1.0058</v>
      </c>
      <c r="Y7" s="249">
        <v>1.0058</v>
      </c>
      <c r="Z7" s="249">
        <v>1.0059</v>
      </c>
      <c r="AA7" s="249">
        <v>1.0059</v>
      </c>
      <c r="AB7" s="249">
        <v>1.006</v>
      </c>
      <c r="AC7" s="249">
        <v>1.006</v>
      </c>
      <c r="AD7" s="249">
        <v>1.006</v>
      </c>
      <c r="AE7" s="249">
        <v>1.0061</v>
      </c>
      <c r="AF7" s="249">
        <v>1.0061</v>
      </c>
      <c r="AG7" s="249">
        <v>1.0061</v>
      </c>
      <c r="AH7" s="249">
        <v>1.0062</v>
      </c>
      <c r="AI7" s="249">
        <v>1.0062</v>
      </c>
      <c r="AJ7" s="249">
        <v>1.0063</v>
      </c>
      <c r="AK7" s="249">
        <v>1.0063</v>
      </c>
      <c r="AL7" s="249">
        <v>1.0063</v>
      </c>
      <c r="AM7" s="249">
        <v>1.0064</v>
      </c>
      <c r="AN7" s="249">
        <v>1.0064</v>
      </c>
      <c r="AO7" s="249">
        <v>1.0064</v>
      </c>
      <c r="AP7" s="249">
        <v>1.0065</v>
      </c>
      <c r="AQ7" s="249">
        <v>1.0065</v>
      </c>
      <c r="AR7" s="249">
        <v>1.0065999999999999</v>
      </c>
      <c r="AS7" s="249">
        <v>1.0065999999999999</v>
      </c>
      <c r="AT7" s="249">
        <v>1.0066999999999999</v>
      </c>
      <c r="AU7" s="249">
        <v>1.0066999999999999</v>
      </c>
      <c r="AV7" s="249">
        <v>1.0066999999999999</v>
      </c>
      <c r="AW7" s="249">
        <v>1.0066999999999999</v>
      </c>
      <c r="AX7" s="249">
        <v>1.0067999999999999</v>
      </c>
      <c r="AY7" s="249">
        <v>1.0067999999999999</v>
      </c>
      <c r="AZ7" s="249">
        <v>1.0068999999999999</v>
      </c>
      <c r="BA7" s="251">
        <v>1.0068999999999999</v>
      </c>
    </row>
    <row r="8" spans="1:55" s="244" customFormat="1" ht="15.75" customHeight="1">
      <c r="B8" s="248">
        <v>47.5</v>
      </c>
      <c r="C8" s="249">
        <v>1.0048999999999999</v>
      </c>
      <c r="D8" s="249">
        <v>1.0048999999999999</v>
      </c>
      <c r="E8" s="249">
        <v>1.0049999999999999</v>
      </c>
      <c r="F8" s="249">
        <v>1.0049999999999999</v>
      </c>
      <c r="G8" s="249">
        <v>1.0049999999999999</v>
      </c>
      <c r="H8" s="249">
        <v>1.0051000000000001</v>
      </c>
      <c r="I8" s="249">
        <v>1.0051000000000001</v>
      </c>
      <c r="J8" s="249">
        <v>1.0051000000000001</v>
      </c>
      <c r="K8" s="249">
        <v>1.0052000000000001</v>
      </c>
      <c r="L8" s="249">
        <v>1.0052000000000001</v>
      </c>
      <c r="M8" s="249">
        <v>1.0052000000000001</v>
      </c>
      <c r="N8" s="250">
        <v>1.0053000000000001</v>
      </c>
      <c r="O8" s="250">
        <v>1.0053000000000001</v>
      </c>
      <c r="P8" s="250">
        <v>1.0053000000000001</v>
      </c>
      <c r="Q8" s="250">
        <v>1.0054000000000001</v>
      </c>
      <c r="R8" s="250">
        <v>1.0054000000000001</v>
      </c>
      <c r="S8" s="250">
        <v>1.0054000000000001</v>
      </c>
      <c r="T8" s="250">
        <v>1.0055000000000001</v>
      </c>
      <c r="U8" s="250">
        <v>1.0055000000000001</v>
      </c>
      <c r="V8" s="250">
        <v>1.0055000000000001</v>
      </c>
      <c r="W8" s="250">
        <v>1.0056</v>
      </c>
      <c r="X8" s="249">
        <v>1.0056</v>
      </c>
      <c r="Y8" s="249">
        <v>1.0056</v>
      </c>
      <c r="Z8" s="249">
        <v>1.0057</v>
      </c>
      <c r="AA8" s="249">
        <v>1.0057</v>
      </c>
      <c r="AB8" s="249">
        <v>1.0057</v>
      </c>
      <c r="AC8" s="249">
        <v>1.0058</v>
      </c>
      <c r="AD8" s="249">
        <v>1.0058</v>
      </c>
      <c r="AE8" s="249">
        <v>1.0058</v>
      </c>
      <c r="AF8" s="249">
        <v>1.0059</v>
      </c>
      <c r="AG8" s="249">
        <v>1.0059</v>
      </c>
      <c r="AH8" s="249">
        <v>1.0059</v>
      </c>
      <c r="AI8" s="249">
        <v>1.006</v>
      </c>
      <c r="AJ8" s="249">
        <v>1.006</v>
      </c>
      <c r="AK8" s="249">
        <v>1.006</v>
      </c>
      <c r="AL8" s="249">
        <v>1.0061</v>
      </c>
      <c r="AM8" s="249">
        <v>1.0061</v>
      </c>
      <c r="AN8" s="249">
        <v>1.0062</v>
      </c>
      <c r="AO8" s="249">
        <v>1.0062</v>
      </c>
      <c r="AP8" s="249">
        <v>1.0062</v>
      </c>
      <c r="AQ8" s="249">
        <v>1.0063</v>
      </c>
      <c r="AR8" s="249">
        <v>1.0063</v>
      </c>
      <c r="AS8" s="249">
        <v>1.0063</v>
      </c>
      <c r="AT8" s="249">
        <v>1.0064</v>
      </c>
      <c r="AU8" s="249">
        <v>1.0064</v>
      </c>
      <c r="AV8" s="249">
        <v>1.0064</v>
      </c>
      <c r="AW8" s="249">
        <v>1.0065</v>
      </c>
      <c r="AX8" s="249">
        <v>1.0065</v>
      </c>
      <c r="AY8" s="249">
        <v>1.0065999999999999</v>
      </c>
      <c r="AZ8" s="249">
        <v>1.0065999999999999</v>
      </c>
      <c r="BA8" s="251">
        <v>1.0065999999999999</v>
      </c>
    </row>
    <row r="9" spans="1:55" s="244" customFormat="1" ht="15.75" customHeight="1">
      <c r="B9" s="248">
        <v>48</v>
      </c>
      <c r="C9" s="249">
        <v>1.0046999999999999</v>
      </c>
      <c r="D9" s="249">
        <v>1.0046999999999999</v>
      </c>
      <c r="E9" s="249">
        <v>1.0047999999999999</v>
      </c>
      <c r="F9" s="249">
        <v>1.0047999999999999</v>
      </c>
      <c r="G9" s="249">
        <v>1.0047999999999999</v>
      </c>
      <c r="H9" s="249">
        <v>1.0048999999999999</v>
      </c>
      <c r="I9" s="249">
        <v>1.0048999999999999</v>
      </c>
      <c r="J9" s="249">
        <v>1.0048999999999999</v>
      </c>
      <c r="K9" s="249">
        <v>1.0048999999999999</v>
      </c>
      <c r="L9" s="249">
        <v>1.0049999999999999</v>
      </c>
      <c r="M9" s="249">
        <v>1.0049999999999999</v>
      </c>
      <c r="N9" s="250">
        <v>1.0049999999999999</v>
      </c>
      <c r="O9" s="250">
        <v>1.0051000000000001</v>
      </c>
      <c r="P9" s="250">
        <v>1.0051000000000001</v>
      </c>
      <c r="Q9" s="250">
        <v>1.0051000000000001</v>
      </c>
      <c r="R9" s="250">
        <v>1.0052000000000001</v>
      </c>
      <c r="S9" s="250">
        <v>1.0052000000000001</v>
      </c>
      <c r="T9" s="250">
        <v>1.0052000000000001</v>
      </c>
      <c r="U9" s="250">
        <v>1.0053000000000001</v>
      </c>
      <c r="V9" s="250">
        <v>1.0053000000000001</v>
      </c>
      <c r="W9" s="250">
        <v>1.0053000000000001</v>
      </c>
      <c r="X9" s="249">
        <v>1.0054000000000001</v>
      </c>
      <c r="Y9" s="249">
        <v>1.0054000000000001</v>
      </c>
      <c r="Z9" s="249">
        <v>1.0054000000000001</v>
      </c>
      <c r="AA9" s="249">
        <v>1.0055000000000001</v>
      </c>
      <c r="AB9" s="249">
        <v>1.0055000000000001</v>
      </c>
      <c r="AC9" s="249">
        <v>1.0055000000000001</v>
      </c>
      <c r="AD9" s="249">
        <v>1.0056</v>
      </c>
      <c r="AE9" s="249">
        <v>1.0056</v>
      </c>
      <c r="AF9" s="249">
        <v>1.0056</v>
      </c>
      <c r="AG9" s="249">
        <v>1.0057</v>
      </c>
      <c r="AH9" s="249">
        <v>1.0057</v>
      </c>
      <c r="AI9" s="249">
        <v>1.0057</v>
      </c>
      <c r="AJ9" s="249">
        <v>1.0058</v>
      </c>
      <c r="AK9" s="249">
        <v>1.0058</v>
      </c>
      <c r="AL9" s="249">
        <v>1.0058</v>
      </c>
      <c r="AM9" s="249">
        <v>1.0059</v>
      </c>
      <c r="AN9" s="249">
        <v>1.0059</v>
      </c>
      <c r="AO9" s="249">
        <v>1.0059</v>
      </c>
      <c r="AP9" s="249">
        <v>1.006</v>
      </c>
      <c r="AQ9" s="249">
        <v>1.006</v>
      </c>
      <c r="AR9" s="249">
        <v>1.006</v>
      </c>
      <c r="AS9" s="249">
        <v>1.0061</v>
      </c>
      <c r="AT9" s="249">
        <v>1.0062</v>
      </c>
      <c r="AU9" s="249">
        <v>1.0062</v>
      </c>
      <c r="AV9" s="249">
        <v>1.0062</v>
      </c>
      <c r="AW9" s="249">
        <v>1.0062</v>
      </c>
      <c r="AX9" s="249">
        <v>1.0063</v>
      </c>
      <c r="AY9" s="249">
        <v>1.0063</v>
      </c>
      <c r="AZ9" s="249">
        <v>1.0063</v>
      </c>
      <c r="BA9" s="251">
        <v>1.0064</v>
      </c>
    </row>
    <row r="10" spans="1:55" s="244" customFormat="1" ht="15.75" customHeight="1">
      <c r="B10" s="248">
        <v>48.5</v>
      </c>
      <c r="C10" s="249">
        <v>1.0044999999999999</v>
      </c>
      <c r="D10" s="249">
        <v>1.0044999999999999</v>
      </c>
      <c r="E10" s="249">
        <v>1.0045999999999999</v>
      </c>
      <c r="F10" s="249">
        <v>1.0045999999999999</v>
      </c>
      <c r="G10" s="249">
        <v>1.0045999999999999</v>
      </c>
      <c r="H10" s="249">
        <v>1.0045999999999999</v>
      </c>
      <c r="I10" s="249">
        <v>1.0046999999999999</v>
      </c>
      <c r="J10" s="249">
        <v>1.0046999999999999</v>
      </c>
      <c r="K10" s="249">
        <v>1.0046999999999999</v>
      </c>
      <c r="L10" s="249">
        <v>1.0047999999999999</v>
      </c>
      <c r="M10" s="249">
        <v>1.0047999999999999</v>
      </c>
      <c r="N10" s="250">
        <v>1.0047999999999999</v>
      </c>
      <c r="O10" s="250">
        <v>1.0048999999999999</v>
      </c>
      <c r="P10" s="250">
        <v>1.0048999999999999</v>
      </c>
      <c r="Q10" s="250">
        <v>1.0048999999999999</v>
      </c>
      <c r="R10" s="250">
        <v>1.0049999999999999</v>
      </c>
      <c r="S10" s="250">
        <v>1.0049999999999999</v>
      </c>
      <c r="T10" s="250">
        <v>1.0049999999999999</v>
      </c>
      <c r="U10" s="250">
        <v>1.0049999999999999</v>
      </c>
      <c r="V10" s="250">
        <v>1.0051000000000001</v>
      </c>
      <c r="W10" s="250">
        <v>1.0051000000000001</v>
      </c>
      <c r="X10" s="249">
        <v>1.0051000000000001</v>
      </c>
      <c r="Y10" s="249">
        <v>1.0052000000000001</v>
      </c>
      <c r="Z10" s="249">
        <v>1.0052000000000001</v>
      </c>
      <c r="AA10" s="249">
        <v>1.0052000000000001</v>
      </c>
      <c r="AB10" s="249">
        <v>1.0053000000000001</v>
      </c>
      <c r="AC10" s="249">
        <v>1.0053000000000001</v>
      </c>
      <c r="AD10" s="249">
        <v>1.0053000000000001</v>
      </c>
      <c r="AE10" s="249">
        <v>1.0054000000000001</v>
      </c>
      <c r="AF10" s="249">
        <v>1.0054000000000001</v>
      </c>
      <c r="AG10" s="249">
        <v>1.0054000000000001</v>
      </c>
      <c r="AH10" s="249">
        <v>1.0055000000000001</v>
      </c>
      <c r="AI10" s="249">
        <v>1.0055000000000001</v>
      </c>
      <c r="AJ10" s="249">
        <v>1.0055000000000001</v>
      </c>
      <c r="AK10" s="249">
        <v>1.0056</v>
      </c>
      <c r="AL10" s="249">
        <v>1.0056</v>
      </c>
      <c r="AM10" s="249">
        <v>1.0056</v>
      </c>
      <c r="AN10" s="249">
        <v>1.0057</v>
      </c>
      <c r="AO10" s="249">
        <v>1.0057</v>
      </c>
      <c r="AP10" s="249">
        <v>1.0057</v>
      </c>
      <c r="AQ10" s="249">
        <v>1.0058</v>
      </c>
      <c r="AR10" s="249">
        <v>1.0058</v>
      </c>
      <c r="AS10" s="249">
        <v>1.0058</v>
      </c>
      <c r="AT10" s="249">
        <v>1.0059</v>
      </c>
      <c r="AU10" s="249">
        <v>1.0059</v>
      </c>
      <c r="AV10" s="249">
        <v>1.0059</v>
      </c>
      <c r="AW10" s="249">
        <v>1.006</v>
      </c>
      <c r="AX10" s="249">
        <v>1.006</v>
      </c>
      <c r="AY10" s="249">
        <v>1.006</v>
      </c>
      <c r="AZ10" s="249">
        <v>1.0061</v>
      </c>
      <c r="BA10" s="251">
        <v>1.0061</v>
      </c>
    </row>
    <row r="11" spans="1:55" s="244" customFormat="1" ht="15.75" customHeight="1">
      <c r="B11" s="248">
        <v>49</v>
      </c>
      <c r="C11" s="249">
        <v>1.0043</v>
      </c>
      <c r="D11" s="249">
        <v>1.0043</v>
      </c>
      <c r="E11" s="249">
        <v>1.0044</v>
      </c>
      <c r="F11" s="249">
        <v>1.0044</v>
      </c>
      <c r="G11" s="249">
        <v>1.0044</v>
      </c>
      <c r="H11" s="249">
        <v>1.0044</v>
      </c>
      <c r="I11" s="249">
        <v>1.0044999999999999</v>
      </c>
      <c r="J11" s="249">
        <v>1.0044999999999999</v>
      </c>
      <c r="K11" s="249">
        <v>1.0044999999999999</v>
      </c>
      <c r="L11" s="249">
        <v>1.0045999999999999</v>
      </c>
      <c r="M11" s="249">
        <v>1.0045999999999999</v>
      </c>
      <c r="N11" s="250">
        <v>1.0045999999999999</v>
      </c>
      <c r="O11" s="250">
        <v>1.0046999999999999</v>
      </c>
      <c r="P11" s="250">
        <v>1.0046999999999999</v>
      </c>
      <c r="Q11" s="250">
        <v>1.0046999999999999</v>
      </c>
      <c r="R11" s="250">
        <v>1.0046999999999999</v>
      </c>
      <c r="S11" s="250">
        <v>1.0047999999999999</v>
      </c>
      <c r="T11" s="250">
        <v>1.0047999999999999</v>
      </c>
      <c r="U11" s="250">
        <v>1.0047999999999999</v>
      </c>
      <c r="V11" s="250">
        <v>1.0048999999999999</v>
      </c>
      <c r="W11" s="250">
        <v>1.0048999999999999</v>
      </c>
      <c r="X11" s="249">
        <v>1.0048999999999999</v>
      </c>
      <c r="Y11" s="249">
        <v>1.0049999999999999</v>
      </c>
      <c r="Z11" s="249">
        <v>1.0049999999999999</v>
      </c>
      <c r="AA11" s="249">
        <v>1.0049999999999999</v>
      </c>
      <c r="AB11" s="249">
        <v>1.0049999999999999</v>
      </c>
      <c r="AC11" s="249">
        <v>1.0051000000000001</v>
      </c>
      <c r="AD11" s="249">
        <v>1.0051000000000001</v>
      </c>
      <c r="AE11" s="249">
        <v>1.0051000000000001</v>
      </c>
      <c r="AF11" s="249">
        <v>1.0052000000000001</v>
      </c>
      <c r="AG11" s="249">
        <v>1.0052000000000001</v>
      </c>
      <c r="AH11" s="249">
        <v>1.0052000000000001</v>
      </c>
      <c r="AI11" s="249">
        <v>1.0053000000000001</v>
      </c>
      <c r="AJ11" s="249">
        <v>1.0053000000000001</v>
      </c>
      <c r="AK11" s="249">
        <v>1.0053000000000001</v>
      </c>
      <c r="AL11" s="249">
        <v>1.0054000000000001</v>
      </c>
      <c r="AM11" s="249">
        <v>1.0054000000000001</v>
      </c>
      <c r="AN11" s="249">
        <v>1.0054000000000001</v>
      </c>
      <c r="AO11" s="249">
        <v>1.0054000000000001</v>
      </c>
      <c r="AP11" s="249">
        <v>1.0055000000000001</v>
      </c>
      <c r="AQ11" s="249">
        <v>1.0055000000000001</v>
      </c>
      <c r="AR11" s="249">
        <v>1.0055000000000001</v>
      </c>
      <c r="AS11" s="249">
        <v>1.0056</v>
      </c>
      <c r="AT11" s="249">
        <v>1.0056</v>
      </c>
      <c r="AU11" s="249">
        <v>1.0056</v>
      </c>
      <c r="AV11" s="249">
        <v>1.0057</v>
      </c>
      <c r="AW11" s="249">
        <v>1.0057</v>
      </c>
      <c r="AX11" s="249">
        <v>1.0057</v>
      </c>
      <c r="AY11" s="249">
        <v>1.0058</v>
      </c>
      <c r="AZ11" s="249">
        <v>1.0058</v>
      </c>
      <c r="BA11" s="251">
        <v>1.0058</v>
      </c>
    </row>
    <row r="12" spans="1:55" s="244" customFormat="1" ht="15.75" customHeight="1">
      <c r="B12" s="248">
        <v>49.5</v>
      </c>
      <c r="C12" s="249">
        <v>1.0041</v>
      </c>
      <c r="D12" s="249">
        <v>1.0041</v>
      </c>
      <c r="E12" s="249">
        <v>1.0042</v>
      </c>
      <c r="F12" s="249">
        <v>1.0042</v>
      </c>
      <c r="G12" s="249">
        <v>1.0042</v>
      </c>
      <c r="H12" s="249">
        <v>1.0042</v>
      </c>
      <c r="I12" s="249">
        <v>1.0043</v>
      </c>
      <c r="J12" s="249">
        <v>1.0043</v>
      </c>
      <c r="K12" s="249">
        <v>1.0043</v>
      </c>
      <c r="L12" s="249">
        <v>1.0044</v>
      </c>
      <c r="M12" s="249">
        <v>1.0044</v>
      </c>
      <c r="N12" s="250">
        <v>1.0044</v>
      </c>
      <c r="O12" s="250">
        <v>1.0044</v>
      </c>
      <c r="P12" s="250">
        <v>1.0044999999999999</v>
      </c>
      <c r="Q12" s="250">
        <v>1.0044999999999999</v>
      </c>
      <c r="R12" s="250">
        <v>1.0044999999999999</v>
      </c>
      <c r="S12" s="250">
        <v>1.0045999999999999</v>
      </c>
      <c r="T12" s="250">
        <v>1.0045999999999999</v>
      </c>
      <c r="U12" s="250">
        <v>1.0045999999999999</v>
      </c>
      <c r="V12" s="250">
        <v>1.0045999999999999</v>
      </c>
      <c r="W12" s="250">
        <v>1.0046999999999999</v>
      </c>
      <c r="X12" s="249">
        <v>1.0046999999999999</v>
      </c>
      <c r="Y12" s="249">
        <v>1.0046999999999999</v>
      </c>
      <c r="Z12" s="249">
        <v>1.0047999999999999</v>
      </c>
      <c r="AA12" s="249">
        <v>1.0047999999999999</v>
      </c>
      <c r="AB12" s="249">
        <v>1.0047999999999999</v>
      </c>
      <c r="AC12" s="249">
        <v>1.0047999999999999</v>
      </c>
      <c r="AD12" s="249">
        <v>1.0048999999999999</v>
      </c>
      <c r="AE12" s="249">
        <v>1.0048999999999999</v>
      </c>
      <c r="AF12" s="249">
        <v>1.0048999999999999</v>
      </c>
      <c r="AG12" s="249">
        <v>1.0049999999999999</v>
      </c>
      <c r="AH12" s="249">
        <v>1.0049999999999999</v>
      </c>
      <c r="AI12" s="249">
        <v>1.0049999999999999</v>
      </c>
      <c r="AJ12" s="249">
        <v>1.0051000000000001</v>
      </c>
      <c r="AK12" s="249">
        <v>1.0051000000000001</v>
      </c>
      <c r="AL12" s="249">
        <v>1.0051000000000001</v>
      </c>
      <c r="AM12" s="249">
        <v>1.0051000000000001</v>
      </c>
      <c r="AN12" s="249">
        <v>1.0052000000000001</v>
      </c>
      <c r="AO12" s="249">
        <v>1.0052000000000001</v>
      </c>
      <c r="AP12" s="249">
        <v>1.0052000000000001</v>
      </c>
      <c r="AQ12" s="249">
        <v>1.0053000000000001</v>
      </c>
      <c r="AR12" s="249">
        <v>1.0053000000000001</v>
      </c>
      <c r="AS12" s="249">
        <v>1.0053000000000001</v>
      </c>
      <c r="AT12" s="249">
        <v>1.0054000000000001</v>
      </c>
      <c r="AU12" s="249">
        <v>1.0054000000000001</v>
      </c>
      <c r="AV12" s="249">
        <v>1.0054000000000001</v>
      </c>
      <c r="AW12" s="249">
        <v>1.0054000000000001</v>
      </c>
      <c r="AX12" s="249">
        <v>1.0055000000000001</v>
      </c>
      <c r="AY12" s="249">
        <v>1.0055000000000001</v>
      </c>
      <c r="AZ12" s="249">
        <v>1.0055000000000001</v>
      </c>
      <c r="BA12" s="251">
        <v>1.0056</v>
      </c>
    </row>
    <row r="13" spans="1:55" s="244" customFormat="1" ht="15.75" customHeight="1">
      <c r="B13" s="248">
        <v>50</v>
      </c>
      <c r="C13" s="249">
        <v>1.0039</v>
      </c>
      <c r="D13" s="249">
        <v>1.0039</v>
      </c>
      <c r="E13" s="249">
        <v>1.004</v>
      </c>
      <c r="F13" s="249">
        <v>1.004</v>
      </c>
      <c r="G13" s="249">
        <v>1.004</v>
      </c>
      <c r="H13" s="249">
        <v>1.004</v>
      </c>
      <c r="I13" s="249">
        <v>1.0041</v>
      </c>
      <c r="J13" s="249">
        <v>1.0041</v>
      </c>
      <c r="K13" s="249">
        <v>1.0041</v>
      </c>
      <c r="L13" s="249">
        <v>1.0041</v>
      </c>
      <c r="M13" s="249">
        <v>1.0042</v>
      </c>
      <c r="N13" s="250">
        <v>1.0042</v>
      </c>
      <c r="O13" s="250">
        <v>1.0042</v>
      </c>
      <c r="P13" s="250">
        <v>1.0043</v>
      </c>
      <c r="Q13" s="250">
        <v>1.0043</v>
      </c>
      <c r="R13" s="250">
        <v>1.0043</v>
      </c>
      <c r="S13" s="250">
        <v>1.0043</v>
      </c>
      <c r="T13" s="250">
        <v>1.0044</v>
      </c>
      <c r="U13" s="250">
        <v>1.0044</v>
      </c>
      <c r="V13" s="250">
        <v>1.0044</v>
      </c>
      <c r="W13" s="250">
        <v>1.0044</v>
      </c>
      <c r="X13" s="249">
        <v>1.0044999999999999</v>
      </c>
      <c r="Y13" s="249">
        <v>1.0044999999999999</v>
      </c>
      <c r="Z13" s="249">
        <v>1.0044999999999999</v>
      </c>
      <c r="AA13" s="249">
        <v>1.0045999999999999</v>
      </c>
      <c r="AB13" s="249">
        <v>1.0045999999999999</v>
      </c>
      <c r="AC13" s="249">
        <v>1.0045999999999999</v>
      </c>
      <c r="AD13" s="249">
        <v>1.0045999999999999</v>
      </c>
      <c r="AE13" s="249">
        <v>1.0046999999999999</v>
      </c>
      <c r="AF13" s="249">
        <v>1.0046999999999999</v>
      </c>
      <c r="AG13" s="249">
        <v>1.0046999999999999</v>
      </c>
      <c r="AH13" s="249">
        <v>1.0047999999999999</v>
      </c>
      <c r="AI13" s="249">
        <v>1.0047999999999999</v>
      </c>
      <c r="AJ13" s="249">
        <v>1.0047999999999999</v>
      </c>
      <c r="AK13" s="249">
        <v>1.0047999999999999</v>
      </c>
      <c r="AL13" s="249">
        <v>1.0048999999999999</v>
      </c>
      <c r="AM13" s="249">
        <v>1.0048999999999999</v>
      </c>
      <c r="AN13" s="249">
        <v>1.0048999999999999</v>
      </c>
      <c r="AO13" s="249">
        <v>1.0049999999999999</v>
      </c>
      <c r="AP13" s="249">
        <v>1.0049999999999999</v>
      </c>
      <c r="AQ13" s="249">
        <v>1.0049999999999999</v>
      </c>
      <c r="AR13" s="249">
        <v>1.0049999999999999</v>
      </c>
      <c r="AS13" s="249">
        <v>1.0051000000000001</v>
      </c>
      <c r="AT13" s="249">
        <v>1.0051000000000001</v>
      </c>
      <c r="AU13" s="249">
        <v>1.0051000000000001</v>
      </c>
      <c r="AV13" s="249">
        <v>1.0052000000000001</v>
      </c>
      <c r="AW13" s="249">
        <v>1.0052000000000001</v>
      </c>
      <c r="AX13" s="249">
        <v>1.0052000000000001</v>
      </c>
      <c r="AY13" s="249">
        <v>1.0052000000000001</v>
      </c>
      <c r="AZ13" s="249">
        <v>1.0053000000000001</v>
      </c>
      <c r="BA13" s="251">
        <v>1.0053000000000001</v>
      </c>
    </row>
    <row r="14" spans="1:55" s="244" customFormat="1" ht="15.75" customHeight="1">
      <c r="B14" s="248">
        <v>50.5</v>
      </c>
      <c r="C14" s="249">
        <v>1.0037</v>
      </c>
      <c r="D14" s="249">
        <v>1.0037</v>
      </c>
      <c r="E14" s="249">
        <v>1.0038</v>
      </c>
      <c r="F14" s="249">
        <v>1.0038</v>
      </c>
      <c r="G14" s="249">
        <v>1.0038</v>
      </c>
      <c r="H14" s="249">
        <v>1.0038</v>
      </c>
      <c r="I14" s="249">
        <v>1.0039</v>
      </c>
      <c r="J14" s="249">
        <v>1.0039</v>
      </c>
      <c r="K14" s="249">
        <v>1.0039</v>
      </c>
      <c r="L14" s="249">
        <v>1.0039</v>
      </c>
      <c r="M14" s="249">
        <v>1.004</v>
      </c>
      <c r="N14" s="250">
        <v>1.004</v>
      </c>
      <c r="O14" s="250">
        <v>1.004</v>
      </c>
      <c r="P14" s="250">
        <v>1.004</v>
      </c>
      <c r="Q14" s="250">
        <v>1.0041</v>
      </c>
      <c r="R14" s="250">
        <v>1.0041</v>
      </c>
      <c r="S14" s="250">
        <v>1.0041</v>
      </c>
      <c r="T14" s="250">
        <v>1.0041</v>
      </c>
      <c r="U14" s="250">
        <v>1.0042</v>
      </c>
      <c r="V14" s="250">
        <v>1.0042</v>
      </c>
      <c r="W14" s="250">
        <v>1.0042</v>
      </c>
      <c r="X14" s="249">
        <v>1.0043</v>
      </c>
      <c r="Y14" s="249">
        <v>1.0043</v>
      </c>
      <c r="Z14" s="249">
        <v>1.0043</v>
      </c>
      <c r="AA14" s="249">
        <v>1.0043</v>
      </c>
      <c r="AB14" s="249">
        <v>1.0044</v>
      </c>
      <c r="AC14" s="249">
        <v>1.0044</v>
      </c>
      <c r="AD14" s="249">
        <v>1.0044</v>
      </c>
      <c r="AE14" s="249">
        <v>1.0044</v>
      </c>
      <c r="AF14" s="249">
        <v>1.0044999999999999</v>
      </c>
      <c r="AG14" s="249">
        <v>1.0044999999999999</v>
      </c>
      <c r="AH14" s="249">
        <v>1.0044999999999999</v>
      </c>
      <c r="AI14" s="249">
        <v>1.0044999999999999</v>
      </c>
      <c r="AJ14" s="249">
        <v>1.0045999999999999</v>
      </c>
      <c r="AK14" s="249">
        <v>1.0045999999999999</v>
      </c>
      <c r="AL14" s="249">
        <v>1.0045999999999999</v>
      </c>
      <c r="AM14" s="249">
        <v>1.0046999999999999</v>
      </c>
      <c r="AN14" s="249">
        <v>1.0046999999999999</v>
      </c>
      <c r="AO14" s="249">
        <v>1.0046999999999999</v>
      </c>
      <c r="AP14" s="249">
        <v>1.0046999999999999</v>
      </c>
      <c r="AQ14" s="249">
        <v>1.0047999999999999</v>
      </c>
      <c r="AR14" s="249">
        <v>1.0047999999999999</v>
      </c>
      <c r="AS14" s="249">
        <v>1.0047999999999999</v>
      </c>
      <c r="AT14" s="249">
        <v>1.0047999999999999</v>
      </c>
      <c r="AU14" s="249">
        <v>1.0048999999999999</v>
      </c>
      <c r="AV14" s="249">
        <v>1.0048999999999999</v>
      </c>
      <c r="AW14" s="249">
        <v>1.0048999999999999</v>
      </c>
      <c r="AX14" s="249">
        <v>1.0049999999999999</v>
      </c>
      <c r="AY14" s="249">
        <v>1.0049999999999999</v>
      </c>
      <c r="AZ14" s="249">
        <v>1.0049999999999999</v>
      </c>
      <c r="BA14" s="251">
        <v>1.0049999999999999</v>
      </c>
    </row>
    <row r="15" spans="1:55" s="244" customFormat="1" ht="15.75" customHeight="1">
      <c r="B15" s="248">
        <v>51</v>
      </c>
      <c r="C15" s="249">
        <v>1.0035000000000001</v>
      </c>
      <c r="D15" s="249">
        <v>1.0035000000000001</v>
      </c>
      <c r="E15" s="249">
        <v>1.0036</v>
      </c>
      <c r="F15" s="249">
        <v>1.0036</v>
      </c>
      <c r="G15" s="249">
        <v>1.0036</v>
      </c>
      <c r="H15" s="249">
        <v>1.0036</v>
      </c>
      <c r="I15" s="249">
        <v>1.0037</v>
      </c>
      <c r="J15" s="249">
        <v>1.0037</v>
      </c>
      <c r="K15" s="249">
        <v>1.0037</v>
      </c>
      <c r="L15" s="249">
        <v>1.0037</v>
      </c>
      <c r="M15" s="249">
        <v>1.0038</v>
      </c>
      <c r="N15" s="250">
        <v>1.0038</v>
      </c>
      <c r="O15" s="250">
        <v>1.0038</v>
      </c>
      <c r="P15" s="250">
        <v>1.0038</v>
      </c>
      <c r="Q15" s="250">
        <v>1.0039</v>
      </c>
      <c r="R15" s="250">
        <v>1.0039</v>
      </c>
      <c r="S15" s="250">
        <v>1.0039</v>
      </c>
      <c r="T15" s="250">
        <v>1.0039</v>
      </c>
      <c r="U15" s="250">
        <v>1.004</v>
      </c>
      <c r="V15" s="250">
        <v>1.004</v>
      </c>
      <c r="W15" s="250">
        <v>1.004</v>
      </c>
      <c r="X15" s="249">
        <v>1.004</v>
      </c>
      <c r="Y15" s="249">
        <v>1.0041</v>
      </c>
      <c r="Z15" s="249">
        <v>1.0041</v>
      </c>
      <c r="AA15" s="249">
        <v>1.0041</v>
      </c>
      <c r="AB15" s="249">
        <v>1.0041</v>
      </c>
      <c r="AC15" s="249">
        <v>1.0042</v>
      </c>
      <c r="AD15" s="249">
        <v>1.0042</v>
      </c>
      <c r="AE15" s="249">
        <v>1.0042</v>
      </c>
      <c r="AF15" s="249">
        <v>1.0042</v>
      </c>
      <c r="AG15" s="249">
        <v>1.0043</v>
      </c>
      <c r="AH15" s="249">
        <v>1.0043</v>
      </c>
      <c r="AI15" s="249">
        <v>1.0043</v>
      </c>
      <c r="AJ15" s="249">
        <v>1.0043</v>
      </c>
      <c r="AK15" s="249">
        <v>1.0044</v>
      </c>
      <c r="AL15" s="249">
        <v>1.0044</v>
      </c>
      <c r="AM15" s="249">
        <v>1.0044</v>
      </c>
      <c r="AN15" s="249">
        <v>1.0044</v>
      </c>
      <c r="AO15" s="249">
        <v>1.0044999999999999</v>
      </c>
      <c r="AP15" s="249">
        <v>1.0044999999999999</v>
      </c>
      <c r="AQ15" s="249">
        <v>1.0044999999999999</v>
      </c>
      <c r="AR15" s="249">
        <v>1.0044999999999999</v>
      </c>
      <c r="AS15" s="249">
        <v>1.0045999999999999</v>
      </c>
      <c r="AT15" s="249">
        <v>1.0045999999999999</v>
      </c>
      <c r="AU15" s="249">
        <v>1.0045999999999999</v>
      </c>
      <c r="AV15" s="249">
        <v>1.0045999999999999</v>
      </c>
      <c r="AW15" s="249">
        <v>1.0046999999999999</v>
      </c>
      <c r="AX15" s="249">
        <v>1.0046999999999999</v>
      </c>
      <c r="AY15" s="249">
        <v>1.0046999999999999</v>
      </c>
      <c r="AZ15" s="249">
        <v>1.0047999999999999</v>
      </c>
      <c r="BA15" s="251">
        <v>1.0047999999999999</v>
      </c>
    </row>
    <row r="16" spans="1:55" s="244" customFormat="1" ht="15.75" customHeight="1">
      <c r="B16" s="248">
        <v>51.5</v>
      </c>
      <c r="C16" s="249">
        <v>1.0033000000000001</v>
      </c>
      <c r="D16" s="249">
        <v>1.0033000000000001</v>
      </c>
      <c r="E16" s="249">
        <v>1.0034000000000001</v>
      </c>
      <c r="F16" s="249">
        <v>1.0034000000000001</v>
      </c>
      <c r="G16" s="249">
        <v>1.0034000000000001</v>
      </c>
      <c r="H16" s="249">
        <v>1.0034000000000001</v>
      </c>
      <c r="I16" s="249">
        <v>1.0035000000000001</v>
      </c>
      <c r="J16" s="249">
        <v>1.0035000000000001</v>
      </c>
      <c r="K16" s="249">
        <v>1.0035000000000001</v>
      </c>
      <c r="L16" s="249">
        <v>1.0035000000000001</v>
      </c>
      <c r="M16" s="249">
        <v>1.0036</v>
      </c>
      <c r="N16" s="250">
        <v>1.0036</v>
      </c>
      <c r="O16" s="250">
        <v>1.0036</v>
      </c>
      <c r="P16" s="250">
        <v>1.0036</v>
      </c>
      <c r="Q16" s="250">
        <v>1.0036</v>
      </c>
      <c r="R16" s="250">
        <v>1.0037</v>
      </c>
      <c r="S16" s="250">
        <v>1.0037</v>
      </c>
      <c r="T16" s="250">
        <v>1.0037</v>
      </c>
      <c r="U16" s="250">
        <v>1.0037</v>
      </c>
      <c r="V16" s="250">
        <v>1.0038</v>
      </c>
      <c r="W16" s="250">
        <v>1.0038</v>
      </c>
      <c r="X16" s="249">
        <v>1.0038</v>
      </c>
      <c r="Y16" s="249">
        <v>1.0038</v>
      </c>
      <c r="Z16" s="249">
        <v>1.0039</v>
      </c>
      <c r="AA16" s="249">
        <v>1.0039</v>
      </c>
      <c r="AB16" s="249">
        <v>1.0039</v>
      </c>
      <c r="AC16" s="249">
        <v>1.0039</v>
      </c>
      <c r="AD16" s="249">
        <v>1.0039</v>
      </c>
      <c r="AE16" s="249">
        <v>1.004</v>
      </c>
      <c r="AF16" s="249">
        <v>1.004</v>
      </c>
      <c r="AG16" s="249">
        <v>1.004</v>
      </c>
      <c r="AH16" s="249">
        <v>1.004</v>
      </c>
      <c r="AI16" s="249">
        <v>1.0041</v>
      </c>
      <c r="AJ16" s="249">
        <v>1.0041</v>
      </c>
      <c r="AK16" s="249">
        <v>1.0041</v>
      </c>
      <c r="AL16" s="249">
        <v>1.0041</v>
      </c>
      <c r="AM16" s="249">
        <v>1.0042</v>
      </c>
      <c r="AN16" s="249">
        <v>1.0042</v>
      </c>
      <c r="AO16" s="249">
        <v>1.0042</v>
      </c>
      <c r="AP16" s="249">
        <v>1.0042</v>
      </c>
      <c r="AQ16" s="249">
        <v>1.0043</v>
      </c>
      <c r="AR16" s="249">
        <v>1.0043</v>
      </c>
      <c r="AS16" s="249">
        <v>1.0043</v>
      </c>
      <c r="AT16" s="249">
        <v>1.0043</v>
      </c>
      <c r="AU16" s="249">
        <v>1.0044</v>
      </c>
      <c r="AV16" s="249">
        <v>1.0044</v>
      </c>
      <c r="AW16" s="249">
        <v>1.0044</v>
      </c>
      <c r="AX16" s="249">
        <v>1.0044</v>
      </c>
      <c r="AY16" s="249">
        <v>1.0044999999999999</v>
      </c>
      <c r="AZ16" s="249">
        <v>1.0044999999999999</v>
      </c>
      <c r="BA16" s="251">
        <v>1.0044999999999999</v>
      </c>
    </row>
    <row r="17" spans="2:53" s="244" customFormat="1" ht="15.75" customHeight="1">
      <c r="B17" s="248">
        <v>52</v>
      </c>
      <c r="C17" s="249">
        <v>1.0031000000000001</v>
      </c>
      <c r="D17" s="249">
        <v>1.0032000000000001</v>
      </c>
      <c r="E17" s="249">
        <v>1.0032000000000001</v>
      </c>
      <c r="F17" s="249">
        <v>1.0032000000000001</v>
      </c>
      <c r="G17" s="249">
        <v>1.0032000000000001</v>
      </c>
      <c r="H17" s="249">
        <v>1.0032000000000001</v>
      </c>
      <c r="I17" s="249">
        <v>1.0033000000000001</v>
      </c>
      <c r="J17" s="249">
        <v>1.0033000000000001</v>
      </c>
      <c r="K17" s="249">
        <v>1.0033000000000001</v>
      </c>
      <c r="L17" s="249">
        <v>1.0033000000000001</v>
      </c>
      <c r="M17" s="249">
        <v>1.0033000000000001</v>
      </c>
      <c r="N17" s="250">
        <v>1.0034000000000001</v>
      </c>
      <c r="O17" s="250">
        <v>1.0034000000000001</v>
      </c>
      <c r="P17" s="250">
        <v>1.0034000000000001</v>
      </c>
      <c r="Q17" s="250">
        <v>1.0034000000000001</v>
      </c>
      <c r="R17" s="250">
        <v>1.0034000000000001</v>
      </c>
      <c r="S17" s="250">
        <v>1.0035000000000001</v>
      </c>
      <c r="T17" s="250">
        <v>1.0035000000000001</v>
      </c>
      <c r="U17" s="250">
        <v>1.0035000000000001</v>
      </c>
      <c r="V17" s="250">
        <v>1.0035000000000001</v>
      </c>
      <c r="W17" s="250">
        <v>1.0036</v>
      </c>
      <c r="X17" s="249">
        <v>1.0036</v>
      </c>
      <c r="Y17" s="249">
        <v>1.0036</v>
      </c>
      <c r="Z17" s="249">
        <v>1.0036</v>
      </c>
      <c r="AA17" s="249">
        <v>1.0036</v>
      </c>
      <c r="AB17" s="249">
        <v>1.0037</v>
      </c>
      <c r="AC17" s="249">
        <v>1.0037</v>
      </c>
      <c r="AD17" s="249">
        <v>1.0037</v>
      </c>
      <c r="AE17" s="249">
        <v>1.0037</v>
      </c>
      <c r="AF17" s="249">
        <v>1.0038</v>
      </c>
      <c r="AG17" s="249">
        <v>1.0038</v>
      </c>
      <c r="AH17" s="249">
        <v>1.0038</v>
      </c>
      <c r="AI17" s="249">
        <v>1.0038</v>
      </c>
      <c r="AJ17" s="249">
        <v>1.0038</v>
      </c>
      <c r="AK17" s="249">
        <v>1.0039</v>
      </c>
      <c r="AL17" s="249">
        <v>1.0039</v>
      </c>
      <c r="AM17" s="249">
        <v>1.0039</v>
      </c>
      <c r="AN17" s="249">
        <v>1.0039</v>
      </c>
      <c r="AO17" s="249">
        <v>1.004</v>
      </c>
      <c r="AP17" s="249">
        <v>1.004</v>
      </c>
      <c r="AQ17" s="249">
        <v>1.004</v>
      </c>
      <c r="AR17" s="249">
        <v>1.004</v>
      </c>
      <c r="AS17" s="249">
        <v>1.0041</v>
      </c>
      <c r="AT17" s="249">
        <v>1.0041</v>
      </c>
      <c r="AU17" s="249">
        <v>1.0041</v>
      </c>
      <c r="AV17" s="249">
        <v>1.0041</v>
      </c>
      <c r="AW17" s="249">
        <v>1.0042</v>
      </c>
      <c r="AX17" s="249">
        <v>1.0042</v>
      </c>
      <c r="AY17" s="249">
        <v>1.0042</v>
      </c>
      <c r="AZ17" s="249">
        <v>1.0042</v>
      </c>
      <c r="BA17" s="251">
        <v>1.0042</v>
      </c>
    </row>
    <row r="18" spans="2:53" s="244" customFormat="1" ht="15.75" customHeight="1">
      <c r="B18" s="248">
        <v>52.5</v>
      </c>
      <c r="C18" s="249">
        <v>1.0028999999999999</v>
      </c>
      <c r="D18" s="249">
        <v>1.0029999999999999</v>
      </c>
      <c r="E18" s="249">
        <v>1.0029999999999999</v>
      </c>
      <c r="F18" s="249">
        <v>1.0029999999999999</v>
      </c>
      <c r="G18" s="249">
        <v>1.0029999999999999</v>
      </c>
      <c r="H18" s="249">
        <v>1.0029999999999999</v>
      </c>
      <c r="I18" s="249">
        <v>1.0031000000000001</v>
      </c>
      <c r="J18" s="249">
        <v>1.0031000000000001</v>
      </c>
      <c r="K18" s="249">
        <v>1.0031000000000001</v>
      </c>
      <c r="L18" s="249">
        <v>1.0031000000000001</v>
      </c>
      <c r="M18" s="249">
        <v>1.0031000000000001</v>
      </c>
      <c r="N18" s="250">
        <v>1.0032000000000001</v>
      </c>
      <c r="O18" s="250">
        <v>1.0032000000000001</v>
      </c>
      <c r="P18" s="250">
        <v>1.0032000000000001</v>
      </c>
      <c r="Q18" s="250">
        <v>1.0032000000000001</v>
      </c>
      <c r="R18" s="250">
        <v>1.0032000000000001</v>
      </c>
      <c r="S18" s="250">
        <v>1.0033000000000001</v>
      </c>
      <c r="T18" s="250">
        <v>1.0033000000000001</v>
      </c>
      <c r="U18" s="250">
        <v>1.0033000000000001</v>
      </c>
      <c r="V18" s="250">
        <v>1.0033000000000001</v>
      </c>
      <c r="W18" s="250">
        <v>1.0033000000000001</v>
      </c>
      <c r="X18" s="249">
        <v>1.0034000000000001</v>
      </c>
      <c r="Y18" s="249">
        <v>1.0034000000000001</v>
      </c>
      <c r="Z18" s="249">
        <v>1.0034000000000001</v>
      </c>
      <c r="AA18" s="249">
        <v>1.0034000000000001</v>
      </c>
      <c r="AB18" s="249">
        <v>1.0034000000000001</v>
      </c>
      <c r="AC18" s="249">
        <v>1.0035000000000001</v>
      </c>
      <c r="AD18" s="249">
        <v>1.0035000000000001</v>
      </c>
      <c r="AE18" s="249">
        <v>1.0035000000000001</v>
      </c>
      <c r="AF18" s="249">
        <v>1.0035000000000001</v>
      </c>
      <c r="AG18" s="249">
        <v>1.0035000000000001</v>
      </c>
      <c r="AH18" s="249">
        <v>1.0036</v>
      </c>
      <c r="AI18" s="249">
        <v>1.0036</v>
      </c>
      <c r="AJ18" s="249">
        <v>1.0036</v>
      </c>
      <c r="AK18" s="249">
        <v>1.0036</v>
      </c>
      <c r="AL18" s="249">
        <v>1.0037</v>
      </c>
      <c r="AM18" s="249">
        <v>1.0037</v>
      </c>
      <c r="AN18" s="249">
        <v>1.0037</v>
      </c>
      <c r="AO18" s="249">
        <v>1.0037</v>
      </c>
      <c r="AP18" s="249">
        <v>1.0037</v>
      </c>
      <c r="AQ18" s="249">
        <v>1.0038</v>
      </c>
      <c r="AR18" s="249">
        <v>1.0038</v>
      </c>
      <c r="AS18" s="249">
        <v>1.0038</v>
      </c>
      <c r="AT18" s="249">
        <v>1.0038</v>
      </c>
      <c r="AU18" s="249">
        <v>1.0038</v>
      </c>
      <c r="AV18" s="249">
        <v>1.0039</v>
      </c>
      <c r="AW18" s="249">
        <v>1.0039</v>
      </c>
      <c r="AX18" s="249">
        <v>1.0039</v>
      </c>
      <c r="AY18" s="249">
        <v>1.0039</v>
      </c>
      <c r="AZ18" s="249">
        <v>1.004</v>
      </c>
      <c r="BA18" s="251">
        <v>1.004</v>
      </c>
    </row>
    <row r="19" spans="2:53" s="244" customFormat="1" ht="15.75" customHeight="1">
      <c r="B19" s="248">
        <v>53</v>
      </c>
      <c r="C19" s="249">
        <v>1.0026999999999999</v>
      </c>
      <c r="D19" s="249">
        <v>1.0027999999999999</v>
      </c>
      <c r="E19" s="249">
        <v>1.0027999999999999</v>
      </c>
      <c r="F19" s="249">
        <v>1.0027999999999999</v>
      </c>
      <c r="G19" s="249">
        <v>1.0027999999999999</v>
      </c>
      <c r="H19" s="249">
        <v>1.0027999999999999</v>
      </c>
      <c r="I19" s="249">
        <v>1.0028999999999999</v>
      </c>
      <c r="J19" s="249">
        <v>1.0028999999999999</v>
      </c>
      <c r="K19" s="249">
        <v>1.0028999999999999</v>
      </c>
      <c r="L19" s="249">
        <v>1.0028999999999999</v>
      </c>
      <c r="M19" s="249">
        <v>1.0028999999999999</v>
      </c>
      <c r="N19" s="250">
        <v>1.0028999999999999</v>
      </c>
      <c r="O19" s="250">
        <v>1.0029999999999999</v>
      </c>
      <c r="P19" s="250">
        <v>1.0029999999999999</v>
      </c>
      <c r="Q19" s="250">
        <v>1.0029999999999999</v>
      </c>
      <c r="R19" s="250">
        <v>1.0029999999999999</v>
      </c>
      <c r="S19" s="250">
        <v>1.0029999999999999</v>
      </c>
      <c r="T19" s="250">
        <v>1.0031000000000001</v>
      </c>
      <c r="U19" s="250">
        <v>1.0031000000000001</v>
      </c>
      <c r="V19" s="250">
        <v>1.0031000000000001</v>
      </c>
      <c r="W19" s="250">
        <v>1.0031000000000001</v>
      </c>
      <c r="X19" s="249">
        <v>1.0031000000000001</v>
      </c>
      <c r="Y19" s="249">
        <v>1.0032000000000001</v>
      </c>
      <c r="Z19" s="249">
        <v>1.0032000000000001</v>
      </c>
      <c r="AA19" s="249">
        <v>1.0032000000000001</v>
      </c>
      <c r="AB19" s="249">
        <v>1.0032000000000001</v>
      </c>
      <c r="AC19" s="249">
        <v>1.0032000000000001</v>
      </c>
      <c r="AD19" s="249">
        <v>1.0032000000000001</v>
      </c>
      <c r="AE19" s="249">
        <v>1.0033000000000001</v>
      </c>
      <c r="AF19" s="249">
        <v>1.0033000000000001</v>
      </c>
      <c r="AG19" s="249">
        <v>1.0033000000000001</v>
      </c>
      <c r="AH19" s="249">
        <v>1.0033000000000001</v>
      </c>
      <c r="AI19" s="249">
        <v>1.0033000000000001</v>
      </c>
      <c r="AJ19" s="249">
        <v>1.0034000000000001</v>
      </c>
      <c r="AK19" s="249">
        <v>1.0034000000000001</v>
      </c>
      <c r="AL19" s="249">
        <v>1.0034000000000001</v>
      </c>
      <c r="AM19" s="249">
        <v>1.0034000000000001</v>
      </c>
      <c r="AN19" s="249">
        <v>1.0034000000000001</v>
      </c>
      <c r="AO19" s="249">
        <v>1.0035000000000001</v>
      </c>
      <c r="AP19" s="249">
        <v>1.0035000000000001</v>
      </c>
      <c r="AQ19" s="249">
        <v>1.0035000000000001</v>
      </c>
      <c r="AR19" s="249">
        <v>1.0035000000000001</v>
      </c>
      <c r="AS19" s="249">
        <v>1.0036</v>
      </c>
      <c r="AT19" s="249">
        <v>1.0036</v>
      </c>
      <c r="AU19" s="249">
        <v>1.0036</v>
      </c>
      <c r="AV19" s="249">
        <v>1.0036</v>
      </c>
      <c r="AW19" s="249">
        <v>1.0036</v>
      </c>
      <c r="AX19" s="249">
        <v>1.0037</v>
      </c>
      <c r="AY19" s="249">
        <v>1.0037</v>
      </c>
      <c r="AZ19" s="249">
        <v>1.0037</v>
      </c>
      <c r="BA19" s="251">
        <v>1.0037</v>
      </c>
    </row>
    <row r="20" spans="2:53" s="244" customFormat="1" ht="15.75" customHeight="1">
      <c r="B20" s="248">
        <v>53.5</v>
      </c>
      <c r="C20" s="249">
        <v>1.0024999999999999</v>
      </c>
      <c r="D20" s="249">
        <v>1.0025999999999999</v>
      </c>
      <c r="E20" s="249">
        <v>1.0025999999999999</v>
      </c>
      <c r="F20" s="249">
        <v>1.0025999999999999</v>
      </c>
      <c r="G20" s="249">
        <v>1.0025999999999999</v>
      </c>
      <c r="H20" s="249">
        <v>1.0025999999999999</v>
      </c>
      <c r="I20" s="249">
        <v>1.0025999999999999</v>
      </c>
      <c r="J20" s="249">
        <v>1.0026999999999999</v>
      </c>
      <c r="K20" s="249">
        <v>1.0026999999999999</v>
      </c>
      <c r="L20" s="249">
        <v>1.0026999999999999</v>
      </c>
      <c r="M20" s="249">
        <v>1.0026999999999999</v>
      </c>
      <c r="N20" s="250">
        <v>1.0026999999999999</v>
      </c>
      <c r="O20" s="250">
        <v>1.0026999999999999</v>
      </c>
      <c r="P20" s="250">
        <v>1.0027999999999999</v>
      </c>
      <c r="Q20" s="250">
        <v>1.0027999999999999</v>
      </c>
      <c r="R20" s="250">
        <v>1.0027999999999999</v>
      </c>
      <c r="S20" s="250">
        <v>1.0027999999999999</v>
      </c>
      <c r="T20" s="250">
        <v>1.0027999999999999</v>
      </c>
      <c r="U20" s="250">
        <v>1.0028999999999999</v>
      </c>
      <c r="V20" s="250">
        <v>1.0028999999999999</v>
      </c>
      <c r="W20" s="250">
        <v>1.0028999999999999</v>
      </c>
      <c r="X20" s="249">
        <v>1.0028999999999999</v>
      </c>
      <c r="Y20" s="249">
        <v>1.0028999999999999</v>
      </c>
      <c r="Z20" s="249">
        <v>1.0028999999999999</v>
      </c>
      <c r="AA20" s="249">
        <v>1.0029999999999999</v>
      </c>
      <c r="AB20" s="249">
        <v>1.0029999999999999</v>
      </c>
      <c r="AC20" s="249">
        <v>1.0029999999999999</v>
      </c>
      <c r="AD20" s="249">
        <v>1.0029999999999999</v>
      </c>
      <c r="AE20" s="249">
        <v>1.0029999999999999</v>
      </c>
      <c r="AF20" s="249">
        <v>1.0031000000000001</v>
      </c>
      <c r="AG20" s="249">
        <v>1.0031000000000001</v>
      </c>
      <c r="AH20" s="249">
        <v>1.0031000000000001</v>
      </c>
      <c r="AI20" s="249">
        <v>1.0031000000000001</v>
      </c>
      <c r="AJ20" s="249">
        <v>1.0031000000000001</v>
      </c>
      <c r="AK20" s="249">
        <v>1.0031000000000001</v>
      </c>
      <c r="AL20" s="249">
        <v>1.0032000000000001</v>
      </c>
      <c r="AM20" s="249">
        <v>1.0032000000000001</v>
      </c>
      <c r="AN20" s="249">
        <v>1.0032000000000001</v>
      </c>
      <c r="AO20" s="249">
        <v>1.0032000000000001</v>
      </c>
      <c r="AP20" s="249">
        <v>1.0032000000000001</v>
      </c>
      <c r="AQ20" s="249">
        <v>1.0033000000000001</v>
      </c>
      <c r="AR20" s="249">
        <v>1.0033000000000001</v>
      </c>
      <c r="AS20" s="249">
        <v>1.0033000000000001</v>
      </c>
      <c r="AT20" s="249">
        <v>1.0033000000000001</v>
      </c>
      <c r="AU20" s="249">
        <v>1.0033000000000001</v>
      </c>
      <c r="AV20" s="249">
        <v>1.0034000000000001</v>
      </c>
      <c r="AW20" s="249">
        <v>1.0034000000000001</v>
      </c>
      <c r="AX20" s="249">
        <v>1.0034000000000001</v>
      </c>
      <c r="AY20" s="249">
        <v>1.0034000000000001</v>
      </c>
      <c r="AZ20" s="249">
        <v>1.0034000000000001</v>
      </c>
      <c r="BA20" s="251">
        <v>1.0035000000000001</v>
      </c>
    </row>
    <row r="21" spans="2:53" s="244" customFormat="1" ht="15.75" customHeight="1">
      <c r="B21" s="248">
        <v>54</v>
      </c>
      <c r="C21" s="249">
        <v>1.0023</v>
      </c>
      <c r="D21" s="249">
        <v>1.0024</v>
      </c>
      <c r="E21" s="249">
        <v>1.0024</v>
      </c>
      <c r="F21" s="249">
        <v>1.0024</v>
      </c>
      <c r="G21" s="249">
        <v>1.0024</v>
      </c>
      <c r="H21" s="249">
        <v>1.0024</v>
      </c>
      <c r="I21" s="249">
        <v>1.0024</v>
      </c>
      <c r="J21" s="249">
        <v>1.0024999999999999</v>
      </c>
      <c r="K21" s="249">
        <v>1.0024999999999999</v>
      </c>
      <c r="L21" s="249">
        <v>1.0024999999999999</v>
      </c>
      <c r="M21" s="249">
        <v>1.0024999999999999</v>
      </c>
      <c r="N21" s="250">
        <v>1.0024999999999999</v>
      </c>
      <c r="O21" s="250">
        <v>1.0024999999999999</v>
      </c>
      <c r="P21" s="250">
        <v>1.0025999999999999</v>
      </c>
      <c r="Q21" s="250">
        <v>1.0025999999999999</v>
      </c>
      <c r="R21" s="250">
        <v>1.0025999999999999</v>
      </c>
      <c r="S21" s="250">
        <v>1.0025999999999999</v>
      </c>
      <c r="T21" s="250">
        <v>1.0025999999999999</v>
      </c>
      <c r="U21" s="250">
        <v>1.0025999999999999</v>
      </c>
      <c r="V21" s="250">
        <v>1.0026999999999999</v>
      </c>
      <c r="W21" s="250">
        <v>1.0026999999999999</v>
      </c>
      <c r="X21" s="249">
        <v>1.0026999999999999</v>
      </c>
      <c r="Y21" s="249">
        <v>1.0026999999999999</v>
      </c>
      <c r="Z21" s="249">
        <v>1.0026999999999999</v>
      </c>
      <c r="AA21" s="249">
        <v>1.0026999999999999</v>
      </c>
      <c r="AB21" s="249">
        <v>1.0027999999999999</v>
      </c>
      <c r="AC21" s="249">
        <v>1.0027999999999999</v>
      </c>
      <c r="AD21" s="249">
        <v>1.0027999999999999</v>
      </c>
      <c r="AE21" s="249">
        <v>1.0027999999999999</v>
      </c>
      <c r="AF21" s="249">
        <v>1.0027999999999999</v>
      </c>
      <c r="AG21" s="249">
        <v>1.0027999999999999</v>
      </c>
      <c r="AH21" s="249">
        <v>1.0028999999999999</v>
      </c>
      <c r="AI21" s="249">
        <v>1.0028999999999999</v>
      </c>
      <c r="AJ21" s="249">
        <v>1.0028999999999999</v>
      </c>
      <c r="AK21" s="249">
        <v>1.0028999999999999</v>
      </c>
      <c r="AL21" s="249">
        <v>1.0028999999999999</v>
      </c>
      <c r="AM21" s="249">
        <v>1.0028999999999999</v>
      </c>
      <c r="AN21" s="249">
        <v>1.0029999999999999</v>
      </c>
      <c r="AO21" s="249">
        <v>1.0029999999999999</v>
      </c>
      <c r="AP21" s="249">
        <v>1.0029999999999999</v>
      </c>
      <c r="AQ21" s="249">
        <v>1.0029999999999999</v>
      </c>
      <c r="AR21" s="249">
        <v>1.0029999999999999</v>
      </c>
      <c r="AS21" s="249">
        <v>1.0029999999999999</v>
      </c>
      <c r="AT21" s="249">
        <v>1.0031000000000001</v>
      </c>
      <c r="AU21" s="249">
        <v>1.0031000000000001</v>
      </c>
      <c r="AV21" s="249">
        <v>1.0031000000000001</v>
      </c>
      <c r="AW21" s="249">
        <v>1.0031000000000001</v>
      </c>
      <c r="AX21" s="249">
        <v>1.0031000000000001</v>
      </c>
      <c r="AY21" s="249">
        <v>1.0032000000000001</v>
      </c>
      <c r="AZ21" s="249">
        <v>1.0032000000000001</v>
      </c>
      <c r="BA21" s="251">
        <v>1.0032000000000001</v>
      </c>
    </row>
    <row r="22" spans="2:53" s="244" customFormat="1" ht="15.75" customHeight="1">
      <c r="B22" s="248">
        <v>54.5</v>
      </c>
      <c r="C22" s="249">
        <v>1.0022</v>
      </c>
      <c r="D22" s="249">
        <v>1.0022</v>
      </c>
      <c r="E22" s="249">
        <v>1.0022</v>
      </c>
      <c r="F22" s="249">
        <v>1.0022</v>
      </c>
      <c r="G22" s="249">
        <v>1.0022</v>
      </c>
      <c r="H22" s="249">
        <v>1.0022</v>
      </c>
      <c r="I22" s="249">
        <v>1.0022</v>
      </c>
      <c r="J22" s="249">
        <v>1.0023</v>
      </c>
      <c r="K22" s="249">
        <v>1.0023</v>
      </c>
      <c r="L22" s="249">
        <v>1.0023</v>
      </c>
      <c r="M22" s="249">
        <v>1.0023</v>
      </c>
      <c r="N22" s="250">
        <v>1.0023</v>
      </c>
      <c r="O22" s="250">
        <v>1.0023</v>
      </c>
      <c r="P22" s="250">
        <v>1.0023</v>
      </c>
      <c r="Q22" s="250">
        <v>1.0024</v>
      </c>
      <c r="R22" s="250">
        <v>1.0024</v>
      </c>
      <c r="S22" s="250">
        <v>1.0024</v>
      </c>
      <c r="T22" s="250">
        <v>1.0024</v>
      </c>
      <c r="U22" s="250">
        <v>1.0024</v>
      </c>
      <c r="V22" s="250">
        <v>1.0024</v>
      </c>
      <c r="W22" s="250">
        <v>1.0024</v>
      </c>
      <c r="X22" s="249">
        <v>1.0024999999999999</v>
      </c>
      <c r="Y22" s="249">
        <v>1.0024999999999999</v>
      </c>
      <c r="Z22" s="249">
        <v>1.0024999999999999</v>
      </c>
      <c r="AA22" s="249">
        <v>1.0024999999999999</v>
      </c>
      <c r="AB22" s="249">
        <v>1.0024999999999999</v>
      </c>
      <c r="AC22" s="249">
        <v>1.0024999999999999</v>
      </c>
      <c r="AD22" s="249">
        <v>1.0025999999999999</v>
      </c>
      <c r="AE22" s="249">
        <v>1.0025999999999999</v>
      </c>
      <c r="AF22" s="249">
        <v>1.0025999999999999</v>
      </c>
      <c r="AG22" s="249">
        <v>1.0025999999999999</v>
      </c>
      <c r="AH22" s="249">
        <v>1.0025999999999999</v>
      </c>
      <c r="AI22" s="249">
        <v>1.0025999999999999</v>
      </c>
      <c r="AJ22" s="249">
        <v>1.0025999999999999</v>
      </c>
      <c r="AK22" s="249">
        <v>1.0026999999999999</v>
      </c>
      <c r="AL22" s="249">
        <v>1.0026999999999999</v>
      </c>
      <c r="AM22" s="249">
        <v>1.0026999999999999</v>
      </c>
      <c r="AN22" s="249">
        <v>1.0026999999999999</v>
      </c>
      <c r="AO22" s="249">
        <v>1.0026999999999999</v>
      </c>
      <c r="AP22" s="249">
        <v>1.0026999999999999</v>
      </c>
      <c r="AQ22" s="249">
        <v>1.0027999999999999</v>
      </c>
      <c r="AR22" s="249">
        <v>1.0027999999999999</v>
      </c>
      <c r="AS22" s="249">
        <v>1.0027999999999999</v>
      </c>
      <c r="AT22" s="249">
        <v>1.0027999999999999</v>
      </c>
      <c r="AU22" s="249">
        <v>1.0027999999999999</v>
      </c>
      <c r="AV22" s="249">
        <v>1.0027999999999999</v>
      </c>
      <c r="AW22" s="249">
        <v>1.0028999999999999</v>
      </c>
      <c r="AX22" s="249">
        <v>1.0028999999999999</v>
      </c>
      <c r="AY22" s="249">
        <v>1.0028999999999999</v>
      </c>
      <c r="AZ22" s="249">
        <v>1.0028999999999999</v>
      </c>
      <c r="BA22" s="251">
        <v>1.0028999999999999</v>
      </c>
    </row>
    <row r="23" spans="2:53" s="244" customFormat="1" ht="15.75" customHeight="1">
      <c r="B23" s="248">
        <v>55</v>
      </c>
      <c r="C23" s="249">
        <v>1.002</v>
      </c>
      <c r="D23" s="249">
        <v>1.002</v>
      </c>
      <c r="E23" s="249">
        <v>1.002</v>
      </c>
      <c r="F23" s="249">
        <v>1.002</v>
      </c>
      <c r="G23" s="249">
        <v>1.002</v>
      </c>
      <c r="H23" s="249">
        <v>1.002</v>
      </c>
      <c r="I23" s="249">
        <v>1.002</v>
      </c>
      <c r="J23" s="249">
        <v>1.002</v>
      </c>
      <c r="K23" s="249">
        <v>1.0021</v>
      </c>
      <c r="L23" s="249">
        <v>1.0021</v>
      </c>
      <c r="M23" s="249">
        <v>1.0021</v>
      </c>
      <c r="N23" s="250">
        <v>1.0021</v>
      </c>
      <c r="O23" s="250">
        <v>1.0021</v>
      </c>
      <c r="P23" s="250">
        <v>1.0021</v>
      </c>
      <c r="Q23" s="250">
        <v>1.0021</v>
      </c>
      <c r="R23" s="250">
        <v>1.0022</v>
      </c>
      <c r="S23" s="250">
        <v>1.0022</v>
      </c>
      <c r="T23" s="250">
        <v>1.0022</v>
      </c>
      <c r="U23" s="250">
        <v>1.0022</v>
      </c>
      <c r="V23" s="250">
        <v>1.0022</v>
      </c>
      <c r="W23" s="250">
        <v>1.0022</v>
      </c>
      <c r="X23" s="249">
        <v>1.0022</v>
      </c>
      <c r="Y23" s="249">
        <v>1.0023</v>
      </c>
      <c r="Z23" s="249">
        <v>1.0023</v>
      </c>
      <c r="AA23" s="249">
        <v>1.0023</v>
      </c>
      <c r="AB23" s="249">
        <v>1.0023</v>
      </c>
      <c r="AC23" s="249">
        <v>1.0023</v>
      </c>
      <c r="AD23" s="249">
        <v>1.0023</v>
      </c>
      <c r="AE23" s="249">
        <v>1.0023</v>
      </c>
      <c r="AF23" s="249">
        <v>1.0024</v>
      </c>
      <c r="AG23" s="249">
        <v>1.0024</v>
      </c>
      <c r="AH23" s="249">
        <v>1.0024</v>
      </c>
      <c r="AI23" s="249">
        <v>1.0024</v>
      </c>
      <c r="AJ23" s="249">
        <v>1.0024</v>
      </c>
      <c r="AK23" s="249">
        <v>1.0024</v>
      </c>
      <c r="AL23" s="249">
        <v>1.0024</v>
      </c>
      <c r="AM23" s="249">
        <v>1.0024999999999999</v>
      </c>
      <c r="AN23" s="249">
        <v>1.0024999999999999</v>
      </c>
      <c r="AO23" s="249">
        <v>1.0024999999999999</v>
      </c>
      <c r="AP23" s="249">
        <v>1.0024999999999999</v>
      </c>
      <c r="AQ23" s="249">
        <v>1.0024999999999999</v>
      </c>
      <c r="AR23" s="249">
        <v>1.0024999999999999</v>
      </c>
      <c r="AS23" s="249">
        <v>1.0024999999999999</v>
      </c>
      <c r="AT23" s="249">
        <v>1.0025999999999999</v>
      </c>
      <c r="AU23" s="249">
        <v>1.0025999999999999</v>
      </c>
      <c r="AV23" s="249">
        <v>1.0025999999999999</v>
      </c>
      <c r="AW23" s="249">
        <v>1.0025999999999999</v>
      </c>
      <c r="AX23" s="249">
        <v>1.0025999999999999</v>
      </c>
      <c r="AY23" s="249">
        <v>1.0025999999999999</v>
      </c>
      <c r="AZ23" s="249">
        <v>1.0025999999999999</v>
      </c>
      <c r="BA23" s="251">
        <v>1.0026999999999999</v>
      </c>
    </row>
    <row r="24" spans="2:53" s="244" customFormat="1" ht="15.75" customHeight="1">
      <c r="B24" s="248">
        <v>55.5</v>
      </c>
      <c r="C24" s="249">
        <v>1.0018</v>
      </c>
      <c r="D24" s="249">
        <v>1.0018</v>
      </c>
      <c r="E24" s="249">
        <v>1.0018</v>
      </c>
      <c r="F24" s="249">
        <v>1.0018</v>
      </c>
      <c r="G24" s="249">
        <v>1.0018</v>
      </c>
      <c r="H24" s="249">
        <v>1.0018</v>
      </c>
      <c r="I24" s="249">
        <v>1.0018</v>
      </c>
      <c r="J24" s="249">
        <v>1.0018</v>
      </c>
      <c r="K24" s="249">
        <v>1.0019</v>
      </c>
      <c r="L24" s="249">
        <v>1.0019</v>
      </c>
      <c r="M24" s="249">
        <v>1.0019</v>
      </c>
      <c r="N24" s="250">
        <v>1.0019</v>
      </c>
      <c r="O24" s="250">
        <v>1.0019</v>
      </c>
      <c r="P24" s="250">
        <v>1.0019</v>
      </c>
      <c r="Q24" s="250">
        <v>1.0019</v>
      </c>
      <c r="R24" s="250">
        <v>1.0019</v>
      </c>
      <c r="S24" s="250">
        <v>1.002</v>
      </c>
      <c r="T24" s="250">
        <v>1.002</v>
      </c>
      <c r="U24" s="250">
        <v>1.002</v>
      </c>
      <c r="V24" s="250">
        <v>1.002</v>
      </c>
      <c r="W24" s="250">
        <v>1.002</v>
      </c>
      <c r="X24" s="249">
        <v>1.002</v>
      </c>
      <c r="Y24" s="249">
        <v>1.002</v>
      </c>
      <c r="Z24" s="249">
        <v>1.002</v>
      </c>
      <c r="AA24" s="249">
        <v>1.0021</v>
      </c>
      <c r="AB24" s="249">
        <v>1.0021</v>
      </c>
      <c r="AC24" s="249">
        <v>1.0021</v>
      </c>
      <c r="AD24" s="249">
        <v>1.0021</v>
      </c>
      <c r="AE24" s="249">
        <v>1.0021</v>
      </c>
      <c r="AF24" s="249">
        <v>1.0021</v>
      </c>
      <c r="AG24" s="249">
        <v>1.0021</v>
      </c>
      <c r="AH24" s="249">
        <v>1.0021</v>
      </c>
      <c r="AI24" s="249">
        <v>1.0022</v>
      </c>
      <c r="AJ24" s="249">
        <v>1.0022</v>
      </c>
      <c r="AK24" s="249">
        <v>1.0022</v>
      </c>
      <c r="AL24" s="249">
        <v>1.0022</v>
      </c>
      <c r="AM24" s="249">
        <v>1.0022</v>
      </c>
      <c r="AN24" s="249">
        <v>1.0022</v>
      </c>
      <c r="AO24" s="249">
        <v>1.0022</v>
      </c>
      <c r="AP24" s="249">
        <v>1.0022</v>
      </c>
      <c r="AQ24" s="249">
        <v>1.0023</v>
      </c>
      <c r="AR24" s="249">
        <v>1.0023</v>
      </c>
      <c r="AS24" s="249">
        <v>1.0023</v>
      </c>
      <c r="AT24" s="249">
        <v>1.0023</v>
      </c>
      <c r="AU24" s="249">
        <v>1.0023</v>
      </c>
      <c r="AV24" s="249">
        <v>1.0023</v>
      </c>
      <c r="AW24" s="249">
        <v>1.0023</v>
      </c>
      <c r="AX24" s="249">
        <v>1.0024</v>
      </c>
      <c r="AY24" s="249">
        <v>1.0024</v>
      </c>
      <c r="AZ24" s="249">
        <v>1.0024</v>
      </c>
      <c r="BA24" s="251">
        <v>1.0024</v>
      </c>
    </row>
    <row r="25" spans="2:53" s="244" customFormat="1" ht="15.75" customHeight="1">
      <c r="B25" s="248">
        <v>56</v>
      </c>
      <c r="C25" s="249">
        <v>1.0016</v>
      </c>
      <c r="D25" s="249">
        <v>1.0016</v>
      </c>
      <c r="E25" s="249">
        <v>1.0016</v>
      </c>
      <c r="F25" s="249">
        <v>1.0016</v>
      </c>
      <c r="G25" s="249">
        <v>1.0016</v>
      </c>
      <c r="H25" s="249">
        <v>1.0016</v>
      </c>
      <c r="I25" s="249">
        <v>1.0016</v>
      </c>
      <c r="J25" s="249">
        <v>1.0016</v>
      </c>
      <c r="K25" s="249">
        <v>1.0016</v>
      </c>
      <c r="L25" s="249">
        <v>1.0017</v>
      </c>
      <c r="M25" s="249">
        <v>1.0017</v>
      </c>
      <c r="N25" s="250">
        <v>1.0017</v>
      </c>
      <c r="O25" s="250">
        <v>1.0017</v>
      </c>
      <c r="P25" s="250">
        <v>1.0017</v>
      </c>
      <c r="Q25" s="250">
        <v>1.0017</v>
      </c>
      <c r="R25" s="250">
        <v>1.0017</v>
      </c>
      <c r="S25" s="250">
        <v>1.0017</v>
      </c>
      <c r="T25" s="250">
        <v>1.0017</v>
      </c>
      <c r="U25" s="250">
        <v>1.0018</v>
      </c>
      <c r="V25" s="250">
        <v>1.0018</v>
      </c>
      <c r="W25" s="250">
        <v>1.0018</v>
      </c>
      <c r="X25" s="249">
        <v>1.0018</v>
      </c>
      <c r="Y25" s="249">
        <v>1.0018</v>
      </c>
      <c r="Z25" s="249">
        <v>1.0018</v>
      </c>
      <c r="AA25" s="249">
        <v>1.0018</v>
      </c>
      <c r="AB25" s="249">
        <v>1.0018</v>
      </c>
      <c r="AC25" s="249">
        <v>1.0018</v>
      </c>
      <c r="AD25" s="249">
        <v>1.0019</v>
      </c>
      <c r="AE25" s="249">
        <v>1.0019</v>
      </c>
      <c r="AF25" s="249">
        <v>1.0019</v>
      </c>
      <c r="AG25" s="249">
        <v>1.0019</v>
      </c>
      <c r="AH25" s="249">
        <v>1.0019</v>
      </c>
      <c r="AI25" s="249">
        <v>1.0019</v>
      </c>
      <c r="AJ25" s="249">
        <v>1.0019</v>
      </c>
      <c r="AK25" s="249">
        <v>1.0019</v>
      </c>
      <c r="AL25" s="249">
        <v>1.0019</v>
      </c>
      <c r="AM25" s="249">
        <v>1.002</v>
      </c>
      <c r="AN25" s="249">
        <v>1.002</v>
      </c>
      <c r="AO25" s="249">
        <v>1.002</v>
      </c>
      <c r="AP25" s="249">
        <v>1.002</v>
      </c>
      <c r="AQ25" s="249">
        <v>1.002</v>
      </c>
      <c r="AR25" s="249">
        <v>1.002</v>
      </c>
      <c r="AS25" s="249">
        <v>1.002</v>
      </c>
      <c r="AT25" s="249">
        <v>1.002</v>
      </c>
      <c r="AU25" s="249">
        <v>1.0021</v>
      </c>
      <c r="AV25" s="249">
        <v>1.0021</v>
      </c>
      <c r="AW25" s="249">
        <v>1.0021</v>
      </c>
      <c r="AX25" s="249">
        <v>1.0021</v>
      </c>
      <c r="AY25" s="249">
        <v>1.0021</v>
      </c>
      <c r="AZ25" s="249">
        <v>1.0021</v>
      </c>
      <c r="BA25" s="251">
        <v>1.0021</v>
      </c>
    </row>
    <row r="26" spans="2:53" s="244" customFormat="1" ht="15.75" customHeight="1">
      <c r="B26" s="248">
        <v>56.5</v>
      </c>
      <c r="C26" s="249">
        <v>1.0014000000000001</v>
      </c>
      <c r="D26" s="249">
        <v>1.0014000000000001</v>
      </c>
      <c r="E26" s="249">
        <v>1.0014000000000001</v>
      </c>
      <c r="F26" s="249">
        <v>1.0014000000000001</v>
      </c>
      <c r="G26" s="249">
        <v>1.0014000000000001</v>
      </c>
      <c r="H26" s="249">
        <v>1.0014000000000001</v>
      </c>
      <c r="I26" s="249">
        <v>1.0014000000000001</v>
      </c>
      <c r="J26" s="249">
        <v>1.0014000000000001</v>
      </c>
      <c r="K26" s="249">
        <v>1.0014000000000001</v>
      </c>
      <c r="L26" s="249">
        <v>1.0015000000000001</v>
      </c>
      <c r="M26" s="249">
        <v>1.0015000000000001</v>
      </c>
      <c r="N26" s="250">
        <v>1.0015000000000001</v>
      </c>
      <c r="O26" s="250">
        <v>1.0015000000000001</v>
      </c>
      <c r="P26" s="250">
        <v>1.0015000000000001</v>
      </c>
      <c r="Q26" s="250">
        <v>1.0015000000000001</v>
      </c>
      <c r="R26" s="250">
        <v>1.0015000000000001</v>
      </c>
      <c r="S26" s="250">
        <v>1.0015000000000001</v>
      </c>
      <c r="T26" s="250">
        <v>1.0015000000000001</v>
      </c>
      <c r="U26" s="250">
        <v>1.0015000000000001</v>
      </c>
      <c r="V26" s="250">
        <v>1.0015000000000001</v>
      </c>
      <c r="W26" s="250">
        <v>1.0016</v>
      </c>
      <c r="X26" s="249">
        <v>1.0016</v>
      </c>
      <c r="Y26" s="249">
        <v>1.0016</v>
      </c>
      <c r="Z26" s="249">
        <v>1.0016</v>
      </c>
      <c r="AA26" s="249">
        <v>1.0016</v>
      </c>
      <c r="AB26" s="249">
        <v>1.0016</v>
      </c>
      <c r="AC26" s="249">
        <v>1.0016</v>
      </c>
      <c r="AD26" s="249">
        <v>1.0016</v>
      </c>
      <c r="AE26" s="249">
        <v>1.0016</v>
      </c>
      <c r="AF26" s="249">
        <v>1.0016</v>
      </c>
      <c r="AG26" s="249">
        <v>1.0017</v>
      </c>
      <c r="AH26" s="249">
        <v>1.0017</v>
      </c>
      <c r="AI26" s="249">
        <v>1.0017</v>
      </c>
      <c r="AJ26" s="249">
        <v>1.0017</v>
      </c>
      <c r="AK26" s="249">
        <v>1.0017</v>
      </c>
      <c r="AL26" s="249">
        <v>1.0017</v>
      </c>
      <c r="AM26" s="249">
        <v>1.0017</v>
      </c>
      <c r="AN26" s="249">
        <v>1.0017</v>
      </c>
      <c r="AO26" s="249">
        <v>1.0017</v>
      </c>
      <c r="AP26" s="249">
        <v>1.0017</v>
      </c>
      <c r="AQ26" s="249">
        <v>1.0018</v>
      </c>
      <c r="AR26" s="249">
        <v>1.0018</v>
      </c>
      <c r="AS26" s="249">
        <v>1.0018</v>
      </c>
      <c r="AT26" s="249">
        <v>1.0018</v>
      </c>
      <c r="AU26" s="249">
        <v>1.0018</v>
      </c>
      <c r="AV26" s="249">
        <v>1.0018</v>
      </c>
      <c r="AW26" s="249">
        <v>1.0018</v>
      </c>
      <c r="AX26" s="249">
        <v>1.0018</v>
      </c>
      <c r="AY26" s="249">
        <v>1.0018</v>
      </c>
      <c r="AZ26" s="249">
        <v>1.0018</v>
      </c>
      <c r="BA26" s="251">
        <v>1.0019</v>
      </c>
    </row>
    <row r="27" spans="2:53" s="244" customFormat="1" ht="15.75" customHeight="1">
      <c r="B27" s="248">
        <v>57</v>
      </c>
      <c r="C27" s="249">
        <v>1.0012000000000001</v>
      </c>
      <c r="D27" s="249">
        <v>1.0012000000000001</v>
      </c>
      <c r="E27" s="249">
        <v>1.0012000000000001</v>
      </c>
      <c r="F27" s="249">
        <v>1.0012000000000001</v>
      </c>
      <c r="G27" s="249">
        <v>1.0012000000000001</v>
      </c>
      <c r="H27" s="249">
        <v>1.0012000000000001</v>
      </c>
      <c r="I27" s="249">
        <v>1.0012000000000001</v>
      </c>
      <c r="J27" s="249">
        <v>1.0012000000000001</v>
      </c>
      <c r="K27" s="249">
        <v>1.0012000000000001</v>
      </c>
      <c r="L27" s="249">
        <v>1.0012000000000001</v>
      </c>
      <c r="M27" s="249">
        <v>1.0013000000000001</v>
      </c>
      <c r="N27" s="250">
        <v>1.0013000000000001</v>
      </c>
      <c r="O27" s="250">
        <v>1.0013000000000001</v>
      </c>
      <c r="P27" s="250">
        <v>1.0013000000000001</v>
      </c>
      <c r="Q27" s="250">
        <v>1.0013000000000001</v>
      </c>
      <c r="R27" s="250">
        <v>1.0013000000000001</v>
      </c>
      <c r="S27" s="250">
        <v>1.0013000000000001</v>
      </c>
      <c r="T27" s="250">
        <v>1.0013000000000001</v>
      </c>
      <c r="U27" s="250">
        <v>1.0013000000000001</v>
      </c>
      <c r="V27" s="250">
        <v>1.0013000000000001</v>
      </c>
      <c r="W27" s="250">
        <v>1.0013000000000001</v>
      </c>
      <c r="X27" s="249">
        <v>1.0013000000000001</v>
      </c>
      <c r="Y27" s="249">
        <v>1.0014000000000001</v>
      </c>
      <c r="Z27" s="249">
        <v>1.0014000000000001</v>
      </c>
      <c r="AA27" s="249">
        <v>1.0014000000000001</v>
      </c>
      <c r="AB27" s="249">
        <v>1.0014000000000001</v>
      </c>
      <c r="AC27" s="249">
        <v>1.0014000000000001</v>
      </c>
      <c r="AD27" s="249">
        <v>1.0014000000000001</v>
      </c>
      <c r="AE27" s="249">
        <v>1.0014000000000001</v>
      </c>
      <c r="AF27" s="249">
        <v>1.0014000000000001</v>
      </c>
      <c r="AG27" s="249">
        <v>1.0014000000000001</v>
      </c>
      <c r="AH27" s="249">
        <v>1.0014000000000001</v>
      </c>
      <c r="AI27" s="249">
        <v>1.0014000000000001</v>
      </c>
      <c r="AJ27" s="249">
        <v>1.0014000000000001</v>
      </c>
      <c r="AK27" s="249">
        <v>1.0015000000000001</v>
      </c>
      <c r="AL27" s="249">
        <v>1.0015000000000001</v>
      </c>
      <c r="AM27" s="249">
        <v>1.0015000000000001</v>
      </c>
      <c r="AN27" s="249">
        <v>1.0015000000000001</v>
      </c>
      <c r="AO27" s="249">
        <v>1.0015000000000001</v>
      </c>
      <c r="AP27" s="249">
        <v>1.0015000000000001</v>
      </c>
      <c r="AQ27" s="249">
        <v>1.0015000000000001</v>
      </c>
      <c r="AR27" s="249">
        <v>1.0015000000000001</v>
      </c>
      <c r="AS27" s="249">
        <v>1.0015000000000001</v>
      </c>
      <c r="AT27" s="249">
        <v>1.0015000000000001</v>
      </c>
      <c r="AU27" s="249">
        <v>1.0015000000000001</v>
      </c>
      <c r="AV27" s="249">
        <v>1.0015000000000001</v>
      </c>
      <c r="AW27" s="249">
        <v>1.0016</v>
      </c>
      <c r="AX27" s="249">
        <v>1.0016</v>
      </c>
      <c r="AY27" s="249">
        <v>1.0016</v>
      </c>
      <c r="AZ27" s="249">
        <v>1.0016</v>
      </c>
      <c r="BA27" s="251">
        <v>1.0016</v>
      </c>
    </row>
    <row r="28" spans="2:53" s="244" customFormat="1" ht="15.75" customHeight="1">
      <c r="B28" s="248">
        <v>57.5</v>
      </c>
      <c r="C28" s="249">
        <v>1.0009999999999999</v>
      </c>
      <c r="D28" s="249">
        <v>1.0009999999999999</v>
      </c>
      <c r="E28" s="249">
        <v>1.0009999999999999</v>
      </c>
      <c r="F28" s="249">
        <v>1.0009999999999999</v>
      </c>
      <c r="G28" s="249">
        <v>1.0009999999999999</v>
      </c>
      <c r="H28" s="249">
        <v>1.0009999999999999</v>
      </c>
      <c r="I28" s="249">
        <v>1.0009999999999999</v>
      </c>
      <c r="J28" s="249">
        <v>1.0009999999999999</v>
      </c>
      <c r="K28" s="249">
        <v>1.0009999999999999</v>
      </c>
      <c r="L28" s="249">
        <v>1.0009999999999999</v>
      </c>
      <c r="M28" s="249">
        <v>1.0009999999999999</v>
      </c>
      <c r="N28" s="250">
        <v>1.0011000000000001</v>
      </c>
      <c r="O28" s="250">
        <v>1.0011000000000001</v>
      </c>
      <c r="P28" s="250">
        <v>1.0011000000000001</v>
      </c>
      <c r="Q28" s="250">
        <v>1.0011000000000001</v>
      </c>
      <c r="R28" s="250">
        <v>1.0011000000000001</v>
      </c>
      <c r="S28" s="250">
        <v>1.0011000000000001</v>
      </c>
      <c r="T28" s="250">
        <v>1.0011000000000001</v>
      </c>
      <c r="U28" s="250">
        <v>1.0011000000000001</v>
      </c>
      <c r="V28" s="250">
        <v>1.0011000000000001</v>
      </c>
      <c r="W28" s="250">
        <v>1.0011000000000001</v>
      </c>
      <c r="X28" s="249">
        <v>1.0011000000000001</v>
      </c>
      <c r="Y28" s="249">
        <v>1.0011000000000001</v>
      </c>
      <c r="Z28" s="249">
        <v>1.0011000000000001</v>
      </c>
      <c r="AA28" s="249">
        <v>1.0011000000000001</v>
      </c>
      <c r="AB28" s="249">
        <v>1.0011000000000001</v>
      </c>
      <c r="AC28" s="249">
        <v>1.0012000000000001</v>
      </c>
      <c r="AD28" s="249">
        <v>1.0012000000000001</v>
      </c>
      <c r="AE28" s="249">
        <v>1.0012000000000001</v>
      </c>
      <c r="AF28" s="249">
        <v>1.0012000000000001</v>
      </c>
      <c r="AG28" s="249">
        <v>1.0012000000000001</v>
      </c>
      <c r="AH28" s="249">
        <v>1.0012000000000001</v>
      </c>
      <c r="AI28" s="249">
        <v>1.0012000000000001</v>
      </c>
      <c r="AJ28" s="249">
        <v>1.0012000000000001</v>
      </c>
      <c r="AK28" s="249">
        <v>1.0012000000000001</v>
      </c>
      <c r="AL28" s="249">
        <v>1.0012000000000001</v>
      </c>
      <c r="AM28" s="249">
        <v>1.0012000000000001</v>
      </c>
      <c r="AN28" s="249">
        <v>1.0012000000000001</v>
      </c>
      <c r="AO28" s="249">
        <v>1.0012000000000001</v>
      </c>
      <c r="AP28" s="249">
        <v>1.0012000000000001</v>
      </c>
      <c r="AQ28" s="249">
        <v>1.0013000000000001</v>
      </c>
      <c r="AR28" s="249">
        <v>1.0013000000000001</v>
      </c>
      <c r="AS28" s="249">
        <v>1.0013000000000001</v>
      </c>
      <c r="AT28" s="249">
        <v>1.0013000000000001</v>
      </c>
      <c r="AU28" s="249">
        <v>1.0013000000000001</v>
      </c>
      <c r="AV28" s="249">
        <v>1.0013000000000001</v>
      </c>
      <c r="AW28" s="249">
        <v>1.0013000000000001</v>
      </c>
      <c r="AX28" s="249">
        <v>1.0013000000000001</v>
      </c>
      <c r="AY28" s="249">
        <v>1.0013000000000001</v>
      </c>
      <c r="AZ28" s="249">
        <v>1.0013000000000001</v>
      </c>
      <c r="BA28" s="251">
        <v>1.0013000000000001</v>
      </c>
    </row>
    <row r="29" spans="2:53" s="244" customFormat="1" ht="15.75" customHeight="1">
      <c r="B29" s="248">
        <v>58</v>
      </c>
      <c r="C29" s="249">
        <v>1.0007999999999999</v>
      </c>
      <c r="D29" s="249">
        <v>1.0007999999999999</v>
      </c>
      <c r="E29" s="249">
        <v>1.0007999999999999</v>
      </c>
      <c r="F29" s="249">
        <v>1.0007999999999999</v>
      </c>
      <c r="G29" s="249">
        <v>1.0007999999999999</v>
      </c>
      <c r="H29" s="249">
        <v>1.0007999999999999</v>
      </c>
      <c r="I29" s="249">
        <v>1.0007999999999999</v>
      </c>
      <c r="J29" s="249">
        <v>1.0007999999999999</v>
      </c>
      <c r="K29" s="249">
        <v>1.0007999999999999</v>
      </c>
      <c r="L29" s="249">
        <v>1.0007999999999999</v>
      </c>
      <c r="M29" s="249">
        <v>1.0007999999999999</v>
      </c>
      <c r="N29" s="250">
        <v>1.0007999999999999</v>
      </c>
      <c r="O29" s="250">
        <v>1.0007999999999999</v>
      </c>
      <c r="P29" s="250">
        <v>1.0008999999999999</v>
      </c>
      <c r="Q29" s="250">
        <v>1.0008999999999999</v>
      </c>
      <c r="R29" s="250">
        <v>1.0008999999999999</v>
      </c>
      <c r="S29" s="250">
        <v>1.0008999999999999</v>
      </c>
      <c r="T29" s="250">
        <v>1.0008999999999999</v>
      </c>
      <c r="U29" s="250">
        <v>1.0008999999999999</v>
      </c>
      <c r="V29" s="250">
        <v>1.0008999999999999</v>
      </c>
      <c r="W29" s="250">
        <v>1.0008999999999999</v>
      </c>
      <c r="X29" s="249">
        <v>1.0008999999999999</v>
      </c>
      <c r="Y29" s="249">
        <v>1.0008999999999999</v>
      </c>
      <c r="Z29" s="249">
        <v>1.0008999999999999</v>
      </c>
      <c r="AA29" s="249">
        <v>1.0008999999999999</v>
      </c>
      <c r="AB29" s="249">
        <v>1.0008999999999999</v>
      </c>
      <c r="AC29" s="249">
        <v>1.0008999999999999</v>
      </c>
      <c r="AD29" s="249">
        <v>1.0008999999999999</v>
      </c>
      <c r="AE29" s="249">
        <v>1.0008999999999999</v>
      </c>
      <c r="AF29" s="249">
        <v>1.0008999999999999</v>
      </c>
      <c r="AG29" s="249">
        <v>1.0008999999999999</v>
      </c>
      <c r="AH29" s="249">
        <v>1.0009999999999999</v>
      </c>
      <c r="AI29" s="249">
        <v>1.0009999999999999</v>
      </c>
      <c r="AJ29" s="249">
        <v>1.0009999999999999</v>
      </c>
      <c r="AK29" s="249">
        <v>1.0009999999999999</v>
      </c>
      <c r="AL29" s="249">
        <v>1.0009999999999999</v>
      </c>
      <c r="AM29" s="249">
        <v>1.0009999999999999</v>
      </c>
      <c r="AN29" s="249">
        <v>1.0009999999999999</v>
      </c>
      <c r="AO29" s="249">
        <v>1.0009999999999999</v>
      </c>
      <c r="AP29" s="249">
        <v>1.0009999999999999</v>
      </c>
      <c r="AQ29" s="249">
        <v>1.0009999999999999</v>
      </c>
      <c r="AR29" s="249">
        <v>1.0009999999999999</v>
      </c>
      <c r="AS29" s="249">
        <v>1.0009999999999999</v>
      </c>
      <c r="AT29" s="249">
        <v>1.0009999999999999</v>
      </c>
      <c r="AU29" s="249">
        <v>1.0009999999999999</v>
      </c>
      <c r="AV29" s="249">
        <v>1.0009999999999999</v>
      </c>
      <c r="AW29" s="249">
        <v>1.0009999999999999</v>
      </c>
      <c r="AX29" s="249">
        <v>1.0009999999999999</v>
      </c>
      <c r="AY29" s="249">
        <v>1.0011000000000001</v>
      </c>
      <c r="AZ29" s="249">
        <v>1.0011000000000001</v>
      </c>
      <c r="BA29" s="251">
        <v>1.0011000000000001</v>
      </c>
    </row>
    <row r="30" spans="2:53" s="244" customFormat="1" ht="15.75" customHeight="1">
      <c r="B30" s="248">
        <v>58.5</v>
      </c>
      <c r="C30" s="249">
        <v>1.0005999999999999</v>
      </c>
      <c r="D30" s="249">
        <v>1.0005999999999999</v>
      </c>
      <c r="E30" s="249">
        <v>1.0005999999999999</v>
      </c>
      <c r="F30" s="249">
        <v>1.0005999999999999</v>
      </c>
      <c r="G30" s="249">
        <v>1.0005999999999999</v>
      </c>
      <c r="H30" s="249">
        <v>1.0005999999999999</v>
      </c>
      <c r="I30" s="249">
        <v>1.0005999999999999</v>
      </c>
      <c r="J30" s="249">
        <v>1.0005999999999999</v>
      </c>
      <c r="K30" s="249">
        <v>1.0005999999999999</v>
      </c>
      <c r="L30" s="249">
        <v>1.0005999999999999</v>
      </c>
      <c r="M30" s="249">
        <v>1.0005999999999999</v>
      </c>
      <c r="N30" s="250">
        <v>1.0005999999999999</v>
      </c>
      <c r="O30" s="250">
        <v>1.0005999999999999</v>
      </c>
      <c r="P30" s="250">
        <v>1.0005999999999999</v>
      </c>
      <c r="Q30" s="250">
        <v>1.0005999999999999</v>
      </c>
      <c r="R30" s="250">
        <v>1.0005999999999999</v>
      </c>
      <c r="S30" s="250">
        <v>1.0006999999999999</v>
      </c>
      <c r="T30" s="250">
        <v>1.0006999999999999</v>
      </c>
      <c r="U30" s="250">
        <v>1.0006999999999999</v>
      </c>
      <c r="V30" s="250">
        <v>1.0006999999999999</v>
      </c>
      <c r="W30" s="250">
        <v>1.0006999999999999</v>
      </c>
      <c r="X30" s="249">
        <v>1.0006999999999999</v>
      </c>
      <c r="Y30" s="249">
        <v>1.0006999999999999</v>
      </c>
      <c r="Z30" s="249">
        <v>1.0006999999999999</v>
      </c>
      <c r="AA30" s="249">
        <v>1.0006999999999999</v>
      </c>
      <c r="AB30" s="249">
        <v>1.0006999999999999</v>
      </c>
      <c r="AC30" s="249">
        <v>1.0006999999999999</v>
      </c>
      <c r="AD30" s="249">
        <v>1.0006999999999999</v>
      </c>
      <c r="AE30" s="249">
        <v>1.0006999999999999</v>
      </c>
      <c r="AF30" s="249">
        <v>1.0006999999999999</v>
      </c>
      <c r="AG30" s="249">
        <v>1.0006999999999999</v>
      </c>
      <c r="AH30" s="249">
        <v>1.0006999999999999</v>
      </c>
      <c r="AI30" s="249">
        <v>1.0006999999999999</v>
      </c>
      <c r="AJ30" s="249">
        <v>1.0006999999999999</v>
      </c>
      <c r="AK30" s="249">
        <v>1.0006999999999999</v>
      </c>
      <c r="AL30" s="249">
        <v>1.0006999999999999</v>
      </c>
      <c r="AM30" s="249">
        <v>1.0006999999999999</v>
      </c>
      <c r="AN30" s="249">
        <v>1.0006999999999999</v>
      </c>
      <c r="AO30" s="249">
        <v>1.0006999999999999</v>
      </c>
      <c r="AP30" s="249">
        <v>1.0006999999999999</v>
      </c>
      <c r="AQ30" s="249">
        <v>1.0007999999999999</v>
      </c>
      <c r="AR30" s="249">
        <v>1.0007999999999999</v>
      </c>
      <c r="AS30" s="249">
        <v>1.0007999999999999</v>
      </c>
      <c r="AT30" s="249">
        <v>1.0007999999999999</v>
      </c>
      <c r="AU30" s="249">
        <v>1.0007999999999999</v>
      </c>
      <c r="AV30" s="249">
        <v>1.0007999999999999</v>
      </c>
      <c r="AW30" s="249">
        <v>1.0007999999999999</v>
      </c>
      <c r="AX30" s="249">
        <v>1.0007999999999999</v>
      </c>
      <c r="AY30" s="249">
        <v>1.0007999999999999</v>
      </c>
      <c r="AZ30" s="249">
        <v>1.0007999999999999</v>
      </c>
      <c r="BA30" s="251">
        <v>1.0007999999999999</v>
      </c>
    </row>
    <row r="31" spans="2:53" s="244" customFormat="1" ht="15.75" customHeight="1">
      <c r="B31" s="248">
        <v>59</v>
      </c>
      <c r="C31" s="249">
        <v>1.0004</v>
      </c>
      <c r="D31" s="249">
        <v>1.0004</v>
      </c>
      <c r="E31" s="249">
        <v>1.0004</v>
      </c>
      <c r="F31" s="249">
        <v>1.0004</v>
      </c>
      <c r="G31" s="249">
        <v>1.0004</v>
      </c>
      <c r="H31" s="249">
        <v>1.0004</v>
      </c>
      <c r="I31" s="249">
        <v>1.0004</v>
      </c>
      <c r="J31" s="249">
        <v>1.0004</v>
      </c>
      <c r="K31" s="249">
        <v>1.0004</v>
      </c>
      <c r="L31" s="249">
        <v>1.0004</v>
      </c>
      <c r="M31" s="249">
        <v>1.0004</v>
      </c>
      <c r="N31" s="250">
        <v>1.0004</v>
      </c>
      <c r="O31" s="250">
        <v>1.0004</v>
      </c>
      <c r="P31" s="250">
        <v>1.0004</v>
      </c>
      <c r="Q31" s="250">
        <v>1.0004</v>
      </c>
      <c r="R31" s="250">
        <v>1.0004</v>
      </c>
      <c r="S31" s="250">
        <v>1.0004</v>
      </c>
      <c r="T31" s="250">
        <v>1.0004</v>
      </c>
      <c r="U31" s="250">
        <v>1.0004</v>
      </c>
      <c r="V31" s="250">
        <v>1.0004</v>
      </c>
      <c r="W31" s="250">
        <v>1.0004</v>
      </c>
      <c r="X31" s="249">
        <v>1.0004</v>
      </c>
      <c r="Y31" s="249">
        <v>1.0004999999999999</v>
      </c>
      <c r="Z31" s="249">
        <v>1.0004999999999999</v>
      </c>
      <c r="AA31" s="249">
        <v>1.0004999999999999</v>
      </c>
      <c r="AB31" s="249">
        <v>1.0004999999999999</v>
      </c>
      <c r="AC31" s="249">
        <v>1.0004999999999999</v>
      </c>
      <c r="AD31" s="249">
        <v>1.0004999999999999</v>
      </c>
      <c r="AE31" s="249">
        <v>1.0004999999999999</v>
      </c>
      <c r="AF31" s="249">
        <v>1.0004999999999999</v>
      </c>
      <c r="AG31" s="249">
        <v>1.0004999999999999</v>
      </c>
      <c r="AH31" s="249">
        <v>1.0004999999999999</v>
      </c>
      <c r="AI31" s="249">
        <v>1.0004999999999999</v>
      </c>
      <c r="AJ31" s="249">
        <v>1.0004999999999999</v>
      </c>
      <c r="AK31" s="249">
        <v>1.0004999999999999</v>
      </c>
      <c r="AL31" s="249">
        <v>1.0004999999999999</v>
      </c>
      <c r="AM31" s="249">
        <v>1.0004999999999999</v>
      </c>
      <c r="AN31" s="249">
        <v>1.0004999999999999</v>
      </c>
      <c r="AO31" s="249">
        <v>1.0004999999999999</v>
      </c>
      <c r="AP31" s="249">
        <v>1.0004999999999999</v>
      </c>
      <c r="AQ31" s="249">
        <v>1.0004999999999999</v>
      </c>
      <c r="AR31" s="249">
        <v>1.0004999999999999</v>
      </c>
      <c r="AS31" s="249">
        <v>1.0004999999999999</v>
      </c>
      <c r="AT31" s="249">
        <v>1.0004999999999999</v>
      </c>
      <c r="AU31" s="249">
        <v>1.0004999999999999</v>
      </c>
      <c r="AV31" s="249">
        <v>1.0004999999999999</v>
      </c>
      <c r="AW31" s="249">
        <v>1.0004999999999999</v>
      </c>
      <c r="AX31" s="249">
        <v>1.0004999999999999</v>
      </c>
      <c r="AY31" s="249">
        <v>1.0004999999999999</v>
      </c>
      <c r="AZ31" s="249">
        <v>1.0004999999999999</v>
      </c>
      <c r="BA31" s="251">
        <v>1.0004999999999999</v>
      </c>
    </row>
    <row r="32" spans="2:53" s="244" customFormat="1" ht="15.75" customHeight="1">
      <c r="B32" s="248">
        <v>59.5</v>
      </c>
      <c r="C32" s="249">
        <v>1.0002</v>
      </c>
      <c r="D32" s="249">
        <v>1.0002</v>
      </c>
      <c r="E32" s="249">
        <v>1.0002</v>
      </c>
      <c r="F32" s="249">
        <v>1.0002</v>
      </c>
      <c r="G32" s="249">
        <v>1.0002</v>
      </c>
      <c r="H32" s="249">
        <v>1.0002</v>
      </c>
      <c r="I32" s="249">
        <v>1.0002</v>
      </c>
      <c r="J32" s="249">
        <v>1.0002</v>
      </c>
      <c r="K32" s="249">
        <v>1.0002</v>
      </c>
      <c r="L32" s="249">
        <v>1.0002</v>
      </c>
      <c r="M32" s="249">
        <v>1.0002</v>
      </c>
      <c r="N32" s="250">
        <v>1.0002</v>
      </c>
      <c r="O32" s="250">
        <v>1.0002</v>
      </c>
      <c r="P32" s="250">
        <v>1.0002</v>
      </c>
      <c r="Q32" s="250">
        <v>1.0002</v>
      </c>
      <c r="R32" s="250">
        <v>1.0002</v>
      </c>
      <c r="S32" s="250">
        <v>1.0002</v>
      </c>
      <c r="T32" s="250">
        <v>1.0002</v>
      </c>
      <c r="U32" s="250">
        <v>1.0002</v>
      </c>
      <c r="V32" s="250">
        <v>1.0002</v>
      </c>
      <c r="W32" s="250">
        <v>1.0002</v>
      </c>
      <c r="X32" s="249">
        <v>1.0002</v>
      </c>
      <c r="Y32" s="249">
        <v>1.0002</v>
      </c>
      <c r="Z32" s="249">
        <v>1.0002</v>
      </c>
      <c r="AA32" s="249">
        <v>1.0002</v>
      </c>
      <c r="AB32" s="249">
        <v>1.0002</v>
      </c>
      <c r="AC32" s="249">
        <v>1.0002</v>
      </c>
      <c r="AD32" s="249">
        <v>1.0002</v>
      </c>
      <c r="AE32" s="249">
        <v>1.0002</v>
      </c>
      <c r="AF32" s="249">
        <v>1.0002</v>
      </c>
      <c r="AG32" s="249">
        <v>1.0002</v>
      </c>
      <c r="AH32" s="249">
        <v>1.0002</v>
      </c>
      <c r="AI32" s="249">
        <v>1.0002</v>
      </c>
      <c r="AJ32" s="249">
        <v>1.0002</v>
      </c>
      <c r="AK32" s="249">
        <v>1.0002</v>
      </c>
      <c r="AL32" s="249">
        <v>1.0002</v>
      </c>
      <c r="AM32" s="249">
        <v>1.0002</v>
      </c>
      <c r="AN32" s="249">
        <v>1.0002</v>
      </c>
      <c r="AO32" s="249">
        <v>1.0002</v>
      </c>
      <c r="AP32" s="249">
        <v>1.0002</v>
      </c>
      <c r="AQ32" s="249">
        <v>1.0003</v>
      </c>
      <c r="AR32" s="249">
        <v>1.0003</v>
      </c>
      <c r="AS32" s="249">
        <v>1.0003</v>
      </c>
      <c r="AT32" s="249">
        <v>1.0003</v>
      </c>
      <c r="AU32" s="249">
        <v>1.0003</v>
      </c>
      <c r="AV32" s="249">
        <v>1.0003</v>
      </c>
      <c r="AW32" s="249">
        <v>1.0003</v>
      </c>
      <c r="AX32" s="249">
        <v>1.0003</v>
      </c>
      <c r="AY32" s="249">
        <v>1.0003</v>
      </c>
      <c r="AZ32" s="249">
        <v>1.0003</v>
      </c>
      <c r="BA32" s="251">
        <v>1.0003</v>
      </c>
    </row>
    <row r="33" spans="2:53" s="244" customFormat="1" ht="15.75" customHeight="1">
      <c r="B33" s="248">
        <v>60</v>
      </c>
      <c r="C33" s="252">
        <v>1</v>
      </c>
      <c r="D33" s="252">
        <v>1</v>
      </c>
      <c r="E33" s="252">
        <v>1</v>
      </c>
      <c r="F33" s="252">
        <v>1</v>
      </c>
      <c r="G33" s="252">
        <v>1</v>
      </c>
      <c r="H33" s="252">
        <v>1</v>
      </c>
      <c r="I33" s="252">
        <v>1</v>
      </c>
      <c r="J33" s="252">
        <v>1</v>
      </c>
      <c r="K33" s="252">
        <v>1</v>
      </c>
      <c r="L33" s="252">
        <v>1</v>
      </c>
      <c r="M33" s="252">
        <v>1</v>
      </c>
      <c r="N33" s="253">
        <v>1</v>
      </c>
      <c r="O33" s="253">
        <v>1</v>
      </c>
      <c r="P33" s="253">
        <v>1</v>
      </c>
      <c r="Q33" s="253">
        <v>1</v>
      </c>
      <c r="R33" s="253">
        <v>1</v>
      </c>
      <c r="S33" s="253">
        <v>1</v>
      </c>
      <c r="T33" s="253">
        <v>1</v>
      </c>
      <c r="U33" s="253">
        <v>1</v>
      </c>
      <c r="V33" s="253">
        <v>1</v>
      </c>
      <c r="W33" s="253">
        <v>1</v>
      </c>
      <c r="X33" s="252">
        <v>1</v>
      </c>
      <c r="Y33" s="252">
        <v>1</v>
      </c>
      <c r="Z33" s="252">
        <v>1</v>
      </c>
      <c r="AA33" s="252">
        <v>1</v>
      </c>
      <c r="AB33" s="252">
        <v>1</v>
      </c>
      <c r="AC33" s="252">
        <v>1</v>
      </c>
      <c r="AD33" s="252">
        <v>1</v>
      </c>
      <c r="AE33" s="252">
        <v>1</v>
      </c>
      <c r="AF33" s="252">
        <v>1</v>
      </c>
      <c r="AG33" s="252">
        <v>1</v>
      </c>
      <c r="AH33" s="252">
        <v>1</v>
      </c>
      <c r="AI33" s="252">
        <v>1</v>
      </c>
      <c r="AJ33" s="252">
        <v>1</v>
      </c>
      <c r="AK33" s="252">
        <v>1</v>
      </c>
      <c r="AL33" s="252">
        <v>1</v>
      </c>
      <c r="AM33" s="252">
        <v>1</v>
      </c>
      <c r="AN33" s="252">
        <v>1</v>
      </c>
      <c r="AO33" s="252">
        <v>1</v>
      </c>
      <c r="AP33" s="252">
        <v>1</v>
      </c>
      <c r="AQ33" s="252">
        <v>1</v>
      </c>
      <c r="AR33" s="252">
        <v>1</v>
      </c>
      <c r="AS33" s="252">
        <v>1</v>
      </c>
      <c r="AT33" s="252">
        <v>1</v>
      </c>
      <c r="AU33" s="252">
        <v>1</v>
      </c>
      <c r="AV33" s="252">
        <v>1</v>
      </c>
      <c r="AW33" s="252">
        <v>1</v>
      </c>
      <c r="AX33" s="252">
        <v>1</v>
      </c>
      <c r="AY33" s="252">
        <v>1</v>
      </c>
      <c r="AZ33" s="252">
        <v>1</v>
      </c>
      <c r="BA33" s="254">
        <v>1</v>
      </c>
    </row>
    <row r="34" spans="2:53" s="244" customFormat="1" ht="15.75" customHeight="1">
      <c r="B34" s="248">
        <v>60.5</v>
      </c>
      <c r="C34" s="249">
        <v>0.99980000000000002</v>
      </c>
      <c r="D34" s="249">
        <v>0.99980000000000002</v>
      </c>
      <c r="E34" s="249">
        <v>0.99980000000000002</v>
      </c>
      <c r="F34" s="249">
        <v>0.99980000000000002</v>
      </c>
      <c r="G34" s="249">
        <v>0.99980000000000002</v>
      </c>
      <c r="H34" s="249">
        <v>0.99980000000000002</v>
      </c>
      <c r="I34" s="249">
        <v>0.99980000000000002</v>
      </c>
      <c r="J34" s="249">
        <v>0.99980000000000002</v>
      </c>
      <c r="K34" s="249">
        <v>0.99980000000000002</v>
      </c>
      <c r="L34" s="249">
        <v>0.99980000000000002</v>
      </c>
      <c r="M34" s="249">
        <v>0.99980000000000002</v>
      </c>
      <c r="N34" s="249">
        <v>0.99980000000000002</v>
      </c>
      <c r="O34" s="249">
        <v>0.99980000000000002</v>
      </c>
      <c r="P34" s="249">
        <v>0.99980000000000002</v>
      </c>
      <c r="Q34" s="249">
        <v>0.99980000000000002</v>
      </c>
      <c r="R34" s="249">
        <v>0.99980000000000002</v>
      </c>
      <c r="S34" s="249">
        <v>0.99980000000000002</v>
      </c>
      <c r="T34" s="249">
        <v>0.99980000000000002</v>
      </c>
      <c r="U34" s="249">
        <v>0.99980000000000002</v>
      </c>
      <c r="V34" s="249">
        <v>0.99980000000000002</v>
      </c>
      <c r="W34" s="249">
        <v>0.99980000000000002</v>
      </c>
      <c r="X34" s="249">
        <v>0.99980000000000002</v>
      </c>
      <c r="Y34" s="249">
        <v>0.99980000000000002</v>
      </c>
      <c r="Z34" s="249">
        <v>0.99980000000000002</v>
      </c>
      <c r="AA34" s="249">
        <v>0.99980000000000002</v>
      </c>
      <c r="AB34" s="249">
        <v>0.99980000000000002</v>
      </c>
      <c r="AC34" s="249">
        <v>0.99980000000000002</v>
      </c>
      <c r="AD34" s="249">
        <v>0.99980000000000002</v>
      </c>
      <c r="AE34" s="249">
        <v>0.99980000000000002</v>
      </c>
      <c r="AF34" s="249">
        <v>0.99980000000000002</v>
      </c>
      <c r="AG34" s="249">
        <v>0.99980000000000002</v>
      </c>
      <c r="AH34" s="249">
        <v>0.99980000000000002</v>
      </c>
      <c r="AI34" s="249">
        <v>0.99980000000000002</v>
      </c>
      <c r="AJ34" s="249">
        <v>0.99980000000000002</v>
      </c>
      <c r="AK34" s="249">
        <v>0.99980000000000002</v>
      </c>
      <c r="AL34" s="249">
        <v>0.99980000000000002</v>
      </c>
      <c r="AM34" s="249">
        <v>0.99980000000000002</v>
      </c>
      <c r="AN34" s="249">
        <v>0.99980000000000002</v>
      </c>
      <c r="AO34" s="249">
        <v>0.99980000000000002</v>
      </c>
      <c r="AP34" s="249">
        <v>0.99980000000000002</v>
      </c>
      <c r="AQ34" s="249">
        <v>0.99970000000000003</v>
      </c>
      <c r="AR34" s="249">
        <v>0.99970000000000003</v>
      </c>
      <c r="AS34" s="249">
        <v>0.99970000000000003</v>
      </c>
      <c r="AT34" s="249">
        <v>0.99970000000000003</v>
      </c>
      <c r="AU34" s="249">
        <v>0.99970000000000003</v>
      </c>
      <c r="AV34" s="249">
        <v>0.99970000000000003</v>
      </c>
      <c r="AW34" s="249">
        <v>0.99970000000000003</v>
      </c>
      <c r="AX34" s="249">
        <v>0.99970000000000003</v>
      </c>
      <c r="AY34" s="249">
        <v>0.99970000000000003</v>
      </c>
      <c r="AZ34" s="249">
        <v>0.99970000000000003</v>
      </c>
      <c r="BA34" s="251">
        <v>0.99970000000000003</v>
      </c>
    </row>
    <row r="35" spans="2:53" s="244" customFormat="1" ht="15.75" customHeight="1">
      <c r="B35" s="248">
        <v>61</v>
      </c>
      <c r="C35" s="249">
        <v>0.99960000000000004</v>
      </c>
      <c r="D35" s="249">
        <v>0.99960000000000004</v>
      </c>
      <c r="E35" s="249">
        <v>0.99960000000000004</v>
      </c>
      <c r="F35" s="249">
        <v>0.99960000000000004</v>
      </c>
      <c r="G35" s="249">
        <v>0.99960000000000004</v>
      </c>
      <c r="H35" s="249">
        <v>0.99960000000000004</v>
      </c>
      <c r="I35" s="249">
        <v>0.99960000000000004</v>
      </c>
      <c r="J35" s="249">
        <v>0.99960000000000004</v>
      </c>
      <c r="K35" s="249">
        <v>0.99960000000000004</v>
      </c>
      <c r="L35" s="249">
        <v>0.99960000000000004</v>
      </c>
      <c r="M35" s="249">
        <v>0.99960000000000004</v>
      </c>
      <c r="N35" s="249">
        <v>0.99960000000000004</v>
      </c>
      <c r="O35" s="249">
        <v>0.99960000000000004</v>
      </c>
      <c r="P35" s="249">
        <v>0.99960000000000004</v>
      </c>
      <c r="Q35" s="249">
        <v>0.99960000000000004</v>
      </c>
      <c r="R35" s="249">
        <v>0.99960000000000004</v>
      </c>
      <c r="S35" s="249">
        <v>0.99960000000000004</v>
      </c>
      <c r="T35" s="249">
        <v>0.99960000000000004</v>
      </c>
      <c r="U35" s="249">
        <v>0.99960000000000004</v>
      </c>
      <c r="V35" s="249">
        <v>0.99960000000000004</v>
      </c>
      <c r="W35" s="249">
        <v>0.99960000000000004</v>
      </c>
      <c r="X35" s="249">
        <v>0.99960000000000004</v>
      </c>
      <c r="Y35" s="249">
        <v>0.99950000000000006</v>
      </c>
      <c r="Z35" s="249">
        <v>0.99950000000000006</v>
      </c>
      <c r="AA35" s="249">
        <v>0.99950000000000006</v>
      </c>
      <c r="AB35" s="249">
        <v>0.99950000000000006</v>
      </c>
      <c r="AC35" s="249">
        <v>0.99950000000000006</v>
      </c>
      <c r="AD35" s="249">
        <v>0.99950000000000006</v>
      </c>
      <c r="AE35" s="249">
        <v>0.99950000000000006</v>
      </c>
      <c r="AF35" s="249">
        <v>0.99950000000000006</v>
      </c>
      <c r="AG35" s="249">
        <v>0.99950000000000006</v>
      </c>
      <c r="AH35" s="249">
        <v>0.99950000000000006</v>
      </c>
      <c r="AI35" s="249">
        <v>0.99950000000000006</v>
      </c>
      <c r="AJ35" s="249">
        <v>0.99950000000000006</v>
      </c>
      <c r="AK35" s="249">
        <v>0.99950000000000006</v>
      </c>
      <c r="AL35" s="249">
        <v>0.99950000000000006</v>
      </c>
      <c r="AM35" s="249">
        <v>0.99950000000000006</v>
      </c>
      <c r="AN35" s="249">
        <v>0.99950000000000006</v>
      </c>
      <c r="AO35" s="249">
        <v>0.99950000000000006</v>
      </c>
      <c r="AP35" s="249">
        <v>0.99950000000000006</v>
      </c>
      <c r="AQ35" s="249">
        <v>0.99950000000000006</v>
      </c>
      <c r="AR35" s="249">
        <v>0.99950000000000006</v>
      </c>
      <c r="AS35" s="249">
        <v>0.99950000000000006</v>
      </c>
      <c r="AT35" s="249">
        <v>0.99950000000000006</v>
      </c>
      <c r="AU35" s="249">
        <v>0.99950000000000006</v>
      </c>
      <c r="AV35" s="249">
        <v>0.99950000000000006</v>
      </c>
      <c r="AW35" s="249">
        <v>0.99950000000000006</v>
      </c>
      <c r="AX35" s="249">
        <v>0.99950000000000006</v>
      </c>
      <c r="AY35" s="249">
        <v>0.99950000000000006</v>
      </c>
      <c r="AZ35" s="249">
        <v>0.99950000000000006</v>
      </c>
      <c r="BA35" s="251">
        <v>0.99950000000000006</v>
      </c>
    </row>
    <row r="36" spans="2:53" s="244" customFormat="1" ht="15.75" customHeight="1">
      <c r="B36" s="248">
        <v>61.5</v>
      </c>
      <c r="C36" s="249">
        <v>0.99939999999999996</v>
      </c>
      <c r="D36" s="249">
        <v>0.99939999999999996</v>
      </c>
      <c r="E36" s="249">
        <v>0.99939999999999996</v>
      </c>
      <c r="F36" s="249">
        <v>0.99939999999999996</v>
      </c>
      <c r="G36" s="249">
        <v>0.99939999999999996</v>
      </c>
      <c r="H36" s="249">
        <v>0.99939999999999996</v>
      </c>
      <c r="I36" s="249">
        <v>0.99939999999999996</v>
      </c>
      <c r="J36" s="249">
        <v>0.99939999999999996</v>
      </c>
      <c r="K36" s="249">
        <v>0.99939999999999996</v>
      </c>
      <c r="L36" s="249">
        <v>0.99939999999999996</v>
      </c>
      <c r="M36" s="249">
        <v>0.99939999999999996</v>
      </c>
      <c r="N36" s="249">
        <v>0.99939999999999996</v>
      </c>
      <c r="O36" s="249">
        <v>0.99939999999999996</v>
      </c>
      <c r="P36" s="249">
        <v>0.99939999999999996</v>
      </c>
      <c r="Q36" s="249">
        <v>0.99939999999999996</v>
      </c>
      <c r="R36" s="249">
        <v>0.99939999999999996</v>
      </c>
      <c r="S36" s="249">
        <v>0.99929999999999997</v>
      </c>
      <c r="T36" s="249">
        <v>0.99929999999999997</v>
      </c>
      <c r="U36" s="249">
        <v>0.99929999999999997</v>
      </c>
      <c r="V36" s="249">
        <v>0.99929999999999997</v>
      </c>
      <c r="W36" s="249">
        <v>0.99929999999999997</v>
      </c>
      <c r="X36" s="249">
        <v>0.99929999999999997</v>
      </c>
      <c r="Y36" s="249">
        <v>0.99929999999999997</v>
      </c>
      <c r="Z36" s="249">
        <v>0.99929999999999997</v>
      </c>
      <c r="AA36" s="249">
        <v>0.99929999999999997</v>
      </c>
      <c r="AB36" s="249">
        <v>0.99929999999999997</v>
      </c>
      <c r="AC36" s="249">
        <v>0.99929999999999997</v>
      </c>
      <c r="AD36" s="249">
        <v>0.99929999999999997</v>
      </c>
      <c r="AE36" s="249">
        <v>0.99929999999999997</v>
      </c>
      <c r="AF36" s="249">
        <v>0.99929999999999997</v>
      </c>
      <c r="AG36" s="249">
        <v>0.99929999999999997</v>
      </c>
      <c r="AH36" s="249">
        <v>0.99929999999999997</v>
      </c>
      <c r="AI36" s="249">
        <v>0.99929999999999997</v>
      </c>
      <c r="AJ36" s="249">
        <v>0.99929999999999997</v>
      </c>
      <c r="AK36" s="249">
        <v>0.99929999999999997</v>
      </c>
      <c r="AL36" s="249">
        <v>0.99929999999999997</v>
      </c>
      <c r="AM36" s="249">
        <v>0.99929999999999997</v>
      </c>
      <c r="AN36" s="249">
        <v>0.99929999999999997</v>
      </c>
      <c r="AO36" s="249">
        <v>0.99929999999999997</v>
      </c>
      <c r="AP36" s="249">
        <v>0.99929999999999997</v>
      </c>
      <c r="AQ36" s="249">
        <v>0.99919999999999998</v>
      </c>
      <c r="AR36" s="249">
        <v>0.99919999999999998</v>
      </c>
      <c r="AS36" s="249">
        <v>0.99919999999999998</v>
      </c>
      <c r="AT36" s="249">
        <v>0.99919999999999998</v>
      </c>
      <c r="AU36" s="249">
        <v>0.99919999999999998</v>
      </c>
      <c r="AV36" s="249">
        <v>0.99919999999999998</v>
      </c>
      <c r="AW36" s="249">
        <v>0.99919999999999998</v>
      </c>
      <c r="AX36" s="249">
        <v>0.99919999999999998</v>
      </c>
      <c r="AY36" s="249">
        <v>0.99919999999999998</v>
      </c>
      <c r="AZ36" s="249">
        <v>0.99919999999999998</v>
      </c>
      <c r="BA36" s="251">
        <v>0.99919999999999998</v>
      </c>
    </row>
    <row r="37" spans="2:53" s="244" customFormat="1" ht="15.75" customHeight="1">
      <c r="B37" s="248">
        <v>62</v>
      </c>
      <c r="C37" s="249">
        <v>0.99919999999999998</v>
      </c>
      <c r="D37" s="249">
        <v>0.99919999999999998</v>
      </c>
      <c r="E37" s="249">
        <v>0.99919999999999998</v>
      </c>
      <c r="F37" s="249">
        <v>0.99919999999999998</v>
      </c>
      <c r="G37" s="249">
        <v>0.99919999999999998</v>
      </c>
      <c r="H37" s="249">
        <v>0.99919999999999998</v>
      </c>
      <c r="I37" s="249">
        <v>0.99919999999999998</v>
      </c>
      <c r="J37" s="249">
        <v>0.99919999999999998</v>
      </c>
      <c r="K37" s="249">
        <v>0.99919999999999998</v>
      </c>
      <c r="L37" s="249">
        <v>0.99919999999999998</v>
      </c>
      <c r="M37" s="249">
        <v>0.99919999999999998</v>
      </c>
      <c r="N37" s="249">
        <v>0.99919999999999998</v>
      </c>
      <c r="O37" s="249">
        <v>0.99919999999999998</v>
      </c>
      <c r="P37" s="249">
        <v>0.99909999999999999</v>
      </c>
      <c r="Q37" s="249">
        <v>0.99909999999999999</v>
      </c>
      <c r="R37" s="249">
        <v>0.99909999999999999</v>
      </c>
      <c r="S37" s="249">
        <v>0.99909999999999999</v>
      </c>
      <c r="T37" s="249">
        <v>0.99909999999999999</v>
      </c>
      <c r="U37" s="249">
        <v>0.99909999999999999</v>
      </c>
      <c r="V37" s="249">
        <v>0.99909999999999999</v>
      </c>
      <c r="W37" s="249">
        <v>0.99909999999999999</v>
      </c>
      <c r="X37" s="249">
        <v>0.99909999999999999</v>
      </c>
      <c r="Y37" s="249">
        <v>0.99909999999999999</v>
      </c>
      <c r="Z37" s="249">
        <v>0.99909999999999999</v>
      </c>
      <c r="AA37" s="249">
        <v>0.99909999999999999</v>
      </c>
      <c r="AB37" s="249">
        <v>0.99909999999999999</v>
      </c>
      <c r="AC37" s="249">
        <v>0.99909999999999999</v>
      </c>
      <c r="AD37" s="249">
        <v>0.99909999999999999</v>
      </c>
      <c r="AE37" s="249">
        <v>0.99909999999999999</v>
      </c>
      <c r="AF37" s="249">
        <v>0.99909999999999999</v>
      </c>
      <c r="AG37" s="249">
        <v>0.99909999999999999</v>
      </c>
      <c r="AH37" s="249">
        <v>0.999</v>
      </c>
      <c r="AI37" s="249">
        <v>0.999</v>
      </c>
      <c r="AJ37" s="249">
        <v>0.999</v>
      </c>
      <c r="AK37" s="249">
        <v>0.999</v>
      </c>
      <c r="AL37" s="249">
        <v>0.999</v>
      </c>
      <c r="AM37" s="249">
        <v>0.999</v>
      </c>
      <c r="AN37" s="249">
        <v>0.999</v>
      </c>
      <c r="AO37" s="249">
        <v>0.999</v>
      </c>
      <c r="AP37" s="249">
        <v>0.999</v>
      </c>
      <c r="AQ37" s="249">
        <v>0.999</v>
      </c>
      <c r="AR37" s="249">
        <v>0.999</v>
      </c>
      <c r="AS37" s="249">
        <v>0.999</v>
      </c>
      <c r="AT37" s="249">
        <v>0.999</v>
      </c>
      <c r="AU37" s="249">
        <v>0.999</v>
      </c>
      <c r="AV37" s="249">
        <v>0.999</v>
      </c>
      <c r="AW37" s="249">
        <v>0.999</v>
      </c>
      <c r="AX37" s="249">
        <v>0.999</v>
      </c>
      <c r="AY37" s="249">
        <v>0.99890000000000001</v>
      </c>
      <c r="AZ37" s="249">
        <v>0.99890000000000001</v>
      </c>
      <c r="BA37" s="251">
        <v>0.99890000000000001</v>
      </c>
    </row>
    <row r="38" spans="2:53" s="244" customFormat="1" ht="15.75" customHeight="1">
      <c r="B38" s="248">
        <v>62.5</v>
      </c>
      <c r="C38" s="249">
        <v>0.999</v>
      </c>
      <c r="D38" s="249">
        <v>0.999</v>
      </c>
      <c r="E38" s="249">
        <v>0.999</v>
      </c>
      <c r="F38" s="249">
        <v>0.999</v>
      </c>
      <c r="G38" s="249">
        <v>0.999</v>
      </c>
      <c r="H38" s="249">
        <v>0.999</v>
      </c>
      <c r="I38" s="249">
        <v>0.999</v>
      </c>
      <c r="J38" s="249">
        <v>0.999</v>
      </c>
      <c r="K38" s="249">
        <v>0.999</v>
      </c>
      <c r="L38" s="249">
        <v>0.999</v>
      </c>
      <c r="M38" s="249">
        <v>0.999</v>
      </c>
      <c r="N38" s="249">
        <v>0.99890000000000001</v>
      </c>
      <c r="O38" s="249">
        <v>0.99890000000000001</v>
      </c>
      <c r="P38" s="249">
        <v>0.99890000000000001</v>
      </c>
      <c r="Q38" s="249">
        <v>0.99890000000000001</v>
      </c>
      <c r="R38" s="249">
        <v>0.99890000000000001</v>
      </c>
      <c r="S38" s="249">
        <v>0.99890000000000001</v>
      </c>
      <c r="T38" s="249">
        <v>0.99890000000000001</v>
      </c>
      <c r="U38" s="249">
        <v>0.99890000000000001</v>
      </c>
      <c r="V38" s="249">
        <v>0.99890000000000001</v>
      </c>
      <c r="W38" s="249">
        <v>0.99890000000000001</v>
      </c>
      <c r="X38" s="249">
        <v>0.99890000000000001</v>
      </c>
      <c r="Y38" s="249">
        <v>0.99890000000000001</v>
      </c>
      <c r="Z38" s="249">
        <v>0.99890000000000001</v>
      </c>
      <c r="AA38" s="249">
        <v>0.99890000000000001</v>
      </c>
      <c r="AB38" s="249">
        <v>0.99890000000000001</v>
      </c>
      <c r="AC38" s="249">
        <v>0.99880000000000002</v>
      </c>
      <c r="AD38" s="249">
        <v>0.99880000000000002</v>
      </c>
      <c r="AE38" s="249">
        <v>0.99880000000000002</v>
      </c>
      <c r="AF38" s="249">
        <v>0.99880000000000002</v>
      </c>
      <c r="AG38" s="249">
        <v>0.99880000000000002</v>
      </c>
      <c r="AH38" s="249">
        <v>0.99880000000000002</v>
      </c>
      <c r="AI38" s="249">
        <v>0.99880000000000002</v>
      </c>
      <c r="AJ38" s="249">
        <v>0.99880000000000002</v>
      </c>
      <c r="AK38" s="249">
        <v>0.99880000000000002</v>
      </c>
      <c r="AL38" s="249">
        <v>0.99880000000000002</v>
      </c>
      <c r="AM38" s="249">
        <v>0.99880000000000002</v>
      </c>
      <c r="AN38" s="249">
        <v>0.99880000000000002</v>
      </c>
      <c r="AO38" s="249">
        <v>0.99880000000000002</v>
      </c>
      <c r="AP38" s="249">
        <v>0.99880000000000002</v>
      </c>
      <c r="AQ38" s="249">
        <v>0.99870000000000003</v>
      </c>
      <c r="AR38" s="249">
        <v>0.99870000000000003</v>
      </c>
      <c r="AS38" s="249">
        <v>0.99870000000000003</v>
      </c>
      <c r="AT38" s="249">
        <v>0.99870000000000003</v>
      </c>
      <c r="AU38" s="249">
        <v>0.99870000000000003</v>
      </c>
      <c r="AV38" s="249">
        <v>0.99870000000000003</v>
      </c>
      <c r="AW38" s="249">
        <v>0.99870000000000003</v>
      </c>
      <c r="AX38" s="249">
        <v>0.99870000000000003</v>
      </c>
      <c r="AY38" s="249">
        <v>0.99870000000000003</v>
      </c>
      <c r="AZ38" s="249">
        <v>0.99870000000000003</v>
      </c>
      <c r="BA38" s="251">
        <v>0.99870000000000003</v>
      </c>
    </row>
    <row r="39" spans="2:53" s="244" customFormat="1" ht="15.75" customHeight="1">
      <c r="B39" s="248">
        <v>63</v>
      </c>
      <c r="C39" s="249">
        <v>0.99880000000000002</v>
      </c>
      <c r="D39" s="249">
        <v>0.99880000000000002</v>
      </c>
      <c r="E39" s="249">
        <v>0.99880000000000002</v>
      </c>
      <c r="F39" s="249">
        <v>0.99880000000000002</v>
      </c>
      <c r="G39" s="249">
        <v>0.99880000000000002</v>
      </c>
      <c r="H39" s="249">
        <v>0.99880000000000002</v>
      </c>
      <c r="I39" s="249">
        <v>0.99880000000000002</v>
      </c>
      <c r="J39" s="249">
        <v>0.99880000000000002</v>
      </c>
      <c r="K39" s="249">
        <v>0.99880000000000002</v>
      </c>
      <c r="L39" s="249">
        <v>0.99880000000000002</v>
      </c>
      <c r="M39" s="249">
        <v>0.99870000000000003</v>
      </c>
      <c r="N39" s="249">
        <v>0.99870000000000003</v>
      </c>
      <c r="O39" s="249">
        <v>0.99870000000000003</v>
      </c>
      <c r="P39" s="249">
        <v>0.99870000000000003</v>
      </c>
      <c r="Q39" s="249">
        <v>0.99870000000000003</v>
      </c>
      <c r="R39" s="249">
        <v>0.99870000000000003</v>
      </c>
      <c r="S39" s="249">
        <v>0.99870000000000003</v>
      </c>
      <c r="T39" s="249">
        <v>0.99870000000000003</v>
      </c>
      <c r="U39" s="249">
        <v>0.99870000000000003</v>
      </c>
      <c r="V39" s="249">
        <v>0.99870000000000003</v>
      </c>
      <c r="W39" s="249">
        <v>0.99870000000000003</v>
      </c>
      <c r="X39" s="249">
        <v>0.99870000000000003</v>
      </c>
      <c r="Y39" s="249">
        <v>0.99860000000000004</v>
      </c>
      <c r="Z39" s="249">
        <v>0.99860000000000004</v>
      </c>
      <c r="AA39" s="249">
        <v>0.99860000000000004</v>
      </c>
      <c r="AB39" s="249">
        <v>0.99860000000000004</v>
      </c>
      <c r="AC39" s="249">
        <v>0.99860000000000004</v>
      </c>
      <c r="AD39" s="249">
        <v>0.99860000000000004</v>
      </c>
      <c r="AE39" s="249">
        <v>0.99860000000000004</v>
      </c>
      <c r="AF39" s="249">
        <v>0.99860000000000004</v>
      </c>
      <c r="AG39" s="249">
        <v>0.99860000000000004</v>
      </c>
      <c r="AH39" s="249">
        <v>0.99860000000000004</v>
      </c>
      <c r="AI39" s="249">
        <v>0.99860000000000004</v>
      </c>
      <c r="AJ39" s="249">
        <v>0.99860000000000004</v>
      </c>
      <c r="AK39" s="249">
        <v>0.99850000000000005</v>
      </c>
      <c r="AL39" s="249">
        <v>0.99850000000000005</v>
      </c>
      <c r="AM39" s="249">
        <v>0.99850000000000005</v>
      </c>
      <c r="AN39" s="249">
        <v>0.99850000000000005</v>
      </c>
      <c r="AO39" s="249">
        <v>0.99850000000000005</v>
      </c>
      <c r="AP39" s="249">
        <v>0.99850000000000005</v>
      </c>
      <c r="AQ39" s="249">
        <v>0.99850000000000005</v>
      </c>
      <c r="AR39" s="249">
        <v>0.99850000000000005</v>
      </c>
      <c r="AS39" s="249">
        <v>0.99850000000000005</v>
      </c>
      <c r="AT39" s="249">
        <v>0.99850000000000005</v>
      </c>
      <c r="AU39" s="249">
        <v>0.99850000000000005</v>
      </c>
      <c r="AV39" s="249">
        <v>0.99839999999999995</v>
      </c>
      <c r="AW39" s="249">
        <v>0.99839999999999995</v>
      </c>
      <c r="AX39" s="249">
        <v>0.99839999999999995</v>
      </c>
      <c r="AY39" s="249">
        <v>0.99839999999999995</v>
      </c>
      <c r="AZ39" s="249">
        <v>0.99839999999999995</v>
      </c>
      <c r="BA39" s="251">
        <v>0.99839999999999995</v>
      </c>
    </row>
    <row r="40" spans="2:53" s="244" customFormat="1" ht="15.75" customHeight="1">
      <c r="B40" s="248">
        <v>63.5</v>
      </c>
      <c r="C40" s="249">
        <v>0.99860000000000004</v>
      </c>
      <c r="D40" s="249">
        <v>0.99860000000000004</v>
      </c>
      <c r="E40" s="249">
        <v>0.99860000000000004</v>
      </c>
      <c r="F40" s="249">
        <v>0.99860000000000004</v>
      </c>
      <c r="G40" s="249">
        <v>0.99860000000000004</v>
      </c>
      <c r="H40" s="249">
        <v>0.99860000000000004</v>
      </c>
      <c r="I40" s="249">
        <v>0.99860000000000004</v>
      </c>
      <c r="J40" s="249">
        <v>0.99860000000000004</v>
      </c>
      <c r="K40" s="249">
        <v>0.99860000000000004</v>
      </c>
      <c r="L40" s="249">
        <v>0.99850000000000005</v>
      </c>
      <c r="M40" s="249">
        <v>0.99850000000000005</v>
      </c>
      <c r="N40" s="249">
        <v>0.99850000000000005</v>
      </c>
      <c r="O40" s="249">
        <v>0.99850000000000005</v>
      </c>
      <c r="P40" s="249">
        <v>0.99850000000000005</v>
      </c>
      <c r="Q40" s="249">
        <v>0.99850000000000005</v>
      </c>
      <c r="R40" s="249">
        <v>0.99850000000000005</v>
      </c>
      <c r="S40" s="249">
        <v>0.99850000000000005</v>
      </c>
      <c r="T40" s="249">
        <v>0.99850000000000005</v>
      </c>
      <c r="U40" s="249">
        <v>0.99850000000000005</v>
      </c>
      <c r="V40" s="249">
        <v>0.99850000000000005</v>
      </c>
      <c r="W40" s="249">
        <v>0.99839999999999995</v>
      </c>
      <c r="X40" s="249">
        <v>0.99839999999999995</v>
      </c>
      <c r="Y40" s="249">
        <v>0.99839999999999995</v>
      </c>
      <c r="Z40" s="249">
        <v>0.99839999999999995</v>
      </c>
      <c r="AA40" s="249">
        <v>0.99839999999999995</v>
      </c>
      <c r="AB40" s="249">
        <v>0.99839999999999995</v>
      </c>
      <c r="AC40" s="249">
        <v>0.99839999999999995</v>
      </c>
      <c r="AD40" s="249">
        <v>0.99839999999999995</v>
      </c>
      <c r="AE40" s="249">
        <v>0.99839999999999995</v>
      </c>
      <c r="AF40" s="249">
        <v>0.99839999999999995</v>
      </c>
      <c r="AG40" s="249">
        <v>0.99829999999999997</v>
      </c>
      <c r="AH40" s="249">
        <v>0.99829999999999997</v>
      </c>
      <c r="AI40" s="249">
        <v>0.99829999999999997</v>
      </c>
      <c r="AJ40" s="249">
        <v>0.99829999999999997</v>
      </c>
      <c r="AK40" s="249">
        <v>0.99829999999999997</v>
      </c>
      <c r="AL40" s="249">
        <v>0.99829999999999997</v>
      </c>
      <c r="AM40" s="249">
        <v>0.99829999999999997</v>
      </c>
      <c r="AN40" s="249">
        <v>0.99829999999999997</v>
      </c>
      <c r="AO40" s="249">
        <v>0.99829999999999997</v>
      </c>
      <c r="AP40" s="249">
        <v>0.99829999999999997</v>
      </c>
      <c r="AQ40" s="249">
        <v>0.99819999999999998</v>
      </c>
      <c r="AR40" s="249">
        <v>0.99819999999999998</v>
      </c>
      <c r="AS40" s="249">
        <v>0.99819999999999998</v>
      </c>
      <c r="AT40" s="249">
        <v>0.99819999999999998</v>
      </c>
      <c r="AU40" s="249">
        <v>0.99819999999999998</v>
      </c>
      <c r="AV40" s="249">
        <v>0.99819999999999998</v>
      </c>
      <c r="AW40" s="249">
        <v>0.99819999999999998</v>
      </c>
      <c r="AX40" s="249">
        <v>0.99819999999999998</v>
      </c>
      <c r="AY40" s="249">
        <v>0.99819999999999998</v>
      </c>
      <c r="AZ40" s="249">
        <v>0.99809999999999999</v>
      </c>
      <c r="BA40" s="251">
        <v>0.99809999999999999</v>
      </c>
    </row>
    <row r="41" spans="2:53" s="244" customFormat="1" ht="15.75" customHeight="1">
      <c r="B41" s="248">
        <v>64</v>
      </c>
      <c r="C41" s="249">
        <v>0.99839999999999995</v>
      </c>
      <c r="D41" s="249">
        <v>0.99839999999999995</v>
      </c>
      <c r="E41" s="249">
        <v>0.99839999999999995</v>
      </c>
      <c r="F41" s="249">
        <v>0.99839999999999995</v>
      </c>
      <c r="G41" s="249">
        <v>0.99839999999999995</v>
      </c>
      <c r="H41" s="249">
        <v>0.99839999999999995</v>
      </c>
      <c r="I41" s="249">
        <v>0.99839999999999995</v>
      </c>
      <c r="J41" s="249">
        <v>0.99839999999999995</v>
      </c>
      <c r="K41" s="249">
        <v>0.99829999999999997</v>
      </c>
      <c r="L41" s="249">
        <v>0.99829999999999997</v>
      </c>
      <c r="M41" s="249">
        <v>0.99829999999999997</v>
      </c>
      <c r="N41" s="249">
        <v>0.99829999999999997</v>
      </c>
      <c r="O41" s="249">
        <v>0.99829999999999997</v>
      </c>
      <c r="P41" s="249">
        <v>0.99829999999999997</v>
      </c>
      <c r="Q41" s="249">
        <v>0.99829999999999997</v>
      </c>
      <c r="R41" s="249">
        <v>0.99829999999999997</v>
      </c>
      <c r="S41" s="249">
        <v>0.99829999999999997</v>
      </c>
      <c r="T41" s="249">
        <v>0.99829999999999997</v>
      </c>
      <c r="U41" s="249">
        <v>0.99819999999999998</v>
      </c>
      <c r="V41" s="249">
        <v>0.99819999999999998</v>
      </c>
      <c r="W41" s="249">
        <v>0.99819999999999998</v>
      </c>
      <c r="X41" s="249">
        <v>0.99819999999999998</v>
      </c>
      <c r="Y41" s="249">
        <v>0.99819999999999998</v>
      </c>
      <c r="Z41" s="249">
        <v>0.99819999999999998</v>
      </c>
      <c r="AA41" s="249">
        <v>0.99819999999999998</v>
      </c>
      <c r="AB41" s="249">
        <v>0.99819999999999998</v>
      </c>
      <c r="AC41" s="249">
        <v>0.99819999999999998</v>
      </c>
      <c r="AD41" s="249">
        <v>0.99809999999999999</v>
      </c>
      <c r="AE41" s="249">
        <v>0.99809999999999999</v>
      </c>
      <c r="AF41" s="249">
        <v>0.99809999999999999</v>
      </c>
      <c r="AG41" s="249">
        <v>0.99809999999999999</v>
      </c>
      <c r="AH41" s="249">
        <v>0.99809999999999999</v>
      </c>
      <c r="AI41" s="249">
        <v>0.99809999999999999</v>
      </c>
      <c r="AJ41" s="249">
        <v>0.99809999999999999</v>
      </c>
      <c r="AK41" s="249">
        <v>0.99809999999999999</v>
      </c>
      <c r="AL41" s="249">
        <v>0.998</v>
      </c>
      <c r="AM41" s="249">
        <v>0.998</v>
      </c>
      <c r="AN41" s="249">
        <v>0.998</v>
      </c>
      <c r="AO41" s="249">
        <v>0.998</v>
      </c>
      <c r="AP41" s="249">
        <v>0.998</v>
      </c>
      <c r="AQ41" s="249">
        <v>0.998</v>
      </c>
      <c r="AR41" s="249">
        <v>0.998</v>
      </c>
      <c r="AS41" s="249">
        <v>0.998</v>
      </c>
      <c r="AT41" s="249">
        <v>0.998</v>
      </c>
      <c r="AU41" s="249">
        <v>0.99790000000000001</v>
      </c>
      <c r="AV41" s="249">
        <v>0.99790000000000001</v>
      </c>
      <c r="AW41" s="249">
        <v>0.99790000000000001</v>
      </c>
      <c r="AX41" s="249">
        <v>0.99790000000000001</v>
      </c>
      <c r="AY41" s="249">
        <v>0.99790000000000001</v>
      </c>
      <c r="AZ41" s="249">
        <v>0.99790000000000001</v>
      </c>
      <c r="BA41" s="251">
        <v>0.99790000000000001</v>
      </c>
    </row>
    <row r="42" spans="2:53" s="244" customFormat="1" ht="15.75" customHeight="1">
      <c r="B42" s="248">
        <v>64.5</v>
      </c>
      <c r="C42" s="249">
        <v>0.99819999999999998</v>
      </c>
      <c r="D42" s="249">
        <v>0.99819999999999998</v>
      </c>
      <c r="E42" s="249">
        <v>0.99819999999999998</v>
      </c>
      <c r="F42" s="249">
        <v>0.99819999999999998</v>
      </c>
      <c r="G42" s="249">
        <v>0.99819999999999998</v>
      </c>
      <c r="H42" s="249">
        <v>0.99819999999999998</v>
      </c>
      <c r="I42" s="249">
        <v>0.99819999999999998</v>
      </c>
      <c r="J42" s="249">
        <v>0.99819999999999998</v>
      </c>
      <c r="K42" s="249">
        <v>0.99809999999999999</v>
      </c>
      <c r="L42" s="249">
        <v>0.99809999999999999</v>
      </c>
      <c r="M42" s="249">
        <v>0.99809999999999999</v>
      </c>
      <c r="N42" s="249">
        <v>0.99809999999999999</v>
      </c>
      <c r="O42" s="249">
        <v>0.99809999999999999</v>
      </c>
      <c r="P42" s="249">
        <v>0.99809999999999999</v>
      </c>
      <c r="Q42" s="249">
        <v>0.99809999999999999</v>
      </c>
      <c r="R42" s="249">
        <v>0.99809999999999999</v>
      </c>
      <c r="S42" s="249">
        <v>0.998</v>
      </c>
      <c r="T42" s="249">
        <v>0.998</v>
      </c>
      <c r="U42" s="249">
        <v>0.998</v>
      </c>
      <c r="V42" s="249">
        <v>0.998</v>
      </c>
      <c r="W42" s="249">
        <v>0.998</v>
      </c>
      <c r="X42" s="249">
        <v>0.998</v>
      </c>
      <c r="Y42" s="249">
        <v>0.998</v>
      </c>
      <c r="Z42" s="249">
        <v>0.998</v>
      </c>
      <c r="AA42" s="249">
        <v>0.99790000000000001</v>
      </c>
      <c r="AB42" s="249">
        <v>0.99790000000000001</v>
      </c>
      <c r="AC42" s="249">
        <v>0.99790000000000001</v>
      </c>
      <c r="AD42" s="249">
        <v>0.99790000000000001</v>
      </c>
      <c r="AE42" s="249">
        <v>0.99790000000000001</v>
      </c>
      <c r="AF42" s="249">
        <v>0.99790000000000001</v>
      </c>
      <c r="AG42" s="249">
        <v>0.99790000000000001</v>
      </c>
      <c r="AH42" s="249">
        <v>0.99790000000000001</v>
      </c>
      <c r="AI42" s="249">
        <v>0.99780000000000002</v>
      </c>
      <c r="AJ42" s="249">
        <v>0.99780000000000002</v>
      </c>
      <c r="AK42" s="249">
        <v>0.99780000000000002</v>
      </c>
      <c r="AL42" s="249">
        <v>0.99780000000000002</v>
      </c>
      <c r="AM42" s="249">
        <v>0.99780000000000002</v>
      </c>
      <c r="AN42" s="249">
        <v>0.99780000000000002</v>
      </c>
      <c r="AO42" s="249">
        <v>0.99780000000000002</v>
      </c>
      <c r="AP42" s="249">
        <v>0.99780000000000002</v>
      </c>
      <c r="AQ42" s="249">
        <v>0.99770000000000003</v>
      </c>
      <c r="AR42" s="249">
        <v>0.99770000000000003</v>
      </c>
      <c r="AS42" s="249">
        <v>0.99770000000000003</v>
      </c>
      <c r="AT42" s="249">
        <v>0.99770000000000003</v>
      </c>
      <c r="AU42" s="249">
        <v>0.99770000000000003</v>
      </c>
      <c r="AV42" s="249">
        <v>0.99770000000000003</v>
      </c>
      <c r="AW42" s="249">
        <v>0.99770000000000003</v>
      </c>
      <c r="AX42" s="249">
        <v>0.99760000000000004</v>
      </c>
      <c r="AY42" s="249">
        <v>0.99760000000000004</v>
      </c>
      <c r="AZ42" s="249">
        <v>0.99760000000000004</v>
      </c>
      <c r="BA42" s="251">
        <v>0.99760000000000004</v>
      </c>
    </row>
    <row r="43" spans="2:53" s="244" customFormat="1" ht="15.75" customHeight="1">
      <c r="B43" s="248">
        <v>65</v>
      </c>
      <c r="C43" s="249">
        <v>0.998</v>
      </c>
      <c r="D43" s="249">
        <v>0.998</v>
      </c>
      <c r="E43" s="249">
        <v>0.998</v>
      </c>
      <c r="F43" s="249">
        <v>0.998</v>
      </c>
      <c r="G43" s="249">
        <v>0.998</v>
      </c>
      <c r="H43" s="249">
        <v>0.998</v>
      </c>
      <c r="I43" s="249">
        <v>0.998</v>
      </c>
      <c r="J43" s="249">
        <v>0.99790000000000001</v>
      </c>
      <c r="K43" s="249">
        <v>0.99790000000000001</v>
      </c>
      <c r="L43" s="249">
        <v>0.99790000000000001</v>
      </c>
      <c r="M43" s="249">
        <v>0.99790000000000001</v>
      </c>
      <c r="N43" s="249">
        <v>0.99790000000000001</v>
      </c>
      <c r="O43" s="249">
        <v>0.99790000000000001</v>
      </c>
      <c r="P43" s="249">
        <v>0.99790000000000001</v>
      </c>
      <c r="Q43" s="249">
        <v>0.99790000000000001</v>
      </c>
      <c r="R43" s="249">
        <v>0.99780000000000002</v>
      </c>
      <c r="S43" s="249">
        <v>0.99780000000000002</v>
      </c>
      <c r="T43" s="249">
        <v>0.99780000000000002</v>
      </c>
      <c r="U43" s="249">
        <v>0.99780000000000002</v>
      </c>
      <c r="V43" s="249">
        <v>0.99780000000000002</v>
      </c>
      <c r="W43" s="249">
        <v>0.99780000000000002</v>
      </c>
      <c r="X43" s="249">
        <v>0.99780000000000002</v>
      </c>
      <c r="Y43" s="249">
        <v>0.99770000000000003</v>
      </c>
      <c r="Z43" s="249">
        <v>0.99770000000000003</v>
      </c>
      <c r="AA43" s="249">
        <v>0.99770000000000003</v>
      </c>
      <c r="AB43" s="249">
        <v>0.99770000000000003</v>
      </c>
      <c r="AC43" s="249">
        <v>0.99770000000000003</v>
      </c>
      <c r="AD43" s="249">
        <v>0.99770000000000003</v>
      </c>
      <c r="AE43" s="249">
        <v>0.99770000000000003</v>
      </c>
      <c r="AF43" s="249">
        <v>0.99760000000000004</v>
      </c>
      <c r="AG43" s="249">
        <v>0.99760000000000004</v>
      </c>
      <c r="AH43" s="249">
        <v>0.99760000000000004</v>
      </c>
      <c r="AI43" s="249">
        <v>0.99760000000000004</v>
      </c>
      <c r="AJ43" s="249">
        <v>0.99760000000000004</v>
      </c>
      <c r="AK43" s="249">
        <v>0.99760000000000004</v>
      </c>
      <c r="AL43" s="249">
        <v>0.99760000000000004</v>
      </c>
      <c r="AM43" s="249">
        <v>0.99750000000000005</v>
      </c>
      <c r="AN43" s="249">
        <v>0.99750000000000005</v>
      </c>
      <c r="AO43" s="249">
        <v>0.99750000000000005</v>
      </c>
      <c r="AP43" s="249">
        <v>0.99750000000000005</v>
      </c>
      <c r="AQ43" s="249">
        <v>0.99750000000000005</v>
      </c>
      <c r="AR43" s="249">
        <v>0.99750000000000005</v>
      </c>
      <c r="AS43" s="249">
        <v>0.99750000000000005</v>
      </c>
      <c r="AT43" s="249">
        <v>0.99739999999999995</v>
      </c>
      <c r="AU43" s="249">
        <v>0.99739999999999995</v>
      </c>
      <c r="AV43" s="249">
        <v>0.99739999999999995</v>
      </c>
      <c r="AW43" s="249">
        <v>0.99739999999999995</v>
      </c>
      <c r="AX43" s="249">
        <v>0.99739999999999995</v>
      </c>
      <c r="AY43" s="249">
        <v>0.99739999999999995</v>
      </c>
      <c r="AZ43" s="249">
        <v>0.99739999999999995</v>
      </c>
      <c r="BA43" s="251">
        <v>0.99729999999999996</v>
      </c>
    </row>
    <row r="44" spans="2:53" s="244" customFormat="1" ht="15.75" customHeight="1">
      <c r="B44" s="248">
        <v>65.5</v>
      </c>
      <c r="C44" s="249">
        <v>0.99780000000000002</v>
      </c>
      <c r="D44" s="249">
        <v>0.99780000000000002</v>
      </c>
      <c r="E44" s="249">
        <v>0.99780000000000002</v>
      </c>
      <c r="F44" s="249">
        <v>0.99780000000000002</v>
      </c>
      <c r="G44" s="249">
        <v>0.99780000000000002</v>
      </c>
      <c r="H44" s="249">
        <v>0.99780000000000002</v>
      </c>
      <c r="I44" s="249">
        <v>0.99780000000000002</v>
      </c>
      <c r="J44" s="249">
        <v>0.99770000000000003</v>
      </c>
      <c r="K44" s="249">
        <v>0.99770000000000003</v>
      </c>
      <c r="L44" s="249">
        <v>0.99770000000000003</v>
      </c>
      <c r="M44" s="249">
        <v>0.99770000000000003</v>
      </c>
      <c r="N44" s="249">
        <v>0.99770000000000003</v>
      </c>
      <c r="O44" s="249">
        <v>0.99770000000000003</v>
      </c>
      <c r="P44" s="249">
        <v>0.99770000000000003</v>
      </c>
      <c r="Q44" s="249">
        <v>0.99760000000000004</v>
      </c>
      <c r="R44" s="249">
        <v>0.99760000000000004</v>
      </c>
      <c r="S44" s="249">
        <v>0.99760000000000004</v>
      </c>
      <c r="T44" s="249">
        <v>0.99760000000000004</v>
      </c>
      <c r="U44" s="249">
        <v>0.99760000000000004</v>
      </c>
      <c r="V44" s="249">
        <v>0.99760000000000004</v>
      </c>
      <c r="W44" s="249">
        <v>0.99750000000000005</v>
      </c>
      <c r="X44" s="249">
        <v>0.99750000000000005</v>
      </c>
      <c r="Y44" s="249">
        <v>0.99750000000000005</v>
      </c>
      <c r="Z44" s="249">
        <v>0.99750000000000005</v>
      </c>
      <c r="AA44" s="249">
        <v>0.99750000000000005</v>
      </c>
      <c r="AB44" s="249">
        <v>0.99750000000000005</v>
      </c>
      <c r="AC44" s="249">
        <v>0.99750000000000005</v>
      </c>
      <c r="AD44" s="249">
        <v>0.99739999999999995</v>
      </c>
      <c r="AE44" s="249">
        <v>0.99739999999999995</v>
      </c>
      <c r="AF44" s="249">
        <v>0.99739999999999995</v>
      </c>
      <c r="AG44" s="249">
        <v>0.99739999999999995</v>
      </c>
      <c r="AH44" s="249">
        <v>0.99739999999999995</v>
      </c>
      <c r="AI44" s="249">
        <v>0.99739999999999995</v>
      </c>
      <c r="AJ44" s="249">
        <v>0.99729999999999996</v>
      </c>
      <c r="AK44" s="249">
        <v>0.99729999999999996</v>
      </c>
      <c r="AL44" s="249">
        <v>0.99729999999999996</v>
      </c>
      <c r="AM44" s="249">
        <v>0.99729999999999996</v>
      </c>
      <c r="AN44" s="249">
        <v>0.99729999999999996</v>
      </c>
      <c r="AO44" s="249">
        <v>0.99729999999999996</v>
      </c>
      <c r="AP44" s="249">
        <v>0.99729999999999996</v>
      </c>
      <c r="AQ44" s="249">
        <v>0.99719999999999998</v>
      </c>
      <c r="AR44" s="249">
        <v>0.99719999999999998</v>
      </c>
      <c r="AS44" s="249">
        <v>0.99719999999999998</v>
      </c>
      <c r="AT44" s="249">
        <v>0.99719999999999998</v>
      </c>
      <c r="AU44" s="249">
        <v>0.99719999999999998</v>
      </c>
      <c r="AV44" s="249">
        <v>0.99719999999999998</v>
      </c>
      <c r="AW44" s="249">
        <v>0.99709999999999999</v>
      </c>
      <c r="AX44" s="249">
        <v>0.99709999999999999</v>
      </c>
      <c r="AY44" s="249">
        <v>0.99709999999999999</v>
      </c>
      <c r="AZ44" s="249">
        <v>0.99709999999999999</v>
      </c>
      <c r="BA44" s="251">
        <v>0.99709999999999999</v>
      </c>
    </row>
    <row r="45" spans="2:53" s="244" customFormat="1" ht="15.75" customHeight="1">
      <c r="B45" s="248">
        <v>66</v>
      </c>
      <c r="C45" s="249">
        <v>0.99760000000000004</v>
      </c>
      <c r="D45" s="249">
        <v>0.99760000000000004</v>
      </c>
      <c r="E45" s="249">
        <v>0.99760000000000004</v>
      </c>
      <c r="F45" s="249">
        <v>0.99760000000000004</v>
      </c>
      <c r="G45" s="249">
        <v>0.99760000000000004</v>
      </c>
      <c r="H45" s="249">
        <v>0.99760000000000004</v>
      </c>
      <c r="I45" s="249">
        <v>0.99760000000000004</v>
      </c>
      <c r="J45" s="249">
        <v>0.99750000000000005</v>
      </c>
      <c r="K45" s="249">
        <v>0.99750000000000005</v>
      </c>
      <c r="L45" s="249">
        <v>0.99750000000000005</v>
      </c>
      <c r="M45" s="249">
        <v>0.99750000000000005</v>
      </c>
      <c r="N45" s="249">
        <v>0.99750000000000005</v>
      </c>
      <c r="O45" s="249">
        <v>0.99750000000000005</v>
      </c>
      <c r="P45" s="249">
        <v>0.99739999999999995</v>
      </c>
      <c r="Q45" s="249">
        <v>0.99739999999999995</v>
      </c>
      <c r="R45" s="249">
        <v>0.99739999999999995</v>
      </c>
      <c r="S45" s="249">
        <v>0.99739999999999995</v>
      </c>
      <c r="T45" s="249">
        <v>0.99739999999999995</v>
      </c>
      <c r="U45" s="249">
        <v>0.99739999999999995</v>
      </c>
      <c r="V45" s="249">
        <v>0.99729999999999996</v>
      </c>
      <c r="W45" s="249">
        <v>0.99729999999999996</v>
      </c>
      <c r="X45" s="249">
        <v>0.99729999999999996</v>
      </c>
      <c r="Y45" s="249">
        <v>0.99729999999999996</v>
      </c>
      <c r="Z45" s="249">
        <v>0.99729999999999996</v>
      </c>
      <c r="AA45" s="249">
        <v>0.99729999999999996</v>
      </c>
      <c r="AB45" s="249">
        <v>0.99719999999999998</v>
      </c>
      <c r="AC45" s="249">
        <v>0.99719999999999998</v>
      </c>
      <c r="AD45" s="249">
        <v>0.99719999999999998</v>
      </c>
      <c r="AE45" s="249">
        <v>0.99719999999999998</v>
      </c>
      <c r="AF45" s="249">
        <v>0.99719999999999998</v>
      </c>
      <c r="AG45" s="249">
        <v>0.99719999999999998</v>
      </c>
      <c r="AH45" s="249">
        <v>0.99709999999999999</v>
      </c>
      <c r="AI45" s="249">
        <v>0.99709999999999999</v>
      </c>
      <c r="AJ45" s="249">
        <v>0.99709999999999999</v>
      </c>
      <c r="AK45" s="249">
        <v>0.99709999999999999</v>
      </c>
      <c r="AL45" s="249">
        <v>0.99709999999999999</v>
      </c>
      <c r="AM45" s="249">
        <v>0.99709999999999999</v>
      </c>
      <c r="AN45" s="249">
        <v>0.997</v>
      </c>
      <c r="AO45" s="249">
        <v>0.997</v>
      </c>
      <c r="AP45" s="249">
        <v>0.997</v>
      </c>
      <c r="AQ45" s="249">
        <v>0.997</v>
      </c>
      <c r="AR45" s="249">
        <v>0.997</v>
      </c>
      <c r="AS45" s="249">
        <v>0.99690000000000001</v>
      </c>
      <c r="AT45" s="249">
        <v>0.99690000000000001</v>
      </c>
      <c r="AU45" s="249">
        <v>0.99690000000000001</v>
      </c>
      <c r="AV45" s="249">
        <v>0.99690000000000001</v>
      </c>
      <c r="AW45" s="249">
        <v>0.99690000000000001</v>
      </c>
      <c r="AX45" s="249">
        <v>0.99690000000000001</v>
      </c>
      <c r="AY45" s="249">
        <v>0.99680000000000002</v>
      </c>
      <c r="AZ45" s="249">
        <v>0.99680000000000002</v>
      </c>
      <c r="BA45" s="251">
        <v>0.99680000000000002</v>
      </c>
    </row>
    <row r="46" spans="2:53" s="244" customFormat="1" ht="15.75" customHeight="1">
      <c r="B46" s="248">
        <v>66.5</v>
      </c>
      <c r="C46" s="249">
        <v>0.99750000000000005</v>
      </c>
      <c r="D46" s="249">
        <v>0.99739999999999995</v>
      </c>
      <c r="E46" s="249">
        <v>0.99739999999999995</v>
      </c>
      <c r="F46" s="249">
        <v>0.99739999999999995</v>
      </c>
      <c r="G46" s="249">
        <v>0.99739999999999995</v>
      </c>
      <c r="H46" s="249">
        <v>0.99739999999999995</v>
      </c>
      <c r="I46" s="249">
        <v>0.99729999999999996</v>
      </c>
      <c r="J46" s="249">
        <v>0.99729999999999996</v>
      </c>
      <c r="K46" s="249">
        <v>0.99729999999999996</v>
      </c>
      <c r="L46" s="249">
        <v>0.99729999999999996</v>
      </c>
      <c r="M46" s="249">
        <v>0.99729999999999996</v>
      </c>
      <c r="N46" s="249">
        <v>0.99729999999999996</v>
      </c>
      <c r="O46" s="249">
        <v>0.99719999999999998</v>
      </c>
      <c r="P46" s="249">
        <v>0.99719999999999998</v>
      </c>
      <c r="Q46" s="249">
        <v>0.99719999999999998</v>
      </c>
      <c r="R46" s="249">
        <v>0.99719999999999998</v>
      </c>
      <c r="S46" s="249">
        <v>0.99719999999999998</v>
      </c>
      <c r="T46" s="249">
        <v>0.99719999999999998</v>
      </c>
      <c r="U46" s="249">
        <v>0.99709999999999999</v>
      </c>
      <c r="V46" s="249">
        <v>0.99709999999999999</v>
      </c>
      <c r="W46" s="249">
        <v>0.99709999999999999</v>
      </c>
      <c r="X46" s="249">
        <v>0.99709999999999999</v>
      </c>
      <c r="Y46" s="249">
        <v>0.99709999999999999</v>
      </c>
      <c r="Z46" s="249">
        <v>0.997</v>
      </c>
      <c r="AA46" s="249">
        <v>0.997</v>
      </c>
      <c r="AB46" s="249">
        <v>0.997</v>
      </c>
      <c r="AC46" s="249">
        <v>0.997</v>
      </c>
      <c r="AD46" s="249">
        <v>0.997</v>
      </c>
      <c r="AE46" s="249">
        <v>0.997</v>
      </c>
      <c r="AF46" s="249">
        <v>0.99690000000000001</v>
      </c>
      <c r="AG46" s="249">
        <v>0.99690000000000001</v>
      </c>
      <c r="AH46" s="249">
        <v>0.99690000000000001</v>
      </c>
      <c r="AI46" s="249">
        <v>0.99690000000000001</v>
      </c>
      <c r="AJ46" s="249">
        <v>0.99690000000000001</v>
      </c>
      <c r="AK46" s="249">
        <v>0.99680000000000002</v>
      </c>
      <c r="AL46" s="249">
        <v>0.99680000000000002</v>
      </c>
      <c r="AM46" s="249">
        <v>0.99680000000000002</v>
      </c>
      <c r="AN46" s="249">
        <v>0.99680000000000002</v>
      </c>
      <c r="AO46" s="249">
        <v>0.99680000000000002</v>
      </c>
      <c r="AP46" s="249">
        <v>0.99680000000000002</v>
      </c>
      <c r="AQ46" s="249">
        <v>0.99670000000000003</v>
      </c>
      <c r="AR46" s="249">
        <v>0.99670000000000003</v>
      </c>
      <c r="AS46" s="249">
        <v>0.99670000000000003</v>
      </c>
      <c r="AT46" s="249">
        <v>0.99670000000000003</v>
      </c>
      <c r="AU46" s="249">
        <v>0.99670000000000003</v>
      </c>
      <c r="AV46" s="249">
        <v>0.99660000000000004</v>
      </c>
      <c r="AW46" s="249">
        <v>0.99660000000000004</v>
      </c>
      <c r="AX46" s="249">
        <v>0.99660000000000004</v>
      </c>
      <c r="AY46" s="249">
        <v>0.99660000000000004</v>
      </c>
      <c r="AZ46" s="249">
        <v>0.99660000000000004</v>
      </c>
      <c r="BA46" s="251">
        <v>0.99650000000000005</v>
      </c>
    </row>
    <row r="47" spans="2:53" s="244" customFormat="1" ht="15.75" customHeight="1">
      <c r="B47" s="248">
        <v>67</v>
      </c>
      <c r="C47" s="249">
        <v>0.99729999999999996</v>
      </c>
      <c r="D47" s="249">
        <v>0.99719999999999998</v>
      </c>
      <c r="E47" s="249">
        <v>0.99719999999999998</v>
      </c>
      <c r="F47" s="249">
        <v>0.99719999999999998</v>
      </c>
      <c r="G47" s="249">
        <v>0.99719999999999998</v>
      </c>
      <c r="H47" s="249">
        <v>0.99719999999999998</v>
      </c>
      <c r="I47" s="249">
        <v>0.99709999999999999</v>
      </c>
      <c r="J47" s="249">
        <v>0.99709999999999999</v>
      </c>
      <c r="K47" s="249">
        <v>0.99709999999999999</v>
      </c>
      <c r="L47" s="249">
        <v>0.99709999999999999</v>
      </c>
      <c r="M47" s="249">
        <v>0.99709999999999999</v>
      </c>
      <c r="N47" s="249">
        <v>0.99709999999999999</v>
      </c>
      <c r="O47" s="249">
        <v>0.997</v>
      </c>
      <c r="P47" s="249">
        <v>0.997</v>
      </c>
      <c r="Q47" s="249">
        <v>0.997</v>
      </c>
      <c r="R47" s="249">
        <v>0.997</v>
      </c>
      <c r="S47" s="249">
        <v>0.997</v>
      </c>
      <c r="T47" s="249">
        <v>0.99690000000000001</v>
      </c>
      <c r="U47" s="249">
        <v>0.99690000000000001</v>
      </c>
      <c r="V47" s="249">
        <v>0.99690000000000001</v>
      </c>
      <c r="W47" s="249">
        <v>0.99690000000000001</v>
      </c>
      <c r="X47" s="249">
        <v>0.99690000000000001</v>
      </c>
      <c r="Y47" s="249">
        <v>0.99680000000000002</v>
      </c>
      <c r="Z47" s="249">
        <v>0.99680000000000002</v>
      </c>
      <c r="AA47" s="249">
        <v>0.99680000000000002</v>
      </c>
      <c r="AB47" s="249">
        <v>0.99680000000000002</v>
      </c>
      <c r="AC47" s="249">
        <v>0.99680000000000002</v>
      </c>
      <c r="AD47" s="249">
        <v>0.99670000000000003</v>
      </c>
      <c r="AE47" s="249">
        <v>0.99670000000000003</v>
      </c>
      <c r="AF47" s="249">
        <v>0.99670000000000003</v>
      </c>
      <c r="AG47" s="249">
        <v>0.99670000000000003</v>
      </c>
      <c r="AH47" s="249">
        <v>0.99670000000000003</v>
      </c>
      <c r="AI47" s="249">
        <v>0.99660000000000004</v>
      </c>
      <c r="AJ47" s="249">
        <v>0.99660000000000004</v>
      </c>
      <c r="AK47" s="249">
        <v>0.99660000000000004</v>
      </c>
      <c r="AL47" s="249">
        <v>0.99660000000000004</v>
      </c>
      <c r="AM47" s="249">
        <v>0.99660000000000004</v>
      </c>
      <c r="AN47" s="249">
        <v>0.99650000000000005</v>
      </c>
      <c r="AO47" s="249">
        <v>0.99650000000000005</v>
      </c>
      <c r="AP47" s="249">
        <v>0.99650000000000005</v>
      </c>
      <c r="AQ47" s="249">
        <v>0.99650000000000005</v>
      </c>
      <c r="AR47" s="249">
        <v>0.99650000000000005</v>
      </c>
      <c r="AS47" s="249">
        <v>0.99639999999999995</v>
      </c>
      <c r="AT47" s="249">
        <v>0.99639999999999995</v>
      </c>
      <c r="AU47" s="249">
        <v>0.99639999999999995</v>
      </c>
      <c r="AV47" s="249">
        <v>0.99639999999999995</v>
      </c>
      <c r="AW47" s="249">
        <v>0.99639999999999995</v>
      </c>
      <c r="AX47" s="249">
        <v>0.99629999999999996</v>
      </c>
      <c r="AY47" s="249">
        <v>0.99629999999999996</v>
      </c>
      <c r="AZ47" s="249">
        <v>0.99629999999999996</v>
      </c>
      <c r="BA47" s="251">
        <v>0.99629999999999996</v>
      </c>
    </row>
    <row r="48" spans="2:53" s="244" customFormat="1" ht="15.75" customHeight="1">
      <c r="B48" s="248">
        <v>67.5</v>
      </c>
      <c r="C48" s="249">
        <v>0.99709999999999999</v>
      </c>
      <c r="D48" s="249">
        <v>0.997</v>
      </c>
      <c r="E48" s="249">
        <v>0.997</v>
      </c>
      <c r="F48" s="249">
        <v>0.997</v>
      </c>
      <c r="G48" s="249">
        <v>0.997</v>
      </c>
      <c r="H48" s="249">
        <v>0.997</v>
      </c>
      <c r="I48" s="249">
        <v>0.99690000000000001</v>
      </c>
      <c r="J48" s="249">
        <v>0.99690000000000001</v>
      </c>
      <c r="K48" s="249">
        <v>0.99690000000000001</v>
      </c>
      <c r="L48" s="249">
        <v>0.99690000000000001</v>
      </c>
      <c r="M48" s="249">
        <v>0.99690000000000001</v>
      </c>
      <c r="N48" s="249">
        <v>0.99680000000000002</v>
      </c>
      <c r="O48" s="249">
        <v>0.99680000000000002</v>
      </c>
      <c r="P48" s="249">
        <v>0.99680000000000002</v>
      </c>
      <c r="Q48" s="249">
        <v>0.99680000000000002</v>
      </c>
      <c r="R48" s="249">
        <v>0.99680000000000002</v>
      </c>
      <c r="S48" s="249">
        <v>0.99670000000000003</v>
      </c>
      <c r="T48" s="249">
        <v>0.99670000000000003</v>
      </c>
      <c r="U48" s="249">
        <v>0.99670000000000003</v>
      </c>
      <c r="V48" s="249">
        <v>0.99670000000000003</v>
      </c>
      <c r="W48" s="249">
        <v>0.99670000000000003</v>
      </c>
      <c r="X48" s="249">
        <v>0.99660000000000004</v>
      </c>
      <c r="Y48" s="249">
        <v>0.99660000000000004</v>
      </c>
      <c r="Z48" s="249">
        <v>0.99660000000000004</v>
      </c>
      <c r="AA48" s="249">
        <v>0.99660000000000004</v>
      </c>
      <c r="AB48" s="249">
        <v>0.99660000000000004</v>
      </c>
      <c r="AC48" s="249">
        <v>0.99650000000000005</v>
      </c>
      <c r="AD48" s="249">
        <v>0.99650000000000005</v>
      </c>
      <c r="AE48" s="249">
        <v>0.99650000000000005</v>
      </c>
      <c r="AF48" s="249">
        <v>0.99650000000000005</v>
      </c>
      <c r="AG48" s="249">
        <v>0.99639999999999995</v>
      </c>
      <c r="AH48" s="249">
        <v>0.99639999999999995</v>
      </c>
      <c r="AI48" s="249">
        <v>0.99639999999999995</v>
      </c>
      <c r="AJ48" s="249">
        <v>0.99639999999999995</v>
      </c>
      <c r="AK48" s="249">
        <v>0.99639999999999995</v>
      </c>
      <c r="AL48" s="249">
        <v>0.99629999999999996</v>
      </c>
      <c r="AM48" s="249">
        <v>0.99629999999999996</v>
      </c>
      <c r="AN48" s="249">
        <v>0.99629999999999996</v>
      </c>
      <c r="AO48" s="249">
        <v>0.99629999999999996</v>
      </c>
      <c r="AP48" s="249">
        <v>0.99629999999999996</v>
      </c>
      <c r="AQ48" s="249">
        <v>0.99619999999999997</v>
      </c>
      <c r="AR48" s="249">
        <v>0.99619999999999997</v>
      </c>
      <c r="AS48" s="249">
        <v>0.99619999999999997</v>
      </c>
      <c r="AT48" s="249">
        <v>0.99619999999999997</v>
      </c>
      <c r="AU48" s="249">
        <v>0.99609999999999999</v>
      </c>
      <c r="AV48" s="249">
        <v>0.99609999999999999</v>
      </c>
      <c r="AW48" s="249">
        <v>0.99609999999999999</v>
      </c>
      <c r="AX48" s="249">
        <v>0.99609999999999999</v>
      </c>
      <c r="AY48" s="249">
        <v>0.99609999999999999</v>
      </c>
      <c r="AZ48" s="249">
        <v>0.996</v>
      </c>
      <c r="BA48" s="251">
        <v>0.996</v>
      </c>
    </row>
    <row r="49" spans="2:53" s="244" customFormat="1" ht="15.75" customHeight="1">
      <c r="B49" s="248">
        <v>68</v>
      </c>
      <c r="C49" s="249">
        <v>0.99690000000000001</v>
      </c>
      <c r="D49" s="249">
        <v>0.99680000000000002</v>
      </c>
      <c r="E49" s="249">
        <v>0.99680000000000002</v>
      </c>
      <c r="F49" s="249">
        <v>0.99680000000000002</v>
      </c>
      <c r="G49" s="249">
        <v>0.99680000000000002</v>
      </c>
      <c r="H49" s="249">
        <v>0.99680000000000002</v>
      </c>
      <c r="I49" s="249">
        <v>0.99670000000000003</v>
      </c>
      <c r="J49" s="249">
        <v>0.99670000000000003</v>
      </c>
      <c r="K49" s="249">
        <v>0.99670000000000003</v>
      </c>
      <c r="L49" s="249">
        <v>0.99670000000000003</v>
      </c>
      <c r="M49" s="249">
        <v>0.99670000000000003</v>
      </c>
      <c r="N49" s="249">
        <v>0.99660000000000004</v>
      </c>
      <c r="O49" s="249">
        <v>0.99660000000000004</v>
      </c>
      <c r="P49" s="249">
        <v>0.99660000000000004</v>
      </c>
      <c r="Q49" s="249">
        <v>0.99660000000000004</v>
      </c>
      <c r="R49" s="249">
        <v>0.99650000000000005</v>
      </c>
      <c r="S49" s="249">
        <v>0.99650000000000005</v>
      </c>
      <c r="T49" s="249">
        <v>0.99650000000000005</v>
      </c>
      <c r="U49" s="249">
        <v>0.99650000000000005</v>
      </c>
      <c r="V49" s="249">
        <v>0.99650000000000005</v>
      </c>
      <c r="W49" s="249">
        <v>0.99639999999999995</v>
      </c>
      <c r="X49" s="249">
        <v>0.99639999999999995</v>
      </c>
      <c r="Y49" s="249">
        <v>0.99639999999999995</v>
      </c>
      <c r="Z49" s="249">
        <v>0.99639999999999995</v>
      </c>
      <c r="AA49" s="249">
        <v>0.99629999999999996</v>
      </c>
      <c r="AB49" s="249">
        <v>0.99629999999999996</v>
      </c>
      <c r="AC49" s="249">
        <v>0.99629999999999996</v>
      </c>
      <c r="AD49" s="249">
        <v>0.99629999999999996</v>
      </c>
      <c r="AE49" s="249">
        <v>0.99629999999999996</v>
      </c>
      <c r="AF49" s="249">
        <v>0.99619999999999997</v>
      </c>
      <c r="AG49" s="249">
        <v>0.99619999999999997</v>
      </c>
      <c r="AH49" s="249">
        <v>0.99619999999999997</v>
      </c>
      <c r="AI49" s="249">
        <v>0.99619999999999997</v>
      </c>
      <c r="AJ49" s="249">
        <v>0.99609999999999999</v>
      </c>
      <c r="AK49" s="249">
        <v>0.99609999999999999</v>
      </c>
      <c r="AL49" s="249">
        <v>0.99609999999999999</v>
      </c>
      <c r="AM49" s="249">
        <v>0.99609999999999999</v>
      </c>
      <c r="AN49" s="249">
        <v>0.996</v>
      </c>
      <c r="AO49" s="249">
        <v>0.996</v>
      </c>
      <c r="AP49" s="249">
        <v>0.996</v>
      </c>
      <c r="AQ49" s="249">
        <v>0.996</v>
      </c>
      <c r="AR49" s="249">
        <v>0.996</v>
      </c>
      <c r="AS49" s="249">
        <v>0.99590000000000001</v>
      </c>
      <c r="AT49" s="249">
        <v>0.99590000000000001</v>
      </c>
      <c r="AU49" s="249">
        <v>0.99590000000000001</v>
      </c>
      <c r="AV49" s="249">
        <v>0.99590000000000001</v>
      </c>
      <c r="AW49" s="249">
        <v>0.99580000000000002</v>
      </c>
      <c r="AX49" s="249">
        <v>0.99580000000000002</v>
      </c>
      <c r="AY49" s="249">
        <v>0.99580000000000002</v>
      </c>
      <c r="AZ49" s="249">
        <v>0.99580000000000002</v>
      </c>
      <c r="BA49" s="251">
        <v>0.99570000000000003</v>
      </c>
    </row>
    <row r="50" spans="2:53" s="244" customFormat="1" ht="15.75" customHeight="1">
      <c r="B50" s="248">
        <v>68.5</v>
      </c>
      <c r="C50" s="249">
        <v>0.99670000000000003</v>
      </c>
      <c r="D50" s="249">
        <v>0.99660000000000004</v>
      </c>
      <c r="E50" s="249">
        <v>0.99660000000000004</v>
      </c>
      <c r="F50" s="249">
        <v>0.99660000000000004</v>
      </c>
      <c r="G50" s="249">
        <v>0.99660000000000004</v>
      </c>
      <c r="H50" s="249">
        <v>0.99660000000000004</v>
      </c>
      <c r="I50" s="249">
        <v>0.99650000000000005</v>
      </c>
      <c r="J50" s="249">
        <v>0.99650000000000005</v>
      </c>
      <c r="K50" s="249">
        <v>0.99650000000000005</v>
      </c>
      <c r="L50" s="249">
        <v>0.99650000000000005</v>
      </c>
      <c r="M50" s="249">
        <v>0.99639999999999995</v>
      </c>
      <c r="N50" s="249">
        <v>0.99639999999999995</v>
      </c>
      <c r="O50" s="249">
        <v>0.99639999999999995</v>
      </c>
      <c r="P50" s="249">
        <v>0.99639999999999995</v>
      </c>
      <c r="Q50" s="249">
        <v>0.99639999999999995</v>
      </c>
      <c r="R50" s="249">
        <v>0.99629999999999996</v>
      </c>
      <c r="S50" s="249">
        <v>0.99629999999999996</v>
      </c>
      <c r="T50" s="249">
        <v>0.99629999999999996</v>
      </c>
      <c r="U50" s="249">
        <v>0.99629999999999996</v>
      </c>
      <c r="V50" s="249">
        <v>0.99619999999999997</v>
      </c>
      <c r="W50" s="249">
        <v>0.99619999999999997</v>
      </c>
      <c r="X50" s="249">
        <v>0.99619999999999997</v>
      </c>
      <c r="Y50" s="249">
        <v>0.99619999999999997</v>
      </c>
      <c r="Z50" s="249">
        <v>0.99609999999999999</v>
      </c>
      <c r="AA50" s="249">
        <v>0.99609999999999999</v>
      </c>
      <c r="AB50" s="249">
        <v>0.99609999999999999</v>
      </c>
      <c r="AC50" s="249">
        <v>0.99609999999999999</v>
      </c>
      <c r="AD50" s="249">
        <v>0.996</v>
      </c>
      <c r="AE50" s="249">
        <v>0.996</v>
      </c>
      <c r="AF50" s="249">
        <v>0.996</v>
      </c>
      <c r="AG50" s="249">
        <v>0.996</v>
      </c>
      <c r="AH50" s="249">
        <v>0.99590000000000001</v>
      </c>
      <c r="AI50" s="249">
        <v>0.99590000000000001</v>
      </c>
      <c r="AJ50" s="249">
        <v>0.99590000000000001</v>
      </c>
      <c r="AK50" s="249">
        <v>0.99590000000000001</v>
      </c>
      <c r="AL50" s="249">
        <v>0.99590000000000001</v>
      </c>
      <c r="AM50" s="249">
        <v>0.99580000000000002</v>
      </c>
      <c r="AN50" s="249">
        <v>0.99580000000000002</v>
      </c>
      <c r="AO50" s="249">
        <v>0.99580000000000002</v>
      </c>
      <c r="AP50" s="249">
        <v>0.99580000000000002</v>
      </c>
      <c r="AQ50" s="249">
        <v>0.99570000000000003</v>
      </c>
      <c r="AR50" s="249">
        <v>0.99570000000000003</v>
      </c>
      <c r="AS50" s="249">
        <v>0.99570000000000003</v>
      </c>
      <c r="AT50" s="249">
        <v>0.99570000000000003</v>
      </c>
      <c r="AU50" s="249">
        <v>0.99560000000000004</v>
      </c>
      <c r="AV50" s="249">
        <v>0.99560000000000004</v>
      </c>
      <c r="AW50" s="249">
        <v>0.99560000000000004</v>
      </c>
      <c r="AX50" s="249">
        <v>0.99560000000000004</v>
      </c>
      <c r="AY50" s="249">
        <v>0.99550000000000005</v>
      </c>
      <c r="AZ50" s="249">
        <v>0.99550000000000005</v>
      </c>
      <c r="BA50" s="251">
        <v>0.99550000000000005</v>
      </c>
    </row>
    <row r="51" spans="2:53" s="244" customFormat="1" ht="15.75" customHeight="1">
      <c r="B51" s="248">
        <v>69</v>
      </c>
      <c r="C51" s="249">
        <v>0.99650000000000005</v>
      </c>
      <c r="D51" s="249">
        <v>0.99639999999999995</v>
      </c>
      <c r="E51" s="249">
        <v>0.99639999999999995</v>
      </c>
      <c r="F51" s="249">
        <v>0.99639999999999995</v>
      </c>
      <c r="G51" s="249">
        <v>0.99639999999999995</v>
      </c>
      <c r="H51" s="249">
        <v>0.99639999999999995</v>
      </c>
      <c r="I51" s="249">
        <v>0.99629999999999996</v>
      </c>
      <c r="J51" s="249">
        <v>0.99629999999999996</v>
      </c>
      <c r="K51" s="249">
        <v>0.99629999999999996</v>
      </c>
      <c r="L51" s="249">
        <v>0.99629999999999996</v>
      </c>
      <c r="M51" s="249">
        <v>0.99619999999999997</v>
      </c>
      <c r="N51" s="249">
        <v>0.99619999999999997</v>
      </c>
      <c r="O51" s="249">
        <v>0.99619999999999997</v>
      </c>
      <c r="P51" s="249">
        <v>0.99619999999999997</v>
      </c>
      <c r="Q51" s="249">
        <v>0.99609999999999999</v>
      </c>
      <c r="R51" s="249">
        <v>0.99609999999999999</v>
      </c>
      <c r="S51" s="249">
        <v>0.99609999999999999</v>
      </c>
      <c r="T51" s="249">
        <v>0.99609999999999999</v>
      </c>
      <c r="U51" s="249">
        <v>0.996</v>
      </c>
      <c r="V51" s="249">
        <v>0.996</v>
      </c>
      <c r="W51" s="249">
        <v>0.996</v>
      </c>
      <c r="X51" s="249">
        <v>0.996</v>
      </c>
      <c r="Y51" s="249">
        <v>0.99590000000000001</v>
      </c>
      <c r="Z51" s="249">
        <v>0.99590000000000001</v>
      </c>
      <c r="AA51" s="249">
        <v>0.99590000000000001</v>
      </c>
      <c r="AB51" s="249">
        <v>0.99590000000000001</v>
      </c>
      <c r="AC51" s="249">
        <v>0.99580000000000002</v>
      </c>
      <c r="AD51" s="249">
        <v>0.99580000000000002</v>
      </c>
      <c r="AE51" s="249">
        <v>0.99580000000000002</v>
      </c>
      <c r="AF51" s="249">
        <v>0.99580000000000002</v>
      </c>
      <c r="AG51" s="249">
        <v>0.99570000000000003</v>
      </c>
      <c r="AH51" s="249">
        <v>0.99570000000000003</v>
      </c>
      <c r="AI51" s="249">
        <v>0.99570000000000003</v>
      </c>
      <c r="AJ51" s="249">
        <v>0.99570000000000003</v>
      </c>
      <c r="AK51" s="249">
        <v>0.99560000000000004</v>
      </c>
      <c r="AL51" s="249">
        <v>0.99560000000000004</v>
      </c>
      <c r="AM51" s="249">
        <v>0.99560000000000004</v>
      </c>
      <c r="AN51" s="249">
        <v>0.99560000000000004</v>
      </c>
      <c r="AO51" s="249">
        <v>0.99550000000000005</v>
      </c>
      <c r="AP51" s="249">
        <v>0.99550000000000005</v>
      </c>
      <c r="AQ51" s="249">
        <v>0.99550000000000005</v>
      </c>
      <c r="AR51" s="249">
        <v>0.99539999999999995</v>
      </c>
      <c r="AS51" s="249">
        <v>0.99539999999999995</v>
      </c>
      <c r="AT51" s="249">
        <v>0.99539999999999995</v>
      </c>
      <c r="AU51" s="249">
        <v>0.99539999999999995</v>
      </c>
      <c r="AV51" s="249">
        <v>0.99529999999999996</v>
      </c>
      <c r="AW51" s="249">
        <v>0.99529999999999996</v>
      </c>
      <c r="AX51" s="249">
        <v>0.99529999999999996</v>
      </c>
      <c r="AY51" s="249">
        <v>0.99529999999999996</v>
      </c>
      <c r="AZ51" s="249">
        <v>0.99519999999999997</v>
      </c>
      <c r="BA51" s="251">
        <v>0.99519999999999997</v>
      </c>
    </row>
    <row r="52" spans="2:53" s="244" customFormat="1" ht="15.75" customHeight="1">
      <c r="B52" s="248">
        <v>69.5</v>
      </c>
      <c r="C52" s="249">
        <v>0.99629999999999996</v>
      </c>
      <c r="D52" s="249">
        <v>0.99619999999999997</v>
      </c>
      <c r="E52" s="249">
        <v>0.99619999999999997</v>
      </c>
      <c r="F52" s="249">
        <v>0.99619999999999997</v>
      </c>
      <c r="G52" s="249">
        <v>0.99619999999999997</v>
      </c>
      <c r="H52" s="249">
        <v>0.99619999999999997</v>
      </c>
      <c r="I52" s="249">
        <v>0.99609999999999999</v>
      </c>
      <c r="J52" s="249">
        <v>0.99609999999999999</v>
      </c>
      <c r="K52" s="249">
        <v>0.99609999999999999</v>
      </c>
      <c r="L52" s="249">
        <v>0.996</v>
      </c>
      <c r="M52" s="249">
        <v>0.996</v>
      </c>
      <c r="N52" s="249">
        <v>0.996</v>
      </c>
      <c r="O52" s="249">
        <v>0.996</v>
      </c>
      <c r="P52" s="249">
        <v>0.99590000000000001</v>
      </c>
      <c r="Q52" s="249">
        <v>0.99590000000000001</v>
      </c>
      <c r="R52" s="249">
        <v>0.99590000000000001</v>
      </c>
      <c r="S52" s="249">
        <v>0.99590000000000001</v>
      </c>
      <c r="T52" s="249">
        <v>0.99580000000000002</v>
      </c>
      <c r="U52" s="249">
        <v>0.99580000000000002</v>
      </c>
      <c r="V52" s="249">
        <v>0.99580000000000002</v>
      </c>
      <c r="W52" s="249">
        <v>0.99580000000000002</v>
      </c>
      <c r="X52" s="249">
        <v>0.99570000000000003</v>
      </c>
      <c r="Y52" s="249">
        <v>0.99570000000000003</v>
      </c>
      <c r="Z52" s="249">
        <v>0.99570000000000003</v>
      </c>
      <c r="AA52" s="249">
        <v>0.99570000000000003</v>
      </c>
      <c r="AB52" s="249">
        <v>0.99560000000000004</v>
      </c>
      <c r="AC52" s="249">
        <v>0.99560000000000004</v>
      </c>
      <c r="AD52" s="249">
        <v>0.99560000000000004</v>
      </c>
      <c r="AE52" s="249">
        <v>0.99560000000000004</v>
      </c>
      <c r="AF52" s="249">
        <v>0.99550000000000005</v>
      </c>
      <c r="AG52" s="249">
        <v>0.99550000000000005</v>
      </c>
      <c r="AH52" s="249">
        <v>0.99550000000000005</v>
      </c>
      <c r="AI52" s="249">
        <v>0.99539999999999995</v>
      </c>
      <c r="AJ52" s="249">
        <v>0.99539999999999995</v>
      </c>
      <c r="AK52" s="249">
        <v>0.99539999999999995</v>
      </c>
      <c r="AL52" s="249">
        <v>0.99539999999999995</v>
      </c>
      <c r="AM52" s="249">
        <v>0.99529999999999996</v>
      </c>
      <c r="AN52" s="249">
        <v>0.99529999999999996</v>
      </c>
      <c r="AO52" s="249">
        <v>0.99529999999999996</v>
      </c>
      <c r="AP52" s="249">
        <v>0.99529999999999996</v>
      </c>
      <c r="AQ52" s="249">
        <v>0.99519999999999997</v>
      </c>
      <c r="AR52" s="249">
        <v>0.99519999999999997</v>
      </c>
      <c r="AS52" s="249">
        <v>0.99519999999999997</v>
      </c>
      <c r="AT52" s="249">
        <v>0.99509999999999998</v>
      </c>
      <c r="AU52" s="249">
        <v>0.99509999999999998</v>
      </c>
      <c r="AV52" s="249">
        <v>0.99509999999999998</v>
      </c>
      <c r="AW52" s="249">
        <v>0.99509999999999998</v>
      </c>
      <c r="AX52" s="249">
        <v>0.995</v>
      </c>
      <c r="AY52" s="249">
        <v>0.995</v>
      </c>
      <c r="AZ52" s="249">
        <v>0.995</v>
      </c>
      <c r="BA52" s="251">
        <v>0.99490000000000001</v>
      </c>
    </row>
    <row r="53" spans="2:53" s="244" customFormat="1" ht="15.75" customHeight="1">
      <c r="B53" s="248">
        <v>70</v>
      </c>
      <c r="C53" s="249">
        <v>0.99609999999999999</v>
      </c>
      <c r="D53" s="249">
        <v>0.99609999999999999</v>
      </c>
      <c r="E53" s="249">
        <v>0.99609999999999999</v>
      </c>
      <c r="F53" s="249">
        <v>0.99609999999999999</v>
      </c>
      <c r="G53" s="249">
        <v>0.99609999999999999</v>
      </c>
      <c r="H53" s="249">
        <v>0.99590000000000001</v>
      </c>
      <c r="I53" s="249">
        <v>0.99590000000000001</v>
      </c>
      <c r="J53" s="249">
        <v>0.99590000000000001</v>
      </c>
      <c r="K53" s="249">
        <v>0.99590000000000001</v>
      </c>
      <c r="L53" s="249">
        <v>0.99580000000000002</v>
      </c>
      <c r="M53" s="249">
        <v>0.99580000000000002</v>
      </c>
      <c r="N53" s="249">
        <v>0.99580000000000002</v>
      </c>
      <c r="O53" s="249">
        <v>0.99580000000000002</v>
      </c>
      <c r="P53" s="249">
        <v>0.99570000000000003</v>
      </c>
      <c r="Q53" s="249">
        <v>0.99570000000000003</v>
      </c>
      <c r="R53" s="249">
        <v>0.99570000000000003</v>
      </c>
      <c r="S53" s="249">
        <v>0.99570000000000003</v>
      </c>
      <c r="T53" s="249">
        <v>0.99560000000000004</v>
      </c>
      <c r="U53" s="249">
        <v>0.99560000000000004</v>
      </c>
      <c r="V53" s="249">
        <v>0.99560000000000004</v>
      </c>
      <c r="W53" s="249">
        <v>0.99550000000000005</v>
      </c>
      <c r="X53" s="249">
        <v>0.99550000000000005</v>
      </c>
      <c r="Y53" s="249">
        <v>0.99550000000000005</v>
      </c>
      <c r="Z53" s="249">
        <v>0.99550000000000005</v>
      </c>
      <c r="AA53" s="249">
        <v>0.99539999999999995</v>
      </c>
      <c r="AB53" s="249">
        <v>0.99539999999999995</v>
      </c>
      <c r="AC53" s="249">
        <v>0.99539999999999995</v>
      </c>
      <c r="AD53" s="249">
        <v>0.99529999999999996</v>
      </c>
      <c r="AE53" s="249">
        <v>0.99529999999999996</v>
      </c>
      <c r="AF53" s="249">
        <v>0.99529999999999996</v>
      </c>
      <c r="AG53" s="249">
        <v>0.99529999999999996</v>
      </c>
      <c r="AH53" s="249">
        <v>0.99519999999999997</v>
      </c>
      <c r="AI53" s="249">
        <v>0.99519999999999997</v>
      </c>
      <c r="AJ53" s="249">
        <v>0.99519999999999997</v>
      </c>
      <c r="AK53" s="249">
        <v>0.99509999999999998</v>
      </c>
      <c r="AL53" s="249">
        <v>0.99509999999999998</v>
      </c>
      <c r="AM53" s="249">
        <v>0.99509999999999998</v>
      </c>
      <c r="AN53" s="249">
        <v>0.99509999999999998</v>
      </c>
      <c r="AO53" s="249">
        <v>0.995</v>
      </c>
      <c r="AP53" s="249">
        <v>0.995</v>
      </c>
      <c r="AQ53" s="249">
        <v>0.995</v>
      </c>
      <c r="AR53" s="249">
        <v>0.99490000000000001</v>
      </c>
      <c r="AS53" s="249">
        <v>0.99490000000000001</v>
      </c>
      <c r="AT53" s="249">
        <v>0.99490000000000001</v>
      </c>
      <c r="AU53" s="249">
        <v>0.99490000000000001</v>
      </c>
      <c r="AV53" s="249">
        <v>0.99480000000000002</v>
      </c>
      <c r="AW53" s="249">
        <v>0.99480000000000002</v>
      </c>
      <c r="AX53" s="249">
        <v>0.99480000000000002</v>
      </c>
      <c r="AY53" s="249">
        <v>0.99470000000000003</v>
      </c>
      <c r="AZ53" s="249">
        <v>0.99470000000000003</v>
      </c>
      <c r="BA53" s="251">
        <v>0.99470000000000003</v>
      </c>
    </row>
    <row r="54" spans="2:53" s="244" customFormat="1" ht="15.75" customHeight="1">
      <c r="B54" s="248">
        <v>70.5</v>
      </c>
      <c r="C54" s="249">
        <v>0.99590000000000001</v>
      </c>
      <c r="D54" s="249">
        <v>0.99590000000000001</v>
      </c>
      <c r="E54" s="249">
        <v>0.99590000000000001</v>
      </c>
      <c r="F54" s="249">
        <v>0.99590000000000001</v>
      </c>
      <c r="G54" s="249">
        <v>0.99590000000000001</v>
      </c>
      <c r="H54" s="249">
        <v>0.99570000000000003</v>
      </c>
      <c r="I54" s="249">
        <v>0.99570000000000003</v>
      </c>
      <c r="J54" s="249">
        <v>0.99570000000000003</v>
      </c>
      <c r="K54" s="249">
        <v>0.99570000000000003</v>
      </c>
      <c r="L54" s="249">
        <v>0.99560000000000004</v>
      </c>
      <c r="M54" s="249">
        <v>0.99560000000000004</v>
      </c>
      <c r="N54" s="249">
        <v>0.99560000000000004</v>
      </c>
      <c r="O54" s="249">
        <v>0.99550000000000005</v>
      </c>
      <c r="P54" s="249">
        <v>0.99550000000000005</v>
      </c>
      <c r="Q54" s="249">
        <v>0.99550000000000005</v>
      </c>
      <c r="R54" s="249">
        <v>0.99550000000000005</v>
      </c>
      <c r="S54" s="249">
        <v>0.99539999999999995</v>
      </c>
      <c r="T54" s="249">
        <v>0.99539999999999995</v>
      </c>
      <c r="U54" s="249">
        <v>0.99539999999999995</v>
      </c>
      <c r="V54" s="249">
        <v>0.99529999999999996</v>
      </c>
      <c r="W54" s="249">
        <v>0.99529999999999996</v>
      </c>
      <c r="X54" s="249">
        <v>0.99529999999999996</v>
      </c>
      <c r="Y54" s="249">
        <v>0.99529999999999996</v>
      </c>
      <c r="Z54" s="249">
        <v>0.99519999999999997</v>
      </c>
      <c r="AA54" s="249">
        <v>0.99519999999999997</v>
      </c>
      <c r="AB54" s="249">
        <v>0.99519999999999997</v>
      </c>
      <c r="AC54" s="249">
        <v>0.99509999999999998</v>
      </c>
      <c r="AD54" s="249">
        <v>0.99509999999999998</v>
      </c>
      <c r="AE54" s="249">
        <v>0.99509999999999998</v>
      </c>
      <c r="AF54" s="249">
        <v>0.99509999999999998</v>
      </c>
      <c r="AG54" s="249">
        <v>0.995</v>
      </c>
      <c r="AH54" s="249">
        <v>0.995</v>
      </c>
      <c r="AI54" s="249">
        <v>0.995</v>
      </c>
      <c r="AJ54" s="249">
        <v>0.99490000000000001</v>
      </c>
      <c r="AK54" s="249">
        <v>0.99490000000000001</v>
      </c>
      <c r="AL54" s="249">
        <v>0.99490000000000001</v>
      </c>
      <c r="AM54" s="249">
        <v>0.99480000000000002</v>
      </c>
      <c r="AN54" s="249">
        <v>0.99480000000000002</v>
      </c>
      <c r="AO54" s="249">
        <v>0.99480000000000002</v>
      </c>
      <c r="AP54" s="249">
        <v>0.99480000000000002</v>
      </c>
      <c r="AQ54" s="249">
        <v>0.99470000000000003</v>
      </c>
      <c r="AR54" s="249">
        <v>0.99470000000000003</v>
      </c>
      <c r="AS54" s="249">
        <v>0.99470000000000003</v>
      </c>
      <c r="AT54" s="249">
        <v>0.99460000000000004</v>
      </c>
      <c r="AU54" s="249">
        <v>0.99460000000000004</v>
      </c>
      <c r="AV54" s="249">
        <v>0.99460000000000004</v>
      </c>
      <c r="AW54" s="249">
        <v>0.99450000000000005</v>
      </c>
      <c r="AX54" s="249">
        <v>0.99450000000000005</v>
      </c>
      <c r="AY54" s="249">
        <v>0.99450000000000005</v>
      </c>
      <c r="AZ54" s="249">
        <v>0.99439999999999995</v>
      </c>
      <c r="BA54" s="251">
        <v>0.99439999999999995</v>
      </c>
    </row>
    <row r="55" spans="2:53" s="244" customFormat="1" ht="15.75" customHeight="1">
      <c r="B55" s="248">
        <v>71</v>
      </c>
      <c r="C55" s="249">
        <v>0.99570000000000003</v>
      </c>
      <c r="D55" s="249">
        <v>0.99570000000000003</v>
      </c>
      <c r="E55" s="249">
        <v>0.99570000000000003</v>
      </c>
      <c r="F55" s="249">
        <v>0.99570000000000003</v>
      </c>
      <c r="G55" s="249">
        <v>0.99570000000000003</v>
      </c>
      <c r="H55" s="249">
        <v>0.99550000000000005</v>
      </c>
      <c r="I55" s="249">
        <v>0.99550000000000005</v>
      </c>
      <c r="J55" s="249">
        <v>0.99550000000000005</v>
      </c>
      <c r="K55" s="249">
        <v>0.99550000000000005</v>
      </c>
      <c r="L55" s="249">
        <v>0.99539999999999995</v>
      </c>
      <c r="M55" s="249">
        <v>0.99539999999999995</v>
      </c>
      <c r="N55" s="249">
        <v>0.99539999999999995</v>
      </c>
      <c r="O55" s="249">
        <v>0.99529999999999996</v>
      </c>
      <c r="P55" s="249">
        <v>0.99529999999999996</v>
      </c>
      <c r="Q55" s="249">
        <v>0.99529999999999996</v>
      </c>
      <c r="R55" s="249">
        <v>0.99519999999999997</v>
      </c>
      <c r="S55" s="249">
        <v>0.99519999999999997</v>
      </c>
      <c r="T55" s="249">
        <v>0.99519999999999997</v>
      </c>
      <c r="U55" s="249">
        <v>0.99519999999999997</v>
      </c>
      <c r="V55" s="249">
        <v>0.99509999999999998</v>
      </c>
      <c r="W55" s="249">
        <v>0.99509999999999998</v>
      </c>
      <c r="X55" s="249">
        <v>0.99509999999999998</v>
      </c>
      <c r="Y55" s="249">
        <v>0.995</v>
      </c>
      <c r="Z55" s="249">
        <v>0.995</v>
      </c>
      <c r="AA55" s="249">
        <v>0.995</v>
      </c>
      <c r="AB55" s="249">
        <v>0.99490000000000001</v>
      </c>
      <c r="AC55" s="249">
        <v>0.99490000000000001</v>
      </c>
      <c r="AD55" s="249">
        <v>0.99490000000000001</v>
      </c>
      <c r="AE55" s="249">
        <v>0.99480000000000002</v>
      </c>
      <c r="AF55" s="249">
        <v>0.99480000000000002</v>
      </c>
      <c r="AG55" s="249">
        <v>0.99480000000000002</v>
      </c>
      <c r="AH55" s="249">
        <v>0.99480000000000002</v>
      </c>
      <c r="AI55" s="249">
        <v>0.99470000000000003</v>
      </c>
      <c r="AJ55" s="249">
        <v>0.99470000000000003</v>
      </c>
      <c r="AK55" s="249">
        <v>0.99470000000000003</v>
      </c>
      <c r="AL55" s="249">
        <v>0.99460000000000004</v>
      </c>
      <c r="AM55" s="249">
        <v>0.99460000000000004</v>
      </c>
      <c r="AN55" s="249">
        <v>0.99460000000000004</v>
      </c>
      <c r="AO55" s="249">
        <v>0.99450000000000005</v>
      </c>
      <c r="AP55" s="249">
        <v>0.99450000000000005</v>
      </c>
      <c r="AQ55" s="249">
        <v>0.99450000000000005</v>
      </c>
      <c r="AR55" s="249">
        <v>0.99439999999999995</v>
      </c>
      <c r="AS55" s="249">
        <v>0.99439999999999995</v>
      </c>
      <c r="AT55" s="249">
        <v>0.99439999999999995</v>
      </c>
      <c r="AU55" s="249">
        <v>0.99429999999999996</v>
      </c>
      <c r="AV55" s="249">
        <v>0.99429999999999996</v>
      </c>
      <c r="AW55" s="249">
        <v>0.99429999999999996</v>
      </c>
      <c r="AX55" s="249">
        <v>0.99419999999999997</v>
      </c>
      <c r="AY55" s="249">
        <v>0.99419999999999997</v>
      </c>
      <c r="AZ55" s="249">
        <v>0.99419999999999997</v>
      </c>
      <c r="BA55" s="251">
        <v>0.99409999999999998</v>
      </c>
    </row>
    <row r="56" spans="2:53" s="244" customFormat="1" ht="15.75" customHeight="1">
      <c r="B56" s="248">
        <v>71.5</v>
      </c>
      <c r="C56" s="249">
        <v>0.99550000000000005</v>
      </c>
      <c r="D56" s="249">
        <v>0.99550000000000005</v>
      </c>
      <c r="E56" s="249">
        <v>0.99550000000000005</v>
      </c>
      <c r="F56" s="249">
        <v>0.99550000000000005</v>
      </c>
      <c r="G56" s="249">
        <v>0.99550000000000005</v>
      </c>
      <c r="H56" s="249">
        <v>0.99529999999999996</v>
      </c>
      <c r="I56" s="249">
        <v>0.99529999999999996</v>
      </c>
      <c r="J56" s="249">
        <v>0.99529999999999996</v>
      </c>
      <c r="K56" s="249">
        <v>0.99519999999999997</v>
      </c>
      <c r="L56" s="249">
        <v>0.99519999999999997</v>
      </c>
      <c r="M56" s="249">
        <v>0.99519999999999997</v>
      </c>
      <c r="N56" s="249">
        <v>0.99519999999999997</v>
      </c>
      <c r="O56" s="249">
        <v>0.99509999999999998</v>
      </c>
      <c r="P56" s="249">
        <v>0.99509999999999998</v>
      </c>
      <c r="Q56" s="249">
        <v>0.99509999999999998</v>
      </c>
      <c r="R56" s="249">
        <v>0.995</v>
      </c>
      <c r="S56" s="249">
        <v>0.995</v>
      </c>
      <c r="T56" s="249">
        <v>0.995</v>
      </c>
      <c r="U56" s="249">
        <v>0.99490000000000001</v>
      </c>
      <c r="V56" s="249">
        <v>0.99490000000000001</v>
      </c>
      <c r="W56" s="249">
        <v>0.99490000000000001</v>
      </c>
      <c r="X56" s="249">
        <v>0.99480000000000002</v>
      </c>
      <c r="Y56" s="249">
        <v>0.99480000000000002</v>
      </c>
      <c r="Z56" s="249">
        <v>0.99480000000000002</v>
      </c>
      <c r="AA56" s="249">
        <v>0.99470000000000003</v>
      </c>
      <c r="AB56" s="249">
        <v>0.99470000000000003</v>
      </c>
      <c r="AC56" s="249">
        <v>0.99470000000000003</v>
      </c>
      <c r="AD56" s="249">
        <v>0.99460000000000004</v>
      </c>
      <c r="AE56" s="249">
        <v>0.99460000000000004</v>
      </c>
      <c r="AF56" s="249">
        <v>0.99460000000000004</v>
      </c>
      <c r="AG56" s="249">
        <v>0.99450000000000005</v>
      </c>
      <c r="AH56" s="249">
        <v>0.99450000000000005</v>
      </c>
      <c r="AI56" s="249">
        <v>0.99450000000000005</v>
      </c>
      <c r="AJ56" s="249">
        <v>0.99450000000000005</v>
      </c>
      <c r="AK56" s="249">
        <v>0.99439999999999995</v>
      </c>
      <c r="AL56" s="249">
        <v>0.99439999999999995</v>
      </c>
      <c r="AM56" s="249">
        <v>0.99439999999999995</v>
      </c>
      <c r="AN56" s="249">
        <v>0.99429999999999996</v>
      </c>
      <c r="AO56" s="249">
        <v>0.99429999999999996</v>
      </c>
      <c r="AP56" s="249">
        <v>0.99429999999999996</v>
      </c>
      <c r="AQ56" s="249">
        <v>0.99419999999999997</v>
      </c>
      <c r="AR56" s="249">
        <v>0.99419999999999997</v>
      </c>
      <c r="AS56" s="249">
        <v>0.99409999999999998</v>
      </c>
      <c r="AT56" s="249">
        <v>0.99409999999999998</v>
      </c>
      <c r="AU56" s="249">
        <v>0.99409999999999998</v>
      </c>
      <c r="AV56" s="249">
        <v>0.99399999999999999</v>
      </c>
      <c r="AW56" s="249">
        <v>0.99399999999999999</v>
      </c>
      <c r="AX56" s="249">
        <v>0.99399999999999999</v>
      </c>
      <c r="AY56" s="249">
        <v>0.99390000000000001</v>
      </c>
      <c r="AZ56" s="249">
        <v>0.99390000000000001</v>
      </c>
      <c r="BA56" s="251">
        <v>0.99390000000000001</v>
      </c>
    </row>
    <row r="57" spans="2:53" s="244" customFormat="1" ht="15.75" customHeight="1">
      <c r="B57" s="248">
        <v>72</v>
      </c>
      <c r="C57" s="249">
        <v>0.99529999999999996</v>
      </c>
      <c r="D57" s="249">
        <v>0.99529999999999996</v>
      </c>
      <c r="E57" s="249">
        <v>0.99519999999999997</v>
      </c>
      <c r="F57" s="249">
        <v>0.99519999999999997</v>
      </c>
      <c r="G57" s="249">
        <v>0.99519999999999997</v>
      </c>
      <c r="H57" s="249">
        <v>0.99509999999999998</v>
      </c>
      <c r="I57" s="249">
        <v>0.99509999999999998</v>
      </c>
      <c r="J57" s="249">
        <v>0.99509999999999998</v>
      </c>
      <c r="K57" s="249">
        <v>0.995</v>
      </c>
      <c r="L57" s="249">
        <v>0.995</v>
      </c>
      <c r="M57" s="249">
        <v>0.995</v>
      </c>
      <c r="N57" s="249">
        <v>0.99490000000000001</v>
      </c>
      <c r="O57" s="249">
        <v>0.99490000000000001</v>
      </c>
      <c r="P57" s="249">
        <v>0.99490000000000001</v>
      </c>
      <c r="Q57" s="249">
        <v>0.99480000000000002</v>
      </c>
      <c r="R57" s="249">
        <v>0.99480000000000002</v>
      </c>
      <c r="S57" s="249">
        <v>0.99480000000000002</v>
      </c>
      <c r="T57" s="249">
        <v>0.99470000000000003</v>
      </c>
      <c r="U57" s="249">
        <v>0.99470000000000003</v>
      </c>
      <c r="V57" s="249">
        <v>0.99470000000000003</v>
      </c>
      <c r="W57" s="249">
        <v>0.99460000000000004</v>
      </c>
      <c r="X57" s="249">
        <v>0.99460000000000004</v>
      </c>
      <c r="Y57" s="249">
        <v>0.99460000000000004</v>
      </c>
      <c r="Z57" s="249">
        <v>0.99450000000000005</v>
      </c>
      <c r="AA57" s="249">
        <v>0.99450000000000005</v>
      </c>
      <c r="AB57" s="249">
        <v>0.99450000000000005</v>
      </c>
      <c r="AC57" s="249">
        <v>0.99439999999999995</v>
      </c>
      <c r="AD57" s="249">
        <v>0.99439999999999995</v>
      </c>
      <c r="AE57" s="249">
        <v>0.99439999999999995</v>
      </c>
      <c r="AF57" s="249">
        <v>0.99429999999999996</v>
      </c>
      <c r="AG57" s="249">
        <v>0.99429999999999996</v>
      </c>
      <c r="AH57" s="249">
        <v>0.99429999999999996</v>
      </c>
      <c r="AI57" s="249">
        <v>0.99419999999999997</v>
      </c>
      <c r="AJ57" s="249">
        <v>0.99419999999999997</v>
      </c>
      <c r="AK57" s="249">
        <v>0.99419999999999997</v>
      </c>
      <c r="AL57" s="249">
        <v>0.99409999999999998</v>
      </c>
      <c r="AM57" s="249">
        <v>0.99409999999999998</v>
      </c>
      <c r="AN57" s="249">
        <v>0.99409999999999998</v>
      </c>
      <c r="AO57" s="249">
        <v>0.99399999999999999</v>
      </c>
      <c r="AP57" s="249">
        <v>0.99399999999999999</v>
      </c>
      <c r="AQ57" s="249">
        <v>0.99399999999999999</v>
      </c>
      <c r="AR57" s="249">
        <v>0.99390000000000001</v>
      </c>
      <c r="AS57" s="249">
        <v>0.99390000000000001</v>
      </c>
      <c r="AT57" s="249">
        <v>0.99390000000000001</v>
      </c>
      <c r="AU57" s="249">
        <v>0.99380000000000002</v>
      </c>
      <c r="AV57" s="249">
        <v>0.99380000000000002</v>
      </c>
      <c r="AW57" s="249">
        <v>0.99380000000000002</v>
      </c>
      <c r="AX57" s="249">
        <v>0.99370000000000003</v>
      </c>
      <c r="AY57" s="249">
        <v>0.99370000000000003</v>
      </c>
      <c r="AZ57" s="249">
        <v>0.99360000000000004</v>
      </c>
      <c r="BA57" s="251">
        <v>0.99360000000000004</v>
      </c>
    </row>
    <row r="58" spans="2:53" s="244" customFormat="1" ht="15.75" customHeight="1">
      <c r="B58" s="248">
        <v>72.5</v>
      </c>
      <c r="C58" s="249">
        <v>0.99509999999999998</v>
      </c>
      <c r="D58" s="249">
        <v>0.99509999999999998</v>
      </c>
      <c r="E58" s="249">
        <v>0.995</v>
      </c>
      <c r="F58" s="249">
        <v>0.995</v>
      </c>
      <c r="G58" s="249">
        <v>0.995</v>
      </c>
      <c r="H58" s="249">
        <v>0.99490000000000001</v>
      </c>
      <c r="I58" s="249">
        <v>0.99490000000000001</v>
      </c>
      <c r="J58" s="249">
        <v>0.99490000000000001</v>
      </c>
      <c r="K58" s="249">
        <v>0.99480000000000002</v>
      </c>
      <c r="L58" s="249">
        <v>0.99480000000000002</v>
      </c>
      <c r="M58" s="249">
        <v>0.99480000000000002</v>
      </c>
      <c r="N58" s="249">
        <v>0.99470000000000003</v>
      </c>
      <c r="O58" s="249">
        <v>0.99470000000000003</v>
      </c>
      <c r="P58" s="249">
        <v>0.99470000000000003</v>
      </c>
      <c r="Q58" s="249">
        <v>0.99460000000000004</v>
      </c>
      <c r="R58" s="249">
        <v>0.99460000000000004</v>
      </c>
      <c r="S58" s="249">
        <v>0.99460000000000004</v>
      </c>
      <c r="T58" s="249">
        <v>0.99450000000000005</v>
      </c>
      <c r="U58" s="249">
        <v>0.99450000000000005</v>
      </c>
      <c r="V58" s="249">
        <v>0.99450000000000005</v>
      </c>
      <c r="W58" s="249">
        <v>0.99439999999999995</v>
      </c>
      <c r="X58" s="249">
        <v>0.99439999999999995</v>
      </c>
      <c r="Y58" s="249">
        <v>0.99439999999999995</v>
      </c>
      <c r="Z58" s="249">
        <v>0.99429999999999996</v>
      </c>
      <c r="AA58" s="249">
        <v>0.99429999999999996</v>
      </c>
      <c r="AB58" s="249">
        <v>0.99429999999999996</v>
      </c>
      <c r="AC58" s="249">
        <v>0.99419999999999997</v>
      </c>
      <c r="AD58" s="249">
        <v>0.99419999999999997</v>
      </c>
      <c r="AE58" s="249">
        <v>0.99409999999999998</v>
      </c>
      <c r="AF58" s="249">
        <v>0.99409999999999998</v>
      </c>
      <c r="AG58" s="249">
        <v>0.99409999999999998</v>
      </c>
      <c r="AH58" s="249">
        <v>0.99399999999999999</v>
      </c>
      <c r="AI58" s="249">
        <v>0.99399999999999999</v>
      </c>
      <c r="AJ58" s="249">
        <v>0.99399999999999999</v>
      </c>
      <c r="AK58" s="249">
        <v>0.99390000000000001</v>
      </c>
      <c r="AL58" s="249">
        <v>0.99390000000000001</v>
      </c>
      <c r="AM58" s="249">
        <v>0.99390000000000001</v>
      </c>
      <c r="AN58" s="249">
        <v>0.99380000000000002</v>
      </c>
      <c r="AO58" s="249">
        <v>0.99380000000000002</v>
      </c>
      <c r="AP58" s="249">
        <v>0.99370000000000003</v>
      </c>
      <c r="AQ58" s="249">
        <v>0.99370000000000003</v>
      </c>
      <c r="AR58" s="249">
        <v>0.99370000000000003</v>
      </c>
      <c r="AS58" s="249">
        <v>0.99360000000000004</v>
      </c>
      <c r="AT58" s="249">
        <v>0.99360000000000004</v>
      </c>
      <c r="AU58" s="249">
        <v>0.99360000000000004</v>
      </c>
      <c r="AV58" s="249">
        <v>0.99350000000000005</v>
      </c>
      <c r="AW58" s="249">
        <v>0.99350000000000005</v>
      </c>
      <c r="AX58" s="249">
        <v>0.99350000000000005</v>
      </c>
      <c r="AY58" s="249">
        <v>0.99339999999999995</v>
      </c>
      <c r="AZ58" s="249">
        <v>0.99339999999999995</v>
      </c>
      <c r="BA58" s="251">
        <v>0.99329999999999996</v>
      </c>
    </row>
    <row r="59" spans="2:53" s="244" customFormat="1" ht="15.75" customHeight="1">
      <c r="B59" s="248">
        <v>73</v>
      </c>
      <c r="C59" s="249">
        <v>0.99490000000000001</v>
      </c>
      <c r="D59" s="249">
        <v>0.99490000000000001</v>
      </c>
      <c r="E59" s="249">
        <v>0.99480000000000002</v>
      </c>
      <c r="F59" s="249">
        <v>0.99480000000000002</v>
      </c>
      <c r="G59" s="249">
        <v>0.99480000000000002</v>
      </c>
      <c r="H59" s="249">
        <v>0.99470000000000003</v>
      </c>
      <c r="I59" s="249">
        <v>0.99470000000000003</v>
      </c>
      <c r="J59" s="249">
        <v>0.99470000000000003</v>
      </c>
      <c r="K59" s="249">
        <v>0.99460000000000004</v>
      </c>
      <c r="L59" s="249">
        <v>0.99460000000000004</v>
      </c>
      <c r="M59" s="249">
        <v>0.99460000000000004</v>
      </c>
      <c r="N59" s="249">
        <v>0.99450000000000005</v>
      </c>
      <c r="O59" s="249">
        <v>0.99450000000000005</v>
      </c>
      <c r="P59" s="249">
        <v>0.99450000000000005</v>
      </c>
      <c r="Q59" s="249">
        <v>0.99439999999999995</v>
      </c>
      <c r="R59" s="249">
        <v>0.99439999999999995</v>
      </c>
      <c r="S59" s="249">
        <v>0.99429999999999996</v>
      </c>
      <c r="T59" s="249">
        <v>0.99429999999999996</v>
      </c>
      <c r="U59" s="249">
        <v>0.99429999999999996</v>
      </c>
      <c r="V59" s="249">
        <v>0.99419999999999997</v>
      </c>
      <c r="W59" s="249">
        <v>0.99419999999999997</v>
      </c>
      <c r="X59" s="249">
        <v>0.99419999999999997</v>
      </c>
      <c r="Y59" s="249">
        <v>0.99409999999999998</v>
      </c>
      <c r="Z59" s="249">
        <v>0.99409999999999998</v>
      </c>
      <c r="AA59" s="249">
        <v>0.99409999999999998</v>
      </c>
      <c r="AB59" s="249">
        <v>0.99399999999999999</v>
      </c>
      <c r="AC59" s="249">
        <v>0.99399999999999999</v>
      </c>
      <c r="AD59" s="249">
        <v>0.99390000000000001</v>
      </c>
      <c r="AE59" s="249">
        <v>0.99390000000000001</v>
      </c>
      <c r="AF59" s="249">
        <v>0.99390000000000001</v>
      </c>
      <c r="AG59" s="249">
        <v>0.99380000000000002</v>
      </c>
      <c r="AH59" s="249">
        <v>0.99380000000000002</v>
      </c>
      <c r="AI59" s="249">
        <v>0.99380000000000002</v>
      </c>
      <c r="AJ59" s="249">
        <v>0.99370000000000003</v>
      </c>
      <c r="AK59" s="249">
        <v>0.99370000000000003</v>
      </c>
      <c r="AL59" s="249">
        <v>0.99370000000000003</v>
      </c>
      <c r="AM59" s="249">
        <v>0.99360000000000004</v>
      </c>
      <c r="AN59" s="249">
        <v>0.99360000000000004</v>
      </c>
      <c r="AO59" s="249">
        <v>0.99350000000000005</v>
      </c>
      <c r="AP59" s="249">
        <v>0.99350000000000005</v>
      </c>
      <c r="AQ59" s="249">
        <v>0.99350000000000005</v>
      </c>
      <c r="AR59" s="249">
        <v>0.99339999999999995</v>
      </c>
      <c r="AS59" s="249">
        <v>0.99339999999999995</v>
      </c>
      <c r="AT59" s="249">
        <v>0.99329999999999996</v>
      </c>
      <c r="AU59" s="249">
        <v>0.99329999999999996</v>
      </c>
      <c r="AV59" s="249">
        <v>0.99329999999999996</v>
      </c>
      <c r="AW59" s="249">
        <v>0.99319999999999997</v>
      </c>
      <c r="AX59" s="249">
        <v>0.99319999999999997</v>
      </c>
      <c r="AY59" s="249">
        <v>0.99319999999999997</v>
      </c>
      <c r="AZ59" s="249">
        <v>0.99309999999999998</v>
      </c>
      <c r="BA59" s="251">
        <v>0.99309999999999998</v>
      </c>
    </row>
    <row r="60" spans="2:53" s="244" customFormat="1" ht="15.75" customHeight="1">
      <c r="B60" s="248">
        <v>73.5</v>
      </c>
      <c r="C60" s="249">
        <v>0.99470000000000003</v>
      </c>
      <c r="D60" s="249">
        <v>0.99470000000000003</v>
      </c>
      <c r="E60" s="249">
        <v>0.99460000000000004</v>
      </c>
      <c r="F60" s="249">
        <v>0.99460000000000004</v>
      </c>
      <c r="G60" s="249">
        <v>0.99460000000000004</v>
      </c>
      <c r="H60" s="249">
        <v>0.99450000000000005</v>
      </c>
      <c r="I60" s="249">
        <v>0.99450000000000005</v>
      </c>
      <c r="J60" s="249">
        <v>0.99450000000000005</v>
      </c>
      <c r="K60" s="249">
        <v>0.99439999999999995</v>
      </c>
      <c r="L60" s="249">
        <v>0.99439999999999995</v>
      </c>
      <c r="M60" s="249">
        <v>0.99429999999999996</v>
      </c>
      <c r="N60" s="249">
        <v>0.99429999999999996</v>
      </c>
      <c r="O60" s="249">
        <v>0.99429999999999996</v>
      </c>
      <c r="P60" s="249">
        <v>0.99419999999999997</v>
      </c>
      <c r="Q60" s="249">
        <v>0.99419999999999997</v>
      </c>
      <c r="R60" s="249">
        <v>0.99419999999999997</v>
      </c>
      <c r="S60" s="249">
        <v>0.99409999999999998</v>
      </c>
      <c r="T60" s="249">
        <v>0.99409999999999998</v>
      </c>
      <c r="U60" s="249">
        <v>0.99409999999999998</v>
      </c>
      <c r="V60" s="249">
        <v>0.99399999999999999</v>
      </c>
      <c r="W60" s="249">
        <v>0.99399999999999999</v>
      </c>
      <c r="X60" s="249">
        <v>0.99390000000000001</v>
      </c>
      <c r="Y60" s="249">
        <v>0.99390000000000001</v>
      </c>
      <c r="Z60" s="249">
        <v>0.99390000000000001</v>
      </c>
      <c r="AA60" s="249">
        <v>0.99380000000000002</v>
      </c>
      <c r="AB60" s="249">
        <v>0.99380000000000002</v>
      </c>
      <c r="AC60" s="249">
        <v>0.99380000000000002</v>
      </c>
      <c r="AD60" s="249">
        <v>0.99370000000000003</v>
      </c>
      <c r="AE60" s="249">
        <v>0.99370000000000003</v>
      </c>
      <c r="AF60" s="249">
        <v>0.99360000000000004</v>
      </c>
      <c r="AG60" s="249">
        <v>0.99360000000000004</v>
      </c>
      <c r="AH60" s="249">
        <v>0.99360000000000004</v>
      </c>
      <c r="AI60" s="249">
        <v>0.99350000000000005</v>
      </c>
      <c r="AJ60" s="249">
        <v>0.99350000000000005</v>
      </c>
      <c r="AK60" s="249">
        <v>0.99339999999999995</v>
      </c>
      <c r="AL60" s="249">
        <v>0.99339999999999995</v>
      </c>
      <c r="AM60" s="249">
        <v>0.99339999999999995</v>
      </c>
      <c r="AN60" s="249">
        <v>0.99329999999999996</v>
      </c>
      <c r="AO60" s="249">
        <v>0.99329999999999996</v>
      </c>
      <c r="AP60" s="249">
        <v>0.99319999999999997</v>
      </c>
      <c r="AQ60" s="249">
        <v>0.99319999999999997</v>
      </c>
      <c r="AR60" s="249">
        <v>0.99319999999999997</v>
      </c>
      <c r="AS60" s="249">
        <v>0.99309999999999998</v>
      </c>
      <c r="AT60" s="249">
        <v>0.99309999999999998</v>
      </c>
      <c r="AU60" s="249">
        <v>0.99299999999999999</v>
      </c>
      <c r="AV60" s="249">
        <v>0.99299999999999999</v>
      </c>
      <c r="AW60" s="249">
        <v>0.99299999999999999</v>
      </c>
      <c r="AX60" s="249">
        <v>0.9929</v>
      </c>
      <c r="AY60" s="249">
        <v>0.9929</v>
      </c>
      <c r="AZ60" s="249">
        <v>0.99280000000000002</v>
      </c>
      <c r="BA60" s="251">
        <v>0.99280000000000002</v>
      </c>
    </row>
    <row r="61" spans="2:53" s="244" customFormat="1" ht="15.75" customHeight="1">
      <c r="B61" s="248">
        <v>74</v>
      </c>
      <c r="C61" s="249">
        <v>0.99450000000000005</v>
      </c>
      <c r="D61" s="249">
        <v>0.99450000000000005</v>
      </c>
      <c r="E61" s="249">
        <v>0.99439999999999995</v>
      </c>
      <c r="F61" s="249">
        <v>0.99439999999999995</v>
      </c>
      <c r="G61" s="249">
        <v>0.99439999999999995</v>
      </c>
      <c r="H61" s="249">
        <v>0.99429999999999996</v>
      </c>
      <c r="I61" s="249">
        <v>0.99429999999999996</v>
      </c>
      <c r="J61" s="249">
        <v>0.99419999999999997</v>
      </c>
      <c r="K61" s="249">
        <v>0.99419999999999997</v>
      </c>
      <c r="L61" s="249">
        <v>0.99419999999999997</v>
      </c>
      <c r="M61" s="249">
        <v>0.99409999999999998</v>
      </c>
      <c r="N61" s="249">
        <v>0.99409999999999998</v>
      </c>
      <c r="O61" s="249">
        <v>0.99409999999999998</v>
      </c>
      <c r="P61" s="249">
        <v>0.99399999999999999</v>
      </c>
      <c r="Q61" s="249">
        <v>0.99399999999999999</v>
      </c>
      <c r="R61" s="249">
        <v>0.99390000000000001</v>
      </c>
      <c r="S61" s="249">
        <v>0.99390000000000001</v>
      </c>
      <c r="T61" s="249">
        <v>0.99390000000000001</v>
      </c>
      <c r="U61" s="249">
        <v>0.99380000000000002</v>
      </c>
      <c r="V61" s="249">
        <v>0.99380000000000002</v>
      </c>
      <c r="W61" s="249">
        <v>0.99380000000000002</v>
      </c>
      <c r="X61" s="249">
        <v>0.99370000000000003</v>
      </c>
      <c r="Y61" s="249">
        <v>0.99370000000000003</v>
      </c>
      <c r="Z61" s="249">
        <v>0.99360000000000004</v>
      </c>
      <c r="AA61" s="249">
        <v>0.99360000000000004</v>
      </c>
      <c r="AB61" s="249">
        <v>0.99360000000000004</v>
      </c>
      <c r="AC61" s="249">
        <v>0.99350000000000005</v>
      </c>
      <c r="AD61" s="249">
        <v>0.99350000000000005</v>
      </c>
      <c r="AE61" s="249">
        <v>0.99339999999999995</v>
      </c>
      <c r="AF61" s="249">
        <v>0.99339999999999995</v>
      </c>
      <c r="AG61" s="249">
        <v>0.99339999999999995</v>
      </c>
      <c r="AH61" s="249">
        <v>0.99329999999999996</v>
      </c>
      <c r="AI61" s="249">
        <v>0.99329999999999996</v>
      </c>
      <c r="AJ61" s="249">
        <v>0.99319999999999997</v>
      </c>
      <c r="AK61" s="249">
        <v>0.99319999999999997</v>
      </c>
      <c r="AL61" s="249">
        <v>0.99319999999999997</v>
      </c>
      <c r="AM61" s="249">
        <v>0.99309999999999998</v>
      </c>
      <c r="AN61" s="249">
        <v>0.99309999999999998</v>
      </c>
      <c r="AO61" s="249">
        <v>0.99299999999999999</v>
      </c>
      <c r="AP61" s="249">
        <v>0.99299999999999999</v>
      </c>
      <c r="AQ61" s="249">
        <v>0.99299999999999999</v>
      </c>
      <c r="AR61" s="249">
        <v>0.9929</v>
      </c>
      <c r="AS61" s="249">
        <v>0.9929</v>
      </c>
      <c r="AT61" s="249">
        <v>0.99280000000000002</v>
      </c>
      <c r="AU61" s="249">
        <v>0.99280000000000002</v>
      </c>
      <c r="AV61" s="249">
        <v>0.99270000000000003</v>
      </c>
      <c r="AW61" s="249">
        <v>0.99270000000000003</v>
      </c>
      <c r="AX61" s="249">
        <v>0.99270000000000003</v>
      </c>
      <c r="AY61" s="249">
        <v>0.99260000000000004</v>
      </c>
      <c r="AZ61" s="249">
        <v>0.99260000000000004</v>
      </c>
      <c r="BA61" s="251">
        <v>0.99250000000000005</v>
      </c>
    </row>
    <row r="62" spans="2:53" s="244" customFormat="1" ht="15.75" customHeight="1">
      <c r="B62" s="248">
        <v>74.5</v>
      </c>
      <c r="C62" s="249">
        <v>0.99429999999999996</v>
      </c>
      <c r="D62" s="249">
        <v>0.99429999999999996</v>
      </c>
      <c r="E62" s="249">
        <v>0.99419999999999997</v>
      </c>
      <c r="F62" s="249">
        <v>0.99419999999999997</v>
      </c>
      <c r="G62" s="249">
        <v>0.99419999999999997</v>
      </c>
      <c r="H62" s="249">
        <v>0.99409999999999998</v>
      </c>
      <c r="I62" s="249">
        <v>0.99409999999999998</v>
      </c>
      <c r="J62" s="249">
        <v>0.99399999999999999</v>
      </c>
      <c r="K62" s="249">
        <v>0.99399999999999999</v>
      </c>
      <c r="L62" s="249">
        <v>0.99399999999999999</v>
      </c>
      <c r="M62" s="249">
        <v>0.99390000000000001</v>
      </c>
      <c r="N62" s="249">
        <v>0.99390000000000001</v>
      </c>
      <c r="O62" s="249">
        <v>0.99380000000000002</v>
      </c>
      <c r="P62" s="249">
        <v>0.99380000000000002</v>
      </c>
      <c r="Q62" s="249">
        <v>0.99380000000000002</v>
      </c>
      <c r="R62" s="249">
        <v>0.99370000000000003</v>
      </c>
      <c r="S62" s="249">
        <v>0.99370000000000003</v>
      </c>
      <c r="T62" s="249">
        <v>0.99370000000000003</v>
      </c>
      <c r="U62" s="249">
        <v>0.99360000000000004</v>
      </c>
      <c r="V62" s="249">
        <v>0.99360000000000004</v>
      </c>
      <c r="W62" s="249">
        <v>0.99350000000000005</v>
      </c>
      <c r="X62" s="249">
        <v>0.99350000000000005</v>
      </c>
      <c r="Y62" s="249">
        <v>0.99350000000000005</v>
      </c>
      <c r="Z62" s="249">
        <v>0.99339999999999995</v>
      </c>
      <c r="AA62" s="249">
        <v>0.99339999999999995</v>
      </c>
      <c r="AB62" s="249">
        <v>0.99329999999999996</v>
      </c>
      <c r="AC62" s="249">
        <v>0.99329999999999996</v>
      </c>
      <c r="AD62" s="249">
        <v>0.99319999999999997</v>
      </c>
      <c r="AE62" s="249">
        <v>0.99319999999999997</v>
      </c>
      <c r="AF62" s="249">
        <v>0.99319999999999997</v>
      </c>
      <c r="AG62" s="249">
        <v>0.99309999999999998</v>
      </c>
      <c r="AH62" s="249">
        <v>0.99309999999999998</v>
      </c>
      <c r="AI62" s="249">
        <v>0.99299999999999999</v>
      </c>
      <c r="AJ62" s="249">
        <v>0.99299999999999999</v>
      </c>
      <c r="AK62" s="249">
        <v>0.99299999999999999</v>
      </c>
      <c r="AL62" s="249">
        <v>0.9929</v>
      </c>
      <c r="AM62" s="249">
        <v>0.9929</v>
      </c>
      <c r="AN62" s="249">
        <v>0.99280000000000002</v>
      </c>
      <c r="AO62" s="249">
        <v>0.99280000000000002</v>
      </c>
      <c r="AP62" s="249">
        <v>0.99270000000000003</v>
      </c>
      <c r="AQ62" s="249">
        <v>0.99270000000000003</v>
      </c>
      <c r="AR62" s="249">
        <v>0.99270000000000003</v>
      </c>
      <c r="AS62" s="249">
        <v>0.99260000000000004</v>
      </c>
      <c r="AT62" s="249">
        <v>0.99260000000000004</v>
      </c>
      <c r="AU62" s="249">
        <v>0.99250000000000005</v>
      </c>
      <c r="AV62" s="249">
        <v>0.99250000000000005</v>
      </c>
      <c r="AW62" s="249">
        <v>0.99239999999999995</v>
      </c>
      <c r="AX62" s="249">
        <v>0.99239999999999995</v>
      </c>
      <c r="AY62" s="249">
        <v>0.99239999999999995</v>
      </c>
      <c r="AZ62" s="249">
        <v>0.99229999999999996</v>
      </c>
      <c r="BA62" s="251">
        <v>0.99229999999999996</v>
      </c>
    </row>
    <row r="63" spans="2:53" s="244" customFormat="1" ht="15.75" customHeight="1">
      <c r="B63" s="248">
        <v>75</v>
      </c>
      <c r="C63" s="249">
        <v>0.99409999999999998</v>
      </c>
      <c r="D63" s="249">
        <v>0.99409999999999998</v>
      </c>
      <c r="E63" s="249">
        <v>0.99399999999999999</v>
      </c>
      <c r="F63" s="249">
        <v>0.99399999999999999</v>
      </c>
      <c r="G63" s="249">
        <v>0.99399999999999999</v>
      </c>
      <c r="H63" s="249">
        <v>0.99390000000000001</v>
      </c>
      <c r="I63" s="249">
        <v>0.99390000000000001</v>
      </c>
      <c r="J63" s="249">
        <v>0.99380000000000002</v>
      </c>
      <c r="K63" s="249">
        <v>0.99380000000000002</v>
      </c>
      <c r="L63" s="249">
        <v>0.99380000000000002</v>
      </c>
      <c r="M63" s="249">
        <v>0.99370000000000003</v>
      </c>
      <c r="N63" s="249">
        <v>0.99370000000000003</v>
      </c>
      <c r="O63" s="249">
        <v>0.99360000000000004</v>
      </c>
      <c r="P63" s="249">
        <v>0.99360000000000004</v>
      </c>
      <c r="Q63" s="249">
        <v>0.99360000000000004</v>
      </c>
      <c r="R63" s="249">
        <v>0.99350000000000005</v>
      </c>
      <c r="S63" s="249">
        <v>0.99350000000000005</v>
      </c>
      <c r="T63" s="249">
        <v>0.99339999999999995</v>
      </c>
      <c r="U63" s="249">
        <v>0.99339999999999995</v>
      </c>
      <c r="V63" s="249">
        <v>0.99329999999999996</v>
      </c>
      <c r="W63" s="249">
        <v>0.99329999999999996</v>
      </c>
      <c r="X63" s="249">
        <v>0.99329999999999996</v>
      </c>
      <c r="Y63" s="249">
        <v>0.99319999999999997</v>
      </c>
      <c r="Z63" s="249">
        <v>0.99319999999999997</v>
      </c>
      <c r="AA63" s="249">
        <v>0.99309999999999998</v>
      </c>
      <c r="AB63" s="249">
        <v>0.99309999999999998</v>
      </c>
      <c r="AC63" s="249">
        <v>0.99309999999999998</v>
      </c>
      <c r="AD63" s="249">
        <v>0.99299999999999999</v>
      </c>
      <c r="AE63" s="249">
        <v>0.99299999999999999</v>
      </c>
      <c r="AF63" s="249">
        <v>0.9929</v>
      </c>
      <c r="AG63" s="249">
        <v>0.9929</v>
      </c>
      <c r="AH63" s="249">
        <v>0.99280000000000002</v>
      </c>
      <c r="AI63" s="249">
        <v>0.99280000000000002</v>
      </c>
      <c r="AJ63" s="249">
        <v>0.99280000000000002</v>
      </c>
      <c r="AK63" s="249">
        <v>0.99270000000000003</v>
      </c>
      <c r="AL63" s="249">
        <v>0.99270000000000003</v>
      </c>
      <c r="AM63" s="249">
        <v>0.99260000000000004</v>
      </c>
      <c r="AN63" s="249">
        <v>0.99260000000000004</v>
      </c>
      <c r="AO63" s="249">
        <v>0.99250000000000005</v>
      </c>
      <c r="AP63" s="249">
        <v>0.99250000000000005</v>
      </c>
      <c r="AQ63" s="249">
        <v>0.99250000000000005</v>
      </c>
      <c r="AR63" s="249">
        <v>0.99239999999999995</v>
      </c>
      <c r="AS63" s="249">
        <v>0.99239999999999995</v>
      </c>
      <c r="AT63" s="249">
        <v>0.99229999999999996</v>
      </c>
      <c r="AU63" s="249">
        <v>0.99229999999999996</v>
      </c>
      <c r="AV63" s="249">
        <v>0.99219999999999997</v>
      </c>
      <c r="AW63" s="249">
        <v>0.99219999999999997</v>
      </c>
      <c r="AX63" s="249">
        <v>0.99209999999999998</v>
      </c>
      <c r="AY63" s="249">
        <v>0.99209999999999998</v>
      </c>
      <c r="AZ63" s="249">
        <v>0.99199999999999999</v>
      </c>
      <c r="BA63" s="251">
        <v>0.99199999999999999</v>
      </c>
    </row>
    <row r="64" spans="2:53" s="244" customFormat="1" ht="15.75" customHeight="1">
      <c r="B64" s="248">
        <v>75.5</v>
      </c>
      <c r="C64" s="249">
        <v>0.99390000000000001</v>
      </c>
      <c r="D64" s="249">
        <v>0.99390000000000001</v>
      </c>
      <c r="E64" s="249">
        <v>0.99380000000000002</v>
      </c>
      <c r="F64" s="249">
        <v>0.99380000000000002</v>
      </c>
      <c r="G64" s="249">
        <v>0.99380000000000002</v>
      </c>
      <c r="H64" s="249">
        <v>0.99370000000000003</v>
      </c>
      <c r="I64" s="249">
        <v>0.99370000000000003</v>
      </c>
      <c r="J64" s="249">
        <v>0.99360000000000004</v>
      </c>
      <c r="K64" s="249">
        <v>0.99360000000000004</v>
      </c>
      <c r="L64" s="249">
        <v>0.99350000000000005</v>
      </c>
      <c r="M64" s="249">
        <v>0.99350000000000005</v>
      </c>
      <c r="N64" s="249">
        <v>0.99350000000000005</v>
      </c>
      <c r="O64" s="249">
        <v>0.99339999999999995</v>
      </c>
      <c r="P64" s="249">
        <v>0.99339999999999995</v>
      </c>
      <c r="Q64" s="249">
        <v>0.99329999999999996</v>
      </c>
      <c r="R64" s="249">
        <v>0.99329999999999996</v>
      </c>
      <c r="S64" s="249">
        <v>0.99329999999999996</v>
      </c>
      <c r="T64" s="249">
        <v>0.99319999999999997</v>
      </c>
      <c r="U64" s="249">
        <v>0.99319999999999997</v>
      </c>
      <c r="V64" s="249">
        <v>0.99309999999999998</v>
      </c>
      <c r="W64" s="249">
        <v>0.99309999999999998</v>
      </c>
      <c r="X64" s="249">
        <v>0.99299999999999999</v>
      </c>
      <c r="Y64" s="249">
        <v>0.99299999999999999</v>
      </c>
      <c r="Z64" s="249">
        <v>0.99299999999999999</v>
      </c>
      <c r="AA64" s="249">
        <v>0.9929</v>
      </c>
      <c r="AB64" s="249">
        <v>0.9929</v>
      </c>
      <c r="AC64" s="249">
        <v>0.99280000000000002</v>
      </c>
      <c r="AD64" s="249">
        <v>0.99280000000000002</v>
      </c>
      <c r="AE64" s="249">
        <v>0.99270000000000003</v>
      </c>
      <c r="AF64" s="249">
        <v>0.99270000000000003</v>
      </c>
      <c r="AG64" s="249">
        <v>0.99260000000000004</v>
      </c>
      <c r="AH64" s="249">
        <v>0.99260000000000004</v>
      </c>
      <c r="AI64" s="249">
        <v>0.99260000000000004</v>
      </c>
      <c r="AJ64" s="249">
        <v>0.99250000000000005</v>
      </c>
      <c r="AK64" s="249">
        <v>0.99250000000000005</v>
      </c>
      <c r="AL64" s="249">
        <v>0.99239999999999995</v>
      </c>
      <c r="AM64" s="249">
        <v>0.99239999999999995</v>
      </c>
      <c r="AN64" s="249">
        <v>0.99229999999999996</v>
      </c>
      <c r="AO64" s="249">
        <v>0.99229999999999996</v>
      </c>
      <c r="AP64" s="249">
        <v>0.99219999999999997</v>
      </c>
      <c r="AQ64" s="249">
        <v>0.99219999999999997</v>
      </c>
      <c r="AR64" s="249">
        <v>0.99219999999999997</v>
      </c>
      <c r="AS64" s="249">
        <v>0.99209999999999998</v>
      </c>
      <c r="AT64" s="249">
        <v>0.99209999999999998</v>
      </c>
      <c r="AU64" s="249">
        <v>0.99199999999999999</v>
      </c>
      <c r="AV64" s="249">
        <v>0.99199999999999999</v>
      </c>
      <c r="AW64" s="249">
        <v>0.9919</v>
      </c>
      <c r="AX64" s="249">
        <v>0.9919</v>
      </c>
      <c r="AY64" s="249">
        <v>0.99180000000000001</v>
      </c>
      <c r="AZ64" s="249">
        <v>0.99180000000000001</v>
      </c>
      <c r="BA64" s="251">
        <v>0.99170000000000003</v>
      </c>
    </row>
    <row r="65" spans="2:53" s="244" customFormat="1" ht="15.75" customHeight="1">
      <c r="B65" s="248">
        <v>76</v>
      </c>
      <c r="C65" s="249">
        <v>0.99370000000000003</v>
      </c>
      <c r="D65" s="249">
        <v>0.99370000000000003</v>
      </c>
      <c r="E65" s="249">
        <v>0.99360000000000004</v>
      </c>
      <c r="F65" s="249">
        <v>0.99360000000000004</v>
      </c>
      <c r="G65" s="249">
        <v>0.99360000000000004</v>
      </c>
      <c r="H65" s="249">
        <v>0.99350000000000005</v>
      </c>
      <c r="I65" s="249">
        <v>0.99350000000000005</v>
      </c>
      <c r="J65" s="249">
        <v>0.99339999999999995</v>
      </c>
      <c r="K65" s="249">
        <v>0.99339999999999995</v>
      </c>
      <c r="L65" s="249">
        <v>0.99329999999999996</v>
      </c>
      <c r="M65" s="249">
        <v>0.99329999999999996</v>
      </c>
      <c r="N65" s="249">
        <v>0.99329999999999996</v>
      </c>
      <c r="O65" s="249">
        <v>0.99319999999999997</v>
      </c>
      <c r="P65" s="249">
        <v>0.99319999999999997</v>
      </c>
      <c r="Q65" s="249">
        <v>0.99309999999999998</v>
      </c>
      <c r="R65" s="249">
        <v>0.99309999999999998</v>
      </c>
      <c r="S65" s="249">
        <v>0.99299999999999999</v>
      </c>
      <c r="T65" s="249">
        <v>0.99299999999999999</v>
      </c>
      <c r="U65" s="249">
        <v>0.99299999999999999</v>
      </c>
      <c r="V65" s="249">
        <v>0.9929</v>
      </c>
      <c r="W65" s="249">
        <v>0.9929</v>
      </c>
      <c r="X65" s="249">
        <v>0.99280000000000002</v>
      </c>
      <c r="Y65" s="249">
        <v>0.99280000000000002</v>
      </c>
      <c r="Z65" s="249">
        <v>0.99270000000000003</v>
      </c>
      <c r="AA65" s="249">
        <v>0.99270000000000003</v>
      </c>
      <c r="AB65" s="249">
        <v>0.99260000000000004</v>
      </c>
      <c r="AC65" s="249">
        <v>0.99260000000000004</v>
      </c>
      <c r="AD65" s="249">
        <v>0.99250000000000005</v>
      </c>
      <c r="AE65" s="249">
        <v>0.99250000000000005</v>
      </c>
      <c r="AF65" s="249">
        <v>0.99250000000000005</v>
      </c>
      <c r="AG65" s="249">
        <v>0.99239999999999995</v>
      </c>
      <c r="AH65" s="249">
        <v>0.99239999999999995</v>
      </c>
      <c r="AI65" s="249">
        <v>0.99229999999999996</v>
      </c>
      <c r="AJ65" s="249">
        <v>0.99229999999999996</v>
      </c>
      <c r="AK65" s="249">
        <v>0.99219999999999997</v>
      </c>
      <c r="AL65" s="249">
        <v>0.99219999999999997</v>
      </c>
      <c r="AM65" s="249">
        <v>0.99209999999999998</v>
      </c>
      <c r="AN65" s="249">
        <v>0.99209999999999998</v>
      </c>
      <c r="AO65" s="249">
        <v>0.99199999999999999</v>
      </c>
      <c r="AP65" s="249">
        <v>0.99199999999999999</v>
      </c>
      <c r="AQ65" s="249">
        <v>0.9919</v>
      </c>
      <c r="AR65" s="249">
        <v>0.9919</v>
      </c>
      <c r="AS65" s="249">
        <v>0.9919</v>
      </c>
      <c r="AT65" s="249">
        <v>0.99180000000000001</v>
      </c>
      <c r="AU65" s="249">
        <v>0.99180000000000001</v>
      </c>
      <c r="AV65" s="249">
        <v>0.99170000000000003</v>
      </c>
      <c r="AW65" s="249">
        <v>0.99170000000000003</v>
      </c>
      <c r="AX65" s="249">
        <v>0.99160000000000004</v>
      </c>
      <c r="AY65" s="249">
        <v>0.99160000000000004</v>
      </c>
      <c r="AZ65" s="249">
        <v>0.99150000000000005</v>
      </c>
      <c r="BA65" s="251">
        <v>0.99150000000000005</v>
      </c>
    </row>
    <row r="66" spans="2:53" s="244" customFormat="1" ht="15.75" customHeight="1">
      <c r="B66" s="248">
        <v>76.5</v>
      </c>
      <c r="C66" s="249">
        <v>0.99350000000000005</v>
      </c>
      <c r="D66" s="249">
        <v>0.99350000000000005</v>
      </c>
      <c r="E66" s="249">
        <v>0.99339999999999995</v>
      </c>
      <c r="F66" s="249">
        <v>0.99339999999999995</v>
      </c>
      <c r="G66" s="249">
        <v>0.99339999999999995</v>
      </c>
      <c r="H66" s="249">
        <v>0.99329999999999996</v>
      </c>
      <c r="I66" s="249">
        <v>0.99329999999999996</v>
      </c>
      <c r="J66" s="249">
        <v>0.99319999999999997</v>
      </c>
      <c r="K66" s="249">
        <v>0.99319999999999997</v>
      </c>
      <c r="L66" s="249">
        <v>0.99309999999999998</v>
      </c>
      <c r="M66" s="249">
        <v>0.99309999999999998</v>
      </c>
      <c r="N66" s="249">
        <v>0.99299999999999999</v>
      </c>
      <c r="O66" s="249">
        <v>0.99299999999999999</v>
      </c>
      <c r="P66" s="249">
        <v>0.99299999999999999</v>
      </c>
      <c r="Q66" s="249">
        <v>0.9929</v>
      </c>
      <c r="R66" s="249">
        <v>0.9929</v>
      </c>
      <c r="S66" s="249">
        <v>0.99280000000000002</v>
      </c>
      <c r="T66" s="249">
        <v>0.99280000000000002</v>
      </c>
      <c r="U66" s="249">
        <v>0.99270000000000003</v>
      </c>
      <c r="V66" s="249">
        <v>0.99270000000000003</v>
      </c>
      <c r="W66" s="249">
        <v>0.99260000000000004</v>
      </c>
      <c r="X66" s="249">
        <v>0.99260000000000004</v>
      </c>
      <c r="Y66" s="249">
        <v>0.99250000000000005</v>
      </c>
      <c r="Z66" s="249">
        <v>0.99250000000000005</v>
      </c>
      <c r="AA66" s="249">
        <v>0.99250000000000005</v>
      </c>
      <c r="AB66" s="249">
        <v>0.99239999999999995</v>
      </c>
      <c r="AC66" s="249">
        <v>0.99239999999999995</v>
      </c>
      <c r="AD66" s="249">
        <v>0.99229999999999996</v>
      </c>
      <c r="AE66" s="249">
        <v>0.99229999999999996</v>
      </c>
      <c r="AF66" s="249">
        <v>0.99219999999999997</v>
      </c>
      <c r="AG66" s="249">
        <v>0.99219999999999997</v>
      </c>
      <c r="AH66" s="249">
        <v>0.99209999999999998</v>
      </c>
      <c r="AI66" s="249">
        <v>0.99209999999999998</v>
      </c>
      <c r="AJ66" s="249">
        <v>0.99199999999999999</v>
      </c>
      <c r="AK66" s="249">
        <v>0.99199999999999999</v>
      </c>
      <c r="AL66" s="249">
        <v>0.9919</v>
      </c>
      <c r="AM66" s="249">
        <v>0.9919</v>
      </c>
      <c r="AN66" s="249">
        <v>0.99180000000000001</v>
      </c>
      <c r="AO66" s="249">
        <v>0.99180000000000001</v>
      </c>
      <c r="AP66" s="249">
        <v>0.99170000000000003</v>
      </c>
      <c r="AQ66" s="249">
        <v>0.99170000000000003</v>
      </c>
      <c r="AR66" s="249">
        <v>0.99160000000000004</v>
      </c>
      <c r="AS66" s="249">
        <v>0.99160000000000004</v>
      </c>
      <c r="AT66" s="249">
        <v>0.99150000000000005</v>
      </c>
      <c r="AU66" s="249">
        <v>0.99150000000000005</v>
      </c>
      <c r="AV66" s="249">
        <v>0.99150000000000005</v>
      </c>
      <c r="AW66" s="249">
        <v>0.99139999999999995</v>
      </c>
      <c r="AX66" s="249">
        <v>0.99139999999999995</v>
      </c>
      <c r="AY66" s="249">
        <v>0.99129999999999996</v>
      </c>
      <c r="AZ66" s="249">
        <v>0.99129999999999996</v>
      </c>
      <c r="BA66" s="251">
        <v>0.99119999999999997</v>
      </c>
    </row>
    <row r="67" spans="2:53" s="244" customFormat="1" ht="15.75" customHeight="1">
      <c r="B67" s="248">
        <v>77</v>
      </c>
      <c r="C67" s="249">
        <v>0.99329999999999996</v>
      </c>
      <c r="D67" s="249">
        <v>0.99329999999999996</v>
      </c>
      <c r="E67" s="249">
        <v>0.99319999999999997</v>
      </c>
      <c r="F67" s="249">
        <v>0.99319999999999997</v>
      </c>
      <c r="G67" s="249">
        <v>0.99309999999999998</v>
      </c>
      <c r="H67" s="249">
        <v>0.99309999999999998</v>
      </c>
      <c r="I67" s="249">
        <v>0.99309999999999998</v>
      </c>
      <c r="J67" s="249">
        <v>0.99299999999999999</v>
      </c>
      <c r="K67" s="249">
        <v>0.99299999999999999</v>
      </c>
      <c r="L67" s="249">
        <v>0.9929</v>
      </c>
      <c r="M67" s="249">
        <v>0.9929</v>
      </c>
      <c r="N67" s="249">
        <v>0.99280000000000002</v>
      </c>
      <c r="O67" s="249">
        <v>0.99280000000000002</v>
      </c>
      <c r="P67" s="249">
        <v>0.99270000000000003</v>
      </c>
      <c r="Q67" s="249">
        <v>0.99270000000000003</v>
      </c>
      <c r="R67" s="249">
        <v>0.99260000000000004</v>
      </c>
      <c r="S67" s="249">
        <v>0.99260000000000004</v>
      </c>
      <c r="T67" s="249">
        <v>0.99260000000000004</v>
      </c>
      <c r="U67" s="249">
        <v>0.99250000000000005</v>
      </c>
      <c r="V67" s="249">
        <v>0.99250000000000005</v>
      </c>
      <c r="W67" s="249">
        <v>0.99239999999999995</v>
      </c>
      <c r="X67" s="249">
        <v>0.99239999999999995</v>
      </c>
      <c r="Y67" s="249">
        <v>0.99229999999999996</v>
      </c>
      <c r="Z67" s="249">
        <v>0.99229999999999996</v>
      </c>
      <c r="AA67" s="249">
        <v>0.99219999999999997</v>
      </c>
      <c r="AB67" s="249">
        <v>0.99219999999999997</v>
      </c>
      <c r="AC67" s="249">
        <v>0.99209999999999998</v>
      </c>
      <c r="AD67" s="249">
        <v>0.99209999999999998</v>
      </c>
      <c r="AE67" s="249">
        <v>0.99199999999999999</v>
      </c>
      <c r="AF67" s="249">
        <v>0.99199999999999999</v>
      </c>
      <c r="AG67" s="249">
        <v>0.9919</v>
      </c>
      <c r="AH67" s="249">
        <v>0.9919</v>
      </c>
      <c r="AI67" s="249">
        <v>0.99180000000000001</v>
      </c>
      <c r="AJ67" s="249">
        <v>0.99180000000000001</v>
      </c>
      <c r="AK67" s="249">
        <v>0.99170000000000003</v>
      </c>
      <c r="AL67" s="249">
        <v>0.99170000000000003</v>
      </c>
      <c r="AM67" s="249">
        <v>0.99160000000000004</v>
      </c>
      <c r="AN67" s="249">
        <v>0.99160000000000004</v>
      </c>
      <c r="AO67" s="249">
        <v>0.99150000000000005</v>
      </c>
      <c r="AP67" s="249">
        <v>0.99150000000000005</v>
      </c>
      <c r="AQ67" s="249">
        <v>0.99139999999999995</v>
      </c>
      <c r="AR67" s="249">
        <v>0.99139999999999995</v>
      </c>
      <c r="AS67" s="249">
        <v>0.99129999999999996</v>
      </c>
      <c r="AT67" s="249">
        <v>0.99129999999999996</v>
      </c>
      <c r="AU67" s="249">
        <v>0.99119999999999997</v>
      </c>
      <c r="AV67" s="249">
        <v>0.99119999999999997</v>
      </c>
      <c r="AW67" s="249">
        <v>0.99109999999999998</v>
      </c>
      <c r="AX67" s="249">
        <v>0.99109999999999998</v>
      </c>
      <c r="AY67" s="249">
        <v>0.99099999999999999</v>
      </c>
      <c r="AZ67" s="249">
        <v>0.99099999999999999</v>
      </c>
      <c r="BA67" s="251">
        <v>0.9909</v>
      </c>
    </row>
    <row r="68" spans="2:53" s="244" customFormat="1" ht="15.75" customHeight="1">
      <c r="B68" s="248">
        <v>77.5</v>
      </c>
      <c r="C68" s="249">
        <v>0.99309999999999998</v>
      </c>
      <c r="D68" s="249">
        <v>0.99309999999999998</v>
      </c>
      <c r="E68" s="249">
        <v>0.99299999999999999</v>
      </c>
      <c r="F68" s="249">
        <v>0.99299999999999999</v>
      </c>
      <c r="G68" s="249">
        <v>0.9929</v>
      </c>
      <c r="H68" s="249">
        <v>0.9929</v>
      </c>
      <c r="I68" s="249">
        <v>0.9929</v>
      </c>
      <c r="J68" s="249">
        <v>0.99280000000000002</v>
      </c>
      <c r="K68" s="249">
        <v>0.99280000000000002</v>
      </c>
      <c r="L68" s="249">
        <v>0.99270000000000003</v>
      </c>
      <c r="M68" s="249">
        <v>0.99270000000000003</v>
      </c>
      <c r="N68" s="249">
        <v>0.99260000000000004</v>
      </c>
      <c r="O68" s="249">
        <v>0.99260000000000004</v>
      </c>
      <c r="P68" s="249">
        <v>0.99250000000000005</v>
      </c>
      <c r="Q68" s="249">
        <v>0.99250000000000005</v>
      </c>
      <c r="R68" s="249">
        <v>0.99239999999999995</v>
      </c>
      <c r="S68" s="249">
        <v>0.99239999999999995</v>
      </c>
      <c r="T68" s="249">
        <v>0.99229999999999996</v>
      </c>
      <c r="U68" s="249">
        <v>0.99229999999999996</v>
      </c>
      <c r="V68" s="249">
        <v>0.99219999999999997</v>
      </c>
      <c r="W68" s="249">
        <v>0.99219999999999997</v>
      </c>
      <c r="X68" s="249">
        <v>0.99209999999999998</v>
      </c>
      <c r="Y68" s="249">
        <v>0.99209999999999998</v>
      </c>
      <c r="Z68" s="249">
        <v>0.99199999999999999</v>
      </c>
      <c r="AA68" s="249">
        <v>0.99199999999999999</v>
      </c>
      <c r="AB68" s="249">
        <v>0.9919</v>
      </c>
      <c r="AC68" s="249">
        <v>0.9919</v>
      </c>
      <c r="AD68" s="249">
        <v>0.99180000000000001</v>
      </c>
      <c r="AE68" s="249">
        <v>0.99180000000000001</v>
      </c>
      <c r="AF68" s="249">
        <v>0.99170000000000003</v>
      </c>
      <c r="AG68" s="249">
        <v>0.99170000000000003</v>
      </c>
      <c r="AH68" s="249">
        <v>0.99160000000000004</v>
      </c>
      <c r="AI68" s="249">
        <v>0.99160000000000004</v>
      </c>
      <c r="AJ68" s="249">
        <v>0.99150000000000005</v>
      </c>
      <c r="AK68" s="249">
        <v>0.99150000000000005</v>
      </c>
      <c r="AL68" s="249">
        <v>0.99139999999999995</v>
      </c>
      <c r="AM68" s="249">
        <v>0.99139999999999995</v>
      </c>
      <c r="AN68" s="249">
        <v>0.99129999999999996</v>
      </c>
      <c r="AO68" s="249">
        <v>0.99129999999999996</v>
      </c>
      <c r="AP68" s="249">
        <v>0.99119999999999997</v>
      </c>
      <c r="AQ68" s="249">
        <v>0.99119999999999997</v>
      </c>
      <c r="AR68" s="249">
        <v>0.99109999999999998</v>
      </c>
      <c r="AS68" s="249">
        <v>0.99109999999999998</v>
      </c>
      <c r="AT68" s="249">
        <v>0.99099999999999999</v>
      </c>
      <c r="AU68" s="249">
        <v>0.99099999999999999</v>
      </c>
      <c r="AV68" s="249">
        <v>0.9909</v>
      </c>
      <c r="AW68" s="249">
        <v>0.9909</v>
      </c>
      <c r="AX68" s="249">
        <v>0.99080000000000001</v>
      </c>
      <c r="AY68" s="249">
        <v>0.99080000000000001</v>
      </c>
      <c r="AZ68" s="249">
        <v>0.99070000000000003</v>
      </c>
      <c r="BA68" s="251">
        <v>0.99070000000000003</v>
      </c>
    </row>
    <row r="69" spans="2:53" s="244" customFormat="1" ht="15.75" customHeight="1">
      <c r="B69" s="248">
        <v>78</v>
      </c>
      <c r="C69" s="249">
        <v>0.9929</v>
      </c>
      <c r="D69" s="249">
        <v>0.9929</v>
      </c>
      <c r="E69" s="249">
        <v>0.99280000000000002</v>
      </c>
      <c r="F69" s="249">
        <v>0.99280000000000002</v>
      </c>
      <c r="G69" s="249">
        <v>0.99270000000000003</v>
      </c>
      <c r="H69" s="249">
        <v>0.99270000000000003</v>
      </c>
      <c r="I69" s="249">
        <v>0.99260000000000004</v>
      </c>
      <c r="J69" s="249">
        <v>0.99260000000000004</v>
      </c>
      <c r="K69" s="249">
        <v>0.99260000000000004</v>
      </c>
      <c r="L69" s="249">
        <v>0.99250000000000005</v>
      </c>
      <c r="M69" s="249">
        <v>0.99250000000000005</v>
      </c>
      <c r="N69" s="249">
        <v>0.99239999999999995</v>
      </c>
      <c r="O69" s="249">
        <v>0.99239999999999995</v>
      </c>
      <c r="P69" s="249">
        <v>0.99229999999999996</v>
      </c>
      <c r="Q69" s="249">
        <v>0.99229999999999996</v>
      </c>
      <c r="R69" s="249">
        <v>0.99219999999999997</v>
      </c>
      <c r="S69" s="249">
        <v>0.99219999999999997</v>
      </c>
      <c r="T69" s="249">
        <v>0.99209999999999998</v>
      </c>
      <c r="U69" s="249">
        <v>0.99209999999999998</v>
      </c>
      <c r="V69" s="249">
        <v>0.99199999999999999</v>
      </c>
      <c r="W69" s="249">
        <v>0.99199999999999999</v>
      </c>
      <c r="X69" s="249">
        <v>0.9919</v>
      </c>
      <c r="Y69" s="249">
        <v>0.9919</v>
      </c>
      <c r="Z69" s="249">
        <v>0.99180000000000001</v>
      </c>
      <c r="AA69" s="249">
        <v>0.99180000000000001</v>
      </c>
      <c r="AB69" s="249">
        <v>0.99170000000000003</v>
      </c>
      <c r="AC69" s="249">
        <v>0.99170000000000003</v>
      </c>
      <c r="AD69" s="249">
        <v>0.99160000000000004</v>
      </c>
      <c r="AE69" s="249">
        <v>0.99160000000000004</v>
      </c>
      <c r="AF69" s="249">
        <v>0.99150000000000005</v>
      </c>
      <c r="AG69" s="249">
        <v>0.99150000000000005</v>
      </c>
      <c r="AH69" s="249">
        <v>0.99139999999999995</v>
      </c>
      <c r="AI69" s="249">
        <v>0.99139999999999995</v>
      </c>
      <c r="AJ69" s="249">
        <v>0.99129999999999996</v>
      </c>
      <c r="AK69" s="249">
        <v>0.99129999999999996</v>
      </c>
      <c r="AL69" s="249">
        <v>0.99119999999999997</v>
      </c>
      <c r="AM69" s="249">
        <v>0.99109999999999998</v>
      </c>
      <c r="AN69" s="249">
        <v>0.99109999999999998</v>
      </c>
      <c r="AO69" s="249">
        <v>0.99099999999999999</v>
      </c>
      <c r="AP69" s="249">
        <v>0.99099999999999999</v>
      </c>
      <c r="AQ69" s="249">
        <v>0.9909</v>
      </c>
      <c r="AR69" s="249">
        <v>0.9909</v>
      </c>
      <c r="AS69" s="249">
        <v>0.99080000000000001</v>
      </c>
      <c r="AT69" s="249">
        <v>0.99080000000000001</v>
      </c>
      <c r="AU69" s="249">
        <v>0.99070000000000003</v>
      </c>
      <c r="AV69" s="249">
        <v>0.99070000000000003</v>
      </c>
      <c r="AW69" s="249">
        <v>0.99060000000000004</v>
      </c>
      <c r="AX69" s="249">
        <v>0.99060000000000004</v>
      </c>
      <c r="AY69" s="249">
        <v>0.99050000000000005</v>
      </c>
      <c r="AZ69" s="249">
        <v>0.99050000000000005</v>
      </c>
      <c r="BA69" s="251">
        <v>0.99039999999999995</v>
      </c>
    </row>
    <row r="70" spans="2:53" s="244" customFormat="1" ht="15.75" customHeight="1">
      <c r="B70" s="248">
        <v>78.5</v>
      </c>
      <c r="C70" s="249">
        <v>0.99270000000000003</v>
      </c>
      <c r="D70" s="249">
        <v>0.99270000000000003</v>
      </c>
      <c r="E70" s="249">
        <v>0.99260000000000004</v>
      </c>
      <c r="F70" s="249">
        <v>0.99260000000000004</v>
      </c>
      <c r="G70" s="249">
        <v>0.99250000000000005</v>
      </c>
      <c r="H70" s="249">
        <v>0.99250000000000005</v>
      </c>
      <c r="I70" s="249">
        <v>0.99239999999999995</v>
      </c>
      <c r="J70" s="249">
        <v>0.99239999999999995</v>
      </c>
      <c r="K70" s="249">
        <v>0.99229999999999996</v>
      </c>
      <c r="L70" s="249">
        <v>0.99229999999999996</v>
      </c>
      <c r="M70" s="249">
        <v>0.99219999999999997</v>
      </c>
      <c r="N70" s="249">
        <v>0.99219999999999997</v>
      </c>
      <c r="O70" s="249">
        <v>0.99209999999999998</v>
      </c>
      <c r="P70" s="249">
        <v>0.99209999999999998</v>
      </c>
      <c r="Q70" s="249">
        <v>0.99199999999999999</v>
      </c>
      <c r="R70" s="249">
        <v>0.99199999999999999</v>
      </c>
      <c r="S70" s="249">
        <v>0.9919</v>
      </c>
      <c r="T70" s="249">
        <v>0.9919</v>
      </c>
      <c r="U70" s="249">
        <v>0.99180000000000001</v>
      </c>
      <c r="V70" s="249">
        <v>0.99180000000000001</v>
      </c>
      <c r="W70" s="249">
        <v>0.99170000000000003</v>
      </c>
      <c r="X70" s="249">
        <v>0.99170000000000003</v>
      </c>
      <c r="Y70" s="249">
        <v>0.99160000000000004</v>
      </c>
      <c r="Z70" s="249">
        <v>0.99160000000000004</v>
      </c>
      <c r="AA70" s="249">
        <v>0.99150000000000005</v>
      </c>
      <c r="AB70" s="249">
        <v>0.99150000000000005</v>
      </c>
      <c r="AC70" s="249">
        <v>0.99139999999999995</v>
      </c>
      <c r="AD70" s="249">
        <v>0.99139999999999995</v>
      </c>
      <c r="AE70" s="249">
        <v>0.99129999999999996</v>
      </c>
      <c r="AF70" s="249">
        <v>0.99129999999999996</v>
      </c>
      <c r="AG70" s="249">
        <v>0.99119999999999997</v>
      </c>
      <c r="AH70" s="249">
        <v>0.99119999999999997</v>
      </c>
      <c r="AI70" s="249">
        <v>0.99109999999999998</v>
      </c>
      <c r="AJ70" s="249">
        <v>0.99109999999999998</v>
      </c>
      <c r="AK70" s="249">
        <v>0.99099999999999999</v>
      </c>
      <c r="AL70" s="249">
        <v>0.99099999999999999</v>
      </c>
      <c r="AM70" s="249">
        <v>0.9909</v>
      </c>
      <c r="AN70" s="249">
        <v>0.99080000000000001</v>
      </c>
      <c r="AO70" s="249">
        <v>0.99080000000000001</v>
      </c>
      <c r="AP70" s="249">
        <v>0.99070000000000003</v>
      </c>
      <c r="AQ70" s="249">
        <v>0.99070000000000003</v>
      </c>
      <c r="AR70" s="249">
        <v>0.99060000000000004</v>
      </c>
      <c r="AS70" s="249">
        <v>0.99060000000000004</v>
      </c>
      <c r="AT70" s="249">
        <v>0.99050000000000005</v>
      </c>
      <c r="AU70" s="249">
        <v>0.99050000000000005</v>
      </c>
      <c r="AV70" s="249">
        <v>0.99039999999999995</v>
      </c>
      <c r="AW70" s="249">
        <v>0.99039999999999995</v>
      </c>
      <c r="AX70" s="249">
        <v>0.99029999999999996</v>
      </c>
      <c r="AY70" s="249">
        <v>0.99019999999999997</v>
      </c>
      <c r="AZ70" s="249">
        <v>0.99019999999999997</v>
      </c>
      <c r="BA70" s="251">
        <v>0.99009999999999998</v>
      </c>
    </row>
    <row r="71" spans="2:53" s="244" customFormat="1" ht="15.75" customHeight="1">
      <c r="B71" s="248">
        <v>79</v>
      </c>
      <c r="C71" s="249">
        <v>0.99250000000000005</v>
      </c>
      <c r="D71" s="249">
        <v>0.99250000000000005</v>
      </c>
      <c r="E71" s="249">
        <v>0.99239999999999995</v>
      </c>
      <c r="F71" s="249">
        <v>0.99239999999999995</v>
      </c>
      <c r="G71" s="249">
        <v>0.99229999999999996</v>
      </c>
      <c r="H71" s="249">
        <v>0.99229999999999996</v>
      </c>
      <c r="I71" s="249">
        <v>0.99219999999999997</v>
      </c>
      <c r="J71" s="249">
        <v>0.99219999999999997</v>
      </c>
      <c r="K71" s="249">
        <v>0.99209999999999998</v>
      </c>
      <c r="L71" s="249">
        <v>0.99209999999999998</v>
      </c>
      <c r="M71" s="249">
        <v>0.99199999999999999</v>
      </c>
      <c r="N71" s="249">
        <v>0.99199999999999999</v>
      </c>
      <c r="O71" s="249">
        <v>0.9919</v>
      </c>
      <c r="P71" s="249">
        <v>0.9919</v>
      </c>
      <c r="Q71" s="249">
        <v>0.99180000000000001</v>
      </c>
      <c r="R71" s="249">
        <v>0.99180000000000001</v>
      </c>
      <c r="S71" s="249">
        <v>0.99170000000000003</v>
      </c>
      <c r="T71" s="249">
        <v>0.99170000000000003</v>
      </c>
      <c r="U71" s="249">
        <v>0.99160000000000004</v>
      </c>
      <c r="V71" s="249">
        <v>0.99160000000000004</v>
      </c>
      <c r="W71" s="249">
        <v>0.99150000000000005</v>
      </c>
      <c r="X71" s="249">
        <v>0.99150000000000005</v>
      </c>
      <c r="Y71" s="249">
        <v>0.99139999999999995</v>
      </c>
      <c r="Z71" s="249">
        <v>0.99139999999999995</v>
      </c>
      <c r="AA71" s="249">
        <v>0.99129999999999996</v>
      </c>
      <c r="AB71" s="249">
        <v>0.99129999999999996</v>
      </c>
      <c r="AC71" s="249">
        <v>0.99119999999999997</v>
      </c>
      <c r="AD71" s="249">
        <v>0.99109999999999998</v>
      </c>
      <c r="AE71" s="249">
        <v>0.99109999999999998</v>
      </c>
      <c r="AF71" s="249">
        <v>0.99099999999999999</v>
      </c>
      <c r="AG71" s="249">
        <v>0.99099999999999999</v>
      </c>
      <c r="AH71" s="249">
        <v>0.9909</v>
      </c>
      <c r="AI71" s="249">
        <v>0.9909</v>
      </c>
      <c r="AJ71" s="249">
        <v>0.99080000000000001</v>
      </c>
      <c r="AK71" s="249">
        <v>0.99080000000000001</v>
      </c>
      <c r="AL71" s="249">
        <v>0.99070000000000003</v>
      </c>
      <c r="AM71" s="249">
        <v>0.99070000000000003</v>
      </c>
      <c r="AN71" s="249">
        <v>0.99060000000000004</v>
      </c>
      <c r="AO71" s="249">
        <v>0.99050000000000005</v>
      </c>
      <c r="AP71" s="249">
        <v>0.99050000000000005</v>
      </c>
      <c r="AQ71" s="249">
        <v>0.99039999999999995</v>
      </c>
      <c r="AR71" s="249">
        <v>0.99039999999999995</v>
      </c>
      <c r="AS71" s="249">
        <v>0.99029999999999996</v>
      </c>
      <c r="AT71" s="249">
        <v>0.99029999999999996</v>
      </c>
      <c r="AU71" s="249">
        <v>0.99019999999999997</v>
      </c>
      <c r="AV71" s="249">
        <v>0.99019999999999997</v>
      </c>
      <c r="AW71" s="249">
        <v>0.99009999999999998</v>
      </c>
      <c r="AX71" s="249">
        <v>0.99</v>
      </c>
      <c r="AY71" s="249">
        <v>0.99</v>
      </c>
      <c r="AZ71" s="249">
        <v>0.9899</v>
      </c>
      <c r="BA71" s="251">
        <v>0.9899</v>
      </c>
    </row>
    <row r="72" spans="2:53" s="244" customFormat="1" ht="15.75" customHeight="1">
      <c r="B72" s="248">
        <v>79.5</v>
      </c>
      <c r="C72" s="249">
        <v>0.99229999999999996</v>
      </c>
      <c r="D72" s="249">
        <v>0.99229999999999996</v>
      </c>
      <c r="E72" s="249">
        <v>0.99219999999999997</v>
      </c>
      <c r="F72" s="249">
        <v>0.99219999999999997</v>
      </c>
      <c r="G72" s="249">
        <v>0.99209999999999998</v>
      </c>
      <c r="H72" s="249">
        <v>0.99209999999999998</v>
      </c>
      <c r="I72" s="249">
        <v>0.99199999999999999</v>
      </c>
      <c r="J72" s="249">
        <v>0.99199999999999999</v>
      </c>
      <c r="K72" s="249">
        <v>0.9919</v>
      </c>
      <c r="L72" s="249">
        <v>0.9919</v>
      </c>
      <c r="M72" s="249">
        <v>0.99180000000000001</v>
      </c>
      <c r="N72" s="249">
        <v>0.99180000000000001</v>
      </c>
      <c r="O72" s="249">
        <v>0.99170000000000003</v>
      </c>
      <c r="P72" s="249">
        <v>0.99170000000000003</v>
      </c>
      <c r="Q72" s="249">
        <v>0.99160000000000004</v>
      </c>
      <c r="R72" s="249">
        <v>0.99160000000000004</v>
      </c>
      <c r="S72" s="249">
        <v>0.99150000000000005</v>
      </c>
      <c r="T72" s="249">
        <v>0.99150000000000005</v>
      </c>
      <c r="U72" s="249">
        <v>0.99139999999999995</v>
      </c>
      <c r="V72" s="249">
        <v>0.99129999999999996</v>
      </c>
      <c r="W72" s="249">
        <v>0.99129999999999996</v>
      </c>
      <c r="X72" s="249">
        <v>0.99119999999999997</v>
      </c>
      <c r="Y72" s="249">
        <v>0.99119999999999997</v>
      </c>
      <c r="Z72" s="249">
        <v>0.99109999999999998</v>
      </c>
      <c r="AA72" s="249">
        <v>0.99109999999999998</v>
      </c>
      <c r="AB72" s="249">
        <v>0.99099999999999999</v>
      </c>
      <c r="AC72" s="249">
        <v>0.99099999999999999</v>
      </c>
      <c r="AD72" s="249">
        <v>0.9909</v>
      </c>
      <c r="AE72" s="249">
        <v>0.9909</v>
      </c>
      <c r="AF72" s="249">
        <v>0.99080000000000001</v>
      </c>
      <c r="AG72" s="249">
        <v>0.99070000000000003</v>
      </c>
      <c r="AH72" s="249">
        <v>0.99070000000000003</v>
      </c>
      <c r="AI72" s="249">
        <v>0.99060000000000004</v>
      </c>
      <c r="AJ72" s="249">
        <v>0.99060000000000004</v>
      </c>
      <c r="AK72" s="249">
        <v>0.99050000000000005</v>
      </c>
      <c r="AL72" s="249">
        <v>0.99050000000000005</v>
      </c>
      <c r="AM72" s="249">
        <v>0.99039999999999995</v>
      </c>
      <c r="AN72" s="249">
        <v>0.99039999999999995</v>
      </c>
      <c r="AO72" s="249">
        <v>0.99029999999999996</v>
      </c>
      <c r="AP72" s="249">
        <v>0.99019999999999997</v>
      </c>
      <c r="AQ72" s="249">
        <v>0.99019999999999997</v>
      </c>
      <c r="AR72" s="249">
        <v>0.99009999999999998</v>
      </c>
      <c r="AS72" s="249">
        <v>0.99009999999999998</v>
      </c>
      <c r="AT72" s="249">
        <v>0.99</v>
      </c>
      <c r="AU72" s="249">
        <v>0.99</v>
      </c>
      <c r="AV72" s="249">
        <v>0.9899</v>
      </c>
      <c r="AW72" s="249">
        <v>0.98980000000000001</v>
      </c>
      <c r="AX72" s="249">
        <v>0.98980000000000001</v>
      </c>
      <c r="AY72" s="249">
        <v>0.98970000000000002</v>
      </c>
      <c r="AZ72" s="249">
        <v>0.98970000000000002</v>
      </c>
      <c r="BA72" s="251">
        <v>0.98960000000000004</v>
      </c>
    </row>
    <row r="73" spans="2:53" s="244" customFormat="1" ht="15.75" customHeight="1">
      <c r="B73" s="248">
        <v>80</v>
      </c>
      <c r="C73" s="249">
        <v>0.99209999999999998</v>
      </c>
      <c r="D73" s="249">
        <v>0.99209999999999998</v>
      </c>
      <c r="E73" s="249">
        <v>0.99199999999999999</v>
      </c>
      <c r="F73" s="249">
        <v>0.99199999999999999</v>
      </c>
      <c r="G73" s="249">
        <v>0.9919</v>
      </c>
      <c r="H73" s="249">
        <v>0.9919</v>
      </c>
      <c r="I73" s="249">
        <v>0.99180000000000001</v>
      </c>
      <c r="J73" s="249">
        <v>0.99180000000000001</v>
      </c>
      <c r="K73" s="249">
        <v>0.99170000000000003</v>
      </c>
      <c r="L73" s="249">
        <v>0.99170000000000003</v>
      </c>
      <c r="M73" s="249">
        <v>0.99160000000000004</v>
      </c>
      <c r="N73" s="249">
        <v>0.99160000000000004</v>
      </c>
      <c r="O73" s="249">
        <v>0.99150000000000005</v>
      </c>
      <c r="P73" s="249">
        <v>0.99150000000000005</v>
      </c>
      <c r="Q73" s="249">
        <v>0.99139999999999995</v>
      </c>
      <c r="R73" s="249">
        <v>0.99129999999999996</v>
      </c>
      <c r="S73" s="249">
        <v>0.99129999999999996</v>
      </c>
      <c r="T73" s="249">
        <v>0.99119999999999997</v>
      </c>
      <c r="U73" s="249">
        <v>0.99119999999999997</v>
      </c>
      <c r="V73" s="249">
        <v>0.99109999999999998</v>
      </c>
      <c r="W73" s="249">
        <v>0.99109999999999998</v>
      </c>
      <c r="X73" s="249">
        <v>0.99099999999999999</v>
      </c>
      <c r="Y73" s="249">
        <v>0.99099999999999999</v>
      </c>
      <c r="Z73" s="249">
        <v>0.9909</v>
      </c>
      <c r="AA73" s="249">
        <v>0.99080000000000001</v>
      </c>
      <c r="AB73" s="249">
        <v>0.99080000000000001</v>
      </c>
      <c r="AC73" s="249">
        <v>0.99070000000000003</v>
      </c>
      <c r="AD73" s="249">
        <v>0.99070000000000003</v>
      </c>
      <c r="AE73" s="249">
        <v>0.99060000000000004</v>
      </c>
      <c r="AF73" s="249">
        <v>0.99060000000000004</v>
      </c>
      <c r="AG73" s="249">
        <v>0.99050000000000005</v>
      </c>
      <c r="AH73" s="249">
        <v>0.99050000000000005</v>
      </c>
      <c r="AI73" s="249">
        <v>0.99039999999999995</v>
      </c>
      <c r="AJ73" s="249">
        <v>0.99029999999999996</v>
      </c>
      <c r="AK73" s="249">
        <v>0.99029999999999996</v>
      </c>
      <c r="AL73" s="249">
        <v>0.99019999999999997</v>
      </c>
      <c r="AM73" s="249">
        <v>0.99019999999999997</v>
      </c>
      <c r="AN73" s="249">
        <v>0.99009999999999998</v>
      </c>
      <c r="AO73" s="249">
        <v>0.99</v>
      </c>
      <c r="AP73" s="249">
        <v>0.99</v>
      </c>
      <c r="AQ73" s="249">
        <v>0.9899</v>
      </c>
      <c r="AR73" s="249">
        <v>0.9899</v>
      </c>
      <c r="AS73" s="249">
        <v>0.98980000000000001</v>
      </c>
      <c r="AT73" s="249">
        <v>0.98980000000000001</v>
      </c>
      <c r="AU73" s="249">
        <v>0.98970000000000002</v>
      </c>
      <c r="AV73" s="249">
        <v>0.98960000000000004</v>
      </c>
      <c r="AW73" s="249">
        <v>0.98960000000000004</v>
      </c>
      <c r="AX73" s="249">
        <v>0.98950000000000005</v>
      </c>
      <c r="AY73" s="249">
        <v>0.98950000000000005</v>
      </c>
      <c r="AZ73" s="249">
        <v>0.98939999999999995</v>
      </c>
      <c r="BA73" s="251">
        <v>0.98929999999999996</v>
      </c>
    </row>
    <row r="74" spans="2:53" s="244" customFormat="1" ht="15.75" customHeight="1">
      <c r="B74" s="248">
        <v>80.5</v>
      </c>
      <c r="C74" s="249">
        <v>0.9919</v>
      </c>
      <c r="D74" s="249">
        <v>0.9919</v>
      </c>
      <c r="E74" s="249">
        <v>0.99180000000000001</v>
      </c>
      <c r="F74" s="249">
        <v>0.99180000000000001</v>
      </c>
      <c r="G74" s="249">
        <v>0.99170000000000003</v>
      </c>
      <c r="H74" s="249">
        <v>0.99170000000000003</v>
      </c>
      <c r="I74" s="249">
        <v>0.99160000000000004</v>
      </c>
      <c r="J74" s="249">
        <v>0.99160000000000004</v>
      </c>
      <c r="K74" s="249">
        <v>0.99150000000000005</v>
      </c>
      <c r="L74" s="249">
        <v>0.99150000000000005</v>
      </c>
      <c r="M74" s="249">
        <v>0.99139999999999995</v>
      </c>
      <c r="N74" s="249">
        <v>0.99139999999999995</v>
      </c>
      <c r="O74" s="249">
        <v>0.99129999999999996</v>
      </c>
      <c r="P74" s="249">
        <v>0.99119999999999997</v>
      </c>
      <c r="Q74" s="249">
        <v>0.99119999999999997</v>
      </c>
      <c r="R74" s="249">
        <v>0.99109999999999998</v>
      </c>
      <c r="S74" s="249">
        <v>0.99109999999999998</v>
      </c>
      <c r="T74" s="249">
        <v>0.99099999999999999</v>
      </c>
      <c r="U74" s="249">
        <v>0.99099999999999999</v>
      </c>
      <c r="V74" s="249">
        <v>0.9909</v>
      </c>
      <c r="W74" s="249">
        <v>0.99080000000000001</v>
      </c>
      <c r="X74" s="249">
        <v>0.99080000000000001</v>
      </c>
      <c r="Y74" s="249">
        <v>0.99070000000000003</v>
      </c>
      <c r="Z74" s="249">
        <v>0.99070000000000003</v>
      </c>
      <c r="AA74" s="249">
        <v>0.99060000000000004</v>
      </c>
      <c r="AB74" s="249">
        <v>0.99060000000000004</v>
      </c>
      <c r="AC74" s="249">
        <v>0.99050000000000005</v>
      </c>
      <c r="AD74" s="249">
        <v>0.99039999999999995</v>
      </c>
      <c r="AE74" s="249">
        <v>0.99039999999999995</v>
      </c>
      <c r="AF74" s="249">
        <v>0.99029999999999996</v>
      </c>
      <c r="AG74" s="249">
        <v>0.99029999999999996</v>
      </c>
      <c r="AH74" s="249">
        <v>0.99019999999999997</v>
      </c>
      <c r="AI74" s="249">
        <v>0.99019999999999997</v>
      </c>
      <c r="AJ74" s="249">
        <v>0.99009999999999998</v>
      </c>
      <c r="AK74" s="249">
        <v>0.99</v>
      </c>
      <c r="AL74" s="249">
        <v>0.99</v>
      </c>
      <c r="AM74" s="249">
        <v>0.9899</v>
      </c>
      <c r="AN74" s="249">
        <v>0.9899</v>
      </c>
      <c r="AO74" s="249">
        <v>0.98980000000000001</v>
      </c>
      <c r="AP74" s="249">
        <v>0.98970000000000002</v>
      </c>
      <c r="AQ74" s="249">
        <v>0.98970000000000002</v>
      </c>
      <c r="AR74" s="249">
        <v>0.98960000000000004</v>
      </c>
      <c r="AS74" s="249">
        <v>0.98960000000000004</v>
      </c>
      <c r="AT74" s="249">
        <v>0.98950000000000005</v>
      </c>
      <c r="AU74" s="249">
        <v>0.98939999999999995</v>
      </c>
      <c r="AV74" s="249">
        <v>0.98939999999999995</v>
      </c>
      <c r="AW74" s="249">
        <v>0.98929999999999996</v>
      </c>
      <c r="AX74" s="249">
        <v>0.98919999999999997</v>
      </c>
      <c r="AY74" s="249">
        <v>0.98919999999999997</v>
      </c>
      <c r="AZ74" s="249">
        <v>0.98909999999999998</v>
      </c>
      <c r="BA74" s="251">
        <v>0.98909999999999998</v>
      </c>
    </row>
    <row r="75" spans="2:53" s="244" customFormat="1" ht="15.75" customHeight="1">
      <c r="B75" s="248">
        <v>81</v>
      </c>
      <c r="C75" s="249">
        <v>0.99180000000000001</v>
      </c>
      <c r="D75" s="249">
        <v>0.99170000000000003</v>
      </c>
      <c r="E75" s="249">
        <v>0.99160000000000004</v>
      </c>
      <c r="F75" s="249">
        <v>0.99160000000000004</v>
      </c>
      <c r="G75" s="249">
        <v>0.99150000000000005</v>
      </c>
      <c r="H75" s="249">
        <v>0.99150000000000005</v>
      </c>
      <c r="I75" s="249">
        <v>0.99139999999999995</v>
      </c>
      <c r="J75" s="249">
        <v>0.99139999999999995</v>
      </c>
      <c r="K75" s="249">
        <v>0.99129999999999996</v>
      </c>
      <c r="L75" s="249">
        <v>0.99129999999999996</v>
      </c>
      <c r="M75" s="249">
        <v>0.99119999999999997</v>
      </c>
      <c r="N75" s="249">
        <v>0.99109999999999998</v>
      </c>
      <c r="O75" s="249">
        <v>0.99109999999999998</v>
      </c>
      <c r="P75" s="249">
        <v>0.99099999999999999</v>
      </c>
      <c r="Q75" s="249">
        <v>0.99099999999999999</v>
      </c>
      <c r="R75" s="249">
        <v>0.9909</v>
      </c>
      <c r="S75" s="249">
        <v>0.9909</v>
      </c>
      <c r="T75" s="249">
        <v>0.99080000000000001</v>
      </c>
      <c r="U75" s="249">
        <v>0.99070000000000003</v>
      </c>
      <c r="V75" s="249">
        <v>0.99070000000000003</v>
      </c>
      <c r="W75" s="249">
        <v>0.99060000000000004</v>
      </c>
      <c r="X75" s="249">
        <v>0.99060000000000004</v>
      </c>
      <c r="Y75" s="249">
        <v>0.99050000000000005</v>
      </c>
      <c r="Z75" s="249">
        <v>0.99039999999999995</v>
      </c>
      <c r="AA75" s="249">
        <v>0.99039999999999995</v>
      </c>
      <c r="AB75" s="249">
        <v>0.99029999999999996</v>
      </c>
      <c r="AC75" s="249">
        <v>0.99029999999999996</v>
      </c>
      <c r="AD75" s="249">
        <v>0.99019999999999997</v>
      </c>
      <c r="AE75" s="249">
        <v>0.99019999999999997</v>
      </c>
      <c r="AF75" s="249">
        <v>0.99009999999999998</v>
      </c>
      <c r="AG75" s="249">
        <v>0.99</v>
      </c>
      <c r="AH75" s="249">
        <v>0.99</v>
      </c>
      <c r="AI75" s="249">
        <v>0.9899</v>
      </c>
      <c r="AJ75" s="249">
        <v>0.9899</v>
      </c>
      <c r="AK75" s="249">
        <v>0.98980000000000001</v>
      </c>
      <c r="AL75" s="249">
        <v>0.98970000000000002</v>
      </c>
      <c r="AM75" s="249">
        <v>0.98970000000000002</v>
      </c>
      <c r="AN75" s="249">
        <v>0.98960000000000004</v>
      </c>
      <c r="AO75" s="249">
        <v>0.98950000000000005</v>
      </c>
      <c r="AP75" s="249">
        <v>0.98950000000000005</v>
      </c>
      <c r="AQ75" s="249">
        <v>0.98939999999999995</v>
      </c>
      <c r="AR75" s="249">
        <v>0.98939999999999995</v>
      </c>
      <c r="AS75" s="249">
        <v>0.98929999999999996</v>
      </c>
      <c r="AT75" s="249">
        <v>0.98919999999999997</v>
      </c>
      <c r="AU75" s="249">
        <v>0.98919999999999997</v>
      </c>
      <c r="AV75" s="249">
        <v>0.98909999999999998</v>
      </c>
      <c r="AW75" s="249">
        <v>0.98899999999999999</v>
      </c>
      <c r="AX75" s="249">
        <v>0.98899999999999999</v>
      </c>
      <c r="AY75" s="249">
        <v>0.9889</v>
      </c>
      <c r="AZ75" s="249">
        <v>0.9889</v>
      </c>
      <c r="BA75" s="251">
        <v>0.98880000000000001</v>
      </c>
    </row>
    <row r="76" spans="2:53" s="244" customFormat="1" ht="15.75" customHeight="1">
      <c r="B76" s="248">
        <v>81.5</v>
      </c>
      <c r="C76" s="249">
        <v>0.99160000000000004</v>
      </c>
      <c r="D76" s="249">
        <v>0.99150000000000005</v>
      </c>
      <c r="E76" s="249">
        <v>0.99139999999999995</v>
      </c>
      <c r="F76" s="249">
        <v>0.99139999999999995</v>
      </c>
      <c r="G76" s="249">
        <v>0.99129999999999996</v>
      </c>
      <c r="H76" s="249">
        <v>0.99129999999999996</v>
      </c>
      <c r="I76" s="249">
        <v>0.99119999999999997</v>
      </c>
      <c r="J76" s="249">
        <v>0.99119999999999997</v>
      </c>
      <c r="K76" s="249">
        <v>0.99109999999999998</v>
      </c>
      <c r="L76" s="249">
        <v>0.99099999999999999</v>
      </c>
      <c r="M76" s="249">
        <v>0.99099999999999999</v>
      </c>
      <c r="N76" s="249">
        <v>0.9909</v>
      </c>
      <c r="O76" s="249">
        <v>0.9909</v>
      </c>
      <c r="P76" s="249">
        <v>0.99080000000000001</v>
      </c>
      <c r="Q76" s="249">
        <v>0.99080000000000001</v>
      </c>
      <c r="R76" s="249">
        <v>0.99070000000000003</v>
      </c>
      <c r="S76" s="249">
        <v>0.99060000000000004</v>
      </c>
      <c r="T76" s="249">
        <v>0.99060000000000004</v>
      </c>
      <c r="U76" s="249">
        <v>0.99050000000000005</v>
      </c>
      <c r="V76" s="249">
        <v>0.99050000000000005</v>
      </c>
      <c r="W76" s="249">
        <v>0.99039999999999995</v>
      </c>
      <c r="X76" s="249">
        <v>0.99029999999999996</v>
      </c>
      <c r="Y76" s="249">
        <v>0.99029999999999996</v>
      </c>
      <c r="Z76" s="249">
        <v>0.99019999999999997</v>
      </c>
      <c r="AA76" s="249">
        <v>0.99019999999999997</v>
      </c>
      <c r="AB76" s="249">
        <v>0.99009999999999998</v>
      </c>
      <c r="AC76" s="249">
        <v>0.99</v>
      </c>
      <c r="AD76" s="249">
        <v>0.99</v>
      </c>
      <c r="AE76" s="249">
        <v>0.9899</v>
      </c>
      <c r="AF76" s="249">
        <v>0.9899</v>
      </c>
      <c r="AG76" s="249">
        <v>0.98980000000000001</v>
      </c>
      <c r="AH76" s="249">
        <v>0.98970000000000002</v>
      </c>
      <c r="AI76" s="249">
        <v>0.98970000000000002</v>
      </c>
      <c r="AJ76" s="249">
        <v>0.98960000000000004</v>
      </c>
      <c r="AK76" s="249">
        <v>0.98950000000000005</v>
      </c>
      <c r="AL76" s="249">
        <v>0.98950000000000005</v>
      </c>
      <c r="AM76" s="249">
        <v>0.98939999999999995</v>
      </c>
      <c r="AN76" s="249">
        <v>0.98939999999999995</v>
      </c>
      <c r="AO76" s="249">
        <v>0.98929999999999996</v>
      </c>
      <c r="AP76" s="249">
        <v>0.98919999999999997</v>
      </c>
      <c r="AQ76" s="249">
        <v>0.98919999999999997</v>
      </c>
      <c r="AR76" s="249">
        <v>0.98909999999999998</v>
      </c>
      <c r="AS76" s="249">
        <v>0.98899999999999999</v>
      </c>
      <c r="AT76" s="249">
        <v>0.98899999999999999</v>
      </c>
      <c r="AU76" s="249">
        <v>0.9889</v>
      </c>
      <c r="AV76" s="249">
        <v>0.9889</v>
      </c>
      <c r="AW76" s="249">
        <v>0.98880000000000001</v>
      </c>
      <c r="AX76" s="249">
        <v>0.98870000000000002</v>
      </c>
      <c r="AY76" s="249">
        <v>0.98870000000000002</v>
      </c>
      <c r="AZ76" s="249">
        <v>0.98860000000000003</v>
      </c>
      <c r="BA76" s="251">
        <v>0.98850000000000005</v>
      </c>
    </row>
    <row r="77" spans="2:53" s="244" customFormat="1" ht="15.75" customHeight="1">
      <c r="B77" s="248">
        <v>82</v>
      </c>
      <c r="C77" s="249">
        <v>0.99139999999999995</v>
      </c>
      <c r="D77" s="249">
        <v>0.99129999999999996</v>
      </c>
      <c r="E77" s="249">
        <v>0.99119999999999997</v>
      </c>
      <c r="F77" s="249">
        <v>0.99119999999999997</v>
      </c>
      <c r="G77" s="249">
        <v>0.99109999999999998</v>
      </c>
      <c r="H77" s="249">
        <v>0.99109999999999998</v>
      </c>
      <c r="I77" s="249">
        <v>0.99099999999999999</v>
      </c>
      <c r="J77" s="249">
        <v>0.99099999999999999</v>
      </c>
      <c r="K77" s="249">
        <v>0.9909</v>
      </c>
      <c r="L77" s="249">
        <v>0.99080000000000001</v>
      </c>
      <c r="M77" s="249">
        <v>0.99080000000000001</v>
      </c>
      <c r="N77" s="249">
        <v>0.99070000000000003</v>
      </c>
      <c r="O77" s="249">
        <v>0.99070000000000003</v>
      </c>
      <c r="P77" s="249">
        <v>0.99060000000000004</v>
      </c>
      <c r="Q77" s="249">
        <v>0.99050000000000005</v>
      </c>
      <c r="R77" s="249">
        <v>0.99050000000000005</v>
      </c>
      <c r="S77" s="249">
        <v>0.99039999999999995</v>
      </c>
      <c r="T77" s="249">
        <v>0.99039999999999995</v>
      </c>
      <c r="U77" s="249">
        <v>0.99029999999999996</v>
      </c>
      <c r="V77" s="249">
        <v>0.99019999999999997</v>
      </c>
      <c r="W77" s="249">
        <v>0.99019999999999997</v>
      </c>
      <c r="X77" s="249">
        <v>0.99009999999999998</v>
      </c>
      <c r="Y77" s="249">
        <v>0.99009999999999998</v>
      </c>
      <c r="Z77" s="249">
        <v>0.99</v>
      </c>
      <c r="AA77" s="249">
        <v>0.9899</v>
      </c>
      <c r="AB77" s="249">
        <v>0.9899</v>
      </c>
      <c r="AC77" s="249">
        <v>0.98980000000000001</v>
      </c>
      <c r="AD77" s="249">
        <v>0.98970000000000002</v>
      </c>
      <c r="AE77" s="249">
        <v>0.98970000000000002</v>
      </c>
      <c r="AF77" s="249">
        <v>0.98960000000000004</v>
      </c>
      <c r="AG77" s="249">
        <v>0.98960000000000004</v>
      </c>
      <c r="AH77" s="249">
        <v>0.98950000000000005</v>
      </c>
      <c r="AI77" s="249">
        <v>0.98939999999999995</v>
      </c>
      <c r="AJ77" s="249">
        <v>0.98939999999999995</v>
      </c>
      <c r="AK77" s="249">
        <v>0.98929999999999996</v>
      </c>
      <c r="AL77" s="249">
        <v>0.98919999999999997</v>
      </c>
      <c r="AM77" s="249">
        <v>0.98919999999999997</v>
      </c>
      <c r="AN77" s="249">
        <v>0.98909999999999998</v>
      </c>
      <c r="AO77" s="249">
        <v>0.98899999999999999</v>
      </c>
      <c r="AP77" s="249">
        <v>0.98899999999999999</v>
      </c>
      <c r="AQ77" s="249">
        <v>0.9889</v>
      </c>
      <c r="AR77" s="249">
        <v>0.9889</v>
      </c>
      <c r="AS77" s="249">
        <v>0.98880000000000001</v>
      </c>
      <c r="AT77" s="249">
        <v>0.98870000000000002</v>
      </c>
      <c r="AU77" s="249">
        <v>0.98870000000000002</v>
      </c>
      <c r="AV77" s="249">
        <v>0.98860000000000003</v>
      </c>
      <c r="AW77" s="249">
        <v>0.98850000000000005</v>
      </c>
      <c r="AX77" s="249">
        <v>0.98850000000000005</v>
      </c>
      <c r="AY77" s="249">
        <v>0.98839999999999995</v>
      </c>
      <c r="AZ77" s="249">
        <v>0.98829999999999996</v>
      </c>
      <c r="BA77" s="251">
        <v>0.98829999999999996</v>
      </c>
    </row>
    <row r="78" spans="2:53" s="244" customFormat="1" ht="15.75" customHeight="1">
      <c r="B78" s="248">
        <v>82.5</v>
      </c>
      <c r="C78" s="249">
        <v>0.99119999999999997</v>
      </c>
      <c r="D78" s="249">
        <v>0.99109999999999998</v>
      </c>
      <c r="E78" s="249">
        <v>0.99099999999999999</v>
      </c>
      <c r="F78" s="249">
        <v>0.99099999999999999</v>
      </c>
      <c r="G78" s="249">
        <v>0.9909</v>
      </c>
      <c r="H78" s="249">
        <v>0.9909</v>
      </c>
      <c r="I78" s="249">
        <v>0.99080000000000001</v>
      </c>
      <c r="J78" s="249">
        <v>0.99070000000000003</v>
      </c>
      <c r="K78" s="249">
        <v>0.99070000000000003</v>
      </c>
      <c r="L78" s="249">
        <v>0.99060000000000004</v>
      </c>
      <c r="M78" s="249">
        <v>0.99060000000000004</v>
      </c>
      <c r="N78" s="249">
        <v>0.99050000000000005</v>
      </c>
      <c r="O78" s="249">
        <v>0.99039999999999995</v>
      </c>
      <c r="P78" s="249">
        <v>0.99039999999999995</v>
      </c>
      <c r="Q78" s="249">
        <v>0.99029999999999996</v>
      </c>
      <c r="R78" s="249">
        <v>0.99029999999999996</v>
      </c>
      <c r="S78" s="249">
        <v>0.99019999999999997</v>
      </c>
      <c r="T78" s="249">
        <v>0.99009999999999998</v>
      </c>
      <c r="U78" s="249">
        <v>0.99009999999999998</v>
      </c>
      <c r="V78" s="249">
        <v>0.99</v>
      </c>
      <c r="W78" s="249">
        <v>0.99</v>
      </c>
      <c r="X78" s="249">
        <v>0.9899</v>
      </c>
      <c r="Y78" s="249">
        <v>0.98980000000000001</v>
      </c>
      <c r="Z78" s="249">
        <v>0.98980000000000001</v>
      </c>
      <c r="AA78" s="249">
        <v>0.98970000000000002</v>
      </c>
      <c r="AB78" s="249">
        <v>0.98960000000000004</v>
      </c>
      <c r="AC78" s="249">
        <v>0.98960000000000004</v>
      </c>
      <c r="AD78" s="249">
        <v>0.98950000000000005</v>
      </c>
      <c r="AE78" s="249">
        <v>0.98939999999999995</v>
      </c>
      <c r="AF78" s="249">
        <v>0.98939999999999995</v>
      </c>
      <c r="AG78" s="249">
        <v>0.98929999999999996</v>
      </c>
      <c r="AH78" s="249">
        <v>0.98929999999999996</v>
      </c>
      <c r="AI78" s="249">
        <v>0.98919999999999997</v>
      </c>
      <c r="AJ78" s="249">
        <v>0.98909999999999998</v>
      </c>
      <c r="AK78" s="249">
        <v>0.98909999999999998</v>
      </c>
      <c r="AL78" s="249">
        <v>0.98899999999999999</v>
      </c>
      <c r="AM78" s="249">
        <v>0.9889</v>
      </c>
      <c r="AN78" s="249">
        <v>0.9889</v>
      </c>
      <c r="AO78" s="249">
        <v>0.98880000000000001</v>
      </c>
      <c r="AP78" s="249">
        <v>0.98870000000000002</v>
      </c>
      <c r="AQ78" s="249">
        <v>0.98870000000000002</v>
      </c>
      <c r="AR78" s="249">
        <v>0.98860000000000003</v>
      </c>
      <c r="AS78" s="249">
        <v>0.98850000000000005</v>
      </c>
      <c r="AT78" s="249">
        <v>0.98850000000000005</v>
      </c>
      <c r="AU78" s="249">
        <v>0.98839999999999995</v>
      </c>
      <c r="AV78" s="249">
        <v>0.98829999999999996</v>
      </c>
      <c r="AW78" s="249">
        <v>0.98829999999999996</v>
      </c>
      <c r="AX78" s="249">
        <v>0.98819999999999997</v>
      </c>
      <c r="AY78" s="249">
        <v>0.98809999999999998</v>
      </c>
      <c r="AZ78" s="249">
        <v>0.98809999999999998</v>
      </c>
      <c r="BA78" s="251">
        <v>0.98799999999999999</v>
      </c>
    </row>
    <row r="79" spans="2:53" s="244" customFormat="1" ht="15.75" customHeight="1">
      <c r="B79" s="248">
        <v>83</v>
      </c>
      <c r="C79" s="249">
        <v>0.99099999999999999</v>
      </c>
      <c r="D79" s="249">
        <v>0.9909</v>
      </c>
      <c r="E79" s="249">
        <v>0.99080000000000001</v>
      </c>
      <c r="F79" s="249">
        <v>0.99080000000000001</v>
      </c>
      <c r="G79" s="249">
        <v>0.99070000000000003</v>
      </c>
      <c r="H79" s="249">
        <v>0.99070000000000003</v>
      </c>
      <c r="I79" s="249">
        <v>0.99060000000000004</v>
      </c>
      <c r="J79" s="249">
        <v>0.99050000000000005</v>
      </c>
      <c r="K79" s="249">
        <v>0.99050000000000005</v>
      </c>
      <c r="L79" s="249">
        <v>0.99039999999999995</v>
      </c>
      <c r="M79" s="249">
        <v>0.99039999999999995</v>
      </c>
      <c r="N79" s="249">
        <v>0.99029999999999996</v>
      </c>
      <c r="O79" s="249">
        <v>0.99019999999999997</v>
      </c>
      <c r="P79" s="249">
        <v>0.99019999999999997</v>
      </c>
      <c r="Q79" s="249">
        <v>0.99009999999999998</v>
      </c>
      <c r="R79" s="249">
        <v>0.99</v>
      </c>
      <c r="S79" s="249">
        <v>0.99</v>
      </c>
      <c r="T79" s="249">
        <v>0.9899</v>
      </c>
      <c r="U79" s="249">
        <v>0.9899</v>
      </c>
      <c r="V79" s="249">
        <v>0.98980000000000001</v>
      </c>
      <c r="W79" s="249">
        <v>0.98970000000000002</v>
      </c>
      <c r="X79" s="249">
        <v>0.98970000000000002</v>
      </c>
      <c r="Y79" s="249">
        <v>0.98960000000000004</v>
      </c>
      <c r="Z79" s="249">
        <v>0.98950000000000005</v>
      </c>
      <c r="AA79" s="249">
        <v>0.98950000000000005</v>
      </c>
      <c r="AB79" s="249">
        <v>0.98939999999999995</v>
      </c>
      <c r="AC79" s="249">
        <v>0.98929999999999996</v>
      </c>
      <c r="AD79" s="249">
        <v>0.98929999999999996</v>
      </c>
      <c r="AE79" s="249">
        <v>0.98919999999999997</v>
      </c>
      <c r="AF79" s="249">
        <v>0.98909999999999998</v>
      </c>
      <c r="AG79" s="249">
        <v>0.98909999999999998</v>
      </c>
      <c r="AH79" s="249">
        <v>0.98899999999999999</v>
      </c>
      <c r="AI79" s="249">
        <v>0.9889</v>
      </c>
      <c r="AJ79" s="249">
        <v>0.9889</v>
      </c>
      <c r="AK79" s="249">
        <v>0.98880000000000001</v>
      </c>
      <c r="AL79" s="249">
        <v>0.98880000000000001</v>
      </c>
      <c r="AM79" s="249">
        <v>0.98870000000000002</v>
      </c>
      <c r="AN79" s="249">
        <v>0.98860000000000003</v>
      </c>
      <c r="AO79" s="249">
        <v>0.98850000000000005</v>
      </c>
      <c r="AP79" s="249">
        <v>0.98850000000000005</v>
      </c>
      <c r="AQ79" s="249">
        <v>0.98839999999999995</v>
      </c>
      <c r="AR79" s="249">
        <v>0.98829999999999996</v>
      </c>
      <c r="AS79" s="249">
        <v>0.98829999999999996</v>
      </c>
      <c r="AT79" s="249">
        <v>0.98819999999999997</v>
      </c>
      <c r="AU79" s="249">
        <v>0.98809999999999998</v>
      </c>
      <c r="AV79" s="249">
        <v>0.98809999999999998</v>
      </c>
      <c r="AW79" s="249">
        <v>0.98799999999999999</v>
      </c>
      <c r="AX79" s="249">
        <v>0.9879</v>
      </c>
      <c r="AY79" s="249">
        <v>0.9879</v>
      </c>
      <c r="AZ79" s="249">
        <v>0.98780000000000001</v>
      </c>
      <c r="BA79" s="251">
        <v>0.98770000000000002</v>
      </c>
    </row>
    <row r="80" spans="2:53" s="244" customFormat="1" ht="15.75" customHeight="1">
      <c r="B80" s="248">
        <v>83.5</v>
      </c>
      <c r="C80" s="249">
        <v>0.99080000000000001</v>
      </c>
      <c r="D80" s="249">
        <v>0.99070000000000003</v>
      </c>
      <c r="E80" s="249">
        <v>0.99060000000000004</v>
      </c>
      <c r="F80" s="249">
        <v>0.99060000000000004</v>
      </c>
      <c r="G80" s="249">
        <v>0.99050000000000005</v>
      </c>
      <c r="H80" s="249">
        <v>0.99050000000000005</v>
      </c>
      <c r="I80" s="249">
        <v>0.99039999999999995</v>
      </c>
      <c r="J80" s="249">
        <v>0.99029999999999996</v>
      </c>
      <c r="K80" s="249">
        <v>0.99029999999999996</v>
      </c>
      <c r="L80" s="249">
        <v>0.99019999999999997</v>
      </c>
      <c r="M80" s="249">
        <v>0.99009999999999998</v>
      </c>
      <c r="N80" s="249">
        <v>0.99009999999999998</v>
      </c>
      <c r="O80" s="249">
        <v>0.99</v>
      </c>
      <c r="P80" s="249">
        <v>0.99</v>
      </c>
      <c r="Q80" s="249">
        <v>0.9899</v>
      </c>
      <c r="R80" s="249">
        <v>0.98980000000000001</v>
      </c>
      <c r="S80" s="249">
        <v>0.98980000000000001</v>
      </c>
      <c r="T80" s="249">
        <v>0.98970000000000002</v>
      </c>
      <c r="U80" s="249">
        <v>0.98960000000000004</v>
      </c>
      <c r="V80" s="249">
        <v>0.98960000000000004</v>
      </c>
      <c r="W80" s="249">
        <v>0.98950000000000005</v>
      </c>
      <c r="X80" s="249">
        <v>0.98939999999999995</v>
      </c>
      <c r="Y80" s="249">
        <v>0.98939999999999995</v>
      </c>
      <c r="Z80" s="249">
        <v>0.98929999999999996</v>
      </c>
      <c r="AA80" s="249">
        <v>0.98919999999999997</v>
      </c>
      <c r="AB80" s="249">
        <v>0.98919999999999997</v>
      </c>
      <c r="AC80" s="249">
        <v>0.98909999999999998</v>
      </c>
      <c r="AD80" s="249">
        <v>0.98899999999999999</v>
      </c>
      <c r="AE80" s="249">
        <v>0.98899999999999999</v>
      </c>
      <c r="AF80" s="249">
        <v>0.9889</v>
      </c>
      <c r="AG80" s="249">
        <v>0.98880000000000001</v>
      </c>
      <c r="AH80" s="249">
        <v>0.98880000000000001</v>
      </c>
      <c r="AI80" s="249">
        <v>0.98870000000000002</v>
      </c>
      <c r="AJ80" s="249">
        <v>0.98860000000000003</v>
      </c>
      <c r="AK80" s="249">
        <v>0.98860000000000003</v>
      </c>
      <c r="AL80" s="249">
        <v>0.98850000000000005</v>
      </c>
      <c r="AM80" s="249">
        <v>0.98839999999999995</v>
      </c>
      <c r="AN80" s="249">
        <v>0.98839999999999995</v>
      </c>
      <c r="AO80" s="249">
        <v>0.98829999999999996</v>
      </c>
      <c r="AP80" s="249">
        <v>0.98819999999999997</v>
      </c>
      <c r="AQ80" s="249">
        <v>0.98819999999999997</v>
      </c>
      <c r="AR80" s="249">
        <v>0.98809999999999998</v>
      </c>
      <c r="AS80" s="249">
        <v>0.98799999999999999</v>
      </c>
      <c r="AT80" s="249">
        <v>0.98799999999999999</v>
      </c>
      <c r="AU80" s="249">
        <v>0.9879</v>
      </c>
      <c r="AV80" s="249">
        <v>0.98780000000000001</v>
      </c>
      <c r="AW80" s="249">
        <v>0.98770000000000002</v>
      </c>
      <c r="AX80" s="249">
        <v>0.98770000000000002</v>
      </c>
      <c r="AY80" s="249">
        <v>0.98760000000000003</v>
      </c>
      <c r="AZ80" s="249">
        <v>0.98750000000000004</v>
      </c>
      <c r="BA80" s="251">
        <v>0.98750000000000004</v>
      </c>
    </row>
    <row r="81" spans="2:53" s="244" customFormat="1" ht="15.75" customHeight="1">
      <c r="B81" s="248">
        <v>84</v>
      </c>
      <c r="C81" s="249">
        <v>0.99060000000000004</v>
      </c>
      <c r="D81" s="249">
        <v>0.99050000000000005</v>
      </c>
      <c r="E81" s="249">
        <v>0.99039999999999995</v>
      </c>
      <c r="F81" s="249">
        <v>0.99039999999999995</v>
      </c>
      <c r="G81" s="249">
        <v>0.99029999999999996</v>
      </c>
      <c r="H81" s="249">
        <v>0.99029999999999996</v>
      </c>
      <c r="I81" s="249">
        <v>0.99019999999999997</v>
      </c>
      <c r="J81" s="249">
        <v>0.99009999999999998</v>
      </c>
      <c r="K81" s="249">
        <v>0.99009999999999998</v>
      </c>
      <c r="L81" s="249">
        <v>0.99</v>
      </c>
      <c r="M81" s="249">
        <v>0.9899</v>
      </c>
      <c r="N81" s="249">
        <v>0.9899</v>
      </c>
      <c r="O81" s="249">
        <v>0.98980000000000001</v>
      </c>
      <c r="P81" s="249">
        <v>0.98970000000000002</v>
      </c>
      <c r="Q81" s="249">
        <v>0.98970000000000002</v>
      </c>
      <c r="R81" s="249">
        <v>0.98960000000000004</v>
      </c>
      <c r="S81" s="249">
        <v>0.98950000000000005</v>
      </c>
      <c r="T81" s="249">
        <v>0.98950000000000005</v>
      </c>
      <c r="U81" s="249">
        <v>0.98939999999999995</v>
      </c>
      <c r="V81" s="249">
        <v>0.98929999999999996</v>
      </c>
      <c r="W81" s="249">
        <v>0.98929999999999996</v>
      </c>
      <c r="X81" s="249">
        <v>0.98919999999999997</v>
      </c>
      <c r="Y81" s="249">
        <v>0.98909999999999998</v>
      </c>
      <c r="Z81" s="249">
        <v>0.98909999999999998</v>
      </c>
      <c r="AA81" s="249">
        <v>0.98899999999999999</v>
      </c>
      <c r="AB81" s="249">
        <v>0.9889</v>
      </c>
      <c r="AC81" s="249">
        <v>0.9889</v>
      </c>
      <c r="AD81" s="249">
        <v>0.98880000000000001</v>
      </c>
      <c r="AE81" s="249">
        <v>0.98870000000000002</v>
      </c>
      <c r="AF81" s="249">
        <v>0.98870000000000002</v>
      </c>
      <c r="AG81" s="249">
        <v>0.98860000000000003</v>
      </c>
      <c r="AH81" s="249">
        <v>0.98850000000000005</v>
      </c>
      <c r="AI81" s="249">
        <v>0.98850000000000005</v>
      </c>
      <c r="AJ81" s="249">
        <v>0.98839999999999995</v>
      </c>
      <c r="AK81" s="249">
        <v>0.98829999999999996</v>
      </c>
      <c r="AL81" s="249">
        <v>0.98829999999999996</v>
      </c>
      <c r="AM81" s="249">
        <v>0.98819999999999997</v>
      </c>
      <c r="AN81" s="249">
        <v>0.98809999999999998</v>
      </c>
      <c r="AO81" s="249">
        <v>0.98799999999999999</v>
      </c>
      <c r="AP81" s="249">
        <v>0.98799999999999999</v>
      </c>
      <c r="AQ81" s="249">
        <v>0.9879</v>
      </c>
      <c r="AR81" s="249">
        <v>0.98780000000000001</v>
      </c>
      <c r="AS81" s="249">
        <v>0.98780000000000001</v>
      </c>
      <c r="AT81" s="249">
        <v>0.98770000000000002</v>
      </c>
      <c r="AU81" s="249">
        <v>0.98760000000000003</v>
      </c>
      <c r="AV81" s="249">
        <v>0.98760000000000003</v>
      </c>
      <c r="AW81" s="249">
        <v>0.98750000000000004</v>
      </c>
      <c r="AX81" s="249">
        <v>0.98740000000000006</v>
      </c>
      <c r="AY81" s="249">
        <v>0.98729999999999996</v>
      </c>
      <c r="AZ81" s="249">
        <v>0.98729999999999996</v>
      </c>
      <c r="BA81" s="251">
        <v>0.98719999999999997</v>
      </c>
    </row>
    <row r="82" spans="2:53" s="244" customFormat="1" ht="15.75" customHeight="1">
      <c r="B82" s="248">
        <v>84.5</v>
      </c>
      <c r="C82" s="249">
        <v>0.99039999999999995</v>
      </c>
      <c r="D82" s="249">
        <v>0.99029999999999996</v>
      </c>
      <c r="E82" s="249">
        <v>0.99019999999999997</v>
      </c>
      <c r="F82" s="249">
        <v>0.99019999999999997</v>
      </c>
      <c r="G82" s="249">
        <v>0.99009999999999998</v>
      </c>
      <c r="H82" s="249">
        <v>0.99009999999999998</v>
      </c>
      <c r="I82" s="249">
        <v>0.99</v>
      </c>
      <c r="J82" s="249">
        <v>0.9899</v>
      </c>
      <c r="K82" s="249">
        <v>0.9899</v>
      </c>
      <c r="L82" s="249">
        <v>0.98980000000000001</v>
      </c>
      <c r="M82" s="249">
        <v>0.98970000000000002</v>
      </c>
      <c r="N82" s="249">
        <v>0.98970000000000002</v>
      </c>
      <c r="O82" s="249">
        <v>0.98960000000000004</v>
      </c>
      <c r="P82" s="249">
        <v>0.98950000000000005</v>
      </c>
      <c r="Q82" s="249">
        <v>0.98950000000000005</v>
      </c>
      <c r="R82" s="249">
        <v>0.98939999999999995</v>
      </c>
      <c r="S82" s="249">
        <v>0.98929999999999996</v>
      </c>
      <c r="T82" s="249">
        <v>0.98929999999999996</v>
      </c>
      <c r="U82" s="249">
        <v>0.98919999999999997</v>
      </c>
      <c r="V82" s="249">
        <v>0.98909999999999998</v>
      </c>
      <c r="W82" s="249">
        <v>0.98909999999999998</v>
      </c>
      <c r="X82" s="249">
        <v>0.98899999999999999</v>
      </c>
      <c r="Y82" s="249">
        <v>0.9889</v>
      </c>
      <c r="Z82" s="249">
        <v>0.9889</v>
      </c>
      <c r="AA82" s="249">
        <v>0.98880000000000001</v>
      </c>
      <c r="AB82" s="249">
        <v>0.98870000000000002</v>
      </c>
      <c r="AC82" s="249">
        <v>0.98860000000000003</v>
      </c>
      <c r="AD82" s="249">
        <v>0.98860000000000003</v>
      </c>
      <c r="AE82" s="249">
        <v>0.98850000000000005</v>
      </c>
      <c r="AF82" s="249">
        <v>0.98839999999999995</v>
      </c>
      <c r="AG82" s="249">
        <v>0.98839999999999995</v>
      </c>
      <c r="AH82" s="249">
        <v>0.98829999999999996</v>
      </c>
      <c r="AI82" s="249">
        <v>0.98819999999999997</v>
      </c>
      <c r="AJ82" s="249">
        <v>0.98819999999999997</v>
      </c>
      <c r="AK82" s="249">
        <v>0.98809999999999998</v>
      </c>
      <c r="AL82" s="249">
        <v>0.98799999999999999</v>
      </c>
      <c r="AM82" s="249">
        <v>0.9879</v>
      </c>
      <c r="AN82" s="249">
        <v>0.9879</v>
      </c>
      <c r="AO82" s="249">
        <v>0.98780000000000001</v>
      </c>
      <c r="AP82" s="249">
        <v>0.98770000000000002</v>
      </c>
      <c r="AQ82" s="249">
        <v>0.98770000000000002</v>
      </c>
      <c r="AR82" s="249">
        <v>0.98760000000000003</v>
      </c>
      <c r="AS82" s="249">
        <v>0.98750000000000004</v>
      </c>
      <c r="AT82" s="249">
        <v>0.98740000000000006</v>
      </c>
      <c r="AU82" s="249">
        <v>0.98740000000000006</v>
      </c>
      <c r="AV82" s="249">
        <v>0.98729999999999996</v>
      </c>
      <c r="AW82" s="249">
        <v>0.98719999999999997</v>
      </c>
      <c r="AX82" s="249">
        <v>0.98709999999999998</v>
      </c>
      <c r="AY82" s="249">
        <v>0.98709999999999998</v>
      </c>
      <c r="AZ82" s="249">
        <v>0.98699999999999999</v>
      </c>
      <c r="BA82" s="251">
        <v>0.9869</v>
      </c>
    </row>
    <row r="83" spans="2:53" s="244" customFormat="1" ht="15.75" customHeight="1">
      <c r="B83" s="248">
        <v>85</v>
      </c>
      <c r="C83" s="249">
        <v>0.99019999999999997</v>
      </c>
      <c r="D83" s="249">
        <v>0.99009999999999998</v>
      </c>
      <c r="E83" s="249">
        <v>0.99</v>
      </c>
      <c r="F83" s="249">
        <v>0.99</v>
      </c>
      <c r="G83" s="249">
        <v>0.9899</v>
      </c>
      <c r="H83" s="249">
        <v>0.98980000000000001</v>
      </c>
      <c r="I83" s="249">
        <v>0.98980000000000001</v>
      </c>
      <c r="J83" s="249">
        <v>0.98970000000000002</v>
      </c>
      <c r="K83" s="249">
        <v>0.98970000000000002</v>
      </c>
      <c r="L83" s="249">
        <v>0.98960000000000004</v>
      </c>
      <c r="M83" s="249">
        <v>0.98950000000000005</v>
      </c>
      <c r="N83" s="249">
        <v>0.98939999999999995</v>
      </c>
      <c r="O83" s="249">
        <v>0.98939999999999995</v>
      </c>
      <c r="P83" s="249">
        <v>0.98929999999999996</v>
      </c>
      <c r="Q83" s="249">
        <v>0.98919999999999997</v>
      </c>
      <c r="R83" s="249">
        <v>0.98919999999999997</v>
      </c>
      <c r="S83" s="249">
        <v>0.98909999999999998</v>
      </c>
      <c r="T83" s="249">
        <v>0.98899999999999999</v>
      </c>
      <c r="U83" s="249">
        <v>0.98899999999999999</v>
      </c>
      <c r="V83" s="249">
        <v>0.9889</v>
      </c>
      <c r="W83" s="249">
        <v>0.98880000000000001</v>
      </c>
      <c r="X83" s="249">
        <v>0.98880000000000001</v>
      </c>
      <c r="Y83" s="249">
        <v>0.98870000000000002</v>
      </c>
      <c r="Z83" s="249">
        <v>0.98860000000000003</v>
      </c>
      <c r="AA83" s="249">
        <v>0.98860000000000003</v>
      </c>
      <c r="AB83" s="249">
        <v>0.98850000000000005</v>
      </c>
      <c r="AC83" s="249">
        <v>0.98839999999999995</v>
      </c>
      <c r="AD83" s="249">
        <v>0.98829999999999996</v>
      </c>
      <c r="AE83" s="249">
        <v>0.98829999999999996</v>
      </c>
      <c r="AF83" s="249">
        <v>0.98819999999999997</v>
      </c>
      <c r="AG83" s="249">
        <v>0.98809999999999998</v>
      </c>
      <c r="AH83" s="249">
        <v>0.98809999999999998</v>
      </c>
      <c r="AI83" s="249">
        <v>0.98799999999999999</v>
      </c>
      <c r="AJ83" s="249">
        <v>0.9879</v>
      </c>
      <c r="AK83" s="249">
        <v>0.98780000000000001</v>
      </c>
      <c r="AL83" s="249">
        <v>0.98780000000000001</v>
      </c>
      <c r="AM83" s="249">
        <v>0.98770000000000002</v>
      </c>
      <c r="AN83" s="249">
        <v>0.98760000000000003</v>
      </c>
      <c r="AO83" s="249">
        <v>0.98760000000000003</v>
      </c>
      <c r="AP83" s="249">
        <v>0.98750000000000004</v>
      </c>
      <c r="AQ83" s="249">
        <v>0.98740000000000006</v>
      </c>
      <c r="AR83" s="249">
        <v>0.98729999999999996</v>
      </c>
      <c r="AS83" s="249">
        <v>0.98729999999999996</v>
      </c>
      <c r="AT83" s="249">
        <v>0.98719999999999997</v>
      </c>
      <c r="AU83" s="249">
        <v>0.98709999999999998</v>
      </c>
      <c r="AV83" s="249">
        <v>0.98699999999999999</v>
      </c>
      <c r="AW83" s="249">
        <v>0.98699999999999999</v>
      </c>
      <c r="AX83" s="249">
        <v>0.9869</v>
      </c>
      <c r="AY83" s="249">
        <v>0.98680000000000001</v>
      </c>
      <c r="AZ83" s="249">
        <v>0.98670000000000002</v>
      </c>
      <c r="BA83" s="251">
        <v>0.98670000000000002</v>
      </c>
    </row>
    <row r="84" spans="2:53" s="244" customFormat="1" ht="15.75" customHeight="1">
      <c r="B84" s="248">
        <v>85.5</v>
      </c>
      <c r="C84" s="249">
        <v>0.99</v>
      </c>
      <c r="D84" s="249">
        <v>0.9899</v>
      </c>
      <c r="E84" s="249">
        <v>0.98980000000000001</v>
      </c>
      <c r="F84" s="249">
        <v>0.98980000000000001</v>
      </c>
      <c r="G84" s="249">
        <v>0.98970000000000002</v>
      </c>
      <c r="H84" s="249">
        <v>0.98960000000000004</v>
      </c>
      <c r="I84" s="249">
        <v>0.98960000000000004</v>
      </c>
      <c r="J84" s="249">
        <v>0.98950000000000005</v>
      </c>
      <c r="K84" s="249">
        <v>0.98939999999999995</v>
      </c>
      <c r="L84" s="249">
        <v>0.98939999999999995</v>
      </c>
      <c r="M84" s="249">
        <v>0.98929999999999996</v>
      </c>
      <c r="N84" s="249">
        <v>0.98919999999999997</v>
      </c>
      <c r="O84" s="249">
        <v>0.98919999999999997</v>
      </c>
      <c r="P84" s="249">
        <v>0.98909999999999998</v>
      </c>
      <c r="Q84" s="249">
        <v>0.98899999999999999</v>
      </c>
      <c r="R84" s="249">
        <v>0.98899999999999999</v>
      </c>
      <c r="S84" s="249">
        <v>0.9889</v>
      </c>
      <c r="T84" s="249">
        <v>0.98880000000000001</v>
      </c>
      <c r="U84" s="249">
        <v>0.98880000000000001</v>
      </c>
      <c r="V84" s="249">
        <v>0.98870000000000002</v>
      </c>
      <c r="W84" s="249">
        <v>0.98860000000000003</v>
      </c>
      <c r="X84" s="249">
        <v>0.98850000000000005</v>
      </c>
      <c r="Y84" s="249">
        <v>0.98850000000000005</v>
      </c>
      <c r="Z84" s="249">
        <v>0.98839999999999995</v>
      </c>
      <c r="AA84" s="249">
        <v>0.98829999999999996</v>
      </c>
      <c r="AB84" s="249">
        <v>0.98829999999999996</v>
      </c>
      <c r="AC84" s="249">
        <v>0.98819999999999997</v>
      </c>
      <c r="AD84" s="249">
        <v>0.98809999999999998</v>
      </c>
      <c r="AE84" s="249">
        <v>0.98799999999999999</v>
      </c>
      <c r="AF84" s="249">
        <v>0.98799999999999999</v>
      </c>
      <c r="AG84" s="249">
        <v>0.9879</v>
      </c>
      <c r="AH84" s="249">
        <v>0.98780000000000001</v>
      </c>
      <c r="AI84" s="249">
        <v>0.98770000000000002</v>
      </c>
      <c r="AJ84" s="249">
        <v>0.98770000000000002</v>
      </c>
      <c r="AK84" s="249">
        <v>0.98760000000000003</v>
      </c>
      <c r="AL84" s="249">
        <v>0.98750000000000004</v>
      </c>
      <c r="AM84" s="249">
        <v>0.98740000000000006</v>
      </c>
      <c r="AN84" s="249">
        <v>0.98740000000000006</v>
      </c>
      <c r="AO84" s="249">
        <v>0.98729999999999996</v>
      </c>
      <c r="AP84" s="249">
        <v>0.98719999999999997</v>
      </c>
      <c r="AQ84" s="249">
        <v>0.98709999999999998</v>
      </c>
      <c r="AR84" s="249">
        <v>0.98709999999999998</v>
      </c>
      <c r="AS84" s="249">
        <v>0.98699999999999999</v>
      </c>
      <c r="AT84" s="249">
        <v>0.9869</v>
      </c>
      <c r="AU84" s="249">
        <v>0.98680000000000001</v>
      </c>
      <c r="AV84" s="249">
        <v>0.98680000000000001</v>
      </c>
      <c r="AW84" s="249">
        <v>0.98670000000000002</v>
      </c>
      <c r="AX84" s="249">
        <v>0.98660000000000003</v>
      </c>
      <c r="AY84" s="249">
        <v>0.98650000000000004</v>
      </c>
      <c r="AZ84" s="249">
        <v>0.98650000000000004</v>
      </c>
      <c r="BA84" s="251">
        <v>0.98640000000000005</v>
      </c>
    </row>
    <row r="85" spans="2:53" s="244" customFormat="1" ht="15.75" customHeight="1">
      <c r="B85" s="248">
        <v>86</v>
      </c>
      <c r="C85" s="249">
        <v>0.98980000000000001</v>
      </c>
      <c r="D85" s="249">
        <v>0.98970000000000002</v>
      </c>
      <c r="E85" s="249">
        <v>0.98960000000000004</v>
      </c>
      <c r="F85" s="249">
        <v>0.98960000000000004</v>
      </c>
      <c r="G85" s="249">
        <v>0.98950000000000005</v>
      </c>
      <c r="H85" s="249">
        <v>0.98939999999999995</v>
      </c>
      <c r="I85" s="249">
        <v>0.98939999999999995</v>
      </c>
      <c r="J85" s="249">
        <v>0.98929999999999996</v>
      </c>
      <c r="K85" s="249">
        <v>0.98919999999999997</v>
      </c>
      <c r="L85" s="249">
        <v>0.98919999999999997</v>
      </c>
      <c r="M85" s="249">
        <v>0.98909999999999998</v>
      </c>
      <c r="N85" s="249">
        <v>0.98899999999999999</v>
      </c>
      <c r="O85" s="249">
        <v>0.98899999999999999</v>
      </c>
      <c r="P85" s="249">
        <v>0.9889</v>
      </c>
      <c r="Q85" s="249">
        <v>0.98880000000000001</v>
      </c>
      <c r="R85" s="249">
        <v>0.98870000000000002</v>
      </c>
      <c r="S85" s="249">
        <v>0.98870000000000002</v>
      </c>
      <c r="T85" s="249">
        <v>0.98860000000000003</v>
      </c>
      <c r="U85" s="249">
        <v>0.98850000000000005</v>
      </c>
      <c r="V85" s="249">
        <v>0.98850000000000005</v>
      </c>
      <c r="W85" s="249">
        <v>0.98839999999999995</v>
      </c>
      <c r="X85" s="249">
        <v>0.98829999999999996</v>
      </c>
      <c r="Y85" s="249">
        <v>0.98819999999999997</v>
      </c>
      <c r="Z85" s="249">
        <v>0.98819999999999997</v>
      </c>
      <c r="AA85" s="249">
        <v>0.98809999999999998</v>
      </c>
      <c r="AB85" s="249">
        <v>0.98799999999999999</v>
      </c>
      <c r="AC85" s="249">
        <v>0.9879</v>
      </c>
      <c r="AD85" s="249">
        <v>0.9879</v>
      </c>
      <c r="AE85" s="249">
        <v>0.98780000000000001</v>
      </c>
      <c r="AF85" s="249">
        <v>0.98770000000000002</v>
      </c>
      <c r="AG85" s="249">
        <v>0.98770000000000002</v>
      </c>
      <c r="AH85" s="249">
        <v>0.98760000000000003</v>
      </c>
      <c r="AI85" s="249">
        <v>0.98750000000000004</v>
      </c>
      <c r="AJ85" s="249">
        <v>0.98740000000000006</v>
      </c>
      <c r="AK85" s="249">
        <v>0.98740000000000006</v>
      </c>
      <c r="AL85" s="249">
        <v>0.98729999999999996</v>
      </c>
      <c r="AM85" s="249">
        <v>0.98719999999999997</v>
      </c>
      <c r="AN85" s="249">
        <v>0.98709999999999998</v>
      </c>
      <c r="AO85" s="249">
        <v>0.98709999999999998</v>
      </c>
      <c r="AP85" s="249">
        <v>0.98699999999999999</v>
      </c>
      <c r="AQ85" s="249">
        <v>0.9869</v>
      </c>
      <c r="AR85" s="249">
        <v>0.98680000000000001</v>
      </c>
      <c r="AS85" s="249">
        <v>0.98670000000000002</v>
      </c>
      <c r="AT85" s="249">
        <v>0.98670000000000002</v>
      </c>
      <c r="AU85" s="249">
        <v>0.98660000000000003</v>
      </c>
      <c r="AV85" s="249">
        <v>0.98650000000000004</v>
      </c>
      <c r="AW85" s="249">
        <v>0.98640000000000005</v>
      </c>
      <c r="AX85" s="249">
        <v>0.98640000000000005</v>
      </c>
      <c r="AY85" s="249">
        <v>0.98629999999999995</v>
      </c>
      <c r="AZ85" s="249">
        <v>0.98619999999999997</v>
      </c>
      <c r="BA85" s="251">
        <v>0.98609999999999998</v>
      </c>
    </row>
    <row r="86" spans="2:53" s="244" customFormat="1" ht="15.75" customHeight="1">
      <c r="B86" s="248">
        <v>86.5</v>
      </c>
      <c r="C86" s="249">
        <v>0.98960000000000004</v>
      </c>
      <c r="D86" s="249">
        <v>0.98950000000000005</v>
      </c>
      <c r="E86" s="249">
        <v>0.98939999999999995</v>
      </c>
      <c r="F86" s="249">
        <v>0.98939999999999995</v>
      </c>
      <c r="G86" s="249">
        <v>0.98929999999999996</v>
      </c>
      <c r="H86" s="249">
        <v>0.98919999999999997</v>
      </c>
      <c r="I86" s="249">
        <v>0.98919999999999997</v>
      </c>
      <c r="J86" s="249">
        <v>0.98909999999999998</v>
      </c>
      <c r="K86" s="249">
        <v>0.98899999999999999</v>
      </c>
      <c r="L86" s="249">
        <v>0.98899999999999999</v>
      </c>
      <c r="M86" s="249">
        <v>0.9889</v>
      </c>
      <c r="N86" s="249">
        <v>0.98880000000000001</v>
      </c>
      <c r="O86" s="249">
        <v>0.98870000000000002</v>
      </c>
      <c r="P86" s="249">
        <v>0.98870000000000002</v>
      </c>
      <c r="Q86" s="249">
        <v>0.98860000000000003</v>
      </c>
      <c r="R86" s="249">
        <v>0.98850000000000005</v>
      </c>
      <c r="S86" s="249">
        <v>0.98850000000000005</v>
      </c>
      <c r="T86" s="249">
        <v>0.98839999999999995</v>
      </c>
      <c r="U86" s="249">
        <v>0.98829999999999996</v>
      </c>
      <c r="V86" s="249">
        <v>0.98819999999999997</v>
      </c>
      <c r="W86" s="249">
        <v>0.98819999999999997</v>
      </c>
      <c r="X86" s="249">
        <v>0.98809999999999998</v>
      </c>
      <c r="Y86" s="249">
        <v>0.98799999999999999</v>
      </c>
      <c r="Z86" s="249">
        <v>0.9879</v>
      </c>
      <c r="AA86" s="249">
        <v>0.9879</v>
      </c>
      <c r="AB86" s="249">
        <v>0.98780000000000001</v>
      </c>
      <c r="AC86" s="249">
        <v>0.98770000000000002</v>
      </c>
      <c r="AD86" s="249">
        <v>0.98760000000000003</v>
      </c>
      <c r="AE86" s="249">
        <v>0.98760000000000003</v>
      </c>
      <c r="AF86" s="249">
        <v>0.98750000000000004</v>
      </c>
      <c r="AG86" s="249">
        <v>0.98740000000000006</v>
      </c>
      <c r="AH86" s="249">
        <v>0.98729999999999996</v>
      </c>
      <c r="AI86" s="249">
        <v>0.98729999999999996</v>
      </c>
      <c r="AJ86" s="249">
        <v>0.98719999999999997</v>
      </c>
      <c r="AK86" s="249">
        <v>0.98709999999999998</v>
      </c>
      <c r="AL86" s="249">
        <v>0.98699999999999999</v>
      </c>
      <c r="AM86" s="249">
        <v>0.98699999999999999</v>
      </c>
      <c r="AN86" s="249">
        <v>0.9869</v>
      </c>
      <c r="AO86" s="249">
        <v>0.98680000000000001</v>
      </c>
      <c r="AP86" s="249">
        <v>0.98670000000000002</v>
      </c>
      <c r="AQ86" s="249">
        <v>0.98660000000000003</v>
      </c>
      <c r="AR86" s="249">
        <v>0.98660000000000003</v>
      </c>
      <c r="AS86" s="249">
        <v>0.98650000000000004</v>
      </c>
      <c r="AT86" s="249">
        <v>0.98640000000000005</v>
      </c>
      <c r="AU86" s="249">
        <v>0.98629999999999995</v>
      </c>
      <c r="AV86" s="249">
        <v>0.98629999999999995</v>
      </c>
      <c r="AW86" s="249">
        <v>0.98619999999999997</v>
      </c>
      <c r="AX86" s="249">
        <v>0.98609999999999998</v>
      </c>
      <c r="AY86" s="249">
        <v>0.98599999999999999</v>
      </c>
      <c r="AZ86" s="249">
        <v>0.9859</v>
      </c>
      <c r="BA86" s="251">
        <v>0.98580000000000001</v>
      </c>
    </row>
    <row r="87" spans="2:53" s="244" customFormat="1" ht="15.75" customHeight="1">
      <c r="B87" s="248">
        <v>87</v>
      </c>
      <c r="C87" s="249">
        <v>0.98939999999999995</v>
      </c>
      <c r="D87" s="249">
        <v>0.98929999999999996</v>
      </c>
      <c r="E87" s="249">
        <v>0.98919999999999997</v>
      </c>
      <c r="F87" s="249">
        <v>0.98919999999999997</v>
      </c>
      <c r="G87" s="249">
        <v>0.98909999999999998</v>
      </c>
      <c r="H87" s="249">
        <v>0.98899999999999999</v>
      </c>
      <c r="I87" s="249">
        <v>0.98899999999999999</v>
      </c>
      <c r="J87" s="249">
        <v>0.9889</v>
      </c>
      <c r="K87" s="249">
        <v>0.98880000000000001</v>
      </c>
      <c r="L87" s="249">
        <v>0.98870000000000002</v>
      </c>
      <c r="M87" s="249">
        <v>0.98870000000000002</v>
      </c>
      <c r="N87" s="249">
        <v>0.98860000000000003</v>
      </c>
      <c r="O87" s="249">
        <v>0.98850000000000005</v>
      </c>
      <c r="P87" s="249">
        <v>0.98850000000000005</v>
      </c>
      <c r="Q87" s="249">
        <v>0.98839999999999995</v>
      </c>
      <c r="R87" s="249">
        <v>0.98829999999999996</v>
      </c>
      <c r="S87" s="249">
        <v>0.98819999999999997</v>
      </c>
      <c r="T87" s="249">
        <v>0.98819999999999997</v>
      </c>
      <c r="U87" s="249">
        <v>0.98809999999999998</v>
      </c>
      <c r="V87" s="249">
        <v>0.98799999999999999</v>
      </c>
      <c r="W87" s="249">
        <v>0.9879</v>
      </c>
      <c r="X87" s="249">
        <v>0.9879</v>
      </c>
      <c r="Y87" s="249">
        <v>0.98780000000000001</v>
      </c>
      <c r="Z87" s="249">
        <v>0.98770000000000002</v>
      </c>
      <c r="AA87" s="249">
        <v>0.98760000000000003</v>
      </c>
      <c r="AB87" s="249">
        <v>0.98760000000000003</v>
      </c>
      <c r="AC87" s="249">
        <v>0.98750000000000004</v>
      </c>
      <c r="AD87" s="249">
        <v>0.98740000000000006</v>
      </c>
      <c r="AE87" s="249">
        <v>0.98729999999999996</v>
      </c>
      <c r="AF87" s="249">
        <v>0.98729999999999996</v>
      </c>
      <c r="AG87" s="249">
        <v>0.98719999999999997</v>
      </c>
      <c r="AH87" s="249">
        <v>0.98709999999999998</v>
      </c>
      <c r="AI87" s="249">
        <v>0.98699999999999999</v>
      </c>
      <c r="AJ87" s="249">
        <v>0.9869</v>
      </c>
      <c r="AK87" s="249">
        <v>0.9869</v>
      </c>
      <c r="AL87" s="249">
        <v>0.98680000000000001</v>
      </c>
      <c r="AM87" s="249">
        <v>0.98670000000000002</v>
      </c>
      <c r="AN87" s="249">
        <v>0.98660000000000003</v>
      </c>
      <c r="AO87" s="249">
        <v>0.98660000000000003</v>
      </c>
      <c r="AP87" s="249">
        <v>0.98650000000000004</v>
      </c>
      <c r="AQ87" s="249">
        <v>0.98640000000000005</v>
      </c>
      <c r="AR87" s="249">
        <v>0.98629999999999995</v>
      </c>
      <c r="AS87" s="249">
        <v>0.98619999999999997</v>
      </c>
      <c r="AT87" s="249">
        <v>0.98619999999999997</v>
      </c>
      <c r="AU87" s="249">
        <v>0.98609999999999998</v>
      </c>
      <c r="AV87" s="249">
        <v>0.98599999999999999</v>
      </c>
      <c r="AW87" s="249">
        <v>0.9859</v>
      </c>
      <c r="AX87" s="249">
        <v>0.98580000000000001</v>
      </c>
      <c r="AY87" s="249">
        <v>0.98570000000000002</v>
      </c>
      <c r="AZ87" s="249">
        <v>0.98570000000000002</v>
      </c>
      <c r="BA87" s="251">
        <v>0.98560000000000003</v>
      </c>
    </row>
    <row r="88" spans="2:53" s="244" customFormat="1" ht="15.75" customHeight="1">
      <c r="B88" s="248">
        <v>87.5</v>
      </c>
      <c r="C88" s="249">
        <v>0.98919999999999997</v>
      </c>
      <c r="D88" s="249">
        <v>0.98909999999999998</v>
      </c>
      <c r="E88" s="249">
        <v>0.98899999999999999</v>
      </c>
      <c r="F88" s="249">
        <v>0.98899999999999999</v>
      </c>
      <c r="G88" s="249">
        <v>0.9889</v>
      </c>
      <c r="H88" s="249">
        <v>0.98880000000000001</v>
      </c>
      <c r="I88" s="249">
        <v>0.98880000000000001</v>
      </c>
      <c r="J88" s="249">
        <v>0.98870000000000002</v>
      </c>
      <c r="K88" s="249">
        <v>0.98860000000000003</v>
      </c>
      <c r="L88" s="249">
        <v>0.98850000000000005</v>
      </c>
      <c r="M88" s="249">
        <v>0.98850000000000005</v>
      </c>
      <c r="N88" s="249">
        <v>0.98839999999999995</v>
      </c>
      <c r="O88" s="249">
        <v>0.98829999999999996</v>
      </c>
      <c r="P88" s="249">
        <v>0.98819999999999997</v>
      </c>
      <c r="Q88" s="249">
        <v>0.98819999999999997</v>
      </c>
      <c r="R88" s="249">
        <v>0.98809999999999998</v>
      </c>
      <c r="S88" s="249">
        <v>0.98799999999999999</v>
      </c>
      <c r="T88" s="249">
        <v>0.9879</v>
      </c>
      <c r="U88" s="249">
        <v>0.9879</v>
      </c>
      <c r="V88" s="249">
        <v>0.98780000000000001</v>
      </c>
      <c r="W88" s="249">
        <v>0.98770000000000002</v>
      </c>
      <c r="X88" s="249">
        <v>0.98760000000000003</v>
      </c>
      <c r="Y88" s="249">
        <v>0.98760000000000003</v>
      </c>
      <c r="Z88" s="249">
        <v>0.98750000000000004</v>
      </c>
      <c r="AA88" s="249">
        <v>0.98740000000000006</v>
      </c>
      <c r="AB88" s="249">
        <v>0.98729999999999996</v>
      </c>
      <c r="AC88" s="249">
        <v>0.98729999999999996</v>
      </c>
      <c r="AD88" s="249">
        <v>0.98719999999999997</v>
      </c>
      <c r="AE88" s="249">
        <v>0.98709999999999998</v>
      </c>
      <c r="AF88" s="249">
        <v>0.98699999999999999</v>
      </c>
      <c r="AG88" s="249">
        <v>0.9869</v>
      </c>
      <c r="AH88" s="249">
        <v>0.9869</v>
      </c>
      <c r="AI88" s="249">
        <v>0.98680000000000001</v>
      </c>
      <c r="AJ88" s="249">
        <v>0.98670000000000002</v>
      </c>
      <c r="AK88" s="249">
        <v>0.98660000000000003</v>
      </c>
      <c r="AL88" s="249">
        <v>0.98650000000000004</v>
      </c>
      <c r="AM88" s="249">
        <v>0.98650000000000004</v>
      </c>
      <c r="AN88" s="249">
        <v>0.98640000000000005</v>
      </c>
      <c r="AO88" s="249">
        <v>0.98629999999999995</v>
      </c>
      <c r="AP88" s="249">
        <v>0.98619999999999997</v>
      </c>
      <c r="AQ88" s="249">
        <v>0.98609999999999998</v>
      </c>
      <c r="AR88" s="249">
        <v>0.98609999999999998</v>
      </c>
      <c r="AS88" s="249">
        <v>0.98599999999999999</v>
      </c>
      <c r="AT88" s="249">
        <v>0.9859</v>
      </c>
      <c r="AU88" s="249">
        <v>0.98580000000000001</v>
      </c>
      <c r="AV88" s="249">
        <v>0.98570000000000002</v>
      </c>
      <c r="AW88" s="249">
        <v>0.98560000000000003</v>
      </c>
      <c r="AX88" s="249">
        <v>0.98560000000000003</v>
      </c>
      <c r="AY88" s="249">
        <v>0.98550000000000004</v>
      </c>
      <c r="AZ88" s="249">
        <v>0.98540000000000005</v>
      </c>
      <c r="BA88" s="251">
        <v>0.98529999999999995</v>
      </c>
    </row>
    <row r="89" spans="2:53" s="244" customFormat="1" ht="15.75" customHeight="1">
      <c r="B89" s="248">
        <v>88</v>
      </c>
      <c r="C89" s="249">
        <v>0.98899999999999999</v>
      </c>
      <c r="D89" s="249">
        <v>0.9889</v>
      </c>
      <c r="E89" s="249">
        <v>0.98880000000000001</v>
      </c>
      <c r="F89" s="249">
        <v>0.98880000000000001</v>
      </c>
      <c r="G89" s="249">
        <v>0.98870000000000002</v>
      </c>
      <c r="H89" s="249">
        <v>0.98860000000000003</v>
      </c>
      <c r="I89" s="249">
        <v>0.98860000000000003</v>
      </c>
      <c r="J89" s="249">
        <v>0.98850000000000005</v>
      </c>
      <c r="K89" s="249">
        <v>0.98839999999999995</v>
      </c>
      <c r="L89" s="249">
        <v>0.98829999999999996</v>
      </c>
      <c r="M89" s="249">
        <v>0.98829999999999996</v>
      </c>
      <c r="N89" s="249">
        <v>0.98819999999999997</v>
      </c>
      <c r="O89" s="249">
        <v>0.98809999999999998</v>
      </c>
      <c r="P89" s="249">
        <v>0.98799999999999999</v>
      </c>
      <c r="Q89" s="249">
        <v>0.98799999999999999</v>
      </c>
      <c r="R89" s="249">
        <v>0.9879</v>
      </c>
      <c r="S89" s="249">
        <v>0.98780000000000001</v>
      </c>
      <c r="T89" s="249">
        <v>0.98770000000000002</v>
      </c>
      <c r="U89" s="249">
        <v>0.98760000000000003</v>
      </c>
      <c r="V89" s="249">
        <v>0.98760000000000003</v>
      </c>
      <c r="W89" s="249">
        <v>0.98750000000000004</v>
      </c>
      <c r="X89" s="249">
        <v>0.98740000000000006</v>
      </c>
      <c r="Y89" s="249">
        <v>0.98729999999999996</v>
      </c>
      <c r="Z89" s="249">
        <v>0.98729999999999996</v>
      </c>
      <c r="AA89" s="249">
        <v>0.98719999999999997</v>
      </c>
      <c r="AB89" s="249">
        <v>0.98709999999999998</v>
      </c>
      <c r="AC89" s="249">
        <v>0.98699999999999999</v>
      </c>
      <c r="AD89" s="249">
        <v>0.9869</v>
      </c>
      <c r="AE89" s="249">
        <v>0.9869</v>
      </c>
      <c r="AF89" s="249">
        <v>0.98680000000000001</v>
      </c>
      <c r="AG89" s="249">
        <v>0.98670000000000002</v>
      </c>
      <c r="AH89" s="249">
        <v>0.98660000000000003</v>
      </c>
      <c r="AI89" s="249">
        <v>0.98650000000000004</v>
      </c>
      <c r="AJ89" s="249">
        <v>0.98650000000000004</v>
      </c>
      <c r="AK89" s="249">
        <v>0.98640000000000005</v>
      </c>
      <c r="AL89" s="249">
        <v>0.98629999999999995</v>
      </c>
      <c r="AM89" s="249">
        <v>0.98619999999999997</v>
      </c>
      <c r="AN89" s="249">
        <v>0.98609999999999998</v>
      </c>
      <c r="AO89" s="249">
        <v>0.98609999999999998</v>
      </c>
      <c r="AP89" s="249">
        <v>0.98599999999999999</v>
      </c>
      <c r="AQ89" s="249">
        <v>0.9859</v>
      </c>
      <c r="AR89" s="249">
        <v>0.98580000000000001</v>
      </c>
      <c r="AS89" s="249">
        <v>0.98570000000000002</v>
      </c>
      <c r="AT89" s="249">
        <v>0.98560000000000003</v>
      </c>
      <c r="AU89" s="249">
        <v>0.98560000000000003</v>
      </c>
      <c r="AV89" s="249">
        <v>0.98550000000000004</v>
      </c>
      <c r="AW89" s="249">
        <v>0.98540000000000005</v>
      </c>
      <c r="AX89" s="249">
        <v>0.98529999999999995</v>
      </c>
      <c r="AY89" s="249">
        <v>0.98519999999999996</v>
      </c>
      <c r="AZ89" s="249">
        <v>0.98509999999999998</v>
      </c>
      <c r="BA89" s="251">
        <v>0.98499999999999999</v>
      </c>
    </row>
    <row r="90" spans="2:53" s="244" customFormat="1" ht="15.75" customHeight="1">
      <c r="B90" s="248">
        <v>88.5</v>
      </c>
      <c r="C90" s="249">
        <v>0.98880000000000001</v>
      </c>
      <c r="D90" s="249">
        <v>0.98870000000000002</v>
      </c>
      <c r="E90" s="249">
        <v>0.98860000000000003</v>
      </c>
      <c r="F90" s="249">
        <v>0.98860000000000003</v>
      </c>
      <c r="G90" s="249">
        <v>0.98850000000000005</v>
      </c>
      <c r="H90" s="249">
        <v>0.98839999999999995</v>
      </c>
      <c r="I90" s="249">
        <v>0.98829999999999996</v>
      </c>
      <c r="J90" s="249">
        <v>0.98829999999999996</v>
      </c>
      <c r="K90" s="249">
        <v>0.98819999999999997</v>
      </c>
      <c r="L90" s="249">
        <v>0.98809999999999998</v>
      </c>
      <c r="M90" s="249">
        <v>0.98799999999999999</v>
      </c>
      <c r="N90" s="249">
        <v>0.98799999999999999</v>
      </c>
      <c r="O90" s="249">
        <v>0.9879</v>
      </c>
      <c r="P90" s="249">
        <v>0.98780000000000001</v>
      </c>
      <c r="Q90" s="249">
        <v>0.98770000000000002</v>
      </c>
      <c r="R90" s="249">
        <v>0.98770000000000002</v>
      </c>
      <c r="S90" s="249">
        <v>0.98760000000000003</v>
      </c>
      <c r="T90" s="249">
        <v>0.98750000000000004</v>
      </c>
      <c r="U90" s="249">
        <v>0.98740000000000006</v>
      </c>
      <c r="V90" s="249">
        <v>0.98729999999999996</v>
      </c>
      <c r="W90" s="249">
        <v>0.98729999999999996</v>
      </c>
      <c r="X90" s="249">
        <v>0.98719999999999997</v>
      </c>
      <c r="Y90" s="249">
        <v>0.98709999999999998</v>
      </c>
      <c r="Z90" s="249">
        <v>0.98699999999999999</v>
      </c>
      <c r="AA90" s="249">
        <v>0.9869</v>
      </c>
      <c r="AB90" s="249">
        <v>0.9869</v>
      </c>
      <c r="AC90" s="249">
        <v>0.98680000000000001</v>
      </c>
      <c r="AD90" s="249">
        <v>0.98670000000000002</v>
      </c>
      <c r="AE90" s="249">
        <v>0.98660000000000003</v>
      </c>
      <c r="AF90" s="249">
        <v>0.98650000000000004</v>
      </c>
      <c r="AG90" s="249">
        <v>0.98650000000000004</v>
      </c>
      <c r="AH90" s="249">
        <v>0.98640000000000005</v>
      </c>
      <c r="AI90" s="249">
        <v>0.98629999999999995</v>
      </c>
      <c r="AJ90" s="249">
        <v>0.98619999999999997</v>
      </c>
      <c r="AK90" s="249">
        <v>0.98609999999999998</v>
      </c>
      <c r="AL90" s="249">
        <v>0.98609999999999998</v>
      </c>
      <c r="AM90" s="249">
        <v>0.98599999999999999</v>
      </c>
      <c r="AN90" s="249">
        <v>0.9859</v>
      </c>
      <c r="AO90" s="249">
        <v>0.98580000000000001</v>
      </c>
      <c r="AP90" s="249">
        <v>0.98570000000000002</v>
      </c>
      <c r="AQ90" s="249">
        <v>0.98560000000000003</v>
      </c>
      <c r="AR90" s="249">
        <v>0.98550000000000004</v>
      </c>
      <c r="AS90" s="249">
        <v>0.98550000000000004</v>
      </c>
      <c r="AT90" s="249">
        <v>0.98540000000000005</v>
      </c>
      <c r="AU90" s="249">
        <v>0.98529999999999995</v>
      </c>
      <c r="AV90" s="249">
        <v>0.98519999999999996</v>
      </c>
      <c r="AW90" s="249">
        <v>0.98509999999999998</v>
      </c>
      <c r="AX90" s="249">
        <v>0.98499999999999999</v>
      </c>
      <c r="AY90" s="249">
        <v>0.98499999999999999</v>
      </c>
      <c r="AZ90" s="249">
        <v>0.9849</v>
      </c>
      <c r="BA90" s="251">
        <v>0.98480000000000001</v>
      </c>
    </row>
    <row r="91" spans="2:53" s="244" customFormat="1" ht="15.75" customHeight="1">
      <c r="B91" s="248">
        <v>89</v>
      </c>
      <c r="C91" s="249">
        <v>0.98860000000000003</v>
      </c>
      <c r="D91" s="249">
        <v>0.98850000000000005</v>
      </c>
      <c r="E91" s="249">
        <v>0.98839999999999995</v>
      </c>
      <c r="F91" s="249">
        <v>0.98839999999999995</v>
      </c>
      <c r="G91" s="249">
        <v>0.98829999999999996</v>
      </c>
      <c r="H91" s="249">
        <v>0.98819999999999997</v>
      </c>
      <c r="I91" s="249">
        <v>0.98809999999999998</v>
      </c>
      <c r="J91" s="249">
        <v>0.98809999999999998</v>
      </c>
      <c r="K91" s="249">
        <v>0.98799999999999999</v>
      </c>
      <c r="L91" s="249">
        <v>0.9879</v>
      </c>
      <c r="M91" s="249">
        <v>0.98780000000000001</v>
      </c>
      <c r="N91" s="249">
        <v>0.98780000000000001</v>
      </c>
      <c r="O91" s="249">
        <v>0.98770000000000002</v>
      </c>
      <c r="P91" s="249">
        <v>0.98760000000000003</v>
      </c>
      <c r="Q91" s="249">
        <v>0.98750000000000004</v>
      </c>
      <c r="R91" s="249">
        <v>0.98740000000000006</v>
      </c>
      <c r="S91" s="249">
        <v>0.98740000000000006</v>
      </c>
      <c r="T91" s="249">
        <v>0.98729999999999996</v>
      </c>
      <c r="U91" s="249">
        <v>0.98719999999999997</v>
      </c>
      <c r="V91" s="249">
        <v>0.98709999999999998</v>
      </c>
      <c r="W91" s="249">
        <v>0.98699999999999999</v>
      </c>
      <c r="X91" s="249">
        <v>0.98699999999999999</v>
      </c>
      <c r="Y91" s="249">
        <v>0.9869</v>
      </c>
      <c r="Z91" s="249">
        <v>0.98680000000000001</v>
      </c>
      <c r="AA91" s="249">
        <v>0.98670000000000002</v>
      </c>
      <c r="AB91" s="249">
        <v>0.98660000000000003</v>
      </c>
      <c r="AC91" s="249">
        <v>0.98660000000000003</v>
      </c>
      <c r="AD91" s="249">
        <v>0.98650000000000004</v>
      </c>
      <c r="AE91" s="249">
        <v>0.98640000000000005</v>
      </c>
      <c r="AF91" s="249">
        <v>0.98629999999999995</v>
      </c>
      <c r="AG91" s="249">
        <v>0.98619999999999997</v>
      </c>
      <c r="AH91" s="249">
        <v>0.98609999999999998</v>
      </c>
      <c r="AI91" s="249">
        <v>0.98609999999999998</v>
      </c>
      <c r="AJ91" s="249">
        <v>0.98599999999999999</v>
      </c>
      <c r="AK91" s="249">
        <v>0.9859</v>
      </c>
      <c r="AL91" s="249">
        <v>0.98580000000000001</v>
      </c>
      <c r="AM91" s="249">
        <v>0.98570000000000002</v>
      </c>
      <c r="AN91" s="249">
        <v>0.98560000000000003</v>
      </c>
      <c r="AO91" s="249">
        <v>0.98550000000000004</v>
      </c>
      <c r="AP91" s="249">
        <v>0.98550000000000004</v>
      </c>
      <c r="AQ91" s="249">
        <v>0.98540000000000005</v>
      </c>
      <c r="AR91" s="249">
        <v>0.98529999999999995</v>
      </c>
      <c r="AS91" s="249">
        <v>0.98519999999999996</v>
      </c>
      <c r="AT91" s="249">
        <v>0.98509999999999998</v>
      </c>
      <c r="AU91" s="249">
        <v>0.98499999999999999</v>
      </c>
      <c r="AV91" s="249">
        <v>0.9849</v>
      </c>
      <c r="AW91" s="249">
        <v>0.9849</v>
      </c>
      <c r="AX91" s="249">
        <v>0.98480000000000001</v>
      </c>
      <c r="AY91" s="249">
        <v>0.98470000000000002</v>
      </c>
      <c r="AZ91" s="249">
        <v>0.98460000000000003</v>
      </c>
      <c r="BA91" s="251">
        <v>0.98450000000000004</v>
      </c>
    </row>
    <row r="92" spans="2:53" s="244" customFormat="1" ht="15.75" customHeight="1">
      <c r="B92" s="248">
        <v>89.5</v>
      </c>
      <c r="C92" s="249">
        <v>0.98839999999999995</v>
      </c>
      <c r="D92" s="249">
        <v>0.98829999999999996</v>
      </c>
      <c r="E92" s="249">
        <v>0.98819999999999997</v>
      </c>
      <c r="F92" s="249">
        <v>0.98819999999999997</v>
      </c>
      <c r="G92" s="249">
        <v>0.98809999999999998</v>
      </c>
      <c r="H92" s="249">
        <v>0.98799999999999999</v>
      </c>
      <c r="I92" s="249">
        <v>0.9879</v>
      </c>
      <c r="J92" s="249">
        <v>0.9879</v>
      </c>
      <c r="K92" s="249">
        <v>0.98780000000000001</v>
      </c>
      <c r="L92" s="249">
        <v>0.98770000000000002</v>
      </c>
      <c r="M92" s="249">
        <v>0.98760000000000003</v>
      </c>
      <c r="N92" s="249">
        <v>0.98750000000000004</v>
      </c>
      <c r="O92" s="249">
        <v>0.98750000000000004</v>
      </c>
      <c r="P92" s="249">
        <v>0.98740000000000006</v>
      </c>
      <c r="Q92" s="249">
        <v>0.98729999999999996</v>
      </c>
      <c r="R92" s="249">
        <v>0.98719999999999997</v>
      </c>
      <c r="S92" s="249">
        <v>0.98709999999999998</v>
      </c>
      <c r="T92" s="249">
        <v>0.98709999999999998</v>
      </c>
      <c r="U92" s="249">
        <v>0.98699999999999999</v>
      </c>
      <c r="V92" s="249">
        <v>0.9869</v>
      </c>
      <c r="W92" s="249">
        <v>0.98680000000000001</v>
      </c>
      <c r="X92" s="249">
        <v>0.98670000000000002</v>
      </c>
      <c r="Y92" s="249">
        <v>0.98670000000000002</v>
      </c>
      <c r="Z92" s="249">
        <v>0.98660000000000003</v>
      </c>
      <c r="AA92" s="249">
        <v>0.98650000000000004</v>
      </c>
      <c r="AB92" s="249">
        <v>0.98640000000000005</v>
      </c>
      <c r="AC92" s="249">
        <v>0.98629999999999995</v>
      </c>
      <c r="AD92" s="249">
        <v>0.98619999999999997</v>
      </c>
      <c r="AE92" s="249">
        <v>0.98619999999999997</v>
      </c>
      <c r="AF92" s="249">
        <v>0.98609999999999998</v>
      </c>
      <c r="AG92" s="249">
        <v>0.98599999999999999</v>
      </c>
      <c r="AH92" s="249">
        <v>0.9859</v>
      </c>
      <c r="AI92" s="249">
        <v>0.98580000000000001</v>
      </c>
      <c r="AJ92" s="249">
        <v>0.98570000000000002</v>
      </c>
      <c r="AK92" s="249">
        <v>0.98560000000000003</v>
      </c>
      <c r="AL92" s="249">
        <v>0.98560000000000003</v>
      </c>
      <c r="AM92" s="249">
        <v>0.98550000000000004</v>
      </c>
      <c r="AN92" s="249">
        <v>0.98540000000000005</v>
      </c>
      <c r="AO92" s="249">
        <v>0.98529999999999995</v>
      </c>
      <c r="AP92" s="249">
        <v>0.98519999999999996</v>
      </c>
      <c r="AQ92" s="249">
        <v>0.98509999999999998</v>
      </c>
      <c r="AR92" s="249">
        <v>0.98499999999999999</v>
      </c>
      <c r="AS92" s="249">
        <v>0.98499999999999999</v>
      </c>
      <c r="AT92" s="249">
        <v>0.9849</v>
      </c>
      <c r="AU92" s="249">
        <v>0.98480000000000001</v>
      </c>
      <c r="AV92" s="249">
        <v>0.98470000000000002</v>
      </c>
      <c r="AW92" s="249">
        <v>0.98460000000000003</v>
      </c>
      <c r="AX92" s="249">
        <v>0.98450000000000004</v>
      </c>
      <c r="AY92" s="249">
        <v>0.98440000000000005</v>
      </c>
      <c r="AZ92" s="249">
        <v>0.98429999999999995</v>
      </c>
      <c r="BA92" s="251">
        <v>0.98419999999999996</v>
      </c>
    </row>
    <row r="93" spans="2:53" s="244" customFormat="1" ht="15.75" customHeight="1">
      <c r="B93" s="248">
        <v>90</v>
      </c>
      <c r="C93" s="249">
        <v>0.98819999999999997</v>
      </c>
      <c r="D93" s="249">
        <v>0.98809999999999998</v>
      </c>
      <c r="E93" s="249">
        <v>0.98799999999999999</v>
      </c>
      <c r="F93" s="249">
        <v>0.98799999999999999</v>
      </c>
      <c r="G93" s="249">
        <v>0.9879</v>
      </c>
      <c r="H93" s="249">
        <v>0.98780000000000001</v>
      </c>
      <c r="I93" s="249">
        <v>0.98770000000000002</v>
      </c>
      <c r="J93" s="249">
        <v>0.98770000000000002</v>
      </c>
      <c r="K93" s="249">
        <v>0.98760000000000003</v>
      </c>
      <c r="L93" s="249">
        <v>0.98750000000000004</v>
      </c>
      <c r="M93" s="249">
        <v>0.98740000000000006</v>
      </c>
      <c r="N93" s="249">
        <v>0.98729999999999996</v>
      </c>
      <c r="O93" s="249">
        <v>0.98729999999999996</v>
      </c>
      <c r="P93" s="249">
        <v>0.98719999999999997</v>
      </c>
      <c r="Q93" s="249">
        <v>0.98709999999999998</v>
      </c>
      <c r="R93" s="249">
        <v>0.98699999999999999</v>
      </c>
      <c r="S93" s="249">
        <v>0.9869</v>
      </c>
      <c r="T93" s="249">
        <v>0.98680000000000001</v>
      </c>
      <c r="U93" s="249">
        <v>0.98680000000000001</v>
      </c>
      <c r="V93" s="249">
        <v>0.98670000000000002</v>
      </c>
      <c r="W93" s="249">
        <v>0.98660000000000003</v>
      </c>
      <c r="X93" s="249">
        <v>0.98650000000000004</v>
      </c>
      <c r="Y93" s="249">
        <v>0.98640000000000005</v>
      </c>
      <c r="Z93" s="249">
        <v>0.98629999999999995</v>
      </c>
      <c r="AA93" s="249">
        <v>0.98629999999999995</v>
      </c>
      <c r="AB93" s="249">
        <v>0.98619999999999997</v>
      </c>
      <c r="AC93" s="249">
        <v>0.98609999999999998</v>
      </c>
      <c r="AD93" s="249">
        <v>0.98599999999999999</v>
      </c>
      <c r="AE93" s="249">
        <v>0.9859</v>
      </c>
      <c r="AF93" s="249">
        <v>0.98580000000000001</v>
      </c>
      <c r="AG93" s="249">
        <v>0.98570000000000002</v>
      </c>
      <c r="AH93" s="249">
        <v>0.98570000000000002</v>
      </c>
      <c r="AI93" s="249">
        <v>0.98560000000000003</v>
      </c>
      <c r="AJ93" s="249">
        <v>0.98550000000000004</v>
      </c>
      <c r="AK93" s="249">
        <v>0.98540000000000005</v>
      </c>
      <c r="AL93" s="249">
        <v>0.98529999999999995</v>
      </c>
      <c r="AM93" s="249">
        <v>0.98519999999999996</v>
      </c>
      <c r="AN93" s="249">
        <v>0.98509999999999998</v>
      </c>
      <c r="AO93" s="249">
        <v>0.98499999999999999</v>
      </c>
      <c r="AP93" s="249">
        <v>0.98499999999999999</v>
      </c>
      <c r="AQ93" s="249">
        <v>0.9849</v>
      </c>
      <c r="AR93" s="249">
        <v>0.98480000000000001</v>
      </c>
      <c r="AS93" s="249">
        <v>0.98470000000000002</v>
      </c>
      <c r="AT93" s="249">
        <v>0.98460000000000003</v>
      </c>
      <c r="AU93" s="249">
        <v>0.98450000000000004</v>
      </c>
      <c r="AV93" s="249">
        <v>0.98440000000000005</v>
      </c>
      <c r="AW93" s="249">
        <v>0.98429999999999995</v>
      </c>
      <c r="AX93" s="249">
        <v>0.98419999999999996</v>
      </c>
      <c r="AY93" s="249">
        <v>0.98419999999999996</v>
      </c>
      <c r="AZ93" s="249">
        <v>0.98409999999999997</v>
      </c>
      <c r="BA93" s="251">
        <v>0.98399999999999999</v>
      </c>
    </row>
    <row r="94" spans="2:53" s="244" customFormat="1" ht="15.75" customHeight="1">
      <c r="B94" s="248">
        <v>90.5</v>
      </c>
      <c r="C94" s="249">
        <v>0.98799999999999999</v>
      </c>
      <c r="D94" s="249">
        <v>0.9879</v>
      </c>
      <c r="E94" s="249">
        <v>0.98780000000000001</v>
      </c>
      <c r="F94" s="249">
        <v>0.98780000000000001</v>
      </c>
      <c r="G94" s="249">
        <v>0.98770000000000002</v>
      </c>
      <c r="H94" s="249">
        <v>0.98760000000000003</v>
      </c>
      <c r="I94" s="249">
        <v>0.98750000000000004</v>
      </c>
      <c r="J94" s="249">
        <v>0.98740000000000006</v>
      </c>
      <c r="K94" s="249">
        <v>0.98740000000000006</v>
      </c>
      <c r="L94" s="249">
        <v>0.98729999999999996</v>
      </c>
      <c r="M94" s="249">
        <v>0.98719999999999997</v>
      </c>
      <c r="N94" s="249">
        <v>0.98709999999999998</v>
      </c>
      <c r="O94" s="249">
        <v>0.98699999999999999</v>
      </c>
      <c r="P94" s="249">
        <v>0.98699999999999999</v>
      </c>
      <c r="Q94" s="249">
        <v>0.9869</v>
      </c>
      <c r="R94" s="249">
        <v>0.98680000000000001</v>
      </c>
      <c r="S94" s="249">
        <v>0.98670000000000002</v>
      </c>
      <c r="T94" s="249">
        <v>0.98660000000000003</v>
      </c>
      <c r="U94" s="249">
        <v>0.98650000000000004</v>
      </c>
      <c r="V94" s="249">
        <v>0.98650000000000004</v>
      </c>
      <c r="W94" s="249">
        <v>0.98640000000000005</v>
      </c>
      <c r="X94" s="249">
        <v>0.98629999999999995</v>
      </c>
      <c r="Y94" s="249">
        <v>0.98619999999999997</v>
      </c>
      <c r="Z94" s="249">
        <v>0.98609999999999998</v>
      </c>
      <c r="AA94" s="249">
        <v>0.98599999999999999</v>
      </c>
      <c r="AB94" s="249">
        <v>0.9859</v>
      </c>
      <c r="AC94" s="249">
        <v>0.9859</v>
      </c>
      <c r="AD94" s="249">
        <v>0.98580000000000001</v>
      </c>
      <c r="AE94" s="249">
        <v>0.98570000000000002</v>
      </c>
      <c r="AF94" s="249">
        <v>0.98560000000000003</v>
      </c>
      <c r="AG94" s="249">
        <v>0.98550000000000004</v>
      </c>
      <c r="AH94" s="249">
        <v>0.98540000000000005</v>
      </c>
      <c r="AI94" s="249">
        <v>0.98529999999999995</v>
      </c>
      <c r="AJ94" s="249">
        <v>0.98519999999999996</v>
      </c>
      <c r="AK94" s="249">
        <v>0.98519999999999996</v>
      </c>
      <c r="AL94" s="249">
        <v>0.98509999999999998</v>
      </c>
      <c r="AM94" s="249">
        <v>0.98499999999999999</v>
      </c>
      <c r="AN94" s="249">
        <v>0.9849</v>
      </c>
      <c r="AO94" s="249">
        <v>0.98480000000000001</v>
      </c>
      <c r="AP94" s="249">
        <v>0.98470000000000002</v>
      </c>
      <c r="AQ94" s="249">
        <v>0.98460000000000003</v>
      </c>
      <c r="AR94" s="249">
        <v>0.98450000000000004</v>
      </c>
      <c r="AS94" s="249">
        <v>0.98440000000000005</v>
      </c>
      <c r="AT94" s="249">
        <v>0.98429999999999995</v>
      </c>
      <c r="AU94" s="249">
        <v>0.98429999999999995</v>
      </c>
      <c r="AV94" s="249">
        <v>0.98419999999999996</v>
      </c>
      <c r="AW94" s="249">
        <v>0.98409999999999997</v>
      </c>
      <c r="AX94" s="249">
        <v>0.98399999999999999</v>
      </c>
      <c r="AY94" s="249">
        <v>0.9839</v>
      </c>
      <c r="AZ94" s="249">
        <v>0.98380000000000001</v>
      </c>
      <c r="BA94" s="251">
        <v>0.98370000000000002</v>
      </c>
    </row>
    <row r="95" spans="2:53" s="244" customFormat="1" ht="15.75" customHeight="1">
      <c r="B95" s="248">
        <v>91</v>
      </c>
      <c r="C95" s="249">
        <v>0.98780000000000001</v>
      </c>
      <c r="D95" s="249">
        <v>0.98770000000000002</v>
      </c>
      <c r="E95" s="249">
        <v>0.98760000000000003</v>
      </c>
      <c r="F95" s="249">
        <v>0.98760000000000003</v>
      </c>
      <c r="G95" s="249">
        <v>0.98750000000000004</v>
      </c>
      <c r="H95" s="249">
        <v>0.98740000000000006</v>
      </c>
      <c r="I95" s="249">
        <v>0.98729999999999996</v>
      </c>
      <c r="J95" s="249">
        <v>0.98719999999999997</v>
      </c>
      <c r="K95" s="249">
        <v>0.98719999999999997</v>
      </c>
      <c r="L95" s="249">
        <v>0.98709999999999998</v>
      </c>
      <c r="M95" s="249">
        <v>0.98699999999999999</v>
      </c>
      <c r="N95" s="249">
        <v>0.9869</v>
      </c>
      <c r="O95" s="249">
        <v>0.98680000000000001</v>
      </c>
      <c r="P95" s="249">
        <v>0.98670000000000002</v>
      </c>
      <c r="Q95" s="249">
        <v>0.98670000000000002</v>
      </c>
      <c r="R95" s="249">
        <v>0.98660000000000003</v>
      </c>
      <c r="S95" s="249">
        <v>0.98650000000000004</v>
      </c>
      <c r="T95" s="249">
        <v>0.98640000000000005</v>
      </c>
      <c r="U95" s="249">
        <v>0.98629999999999995</v>
      </c>
      <c r="V95" s="249">
        <v>0.98619999999999997</v>
      </c>
      <c r="W95" s="249">
        <v>0.98609999999999998</v>
      </c>
      <c r="X95" s="249">
        <v>0.98609999999999998</v>
      </c>
      <c r="Y95" s="249">
        <v>0.98599999999999999</v>
      </c>
      <c r="Z95" s="249">
        <v>0.9859</v>
      </c>
      <c r="AA95" s="249">
        <v>0.98580000000000001</v>
      </c>
      <c r="AB95" s="249">
        <v>0.98570000000000002</v>
      </c>
      <c r="AC95" s="249">
        <v>0.98560000000000003</v>
      </c>
      <c r="AD95" s="249">
        <v>0.98550000000000004</v>
      </c>
      <c r="AE95" s="249">
        <v>0.98540000000000005</v>
      </c>
      <c r="AF95" s="249">
        <v>0.98540000000000005</v>
      </c>
      <c r="AG95" s="249">
        <v>0.98529999999999995</v>
      </c>
      <c r="AH95" s="249">
        <v>0.98519999999999996</v>
      </c>
      <c r="AI95" s="249">
        <v>0.98509999999999998</v>
      </c>
      <c r="AJ95" s="249">
        <v>0.98499999999999999</v>
      </c>
      <c r="AK95" s="249">
        <v>0.9849</v>
      </c>
      <c r="AL95" s="249">
        <v>0.98480000000000001</v>
      </c>
      <c r="AM95" s="249">
        <v>0.98470000000000002</v>
      </c>
      <c r="AN95" s="249">
        <v>0.98460000000000003</v>
      </c>
      <c r="AO95" s="249">
        <v>0.98450000000000004</v>
      </c>
      <c r="AP95" s="249">
        <v>0.98450000000000004</v>
      </c>
      <c r="AQ95" s="249">
        <v>0.98440000000000005</v>
      </c>
      <c r="AR95" s="249">
        <v>0.98429999999999995</v>
      </c>
      <c r="AS95" s="249">
        <v>0.98419999999999996</v>
      </c>
      <c r="AT95" s="249">
        <v>0.98409999999999997</v>
      </c>
      <c r="AU95" s="249">
        <v>0.98399999999999999</v>
      </c>
      <c r="AV95" s="249">
        <v>0.9839</v>
      </c>
      <c r="AW95" s="249">
        <v>0.98380000000000001</v>
      </c>
      <c r="AX95" s="249">
        <v>0.98370000000000002</v>
      </c>
      <c r="AY95" s="249">
        <v>0.98360000000000003</v>
      </c>
      <c r="AZ95" s="249">
        <v>0.98350000000000004</v>
      </c>
      <c r="BA95" s="251">
        <v>0.98340000000000005</v>
      </c>
    </row>
    <row r="96" spans="2:53" s="244" customFormat="1" ht="15.75" customHeight="1">
      <c r="B96" s="248">
        <v>91.5</v>
      </c>
      <c r="C96" s="249">
        <v>0.98760000000000003</v>
      </c>
      <c r="D96" s="249">
        <v>0.98750000000000004</v>
      </c>
      <c r="E96" s="249">
        <v>0.98740000000000006</v>
      </c>
      <c r="F96" s="249">
        <v>0.98740000000000006</v>
      </c>
      <c r="G96" s="249">
        <v>0.98729999999999996</v>
      </c>
      <c r="H96" s="249">
        <v>0.98719999999999997</v>
      </c>
      <c r="I96" s="249">
        <v>0.98709999999999998</v>
      </c>
      <c r="J96" s="249">
        <v>0.98699999999999999</v>
      </c>
      <c r="K96" s="249">
        <v>0.98699999999999999</v>
      </c>
      <c r="L96" s="249">
        <v>0.9869</v>
      </c>
      <c r="M96" s="249">
        <v>0.98680000000000001</v>
      </c>
      <c r="N96" s="249">
        <v>0.98670000000000002</v>
      </c>
      <c r="O96" s="249">
        <v>0.98660000000000003</v>
      </c>
      <c r="P96" s="249">
        <v>0.98650000000000004</v>
      </c>
      <c r="Q96" s="249">
        <v>0.98640000000000005</v>
      </c>
      <c r="R96" s="249">
        <v>0.98640000000000005</v>
      </c>
      <c r="S96" s="249">
        <v>0.98629999999999995</v>
      </c>
      <c r="T96" s="249">
        <v>0.98619999999999997</v>
      </c>
      <c r="U96" s="249">
        <v>0.98609999999999998</v>
      </c>
      <c r="V96" s="249">
        <v>0.98599999999999999</v>
      </c>
      <c r="W96" s="249">
        <v>0.9859</v>
      </c>
      <c r="X96" s="249">
        <v>0.98580000000000001</v>
      </c>
      <c r="Y96" s="249">
        <v>0.98570000000000002</v>
      </c>
      <c r="Z96" s="249">
        <v>0.98570000000000002</v>
      </c>
      <c r="AA96" s="249">
        <v>0.98560000000000003</v>
      </c>
      <c r="AB96" s="249">
        <v>0.98550000000000004</v>
      </c>
      <c r="AC96" s="249">
        <v>0.98540000000000005</v>
      </c>
      <c r="AD96" s="249">
        <v>0.98529999999999995</v>
      </c>
      <c r="AE96" s="249">
        <v>0.98519999999999996</v>
      </c>
      <c r="AF96" s="249">
        <v>0.98509999999999998</v>
      </c>
      <c r="AG96" s="249">
        <v>0.98499999999999999</v>
      </c>
      <c r="AH96" s="249">
        <v>0.9849</v>
      </c>
      <c r="AI96" s="249">
        <v>0.98480000000000001</v>
      </c>
      <c r="AJ96" s="249">
        <v>0.98480000000000001</v>
      </c>
      <c r="AK96" s="249">
        <v>0.98470000000000002</v>
      </c>
      <c r="AL96" s="249">
        <v>0.98460000000000003</v>
      </c>
      <c r="AM96" s="249">
        <v>0.98450000000000004</v>
      </c>
      <c r="AN96" s="249">
        <v>0.98440000000000005</v>
      </c>
      <c r="AO96" s="249">
        <v>0.98429999999999995</v>
      </c>
      <c r="AP96" s="249">
        <v>0.98419999999999996</v>
      </c>
      <c r="AQ96" s="249">
        <v>0.98409999999999997</v>
      </c>
      <c r="AR96" s="249">
        <v>0.98399999999999999</v>
      </c>
      <c r="AS96" s="249">
        <v>0.9839</v>
      </c>
      <c r="AT96" s="249">
        <v>0.98380000000000001</v>
      </c>
      <c r="AU96" s="249">
        <v>0.98370000000000002</v>
      </c>
      <c r="AV96" s="249">
        <v>0.98360000000000003</v>
      </c>
      <c r="AW96" s="249">
        <v>0.98350000000000004</v>
      </c>
      <c r="AX96" s="249">
        <v>0.98350000000000004</v>
      </c>
      <c r="AY96" s="249">
        <v>0.98340000000000005</v>
      </c>
      <c r="AZ96" s="249">
        <v>0.98329999999999995</v>
      </c>
      <c r="BA96" s="251">
        <v>0.98319999999999996</v>
      </c>
    </row>
    <row r="97" spans="2:53" s="244" customFormat="1" ht="15.75" customHeight="1">
      <c r="B97" s="248">
        <v>92</v>
      </c>
      <c r="C97" s="249">
        <v>0.98740000000000006</v>
      </c>
      <c r="D97" s="249">
        <v>0.98729999999999996</v>
      </c>
      <c r="E97" s="249">
        <v>0.98719999999999997</v>
      </c>
      <c r="F97" s="249">
        <v>0.98719999999999997</v>
      </c>
      <c r="G97" s="249">
        <v>0.98709999999999998</v>
      </c>
      <c r="H97" s="249">
        <v>0.98699999999999999</v>
      </c>
      <c r="I97" s="249">
        <v>0.9869</v>
      </c>
      <c r="J97" s="249">
        <v>0.98680000000000001</v>
      </c>
      <c r="K97" s="249">
        <v>0.98670000000000002</v>
      </c>
      <c r="L97" s="249">
        <v>0.98670000000000002</v>
      </c>
      <c r="M97" s="249">
        <v>0.98660000000000003</v>
      </c>
      <c r="N97" s="249">
        <v>0.98650000000000004</v>
      </c>
      <c r="O97" s="249">
        <v>0.98640000000000005</v>
      </c>
      <c r="P97" s="249">
        <v>0.98629999999999995</v>
      </c>
      <c r="Q97" s="249">
        <v>0.98619999999999997</v>
      </c>
      <c r="R97" s="249">
        <v>0.98609999999999998</v>
      </c>
      <c r="S97" s="249">
        <v>0.98599999999999999</v>
      </c>
      <c r="T97" s="249">
        <v>0.98599999999999999</v>
      </c>
      <c r="U97" s="249">
        <v>0.9859</v>
      </c>
      <c r="V97" s="249">
        <v>0.98580000000000001</v>
      </c>
      <c r="W97" s="249">
        <v>0.98570000000000002</v>
      </c>
      <c r="X97" s="249">
        <v>0.98560000000000003</v>
      </c>
      <c r="Y97" s="249">
        <v>0.98550000000000004</v>
      </c>
      <c r="Z97" s="249">
        <v>0.98540000000000005</v>
      </c>
      <c r="AA97" s="249">
        <v>0.98529999999999995</v>
      </c>
      <c r="AB97" s="249">
        <v>0.98519999999999996</v>
      </c>
      <c r="AC97" s="249">
        <v>0.98519999999999996</v>
      </c>
      <c r="AD97" s="249">
        <v>0.98509999999999998</v>
      </c>
      <c r="AE97" s="249">
        <v>0.98499999999999999</v>
      </c>
      <c r="AF97" s="249">
        <v>0.9849</v>
      </c>
      <c r="AG97" s="249">
        <v>0.98480000000000001</v>
      </c>
      <c r="AH97" s="249">
        <v>0.98470000000000002</v>
      </c>
      <c r="AI97" s="249">
        <v>0.98460000000000003</v>
      </c>
      <c r="AJ97" s="249">
        <v>0.98450000000000004</v>
      </c>
      <c r="AK97" s="249">
        <v>0.98440000000000005</v>
      </c>
      <c r="AL97" s="249">
        <v>0.98429999999999995</v>
      </c>
      <c r="AM97" s="249">
        <v>0.98419999999999996</v>
      </c>
      <c r="AN97" s="249">
        <v>0.98409999999999997</v>
      </c>
      <c r="AO97" s="249">
        <v>0.98399999999999999</v>
      </c>
      <c r="AP97" s="249">
        <v>0.98399999999999999</v>
      </c>
      <c r="AQ97" s="249">
        <v>0.9839</v>
      </c>
      <c r="AR97" s="249">
        <v>0.98380000000000001</v>
      </c>
      <c r="AS97" s="249">
        <v>0.98370000000000002</v>
      </c>
      <c r="AT97" s="249">
        <v>0.98360000000000003</v>
      </c>
      <c r="AU97" s="249">
        <v>0.98350000000000004</v>
      </c>
      <c r="AV97" s="249">
        <v>0.98340000000000005</v>
      </c>
      <c r="AW97" s="249">
        <v>0.98329999999999995</v>
      </c>
      <c r="AX97" s="249">
        <v>0.98319999999999996</v>
      </c>
      <c r="AY97" s="249">
        <v>0.98309999999999997</v>
      </c>
      <c r="AZ97" s="249">
        <v>0.98299999999999998</v>
      </c>
      <c r="BA97" s="251">
        <v>0.9829</v>
      </c>
    </row>
    <row r="98" spans="2:53" s="244" customFormat="1" ht="15.75" customHeight="1">
      <c r="B98" s="248">
        <v>92.5</v>
      </c>
      <c r="C98" s="249">
        <v>0.98719999999999997</v>
      </c>
      <c r="D98" s="249">
        <v>0.98709999999999998</v>
      </c>
      <c r="E98" s="249">
        <v>0.98699999999999999</v>
      </c>
      <c r="F98" s="249">
        <v>0.98699999999999999</v>
      </c>
      <c r="G98" s="249">
        <v>0.9869</v>
      </c>
      <c r="H98" s="249">
        <v>0.98680000000000001</v>
      </c>
      <c r="I98" s="249">
        <v>0.98670000000000002</v>
      </c>
      <c r="J98" s="249">
        <v>0.98660000000000003</v>
      </c>
      <c r="K98" s="249">
        <v>0.98650000000000004</v>
      </c>
      <c r="L98" s="249">
        <v>0.98640000000000005</v>
      </c>
      <c r="M98" s="249">
        <v>0.98640000000000005</v>
      </c>
      <c r="N98" s="249">
        <v>0.98629999999999995</v>
      </c>
      <c r="O98" s="249">
        <v>0.98619999999999997</v>
      </c>
      <c r="P98" s="249">
        <v>0.98609999999999998</v>
      </c>
      <c r="Q98" s="249">
        <v>0.98599999999999999</v>
      </c>
      <c r="R98" s="249">
        <v>0.9859</v>
      </c>
      <c r="S98" s="249">
        <v>0.98580000000000001</v>
      </c>
      <c r="T98" s="249">
        <v>0.98570000000000002</v>
      </c>
      <c r="U98" s="249">
        <v>0.98570000000000002</v>
      </c>
      <c r="V98" s="249">
        <v>0.98560000000000003</v>
      </c>
      <c r="W98" s="249">
        <v>0.98550000000000004</v>
      </c>
      <c r="X98" s="249">
        <v>0.98540000000000005</v>
      </c>
      <c r="Y98" s="249">
        <v>0.98529999999999995</v>
      </c>
      <c r="Z98" s="249">
        <v>0.98519999999999996</v>
      </c>
      <c r="AA98" s="249">
        <v>0.98509999999999998</v>
      </c>
      <c r="AB98" s="249">
        <v>0.98499999999999999</v>
      </c>
      <c r="AC98" s="249">
        <v>0.9849</v>
      </c>
      <c r="AD98" s="249">
        <v>0.98480000000000001</v>
      </c>
      <c r="AE98" s="249">
        <v>0.98470000000000002</v>
      </c>
      <c r="AF98" s="249">
        <v>0.98460000000000003</v>
      </c>
      <c r="AG98" s="249">
        <v>0.98460000000000003</v>
      </c>
      <c r="AH98" s="249">
        <v>0.98450000000000004</v>
      </c>
      <c r="AI98" s="249">
        <v>0.98440000000000005</v>
      </c>
      <c r="AJ98" s="249">
        <v>0.98429999999999995</v>
      </c>
      <c r="AK98" s="249">
        <v>0.98419999999999996</v>
      </c>
      <c r="AL98" s="249">
        <v>0.98409999999999997</v>
      </c>
      <c r="AM98" s="249">
        <v>0.98399999999999999</v>
      </c>
      <c r="AN98" s="249">
        <v>0.9839</v>
      </c>
      <c r="AO98" s="249">
        <v>0.98380000000000001</v>
      </c>
      <c r="AP98" s="249">
        <v>0.98370000000000002</v>
      </c>
      <c r="AQ98" s="249">
        <v>0.98360000000000003</v>
      </c>
      <c r="AR98" s="249">
        <v>0.98350000000000004</v>
      </c>
      <c r="AS98" s="249">
        <v>0.98340000000000005</v>
      </c>
      <c r="AT98" s="249">
        <v>0.98329999999999995</v>
      </c>
      <c r="AU98" s="249">
        <v>0.98319999999999996</v>
      </c>
      <c r="AV98" s="249">
        <v>0.98309999999999997</v>
      </c>
      <c r="AW98" s="249">
        <v>0.98299999999999998</v>
      </c>
      <c r="AX98" s="249">
        <v>0.9829</v>
      </c>
      <c r="AY98" s="249">
        <v>0.98280000000000001</v>
      </c>
      <c r="AZ98" s="249">
        <v>0.98270000000000002</v>
      </c>
      <c r="BA98" s="251">
        <v>0.98260000000000003</v>
      </c>
    </row>
    <row r="99" spans="2:53" s="244" customFormat="1" ht="15.75" customHeight="1">
      <c r="B99" s="248">
        <v>93</v>
      </c>
      <c r="C99" s="249">
        <v>0.98699999999999999</v>
      </c>
      <c r="D99" s="249">
        <v>0.9869</v>
      </c>
      <c r="E99" s="249">
        <v>0.98680000000000001</v>
      </c>
      <c r="F99" s="249">
        <v>0.98680000000000001</v>
      </c>
      <c r="G99" s="249">
        <v>0.98670000000000002</v>
      </c>
      <c r="H99" s="249">
        <v>0.98660000000000003</v>
      </c>
      <c r="I99" s="249">
        <v>0.98650000000000004</v>
      </c>
      <c r="J99" s="249">
        <v>0.98640000000000005</v>
      </c>
      <c r="K99" s="249">
        <v>0.98629999999999995</v>
      </c>
      <c r="L99" s="249">
        <v>0.98619999999999997</v>
      </c>
      <c r="M99" s="249">
        <v>0.98609999999999998</v>
      </c>
      <c r="N99" s="249">
        <v>0.98609999999999998</v>
      </c>
      <c r="O99" s="249">
        <v>0.98599999999999999</v>
      </c>
      <c r="P99" s="249">
        <v>0.9859</v>
      </c>
      <c r="Q99" s="249">
        <v>0.98580000000000001</v>
      </c>
      <c r="R99" s="249">
        <v>0.98570000000000002</v>
      </c>
      <c r="S99" s="249">
        <v>0.98560000000000003</v>
      </c>
      <c r="T99" s="249">
        <v>0.98550000000000004</v>
      </c>
      <c r="U99" s="249">
        <v>0.98540000000000005</v>
      </c>
      <c r="V99" s="249">
        <v>0.98529999999999995</v>
      </c>
      <c r="W99" s="249">
        <v>0.98519999999999996</v>
      </c>
      <c r="X99" s="249">
        <v>0.98519999999999996</v>
      </c>
      <c r="Y99" s="249">
        <v>0.98509999999999998</v>
      </c>
      <c r="Z99" s="249">
        <v>0.98499999999999999</v>
      </c>
      <c r="AA99" s="249">
        <v>0.9849</v>
      </c>
      <c r="AB99" s="249">
        <v>0.98480000000000001</v>
      </c>
      <c r="AC99" s="249">
        <v>0.98470000000000002</v>
      </c>
      <c r="AD99" s="249">
        <v>0.98460000000000003</v>
      </c>
      <c r="AE99" s="249">
        <v>0.98450000000000004</v>
      </c>
      <c r="AF99" s="249">
        <v>0.98440000000000005</v>
      </c>
      <c r="AG99" s="249">
        <v>0.98429999999999995</v>
      </c>
      <c r="AH99" s="249">
        <v>0.98419999999999996</v>
      </c>
      <c r="AI99" s="249">
        <v>0.98409999999999997</v>
      </c>
      <c r="AJ99" s="249">
        <v>0.98399999999999999</v>
      </c>
      <c r="AK99" s="249">
        <v>0.9839</v>
      </c>
      <c r="AL99" s="249">
        <v>0.98380000000000001</v>
      </c>
      <c r="AM99" s="249">
        <v>0.98370000000000002</v>
      </c>
      <c r="AN99" s="249">
        <v>0.98360000000000003</v>
      </c>
      <c r="AO99" s="249">
        <v>0.98350000000000004</v>
      </c>
      <c r="AP99" s="249">
        <v>0.98350000000000004</v>
      </c>
      <c r="AQ99" s="249">
        <v>0.98340000000000005</v>
      </c>
      <c r="AR99" s="249">
        <v>0.98329999999999995</v>
      </c>
      <c r="AS99" s="249">
        <v>0.98319999999999996</v>
      </c>
      <c r="AT99" s="249">
        <v>0.98309999999999997</v>
      </c>
      <c r="AU99" s="249">
        <v>0.98299999999999998</v>
      </c>
      <c r="AV99" s="249">
        <v>0.9829</v>
      </c>
      <c r="AW99" s="249">
        <v>0.98280000000000001</v>
      </c>
      <c r="AX99" s="249">
        <v>0.98270000000000002</v>
      </c>
      <c r="AY99" s="249">
        <v>0.98260000000000003</v>
      </c>
      <c r="AZ99" s="249">
        <v>0.98250000000000004</v>
      </c>
      <c r="BA99" s="251">
        <v>0.98240000000000005</v>
      </c>
    </row>
    <row r="100" spans="2:53" s="244" customFormat="1" ht="15.75" customHeight="1">
      <c r="B100" s="248">
        <v>93.5</v>
      </c>
      <c r="C100" s="249">
        <v>0.98680000000000001</v>
      </c>
      <c r="D100" s="249">
        <v>0.98670000000000002</v>
      </c>
      <c r="E100" s="249">
        <v>0.98660000000000003</v>
      </c>
      <c r="F100" s="249">
        <v>0.98660000000000003</v>
      </c>
      <c r="G100" s="249">
        <v>0.98650000000000004</v>
      </c>
      <c r="H100" s="249">
        <v>0.98640000000000005</v>
      </c>
      <c r="I100" s="249">
        <v>0.98629999999999995</v>
      </c>
      <c r="J100" s="249">
        <v>0.98619999999999997</v>
      </c>
      <c r="K100" s="249">
        <v>0.98609999999999998</v>
      </c>
      <c r="L100" s="249">
        <v>0.98599999999999999</v>
      </c>
      <c r="M100" s="249">
        <v>0.9859</v>
      </c>
      <c r="N100" s="249">
        <v>0.98580000000000001</v>
      </c>
      <c r="O100" s="249">
        <v>0.98580000000000001</v>
      </c>
      <c r="P100" s="249">
        <v>0.98570000000000002</v>
      </c>
      <c r="Q100" s="249">
        <v>0.98560000000000003</v>
      </c>
      <c r="R100" s="249">
        <v>0.98550000000000004</v>
      </c>
      <c r="S100" s="249">
        <v>0.98540000000000005</v>
      </c>
      <c r="T100" s="249">
        <v>0.98529999999999995</v>
      </c>
      <c r="U100" s="249">
        <v>0.98519999999999996</v>
      </c>
      <c r="V100" s="249">
        <v>0.98509999999999998</v>
      </c>
      <c r="W100" s="249">
        <v>0.98499999999999999</v>
      </c>
      <c r="X100" s="249">
        <v>0.9849</v>
      </c>
      <c r="Y100" s="249">
        <v>0.98480000000000001</v>
      </c>
      <c r="Z100" s="249">
        <v>0.98470000000000002</v>
      </c>
      <c r="AA100" s="249">
        <v>0.98460000000000003</v>
      </c>
      <c r="AB100" s="249">
        <v>0.98460000000000003</v>
      </c>
      <c r="AC100" s="249">
        <v>0.98450000000000004</v>
      </c>
      <c r="AD100" s="249">
        <v>0.98440000000000005</v>
      </c>
      <c r="AE100" s="249">
        <v>0.98429999999999995</v>
      </c>
      <c r="AF100" s="249">
        <v>0.98419999999999996</v>
      </c>
      <c r="AG100" s="249">
        <v>0.98409999999999997</v>
      </c>
      <c r="AH100" s="249">
        <v>0.98399999999999999</v>
      </c>
      <c r="AI100" s="249">
        <v>0.9839</v>
      </c>
      <c r="AJ100" s="249">
        <v>0.98380000000000001</v>
      </c>
      <c r="AK100" s="249">
        <v>0.98370000000000002</v>
      </c>
      <c r="AL100" s="249">
        <v>0.98360000000000003</v>
      </c>
      <c r="AM100" s="249">
        <v>0.98350000000000004</v>
      </c>
      <c r="AN100" s="249">
        <v>0.98340000000000005</v>
      </c>
      <c r="AO100" s="249">
        <v>0.98329999999999995</v>
      </c>
      <c r="AP100" s="249">
        <v>0.98319999999999996</v>
      </c>
      <c r="AQ100" s="249">
        <v>0.98309999999999997</v>
      </c>
      <c r="AR100" s="249">
        <v>0.98299999999999998</v>
      </c>
      <c r="AS100" s="249">
        <v>0.9829</v>
      </c>
      <c r="AT100" s="249">
        <v>0.98280000000000001</v>
      </c>
      <c r="AU100" s="249">
        <v>0.98270000000000002</v>
      </c>
      <c r="AV100" s="249">
        <v>0.98260000000000003</v>
      </c>
      <c r="AW100" s="249">
        <v>0.98250000000000004</v>
      </c>
      <c r="AX100" s="249">
        <v>0.98240000000000005</v>
      </c>
      <c r="AY100" s="249">
        <v>0.98229999999999995</v>
      </c>
      <c r="AZ100" s="249">
        <v>0.98219999999999996</v>
      </c>
      <c r="BA100" s="251">
        <v>0.98209999999999997</v>
      </c>
    </row>
    <row r="101" spans="2:53" s="244" customFormat="1" ht="15.75" customHeight="1">
      <c r="B101" s="248">
        <v>94</v>
      </c>
      <c r="C101" s="249">
        <v>0.98660000000000003</v>
      </c>
      <c r="D101" s="249">
        <v>0.98650000000000004</v>
      </c>
      <c r="E101" s="249">
        <v>0.98640000000000005</v>
      </c>
      <c r="F101" s="249">
        <v>0.98640000000000005</v>
      </c>
      <c r="G101" s="249">
        <v>0.98629999999999995</v>
      </c>
      <c r="H101" s="249">
        <v>0.98619999999999997</v>
      </c>
      <c r="I101" s="249">
        <v>0.98609999999999998</v>
      </c>
      <c r="J101" s="249">
        <v>0.98599999999999999</v>
      </c>
      <c r="K101" s="249">
        <v>0.9859</v>
      </c>
      <c r="L101" s="249">
        <v>0.98580000000000001</v>
      </c>
      <c r="M101" s="249">
        <v>0.98570000000000002</v>
      </c>
      <c r="N101" s="249">
        <v>0.98560000000000003</v>
      </c>
      <c r="O101" s="249">
        <v>0.98550000000000004</v>
      </c>
      <c r="P101" s="249">
        <v>0.98550000000000004</v>
      </c>
      <c r="Q101" s="249">
        <v>0.98540000000000005</v>
      </c>
      <c r="R101" s="249">
        <v>0.98529999999999995</v>
      </c>
      <c r="S101" s="249">
        <v>0.98519999999999996</v>
      </c>
      <c r="T101" s="249">
        <v>0.98509999999999998</v>
      </c>
      <c r="U101" s="249">
        <v>0.98499999999999999</v>
      </c>
      <c r="V101" s="249">
        <v>0.9849</v>
      </c>
      <c r="W101" s="249">
        <v>0.98480000000000001</v>
      </c>
      <c r="X101" s="249">
        <v>0.98470000000000002</v>
      </c>
      <c r="Y101" s="249">
        <v>0.98460000000000003</v>
      </c>
      <c r="Z101" s="249">
        <v>0.98450000000000004</v>
      </c>
      <c r="AA101" s="249">
        <v>0.98440000000000005</v>
      </c>
      <c r="AB101" s="249">
        <v>0.98429999999999995</v>
      </c>
      <c r="AC101" s="249">
        <v>0.98419999999999996</v>
      </c>
      <c r="AD101" s="249">
        <v>0.98409999999999997</v>
      </c>
      <c r="AE101" s="249">
        <v>0.98399999999999999</v>
      </c>
      <c r="AF101" s="249">
        <v>0.9839</v>
      </c>
      <c r="AG101" s="249">
        <v>0.98380000000000001</v>
      </c>
      <c r="AH101" s="249">
        <v>0.98370000000000002</v>
      </c>
      <c r="AI101" s="249">
        <v>0.98360000000000003</v>
      </c>
      <c r="AJ101" s="249">
        <v>0.98350000000000004</v>
      </c>
      <c r="AK101" s="249">
        <v>0.98340000000000005</v>
      </c>
      <c r="AL101" s="249">
        <v>0.98329999999999995</v>
      </c>
      <c r="AM101" s="249">
        <v>0.98319999999999996</v>
      </c>
      <c r="AN101" s="249">
        <v>0.98309999999999997</v>
      </c>
      <c r="AO101" s="249">
        <v>0.98299999999999998</v>
      </c>
      <c r="AP101" s="249">
        <v>0.9829</v>
      </c>
      <c r="AQ101" s="249">
        <v>0.98280000000000001</v>
      </c>
      <c r="AR101" s="249">
        <v>0.98270000000000002</v>
      </c>
      <c r="AS101" s="249">
        <v>0.98260000000000003</v>
      </c>
      <c r="AT101" s="249">
        <v>0.98250000000000004</v>
      </c>
      <c r="AU101" s="249">
        <v>0.98240000000000005</v>
      </c>
      <c r="AV101" s="249">
        <v>0.98229999999999995</v>
      </c>
      <c r="AW101" s="249">
        <v>0.98219999999999996</v>
      </c>
      <c r="AX101" s="249">
        <v>0.98209999999999997</v>
      </c>
      <c r="AY101" s="249">
        <v>0.98199999999999998</v>
      </c>
      <c r="AZ101" s="249">
        <v>0.9819</v>
      </c>
      <c r="BA101" s="251">
        <v>0.98180000000000001</v>
      </c>
    </row>
    <row r="102" spans="2:53" s="244" customFormat="1" ht="15.75" customHeight="1">
      <c r="B102" s="248">
        <v>94.5</v>
      </c>
      <c r="C102" s="249">
        <v>0.98640000000000005</v>
      </c>
      <c r="D102" s="249">
        <v>0.98629999999999995</v>
      </c>
      <c r="E102" s="249">
        <v>0.98619999999999997</v>
      </c>
      <c r="F102" s="249">
        <v>0.98619999999999997</v>
      </c>
      <c r="G102" s="249">
        <v>0.98609999999999998</v>
      </c>
      <c r="H102" s="249">
        <v>0.98599999999999999</v>
      </c>
      <c r="I102" s="249">
        <v>0.9859</v>
      </c>
      <c r="J102" s="249">
        <v>0.98580000000000001</v>
      </c>
      <c r="K102" s="249">
        <v>0.98570000000000002</v>
      </c>
      <c r="L102" s="249">
        <v>0.98560000000000003</v>
      </c>
      <c r="M102" s="249">
        <v>0.98550000000000004</v>
      </c>
      <c r="N102" s="249">
        <v>0.98540000000000005</v>
      </c>
      <c r="O102" s="249">
        <v>0.98529999999999995</v>
      </c>
      <c r="P102" s="249">
        <v>0.98519999999999996</v>
      </c>
      <c r="Q102" s="249">
        <v>0.98509999999999998</v>
      </c>
      <c r="R102" s="249">
        <v>0.98499999999999999</v>
      </c>
      <c r="S102" s="249">
        <v>0.98499999999999999</v>
      </c>
      <c r="T102" s="249">
        <v>0.9849</v>
      </c>
      <c r="U102" s="249">
        <v>0.98480000000000001</v>
      </c>
      <c r="V102" s="249">
        <v>0.98470000000000002</v>
      </c>
      <c r="W102" s="249">
        <v>0.98460000000000003</v>
      </c>
      <c r="X102" s="249">
        <v>0.98450000000000004</v>
      </c>
      <c r="Y102" s="249">
        <v>0.98440000000000005</v>
      </c>
      <c r="Z102" s="249">
        <v>0.98429999999999995</v>
      </c>
      <c r="AA102" s="249">
        <v>0.98419999999999996</v>
      </c>
      <c r="AB102" s="249">
        <v>0.98409999999999997</v>
      </c>
      <c r="AC102" s="249">
        <v>0.98399999999999999</v>
      </c>
      <c r="AD102" s="249">
        <v>0.9839</v>
      </c>
      <c r="AE102" s="249">
        <v>0.98380000000000001</v>
      </c>
      <c r="AF102" s="249">
        <v>0.98370000000000002</v>
      </c>
      <c r="AG102" s="249">
        <v>0.98360000000000003</v>
      </c>
      <c r="AH102" s="249">
        <v>0.98350000000000004</v>
      </c>
      <c r="AI102" s="249">
        <v>0.98340000000000005</v>
      </c>
      <c r="AJ102" s="249">
        <v>0.98329999999999995</v>
      </c>
      <c r="AK102" s="249">
        <v>0.98319999999999996</v>
      </c>
      <c r="AL102" s="249">
        <v>0.98309999999999997</v>
      </c>
      <c r="AM102" s="249">
        <v>0.98299999999999998</v>
      </c>
      <c r="AN102" s="249">
        <v>0.9829</v>
      </c>
      <c r="AO102" s="249">
        <v>0.98280000000000001</v>
      </c>
      <c r="AP102" s="249">
        <v>0.98270000000000002</v>
      </c>
      <c r="AQ102" s="249">
        <v>0.98260000000000003</v>
      </c>
      <c r="AR102" s="249">
        <v>0.98250000000000004</v>
      </c>
      <c r="AS102" s="249">
        <v>0.98240000000000005</v>
      </c>
      <c r="AT102" s="249">
        <v>0.98229999999999995</v>
      </c>
      <c r="AU102" s="249">
        <v>0.98219999999999996</v>
      </c>
      <c r="AV102" s="249">
        <v>0.98209999999999997</v>
      </c>
      <c r="AW102" s="249">
        <v>0.98199999999999998</v>
      </c>
      <c r="AX102" s="249">
        <v>0.9819</v>
      </c>
      <c r="AY102" s="249">
        <v>0.98180000000000001</v>
      </c>
      <c r="AZ102" s="249">
        <v>0.98170000000000002</v>
      </c>
      <c r="BA102" s="251">
        <v>0.98160000000000003</v>
      </c>
    </row>
    <row r="103" spans="2:53" s="244" customFormat="1" ht="15.75" customHeight="1">
      <c r="B103" s="248">
        <v>95</v>
      </c>
      <c r="C103" s="249">
        <v>0.98619999999999997</v>
      </c>
      <c r="D103" s="249">
        <v>0.98609999999999998</v>
      </c>
      <c r="E103" s="249">
        <v>0.98599999999999999</v>
      </c>
      <c r="F103" s="249">
        <v>0.98599999999999999</v>
      </c>
      <c r="G103" s="249">
        <v>0.9859</v>
      </c>
      <c r="H103" s="249">
        <v>0.98580000000000001</v>
      </c>
      <c r="I103" s="249">
        <v>0.98570000000000002</v>
      </c>
      <c r="J103" s="249">
        <v>0.98560000000000003</v>
      </c>
      <c r="K103" s="249">
        <v>0.98550000000000004</v>
      </c>
      <c r="L103" s="249">
        <v>0.98540000000000005</v>
      </c>
      <c r="M103" s="249">
        <v>0.98529999999999995</v>
      </c>
      <c r="N103" s="249">
        <v>0.98519999999999996</v>
      </c>
      <c r="O103" s="249">
        <v>0.98509999999999998</v>
      </c>
      <c r="P103" s="249">
        <v>0.98499999999999999</v>
      </c>
      <c r="Q103" s="249">
        <v>0.9849</v>
      </c>
      <c r="R103" s="249">
        <v>0.98480000000000001</v>
      </c>
      <c r="S103" s="249">
        <v>0.98470000000000002</v>
      </c>
      <c r="T103" s="249">
        <v>0.98460000000000003</v>
      </c>
      <c r="U103" s="249">
        <v>0.98450000000000004</v>
      </c>
      <c r="V103" s="249">
        <v>0.98440000000000005</v>
      </c>
      <c r="W103" s="249">
        <v>0.98429999999999995</v>
      </c>
      <c r="X103" s="249">
        <v>0.98419999999999996</v>
      </c>
      <c r="Y103" s="249">
        <v>0.98419999999999996</v>
      </c>
      <c r="Z103" s="249">
        <v>0.98409999999999997</v>
      </c>
      <c r="AA103" s="249">
        <v>0.98399999999999999</v>
      </c>
      <c r="AB103" s="249">
        <v>0.9839</v>
      </c>
      <c r="AC103" s="249">
        <v>0.98380000000000001</v>
      </c>
      <c r="AD103" s="249">
        <v>0.98370000000000002</v>
      </c>
      <c r="AE103" s="249">
        <v>0.98360000000000003</v>
      </c>
      <c r="AF103" s="249">
        <v>0.98350000000000004</v>
      </c>
      <c r="AG103" s="249">
        <v>0.98340000000000005</v>
      </c>
      <c r="AH103" s="249">
        <v>0.98329999999999995</v>
      </c>
      <c r="AI103" s="249">
        <v>0.98319999999999996</v>
      </c>
      <c r="AJ103" s="249">
        <v>0.98309999999999997</v>
      </c>
      <c r="AK103" s="249">
        <v>0.98299999999999998</v>
      </c>
      <c r="AL103" s="249">
        <v>0.9829</v>
      </c>
      <c r="AM103" s="249">
        <v>0.98280000000000001</v>
      </c>
      <c r="AN103" s="249">
        <v>0.98260000000000003</v>
      </c>
      <c r="AO103" s="249">
        <v>0.98250000000000004</v>
      </c>
      <c r="AP103" s="249">
        <v>0.98240000000000005</v>
      </c>
      <c r="AQ103" s="249">
        <v>0.98229999999999995</v>
      </c>
      <c r="AR103" s="249">
        <v>0.98219999999999996</v>
      </c>
      <c r="AS103" s="249">
        <v>0.98209999999999997</v>
      </c>
      <c r="AT103" s="249">
        <v>0.98199999999999998</v>
      </c>
      <c r="AU103" s="249">
        <v>0.9819</v>
      </c>
      <c r="AV103" s="249">
        <v>0.98180000000000001</v>
      </c>
      <c r="AW103" s="249">
        <v>0.98170000000000002</v>
      </c>
      <c r="AX103" s="249">
        <v>0.98160000000000003</v>
      </c>
      <c r="AY103" s="249">
        <v>0.98150000000000004</v>
      </c>
      <c r="AZ103" s="249">
        <v>0.98140000000000005</v>
      </c>
      <c r="BA103" s="251">
        <v>0.98129999999999995</v>
      </c>
    </row>
    <row r="104" spans="2:53" s="244" customFormat="1" ht="15.75" customHeight="1">
      <c r="B104" s="248">
        <v>95.5</v>
      </c>
      <c r="C104" s="249">
        <v>0.98599999999999999</v>
      </c>
      <c r="D104" s="249">
        <v>0.9859</v>
      </c>
      <c r="E104" s="249">
        <v>0.98580000000000001</v>
      </c>
      <c r="F104" s="249">
        <v>0.98580000000000001</v>
      </c>
      <c r="G104" s="249">
        <v>0.98570000000000002</v>
      </c>
      <c r="H104" s="249">
        <v>0.98560000000000003</v>
      </c>
      <c r="I104" s="249">
        <v>0.98550000000000004</v>
      </c>
      <c r="J104" s="249">
        <v>0.98540000000000005</v>
      </c>
      <c r="K104" s="249">
        <v>0.98529999999999995</v>
      </c>
      <c r="L104" s="249">
        <v>0.98519999999999996</v>
      </c>
      <c r="M104" s="249">
        <v>0.98509999999999998</v>
      </c>
      <c r="N104" s="249">
        <v>0.98499999999999999</v>
      </c>
      <c r="O104" s="249">
        <v>0.9849</v>
      </c>
      <c r="P104" s="249">
        <v>0.98480000000000001</v>
      </c>
      <c r="Q104" s="249">
        <v>0.98470000000000002</v>
      </c>
      <c r="R104" s="249">
        <v>0.98460000000000003</v>
      </c>
      <c r="S104" s="249">
        <v>0.98450000000000004</v>
      </c>
      <c r="T104" s="249">
        <v>0.98440000000000005</v>
      </c>
      <c r="U104" s="249">
        <v>0.98429999999999995</v>
      </c>
      <c r="V104" s="249">
        <v>0.98419999999999996</v>
      </c>
      <c r="W104" s="249">
        <v>0.98409999999999997</v>
      </c>
      <c r="X104" s="249">
        <v>0.98399999999999999</v>
      </c>
      <c r="Y104" s="249">
        <v>0.9839</v>
      </c>
      <c r="Z104" s="249">
        <v>0.98380000000000001</v>
      </c>
      <c r="AA104" s="249">
        <v>0.98370000000000002</v>
      </c>
      <c r="AB104" s="249">
        <v>0.98360000000000003</v>
      </c>
      <c r="AC104" s="249">
        <v>0.98350000000000004</v>
      </c>
      <c r="AD104" s="249">
        <v>0.98340000000000005</v>
      </c>
      <c r="AE104" s="249">
        <v>0.98329999999999995</v>
      </c>
      <c r="AF104" s="249">
        <v>0.98319999999999996</v>
      </c>
      <c r="AG104" s="249">
        <v>0.98309999999999997</v>
      </c>
      <c r="AH104" s="249">
        <v>0.98299999999999998</v>
      </c>
      <c r="AI104" s="249">
        <v>0.9829</v>
      </c>
      <c r="AJ104" s="249">
        <v>0.98280000000000001</v>
      </c>
      <c r="AK104" s="249">
        <v>0.98270000000000002</v>
      </c>
      <c r="AL104" s="249">
        <v>0.98260000000000003</v>
      </c>
      <c r="AM104" s="249">
        <v>0.98250000000000004</v>
      </c>
      <c r="AN104" s="249">
        <v>0.98240000000000005</v>
      </c>
      <c r="AO104" s="249">
        <v>0.98229999999999995</v>
      </c>
      <c r="AP104" s="249">
        <v>0.98219999999999996</v>
      </c>
      <c r="AQ104" s="249">
        <v>0.98209999999999997</v>
      </c>
      <c r="AR104" s="249">
        <v>0.98199999999999998</v>
      </c>
      <c r="AS104" s="249">
        <v>0.9819</v>
      </c>
      <c r="AT104" s="249">
        <v>0.98180000000000001</v>
      </c>
      <c r="AU104" s="249">
        <v>0.98170000000000002</v>
      </c>
      <c r="AV104" s="249">
        <v>0.98160000000000003</v>
      </c>
      <c r="AW104" s="249">
        <v>0.98140000000000005</v>
      </c>
      <c r="AX104" s="249">
        <v>0.98129999999999995</v>
      </c>
      <c r="AY104" s="249">
        <v>0.98119999999999996</v>
      </c>
      <c r="AZ104" s="249">
        <v>0.98109999999999997</v>
      </c>
      <c r="BA104" s="251">
        <v>0.98099999999999998</v>
      </c>
    </row>
    <row r="105" spans="2:53" s="244" customFormat="1" ht="15.75" customHeight="1">
      <c r="B105" s="248">
        <v>96</v>
      </c>
      <c r="C105" s="249">
        <v>0.98580000000000001</v>
      </c>
      <c r="D105" s="249">
        <v>0.98570000000000002</v>
      </c>
      <c r="E105" s="249">
        <v>0.98560000000000003</v>
      </c>
      <c r="F105" s="249">
        <v>0.98560000000000003</v>
      </c>
      <c r="G105" s="249">
        <v>0.98550000000000004</v>
      </c>
      <c r="H105" s="249">
        <v>0.98540000000000005</v>
      </c>
      <c r="I105" s="249">
        <v>0.98529999999999995</v>
      </c>
      <c r="J105" s="249">
        <v>0.98519999999999996</v>
      </c>
      <c r="K105" s="249">
        <v>0.98509999999999998</v>
      </c>
      <c r="L105" s="249">
        <v>0.98499999999999999</v>
      </c>
      <c r="M105" s="249">
        <v>0.9849</v>
      </c>
      <c r="N105" s="249">
        <v>0.98480000000000001</v>
      </c>
      <c r="O105" s="249">
        <v>0.98470000000000002</v>
      </c>
      <c r="P105" s="249">
        <v>0.98460000000000003</v>
      </c>
      <c r="Q105" s="249">
        <v>0.98450000000000004</v>
      </c>
      <c r="R105" s="249">
        <v>0.98440000000000005</v>
      </c>
      <c r="S105" s="249">
        <v>0.98429999999999995</v>
      </c>
      <c r="T105" s="249">
        <v>0.98419999999999996</v>
      </c>
      <c r="U105" s="249">
        <v>0.98409999999999997</v>
      </c>
      <c r="V105" s="249">
        <v>0.98399999999999999</v>
      </c>
      <c r="W105" s="249">
        <v>0.9839</v>
      </c>
      <c r="X105" s="249">
        <v>0.98380000000000001</v>
      </c>
      <c r="Y105" s="249">
        <v>0.98370000000000002</v>
      </c>
      <c r="Z105" s="249">
        <v>0.98360000000000003</v>
      </c>
      <c r="AA105" s="249">
        <v>0.98350000000000004</v>
      </c>
      <c r="AB105" s="249">
        <v>0.98340000000000005</v>
      </c>
      <c r="AC105" s="249">
        <v>0.98329999999999995</v>
      </c>
      <c r="AD105" s="249">
        <v>0.98319999999999996</v>
      </c>
      <c r="AE105" s="249">
        <v>0.98309999999999997</v>
      </c>
      <c r="AF105" s="249">
        <v>0.98299999999999998</v>
      </c>
      <c r="AG105" s="249">
        <v>0.9829</v>
      </c>
      <c r="AH105" s="249">
        <v>0.98280000000000001</v>
      </c>
      <c r="AI105" s="249">
        <v>0.98270000000000002</v>
      </c>
      <c r="AJ105" s="249">
        <v>0.98260000000000003</v>
      </c>
      <c r="AK105" s="249">
        <v>0.98250000000000004</v>
      </c>
      <c r="AL105" s="249">
        <v>0.98240000000000005</v>
      </c>
      <c r="AM105" s="249">
        <v>0.98229999999999995</v>
      </c>
      <c r="AN105" s="249">
        <v>0.98219999999999996</v>
      </c>
      <c r="AO105" s="249">
        <v>0.98199999999999998</v>
      </c>
      <c r="AP105" s="249">
        <v>0.9819</v>
      </c>
      <c r="AQ105" s="249">
        <v>0.98180000000000001</v>
      </c>
      <c r="AR105" s="249">
        <v>0.98170000000000002</v>
      </c>
      <c r="AS105" s="249">
        <v>0.98160000000000003</v>
      </c>
      <c r="AT105" s="249">
        <v>0.98150000000000004</v>
      </c>
      <c r="AU105" s="249">
        <v>0.98140000000000005</v>
      </c>
      <c r="AV105" s="249">
        <v>0.98129999999999995</v>
      </c>
      <c r="AW105" s="249">
        <v>0.98119999999999996</v>
      </c>
      <c r="AX105" s="249">
        <v>0.98109999999999997</v>
      </c>
      <c r="AY105" s="249">
        <v>0.98099999999999998</v>
      </c>
      <c r="AZ105" s="249">
        <v>0.98089999999999999</v>
      </c>
      <c r="BA105" s="251">
        <v>0.98070000000000002</v>
      </c>
    </row>
    <row r="106" spans="2:53" s="244" customFormat="1" ht="15.75" customHeight="1">
      <c r="B106" s="248">
        <v>96.5</v>
      </c>
      <c r="C106" s="249">
        <v>0.98560000000000003</v>
      </c>
      <c r="D106" s="249">
        <v>0.98550000000000004</v>
      </c>
      <c r="E106" s="249">
        <v>0.98540000000000005</v>
      </c>
      <c r="F106" s="249">
        <v>0.98540000000000005</v>
      </c>
      <c r="G106" s="249">
        <v>0.98529999999999995</v>
      </c>
      <c r="H106" s="249">
        <v>0.98519999999999996</v>
      </c>
      <c r="I106" s="249">
        <v>0.98509999999999998</v>
      </c>
      <c r="J106" s="249">
        <v>0.98499999999999999</v>
      </c>
      <c r="K106" s="249">
        <v>0.9849</v>
      </c>
      <c r="L106" s="249">
        <v>0.98480000000000001</v>
      </c>
      <c r="M106" s="249">
        <v>0.98470000000000002</v>
      </c>
      <c r="N106" s="249">
        <v>0.98460000000000003</v>
      </c>
      <c r="O106" s="249">
        <v>0.98450000000000004</v>
      </c>
      <c r="P106" s="249">
        <v>0.98440000000000005</v>
      </c>
      <c r="Q106" s="249">
        <v>0.98429999999999995</v>
      </c>
      <c r="R106" s="249">
        <v>0.98419999999999996</v>
      </c>
      <c r="S106" s="249">
        <v>0.98409999999999997</v>
      </c>
      <c r="T106" s="249">
        <v>0.98399999999999999</v>
      </c>
      <c r="U106" s="249">
        <v>0.9839</v>
      </c>
      <c r="V106" s="249">
        <v>0.98380000000000001</v>
      </c>
      <c r="W106" s="249">
        <v>0.98370000000000002</v>
      </c>
      <c r="X106" s="249">
        <v>0.98360000000000003</v>
      </c>
      <c r="Y106" s="249">
        <v>0.98350000000000004</v>
      </c>
      <c r="Z106" s="249">
        <v>0.98340000000000005</v>
      </c>
      <c r="AA106" s="249">
        <v>0.98329999999999995</v>
      </c>
      <c r="AB106" s="249">
        <v>0.98319999999999996</v>
      </c>
      <c r="AC106" s="249">
        <v>0.98309999999999997</v>
      </c>
      <c r="AD106" s="249">
        <v>0.98299999999999998</v>
      </c>
      <c r="AE106" s="249">
        <v>0.9829</v>
      </c>
      <c r="AF106" s="249">
        <v>0.98270000000000002</v>
      </c>
      <c r="AG106" s="249">
        <v>0.98260000000000003</v>
      </c>
      <c r="AH106" s="249">
        <v>0.98250000000000004</v>
      </c>
      <c r="AI106" s="249">
        <v>0.98240000000000005</v>
      </c>
      <c r="AJ106" s="249">
        <v>0.98229999999999995</v>
      </c>
      <c r="AK106" s="249">
        <v>0.98219999999999996</v>
      </c>
      <c r="AL106" s="249">
        <v>0.98209999999999997</v>
      </c>
      <c r="AM106" s="249">
        <v>0.98199999999999998</v>
      </c>
      <c r="AN106" s="249">
        <v>0.9819</v>
      </c>
      <c r="AO106" s="249">
        <v>0.98180000000000001</v>
      </c>
      <c r="AP106" s="249">
        <v>0.98170000000000002</v>
      </c>
      <c r="AQ106" s="249">
        <v>0.98160000000000003</v>
      </c>
      <c r="AR106" s="249">
        <v>0.98150000000000004</v>
      </c>
      <c r="AS106" s="249">
        <v>0.98140000000000005</v>
      </c>
      <c r="AT106" s="249">
        <v>0.98129999999999995</v>
      </c>
      <c r="AU106" s="249">
        <v>0.98109999999999997</v>
      </c>
      <c r="AV106" s="249">
        <v>0.98099999999999998</v>
      </c>
      <c r="AW106" s="249">
        <v>0.98089999999999999</v>
      </c>
      <c r="AX106" s="249">
        <v>0.98080000000000001</v>
      </c>
      <c r="AY106" s="249">
        <v>0.98070000000000002</v>
      </c>
      <c r="AZ106" s="249">
        <v>0.98060000000000003</v>
      </c>
      <c r="BA106" s="251">
        <v>0.98050000000000004</v>
      </c>
    </row>
    <row r="107" spans="2:53" s="244" customFormat="1" ht="15.75" customHeight="1">
      <c r="B107" s="248">
        <v>97</v>
      </c>
      <c r="C107" s="249">
        <v>0.98540000000000005</v>
      </c>
      <c r="D107" s="249">
        <v>0.98529999999999995</v>
      </c>
      <c r="E107" s="249">
        <v>0.98519999999999996</v>
      </c>
      <c r="F107" s="249">
        <v>0.98519999999999996</v>
      </c>
      <c r="G107" s="249">
        <v>0.98509999999999998</v>
      </c>
      <c r="H107" s="249">
        <v>0.98499999999999999</v>
      </c>
      <c r="I107" s="249">
        <v>0.9849</v>
      </c>
      <c r="J107" s="249">
        <v>0.98480000000000001</v>
      </c>
      <c r="K107" s="249">
        <v>0.98470000000000002</v>
      </c>
      <c r="L107" s="249">
        <v>0.98460000000000003</v>
      </c>
      <c r="M107" s="249">
        <v>0.98450000000000004</v>
      </c>
      <c r="N107" s="249">
        <v>0.98440000000000005</v>
      </c>
      <c r="O107" s="249">
        <v>0.98429999999999995</v>
      </c>
      <c r="P107" s="249">
        <v>0.98419999999999996</v>
      </c>
      <c r="Q107" s="249">
        <v>0.98409999999999997</v>
      </c>
      <c r="R107" s="249">
        <v>0.98399999999999999</v>
      </c>
      <c r="S107" s="249">
        <v>0.9839</v>
      </c>
      <c r="T107" s="249">
        <v>0.98380000000000001</v>
      </c>
      <c r="U107" s="249">
        <v>0.98370000000000002</v>
      </c>
      <c r="V107" s="249">
        <v>0.98350000000000004</v>
      </c>
      <c r="W107" s="249">
        <v>0.98340000000000005</v>
      </c>
      <c r="X107" s="249">
        <v>0.98329999999999995</v>
      </c>
      <c r="Y107" s="249">
        <v>0.98319999999999996</v>
      </c>
      <c r="Z107" s="249">
        <v>0.98309999999999997</v>
      </c>
      <c r="AA107" s="249">
        <v>0.98299999999999998</v>
      </c>
      <c r="AB107" s="249">
        <v>0.9829</v>
      </c>
      <c r="AC107" s="249">
        <v>0.98280000000000001</v>
      </c>
      <c r="AD107" s="249">
        <v>0.98270000000000002</v>
      </c>
      <c r="AE107" s="249">
        <v>0.98260000000000003</v>
      </c>
      <c r="AF107" s="249">
        <v>0.98250000000000004</v>
      </c>
      <c r="AG107" s="249">
        <v>0.98240000000000005</v>
      </c>
      <c r="AH107" s="249">
        <v>0.98229999999999995</v>
      </c>
      <c r="AI107" s="249">
        <v>0.98219999999999996</v>
      </c>
      <c r="AJ107" s="249">
        <v>0.98209999999999997</v>
      </c>
      <c r="AK107" s="249">
        <v>0.98199999999999998</v>
      </c>
      <c r="AL107" s="249">
        <v>0.9819</v>
      </c>
      <c r="AM107" s="249">
        <v>0.98180000000000001</v>
      </c>
      <c r="AN107" s="249">
        <v>0.98170000000000002</v>
      </c>
      <c r="AO107" s="249">
        <v>0.98150000000000004</v>
      </c>
      <c r="AP107" s="249">
        <v>0.98140000000000005</v>
      </c>
      <c r="AQ107" s="249">
        <v>0.98129999999999995</v>
      </c>
      <c r="AR107" s="249">
        <v>0.98119999999999996</v>
      </c>
      <c r="AS107" s="249">
        <v>0.98109999999999997</v>
      </c>
      <c r="AT107" s="249">
        <v>0.98099999999999998</v>
      </c>
      <c r="AU107" s="249">
        <v>0.98089999999999999</v>
      </c>
      <c r="AV107" s="249">
        <v>0.98080000000000001</v>
      </c>
      <c r="AW107" s="249">
        <v>0.98070000000000002</v>
      </c>
      <c r="AX107" s="249">
        <v>0.98050000000000004</v>
      </c>
      <c r="AY107" s="249">
        <v>0.98040000000000005</v>
      </c>
      <c r="AZ107" s="249">
        <v>0.98029999999999995</v>
      </c>
      <c r="BA107" s="251">
        <v>0.98019999999999996</v>
      </c>
    </row>
    <row r="108" spans="2:53" s="244" customFormat="1" ht="15.75" customHeight="1">
      <c r="B108" s="248">
        <v>97.5</v>
      </c>
      <c r="C108" s="249">
        <v>0.98519999999999996</v>
      </c>
      <c r="D108" s="249">
        <v>0.98509999999999998</v>
      </c>
      <c r="E108" s="249">
        <v>0.98499999999999999</v>
      </c>
      <c r="F108" s="249">
        <v>0.9849</v>
      </c>
      <c r="G108" s="249">
        <v>0.9849</v>
      </c>
      <c r="H108" s="249">
        <v>0.98480000000000001</v>
      </c>
      <c r="I108" s="249">
        <v>0.98470000000000002</v>
      </c>
      <c r="J108" s="249">
        <v>0.98460000000000003</v>
      </c>
      <c r="K108" s="249">
        <v>0.98450000000000004</v>
      </c>
      <c r="L108" s="249">
        <v>0.98440000000000005</v>
      </c>
      <c r="M108" s="249">
        <v>0.98419999999999996</v>
      </c>
      <c r="N108" s="249">
        <v>0.98409999999999997</v>
      </c>
      <c r="O108" s="249">
        <v>0.98399999999999999</v>
      </c>
      <c r="P108" s="249">
        <v>0.9839</v>
      </c>
      <c r="Q108" s="249">
        <v>0.98380000000000001</v>
      </c>
      <c r="R108" s="249">
        <v>0.98370000000000002</v>
      </c>
      <c r="S108" s="249">
        <v>0.98360000000000003</v>
      </c>
      <c r="T108" s="249">
        <v>0.98350000000000004</v>
      </c>
      <c r="U108" s="249">
        <v>0.98340000000000005</v>
      </c>
      <c r="V108" s="249">
        <v>0.98329999999999995</v>
      </c>
      <c r="W108" s="249">
        <v>0.98319999999999996</v>
      </c>
      <c r="X108" s="249">
        <v>0.98309999999999997</v>
      </c>
      <c r="Y108" s="249">
        <v>0.98299999999999998</v>
      </c>
      <c r="Z108" s="249">
        <v>0.9829</v>
      </c>
      <c r="AA108" s="249">
        <v>0.98280000000000001</v>
      </c>
      <c r="AB108" s="249">
        <v>0.98270000000000002</v>
      </c>
      <c r="AC108" s="249">
        <v>0.98260000000000003</v>
      </c>
      <c r="AD108" s="249">
        <v>0.98250000000000004</v>
      </c>
      <c r="AE108" s="249">
        <v>0.98240000000000005</v>
      </c>
      <c r="AF108" s="249">
        <v>0.98229999999999995</v>
      </c>
      <c r="AG108" s="249">
        <v>0.98219999999999996</v>
      </c>
      <c r="AH108" s="249">
        <v>0.98209999999999997</v>
      </c>
      <c r="AI108" s="249">
        <v>0.9819</v>
      </c>
      <c r="AJ108" s="249">
        <v>0.98180000000000001</v>
      </c>
      <c r="AK108" s="249">
        <v>0.98170000000000002</v>
      </c>
      <c r="AL108" s="249">
        <v>0.98160000000000003</v>
      </c>
      <c r="AM108" s="249">
        <v>0.98150000000000004</v>
      </c>
      <c r="AN108" s="249">
        <v>0.98140000000000005</v>
      </c>
      <c r="AO108" s="249">
        <v>0.98129999999999995</v>
      </c>
      <c r="AP108" s="249">
        <v>0.98119999999999996</v>
      </c>
      <c r="AQ108" s="249">
        <v>0.98109999999999997</v>
      </c>
      <c r="AR108" s="249">
        <v>0.98099999999999998</v>
      </c>
      <c r="AS108" s="249">
        <v>0.98080000000000001</v>
      </c>
      <c r="AT108" s="249">
        <v>0.98070000000000002</v>
      </c>
      <c r="AU108" s="249">
        <v>0.98060000000000003</v>
      </c>
      <c r="AV108" s="249">
        <v>0.98050000000000004</v>
      </c>
      <c r="AW108" s="249">
        <v>0.98040000000000005</v>
      </c>
      <c r="AX108" s="249">
        <v>0.98029999999999995</v>
      </c>
      <c r="AY108" s="249">
        <v>0.98019999999999996</v>
      </c>
      <c r="AZ108" s="249">
        <v>0.98009999999999997</v>
      </c>
      <c r="BA108" s="251">
        <v>0.97989999999999999</v>
      </c>
    </row>
    <row r="109" spans="2:53" s="244" customFormat="1" ht="15.75" customHeight="1">
      <c r="B109" s="248">
        <v>98</v>
      </c>
      <c r="C109" s="249">
        <v>0.98499999999999999</v>
      </c>
      <c r="D109" s="249">
        <v>0.9849</v>
      </c>
      <c r="E109" s="249">
        <v>0.98480000000000001</v>
      </c>
      <c r="F109" s="249">
        <v>0.98470000000000002</v>
      </c>
      <c r="G109" s="249">
        <v>0.98460000000000003</v>
      </c>
      <c r="H109" s="249">
        <v>0.98450000000000004</v>
      </c>
      <c r="I109" s="249">
        <v>0.98440000000000005</v>
      </c>
      <c r="J109" s="249">
        <v>0.98429999999999995</v>
      </c>
      <c r="K109" s="249">
        <v>0.98419999999999996</v>
      </c>
      <c r="L109" s="249">
        <v>0.98409999999999997</v>
      </c>
      <c r="M109" s="249">
        <v>0.98399999999999999</v>
      </c>
      <c r="N109" s="249">
        <v>0.9839</v>
      </c>
      <c r="O109" s="249">
        <v>0.98380000000000001</v>
      </c>
      <c r="P109" s="249">
        <v>0.98370000000000002</v>
      </c>
      <c r="Q109" s="249">
        <v>0.98360000000000003</v>
      </c>
      <c r="R109" s="249">
        <v>0.98350000000000004</v>
      </c>
      <c r="S109" s="249">
        <v>0.98340000000000005</v>
      </c>
      <c r="T109" s="249">
        <v>0.98329999999999995</v>
      </c>
      <c r="U109" s="249">
        <v>0.98319999999999996</v>
      </c>
      <c r="V109" s="249">
        <v>0.98309999999999997</v>
      </c>
      <c r="W109" s="249">
        <v>0.98299999999999998</v>
      </c>
      <c r="X109" s="249">
        <v>0.9829</v>
      </c>
      <c r="Y109" s="249">
        <v>0.98280000000000001</v>
      </c>
      <c r="Z109" s="249">
        <v>0.98270000000000002</v>
      </c>
      <c r="AA109" s="249">
        <v>0.98260000000000003</v>
      </c>
      <c r="AB109" s="249">
        <v>0.98250000000000004</v>
      </c>
      <c r="AC109" s="249">
        <v>0.98240000000000005</v>
      </c>
      <c r="AD109" s="249">
        <v>0.98229999999999995</v>
      </c>
      <c r="AE109" s="249">
        <v>0.98209999999999997</v>
      </c>
      <c r="AF109" s="249">
        <v>0.98199999999999998</v>
      </c>
      <c r="AG109" s="249">
        <v>0.9819</v>
      </c>
      <c r="AH109" s="249">
        <v>0.98180000000000001</v>
      </c>
      <c r="AI109" s="249">
        <v>0.98170000000000002</v>
      </c>
      <c r="AJ109" s="249">
        <v>0.98160000000000003</v>
      </c>
      <c r="AK109" s="249">
        <v>0.98150000000000004</v>
      </c>
      <c r="AL109" s="249">
        <v>0.98140000000000005</v>
      </c>
      <c r="AM109" s="249">
        <v>0.98129999999999995</v>
      </c>
      <c r="AN109" s="249">
        <v>0.98119999999999996</v>
      </c>
      <c r="AO109" s="249">
        <v>0.98099999999999998</v>
      </c>
      <c r="AP109" s="249">
        <v>0.98089999999999999</v>
      </c>
      <c r="AQ109" s="249">
        <v>0.98080000000000001</v>
      </c>
      <c r="AR109" s="249">
        <v>0.98070000000000002</v>
      </c>
      <c r="AS109" s="249">
        <v>0.98060000000000003</v>
      </c>
      <c r="AT109" s="249">
        <v>0.98050000000000004</v>
      </c>
      <c r="AU109" s="249">
        <v>0.98040000000000005</v>
      </c>
      <c r="AV109" s="249">
        <v>0.98029999999999995</v>
      </c>
      <c r="AW109" s="249">
        <v>0.98009999999999997</v>
      </c>
      <c r="AX109" s="249">
        <v>0.98</v>
      </c>
      <c r="AY109" s="249">
        <v>0.97989999999999999</v>
      </c>
      <c r="AZ109" s="249">
        <v>0.9798</v>
      </c>
      <c r="BA109" s="251">
        <v>0.97970000000000002</v>
      </c>
    </row>
    <row r="110" spans="2:53" s="244" customFormat="1" ht="15.75" customHeight="1">
      <c r="B110" s="248">
        <v>98.5</v>
      </c>
      <c r="C110" s="249">
        <v>0.98480000000000001</v>
      </c>
      <c r="D110" s="249">
        <v>0.98470000000000002</v>
      </c>
      <c r="E110" s="249">
        <v>0.98460000000000003</v>
      </c>
      <c r="F110" s="249">
        <v>0.98450000000000004</v>
      </c>
      <c r="G110" s="249">
        <v>0.98440000000000005</v>
      </c>
      <c r="H110" s="249">
        <v>0.98429999999999995</v>
      </c>
      <c r="I110" s="249">
        <v>0.98419999999999996</v>
      </c>
      <c r="J110" s="249">
        <v>0.98409999999999997</v>
      </c>
      <c r="K110" s="249">
        <v>0.98399999999999999</v>
      </c>
      <c r="L110" s="249">
        <v>0.9839</v>
      </c>
      <c r="M110" s="249">
        <v>0.98380000000000001</v>
      </c>
      <c r="N110" s="249">
        <v>0.98370000000000002</v>
      </c>
      <c r="O110" s="249">
        <v>0.98360000000000003</v>
      </c>
      <c r="P110" s="249">
        <v>0.98350000000000004</v>
      </c>
      <c r="Q110" s="249">
        <v>0.98340000000000005</v>
      </c>
      <c r="R110" s="249">
        <v>0.98329999999999995</v>
      </c>
      <c r="S110" s="249">
        <v>0.98319999999999996</v>
      </c>
      <c r="T110" s="249">
        <v>0.98309999999999997</v>
      </c>
      <c r="U110" s="249">
        <v>0.98299999999999998</v>
      </c>
      <c r="V110" s="249">
        <v>0.9829</v>
      </c>
      <c r="W110" s="249">
        <v>0.98280000000000001</v>
      </c>
      <c r="X110" s="249">
        <v>0.98270000000000002</v>
      </c>
      <c r="Y110" s="249">
        <v>0.98260000000000003</v>
      </c>
      <c r="Z110" s="249">
        <v>0.98250000000000004</v>
      </c>
      <c r="AA110" s="249">
        <v>0.98229999999999995</v>
      </c>
      <c r="AB110" s="249">
        <v>0.98219999999999996</v>
      </c>
      <c r="AC110" s="249">
        <v>0.98209999999999997</v>
      </c>
      <c r="AD110" s="249">
        <v>0.98199999999999998</v>
      </c>
      <c r="AE110" s="249">
        <v>0.9819</v>
      </c>
      <c r="AF110" s="249">
        <v>0.98180000000000001</v>
      </c>
      <c r="AG110" s="249">
        <v>0.98170000000000002</v>
      </c>
      <c r="AH110" s="249">
        <v>0.98160000000000003</v>
      </c>
      <c r="AI110" s="249">
        <v>0.98150000000000004</v>
      </c>
      <c r="AJ110" s="249">
        <v>0.98140000000000005</v>
      </c>
      <c r="AK110" s="249">
        <v>0.98119999999999996</v>
      </c>
      <c r="AL110" s="249">
        <v>0.98109999999999997</v>
      </c>
      <c r="AM110" s="249">
        <v>0.98099999999999998</v>
      </c>
      <c r="AN110" s="249">
        <v>0.98089999999999999</v>
      </c>
      <c r="AO110" s="249">
        <v>0.98080000000000001</v>
      </c>
      <c r="AP110" s="249">
        <v>0.98070000000000002</v>
      </c>
      <c r="AQ110" s="249">
        <v>0.98060000000000003</v>
      </c>
      <c r="AR110" s="249">
        <v>0.98040000000000005</v>
      </c>
      <c r="AS110" s="249">
        <v>0.98029999999999995</v>
      </c>
      <c r="AT110" s="249">
        <v>0.98019999999999996</v>
      </c>
      <c r="AU110" s="249">
        <v>0.98009999999999997</v>
      </c>
      <c r="AV110" s="249">
        <v>0.98</v>
      </c>
      <c r="AW110" s="249">
        <v>0.97989999999999999</v>
      </c>
      <c r="AX110" s="249">
        <v>0.9798</v>
      </c>
      <c r="AY110" s="249">
        <v>0.97960000000000003</v>
      </c>
      <c r="AZ110" s="249">
        <v>0.97950000000000004</v>
      </c>
      <c r="BA110" s="251">
        <v>0.97940000000000005</v>
      </c>
    </row>
    <row r="111" spans="2:53" s="244" customFormat="1" ht="15.75" customHeight="1">
      <c r="B111" s="248">
        <v>99</v>
      </c>
      <c r="C111" s="249">
        <v>0.98470000000000002</v>
      </c>
      <c r="D111" s="249">
        <v>0.98450000000000004</v>
      </c>
      <c r="E111" s="249">
        <v>0.98440000000000005</v>
      </c>
      <c r="F111" s="249">
        <v>0.98429999999999995</v>
      </c>
      <c r="G111" s="249">
        <v>0.98419999999999996</v>
      </c>
      <c r="H111" s="249">
        <v>0.98409999999999997</v>
      </c>
      <c r="I111" s="249">
        <v>0.98399999999999999</v>
      </c>
      <c r="J111" s="249">
        <v>0.9839</v>
      </c>
      <c r="K111" s="249">
        <v>0.98380000000000001</v>
      </c>
      <c r="L111" s="249">
        <v>0.98370000000000002</v>
      </c>
      <c r="M111" s="249">
        <v>0.98360000000000003</v>
      </c>
      <c r="N111" s="249">
        <v>0.98350000000000004</v>
      </c>
      <c r="O111" s="249">
        <v>0.98340000000000005</v>
      </c>
      <c r="P111" s="249">
        <v>0.98329999999999995</v>
      </c>
      <c r="Q111" s="249">
        <v>0.98319999999999996</v>
      </c>
      <c r="R111" s="249">
        <v>0.98309999999999997</v>
      </c>
      <c r="S111" s="249">
        <v>0.98299999999999998</v>
      </c>
      <c r="T111" s="249">
        <v>0.9829</v>
      </c>
      <c r="U111" s="249">
        <v>0.98280000000000001</v>
      </c>
      <c r="V111" s="249">
        <v>0.98270000000000002</v>
      </c>
      <c r="W111" s="249">
        <v>0.98260000000000003</v>
      </c>
      <c r="X111" s="249">
        <v>0.98240000000000005</v>
      </c>
      <c r="Y111" s="249">
        <v>0.98229999999999995</v>
      </c>
      <c r="Z111" s="249">
        <v>0.98219999999999996</v>
      </c>
      <c r="AA111" s="249">
        <v>0.98209999999999997</v>
      </c>
      <c r="AB111" s="249">
        <v>0.98199999999999998</v>
      </c>
      <c r="AC111" s="249">
        <v>0.9819</v>
      </c>
      <c r="AD111" s="249">
        <v>0.98180000000000001</v>
      </c>
      <c r="AE111" s="249">
        <v>0.98170000000000002</v>
      </c>
      <c r="AF111" s="249">
        <v>0.98160000000000003</v>
      </c>
      <c r="AG111" s="249">
        <v>0.98140000000000005</v>
      </c>
      <c r="AH111" s="249">
        <v>0.98129999999999995</v>
      </c>
      <c r="AI111" s="249">
        <v>0.98119999999999996</v>
      </c>
      <c r="AJ111" s="249">
        <v>0.98109999999999997</v>
      </c>
      <c r="AK111" s="249">
        <v>0.98099999999999998</v>
      </c>
      <c r="AL111" s="249">
        <v>0.98089999999999999</v>
      </c>
      <c r="AM111" s="249">
        <v>0.98080000000000001</v>
      </c>
      <c r="AN111" s="249">
        <v>0.98070000000000002</v>
      </c>
      <c r="AO111" s="249">
        <v>0.98050000000000004</v>
      </c>
      <c r="AP111" s="249">
        <v>0.98040000000000005</v>
      </c>
      <c r="AQ111" s="249">
        <v>0.98029999999999995</v>
      </c>
      <c r="AR111" s="249">
        <v>0.98019999999999996</v>
      </c>
      <c r="AS111" s="249">
        <v>0.98009999999999997</v>
      </c>
      <c r="AT111" s="249">
        <v>0.98</v>
      </c>
      <c r="AU111" s="249">
        <v>0.9798</v>
      </c>
      <c r="AV111" s="249">
        <v>0.97970000000000002</v>
      </c>
      <c r="AW111" s="249">
        <v>0.97960000000000003</v>
      </c>
      <c r="AX111" s="249">
        <v>0.97950000000000004</v>
      </c>
      <c r="AY111" s="249">
        <v>0.97940000000000005</v>
      </c>
      <c r="AZ111" s="249">
        <v>0.97929999999999995</v>
      </c>
      <c r="BA111" s="251">
        <v>0.97909999999999997</v>
      </c>
    </row>
    <row r="112" spans="2:53" s="244" customFormat="1" ht="15.75" customHeight="1">
      <c r="B112" s="248">
        <v>99.5</v>
      </c>
      <c r="C112" s="249">
        <v>0.98450000000000004</v>
      </c>
      <c r="D112" s="249">
        <v>0.98440000000000005</v>
      </c>
      <c r="E112" s="249">
        <v>0.98419999999999996</v>
      </c>
      <c r="F112" s="249">
        <v>0.98409999999999997</v>
      </c>
      <c r="G112" s="249">
        <v>0.98399999999999999</v>
      </c>
      <c r="H112" s="249">
        <v>0.9839</v>
      </c>
      <c r="I112" s="249">
        <v>0.98380000000000001</v>
      </c>
      <c r="J112" s="249">
        <v>0.98370000000000002</v>
      </c>
      <c r="K112" s="249">
        <v>0.98360000000000003</v>
      </c>
      <c r="L112" s="249">
        <v>0.98350000000000004</v>
      </c>
      <c r="M112" s="249">
        <v>0.98340000000000005</v>
      </c>
      <c r="N112" s="249">
        <v>0.98329999999999995</v>
      </c>
      <c r="O112" s="249">
        <v>0.98319999999999996</v>
      </c>
      <c r="P112" s="249">
        <v>0.98309999999999997</v>
      </c>
      <c r="Q112" s="249">
        <v>0.98299999999999998</v>
      </c>
      <c r="R112" s="249">
        <v>0.9829</v>
      </c>
      <c r="S112" s="249">
        <v>0.98280000000000001</v>
      </c>
      <c r="T112" s="249">
        <v>0.98270000000000002</v>
      </c>
      <c r="U112" s="249">
        <v>0.98250000000000004</v>
      </c>
      <c r="V112" s="249">
        <v>0.98240000000000005</v>
      </c>
      <c r="W112" s="249">
        <v>0.98229999999999995</v>
      </c>
      <c r="X112" s="249">
        <v>0.98219999999999996</v>
      </c>
      <c r="Y112" s="249">
        <v>0.98209999999999997</v>
      </c>
      <c r="Z112" s="249">
        <v>0.98199999999999998</v>
      </c>
      <c r="AA112" s="249">
        <v>0.9819</v>
      </c>
      <c r="AB112" s="249">
        <v>0.98180000000000001</v>
      </c>
      <c r="AC112" s="249">
        <v>0.98170000000000002</v>
      </c>
      <c r="AD112" s="249">
        <v>0.98150000000000004</v>
      </c>
      <c r="AE112" s="249">
        <v>0.98140000000000005</v>
      </c>
      <c r="AF112" s="249">
        <v>0.98129999999999995</v>
      </c>
      <c r="AG112" s="249">
        <v>0.98119999999999996</v>
      </c>
      <c r="AH112" s="249">
        <v>0.98109999999999997</v>
      </c>
      <c r="AI112" s="249">
        <v>0.98099999999999998</v>
      </c>
      <c r="AJ112" s="249">
        <v>0.98089999999999999</v>
      </c>
      <c r="AK112" s="249">
        <v>0.98080000000000001</v>
      </c>
      <c r="AL112" s="249">
        <v>0.98060000000000003</v>
      </c>
      <c r="AM112" s="249">
        <v>0.98050000000000004</v>
      </c>
      <c r="AN112" s="249">
        <v>0.98040000000000005</v>
      </c>
      <c r="AO112" s="249">
        <v>0.98029999999999995</v>
      </c>
      <c r="AP112" s="249">
        <v>0.98019999999999996</v>
      </c>
      <c r="AQ112" s="249">
        <v>0.98009999999999997</v>
      </c>
      <c r="AR112" s="249">
        <v>0.97989999999999999</v>
      </c>
      <c r="AS112" s="249">
        <v>0.9798</v>
      </c>
      <c r="AT112" s="249">
        <v>0.97970000000000002</v>
      </c>
      <c r="AU112" s="249">
        <v>0.97960000000000003</v>
      </c>
      <c r="AV112" s="249">
        <v>0.97950000000000004</v>
      </c>
      <c r="AW112" s="249">
        <v>0.97929999999999995</v>
      </c>
      <c r="AX112" s="249">
        <v>0.97919999999999996</v>
      </c>
      <c r="AY112" s="249">
        <v>0.97909999999999997</v>
      </c>
      <c r="AZ112" s="249">
        <v>0.97899999999999998</v>
      </c>
      <c r="BA112" s="251">
        <v>0.97889999999999999</v>
      </c>
    </row>
    <row r="113" spans="2:53" s="244" customFormat="1" ht="15.75" customHeight="1">
      <c r="B113" s="248">
        <v>100</v>
      </c>
      <c r="C113" s="249">
        <v>0.98429999999999995</v>
      </c>
      <c r="D113" s="249">
        <v>0.98419999999999996</v>
      </c>
      <c r="E113" s="249">
        <v>0.98399999999999999</v>
      </c>
      <c r="F113" s="249">
        <v>0.9839</v>
      </c>
      <c r="G113" s="249">
        <v>0.98380000000000001</v>
      </c>
      <c r="H113" s="249">
        <v>0.98370000000000002</v>
      </c>
      <c r="I113" s="249">
        <v>0.98360000000000003</v>
      </c>
      <c r="J113" s="249">
        <v>0.98350000000000004</v>
      </c>
      <c r="K113" s="249">
        <v>0.98340000000000005</v>
      </c>
      <c r="L113" s="249">
        <v>0.98329999999999995</v>
      </c>
      <c r="M113" s="249">
        <v>0.98319999999999996</v>
      </c>
      <c r="N113" s="249">
        <v>0.98309999999999997</v>
      </c>
      <c r="O113" s="249">
        <v>0.98299999999999998</v>
      </c>
      <c r="P113" s="249">
        <v>0.9829</v>
      </c>
      <c r="Q113" s="249">
        <v>0.98280000000000001</v>
      </c>
      <c r="R113" s="249">
        <v>0.98270000000000002</v>
      </c>
      <c r="S113" s="249">
        <v>0.98250000000000004</v>
      </c>
      <c r="T113" s="249">
        <v>0.98240000000000005</v>
      </c>
      <c r="U113" s="249">
        <v>0.98229999999999995</v>
      </c>
      <c r="V113" s="249">
        <v>0.98219999999999996</v>
      </c>
      <c r="W113" s="249">
        <v>0.98209999999999997</v>
      </c>
      <c r="X113" s="249">
        <v>0.98199999999999998</v>
      </c>
      <c r="Y113" s="249">
        <v>0.9819</v>
      </c>
      <c r="Z113" s="249">
        <v>0.98180000000000001</v>
      </c>
      <c r="AA113" s="249">
        <v>0.98170000000000002</v>
      </c>
      <c r="AB113" s="249">
        <v>0.98150000000000004</v>
      </c>
      <c r="AC113" s="249">
        <v>0.98140000000000005</v>
      </c>
      <c r="AD113" s="249">
        <v>0.98129999999999995</v>
      </c>
      <c r="AE113" s="249">
        <v>0.98119999999999996</v>
      </c>
      <c r="AF113" s="249">
        <v>0.98109999999999997</v>
      </c>
      <c r="AG113" s="249">
        <v>0.98099999999999998</v>
      </c>
      <c r="AH113" s="249">
        <v>0.98089999999999999</v>
      </c>
      <c r="AI113" s="249">
        <v>0.98070000000000002</v>
      </c>
      <c r="AJ113" s="249">
        <v>0.98060000000000003</v>
      </c>
      <c r="AK113" s="249">
        <v>0.98050000000000004</v>
      </c>
      <c r="AL113" s="249">
        <v>0.98040000000000005</v>
      </c>
      <c r="AM113" s="249">
        <v>0.98029999999999995</v>
      </c>
      <c r="AN113" s="249">
        <v>0.98019999999999996</v>
      </c>
      <c r="AO113" s="249">
        <v>0.98</v>
      </c>
      <c r="AP113" s="249">
        <v>0.97989999999999999</v>
      </c>
      <c r="AQ113" s="249">
        <v>0.9798</v>
      </c>
      <c r="AR113" s="249">
        <v>0.97970000000000002</v>
      </c>
      <c r="AS113" s="249">
        <v>0.97960000000000003</v>
      </c>
      <c r="AT113" s="249">
        <v>0.97940000000000005</v>
      </c>
      <c r="AU113" s="249">
        <v>0.97929999999999995</v>
      </c>
      <c r="AV113" s="249">
        <v>0.97919999999999996</v>
      </c>
      <c r="AW113" s="249">
        <v>0.97909999999999997</v>
      </c>
      <c r="AX113" s="249">
        <v>0.97899999999999998</v>
      </c>
      <c r="AY113" s="249">
        <v>0.9788</v>
      </c>
      <c r="AZ113" s="249">
        <v>0.97870000000000001</v>
      </c>
      <c r="BA113" s="251">
        <v>0.97860000000000003</v>
      </c>
    </row>
    <row r="114" spans="2:53" s="244" customFormat="1" ht="15.75" customHeight="1">
      <c r="B114" s="248">
        <v>100.5</v>
      </c>
      <c r="C114" s="249">
        <v>0.98409999999999997</v>
      </c>
      <c r="D114" s="249">
        <v>0.98399999999999999</v>
      </c>
      <c r="E114" s="249">
        <v>0.98380000000000001</v>
      </c>
      <c r="F114" s="249">
        <v>0.98370000000000002</v>
      </c>
      <c r="G114" s="249">
        <v>0.98360000000000003</v>
      </c>
      <c r="H114" s="249">
        <v>0.98350000000000004</v>
      </c>
      <c r="I114" s="249">
        <v>0.98340000000000005</v>
      </c>
      <c r="J114" s="249">
        <v>0.98329999999999995</v>
      </c>
      <c r="K114" s="249">
        <v>0.98319999999999996</v>
      </c>
      <c r="L114" s="249">
        <v>0.98309999999999997</v>
      </c>
      <c r="M114" s="249">
        <v>0.98299999999999998</v>
      </c>
      <c r="N114" s="249">
        <v>0.9829</v>
      </c>
      <c r="O114" s="249">
        <v>0.98280000000000001</v>
      </c>
      <c r="P114" s="249">
        <v>0.98270000000000002</v>
      </c>
      <c r="Q114" s="249">
        <v>0.98250000000000004</v>
      </c>
      <c r="R114" s="249">
        <v>0.98240000000000005</v>
      </c>
      <c r="S114" s="249">
        <v>0.98229999999999995</v>
      </c>
      <c r="T114" s="249">
        <v>0.98219999999999996</v>
      </c>
      <c r="U114" s="249">
        <v>0.98209999999999997</v>
      </c>
      <c r="V114" s="249">
        <v>0.98199999999999998</v>
      </c>
      <c r="W114" s="249">
        <v>0.9819</v>
      </c>
      <c r="X114" s="249">
        <v>0.98180000000000001</v>
      </c>
      <c r="Y114" s="249">
        <v>0.98170000000000002</v>
      </c>
      <c r="Z114" s="249">
        <v>0.98150000000000004</v>
      </c>
      <c r="AA114" s="249">
        <v>0.98140000000000005</v>
      </c>
      <c r="AB114" s="249">
        <v>0.98129999999999995</v>
      </c>
      <c r="AC114" s="249">
        <v>0.98119999999999996</v>
      </c>
      <c r="AD114" s="249">
        <v>0.98109999999999997</v>
      </c>
      <c r="AE114" s="249">
        <v>0.98099999999999998</v>
      </c>
      <c r="AF114" s="249">
        <v>0.98080000000000001</v>
      </c>
      <c r="AG114" s="249">
        <v>0.98070000000000002</v>
      </c>
      <c r="AH114" s="249">
        <v>0.98060000000000003</v>
      </c>
      <c r="AI114" s="249">
        <v>0.98050000000000004</v>
      </c>
      <c r="AJ114" s="249">
        <v>0.98040000000000005</v>
      </c>
      <c r="AK114" s="249">
        <v>0.98029999999999995</v>
      </c>
      <c r="AL114" s="249">
        <v>0.98009999999999997</v>
      </c>
      <c r="AM114" s="249">
        <v>0.98</v>
      </c>
      <c r="AN114" s="249">
        <v>0.97989999999999999</v>
      </c>
      <c r="AO114" s="249">
        <v>0.9798</v>
      </c>
      <c r="AP114" s="249">
        <v>0.97970000000000002</v>
      </c>
      <c r="AQ114" s="249">
        <v>0.97950000000000004</v>
      </c>
      <c r="AR114" s="249">
        <v>0.97940000000000005</v>
      </c>
      <c r="AS114" s="249">
        <v>0.97929999999999995</v>
      </c>
      <c r="AT114" s="249">
        <v>0.97919999999999996</v>
      </c>
      <c r="AU114" s="249">
        <v>0.97909999999999997</v>
      </c>
      <c r="AV114" s="249">
        <v>0.97889999999999999</v>
      </c>
      <c r="AW114" s="249">
        <v>0.9788</v>
      </c>
      <c r="AX114" s="249">
        <v>0.97870000000000001</v>
      </c>
      <c r="AY114" s="249">
        <v>0.97860000000000003</v>
      </c>
      <c r="AZ114" s="249">
        <v>0.97850000000000004</v>
      </c>
      <c r="BA114" s="251">
        <v>0.97829999999999995</v>
      </c>
    </row>
    <row r="115" spans="2:53" s="244" customFormat="1" ht="15.75" customHeight="1">
      <c r="B115" s="248">
        <v>101</v>
      </c>
      <c r="C115" s="249">
        <v>0.9839</v>
      </c>
      <c r="D115" s="249">
        <v>0.98380000000000001</v>
      </c>
      <c r="E115" s="249">
        <v>0.98360000000000003</v>
      </c>
      <c r="F115" s="249">
        <v>0.98350000000000004</v>
      </c>
      <c r="G115" s="249">
        <v>0.98340000000000005</v>
      </c>
      <c r="H115" s="249">
        <v>0.98329999999999995</v>
      </c>
      <c r="I115" s="249">
        <v>0.98319999999999996</v>
      </c>
      <c r="J115" s="249">
        <v>0.98309999999999997</v>
      </c>
      <c r="K115" s="249">
        <v>0.98299999999999998</v>
      </c>
      <c r="L115" s="249">
        <v>0.9829</v>
      </c>
      <c r="M115" s="249">
        <v>0.98280000000000001</v>
      </c>
      <c r="N115" s="249">
        <v>0.98270000000000002</v>
      </c>
      <c r="O115" s="249">
        <v>0.98260000000000003</v>
      </c>
      <c r="P115" s="249">
        <v>0.98240000000000005</v>
      </c>
      <c r="Q115" s="249">
        <v>0.98229999999999995</v>
      </c>
      <c r="R115" s="249">
        <v>0.98219999999999996</v>
      </c>
      <c r="S115" s="249">
        <v>0.98209999999999997</v>
      </c>
      <c r="T115" s="249">
        <v>0.98199999999999998</v>
      </c>
      <c r="U115" s="249">
        <v>0.9819</v>
      </c>
      <c r="V115" s="249">
        <v>0.98180000000000001</v>
      </c>
      <c r="W115" s="249">
        <v>0.98170000000000002</v>
      </c>
      <c r="X115" s="249">
        <v>0.98150000000000004</v>
      </c>
      <c r="Y115" s="249">
        <v>0.98140000000000005</v>
      </c>
      <c r="Z115" s="249">
        <v>0.98129999999999995</v>
      </c>
      <c r="AA115" s="249">
        <v>0.98119999999999996</v>
      </c>
      <c r="AB115" s="249">
        <v>0.98109999999999997</v>
      </c>
      <c r="AC115" s="249">
        <v>0.98099999999999998</v>
      </c>
      <c r="AD115" s="249">
        <v>0.98080000000000001</v>
      </c>
      <c r="AE115" s="249">
        <v>0.98070000000000002</v>
      </c>
      <c r="AF115" s="249">
        <v>0.98060000000000003</v>
      </c>
      <c r="AG115" s="249">
        <v>0.98050000000000004</v>
      </c>
      <c r="AH115" s="249">
        <v>0.98040000000000005</v>
      </c>
      <c r="AI115" s="249">
        <v>0.98029999999999995</v>
      </c>
      <c r="AJ115" s="249">
        <v>0.98009999999999997</v>
      </c>
      <c r="AK115" s="249">
        <v>0.98</v>
      </c>
      <c r="AL115" s="249">
        <v>0.97989999999999999</v>
      </c>
      <c r="AM115" s="249">
        <v>0.9798</v>
      </c>
      <c r="AN115" s="249">
        <v>0.97970000000000002</v>
      </c>
      <c r="AO115" s="249">
        <v>0.97950000000000004</v>
      </c>
      <c r="AP115" s="249">
        <v>0.97940000000000005</v>
      </c>
      <c r="AQ115" s="249">
        <v>0.97929999999999995</v>
      </c>
      <c r="AR115" s="249">
        <v>0.97919999999999996</v>
      </c>
      <c r="AS115" s="249">
        <v>0.97909999999999997</v>
      </c>
      <c r="AT115" s="249">
        <v>0.97889999999999999</v>
      </c>
      <c r="AU115" s="249">
        <v>0.9788</v>
      </c>
      <c r="AV115" s="249">
        <v>0.97870000000000001</v>
      </c>
      <c r="AW115" s="249">
        <v>0.97860000000000003</v>
      </c>
      <c r="AX115" s="249">
        <v>0.97840000000000005</v>
      </c>
      <c r="AY115" s="249">
        <v>0.97829999999999995</v>
      </c>
      <c r="AZ115" s="249">
        <v>0.97819999999999996</v>
      </c>
      <c r="BA115" s="251">
        <v>0.97809999999999997</v>
      </c>
    </row>
    <row r="116" spans="2:53" s="244" customFormat="1" ht="15.75" customHeight="1">
      <c r="B116" s="248">
        <v>101.5</v>
      </c>
      <c r="C116" s="249">
        <v>0.98370000000000002</v>
      </c>
      <c r="D116" s="249">
        <v>0.98360000000000003</v>
      </c>
      <c r="E116" s="249">
        <v>0.98340000000000005</v>
      </c>
      <c r="F116" s="249">
        <v>0.98329999999999995</v>
      </c>
      <c r="G116" s="249">
        <v>0.98319999999999996</v>
      </c>
      <c r="H116" s="249">
        <v>0.98309999999999997</v>
      </c>
      <c r="I116" s="249">
        <v>0.98299999999999998</v>
      </c>
      <c r="J116" s="249">
        <v>0.9829</v>
      </c>
      <c r="K116" s="249">
        <v>0.98280000000000001</v>
      </c>
      <c r="L116" s="249">
        <v>0.98270000000000002</v>
      </c>
      <c r="M116" s="249">
        <v>0.98260000000000003</v>
      </c>
      <c r="N116" s="249">
        <v>0.98240000000000005</v>
      </c>
      <c r="O116" s="249">
        <v>0.98229999999999995</v>
      </c>
      <c r="P116" s="249">
        <v>0.98219999999999996</v>
      </c>
      <c r="Q116" s="249">
        <v>0.98209999999999997</v>
      </c>
      <c r="R116" s="249">
        <v>0.98199999999999998</v>
      </c>
      <c r="S116" s="249">
        <v>0.9819</v>
      </c>
      <c r="T116" s="249">
        <v>0.98180000000000001</v>
      </c>
      <c r="U116" s="249">
        <v>0.98170000000000002</v>
      </c>
      <c r="V116" s="249">
        <v>0.98150000000000004</v>
      </c>
      <c r="W116" s="249">
        <v>0.98140000000000005</v>
      </c>
      <c r="X116" s="249">
        <v>0.98129999999999995</v>
      </c>
      <c r="Y116" s="249">
        <v>0.98119999999999996</v>
      </c>
      <c r="Z116" s="249">
        <v>0.98109999999999997</v>
      </c>
      <c r="AA116" s="249">
        <v>0.98099999999999998</v>
      </c>
      <c r="AB116" s="249">
        <v>0.98080000000000001</v>
      </c>
      <c r="AC116" s="249">
        <v>0.98070000000000002</v>
      </c>
      <c r="AD116" s="249">
        <v>0.98060000000000003</v>
      </c>
      <c r="AE116" s="249">
        <v>0.98050000000000004</v>
      </c>
      <c r="AF116" s="249">
        <v>0.98040000000000005</v>
      </c>
      <c r="AG116" s="249">
        <v>0.98029999999999995</v>
      </c>
      <c r="AH116" s="249">
        <v>0.98009999999999997</v>
      </c>
      <c r="AI116" s="249">
        <v>0.98</v>
      </c>
      <c r="AJ116" s="249">
        <v>0.97989999999999999</v>
      </c>
      <c r="AK116" s="249">
        <v>0.9798</v>
      </c>
      <c r="AL116" s="249">
        <v>0.97970000000000002</v>
      </c>
      <c r="AM116" s="249">
        <v>0.97950000000000004</v>
      </c>
      <c r="AN116" s="249">
        <v>0.97940000000000005</v>
      </c>
      <c r="AO116" s="249">
        <v>0.97929999999999995</v>
      </c>
      <c r="AP116" s="249">
        <v>0.97919999999999996</v>
      </c>
      <c r="AQ116" s="249">
        <v>0.97899999999999998</v>
      </c>
      <c r="AR116" s="249">
        <v>0.97889999999999999</v>
      </c>
      <c r="AS116" s="249">
        <v>0.9788</v>
      </c>
      <c r="AT116" s="249">
        <v>0.97870000000000001</v>
      </c>
      <c r="AU116" s="249">
        <v>0.97850000000000004</v>
      </c>
      <c r="AV116" s="249">
        <v>0.97840000000000005</v>
      </c>
      <c r="AW116" s="249">
        <v>0.97829999999999995</v>
      </c>
      <c r="AX116" s="249">
        <v>0.97819999999999996</v>
      </c>
      <c r="AY116" s="249">
        <v>0.97799999999999998</v>
      </c>
      <c r="AZ116" s="249">
        <v>0.97789999999999999</v>
      </c>
      <c r="BA116" s="251">
        <v>0.9778</v>
      </c>
    </row>
    <row r="117" spans="2:53" s="244" customFormat="1" ht="15.75" customHeight="1">
      <c r="B117" s="248">
        <v>102</v>
      </c>
      <c r="C117" s="249">
        <v>0.98350000000000004</v>
      </c>
      <c r="D117" s="249">
        <v>0.98340000000000005</v>
      </c>
      <c r="E117" s="249">
        <v>0.98319999999999996</v>
      </c>
      <c r="F117" s="249">
        <v>0.98309999999999997</v>
      </c>
      <c r="G117" s="249">
        <v>0.98299999999999998</v>
      </c>
      <c r="H117" s="249">
        <v>0.9829</v>
      </c>
      <c r="I117" s="249">
        <v>0.98280000000000001</v>
      </c>
      <c r="J117" s="249">
        <v>0.98270000000000002</v>
      </c>
      <c r="K117" s="249">
        <v>0.98260000000000003</v>
      </c>
      <c r="L117" s="249">
        <v>0.98250000000000004</v>
      </c>
      <c r="M117" s="249">
        <v>0.98240000000000005</v>
      </c>
      <c r="N117" s="249">
        <v>0.98219999999999996</v>
      </c>
      <c r="O117" s="249">
        <v>0.98209999999999997</v>
      </c>
      <c r="P117" s="249">
        <v>0.98199999999999998</v>
      </c>
      <c r="Q117" s="249">
        <v>0.9819</v>
      </c>
      <c r="R117" s="249">
        <v>0.98180000000000001</v>
      </c>
      <c r="S117" s="249">
        <v>0.98170000000000002</v>
      </c>
      <c r="T117" s="249">
        <v>0.98150000000000004</v>
      </c>
      <c r="U117" s="249">
        <v>0.98140000000000005</v>
      </c>
      <c r="V117" s="249">
        <v>0.98129999999999995</v>
      </c>
      <c r="W117" s="249">
        <v>0.98119999999999996</v>
      </c>
      <c r="X117" s="249">
        <v>0.98109999999999997</v>
      </c>
      <c r="Y117" s="249">
        <v>0.98099999999999998</v>
      </c>
      <c r="Z117" s="249">
        <v>0.98080000000000001</v>
      </c>
      <c r="AA117" s="249">
        <v>0.98070000000000002</v>
      </c>
      <c r="AB117" s="249">
        <v>0.98060000000000003</v>
      </c>
      <c r="AC117" s="249">
        <v>0.98050000000000004</v>
      </c>
      <c r="AD117" s="249">
        <v>0.98040000000000005</v>
      </c>
      <c r="AE117" s="249">
        <v>0.98029999999999995</v>
      </c>
      <c r="AF117" s="249">
        <v>0.98009999999999997</v>
      </c>
      <c r="AG117" s="249">
        <v>0.98</v>
      </c>
      <c r="AH117" s="249">
        <v>0.97989999999999999</v>
      </c>
      <c r="AI117" s="249">
        <v>0.9798</v>
      </c>
      <c r="AJ117" s="249">
        <v>0.97960000000000003</v>
      </c>
      <c r="AK117" s="249">
        <v>0.97950000000000004</v>
      </c>
      <c r="AL117" s="249">
        <v>0.97940000000000005</v>
      </c>
      <c r="AM117" s="249">
        <v>0.97929999999999995</v>
      </c>
      <c r="AN117" s="249">
        <v>0.97919999999999996</v>
      </c>
      <c r="AO117" s="249">
        <v>0.97899999999999998</v>
      </c>
      <c r="AP117" s="249">
        <v>0.97889999999999999</v>
      </c>
      <c r="AQ117" s="249">
        <v>0.9788</v>
      </c>
      <c r="AR117" s="249">
        <v>0.97870000000000001</v>
      </c>
      <c r="AS117" s="249">
        <v>0.97850000000000004</v>
      </c>
      <c r="AT117" s="249">
        <v>0.97840000000000005</v>
      </c>
      <c r="AU117" s="249">
        <v>0.97829999999999995</v>
      </c>
      <c r="AV117" s="249">
        <v>0.97819999999999996</v>
      </c>
      <c r="AW117" s="249">
        <v>0.97799999999999998</v>
      </c>
      <c r="AX117" s="249">
        <v>0.97789999999999999</v>
      </c>
      <c r="AY117" s="249">
        <v>0.9778</v>
      </c>
      <c r="AZ117" s="249">
        <v>0.97760000000000002</v>
      </c>
      <c r="BA117" s="251">
        <v>0.97750000000000004</v>
      </c>
    </row>
    <row r="118" spans="2:53" s="244" customFormat="1" ht="15.75" customHeight="1">
      <c r="B118" s="248">
        <v>102.5</v>
      </c>
      <c r="C118" s="249">
        <v>0.98329999999999995</v>
      </c>
      <c r="D118" s="249">
        <v>0.98319999999999996</v>
      </c>
      <c r="E118" s="249">
        <v>0.98299999999999998</v>
      </c>
      <c r="F118" s="249">
        <v>0.9829</v>
      </c>
      <c r="G118" s="249">
        <v>0.98280000000000001</v>
      </c>
      <c r="H118" s="249">
        <v>0.98270000000000002</v>
      </c>
      <c r="I118" s="249">
        <v>0.98260000000000003</v>
      </c>
      <c r="J118" s="249">
        <v>0.98250000000000004</v>
      </c>
      <c r="K118" s="249">
        <v>0.98240000000000005</v>
      </c>
      <c r="L118" s="249">
        <v>0.98229999999999995</v>
      </c>
      <c r="M118" s="249">
        <v>0.98209999999999997</v>
      </c>
      <c r="N118" s="249">
        <v>0.98199999999999998</v>
      </c>
      <c r="O118" s="249">
        <v>0.9819</v>
      </c>
      <c r="P118" s="249">
        <v>0.98180000000000001</v>
      </c>
      <c r="Q118" s="249">
        <v>0.98170000000000002</v>
      </c>
      <c r="R118" s="249">
        <v>0.98160000000000003</v>
      </c>
      <c r="S118" s="249">
        <v>0.98140000000000005</v>
      </c>
      <c r="T118" s="249">
        <v>0.98129999999999995</v>
      </c>
      <c r="U118" s="249">
        <v>0.98119999999999996</v>
      </c>
      <c r="V118" s="249">
        <v>0.98109999999999997</v>
      </c>
      <c r="W118" s="249">
        <v>0.98099999999999998</v>
      </c>
      <c r="X118" s="249">
        <v>0.98089999999999999</v>
      </c>
      <c r="Y118" s="249">
        <v>0.98070000000000002</v>
      </c>
      <c r="Z118" s="249">
        <v>0.98060000000000003</v>
      </c>
      <c r="AA118" s="249">
        <v>0.98050000000000004</v>
      </c>
      <c r="AB118" s="249">
        <v>0.98040000000000005</v>
      </c>
      <c r="AC118" s="249">
        <v>0.98029999999999995</v>
      </c>
      <c r="AD118" s="249">
        <v>0.98009999999999997</v>
      </c>
      <c r="AE118" s="249">
        <v>0.98</v>
      </c>
      <c r="AF118" s="249">
        <v>0.97989999999999999</v>
      </c>
      <c r="AG118" s="249">
        <v>0.9798</v>
      </c>
      <c r="AH118" s="249">
        <v>0.97960000000000003</v>
      </c>
      <c r="AI118" s="249">
        <v>0.97950000000000004</v>
      </c>
      <c r="AJ118" s="249">
        <v>0.97940000000000005</v>
      </c>
      <c r="AK118" s="249">
        <v>0.97929999999999995</v>
      </c>
      <c r="AL118" s="249">
        <v>0.97919999999999996</v>
      </c>
      <c r="AM118" s="249">
        <v>0.97899999999999998</v>
      </c>
      <c r="AN118" s="249">
        <v>0.97889999999999999</v>
      </c>
      <c r="AO118" s="249">
        <v>0.9788</v>
      </c>
      <c r="AP118" s="249">
        <v>0.97870000000000001</v>
      </c>
      <c r="AQ118" s="249">
        <v>0.97850000000000004</v>
      </c>
      <c r="AR118" s="249">
        <v>0.97840000000000005</v>
      </c>
      <c r="AS118" s="249">
        <v>0.97829999999999995</v>
      </c>
      <c r="AT118" s="249">
        <v>0.97819999999999996</v>
      </c>
      <c r="AU118" s="249">
        <v>0.97799999999999998</v>
      </c>
      <c r="AV118" s="249">
        <v>0.97789999999999999</v>
      </c>
      <c r="AW118" s="249">
        <v>0.9778</v>
      </c>
      <c r="AX118" s="249">
        <v>0.97760000000000002</v>
      </c>
      <c r="AY118" s="249">
        <v>0.97750000000000004</v>
      </c>
      <c r="AZ118" s="249">
        <v>0.97740000000000005</v>
      </c>
      <c r="BA118" s="251">
        <v>0.97729999999999995</v>
      </c>
    </row>
    <row r="119" spans="2:53" s="244" customFormat="1" ht="15.75" customHeight="1">
      <c r="B119" s="248">
        <v>103</v>
      </c>
      <c r="C119" s="249">
        <v>0.98309999999999997</v>
      </c>
      <c r="D119" s="249">
        <v>0.98299999999999998</v>
      </c>
      <c r="E119" s="249">
        <v>0.98280000000000001</v>
      </c>
      <c r="F119" s="249">
        <v>0.98270000000000002</v>
      </c>
      <c r="G119" s="249">
        <v>0.98260000000000003</v>
      </c>
      <c r="H119" s="249">
        <v>0.98250000000000004</v>
      </c>
      <c r="I119" s="249">
        <v>0.98240000000000005</v>
      </c>
      <c r="J119" s="249">
        <v>0.98229999999999995</v>
      </c>
      <c r="K119" s="249">
        <v>0.98219999999999996</v>
      </c>
      <c r="L119" s="249">
        <v>0.98199999999999998</v>
      </c>
      <c r="M119" s="249">
        <v>0.9819</v>
      </c>
      <c r="N119" s="249">
        <v>0.98180000000000001</v>
      </c>
      <c r="O119" s="249">
        <v>0.98170000000000002</v>
      </c>
      <c r="P119" s="249">
        <v>0.98160000000000003</v>
      </c>
      <c r="Q119" s="249">
        <v>0.98150000000000004</v>
      </c>
      <c r="R119" s="249">
        <v>0.98129999999999995</v>
      </c>
      <c r="S119" s="249">
        <v>0.98119999999999996</v>
      </c>
      <c r="T119" s="249">
        <v>0.98109999999999997</v>
      </c>
      <c r="U119" s="249">
        <v>0.98099999999999998</v>
      </c>
      <c r="V119" s="249">
        <v>0.98089999999999999</v>
      </c>
      <c r="W119" s="249">
        <v>0.98080000000000001</v>
      </c>
      <c r="X119" s="249">
        <v>0.98060000000000003</v>
      </c>
      <c r="Y119" s="249">
        <v>0.98050000000000004</v>
      </c>
      <c r="Z119" s="249">
        <v>0.98040000000000005</v>
      </c>
      <c r="AA119" s="249">
        <v>0.98029999999999995</v>
      </c>
      <c r="AB119" s="249">
        <v>0.98009999999999997</v>
      </c>
      <c r="AC119" s="249">
        <v>0.98</v>
      </c>
      <c r="AD119" s="249">
        <v>0.97989999999999999</v>
      </c>
      <c r="AE119" s="249">
        <v>0.9798</v>
      </c>
      <c r="AF119" s="249">
        <v>0.97970000000000002</v>
      </c>
      <c r="AG119" s="249">
        <v>0.97950000000000004</v>
      </c>
      <c r="AH119" s="249">
        <v>0.97940000000000005</v>
      </c>
      <c r="AI119" s="249">
        <v>0.97929999999999995</v>
      </c>
      <c r="AJ119" s="249">
        <v>0.97919999999999996</v>
      </c>
      <c r="AK119" s="249">
        <v>0.97899999999999998</v>
      </c>
      <c r="AL119" s="249">
        <v>0.97889999999999999</v>
      </c>
      <c r="AM119" s="249">
        <v>0.9788</v>
      </c>
      <c r="AN119" s="249">
        <v>0.97870000000000001</v>
      </c>
      <c r="AO119" s="249">
        <v>0.97850000000000004</v>
      </c>
      <c r="AP119" s="249">
        <v>0.97840000000000005</v>
      </c>
      <c r="AQ119" s="249">
        <v>0.97829999999999995</v>
      </c>
      <c r="AR119" s="249">
        <v>0.97819999999999996</v>
      </c>
      <c r="AS119" s="249">
        <v>0.97799999999999998</v>
      </c>
      <c r="AT119" s="249">
        <v>0.97789999999999999</v>
      </c>
      <c r="AU119" s="249">
        <v>0.9778</v>
      </c>
      <c r="AV119" s="249">
        <v>0.97760000000000002</v>
      </c>
      <c r="AW119" s="249">
        <v>0.97750000000000004</v>
      </c>
      <c r="AX119" s="249">
        <v>0.97740000000000005</v>
      </c>
      <c r="AY119" s="249">
        <v>0.97719999999999996</v>
      </c>
      <c r="AZ119" s="249">
        <v>0.97709999999999997</v>
      </c>
      <c r="BA119" s="251">
        <v>0.97699999999999998</v>
      </c>
    </row>
    <row r="120" spans="2:53" s="244" customFormat="1" ht="15.75" customHeight="1">
      <c r="B120" s="248">
        <v>103.5</v>
      </c>
      <c r="C120" s="249">
        <v>0.9829</v>
      </c>
      <c r="D120" s="249">
        <v>0.98280000000000001</v>
      </c>
      <c r="E120" s="249">
        <v>0.98260000000000003</v>
      </c>
      <c r="F120" s="249">
        <v>0.98250000000000004</v>
      </c>
      <c r="G120" s="249">
        <v>0.98240000000000005</v>
      </c>
      <c r="H120" s="249">
        <v>0.98229999999999995</v>
      </c>
      <c r="I120" s="249">
        <v>0.98219999999999996</v>
      </c>
      <c r="J120" s="249">
        <v>0.98209999999999997</v>
      </c>
      <c r="K120" s="249">
        <v>0.98199999999999998</v>
      </c>
      <c r="L120" s="249">
        <v>0.98180000000000001</v>
      </c>
      <c r="M120" s="249">
        <v>0.98170000000000002</v>
      </c>
      <c r="N120" s="249">
        <v>0.98160000000000003</v>
      </c>
      <c r="O120" s="249">
        <v>0.98150000000000004</v>
      </c>
      <c r="P120" s="249">
        <v>0.98140000000000005</v>
      </c>
      <c r="Q120" s="249">
        <v>0.98119999999999996</v>
      </c>
      <c r="R120" s="249">
        <v>0.98109999999999997</v>
      </c>
      <c r="S120" s="249">
        <v>0.98099999999999998</v>
      </c>
      <c r="T120" s="249">
        <v>0.98089999999999999</v>
      </c>
      <c r="U120" s="249">
        <v>0.98080000000000001</v>
      </c>
      <c r="V120" s="249">
        <v>0.98060000000000003</v>
      </c>
      <c r="W120" s="249">
        <v>0.98050000000000004</v>
      </c>
      <c r="X120" s="249">
        <v>0.98040000000000005</v>
      </c>
      <c r="Y120" s="249">
        <v>0.98029999999999995</v>
      </c>
      <c r="Z120" s="249">
        <v>0.98019999999999996</v>
      </c>
      <c r="AA120" s="249">
        <v>0.98</v>
      </c>
      <c r="AB120" s="249">
        <v>0.97989999999999999</v>
      </c>
      <c r="AC120" s="249">
        <v>0.9798</v>
      </c>
      <c r="AD120" s="249">
        <v>0.97970000000000002</v>
      </c>
      <c r="AE120" s="249">
        <v>0.97950000000000004</v>
      </c>
      <c r="AF120" s="249">
        <v>0.97940000000000005</v>
      </c>
      <c r="AG120" s="249">
        <v>0.97929999999999995</v>
      </c>
      <c r="AH120" s="249">
        <v>0.97919999999999996</v>
      </c>
      <c r="AI120" s="249">
        <v>0.97899999999999998</v>
      </c>
      <c r="AJ120" s="249">
        <v>0.97889999999999999</v>
      </c>
      <c r="AK120" s="249">
        <v>0.9788</v>
      </c>
      <c r="AL120" s="249">
        <v>0.97870000000000001</v>
      </c>
      <c r="AM120" s="249">
        <v>0.97850000000000004</v>
      </c>
      <c r="AN120" s="249">
        <v>0.97840000000000005</v>
      </c>
      <c r="AO120" s="249">
        <v>0.97829999999999995</v>
      </c>
      <c r="AP120" s="249">
        <v>0.97819999999999996</v>
      </c>
      <c r="AQ120" s="249">
        <v>0.97799999999999998</v>
      </c>
      <c r="AR120" s="249">
        <v>0.97789999999999999</v>
      </c>
      <c r="AS120" s="249">
        <v>0.9778</v>
      </c>
      <c r="AT120" s="249">
        <v>0.97760000000000002</v>
      </c>
      <c r="AU120" s="249">
        <v>0.97750000000000004</v>
      </c>
      <c r="AV120" s="249">
        <v>0.97740000000000005</v>
      </c>
      <c r="AW120" s="249">
        <v>0.97719999999999996</v>
      </c>
      <c r="AX120" s="249">
        <v>0.97709999999999997</v>
      </c>
      <c r="AY120" s="249">
        <v>0.97699999999999998</v>
      </c>
      <c r="AZ120" s="249">
        <v>0.9768</v>
      </c>
      <c r="BA120" s="251">
        <v>0.97670000000000001</v>
      </c>
    </row>
    <row r="121" spans="2:53" s="244" customFormat="1" ht="15.75" customHeight="1">
      <c r="B121" s="248">
        <v>104</v>
      </c>
      <c r="C121" s="249">
        <v>0.98270000000000002</v>
      </c>
      <c r="D121" s="249">
        <v>0.98260000000000003</v>
      </c>
      <c r="E121" s="249">
        <v>0.98240000000000005</v>
      </c>
      <c r="F121" s="249">
        <v>0.98229999999999995</v>
      </c>
      <c r="G121" s="249">
        <v>0.98219999999999996</v>
      </c>
      <c r="H121" s="249">
        <v>0.98209999999999997</v>
      </c>
      <c r="I121" s="249">
        <v>0.98199999999999998</v>
      </c>
      <c r="J121" s="249">
        <v>0.9819</v>
      </c>
      <c r="K121" s="249">
        <v>0.98170000000000002</v>
      </c>
      <c r="L121" s="249">
        <v>0.98160000000000003</v>
      </c>
      <c r="M121" s="249">
        <v>0.98150000000000004</v>
      </c>
      <c r="N121" s="249">
        <v>0.98140000000000005</v>
      </c>
      <c r="O121" s="249">
        <v>0.98129999999999995</v>
      </c>
      <c r="P121" s="249">
        <v>0.98119999999999996</v>
      </c>
      <c r="Q121" s="249">
        <v>0.98099999999999998</v>
      </c>
      <c r="R121" s="249">
        <v>0.98089999999999999</v>
      </c>
      <c r="S121" s="249">
        <v>0.98080000000000001</v>
      </c>
      <c r="T121" s="249">
        <v>0.98070000000000002</v>
      </c>
      <c r="U121" s="249">
        <v>0.98050000000000004</v>
      </c>
      <c r="V121" s="249">
        <v>0.98040000000000005</v>
      </c>
      <c r="W121" s="249">
        <v>0.98029999999999995</v>
      </c>
      <c r="X121" s="249">
        <v>0.98019999999999996</v>
      </c>
      <c r="Y121" s="249">
        <v>0.98009999999999997</v>
      </c>
      <c r="Z121" s="249">
        <v>0.97989999999999999</v>
      </c>
      <c r="AA121" s="249">
        <v>0.9798</v>
      </c>
      <c r="AB121" s="249">
        <v>0.97970000000000002</v>
      </c>
      <c r="AC121" s="249">
        <v>0.97960000000000003</v>
      </c>
      <c r="AD121" s="249">
        <v>0.97940000000000005</v>
      </c>
      <c r="AE121" s="249">
        <v>0.97929999999999995</v>
      </c>
      <c r="AF121" s="249">
        <v>0.97919999999999996</v>
      </c>
      <c r="AG121" s="249">
        <v>0.97909999999999997</v>
      </c>
      <c r="AH121" s="249">
        <v>0.97889999999999999</v>
      </c>
      <c r="AI121" s="249">
        <v>0.9788</v>
      </c>
      <c r="AJ121" s="249">
        <v>0.97870000000000001</v>
      </c>
      <c r="AK121" s="249">
        <v>0.97850000000000004</v>
      </c>
      <c r="AL121" s="249">
        <v>0.97840000000000005</v>
      </c>
      <c r="AM121" s="249">
        <v>0.97829999999999995</v>
      </c>
      <c r="AN121" s="249">
        <v>0.97819999999999996</v>
      </c>
      <c r="AO121" s="249">
        <v>0.97799999999999998</v>
      </c>
      <c r="AP121" s="249">
        <v>0.97789999999999999</v>
      </c>
      <c r="AQ121" s="249">
        <v>0.9778</v>
      </c>
      <c r="AR121" s="249">
        <v>0.97760000000000002</v>
      </c>
      <c r="AS121" s="249">
        <v>0.97750000000000004</v>
      </c>
      <c r="AT121" s="249">
        <v>0.97740000000000005</v>
      </c>
      <c r="AU121" s="249">
        <v>0.97719999999999996</v>
      </c>
      <c r="AV121" s="249">
        <v>0.97709999999999997</v>
      </c>
      <c r="AW121" s="249">
        <v>0.97699999999999998</v>
      </c>
      <c r="AX121" s="249">
        <v>0.9768</v>
      </c>
      <c r="AY121" s="249">
        <v>0.97670000000000001</v>
      </c>
      <c r="AZ121" s="249">
        <v>0.97660000000000002</v>
      </c>
      <c r="BA121" s="251">
        <v>0.97640000000000005</v>
      </c>
    </row>
    <row r="122" spans="2:53" s="244" customFormat="1" ht="15.75" customHeight="1">
      <c r="B122" s="248">
        <v>104.5</v>
      </c>
      <c r="C122" s="249">
        <v>0.98250000000000004</v>
      </c>
      <c r="D122" s="249">
        <v>0.98240000000000005</v>
      </c>
      <c r="E122" s="249">
        <v>0.98219999999999996</v>
      </c>
      <c r="F122" s="249">
        <v>0.98209999999999997</v>
      </c>
      <c r="G122" s="249">
        <v>0.98199999999999998</v>
      </c>
      <c r="H122" s="249">
        <v>0.9819</v>
      </c>
      <c r="I122" s="249">
        <v>0.98180000000000001</v>
      </c>
      <c r="J122" s="249">
        <v>0.98170000000000002</v>
      </c>
      <c r="K122" s="249">
        <v>0.98150000000000004</v>
      </c>
      <c r="L122" s="249">
        <v>0.98140000000000005</v>
      </c>
      <c r="M122" s="249">
        <v>0.98129999999999995</v>
      </c>
      <c r="N122" s="249">
        <v>0.98119999999999996</v>
      </c>
      <c r="O122" s="249">
        <v>0.98109999999999997</v>
      </c>
      <c r="P122" s="249">
        <v>0.98089999999999999</v>
      </c>
      <c r="Q122" s="249">
        <v>0.98080000000000001</v>
      </c>
      <c r="R122" s="249">
        <v>0.98070000000000002</v>
      </c>
      <c r="S122" s="249">
        <v>0.98060000000000003</v>
      </c>
      <c r="T122" s="249">
        <v>0.98040000000000005</v>
      </c>
      <c r="U122" s="249">
        <v>0.98029999999999995</v>
      </c>
      <c r="V122" s="249">
        <v>0.98019999999999996</v>
      </c>
      <c r="W122" s="249">
        <v>0.98009999999999997</v>
      </c>
      <c r="X122" s="249">
        <v>0.97989999999999999</v>
      </c>
      <c r="Y122" s="249">
        <v>0.9798</v>
      </c>
      <c r="Z122" s="249">
        <v>0.97970000000000002</v>
      </c>
      <c r="AA122" s="249">
        <v>0.97960000000000003</v>
      </c>
      <c r="AB122" s="249">
        <v>0.97950000000000004</v>
      </c>
      <c r="AC122" s="249">
        <v>0.97929999999999995</v>
      </c>
      <c r="AD122" s="249">
        <v>0.97919999999999996</v>
      </c>
      <c r="AE122" s="249">
        <v>0.97909999999999997</v>
      </c>
      <c r="AF122" s="249">
        <v>0.97889999999999999</v>
      </c>
      <c r="AG122" s="249">
        <v>0.9788</v>
      </c>
      <c r="AH122" s="249">
        <v>0.97870000000000001</v>
      </c>
      <c r="AI122" s="249">
        <v>0.97860000000000003</v>
      </c>
      <c r="AJ122" s="249">
        <v>0.97840000000000005</v>
      </c>
      <c r="AK122" s="249">
        <v>0.97829999999999995</v>
      </c>
      <c r="AL122" s="249">
        <v>0.97819999999999996</v>
      </c>
      <c r="AM122" s="249">
        <v>0.97799999999999998</v>
      </c>
      <c r="AN122" s="249">
        <v>0.97789999999999999</v>
      </c>
      <c r="AO122" s="249">
        <v>0.9778</v>
      </c>
      <c r="AP122" s="249">
        <v>0.97760000000000002</v>
      </c>
      <c r="AQ122" s="249">
        <v>0.97750000000000004</v>
      </c>
      <c r="AR122" s="249">
        <v>0.97740000000000005</v>
      </c>
      <c r="AS122" s="249">
        <v>0.97729999999999995</v>
      </c>
      <c r="AT122" s="249">
        <v>0.97709999999999997</v>
      </c>
      <c r="AU122" s="249">
        <v>0.97699999999999998</v>
      </c>
      <c r="AV122" s="249">
        <v>0.97689999999999999</v>
      </c>
      <c r="AW122" s="249">
        <v>0.97670000000000001</v>
      </c>
      <c r="AX122" s="249">
        <v>0.97660000000000002</v>
      </c>
      <c r="AY122" s="249">
        <v>0.97650000000000003</v>
      </c>
      <c r="AZ122" s="249">
        <v>0.97629999999999995</v>
      </c>
      <c r="BA122" s="251">
        <v>0.97619999999999996</v>
      </c>
    </row>
    <row r="123" spans="2:53" s="244" customFormat="1" ht="15.75" customHeight="1">
      <c r="B123" s="248">
        <v>105</v>
      </c>
      <c r="C123" s="249">
        <v>0.98229999999999995</v>
      </c>
      <c r="D123" s="249">
        <v>0.98219999999999996</v>
      </c>
      <c r="E123" s="249">
        <v>0.98199999999999998</v>
      </c>
      <c r="F123" s="249">
        <v>0.9819</v>
      </c>
      <c r="G123" s="249">
        <v>0.98180000000000001</v>
      </c>
      <c r="H123" s="249">
        <v>0.98170000000000002</v>
      </c>
      <c r="I123" s="249">
        <v>0.98160000000000003</v>
      </c>
      <c r="J123" s="249">
        <v>0.98140000000000005</v>
      </c>
      <c r="K123" s="249">
        <v>0.98129999999999995</v>
      </c>
      <c r="L123" s="249">
        <v>0.98119999999999996</v>
      </c>
      <c r="M123" s="249">
        <v>0.98109999999999997</v>
      </c>
      <c r="N123" s="249">
        <v>0.98099999999999998</v>
      </c>
      <c r="O123" s="249">
        <v>0.98080000000000001</v>
      </c>
      <c r="P123" s="249">
        <v>0.98070000000000002</v>
      </c>
      <c r="Q123" s="249">
        <v>0.98060000000000003</v>
      </c>
      <c r="R123" s="249">
        <v>0.98050000000000004</v>
      </c>
      <c r="S123" s="249">
        <v>0.98029999999999995</v>
      </c>
      <c r="T123" s="249">
        <v>0.98019999999999996</v>
      </c>
      <c r="U123" s="249">
        <v>0.98009999999999997</v>
      </c>
      <c r="V123" s="249">
        <v>0.98</v>
      </c>
      <c r="W123" s="249">
        <v>0.97989999999999999</v>
      </c>
      <c r="X123" s="249">
        <v>0.97970000000000002</v>
      </c>
      <c r="Y123" s="249">
        <v>0.97960000000000003</v>
      </c>
      <c r="Z123" s="249">
        <v>0.97950000000000004</v>
      </c>
      <c r="AA123" s="249">
        <v>0.97929999999999995</v>
      </c>
      <c r="AB123" s="249">
        <v>0.97919999999999996</v>
      </c>
      <c r="AC123" s="249">
        <v>0.97909999999999997</v>
      </c>
      <c r="AD123" s="249">
        <v>0.97899999999999998</v>
      </c>
      <c r="AE123" s="249">
        <v>0.9788</v>
      </c>
      <c r="AF123" s="249">
        <v>0.97870000000000001</v>
      </c>
      <c r="AG123" s="249">
        <v>0.97860000000000003</v>
      </c>
      <c r="AH123" s="249">
        <v>0.97840000000000005</v>
      </c>
      <c r="AI123" s="249">
        <v>0.97829999999999995</v>
      </c>
      <c r="AJ123" s="249">
        <v>0.97819999999999996</v>
      </c>
      <c r="AK123" s="249">
        <v>0.97809999999999997</v>
      </c>
      <c r="AL123" s="249">
        <v>0.97789999999999999</v>
      </c>
      <c r="AM123" s="249">
        <v>0.9778</v>
      </c>
      <c r="AN123" s="249">
        <v>0.97770000000000001</v>
      </c>
      <c r="AO123" s="249">
        <v>0.97750000000000004</v>
      </c>
      <c r="AP123" s="249">
        <v>0.97740000000000005</v>
      </c>
      <c r="AQ123" s="249">
        <v>0.97729999999999995</v>
      </c>
      <c r="AR123" s="249">
        <v>0.97709999999999997</v>
      </c>
      <c r="AS123" s="249">
        <v>0.97699999999999998</v>
      </c>
      <c r="AT123" s="249">
        <v>0.97689999999999999</v>
      </c>
      <c r="AU123" s="249">
        <v>0.97670000000000001</v>
      </c>
      <c r="AV123" s="249">
        <v>0.97660000000000002</v>
      </c>
      <c r="AW123" s="249">
        <v>0.97650000000000003</v>
      </c>
      <c r="AX123" s="249">
        <v>0.97629999999999995</v>
      </c>
      <c r="AY123" s="249">
        <v>0.97619999999999996</v>
      </c>
      <c r="AZ123" s="249">
        <v>0.97599999999999998</v>
      </c>
      <c r="BA123" s="251">
        <v>0.97589999999999999</v>
      </c>
    </row>
    <row r="124" spans="2:53" s="244" customFormat="1" ht="15.75" customHeight="1">
      <c r="B124" s="248">
        <v>105.5</v>
      </c>
      <c r="C124" s="249">
        <v>0.98209999999999997</v>
      </c>
      <c r="D124" s="249">
        <v>0.98199999999999998</v>
      </c>
      <c r="E124" s="249">
        <v>0.98180000000000001</v>
      </c>
      <c r="F124" s="249">
        <v>0.98170000000000002</v>
      </c>
      <c r="G124" s="249">
        <v>0.98160000000000003</v>
      </c>
      <c r="H124" s="249">
        <v>0.98150000000000004</v>
      </c>
      <c r="I124" s="249">
        <v>0.98140000000000005</v>
      </c>
      <c r="J124" s="249">
        <v>0.98119999999999996</v>
      </c>
      <c r="K124" s="249">
        <v>0.98109999999999997</v>
      </c>
      <c r="L124" s="249">
        <v>0.98099999999999998</v>
      </c>
      <c r="M124" s="249">
        <v>0.98089999999999999</v>
      </c>
      <c r="N124" s="249">
        <v>0.98070000000000002</v>
      </c>
      <c r="O124" s="249">
        <v>0.98060000000000003</v>
      </c>
      <c r="P124" s="249">
        <v>0.98050000000000004</v>
      </c>
      <c r="Q124" s="249">
        <v>0.98040000000000005</v>
      </c>
      <c r="R124" s="249">
        <v>0.98029999999999995</v>
      </c>
      <c r="S124" s="249">
        <v>0.98009999999999997</v>
      </c>
      <c r="T124" s="249">
        <v>0.98</v>
      </c>
      <c r="U124" s="249">
        <v>0.97989999999999999</v>
      </c>
      <c r="V124" s="249">
        <v>0.97970000000000002</v>
      </c>
      <c r="W124" s="249">
        <v>0.97960000000000003</v>
      </c>
      <c r="X124" s="249">
        <v>0.97950000000000004</v>
      </c>
      <c r="Y124" s="249">
        <v>0.97940000000000005</v>
      </c>
      <c r="Z124" s="249">
        <v>0.97919999999999996</v>
      </c>
      <c r="AA124" s="249">
        <v>0.97909999999999997</v>
      </c>
      <c r="AB124" s="249">
        <v>0.97899999999999998</v>
      </c>
      <c r="AC124" s="249">
        <v>0.97889999999999999</v>
      </c>
      <c r="AD124" s="249">
        <v>0.97870000000000001</v>
      </c>
      <c r="AE124" s="249">
        <v>0.97860000000000003</v>
      </c>
      <c r="AF124" s="249">
        <v>0.97850000000000004</v>
      </c>
      <c r="AG124" s="249">
        <v>0.97829999999999995</v>
      </c>
      <c r="AH124" s="249">
        <v>0.97819999999999996</v>
      </c>
      <c r="AI124" s="249">
        <v>0.97809999999999997</v>
      </c>
      <c r="AJ124" s="249">
        <v>0.97789999999999999</v>
      </c>
      <c r="AK124" s="249">
        <v>0.9778</v>
      </c>
      <c r="AL124" s="249">
        <v>0.97770000000000001</v>
      </c>
      <c r="AM124" s="249">
        <v>0.97750000000000004</v>
      </c>
      <c r="AN124" s="249">
        <v>0.97740000000000005</v>
      </c>
      <c r="AO124" s="249">
        <v>0.97729999999999995</v>
      </c>
      <c r="AP124" s="249">
        <v>0.97709999999999997</v>
      </c>
      <c r="AQ124" s="249">
        <v>0.97699999999999998</v>
      </c>
      <c r="AR124" s="249">
        <v>0.97689999999999999</v>
      </c>
      <c r="AS124" s="249">
        <v>0.97670000000000001</v>
      </c>
      <c r="AT124" s="249">
        <v>0.97660000000000002</v>
      </c>
      <c r="AU124" s="249">
        <v>0.97650000000000003</v>
      </c>
      <c r="AV124" s="249">
        <v>0.97629999999999995</v>
      </c>
      <c r="AW124" s="249">
        <v>0.97619999999999996</v>
      </c>
      <c r="AX124" s="249">
        <v>0.97609999999999997</v>
      </c>
      <c r="AY124" s="249">
        <v>0.97589999999999999</v>
      </c>
      <c r="AZ124" s="249">
        <v>0.9758</v>
      </c>
      <c r="BA124" s="251">
        <v>0.97560000000000002</v>
      </c>
    </row>
    <row r="125" spans="2:53" s="244" customFormat="1" ht="15.75" customHeight="1">
      <c r="B125" s="248">
        <v>106</v>
      </c>
      <c r="C125" s="249">
        <v>0.9819</v>
      </c>
      <c r="D125" s="249">
        <v>0.98180000000000001</v>
      </c>
      <c r="E125" s="249">
        <v>0.98160000000000003</v>
      </c>
      <c r="F125" s="249">
        <v>0.98150000000000004</v>
      </c>
      <c r="G125" s="249">
        <v>0.98140000000000005</v>
      </c>
      <c r="H125" s="249">
        <v>0.98129999999999995</v>
      </c>
      <c r="I125" s="249">
        <v>0.98119999999999996</v>
      </c>
      <c r="J125" s="249">
        <v>0.98099999999999998</v>
      </c>
      <c r="K125" s="249">
        <v>0.98089999999999999</v>
      </c>
      <c r="L125" s="249">
        <v>0.98080000000000001</v>
      </c>
      <c r="M125" s="249">
        <v>0.98070000000000002</v>
      </c>
      <c r="N125" s="249">
        <v>0.98050000000000004</v>
      </c>
      <c r="O125" s="249">
        <v>0.98040000000000005</v>
      </c>
      <c r="P125" s="249">
        <v>0.98029999999999995</v>
      </c>
      <c r="Q125" s="249">
        <v>0.98019999999999996</v>
      </c>
      <c r="R125" s="249">
        <v>0.98</v>
      </c>
      <c r="S125" s="249">
        <v>0.97989999999999999</v>
      </c>
      <c r="T125" s="249">
        <v>0.9798</v>
      </c>
      <c r="U125" s="249">
        <v>0.97970000000000002</v>
      </c>
      <c r="V125" s="249">
        <v>0.97950000000000004</v>
      </c>
      <c r="W125" s="249">
        <v>0.97940000000000005</v>
      </c>
      <c r="X125" s="249">
        <v>0.97929999999999995</v>
      </c>
      <c r="Y125" s="249">
        <v>0.97909999999999997</v>
      </c>
      <c r="Z125" s="249">
        <v>0.97899999999999998</v>
      </c>
      <c r="AA125" s="249">
        <v>0.97889999999999999</v>
      </c>
      <c r="AB125" s="249">
        <v>0.9788</v>
      </c>
      <c r="AC125" s="249">
        <v>0.97860000000000003</v>
      </c>
      <c r="AD125" s="249">
        <v>0.97850000000000004</v>
      </c>
      <c r="AE125" s="249">
        <v>0.97840000000000005</v>
      </c>
      <c r="AF125" s="249">
        <v>0.97819999999999996</v>
      </c>
      <c r="AG125" s="249">
        <v>0.97809999999999997</v>
      </c>
      <c r="AH125" s="249">
        <v>0.97799999999999998</v>
      </c>
      <c r="AI125" s="249">
        <v>0.9778</v>
      </c>
      <c r="AJ125" s="249">
        <v>0.97770000000000001</v>
      </c>
      <c r="AK125" s="249">
        <v>0.97760000000000002</v>
      </c>
      <c r="AL125" s="249">
        <v>0.97740000000000005</v>
      </c>
      <c r="AM125" s="249">
        <v>0.97729999999999995</v>
      </c>
      <c r="AN125" s="249">
        <v>0.97719999999999996</v>
      </c>
      <c r="AO125" s="249">
        <v>0.97699999999999998</v>
      </c>
      <c r="AP125" s="249">
        <v>0.97689999999999999</v>
      </c>
      <c r="AQ125" s="249">
        <v>0.9768</v>
      </c>
      <c r="AR125" s="249">
        <v>0.97660000000000002</v>
      </c>
      <c r="AS125" s="249">
        <v>0.97650000000000003</v>
      </c>
      <c r="AT125" s="249">
        <v>0.97629999999999995</v>
      </c>
      <c r="AU125" s="249">
        <v>0.97619999999999996</v>
      </c>
      <c r="AV125" s="249">
        <v>0.97609999999999997</v>
      </c>
      <c r="AW125" s="249">
        <v>0.97589999999999999</v>
      </c>
      <c r="AX125" s="249">
        <v>0.9758</v>
      </c>
      <c r="AY125" s="249">
        <v>0.97570000000000001</v>
      </c>
      <c r="AZ125" s="249">
        <v>0.97550000000000003</v>
      </c>
      <c r="BA125" s="251">
        <v>0.97540000000000004</v>
      </c>
    </row>
    <row r="126" spans="2:53" s="244" customFormat="1" ht="15.75" customHeight="1">
      <c r="B126" s="248">
        <v>106.5</v>
      </c>
      <c r="C126" s="249">
        <v>0.98170000000000002</v>
      </c>
      <c r="D126" s="249">
        <v>0.98160000000000003</v>
      </c>
      <c r="E126" s="249">
        <v>0.98140000000000005</v>
      </c>
      <c r="F126" s="249">
        <v>0.98129999999999995</v>
      </c>
      <c r="G126" s="249">
        <v>0.98119999999999996</v>
      </c>
      <c r="H126" s="249">
        <v>0.98109999999999997</v>
      </c>
      <c r="I126" s="249">
        <v>0.98089999999999999</v>
      </c>
      <c r="J126" s="249">
        <v>0.98080000000000001</v>
      </c>
      <c r="K126" s="249">
        <v>0.98070000000000002</v>
      </c>
      <c r="L126" s="249">
        <v>0.98060000000000003</v>
      </c>
      <c r="M126" s="249">
        <v>0.98040000000000005</v>
      </c>
      <c r="N126" s="249">
        <v>0.98029999999999995</v>
      </c>
      <c r="O126" s="249">
        <v>0.98019999999999996</v>
      </c>
      <c r="P126" s="249">
        <v>0.98009999999999997</v>
      </c>
      <c r="Q126" s="249">
        <v>0.97989999999999999</v>
      </c>
      <c r="R126" s="249">
        <v>0.9798</v>
      </c>
      <c r="S126" s="249">
        <v>0.97970000000000002</v>
      </c>
      <c r="T126" s="249">
        <v>0.97960000000000003</v>
      </c>
      <c r="U126" s="249">
        <v>0.97940000000000005</v>
      </c>
      <c r="V126" s="249">
        <v>0.97929999999999995</v>
      </c>
      <c r="W126" s="249">
        <v>0.97919999999999996</v>
      </c>
      <c r="X126" s="249">
        <v>0.97899999999999998</v>
      </c>
      <c r="Y126" s="249">
        <v>0.97889999999999999</v>
      </c>
      <c r="Z126" s="249">
        <v>0.9788</v>
      </c>
      <c r="AA126" s="249">
        <v>0.97870000000000001</v>
      </c>
      <c r="AB126" s="249">
        <v>0.97850000000000004</v>
      </c>
      <c r="AC126" s="249">
        <v>0.97840000000000005</v>
      </c>
      <c r="AD126" s="249">
        <v>0.97829999999999995</v>
      </c>
      <c r="AE126" s="249">
        <v>0.97809999999999997</v>
      </c>
      <c r="AF126" s="249">
        <v>0.97799999999999998</v>
      </c>
      <c r="AG126" s="249">
        <v>0.97789999999999999</v>
      </c>
      <c r="AH126" s="249">
        <v>0.97770000000000001</v>
      </c>
      <c r="AI126" s="249">
        <v>0.97760000000000002</v>
      </c>
      <c r="AJ126" s="249">
        <v>0.97750000000000004</v>
      </c>
      <c r="AK126" s="249">
        <v>0.97729999999999995</v>
      </c>
      <c r="AL126" s="249">
        <v>0.97719999999999996</v>
      </c>
      <c r="AM126" s="249">
        <v>0.97699999999999998</v>
      </c>
      <c r="AN126" s="249">
        <v>0.97689999999999999</v>
      </c>
      <c r="AO126" s="249">
        <v>0.9768</v>
      </c>
      <c r="AP126" s="249">
        <v>0.97660000000000002</v>
      </c>
      <c r="AQ126" s="249">
        <v>0.97650000000000003</v>
      </c>
      <c r="AR126" s="249">
        <v>0.97640000000000005</v>
      </c>
      <c r="AS126" s="249">
        <v>0.97619999999999996</v>
      </c>
      <c r="AT126" s="249">
        <v>0.97609999999999997</v>
      </c>
      <c r="AU126" s="249">
        <v>0.97589999999999999</v>
      </c>
      <c r="AV126" s="249">
        <v>0.9758</v>
      </c>
      <c r="AW126" s="249">
        <v>0.97570000000000001</v>
      </c>
      <c r="AX126" s="249">
        <v>0.97550000000000003</v>
      </c>
      <c r="AY126" s="249">
        <v>0.97540000000000004</v>
      </c>
      <c r="AZ126" s="249">
        <v>0.97519999999999996</v>
      </c>
      <c r="BA126" s="251">
        <v>0.97509999999999997</v>
      </c>
    </row>
    <row r="127" spans="2:53" s="244" customFormat="1" ht="15.75" customHeight="1">
      <c r="B127" s="248">
        <v>107</v>
      </c>
      <c r="C127" s="249">
        <v>0.98150000000000004</v>
      </c>
      <c r="D127" s="249">
        <v>0.98140000000000005</v>
      </c>
      <c r="E127" s="249">
        <v>0.98119999999999996</v>
      </c>
      <c r="F127" s="249">
        <v>0.98109999999999997</v>
      </c>
      <c r="G127" s="249">
        <v>0.98099999999999998</v>
      </c>
      <c r="H127" s="249">
        <v>0.98089999999999999</v>
      </c>
      <c r="I127" s="249">
        <v>0.98070000000000002</v>
      </c>
      <c r="J127" s="249">
        <v>0.98060000000000003</v>
      </c>
      <c r="K127" s="249">
        <v>0.98050000000000004</v>
      </c>
      <c r="L127" s="249">
        <v>0.98040000000000005</v>
      </c>
      <c r="M127" s="249">
        <v>0.98019999999999996</v>
      </c>
      <c r="N127" s="249">
        <v>0.98009999999999997</v>
      </c>
      <c r="O127" s="249">
        <v>0.98</v>
      </c>
      <c r="P127" s="249">
        <v>0.97989999999999999</v>
      </c>
      <c r="Q127" s="249">
        <v>0.97970000000000002</v>
      </c>
      <c r="R127" s="249">
        <v>0.97960000000000003</v>
      </c>
      <c r="S127" s="249">
        <v>0.97950000000000004</v>
      </c>
      <c r="T127" s="249">
        <v>0.97929999999999995</v>
      </c>
      <c r="U127" s="249">
        <v>0.97919999999999996</v>
      </c>
      <c r="V127" s="249">
        <v>0.97909999999999997</v>
      </c>
      <c r="W127" s="249">
        <v>0.97899999999999998</v>
      </c>
      <c r="X127" s="249">
        <v>0.9788</v>
      </c>
      <c r="Y127" s="249">
        <v>0.97870000000000001</v>
      </c>
      <c r="Z127" s="249">
        <v>0.97860000000000003</v>
      </c>
      <c r="AA127" s="249">
        <v>0.97840000000000005</v>
      </c>
      <c r="AB127" s="249">
        <v>0.97829999999999995</v>
      </c>
      <c r="AC127" s="249">
        <v>0.97819999999999996</v>
      </c>
      <c r="AD127" s="249">
        <v>0.97799999999999998</v>
      </c>
      <c r="AE127" s="249">
        <v>0.97789999999999999</v>
      </c>
      <c r="AF127" s="249">
        <v>0.9778</v>
      </c>
      <c r="AG127" s="249">
        <v>0.97760000000000002</v>
      </c>
      <c r="AH127" s="249">
        <v>0.97750000000000004</v>
      </c>
      <c r="AI127" s="249">
        <v>0.97729999999999995</v>
      </c>
      <c r="AJ127" s="249">
        <v>0.97719999999999996</v>
      </c>
      <c r="AK127" s="249">
        <v>0.97709999999999997</v>
      </c>
      <c r="AL127" s="249">
        <v>0.97689999999999999</v>
      </c>
      <c r="AM127" s="249">
        <v>0.9768</v>
      </c>
      <c r="AN127" s="249">
        <v>0.97670000000000001</v>
      </c>
      <c r="AO127" s="249">
        <v>0.97650000000000003</v>
      </c>
      <c r="AP127" s="249">
        <v>0.97640000000000005</v>
      </c>
      <c r="AQ127" s="249">
        <v>0.97619999999999996</v>
      </c>
      <c r="AR127" s="249">
        <v>0.97609999999999997</v>
      </c>
      <c r="AS127" s="249">
        <v>0.97599999999999998</v>
      </c>
      <c r="AT127" s="249">
        <v>0.9758</v>
      </c>
      <c r="AU127" s="249">
        <v>0.97570000000000001</v>
      </c>
      <c r="AV127" s="249">
        <v>0.97550000000000003</v>
      </c>
      <c r="AW127" s="249">
        <v>0.97540000000000004</v>
      </c>
      <c r="AX127" s="249">
        <v>0.97529999999999994</v>
      </c>
      <c r="AY127" s="249">
        <v>0.97509999999999997</v>
      </c>
      <c r="AZ127" s="249">
        <v>0.97499999999999998</v>
      </c>
      <c r="BA127" s="251">
        <v>0.9748</v>
      </c>
    </row>
    <row r="128" spans="2:53" s="244" customFormat="1" ht="15.75" customHeight="1">
      <c r="B128" s="248">
        <v>107.5</v>
      </c>
      <c r="C128" s="249">
        <v>0.98129999999999995</v>
      </c>
      <c r="D128" s="249">
        <v>0.98119999999999996</v>
      </c>
      <c r="E128" s="249">
        <v>0.98099999999999998</v>
      </c>
      <c r="F128" s="249">
        <v>0.98089999999999999</v>
      </c>
      <c r="G128" s="249">
        <v>0.98080000000000001</v>
      </c>
      <c r="H128" s="249">
        <v>0.98070000000000002</v>
      </c>
      <c r="I128" s="249">
        <v>0.98050000000000004</v>
      </c>
      <c r="J128" s="249">
        <v>0.98040000000000005</v>
      </c>
      <c r="K128" s="249">
        <v>0.98029999999999995</v>
      </c>
      <c r="L128" s="249">
        <v>0.98019999999999996</v>
      </c>
      <c r="M128" s="249">
        <v>0.98</v>
      </c>
      <c r="N128" s="249">
        <v>0.97989999999999999</v>
      </c>
      <c r="O128" s="249">
        <v>0.9798</v>
      </c>
      <c r="P128" s="249">
        <v>0.97960000000000003</v>
      </c>
      <c r="Q128" s="249">
        <v>0.97950000000000004</v>
      </c>
      <c r="R128" s="249">
        <v>0.97940000000000005</v>
      </c>
      <c r="S128" s="249">
        <v>0.97919999999999996</v>
      </c>
      <c r="T128" s="249">
        <v>0.97909999999999997</v>
      </c>
      <c r="U128" s="249">
        <v>0.97899999999999998</v>
      </c>
      <c r="V128" s="249">
        <v>0.97889999999999999</v>
      </c>
      <c r="W128" s="249">
        <v>0.97870000000000001</v>
      </c>
      <c r="X128" s="249">
        <v>0.97860000000000003</v>
      </c>
      <c r="Y128" s="249">
        <v>0.97850000000000004</v>
      </c>
      <c r="Z128" s="249">
        <v>0.97829999999999995</v>
      </c>
      <c r="AA128" s="249">
        <v>0.97819999999999996</v>
      </c>
      <c r="AB128" s="249">
        <v>0.97809999999999997</v>
      </c>
      <c r="AC128" s="249">
        <v>0.97789999999999999</v>
      </c>
      <c r="AD128" s="249">
        <v>0.9778</v>
      </c>
      <c r="AE128" s="249">
        <v>0.97770000000000001</v>
      </c>
      <c r="AF128" s="249">
        <v>0.97750000000000004</v>
      </c>
      <c r="AG128" s="249">
        <v>0.97740000000000005</v>
      </c>
      <c r="AH128" s="249">
        <v>0.97719999999999996</v>
      </c>
      <c r="AI128" s="249">
        <v>0.97709999999999997</v>
      </c>
      <c r="AJ128" s="249">
        <v>0.97699999999999998</v>
      </c>
      <c r="AK128" s="249">
        <v>0.9768</v>
      </c>
      <c r="AL128" s="249">
        <v>0.97670000000000001</v>
      </c>
      <c r="AM128" s="249">
        <v>0.97660000000000002</v>
      </c>
      <c r="AN128" s="249">
        <v>0.97640000000000005</v>
      </c>
      <c r="AO128" s="249">
        <v>0.97629999999999995</v>
      </c>
      <c r="AP128" s="249">
        <v>0.97609999999999997</v>
      </c>
      <c r="AQ128" s="249">
        <v>0.97599999999999998</v>
      </c>
      <c r="AR128" s="249">
        <v>0.9758</v>
      </c>
      <c r="AS128" s="249">
        <v>0.97570000000000001</v>
      </c>
      <c r="AT128" s="249">
        <v>0.97560000000000002</v>
      </c>
      <c r="AU128" s="249">
        <v>0.97540000000000004</v>
      </c>
      <c r="AV128" s="249">
        <v>0.97529999999999994</v>
      </c>
      <c r="AW128" s="249">
        <v>0.97509999999999997</v>
      </c>
      <c r="AX128" s="249">
        <v>0.97499999999999998</v>
      </c>
      <c r="AY128" s="249">
        <v>0.97489999999999999</v>
      </c>
      <c r="AZ128" s="249">
        <v>0.97470000000000001</v>
      </c>
      <c r="BA128" s="251">
        <v>0.97460000000000002</v>
      </c>
    </row>
    <row r="129" spans="2:53" s="244" customFormat="1" ht="15.75" customHeight="1">
      <c r="B129" s="248">
        <v>108</v>
      </c>
      <c r="C129" s="249">
        <v>0.98109999999999997</v>
      </c>
      <c r="D129" s="249">
        <v>0.98099999999999998</v>
      </c>
      <c r="E129" s="249">
        <v>0.98080000000000001</v>
      </c>
      <c r="F129" s="249">
        <v>0.98070000000000002</v>
      </c>
      <c r="G129" s="249">
        <v>0.98060000000000003</v>
      </c>
      <c r="H129" s="249">
        <v>0.98050000000000004</v>
      </c>
      <c r="I129" s="249">
        <v>0.98029999999999995</v>
      </c>
      <c r="J129" s="249">
        <v>0.98019999999999996</v>
      </c>
      <c r="K129" s="249">
        <v>0.98009999999999997</v>
      </c>
      <c r="L129" s="249">
        <v>0.97989999999999999</v>
      </c>
      <c r="M129" s="249">
        <v>0.9798</v>
      </c>
      <c r="N129" s="249">
        <v>0.97970000000000002</v>
      </c>
      <c r="O129" s="249">
        <v>0.97960000000000003</v>
      </c>
      <c r="P129" s="249">
        <v>0.97940000000000005</v>
      </c>
      <c r="Q129" s="249">
        <v>0.97929999999999995</v>
      </c>
      <c r="R129" s="249">
        <v>0.97919999999999996</v>
      </c>
      <c r="S129" s="249">
        <v>0.97899999999999998</v>
      </c>
      <c r="T129" s="249">
        <v>0.97889999999999999</v>
      </c>
      <c r="U129" s="249">
        <v>0.9788</v>
      </c>
      <c r="V129" s="249">
        <v>0.97860000000000003</v>
      </c>
      <c r="W129" s="249">
        <v>0.97850000000000004</v>
      </c>
      <c r="X129" s="249">
        <v>0.97840000000000005</v>
      </c>
      <c r="Y129" s="249">
        <v>0.97819999999999996</v>
      </c>
      <c r="Z129" s="249">
        <v>0.97809999999999997</v>
      </c>
      <c r="AA129" s="249">
        <v>0.97799999999999998</v>
      </c>
      <c r="AB129" s="249">
        <v>0.9778</v>
      </c>
      <c r="AC129" s="249">
        <v>0.97770000000000001</v>
      </c>
      <c r="AD129" s="249">
        <v>0.97760000000000002</v>
      </c>
      <c r="AE129" s="249">
        <v>0.97740000000000005</v>
      </c>
      <c r="AF129" s="249">
        <v>0.97729999999999995</v>
      </c>
      <c r="AG129" s="249">
        <v>0.97709999999999997</v>
      </c>
      <c r="AH129" s="249">
        <v>0.97699999999999998</v>
      </c>
      <c r="AI129" s="249">
        <v>0.97689999999999999</v>
      </c>
      <c r="AJ129" s="249">
        <v>0.97670000000000001</v>
      </c>
      <c r="AK129" s="249">
        <v>0.97660000000000002</v>
      </c>
      <c r="AL129" s="249">
        <v>0.97640000000000005</v>
      </c>
      <c r="AM129" s="249">
        <v>0.97629999999999995</v>
      </c>
      <c r="AN129" s="249">
        <v>0.97619999999999996</v>
      </c>
      <c r="AO129" s="249">
        <v>0.97599999999999998</v>
      </c>
      <c r="AP129" s="249">
        <v>0.97589999999999999</v>
      </c>
      <c r="AQ129" s="249">
        <v>0.97570000000000001</v>
      </c>
      <c r="AR129" s="249">
        <v>0.97560000000000002</v>
      </c>
      <c r="AS129" s="249">
        <v>0.97550000000000003</v>
      </c>
      <c r="AT129" s="249">
        <v>0.97529999999999994</v>
      </c>
      <c r="AU129" s="249">
        <v>0.97519999999999996</v>
      </c>
      <c r="AV129" s="249">
        <v>0.97499999999999998</v>
      </c>
      <c r="AW129" s="249">
        <v>0.97489999999999999</v>
      </c>
      <c r="AX129" s="249">
        <v>0.97470000000000001</v>
      </c>
      <c r="AY129" s="249">
        <v>0.97460000000000002</v>
      </c>
      <c r="AZ129" s="249">
        <v>0.97440000000000004</v>
      </c>
      <c r="BA129" s="251">
        <v>0.97430000000000005</v>
      </c>
    </row>
    <row r="130" spans="2:53" s="244" customFormat="1" ht="15.75" customHeight="1">
      <c r="B130" s="248">
        <v>108.5</v>
      </c>
      <c r="C130" s="249">
        <v>0.98089999999999999</v>
      </c>
      <c r="D130" s="249">
        <v>0.98080000000000001</v>
      </c>
      <c r="E130" s="249">
        <v>0.98060000000000003</v>
      </c>
      <c r="F130" s="249">
        <v>0.98050000000000004</v>
      </c>
      <c r="G130" s="249">
        <v>0.98040000000000005</v>
      </c>
      <c r="H130" s="249">
        <v>0.98029999999999995</v>
      </c>
      <c r="I130" s="249">
        <v>0.98009999999999997</v>
      </c>
      <c r="J130" s="249">
        <v>0.98</v>
      </c>
      <c r="K130" s="249">
        <v>0.97989999999999999</v>
      </c>
      <c r="L130" s="249">
        <v>0.97970000000000002</v>
      </c>
      <c r="M130" s="249">
        <v>0.97960000000000003</v>
      </c>
      <c r="N130" s="249">
        <v>0.97950000000000004</v>
      </c>
      <c r="O130" s="249">
        <v>0.97929999999999995</v>
      </c>
      <c r="P130" s="249">
        <v>0.97919999999999996</v>
      </c>
      <c r="Q130" s="249">
        <v>0.97909999999999997</v>
      </c>
      <c r="R130" s="249">
        <v>0.97889999999999999</v>
      </c>
      <c r="S130" s="249">
        <v>0.9788</v>
      </c>
      <c r="T130" s="249">
        <v>0.97870000000000001</v>
      </c>
      <c r="U130" s="249">
        <v>0.97850000000000004</v>
      </c>
      <c r="V130" s="249">
        <v>0.97840000000000005</v>
      </c>
      <c r="W130" s="249">
        <v>0.97829999999999995</v>
      </c>
      <c r="X130" s="249">
        <v>0.97809999999999997</v>
      </c>
      <c r="Y130" s="249">
        <v>0.97799999999999998</v>
      </c>
      <c r="Z130" s="249">
        <v>0.97789999999999999</v>
      </c>
      <c r="AA130" s="249">
        <v>0.97770000000000001</v>
      </c>
      <c r="AB130" s="249">
        <v>0.97760000000000002</v>
      </c>
      <c r="AC130" s="249">
        <v>0.97750000000000004</v>
      </c>
      <c r="AD130" s="249">
        <v>0.97729999999999995</v>
      </c>
      <c r="AE130" s="249">
        <v>0.97719999999999996</v>
      </c>
      <c r="AF130" s="249">
        <v>0.97699999999999998</v>
      </c>
      <c r="AG130" s="249">
        <v>0.97689999999999999</v>
      </c>
      <c r="AH130" s="249">
        <v>0.9768</v>
      </c>
      <c r="AI130" s="249">
        <v>0.97660000000000002</v>
      </c>
      <c r="AJ130" s="249">
        <v>0.97650000000000003</v>
      </c>
      <c r="AK130" s="249">
        <v>0.97629999999999995</v>
      </c>
      <c r="AL130" s="249">
        <v>0.97619999999999996</v>
      </c>
      <c r="AM130" s="249">
        <v>0.97609999999999997</v>
      </c>
      <c r="AN130" s="249">
        <v>0.97589999999999999</v>
      </c>
      <c r="AO130" s="249">
        <v>0.9758</v>
      </c>
      <c r="AP130" s="249">
        <v>0.97560000000000002</v>
      </c>
      <c r="AQ130" s="249">
        <v>0.97550000000000003</v>
      </c>
      <c r="AR130" s="249">
        <v>0.97529999999999994</v>
      </c>
      <c r="AS130" s="249">
        <v>0.97519999999999996</v>
      </c>
      <c r="AT130" s="249">
        <v>0.97499999999999998</v>
      </c>
      <c r="AU130" s="249">
        <v>0.97489999999999999</v>
      </c>
      <c r="AV130" s="249">
        <v>0.9748</v>
      </c>
      <c r="AW130" s="249">
        <v>0.97460000000000002</v>
      </c>
      <c r="AX130" s="249">
        <v>0.97450000000000003</v>
      </c>
      <c r="AY130" s="249">
        <v>0.97430000000000005</v>
      </c>
      <c r="AZ130" s="249">
        <v>0.97419999999999995</v>
      </c>
      <c r="BA130" s="251">
        <v>0.97399999999999998</v>
      </c>
    </row>
    <row r="131" spans="2:53" s="244" customFormat="1" ht="15.75" customHeight="1">
      <c r="B131" s="248">
        <v>109</v>
      </c>
      <c r="C131" s="249">
        <v>0.98070000000000002</v>
      </c>
      <c r="D131" s="249">
        <v>0.98060000000000003</v>
      </c>
      <c r="E131" s="249">
        <v>0.98040000000000005</v>
      </c>
      <c r="F131" s="249">
        <v>0.98029999999999995</v>
      </c>
      <c r="G131" s="249">
        <v>0.98019999999999996</v>
      </c>
      <c r="H131" s="249">
        <v>0.98009999999999997</v>
      </c>
      <c r="I131" s="249">
        <v>0.97989999999999999</v>
      </c>
      <c r="J131" s="249">
        <v>0.9798</v>
      </c>
      <c r="K131" s="249">
        <v>0.97970000000000002</v>
      </c>
      <c r="L131" s="249">
        <v>0.97950000000000004</v>
      </c>
      <c r="M131" s="249">
        <v>0.97940000000000005</v>
      </c>
      <c r="N131" s="249">
        <v>0.97929999999999995</v>
      </c>
      <c r="O131" s="249">
        <v>0.97909999999999997</v>
      </c>
      <c r="P131" s="249">
        <v>0.97899999999999998</v>
      </c>
      <c r="Q131" s="249">
        <v>0.97889999999999999</v>
      </c>
      <c r="R131" s="249">
        <v>0.97870000000000001</v>
      </c>
      <c r="S131" s="249">
        <v>0.97860000000000003</v>
      </c>
      <c r="T131" s="249">
        <v>0.97850000000000004</v>
      </c>
      <c r="U131" s="249">
        <v>0.97829999999999995</v>
      </c>
      <c r="V131" s="249">
        <v>0.97819999999999996</v>
      </c>
      <c r="W131" s="249">
        <v>0.97799999999999998</v>
      </c>
      <c r="X131" s="249">
        <v>0.97789999999999999</v>
      </c>
      <c r="Y131" s="249">
        <v>0.9778</v>
      </c>
      <c r="Z131" s="249">
        <v>0.97760000000000002</v>
      </c>
      <c r="AA131" s="249">
        <v>0.97750000000000004</v>
      </c>
      <c r="AB131" s="249">
        <v>0.97740000000000005</v>
      </c>
      <c r="AC131" s="249">
        <v>0.97719999999999996</v>
      </c>
      <c r="AD131" s="249">
        <v>0.97709999999999997</v>
      </c>
      <c r="AE131" s="249">
        <v>0.97689999999999999</v>
      </c>
      <c r="AF131" s="249">
        <v>0.9768</v>
      </c>
      <c r="AG131" s="249">
        <v>0.97670000000000001</v>
      </c>
      <c r="AH131" s="249">
        <v>0.97650000000000003</v>
      </c>
      <c r="AI131" s="249">
        <v>0.97640000000000005</v>
      </c>
      <c r="AJ131" s="249">
        <v>0.97619999999999996</v>
      </c>
      <c r="AK131" s="249">
        <v>0.97609999999999997</v>
      </c>
      <c r="AL131" s="249">
        <v>0.97589999999999999</v>
      </c>
      <c r="AM131" s="249">
        <v>0.9758</v>
      </c>
      <c r="AN131" s="249">
        <v>0.97570000000000001</v>
      </c>
      <c r="AO131" s="249">
        <v>0.97550000000000003</v>
      </c>
      <c r="AP131" s="249">
        <v>0.97540000000000004</v>
      </c>
      <c r="AQ131" s="249">
        <v>0.97519999999999996</v>
      </c>
      <c r="AR131" s="249">
        <v>0.97509999999999997</v>
      </c>
      <c r="AS131" s="249">
        <v>0.97489999999999999</v>
      </c>
      <c r="AT131" s="249">
        <v>0.9748</v>
      </c>
      <c r="AU131" s="249">
        <v>0.97460000000000002</v>
      </c>
      <c r="AV131" s="249">
        <v>0.97450000000000003</v>
      </c>
      <c r="AW131" s="249">
        <v>0.97430000000000005</v>
      </c>
      <c r="AX131" s="249">
        <v>0.97419999999999995</v>
      </c>
      <c r="AY131" s="249">
        <v>0.97409999999999997</v>
      </c>
      <c r="AZ131" s="249">
        <v>0.97389999999999999</v>
      </c>
      <c r="BA131" s="251">
        <v>0.97370000000000001</v>
      </c>
    </row>
    <row r="132" spans="2:53" s="244" customFormat="1" ht="15.75" customHeight="1">
      <c r="B132" s="248">
        <v>109.5</v>
      </c>
      <c r="C132" s="249">
        <v>0.98050000000000004</v>
      </c>
      <c r="D132" s="249">
        <v>0.98040000000000005</v>
      </c>
      <c r="E132" s="249">
        <v>0.98019999999999996</v>
      </c>
      <c r="F132" s="249">
        <v>0.98009999999999997</v>
      </c>
      <c r="G132" s="249">
        <v>0.98</v>
      </c>
      <c r="H132" s="249">
        <v>0.9798</v>
      </c>
      <c r="I132" s="249">
        <v>0.97970000000000002</v>
      </c>
      <c r="J132" s="249">
        <v>0.97960000000000003</v>
      </c>
      <c r="K132" s="249">
        <v>0.97950000000000004</v>
      </c>
      <c r="L132" s="249">
        <v>0.97929999999999995</v>
      </c>
      <c r="M132" s="249">
        <v>0.97919999999999996</v>
      </c>
      <c r="N132" s="249">
        <v>0.97899999999999998</v>
      </c>
      <c r="O132" s="249">
        <v>0.97889999999999999</v>
      </c>
      <c r="P132" s="249">
        <v>0.9788</v>
      </c>
      <c r="Q132" s="249">
        <v>0.97860000000000003</v>
      </c>
      <c r="R132" s="249">
        <v>0.97850000000000004</v>
      </c>
      <c r="S132" s="249">
        <v>0.97840000000000005</v>
      </c>
      <c r="T132" s="249">
        <v>0.97819999999999996</v>
      </c>
      <c r="U132" s="249">
        <v>0.97809999999999997</v>
      </c>
      <c r="V132" s="249">
        <v>0.97799999999999998</v>
      </c>
      <c r="W132" s="249">
        <v>0.9778</v>
      </c>
      <c r="X132" s="249">
        <v>0.97770000000000001</v>
      </c>
      <c r="Y132" s="249">
        <v>0.97750000000000004</v>
      </c>
      <c r="Z132" s="249">
        <v>0.97740000000000005</v>
      </c>
      <c r="AA132" s="249">
        <v>0.97729999999999995</v>
      </c>
      <c r="AB132" s="249">
        <v>0.97709999999999997</v>
      </c>
      <c r="AC132" s="249">
        <v>0.97699999999999998</v>
      </c>
      <c r="AD132" s="249">
        <v>0.9768</v>
      </c>
      <c r="AE132" s="249">
        <v>0.97670000000000001</v>
      </c>
      <c r="AF132" s="249">
        <v>0.97660000000000002</v>
      </c>
      <c r="AG132" s="249">
        <v>0.97640000000000005</v>
      </c>
      <c r="AH132" s="249">
        <v>0.97629999999999995</v>
      </c>
      <c r="AI132" s="249">
        <v>0.97609999999999997</v>
      </c>
      <c r="AJ132" s="249">
        <v>0.97599999999999998</v>
      </c>
      <c r="AK132" s="249">
        <v>0.9758</v>
      </c>
      <c r="AL132" s="249">
        <v>0.97570000000000001</v>
      </c>
      <c r="AM132" s="249">
        <v>0.97560000000000002</v>
      </c>
      <c r="AN132" s="249">
        <v>0.97540000000000004</v>
      </c>
      <c r="AO132" s="249">
        <v>0.97529999999999994</v>
      </c>
      <c r="AP132" s="249">
        <v>0.97509999999999997</v>
      </c>
      <c r="AQ132" s="249">
        <v>0.97499999999999998</v>
      </c>
      <c r="AR132" s="249">
        <v>0.9748</v>
      </c>
      <c r="AS132" s="249">
        <v>0.97470000000000001</v>
      </c>
      <c r="AT132" s="249">
        <v>0.97450000000000003</v>
      </c>
      <c r="AU132" s="249">
        <v>0.97440000000000004</v>
      </c>
      <c r="AV132" s="249">
        <v>0.97419999999999995</v>
      </c>
      <c r="AW132" s="249">
        <v>0.97409999999999997</v>
      </c>
      <c r="AX132" s="249">
        <v>0.97389999999999999</v>
      </c>
      <c r="AY132" s="249">
        <v>0.9738</v>
      </c>
      <c r="AZ132" s="249">
        <v>0.97360000000000002</v>
      </c>
      <c r="BA132" s="251">
        <v>0.97350000000000003</v>
      </c>
    </row>
    <row r="133" spans="2:53" s="244" customFormat="1" ht="15.75" customHeight="1">
      <c r="B133" s="248">
        <v>110</v>
      </c>
      <c r="C133" s="249">
        <v>0.98029999999999995</v>
      </c>
      <c r="D133" s="249">
        <v>0.98019999999999996</v>
      </c>
      <c r="E133" s="249">
        <v>0.98</v>
      </c>
      <c r="F133" s="249">
        <v>0.97989999999999999</v>
      </c>
      <c r="G133" s="249">
        <v>0.9798</v>
      </c>
      <c r="H133" s="249">
        <v>0.97960000000000003</v>
      </c>
      <c r="I133" s="249">
        <v>0.97950000000000004</v>
      </c>
      <c r="J133" s="249">
        <v>0.97940000000000005</v>
      </c>
      <c r="K133" s="249">
        <v>0.97919999999999996</v>
      </c>
      <c r="L133" s="249">
        <v>0.97909999999999997</v>
      </c>
      <c r="M133" s="249">
        <v>0.97899999999999998</v>
      </c>
      <c r="N133" s="249">
        <v>0.9788</v>
      </c>
      <c r="O133" s="249">
        <v>0.97870000000000001</v>
      </c>
      <c r="P133" s="249">
        <v>0.97860000000000003</v>
      </c>
      <c r="Q133" s="249">
        <v>0.97840000000000005</v>
      </c>
      <c r="R133" s="249">
        <v>0.97829999999999995</v>
      </c>
      <c r="S133" s="249">
        <v>0.97819999999999996</v>
      </c>
      <c r="T133" s="249">
        <v>0.97799999999999998</v>
      </c>
      <c r="U133" s="249">
        <v>0.97789999999999999</v>
      </c>
      <c r="V133" s="249">
        <v>0.97770000000000001</v>
      </c>
      <c r="W133" s="249">
        <v>0.97760000000000002</v>
      </c>
      <c r="X133" s="249">
        <v>0.97750000000000004</v>
      </c>
      <c r="Y133" s="249">
        <v>0.97729999999999995</v>
      </c>
      <c r="Z133" s="249">
        <v>0.97719999999999996</v>
      </c>
      <c r="AA133" s="249">
        <v>0.97699999999999998</v>
      </c>
      <c r="AB133" s="249">
        <v>0.97689999999999999</v>
      </c>
      <c r="AC133" s="249">
        <v>0.9768</v>
      </c>
      <c r="AD133" s="249">
        <v>0.97660000000000002</v>
      </c>
      <c r="AE133" s="249">
        <v>0.97650000000000003</v>
      </c>
      <c r="AF133" s="249">
        <v>0.97629999999999995</v>
      </c>
      <c r="AG133" s="249">
        <v>0.97619999999999996</v>
      </c>
      <c r="AH133" s="249">
        <v>0.97599999999999998</v>
      </c>
      <c r="AI133" s="249">
        <v>0.97589999999999999</v>
      </c>
      <c r="AJ133" s="249">
        <v>0.97570000000000001</v>
      </c>
      <c r="AK133" s="249">
        <v>0.97560000000000002</v>
      </c>
      <c r="AL133" s="249">
        <v>0.97550000000000003</v>
      </c>
      <c r="AM133" s="249">
        <v>0.97529999999999994</v>
      </c>
      <c r="AN133" s="249">
        <v>0.97519999999999996</v>
      </c>
      <c r="AO133" s="249">
        <v>0.97499999999999998</v>
      </c>
      <c r="AP133" s="249">
        <v>0.97489999999999999</v>
      </c>
      <c r="AQ133" s="249">
        <v>0.97470000000000001</v>
      </c>
      <c r="AR133" s="249">
        <v>0.97460000000000002</v>
      </c>
      <c r="AS133" s="249">
        <v>0.97440000000000004</v>
      </c>
      <c r="AT133" s="249">
        <v>0.97430000000000005</v>
      </c>
      <c r="AU133" s="249">
        <v>0.97409999999999997</v>
      </c>
      <c r="AV133" s="249">
        <v>0.97399999999999998</v>
      </c>
      <c r="AW133" s="249">
        <v>0.9738</v>
      </c>
      <c r="AX133" s="249">
        <v>0.97370000000000001</v>
      </c>
      <c r="AY133" s="249">
        <v>0.97350000000000003</v>
      </c>
      <c r="AZ133" s="249">
        <v>0.97340000000000004</v>
      </c>
      <c r="BA133" s="251">
        <v>0.97319999999999995</v>
      </c>
    </row>
    <row r="134" spans="2:53" s="244" customFormat="1" ht="15.75" customHeight="1">
      <c r="B134" s="248">
        <v>110.5</v>
      </c>
      <c r="C134" s="249">
        <v>0.98009999999999997</v>
      </c>
      <c r="D134" s="249">
        <v>0.98</v>
      </c>
      <c r="E134" s="249">
        <v>0.9798</v>
      </c>
      <c r="F134" s="249">
        <v>0.97970000000000002</v>
      </c>
      <c r="G134" s="249">
        <v>0.97960000000000003</v>
      </c>
      <c r="H134" s="249">
        <v>0.97940000000000005</v>
      </c>
      <c r="I134" s="249">
        <v>0.97929999999999995</v>
      </c>
      <c r="J134" s="249">
        <v>0.97919999999999996</v>
      </c>
      <c r="K134" s="249">
        <v>0.97899999999999998</v>
      </c>
      <c r="L134" s="249">
        <v>0.97889999999999999</v>
      </c>
      <c r="M134" s="249">
        <v>0.9788</v>
      </c>
      <c r="N134" s="249">
        <v>0.97860000000000003</v>
      </c>
      <c r="O134" s="249">
        <v>0.97850000000000004</v>
      </c>
      <c r="P134" s="249">
        <v>0.97829999999999995</v>
      </c>
      <c r="Q134" s="249">
        <v>0.97819999999999996</v>
      </c>
      <c r="R134" s="249">
        <v>0.97809999999999997</v>
      </c>
      <c r="S134" s="249">
        <v>0.97789999999999999</v>
      </c>
      <c r="T134" s="249">
        <v>0.9778</v>
      </c>
      <c r="U134" s="249">
        <v>0.97770000000000001</v>
      </c>
      <c r="V134" s="249">
        <v>0.97750000000000004</v>
      </c>
      <c r="W134" s="249">
        <v>0.97740000000000005</v>
      </c>
      <c r="X134" s="249">
        <v>0.97719999999999996</v>
      </c>
      <c r="Y134" s="249">
        <v>0.97709999999999997</v>
      </c>
      <c r="Z134" s="249">
        <v>0.97689999999999999</v>
      </c>
      <c r="AA134" s="249">
        <v>0.9768</v>
      </c>
      <c r="AB134" s="249">
        <v>0.97670000000000001</v>
      </c>
      <c r="AC134" s="249">
        <v>0.97650000000000003</v>
      </c>
      <c r="AD134" s="249">
        <v>0.97640000000000005</v>
      </c>
      <c r="AE134" s="249">
        <v>0.97619999999999996</v>
      </c>
      <c r="AF134" s="249">
        <v>0.97609999999999997</v>
      </c>
      <c r="AG134" s="249">
        <v>0.97589999999999999</v>
      </c>
      <c r="AH134" s="249">
        <v>0.9758</v>
      </c>
      <c r="AI134" s="249">
        <v>0.97560000000000002</v>
      </c>
      <c r="AJ134" s="249">
        <v>0.97550000000000003</v>
      </c>
      <c r="AK134" s="249">
        <v>0.97540000000000004</v>
      </c>
      <c r="AL134" s="249">
        <v>0.97519999999999996</v>
      </c>
      <c r="AM134" s="249">
        <v>0.97509999999999997</v>
      </c>
      <c r="AN134" s="249">
        <v>0.97489999999999999</v>
      </c>
      <c r="AO134" s="249">
        <v>0.9748</v>
      </c>
      <c r="AP134" s="249">
        <v>0.97460000000000002</v>
      </c>
      <c r="AQ134" s="249">
        <v>0.97450000000000003</v>
      </c>
      <c r="AR134" s="249">
        <v>0.97430000000000005</v>
      </c>
      <c r="AS134" s="249">
        <v>0.97419999999999995</v>
      </c>
      <c r="AT134" s="249">
        <v>0.97399999999999998</v>
      </c>
      <c r="AU134" s="249">
        <v>0.97389999999999999</v>
      </c>
      <c r="AV134" s="249">
        <v>0.97370000000000001</v>
      </c>
      <c r="AW134" s="249">
        <v>0.97360000000000002</v>
      </c>
      <c r="AX134" s="249">
        <v>0.97340000000000004</v>
      </c>
      <c r="AY134" s="249">
        <v>0.97330000000000005</v>
      </c>
      <c r="AZ134" s="249">
        <v>0.97309999999999997</v>
      </c>
      <c r="BA134" s="251">
        <v>0.97289999999999999</v>
      </c>
    </row>
    <row r="135" spans="2:53" s="244" customFormat="1" ht="15.75" customHeight="1">
      <c r="B135" s="248">
        <v>111</v>
      </c>
      <c r="C135" s="249">
        <v>0.97989999999999999</v>
      </c>
      <c r="D135" s="249">
        <v>0.9798</v>
      </c>
      <c r="E135" s="249">
        <v>0.97960000000000003</v>
      </c>
      <c r="F135" s="249">
        <v>0.97950000000000004</v>
      </c>
      <c r="G135" s="249">
        <v>0.97940000000000005</v>
      </c>
      <c r="H135" s="249">
        <v>0.97919999999999996</v>
      </c>
      <c r="I135" s="249">
        <v>0.97909999999999997</v>
      </c>
      <c r="J135" s="249">
        <v>0.97899999999999998</v>
      </c>
      <c r="K135" s="249">
        <v>0.9788</v>
      </c>
      <c r="L135" s="249">
        <v>0.97870000000000001</v>
      </c>
      <c r="M135" s="249">
        <v>0.97850000000000004</v>
      </c>
      <c r="N135" s="249">
        <v>0.97840000000000005</v>
      </c>
      <c r="O135" s="249">
        <v>0.97829999999999995</v>
      </c>
      <c r="P135" s="249">
        <v>0.97809999999999997</v>
      </c>
      <c r="Q135" s="249">
        <v>0.97799999999999998</v>
      </c>
      <c r="R135" s="249">
        <v>0.97789999999999999</v>
      </c>
      <c r="S135" s="249">
        <v>0.97770000000000001</v>
      </c>
      <c r="T135" s="249">
        <v>0.97760000000000002</v>
      </c>
      <c r="U135" s="249">
        <v>0.97740000000000005</v>
      </c>
      <c r="V135" s="249">
        <v>0.97729999999999995</v>
      </c>
      <c r="W135" s="249">
        <v>0.97709999999999997</v>
      </c>
      <c r="X135" s="249">
        <v>0.97699999999999998</v>
      </c>
      <c r="Y135" s="249">
        <v>0.97689999999999999</v>
      </c>
      <c r="Z135" s="249">
        <v>0.97670000000000001</v>
      </c>
      <c r="AA135" s="249">
        <v>0.97660000000000002</v>
      </c>
      <c r="AB135" s="249">
        <v>0.97640000000000005</v>
      </c>
      <c r="AC135" s="249">
        <v>0.97629999999999995</v>
      </c>
      <c r="AD135" s="249">
        <v>0.97609999999999997</v>
      </c>
      <c r="AE135" s="249">
        <v>0.97599999999999998</v>
      </c>
      <c r="AF135" s="249">
        <v>0.9758</v>
      </c>
      <c r="AG135" s="249">
        <v>0.97570000000000001</v>
      </c>
      <c r="AH135" s="249">
        <v>0.97560000000000002</v>
      </c>
      <c r="AI135" s="249">
        <v>0.97540000000000004</v>
      </c>
      <c r="AJ135" s="249">
        <v>0.97529999999999994</v>
      </c>
      <c r="AK135" s="249">
        <v>0.97509999999999997</v>
      </c>
      <c r="AL135" s="249">
        <v>0.97499999999999998</v>
      </c>
      <c r="AM135" s="249">
        <v>0.9748</v>
      </c>
      <c r="AN135" s="249">
        <v>0.97470000000000001</v>
      </c>
      <c r="AO135" s="249">
        <v>0.97450000000000003</v>
      </c>
      <c r="AP135" s="249">
        <v>0.97440000000000004</v>
      </c>
      <c r="AQ135" s="249">
        <v>0.97419999999999995</v>
      </c>
      <c r="AR135" s="249">
        <v>0.97409999999999997</v>
      </c>
      <c r="AS135" s="249">
        <v>0.97389999999999999</v>
      </c>
      <c r="AT135" s="249">
        <v>0.9738</v>
      </c>
      <c r="AU135" s="249">
        <v>0.97360000000000002</v>
      </c>
      <c r="AV135" s="249">
        <v>0.97340000000000004</v>
      </c>
      <c r="AW135" s="249">
        <v>0.97330000000000005</v>
      </c>
      <c r="AX135" s="249">
        <v>0.97309999999999997</v>
      </c>
      <c r="AY135" s="249">
        <v>0.97299999999999998</v>
      </c>
      <c r="AZ135" s="249">
        <v>0.9728</v>
      </c>
      <c r="BA135" s="251">
        <v>0.97270000000000001</v>
      </c>
    </row>
    <row r="136" spans="2:53" s="244" customFormat="1" ht="15.75" customHeight="1">
      <c r="B136" s="248">
        <v>111.5</v>
      </c>
      <c r="C136" s="249">
        <v>0.97970000000000002</v>
      </c>
      <c r="D136" s="249">
        <v>0.97960000000000003</v>
      </c>
      <c r="E136" s="249">
        <v>0.97940000000000005</v>
      </c>
      <c r="F136" s="249">
        <v>0.97929999999999995</v>
      </c>
      <c r="G136" s="249">
        <v>0.97919999999999996</v>
      </c>
      <c r="H136" s="249">
        <v>0.97899999999999998</v>
      </c>
      <c r="I136" s="249">
        <v>0.97889999999999999</v>
      </c>
      <c r="J136" s="249">
        <v>0.9788</v>
      </c>
      <c r="K136" s="249">
        <v>0.97860000000000003</v>
      </c>
      <c r="L136" s="249">
        <v>0.97850000000000004</v>
      </c>
      <c r="M136" s="249">
        <v>0.97829999999999995</v>
      </c>
      <c r="N136" s="249">
        <v>0.97819999999999996</v>
      </c>
      <c r="O136" s="249">
        <v>0.97809999999999997</v>
      </c>
      <c r="P136" s="249">
        <v>0.97789999999999999</v>
      </c>
      <c r="Q136" s="249">
        <v>0.9778</v>
      </c>
      <c r="R136" s="249">
        <v>0.97760000000000002</v>
      </c>
      <c r="S136" s="249">
        <v>0.97750000000000004</v>
      </c>
      <c r="T136" s="249">
        <v>0.97729999999999995</v>
      </c>
      <c r="U136" s="249">
        <v>0.97719999999999996</v>
      </c>
      <c r="V136" s="249">
        <v>0.97709999999999997</v>
      </c>
      <c r="W136" s="249">
        <v>0.97689999999999999</v>
      </c>
      <c r="X136" s="249">
        <v>0.9768</v>
      </c>
      <c r="Y136" s="249">
        <v>0.97660000000000002</v>
      </c>
      <c r="Z136" s="249">
        <v>0.97650000000000003</v>
      </c>
      <c r="AA136" s="249">
        <v>0.97629999999999995</v>
      </c>
      <c r="AB136" s="249">
        <v>0.97619999999999996</v>
      </c>
      <c r="AC136" s="249">
        <v>0.97609999999999997</v>
      </c>
      <c r="AD136" s="249">
        <v>0.97589999999999999</v>
      </c>
      <c r="AE136" s="249">
        <v>0.9758</v>
      </c>
      <c r="AF136" s="249">
        <v>0.97560000000000002</v>
      </c>
      <c r="AG136" s="249">
        <v>0.97550000000000003</v>
      </c>
      <c r="AH136" s="249">
        <v>0.97529999999999994</v>
      </c>
      <c r="AI136" s="249">
        <v>0.97519999999999996</v>
      </c>
      <c r="AJ136" s="249">
        <v>0.97499999999999998</v>
      </c>
      <c r="AK136" s="249">
        <v>0.97489999999999999</v>
      </c>
      <c r="AL136" s="249">
        <v>0.97470000000000001</v>
      </c>
      <c r="AM136" s="249">
        <v>0.97460000000000002</v>
      </c>
      <c r="AN136" s="249">
        <v>0.97440000000000004</v>
      </c>
      <c r="AO136" s="249">
        <v>0.97430000000000005</v>
      </c>
      <c r="AP136" s="249">
        <v>0.97409999999999997</v>
      </c>
      <c r="AQ136" s="249">
        <v>0.97399999999999998</v>
      </c>
      <c r="AR136" s="249">
        <v>0.9738</v>
      </c>
      <c r="AS136" s="249">
        <v>0.97360000000000002</v>
      </c>
      <c r="AT136" s="249">
        <v>0.97350000000000003</v>
      </c>
      <c r="AU136" s="249">
        <v>0.97330000000000005</v>
      </c>
      <c r="AV136" s="249">
        <v>0.97319999999999995</v>
      </c>
      <c r="AW136" s="249">
        <v>0.97299999999999998</v>
      </c>
      <c r="AX136" s="249">
        <v>0.97289999999999999</v>
      </c>
      <c r="AY136" s="249">
        <v>0.97270000000000001</v>
      </c>
      <c r="AZ136" s="249">
        <v>0.97260000000000002</v>
      </c>
      <c r="BA136" s="251">
        <v>0.97240000000000004</v>
      </c>
    </row>
    <row r="137" spans="2:53" s="244" customFormat="1" ht="15.75" customHeight="1">
      <c r="B137" s="248">
        <v>112</v>
      </c>
      <c r="C137" s="249">
        <v>0.97950000000000004</v>
      </c>
      <c r="D137" s="249">
        <v>0.97940000000000005</v>
      </c>
      <c r="E137" s="249">
        <v>0.97919999999999996</v>
      </c>
      <c r="F137" s="249">
        <v>0.97909999999999997</v>
      </c>
      <c r="G137" s="249">
        <v>0.97899999999999998</v>
      </c>
      <c r="H137" s="249">
        <v>0.9788</v>
      </c>
      <c r="I137" s="249">
        <v>0.97870000000000001</v>
      </c>
      <c r="J137" s="249">
        <v>0.97850000000000004</v>
      </c>
      <c r="K137" s="249">
        <v>0.97840000000000005</v>
      </c>
      <c r="L137" s="249">
        <v>0.97829999999999995</v>
      </c>
      <c r="M137" s="249">
        <v>0.97809999999999997</v>
      </c>
      <c r="N137" s="249">
        <v>0.97799999999999998</v>
      </c>
      <c r="O137" s="249">
        <v>0.9778</v>
      </c>
      <c r="P137" s="249">
        <v>0.97770000000000001</v>
      </c>
      <c r="Q137" s="249">
        <v>0.97760000000000002</v>
      </c>
      <c r="R137" s="249">
        <v>0.97740000000000005</v>
      </c>
      <c r="S137" s="249">
        <v>0.97729999999999995</v>
      </c>
      <c r="T137" s="249">
        <v>0.97709999999999997</v>
      </c>
      <c r="U137" s="249">
        <v>0.97699999999999998</v>
      </c>
      <c r="V137" s="249">
        <v>0.9768</v>
      </c>
      <c r="W137" s="249">
        <v>0.97670000000000001</v>
      </c>
      <c r="X137" s="249">
        <v>0.97650000000000003</v>
      </c>
      <c r="Y137" s="249">
        <v>0.97640000000000005</v>
      </c>
      <c r="Z137" s="249">
        <v>0.97629999999999995</v>
      </c>
      <c r="AA137" s="249">
        <v>0.97609999999999997</v>
      </c>
      <c r="AB137" s="249">
        <v>0.97599999999999998</v>
      </c>
      <c r="AC137" s="249">
        <v>0.9758</v>
      </c>
      <c r="AD137" s="249">
        <v>0.97570000000000001</v>
      </c>
      <c r="AE137" s="249">
        <v>0.97550000000000003</v>
      </c>
      <c r="AF137" s="249">
        <v>0.97540000000000004</v>
      </c>
      <c r="AG137" s="249">
        <v>0.97519999999999996</v>
      </c>
      <c r="AH137" s="249">
        <v>0.97509999999999997</v>
      </c>
      <c r="AI137" s="249">
        <v>0.97489999999999999</v>
      </c>
      <c r="AJ137" s="249">
        <v>0.9748</v>
      </c>
      <c r="AK137" s="249">
        <v>0.97460000000000002</v>
      </c>
      <c r="AL137" s="249">
        <v>0.97450000000000003</v>
      </c>
      <c r="AM137" s="249">
        <v>0.97430000000000005</v>
      </c>
      <c r="AN137" s="249">
        <v>0.97419999999999995</v>
      </c>
      <c r="AO137" s="249">
        <v>0.97399999999999998</v>
      </c>
      <c r="AP137" s="249">
        <v>0.97389999999999999</v>
      </c>
      <c r="AQ137" s="249">
        <v>0.97370000000000001</v>
      </c>
      <c r="AR137" s="249">
        <v>0.97350000000000003</v>
      </c>
      <c r="AS137" s="249">
        <v>0.97340000000000004</v>
      </c>
      <c r="AT137" s="249">
        <v>0.97319999999999995</v>
      </c>
      <c r="AU137" s="249">
        <v>0.97309999999999997</v>
      </c>
      <c r="AV137" s="249">
        <v>0.97289999999999999</v>
      </c>
      <c r="AW137" s="249">
        <v>0.9728</v>
      </c>
      <c r="AX137" s="249">
        <v>0.97260000000000002</v>
      </c>
      <c r="AY137" s="249">
        <v>0.97250000000000003</v>
      </c>
      <c r="AZ137" s="249">
        <v>0.97230000000000005</v>
      </c>
      <c r="BA137" s="251">
        <v>0.97209999999999996</v>
      </c>
    </row>
    <row r="138" spans="2:53" s="244" customFormat="1" ht="15.75" customHeight="1">
      <c r="B138" s="248">
        <v>112.5</v>
      </c>
      <c r="C138" s="249">
        <v>0.97929999999999995</v>
      </c>
      <c r="D138" s="249">
        <v>0.97919999999999996</v>
      </c>
      <c r="E138" s="249">
        <v>0.97899999999999998</v>
      </c>
      <c r="F138" s="249">
        <v>0.97889999999999999</v>
      </c>
      <c r="G138" s="249">
        <v>0.9788</v>
      </c>
      <c r="H138" s="249">
        <v>0.97860000000000003</v>
      </c>
      <c r="I138" s="249">
        <v>0.97850000000000004</v>
      </c>
      <c r="J138" s="249">
        <v>0.97829999999999995</v>
      </c>
      <c r="K138" s="249">
        <v>0.97819999999999996</v>
      </c>
      <c r="L138" s="249">
        <v>0.97809999999999997</v>
      </c>
      <c r="M138" s="249">
        <v>0.97789999999999999</v>
      </c>
      <c r="N138" s="249">
        <v>0.9778</v>
      </c>
      <c r="O138" s="249">
        <v>0.97760000000000002</v>
      </c>
      <c r="P138" s="249">
        <v>0.97750000000000004</v>
      </c>
      <c r="Q138" s="249">
        <v>0.97729999999999995</v>
      </c>
      <c r="R138" s="249">
        <v>0.97719999999999996</v>
      </c>
      <c r="S138" s="249">
        <v>0.97709999999999997</v>
      </c>
      <c r="T138" s="249">
        <v>0.97689999999999999</v>
      </c>
      <c r="U138" s="249">
        <v>0.9768</v>
      </c>
      <c r="V138" s="249">
        <v>0.97660000000000002</v>
      </c>
      <c r="W138" s="249">
        <v>0.97650000000000003</v>
      </c>
      <c r="X138" s="249">
        <v>0.97629999999999995</v>
      </c>
      <c r="Y138" s="249">
        <v>0.97619999999999996</v>
      </c>
      <c r="Z138" s="249">
        <v>0.97599999999999998</v>
      </c>
      <c r="AA138" s="249">
        <v>0.97589999999999999</v>
      </c>
      <c r="AB138" s="249">
        <v>0.97570000000000001</v>
      </c>
      <c r="AC138" s="249">
        <v>0.97560000000000002</v>
      </c>
      <c r="AD138" s="249">
        <v>0.97540000000000004</v>
      </c>
      <c r="AE138" s="249">
        <v>0.97529999999999994</v>
      </c>
      <c r="AF138" s="249">
        <v>0.97509999999999997</v>
      </c>
      <c r="AG138" s="249">
        <v>0.97499999999999998</v>
      </c>
      <c r="AH138" s="249">
        <v>0.9748</v>
      </c>
      <c r="AI138" s="249">
        <v>0.97470000000000001</v>
      </c>
      <c r="AJ138" s="249">
        <v>0.97450000000000003</v>
      </c>
      <c r="AK138" s="249">
        <v>0.97440000000000004</v>
      </c>
      <c r="AL138" s="249">
        <v>0.97419999999999995</v>
      </c>
      <c r="AM138" s="249">
        <v>0.97409999999999997</v>
      </c>
      <c r="AN138" s="249">
        <v>0.97389999999999999</v>
      </c>
      <c r="AO138" s="249">
        <v>0.9738</v>
      </c>
      <c r="AP138" s="249">
        <v>0.97360000000000002</v>
      </c>
      <c r="AQ138" s="249">
        <v>0.97340000000000004</v>
      </c>
      <c r="AR138" s="249">
        <v>0.97330000000000005</v>
      </c>
      <c r="AS138" s="249">
        <v>0.97309999999999997</v>
      </c>
      <c r="AT138" s="249">
        <v>0.97299999999999998</v>
      </c>
      <c r="AU138" s="249">
        <v>0.9728</v>
      </c>
      <c r="AV138" s="249">
        <v>0.97270000000000001</v>
      </c>
      <c r="AW138" s="249">
        <v>0.97250000000000003</v>
      </c>
      <c r="AX138" s="249">
        <v>0.97230000000000005</v>
      </c>
      <c r="AY138" s="249">
        <v>0.97219999999999995</v>
      </c>
      <c r="AZ138" s="249">
        <v>0.97199999999999998</v>
      </c>
      <c r="BA138" s="251">
        <v>0.97189999999999999</v>
      </c>
    </row>
    <row r="139" spans="2:53" s="244" customFormat="1" ht="15.75" customHeight="1">
      <c r="B139" s="248">
        <v>113</v>
      </c>
      <c r="C139" s="249">
        <v>0.97909999999999997</v>
      </c>
      <c r="D139" s="249">
        <v>0.97899999999999998</v>
      </c>
      <c r="E139" s="249">
        <v>0.9788</v>
      </c>
      <c r="F139" s="249">
        <v>0.97870000000000001</v>
      </c>
      <c r="G139" s="249">
        <v>0.97860000000000003</v>
      </c>
      <c r="H139" s="249">
        <v>0.97840000000000005</v>
      </c>
      <c r="I139" s="249">
        <v>0.97829999999999995</v>
      </c>
      <c r="J139" s="249">
        <v>0.97809999999999997</v>
      </c>
      <c r="K139" s="249">
        <v>0.97799999999999998</v>
      </c>
      <c r="L139" s="249">
        <v>0.9778</v>
      </c>
      <c r="M139" s="249">
        <v>0.97770000000000001</v>
      </c>
      <c r="N139" s="249">
        <v>0.97760000000000002</v>
      </c>
      <c r="O139" s="249">
        <v>0.97740000000000005</v>
      </c>
      <c r="P139" s="249">
        <v>0.97729999999999995</v>
      </c>
      <c r="Q139" s="249">
        <v>0.97709999999999997</v>
      </c>
      <c r="R139" s="249">
        <v>0.97699999999999998</v>
      </c>
      <c r="S139" s="249">
        <v>0.9768</v>
      </c>
      <c r="T139" s="249">
        <v>0.97670000000000001</v>
      </c>
      <c r="U139" s="249">
        <v>0.97650000000000003</v>
      </c>
      <c r="V139" s="249">
        <v>0.97640000000000005</v>
      </c>
      <c r="W139" s="249">
        <v>0.97619999999999996</v>
      </c>
      <c r="X139" s="249">
        <v>0.97609999999999997</v>
      </c>
      <c r="Y139" s="249">
        <v>0.97599999999999998</v>
      </c>
      <c r="Z139" s="249">
        <v>0.9758</v>
      </c>
      <c r="AA139" s="249">
        <v>0.97560000000000002</v>
      </c>
      <c r="AB139" s="249">
        <v>0.97550000000000003</v>
      </c>
      <c r="AC139" s="249">
        <v>0.97529999999999994</v>
      </c>
      <c r="AD139" s="249">
        <v>0.97519999999999996</v>
      </c>
      <c r="AE139" s="249">
        <v>0.97499999999999998</v>
      </c>
      <c r="AF139" s="249">
        <v>0.97489999999999999</v>
      </c>
      <c r="AG139" s="249">
        <v>0.97470000000000001</v>
      </c>
      <c r="AH139" s="249">
        <v>0.97460000000000002</v>
      </c>
      <c r="AI139" s="249">
        <v>0.97440000000000004</v>
      </c>
      <c r="AJ139" s="249">
        <v>0.97430000000000005</v>
      </c>
      <c r="AK139" s="249">
        <v>0.97409999999999997</v>
      </c>
      <c r="AL139" s="249">
        <v>0.97399999999999998</v>
      </c>
      <c r="AM139" s="249">
        <v>0.9738</v>
      </c>
      <c r="AN139" s="249">
        <v>0.97370000000000001</v>
      </c>
      <c r="AO139" s="249">
        <v>0.97350000000000003</v>
      </c>
      <c r="AP139" s="249">
        <v>0.97330000000000005</v>
      </c>
      <c r="AQ139" s="249">
        <v>0.97319999999999995</v>
      </c>
      <c r="AR139" s="249">
        <v>0.97299999999999998</v>
      </c>
      <c r="AS139" s="249">
        <v>0.97289999999999999</v>
      </c>
      <c r="AT139" s="249">
        <v>0.97270000000000001</v>
      </c>
      <c r="AU139" s="249">
        <v>0.97260000000000002</v>
      </c>
      <c r="AV139" s="249">
        <v>0.97240000000000004</v>
      </c>
      <c r="AW139" s="249">
        <v>0.97219999999999995</v>
      </c>
      <c r="AX139" s="249">
        <v>0.97209999999999996</v>
      </c>
      <c r="AY139" s="249">
        <v>0.97189999999999999</v>
      </c>
      <c r="AZ139" s="249">
        <v>0.9718</v>
      </c>
      <c r="BA139" s="251">
        <v>0.97160000000000002</v>
      </c>
    </row>
    <row r="140" spans="2:53" s="244" customFormat="1" ht="15.75" customHeight="1">
      <c r="B140" s="248">
        <v>113.5</v>
      </c>
      <c r="C140" s="249">
        <v>0.97889999999999999</v>
      </c>
      <c r="D140" s="249">
        <v>0.9788</v>
      </c>
      <c r="E140" s="249">
        <v>0.97860000000000003</v>
      </c>
      <c r="F140" s="249">
        <v>0.97850000000000004</v>
      </c>
      <c r="G140" s="249">
        <v>0.97829999999999995</v>
      </c>
      <c r="H140" s="249">
        <v>0.97819999999999996</v>
      </c>
      <c r="I140" s="249">
        <v>0.97809999999999997</v>
      </c>
      <c r="J140" s="249">
        <v>0.97789999999999999</v>
      </c>
      <c r="K140" s="249">
        <v>0.9778</v>
      </c>
      <c r="L140" s="249">
        <v>0.97760000000000002</v>
      </c>
      <c r="M140" s="249">
        <v>0.97750000000000004</v>
      </c>
      <c r="N140" s="249">
        <v>0.97729999999999995</v>
      </c>
      <c r="O140" s="249">
        <v>0.97719999999999996</v>
      </c>
      <c r="P140" s="249">
        <v>0.97709999999999997</v>
      </c>
      <c r="Q140" s="249">
        <v>0.97689999999999999</v>
      </c>
      <c r="R140" s="249">
        <v>0.9768</v>
      </c>
      <c r="S140" s="249">
        <v>0.97660000000000002</v>
      </c>
      <c r="T140" s="249">
        <v>0.97650000000000003</v>
      </c>
      <c r="U140" s="249">
        <v>0.97629999999999995</v>
      </c>
      <c r="V140" s="249">
        <v>0.97619999999999996</v>
      </c>
      <c r="W140" s="249">
        <v>0.97599999999999998</v>
      </c>
      <c r="X140" s="249">
        <v>0.97589999999999999</v>
      </c>
      <c r="Y140" s="249">
        <v>0.97570000000000001</v>
      </c>
      <c r="Z140" s="249">
        <v>0.97560000000000002</v>
      </c>
      <c r="AA140" s="249">
        <v>0.97540000000000004</v>
      </c>
      <c r="AB140" s="249">
        <v>0.97529999999999994</v>
      </c>
      <c r="AC140" s="249">
        <v>0.97509999999999997</v>
      </c>
      <c r="AD140" s="249">
        <v>0.97499999999999998</v>
      </c>
      <c r="AE140" s="249">
        <v>0.9748</v>
      </c>
      <c r="AF140" s="249">
        <v>0.97470000000000001</v>
      </c>
      <c r="AG140" s="249">
        <v>0.97450000000000003</v>
      </c>
      <c r="AH140" s="249">
        <v>0.97430000000000005</v>
      </c>
      <c r="AI140" s="249">
        <v>0.97419999999999995</v>
      </c>
      <c r="AJ140" s="249">
        <v>0.97399999999999998</v>
      </c>
      <c r="AK140" s="249">
        <v>0.97389999999999999</v>
      </c>
      <c r="AL140" s="249">
        <v>0.97370000000000001</v>
      </c>
      <c r="AM140" s="249">
        <v>0.97360000000000002</v>
      </c>
      <c r="AN140" s="249">
        <v>0.97340000000000004</v>
      </c>
      <c r="AO140" s="249">
        <v>0.97330000000000005</v>
      </c>
      <c r="AP140" s="249">
        <v>0.97309999999999997</v>
      </c>
      <c r="AQ140" s="249">
        <v>0.97289999999999999</v>
      </c>
      <c r="AR140" s="249">
        <v>0.9728</v>
      </c>
      <c r="AS140" s="249">
        <v>0.97260000000000002</v>
      </c>
      <c r="AT140" s="249">
        <v>0.97250000000000003</v>
      </c>
      <c r="AU140" s="249">
        <v>0.97230000000000005</v>
      </c>
      <c r="AV140" s="249">
        <v>0.97209999999999996</v>
      </c>
      <c r="AW140" s="249">
        <v>0.97199999999999998</v>
      </c>
      <c r="AX140" s="249">
        <v>0.9718</v>
      </c>
      <c r="AY140" s="249">
        <v>0.97170000000000001</v>
      </c>
      <c r="AZ140" s="249">
        <v>0.97150000000000003</v>
      </c>
      <c r="BA140" s="251">
        <v>0.97130000000000005</v>
      </c>
    </row>
    <row r="141" spans="2:53" s="244" customFormat="1" ht="15.75" customHeight="1">
      <c r="B141" s="248">
        <v>114</v>
      </c>
      <c r="C141" s="249">
        <v>0.97870000000000001</v>
      </c>
      <c r="D141" s="249">
        <v>0.97860000000000003</v>
      </c>
      <c r="E141" s="249">
        <v>0.97840000000000005</v>
      </c>
      <c r="F141" s="249">
        <v>0.97829999999999995</v>
      </c>
      <c r="G141" s="249">
        <v>0.97809999999999997</v>
      </c>
      <c r="H141" s="249">
        <v>0.97799999999999998</v>
      </c>
      <c r="I141" s="249">
        <v>0.97789999999999999</v>
      </c>
      <c r="J141" s="249">
        <v>0.97770000000000001</v>
      </c>
      <c r="K141" s="249">
        <v>0.97760000000000002</v>
      </c>
      <c r="L141" s="249">
        <v>0.97740000000000005</v>
      </c>
      <c r="M141" s="249">
        <v>0.97729999999999995</v>
      </c>
      <c r="N141" s="249">
        <v>0.97709999999999997</v>
      </c>
      <c r="O141" s="249">
        <v>0.97699999999999998</v>
      </c>
      <c r="P141" s="249">
        <v>0.9768</v>
      </c>
      <c r="Q141" s="249">
        <v>0.97670000000000001</v>
      </c>
      <c r="R141" s="249">
        <v>0.97650000000000003</v>
      </c>
      <c r="S141" s="249">
        <v>0.97640000000000005</v>
      </c>
      <c r="T141" s="249">
        <v>0.97619999999999996</v>
      </c>
      <c r="U141" s="249">
        <v>0.97609999999999997</v>
      </c>
      <c r="V141" s="249">
        <v>0.97589999999999999</v>
      </c>
      <c r="W141" s="249">
        <v>0.9758</v>
      </c>
      <c r="X141" s="249">
        <v>0.97560000000000002</v>
      </c>
      <c r="Y141" s="249">
        <v>0.97550000000000003</v>
      </c>
      <c r="Z141" s="249">
        <v>0.97529999999999994</v>
      </c>
      <c r="AA141" s="249">
        <v>0.97519999999999996</v>
      </c>
      <c r="AB141" s="249">
        <v>0.97499999999999998</v>
      </c>
      <c r="AC141" s="249">
        <v>0.97489999999999999</v>
      </c>
      <c r="AD141" s="249">
        <v>0.97470000000000001</v>
      </c>
      <c r="AE141" s="249">
        <v>0.97460000000000002</v>
      </c>
      <c r="AF141" s="249">
        <v>0.97440000000000004</v>
      </c>
      <c r="AG141" s="249">
        <v>0.97430000000000005</v>
      </c>
      <c r="AH141" s="249">
        <v>0.97409999999999997</v>
      </c>
      <c r="AI141" s="249">
        <v>0.97389999999999999</v>
      </c>
      <c r="AJ141" s="249">
        <v>0.9738</v>
      </c>
      <c r="AK141" s="249">
        <v>0.97360000000000002</v>
      </c>
      <c r="AL141" s="249">
        <v>0.97350000000000003</v>
      </c>
      <c r="AM141" s="249">
        <v>0.97330000000000005</v>
      </c>
      <c r="AN141" s="249">
        <v>0.97319999999999995</v>
      </c>
      <c r="AO141" s="249">
        <v>0.97299999999999998</v>
      </c>
      <c r="AP141" s="249">
        <v>0.9728</v>
      </c>
      <c r="AQ141" s="249">
        <v>0.97270000000000001</v>
      </c>
      <c r="AR141" s="249">
        <v>0.97250000000000003</v>
      </c>
      <c r="AS141" s="249">
        <v>0.97240000000000004</v>
      </c>
      <c r="AT141" s="249">
        <v>0.97219999999999995</v>
      </c>
      <c r="AU141" s="249">
        <v>0.97199999999999998</v>
      </c>
      <c r="AV141" s="249">
        <v>0.97189999999999999</v>
      </c>
      <c r="AW141" s="249">
        <v>0.97170000000000001</v>
      </c>
      <c r="AX141" s="249">
        <v>0.97150000000000003</v>
      </c>
      <c r="AY141" s="249">
        <v>0.97140000000000004</v>
      </c>
      <c r="AZ141" s="249">
        <v>0.97119999999999995</v>
      </c>
      <c r="BA141" s="251">
        <v>0.97109999999999996</v>
      </c>
    </row>
    <row r="142" spans="2:53" s="244" customFormat="1" ht="15.75" customHeight="1">
      <c r="B142" s="248">
        <v>114.5</v>
      </c>
      <c r="C142" s="249">
        <v>0.97850000000000004</v>
      </c>
      <c r="D142" s="249">
        <v>0.97840000000000005</v>
      </c>
      <c r="E142" s="249">
        <v>0.97819999999999996</v>
      </c>
      <c r="F142" s="249">
        <v>0.97809999999999997</v>
      </c>
      <c r="G142" s="249">
        <v>0.97789999999999999</v>
      </c>
      <c r="H142" s="249">
        <v>0.9778</v>
      </c>
      <c r="I142" s="249">
        <v>0.97770000000000001</v>
      </c>
      <c r="J142" s="249">
        <v>0.97750000000000004</v>
      </c>
      <c r="K142" s="249">
        <v>0.97740000000000005</v>
      </c>
      <c r="L142" s="249">
        <v>0.97719999999999996</v>
      </c>
      <c r="M142" s="249">
        <v>0.97709999999999997</v>
      </c>
      <c r="N142" s="249">
        <v>0.97689999999999999</v>
      </c>
      <c r="O142" s="249">
        <v>0.9768</v>
      </c>
      <c r="P142" s="249">
        <v>0.97660000000000002</v>
      </c>
      <c r="Q142" s="249">
        <v>0.97650000000000003</v>
      </c>
      <c r="R142" s="249">
        <v>0.97629999999999995</v>
      </c>
      <c r="S142" s="249">
        <v>0.97619999999999996</v>
      </c>
      <c r="T142" s="249">
        <v>0.97599999999999998</v>
      </c>
      <c r="U142" s="249">
        <v>0.97589999999999999</v>
      </c>
      <c r="V142" s="249">
        <v>0.97570000000000001</v>
      </c>
      <c r="W142" s="249">
        <v>0.97560000000000002</v>
      </c>
      <c r="X142" s="249">
        <v>0.97540000000000004</v>
      </c>
      <c r="Y142" s="249">
        <v>0.97529999999999994</v>
      </c>
      <c r="Z142" s="249">
        <v>0.97509999999999997</v>
      </c>
      <c r="AA142" s="249">
        <v>0.97499999999999998</v>
      </c>
      <c r="AB142" s="249">
        <v>0.9748</v>
      </c>
      <c r="AC142" s="249">
        <v>0.97460000000000002</v>
      </c>
      <c r="AD142" s="249">
        <v>0.97450000000000003</v>
      </c>
      <c r="AE142" s="249">
        <v>0.97430000000000005</v>
      </c>
      <c r="AF142" s="249">
        <v>0.97419999999999995</v>
      </c>
      <c r="AG142" s="249">
        <v>0.97399999999999998</v>
      </c>
      <c r="AH142" s="249">
        <v>0.97389999999999999</v>
      </c>
      <c r="AI142" s="249">
        <v>0.97370000000000001</v>
      </c>
      <c r="AJ142" s="249">
        <v>0.97350000000000003</v>
      </c>
      <c r="AK142" s="249">
        <v>0.97340000000000004</v>
      </c>
      <c r="AL142" s="249">
        <v>0.97319999999999995</v>
      </c>
      <c r="AM142" s="249">
        <v>0.97309999999999997</v>
      </c>
      <c r="AN142" s="249">
        <v>0.97289999999999999</v>
      </c>
      <c r="AO142" s="249">
        <v>0.9728</v>
      </c>
      <c r="AP142" s="249">
        <v>0.97260000000000002</v>
      </c>
      <c r="AQ142" s="249">
        <v>0.97240000000000004</v>
      </c>
      <c r="AR142" s="249">
        <v>0.97230000000000005</v>
      </c>
      <c r="AS142" s="249">
        <v>0.97209999999999996</v>
      </c>
      <c r="AT142" s="249">
        <v>0.97189999999999999</v>
      </c>
      <c r="AU142" s="249">
        <v>0.9718</v>
      </c>
      <c r="AV142" s="249">
        <v>0.97160000000000002</v>
      </c>
      <c r="AW142" s="249">
        <v>0.97140000000000004</v>
      </c>
      <c r="AX142" s="249">
        <v>0.97130000000000005</v>
      </c>
      <c r="AY142" s="249">
        <v>0.97109999999999996</v>
      </c>
      <c r="AZ142" s="249">
        <v>0.97089999999999999</v>
      </c>
      <c r="BA142" s="251">
        <v>0.9708</v>
      </c>
    </row>
    <row r="143" spans="2:53" s="244" customFormat="1" ht="15.75" customHeight="1">
      <c r="B143" s="248">
        <v>115</v>
      </c>
      <c r="C143" s="249">
        <v>0.97829999999999995</v>
      </c>
      <c r="D143" s="249">
        <v>0.97819999999999996</v>
      </c>
      <c r="E143" s="249">
        <v>0.97799999999999998</v>
      </c>
      <c r="F143" s="249">
        <v>0.97789999999999999</v>
      </c>
      <c r="G143" s="249">
        <v>0.97770000000000001</v>
      </c>
      <c r="H143" s="249">
        <v>0.97760000000000002</v>
      </c>
      <c r="I143" s="249">
        <v>0.97740000000000005</v>
      </c>
      <c r="J143" s="249">
        <v>0.97729999999999995</v>
      </c>
      <c r="K143" s="249">
        <v>0.97719999999999996</v>
      </c>
      <c r="L143" s="249">
        <v>0.97699999999999998</v>
      </c>
      <c r="M143" s="249">
        <v>0.97689999999999999</v>
      </c>
      <c r="N143" s="249">
        <v>0.97670000000000001</v>
      </c>
      <c r="O143" s="249">
        <v>0.97660000000000002</v>
      </c>
      <c r="P143" s="249">
        <v>0.97640000000000005</v>
      </c>
      <c r="Q143" s="249">
        <v>0.97629999999999995</v>
      </c>
      <c r="R143" s="249">
        <v>0.97609999999999997</v>
      </c>
      <c r="S143" s="249">
        <v>0.97599999999999998</v>
      </c>
      <c r="T143" s="249">
        <v>0.9758</v>
      </c>
      <c r="U143" s="249">
        <v>0.97560000000000002</v>
      </c>
      <c r="V143" s="249">
        <v>0.97550000000000003</v>
      </c>
      <c r="W143" s="249">
        <v>0.97529999999999994</v>
      </c>
      <c r="X143" s="249">
        <v>0.97519999999999996</v>
      </c>
      <c r="Y143" s="249">
        <v>0.97499999999999998</v>
      </c>
      <c r="Z143" s="249">
        <v>0.97489999999999999</v>
      </c>
      <c r="AA143" s="249">
        <v>0.97470000000000001</v>
      </c>
      <c r="AB143" s="249">
        <v>0.97460000000000002</v>
      </c>
      <c r="AC143" s="249">
        <v>0.97440000000000004</v>
      </c>
      <c r="AD143" s="249">
        <v>0.97430000000000005</v>
      </c>
      <c r="AE143" s="249">
        <v>0.97409999999999997</v>
      </c>
      <c r="AF143" s="249">
        <v>0.97389999999999999</v>
      </c>
      <c r="AG143" s="249">
        <v>0.9738</v>
      </c>
      <c r="AH143" s="249">
        <v>0.97360000000000002</v>
      </c>
      <c r="AI143" s="249">
        <v>0.97350000000000003</v>
      </c>
      <c r="AJ143" s="249">
        <v>0.97330000000000005</v>
      </c>
      <c r="AK143" s="249">
        <v>0.97309999999999997</v>
      </c>
      <c r="AL143" s="249">
        <v>0.97299999999999998</v>
      </c>
      <c r="AM143" s="249">
        <v>0.9728</v>
      </c>
      <c r="AN143" s="249">
        <v>0.97270000000000001</v>
      </c>
      <c r="AO143" s="249">
        <v>0.97250000000000003</v>
      </c>
      <c r="AP143" s="249">
        <v>0.97230000000000005</v>
      </c>
      <c r="AQ143" s="249">
        <v>0.97219999999999995</v>
      </c>
      <c r="AR143" s="249">
        <v>0.97199999999999998</v>
      </c>
      <c r="AS143" s="249">
        <v>0.9718</v>
      </c>
      <c r="AT143" s="249">
        <v>0.97170000000000001</v>
      </c>
      <c r="AU143" s="249">
        <v>0.97150000000000003</v>
      </c>
      <c r="AV143" s="249">
        <v>0.97130000000000005</v>
      </c>
      <c r="AW143" s="249">
        <v>0.97119999999999995</v>
      </c>
      <c r="AX143" s="249">
        <v>0.97099999999999997</v>
      </c>
      <c r="AY143" s="249">
        <v>0.97089999999999999</v>
      </c>
      <c r="AZ143" s="249">
        <v>0.97070000000000001</v>
      </c>
      <c r="BA143" s="251">
        <v>0.97050000000000003</v>
      </c>
    </row>
    <row r="144" spans="2:53" s="244" customFormat="1" ht="15.75" customHeight="1">
      <c r="B144" s="248">
        <v>115.5</v>
      </c>
      <c r="C144" s="249">
        <v>0.97809999999999997</v>
      </c>
      <c r="D144" s="249">
        <v>0.97799999999999998</v>
      </c>
      <c r="E144" s="249">
        <v>0.9778</v>
      </c>
      <c r="F144" s="249">
        <v>0.97770000000000001</v>
      </c>
      <c r="G144" s="249">
        <v>0.97750000000000004</v>
      </c>
      <c r="H144" s="249">
        <v>0.97740000000000005</v>
      </c>
      <c r="I144" s="249">
        <v>0.97719999999999996</v>
      </c>
      <c r="J144" s="249">
        <v>0.97709999999999997</v>
      </c>
      <c r="K144" s="249">
        <v>0.97689999999999999</v>
      </c>
      <c r="L144" s="249">
        <v>0.9768</v>
      </c>
      <c r="M144" s="249">
        <v>0.97660000000000002</v>
      </c>
      <c r="N144" s="249">
        <v>0.97650000000000003</v>
      </c>
      <c r="O144" s="249">
        <v>0.97629999999999995</v>
      </c>
      <c r="P144" s="249">
        <v>0.97619999999999996</v>
      </c>
      <c r="Q144" s="249">
        <v>0.97599999999999998</v>
      </c>
      <c r="R144" s="249">
        <v>0.97589999999999999</v>
      </c>
      <c r="S144" s="249">
        <v>0.97570000000000001</v>
      </c>
      <c r="T144" s="249">
        <v>0.97560000000000002</v>
      </c>
      <c r="U144" s="249">
        <v>0.97540000000000004</v>
      </c>
      <c r="V144" s="249">
        <v>0.97529999999999994</v>
      </c>
      <c r="W144" s="249">
        <v>0.97509999999999997</v>
      </c>
      <c r="X144" s="249">
        <v>0.97499999999999998</v>
      </c>
      <c r="Y144" s="249">
        <v>0.9748</v>
      </c>
      <c r="Z144" s="249">
        <v>0.97470000000000001</v>
      </c>
      <c r="AA144" s="249">
        <v>0.97450000000000003</v>
      </c>
      <c r="AB144" s="249">
        <v>0.97430000000000005</v>
      </c>
      <c r="AC144" s="249">
        <v>0.97419999999999995</v>
      </c>
      <c r="AD144" s="249">
        <v>0.97399999999999998</v>
      </c>
      <c r="AE144" s="249">
        <v>0.97389999999999999</v>
      </c>
      <c r="AF144" s="249">
        <v>0.97370000000000001</v>
      </c>
      <c r="AG144" s="249">
        <v>0.97350000000000003</v>
      </c>
      <c r="AH144" s="249">
        <v>0.97340000000000004</v>
      </c>
      <c r="AI144" s="249">
        <v>0.97319999999999995</v>
      </c>
      <c r="AJ144" s="249">
        <v>0.97309999999999997</v>
      </c>
      <c r="AK144" s="249">
        <v>0.97289999999999999</v>
      </c>
      <c r="AL144" s="249">
        <v>0.97270000000000001</v>
      </c>
      <c r="AM144" s="249">
        <v>0.97260000000000002</v>
      </c>
      <c r="AN144" s="249">
        <v>0.97240000000000004</v>
      </c>
      <c r="AO144" s="249">
        <v>0.97219999999999995</v>
      </c>
      <c r="AP144" s="249">
        <v>0.97209999999999996</v>
      </c>
      <c r="AQ144" s="249">
        <v>0.97189999999999999</v>
      </c>
      <c r="AR144" s="249">
        <v>0.9718</v>
      </c>
      <c r="AS144" s="249">
        <v>0.97160000000000002</v>
      </c>
      <c r="AT144" s="249">
        <v>0.97140000000000004</v>
      </c>
      <c r="AU144" s="249">
        <v>0.97130000000000005</v>
      </c>
      <c r="AV144" s="249">
        <v>0.97109999999999996</v>
      </c>
      <c r="AW144" s="249">
        <v>0.97089999999999999</v>
      </c>
      <c r="AX144" s="249">
        <v>0.97070000000000001</v>
      </c>
      <c r="AY144" s="249">
        <v>0.97060000000000002</v>
      </c>
      <c r="AZ144" s="249">
        <v>0.97040000000000004</v>
      </c>
      <c r="BA144" s="251">
        <v>0.97019999999999995</v>
      </c>
    </row>
    <row r="145" spans="2:53" s="244" customFormat="1" ht="15.75" customHeight="1">
      <c r="B145" s="248">
        <v>116</v>
      </c>
      <c r="C145" s="249">
        <v>0.97789999999999999</v>
      </c>
      <c r="D145" s="249">
        <v>0.9778</v>
      </c>
      <c r="E145" s="249">
        <v>0.97760000000000002</v>
      </c>
      <c r="F145" s="249">
        <v>0.97750000000000004</v>
      </c>
      <c r="G145" s="249">
        <v>0.97729999999999995</v>
      </c>
      <c r="H145" s="249">
        <v>0.97719999999999996</v>
      </c>
      <c r="I145" s="249">
        <v>0.97699999999999998</v>
      </c>
      <c r="J145" s="249">
        <v>0.97689999999999999</v>
      </c>
      <c r="K145" s="249">
        <v>0.97670000000000001</v>
      </c>
      <c r="L145" s="249">
        <v>0.97660000000000002</v>
      </c>
      <c r="M145" s="249">
        <v>0.97640000000000005</v>
      </c>
      <c r="N145" s="249">
        <v>0.97629999999999995</v>
      </c>
      <c r="O145" s="249">
        <v>0.97609999999999997</v>
      </c>
      <c r="P145" s="249">
        <v>0.97599999999999998</v>
      </c>
      <c r="Q145" s="249">
        <v>0.9758</v>
      </c>
      <c r="R145" s="249">
        <v>0.97570000000000001</v>
      </c>
      <c r="S145" s="249">
        <v>0.97550000000000003</v>
      </c>
      <c r="T145" s="249">
        <v>0.97540000000000004</v>
      </c>
      <c r="U145" s="249">
        <v>0.97519999999999996</v>
      </c>
      <c r="V145" s="249">
        <v>0.97499999999999998</v>
      </c>
      <c r="W145" s="249">
        <v>0.97489999999999999</v>
      </c>
      <c r="X145" s="249">
        <v>0.97470000000000001</v>
      </c>
      <c r="Y145" s="249">
        <v>0.97460000000000002</v>
      </c>
      <c r="Z145" s="249">
        <v>0.97440000000000004</v>
      </c>
      <c r="AA145" s="249">
        <v>0.97430000000000005</v>
      </c>
      <c r="AB145" s="249">
        <v>0.97409999999999997</v>
      </c>
      <c r="AC145" s="249">
        <v>0.97389999999999999</v>
      </c>
      <c r="AD145" s="249">
        <v>0.9738</v>
      </c>
      <c r="AE145" s="249">
        <v>0.97360000000000002</v>
      </c>
      <c r="AF145" s="249">
        <v>0.97350000000000003</v>
      </c>
      <c r="AG145" s="249">
        <v>0.97330000000000005</v>
      </c>
      <c r="AH145" s="249">
        <v>0.97309999999999997</v>
      </c>
      <c r="AI145" s="249">
        <v>0.97299999999999998</v>
      </c>
      <c r="AJ145" s="249">
        <v>0.9728</v>
      </c>
      <c r="AK145" s="249">
        <v>0.97270000000000001</v>
      </c>
      <c r="AL145" s="249">
        <v>0.97250000000000003</v>
      </c>
      <c r="AM145" s="249">
        <v>0.97230000000000005</v>
      </c>
      <c r="AN145" s="249">
        <v>0.97219999999999995</v>
      </c>
      <c r="AO145" s="249">
        <v>0.97199999999999998</v>
      </c>
      <c r="AP145" s="249">
        <v>0.9718</v>
      </c>
      <c r="AQ145" s="249">
        <v>0.97170000000000001</v>
      </c>
      <c r="AR145" s="249">
        <v>0.97150000000000003</v>
      </c>
      <c r="AS145" s="249">
        <v>0.97130000000000005</v>
      </c>
      <c r="AT145" s="249">
        <v>0.97119999999999995</v>
      </c>
      <c r="AU145" s="249">
        <v>0.97099999999999997</v>
      </c>
      <c r="AV145" s="249">
        <v>0.9708</v>
      </c>
      <c r="AW145" s="249">
        <v>0.97070000000000001</v>
      </c>
      <c r="AX145" s="249">
        <v>0.97050000000000003</v>
      </c>
      <c r="AY145" s="249">
        <v>0.97030000000000005</v>
      </c>
      <c r="AZ145" s="249">
        <v>0.97009999999999996</v>
      </c>
      <c r="BA145" s="251">
        <v>0.97</v>
      </c>
    </row>
    <row r="146" spans="2:53" s="244" customFormat="1" ht="15.75" customHeight="1">
      <c r="B146" s="248">
        <v>116.5</v>
      </c>
      <c r="C146" s="249">
        <v>0.97770000000000001</v>
      </c>
      <c r="D146" s="249">
        <v>0.97760000000000002</v>
      </c>
      <c r="E146" s="249">
        <v>0.97740000000000005</v>
      </c>
      <c r="F146" s="249">
        <v>0.97729999999999995</v>
      </c>
      <c r="G146" s="249">
        <v>0.97709999999999997</v>
      </c>
      <c r="H146" s="249">
        <v>0.97699999999999998</v>
      </c>
      <c r="I146" s="249">
        <v>0.9768</v>
      </c>
      <c r="J146" s="249">
        <v>0.97670000000000001</v>
      </c>
      <c r="K146" s="249">
        <v>0.97650000000000003</v>
      </c>
      <c r="L146" s="249">
        <v>0.97640000000000005</v>
      </c>
      <c r="M146" s="249">
        <v>0.97619999999999996</v>
      </c>
      <c r="N146" s="249">
        <v>0.97609999999999997</v>
      </c>
      <c r="O146" s="249">
        <v>0.97589999999999999</v>
      </c>
      <c r="P146" s="249">
        <v>0.9758</v>
      </c>
      <c r="Q146" s="249">
        <v>0.97560000000000002</v>
      </c>
      <c r="R146" s="249">
        <v>0.97550000000000003</v>
      </c>
      <c r="S146" s="249">
        <v>0.97529999999999994</v>
      </c>
      <c r="T146" s="249">
        <v>0.97509999999999997</v>
      </c>
      <c r="U146" s="249">
        <v>0.97499999999999998</v>
      </c>
      <c r="V146" s="249">
        <v>0.9748</v>
      </c>
      <c r="W146" s="249">
        <v>0.97470000000000001</v>
      </c>
      <c r="X146" s="249">
        <v>0.97450000000000003</v>
      </c>
      <c r="Y146" s="249">
        <v>0.97440000000000004</v>
      </c>
      <c r="Z146" s="249">
        <v>0.97419999999999995</v>
      </c>
      <c r="AA146" s="249">
        <v>0.97399999999999998</v>
      </c>
      <c r="AB146" s="249">
        <v>0.97389999999999999</v>
      </c>
      <c r="AC146" s="249">
        <v>0.97370000000000001</v>
      </c>
      <c r="AD146" s="249">
        <v>0.97350000000000003</v>
      </c>
      <c r="AE146" s="249">
        <v>0.97340000000000004</v>
      </c>
      <c r="AF146" s="249">
        <v>0.97319999999999995</v>
      </c>
      <c r="AG146" s="249">
        <v>0.97309999999999997</v>
      </c>
      <c r="AH146" s="249">
        <v>0.97289999999999999</v>
      </c>
      <c r="AI146" s="249">
        <v>0.97270000000000001</v>
      </c>
      <c r="AJ146" s="249">
        <v>0.97260000000000002</v>
      </c>
      <c r="AK146" s="249">
        <v>0.97240000000000004</v>
      </c>
      <c r="AL146" s="249">
        <v>0.97219999999999995</v>
      </c>
      <c r="AM146" s="249">
        <v>0.97209999999999996</v>
      </c>
      <c r="AN146" s="249">
        <v>0.97189999999999999</v>
      </c>
      <c r="AO146" s="249">
        <v>0.97170000000000001</v>
      </c>
      <c r="AP146" s="249">
        <v>0.97160000000000002</v>
      </c>
      <c r="AQ146" s="249">
        <v>0.97140000000000004</v>
      </c>
      <c r="AR146" s="249">
        <v>0.97119999999999995</v>
      </c>
      <c r="AS146" s="249">
        <v>0.97109999999999996</v>
      </c>
      <c r="AT146" s="249">
        <v>0.97089999999999999</v>
      </c>
      <c r="AU146" s="249">
        <v>0.97070000000000001</v>
      </c>
      <c r="AV146" s="249">
        <v>0.97060000000000002</v>
      </c>
      <c r="AW146" s="249">
        <v>0.97040000000000004</v>
      </c>
      <c r="AX146" s="249">
        <v>0.97019999999999995</v>
      </c>
      <c r="AY146" s="249">
        <v>0.97</v>
      </c>
      <c r="AZ146" s="249">
        <v>0.96989999999999998</v>
      </c>
      <c r="BA146" s="251">
        <v>0.96970000000000001</v>
      </c>
    </row>
    <row r="147" spans="2:53" s="244" customFormat="1" ht="15.75" customHeight="1">
      <c r="B147" s="248">
        <v>117</v>
      </c>
      <c r="C147" s="249">
        <v>0.97750000000000004</v>
      </c>
      <c r="D147" s="249">
        <v>0.97740000000000005</v>
      </c>
      <c r="E147" s="249">
        <v>0.97719999999999996</v>
      </c>
      <c r="F147" s="249">
        <v>0.97709999999999997</v>
      </c>
      <c r="G147" s="249">
        <v>0.97689999999999999</v>
      </c>
      <c r="H147" s="249">
        <v>0.9768</v>
      </c>
      <c r="I147" s="249">
        <v>0.97660000000000002</v>
      </c>
      <c r="J147" s="249">
        <v>0.97650000000000003</v>
      </c>
      <c r="K147" s="249">
        <v>0.97629999999999995</v>
      </c>
      <c r="L147" s="249">
        <v>0.97619999999999996</v>
      </c>
      <c r="M147" s="249">
        <v>0.97599999999999998</v>
      </c>
      <c r="N147" s="249">
        <v>0.97589999999999999</v>
      </c>
      <c r="O147" s="249">
        <v>0.97570000000000001</v>
      </c>
      <c r="P147" s="249">
        <v>0.97550000000000003</v>
      </c>
      <c r="Q147" s="249">
        <v>0.97540000000000004</v>
      </c>
      <c r="R147" s="249">
        <v>0.97519999999999996</v>
      </c>
      <c r="S147" s="249">
        <v>0.97509999999999997</v>
      </c>
      <c r="T147" s="249">
        <v>0.97489999999999999</v>
      </c>
      <c r="U147" s="249">
        <v>0.9748</v>
      </c>
      <c r="V147" s="249">
        <v>0.97460000000000002</v>
      </c>
      <c r="W147" s="249">
        <v>0.97440000000000004</v>
      </c>
      <c r="X147" s="249">
        <v>0.97430000000000005</v>
      </c>
      <c r="Y147" s="249">
        <v>0.97409999999999997</v>
      </c>
      <c r="Z147" s="249">
        <v>0.97399999999999998</v>
      </c>
      <c r="AA147" s="249">
        <v>0.9738</v>
      </c>
      <c r="AB147" s="249">
        <v>0.97360000000000002</v>
      </c>
      <c r="AC147" s="249">
        <v>0.97350000000000003</v>
      </c>
      <c r="AD147" s="249">
        <v>0.97330000000000005</v>
      </c>
      <c r="AE147" s="249">
        <v>0.97319999999999995</v>
      </c>
      <c r="AF147" s="249">
        <v>0.97299999999999998</v>
      </c>
      <c r="AG147" s="249">
        <v>0.9728</v>
      </c>
      <c r="AH147" s="249">
        <v>0.97270000000000001</v>
      </c>
      <c r="AI147" s="249">
        <v>0.97250000000000003</v>
      </c>
      <c r="AJ147" s="249">
        <v>0.97230000000000005</v>
      </c>
      <c r="AK147" s="249">
        <v>0.97219999999999995</v>
      </c>
      <c r="AL147" s="249">
        <v>0.97199999999999998</v>
      </c>
      <c r="AM147" s="249">
        <v>0.9718</v>
      </c>
      <c r="AN147" s="249">
        <v>0.97170000000000001</v>
      </c>
      <c r="AO147" s="249">
        <v>0.97150000000000003</v>
      </c>
      <c r="AP147" s="249">
        <v>0.97130000000000005</v>
      </c>
      <c r="AQ147" s="249">
        <v>0.97109999999999996</v>
      </c>
      <c r="AR147" s="249">
        <v>0.97099999999999997</v>
      </c>
      <c r="AS147" s="249">
        <v>0.9708</v>
      </c>
      <c r="AT147" s="249">
        <v>0.97060000000000002</v>
      </c>
      <c r="AU147" s="249">
        <v>0.97050000000000003</v>
      </c>
      <c r="AV147" s="249">
        <v>0.97030000000000005</v>
      </c>
      <c r="AW147" s="249">
        <v>0.97009999999999996</v>
      </c>
      <c r="AX147" s="249">
        <v>0.97</v>
      </c>
      <c r="AY147" s="249">
        <v>0.9698</v>
      </c>
      <c r="AZ147" s="249">
        <v>0.96960000000000002</v>
      </c>
      <c r="BA147" s="251">
        <v>0.96940000000000004</v>
      </c>
    </row>
    <row r="148" spans="2:53" s="244" customFormat="1" ht="15.75" customHeight="1">
      <c r="B148" s="248">
        <v>117.5</v>
      </c>
      <c r="C148" s="249">
        <v>0.97729999999999995</v>
      </c>
      <c r="D148" s="249">
        <v>0.97719999999999996</v>
      </c>
      <c r="E148" s="249">
        <v>0.97699999999999998</v>
      </c>
      <c r="F148" s="249">
        <v>0.97689999999999999</v>
      </c>
      <c r="G148" s="249">
        <v>0.97670000000000001</v>
      </c>
      <c r="H148" s="249">
        <v>0.97660000000000002</v>
      </c>
      <c r="I148" s="249">
        <v>0.97640000000000005</v>
      </c>
      <c r="J148" s="249">
        <v>0.97629999999999995</v>
      </c>
      <c r="K148" s="249">
        <v>0.97609999999999997</v>
      </c>
      <c r="L148" s="249">
        <v>0.97599999999999998</v>
      </c>
      <c r="M148" s="249">
        <v>0.9758</v>
      </c>
      <c r="N148" s="249">
        <v>0.97560000000000002</v>
      </c>
      <c r="O148" s="249">
        <v>0.97550000000000003</v>
      </c>
      <c r="P148" s="249">
        <v>0.97529999999999994</v>
      </c>
      <c r="Q148" s="249">
        <v>0.97519999999999996</v>
      </c>
      <c r="R148" s="249">
        <v>0.97499999999999998</v>
      </c>
      <c r="S148" s="249">
        <v>0.97489999999999999</v>
      </c>
      <c r="T148" s="249">
        <v>0.97470000000000001</v>
      </c>
      <c r="U148" s="249">
        <v>0.97450000000000003</v>
      </c>
      <c r="V148" s="249">
        <v>0.97440000000000004</v>
      </c>
      <c r="W148" s="249">
        <v>0.97419999999999995</v>
      </c>
      <c r="X148" s="249">
        <v>0.97409999999999997</v>
      </c>
      <c r="Y148" s="249">
        <v>0.97389999999999999</v>
      </c>
      <c r="Z148" s="249">
        <v>0.97370000000000001</v>
      </c>
      <c r="AA148" s="249">
        <v>0.97360000000000002</v>
      </c>
      <c r="AB148" s="249">
        <v>0.97340000000000004</v>
      </c>
      <c r="AC148" s="249">
        <v>0.97319999999999995</v>
      </c>
      <c r="AD148" s="249">
        <v>0.97309999999999997</v>
      </c>
      <c r="AE148" s="249">
        <v>0.97289999999999999</v>
      </c>
      <c r="AF148" s="249">
        <v>0.97270000000000001</v>
      </c>
      <c r="AG148" s="249">
        <v>0.97260000000000002</v>
      </c>
      <c r="AH148" s="249">
        <v>0.97240000000000004</v>
      </c>
      <c r="AI148" s="249">
        <v>0.97219999999999995</v>
      </c>
      <c r="AJ148" s="249">
        <v>0.97209999999999996</v>
      </c>
      <c r="AK148" s="249">
        <v>0.97189999999999999</v>
      </c>
      <c r="AL148" s="249">
        <v>0.97170000000000001</v>
      </c>
      <c r="AM148" s="249">
        <v>0.97160000000000002</v>
      </c>
      <c r="AN148" s="249">
        <v>0.97140000000000004</v>
      </c>
      <c r="AO148" s="249">
        <v>0.97119999999999995</v>
      </c>
      <c r="AP148" s="249">
        <v>0.97109999999999996</v>
      </c>
      <c r="AQ148" s="249">
        <v>0.97089999999999999</v>
      </c>
      <c r="AR148" s="249">
        <v>0.97070000000000001</v>
      </c>
      <c r="AS148" s="249">
        <v>0.97060000000000002</v>
      </c>
      <c r="AT148" s="249">
        <v>0.97040000000000004</v>
      </c>
      <c r="AU148" s="249">
        <v>0.97019999999999995</v>
      </c>
      <c r="AV148" s="249">
        <v>0.97</v>
      </c>
      <c r="AW148" s="249">
        <v>0.96989999999999998</v>
      </c>
      <c r="AX148" s="249">
        <v>0.96970000000000001</v>
      </c>
      <c r="AY148" s="249">
        <v>0.96950000000000003</v>
      </c>
      <c r="AZ148" s="249">
        <v>0.96930000000000005</v>
      </c>
      <c r="BA148" s="251">
        <v>0.96919999999999995</v>
      </c>
    </row>
    <row r="149" spans="2:53" s="244" customFormat="1" ht="15.75" customHeight="1">
      <c r="B149" s="248">
        <v>118</v>
      </c>
      <c r="C149" s="249">
        <v>0.97709999999999997</v>
      </c>
      <c r="D149" s="249">
        <v>0.97699999999999998</v>
      </c>
      <c r="E149" s="249">
        <v>0.9768</v>
      </c>
      <c r="F149" s="249">
        <v>0.97670000000000001</v>
      </c>
      <c r="G149" s="249">
        <v>0.97650000000000003</v>
      </c>
      <c r="H149" s="249">
        <v>0.97640000000000005</v>
      </c>
      <c r="I149" s="249">
        <v>0.97619999999999996</v>
      </c>
      <c r="J149" s="249">
        <v>0.97609999999999997</v>
      </c>
      <c r="K149" s="249">
        <v>0.97589999999999999</v>
      </c>
      <c r="L149" s="249">
        <v>0.97570000000000001</v>
      </c>
      <c r="M149" s="249">
        <v>0.97560000000000002</v>
      </c>
      <c r="N149" s="249">
        <v>0.97540000000000004</v>
      </c>
      <c r="O149" s="249">
        <v>0.97529999999999994</v>
      </c>
      <c r="P149" s="249">
        <v>0.97509999999999997</v>
      </c>
      <c r="Q149" s="249">
        <v>0.97499999999999998</v>
      </c>
      <c r="R149" s="249">
        <v>0.9748</v>
      </c>
      <c r="S149" s="249">
        <v>0.97460000000000002</v>
      </c>
      <c r="T149" s="249">
        <v>0.97450000000000003</v>
      </c>
      <c r="U149" s="249">
        <v>0.97430000000000005</v>
      </c>
      <c r="V149" s="249">
        <v>0.97409999999999997</v>
      </c>
      <c r="W149" s="249">
        <v>0.97399999999999998</v>
      </c>
      <c r="X149" s="249">
        <v>0.9738</v>
      </c>
      <c r="Y149" s="249">
        <v>0.97370000000000001</v>
      </c>
      <c r="Z149" s="249">
        <v>0.97350000000000003</v>
      </c>
      <c r="AA149" s="249">
        <v>0.97330000000000005</v>
      </c>
      <c r="AB149" s="249">
        <v>0.97319999999999995</v>
      </c>
      <c r="AC149" s="249">
        <v>0.97299999999999998</v>
      </c>
      <c r="AD149" s="249">
        <v>0.9728</v>
      </c>
      <c r="AE149" s="249">
        <v>0.97270000000000001</v>
      </c>
      <c r="AF149" s="249">
        <v>0.97250000000000003</v>
      </c>
      <c r="AG149" s="249">
        <v>0.97230000000000005</v>
      </c>
      <c r="AH149" s="249">
        <v>0.97219999999999995</v>
      </c>
      <c r="AI149" s="249">
        <v>0.97199999999999998</v>
      </c>
      <c r="AJ149" s="249">
        <v>0.9718</v>
      </c>
      <c r="AK149" s="249">
        <v>0.97170000000000001</v>
      </c>
      <c r="AL149" s="249">
        <v>0.97150000000000003</v>
      </c>
      <c r="AM149" s="249">
        <v>0.97130000000000005</v>
      </c>
      <c r="AN149" s="249">
        <v>0.97119999999999995</v>
      </c>
      <c r="AO149" s="249">
        <v>0.97099999999999997</v>
      </c>
      <c r="AP149" s="249">
        <v>0.9708</v>
      </c>
      <c r="AQ149" s="249">
        <v>0.97060000000000002</v>
      </c>
      <c r="AR149" s="249">
        <v>0.97050000000000003</v>
      </c>
      <c r="AS149" s="249">
        <v>0.97030000000000005</v>
      </c>
      <c r="AT149" s="249">
        <v>0.97009999999999996</v>
      </c>
      <c r="AU149" s="249">
        <v>0.96989999999999998</v>
      </c>
      <c r="AV149" s="249">
        <v>0.9698</v>
      </c>
      <c r="AW149" s="249">
        <v>0.96960000000000002</v>
      </c>
      <c r="AX149" s="249">
        <v>0.96940000000000004</v>
      </c>
      <c r="AY149" s="249">
        <v>0.96919999999999995</v>
      </c>
      <c r="AZ149" s="249">
        <v>0.96909999999999996</v>
      </c>
      <c r="BA149" s="251">
        <v>0.96889999999999998</v>
      </c>
    </row>
    <row r="150" spans="2:53" s="244" customFormat="1" ht="15.75" customHeight="1">
      <c r="B150" s="248">
        <v>118.5</v>
      </c>
      <c r="C150" s="249">
        <v>0.97689999999999999</v>
      </c>
      <c r="D150" s="249">
        <v>0.9768</v>
      </c>
      <c r="E150" s="249">
        <v>0.97660000000000002</v>
      </c>
      <c r="F150" s="249">
        <v>0.97650000000000003</v>
      </c>
      <c r="G150" s="249">
        <v>0.97629999999999995</v>
      </c>
      <c r="H150" s="249">
        <v>0.97619999999999996</v>
      </c>
      <c r="I150" s="249">
        <v>0.97599999999999998</v>
      </c>
      <c r="J150" s="249">
        <v>0.9758</v>
      </c>
      <c r="K150" s="249">
        <v>0.97570000000000001</v>
      </c>
      <c r="L150" s="249">
        <v>0.97550000000000003</v>
      </c>
      <c r="M150" s="249">
        <v>0.97540000000000004</v>
      </c>
      <c r="N150" s="249">
        <v>0.97519999999999996</v>
      </c>
      <c r="O150" s="249">
        <v>0.97509999999999997</v>
      </c>
      <c r="P150" s="249">
        <v>0.97489999999999999</v>
      </c>
      <c r="Q150" s="249">
        <v>0.97470000000000001</v>
      </c>
      <c r="R150" s="249">
        <v>0.97460000000000002</v>
      </c>
      <c r="S150" s="249">
        <v>0.97440000000000004</v>
      </c>
      <c r="T150" s="249">
        <v>0.97430000000000005</v>
      </c>
      <c r="U150" s="249">
        <v>0.97409999999999997</v>
      </c>
      <c r="V150" s="249">
        <v>0.97389999999999999</v>
      </c>
      <c r="W150" s="249">
        <v>0.9738</v>
      </c>
      <c r="X150" s="249">
        <v>0.97360000000000002</v>
      </c>
      <c r="Y150" s="249">
        <v>0.97340000000000004</v>
      </c>
      <c r="Z150" s="249">
        <v>0.97330000000000005</v>
      </c>
      <c r="AA150" s="249">
        <v>0.97309999999999997</v>
      </c>
      <c r="AB150" s="249">
        <v>0.97289999999999999</v>
      </c>
      <c r="AC150" s="249">
        <v>0.9728</v>
      </c>
      <c r="AD150" s="249">
        <v>0.97260000000000002</v>
      </c>
      <c r="AE150" s="249">
        <v>0.97240000000000004</v>
      </c>
      <c r="AF150" s="249">
        <v>0.97230000000000005</v>
      </c>
      <c r="AG150" s="249">
        <v>0.97209999999999996</v>
      </c>
      <c r="AH150" s="249">
        <v>0.97189999999999999</v>
      </c>
      <c r="AI150" s="249">
        <v>0.9718</v>
      </c>
      <c r="AJ150" s="249">
        <v>0.97160000000000002</v>
      </c>
      <c r="AK150" s="249">
        <v>0.97140000000000004</v>
      </c>
      <c r="AL150" s="249">
        <v>0.97130000000000005</v>
      </c>
      <c r="AM150" s="249">
        <v>0.97109999999999996</v>
      </c>
      <c r="AN150" s="249">
        <v>0.97089999999999999</v>
      </c>
      <c r="AO150" s="249">
        <v>0.97070000000000001</v>
      </c>
      <c r="AP150" s="249">
        <v>0.97060000000000002</v>
      </c>
      <c r="AQ150" s="249">
        <v>0.97040000000000004</v>
      </c>
      <c r="AR150" s="249">
        <v>0.97019999999999995</v>
      </c>
      <c r="AS150" s="249">
        <v>0.97</v>
      </c>
      <c r="AT150" s="249">
        <v>0.96989999999999998</v>
      </c>
      <c r="AU150" s="249">
        <v>0.96970000000000001</v>
      </c>
      <c r="AV150" s="249">
        <v>0.96950000000000003</v>
      </c>
      <c r="AW150" s="249">
        <v>0.96930000000000005</v>
      </c>
      <c r="AX150" s="249">
        <v>0.96919999999999995</v>
      </c>
      <c r="AY150" s="249">
        <v>0.96899999999999997</v>
      </c>
      <c r="AZ150" s="249">
        <v>0.96879999999999999</v>
      </c>
      <c r="BA150" s="251">
        <v>0.96860000000000002</v>
      </c>
    </row>
    <row r="151" spans="2:53" s="244" customFormat="1" ht="15.75" customHeight="1">
      <c r="B151" s="248">
        <v>119</v>
      </c>
      <c r="C151" s="249">
        <v>0.97670000000000001</v>
      </c>
      <c r="D151" s="249">
        <v>0.97660000000000002</v>
      </c>
      <c r="E151" s="249">
        <v>0.97640000000000005</v>
      </c>
      <c r="F151" s="249">
        <v>0.97629999999999995</v>
      </c>
      <c r="G151" s="249">
        <v>0.97609999999999997</v>
      </c>
      <c r="H151" s="249">
        <v>0.97599999999999998</v>
      </c>
      <c r="I151" s="249">
        <v>0.9758</v>
      </c>
      <c r="J151" s="249">
        <v>0.97560000000000002</v>
      </c>
      <c r="K151" s="249">
        <v>0.97550000000000003</v>
      </c>
      <c r="L151" s="249">
        <v>0.97529999999999994</v>
      </c>
      <c r="M151" s="249">
        <v>0.97519999999999996</v>
      </c>
      <c r="N151" s="249">
        <v>0.97499999999999998</v>
      </c>
      <c r="O151" s="249">
        <v>0.9748</v>
      </c>
      <c r="P151" s="249">
        <v>0.97470000000000001</v>
      </c>
      <c r="Q151" s="249">
        <v>0.97450000000000003</v>
      </c>
      <c r="R151" s="249">
        <v>0.97440000000000004</v>
      </c>
      <c r="S151" s="249">
        <v>0.97419999999999995</v>
      </c>
      <c r="T151" s="249">
        <v>0.97399999999999998</v>
      </c>
      <c r="U151" s="249">
        <v>0.97389999999999999</v>
      </c>
      <c r="V151" s="249">
        <v>0.97370000000000001</v>
      </c>
      <c r="W151" s="249">
        <v>0.97350000000000003</v>
      </c>
      <c r="X151" s="249">
        <v>0.97340000000000004</v>
      </c>
      <c r="Y151" s="249">
        <v>0.97319999999999995</v>
      </c>
      <c r="Z151" s="249">
        <v>0.97299999999999998</v>
      </c>
      <c r="AA151" s="249">
        <v>0.97289999999999999</v>
      </c>
      <c r="AB151" s="249">
        <v>0.97270000000000001</v>
      </c>
      <c r="AC151" s="249">
        <v>0.97250000000000003</v>
      </c>
      <c r="AD151" s="249">
        <v>0.97240000000000004</v>
      </c>
      <c r="AE151" s="249">
        <v>0.97219999999999995</v>
      </c>
      <c r="AF151" s="249">
        <v>0.97199999999999998</v>
      </c>
      <c r="AG151" s="249">
        <v>0.97189999999999999</v>
      </c>
      <c r="AH151" s="249">
        <v>0.97170000000000001</v>
      </c>
      <c r="AI151" s="249">
        <v>0.97150000000000003</v>
      </c>
      <c r="AJ151" s="249">
        <v>0.97130000000000005</v>
      </c>
      <c r="AK151" s="249">
        <v>0.97119999999999995</v>
      </c>
      <c r="AL151" s="249">
        <v>0.97099999999999997</v>
      </c>
      <c r="AM151" s="249">
        <v>0.9708</v>
      </c>
      <c r="AN151" s="249">
        <v>0.97070000000000001</v>
      </c>
      <c r="AO151" s="249">
        <v>0.97050000000000003</v>
      </c>
      <c r="AP151" s="249">
        <v>0.97030000000000005</v>
      </c>
      <c r="AQ151" s="249">
        <v>0.97009999999999996</v>
      </c>
      <c r="AR151" s="249">
        <v>0.97</v>
      </c>
      <c r="AS151" s="249">
        <v>0.9698</v>
      </c>
      <c r="AT151" s="249">
        <v>0.96960000000000002</v>
      </c>
      <c r="AU151" s="249">
        <v>0.96940000000000004</v>
      </c>
      <c r="AV151" s="249">
        <v>0.96919999999999995</v>
      </c>
      <c r="AW151" s="249">
        <v>0.96909999999999996</v>
      </c>
      <c r="AX151" s="249">
        <v>0.96889999999999998</v>
      </c>
      <c r="AY151" s="249">
        <v>0.96870000000000001</v>
      </c>
      <c r="AZ151" s="249">
        <v>0.96850000000000003</v>
      </c>
      <c r="BA151" s="251">
        <v>0.96830000000000005</v>
      </c>
    </row>
    <row r="152" spans="2:53" s="244" customFormat="1" ht="15.75" customHeight="1">
      <c r="B152" s="248">
        <v>119.5</v>
      </c>
      <c r="C152" s="249">
        <v>0.97650000000000003</v>
      </c>
      <c r="D152" s="249">
        <v>0.97640000000000005</v>
      </c>
      <c r="E152" s="249">
        <v>0.97619999999999996</v>
      </c>
      <c r="F152" s="249">
        <v>0.97609999999999997</v>
      </c>
      <c r="G152" s="249">
        <v>0.97589999999999999</v>
      </c>
      <c r="H152" s="249">
        <v>0.97570000000000001</v>
      </c>
      <c r="I152" s="249">
        <v>0.97560000000000002</v>
      </c>
      <c r="J152" s="249">
        <v>0.97540000000000004</v>
      </c>
      <c r="K152" s="249">
        <v>0.97529999999999994</v>
      </c>
      <c r="L152" s="249">
        <v>0.97509999999999997</v>
      </c>
      <c r="M152" s="249">
        <v>0.97489999999999999</v>
      </c>
      <c r="N152" s="249">
        <v>0.9748</v>
      </c>
      <c r="O152" s="249">
        <v>0.97460000000000002</v>
      </c>
      <c r="P152" s="249">
        <v>0.97450000000000003</v>
      </c>
      <c r="Q152" s="249">
        <v>0.97430000000000005</v>
      </c>
      <c r="R152" s="249">
        <v>0.97409999999999997</v>
      </c>
      <c r="S152" s="249">
        <v>0.97399999999999998</v>
      </c>
      <c r="T152" s="249">
        <v>0.9738</v>
      </c>
      <c r="U152" s="249">
        <v>0.97360000000000002</v>
      </c>
      <c r="V152" s="249">
        <v>0.97350000000000003</v>
      </c>
      <c r="W152" s="249">
        <v>0.97330000000000005</v>
      </c>
      <c r="X152" s="249">
        <v>0.97309999999999997</v>
      </c>
      <c r="Y152" s="249">
        <v>0.97299999999999998</v>
      </c>
      <c r="Z152" s="249">
        <v>0.9728</v>
      </c>
      <c r="AA152" s="249">
        <v>0.97260000000000002</v>
      </c>
      <c r="AB152" s="249">
        <v>0.97250000000000003</v>
      </c>
      <c r="AC152" s="249">
        <v>0.97230000000000005</v>
      </c>
      <c r="AD152" s="249">
        <v>0.97209999999999996</v>
      </c>
      <c r="AE152" s="249">
        <v>0.97199999999999998</v>
      </c>
      <c r="AF152" s="249">
        <v>0.9718</v>
      </c>
      <c r="AG152" s="249">
        <v>0.97160000000000002</v>
      </c>
      <c r="AH152" s="249">
        <v>0.97140000000000004</v>
      </c>
      <c r="AI152" s="249">
        <v>0.97130000000000005</v>
      </c>
      <c r="AJ152" s="249">
        <v>0.97109999999999996</v>
      </c>
      <c r="AK152" s="249">
        <v>0.97089999999999999</v>
      </c>
      <c r="AL152" s="249">
        <v>0.9708</v>
      </c>
      <c r="AM152" s="249">
        <v>0.97060000000000002</v>
      </c>
      <c r="AN152" s="249">
        <v>0.97040000000000004</v>
      </c>
      <c r="AO152" s="249">
        <v>0.97019999999999995</v>
      </c>
      <c r="AP152" s="249">
        <v>0.97009999999999996</v>
      </c>
      <c r="AQ152" s="249">
        <v>0.96989999999999998</v>
      </c>
      <c r="AR152" s="249">
        <v>0.96970000000000001</v>
      </c>
      <c r="AS152" s="249">
        <v>0.96950000000000003</v>
      </c>
      <c r="AT152" s="249">
        <v>0.96930000000000005</v>
      </c>
      <c r="AU152" s="249">
        <v>0.96919999999999995</v>
      </c>
      <c r="AV152" s="249">
        <v>0.96899999999999997</v>
      </c>
      <c r="AW152" s="249">
        <v>0.96879999999999999</v>
      </c>
      <c r="AX152" s="249">
        <v>0.96860000000000002</v>
      </c>
      <c r="AY152" s="249">
        <v>0.96840000000000004</v>
      </c>
      <c r="AZ152" s="249">
        <v>0.96830000000000005</v>
      </c>
      <c r="BA152" s="251">
        <v>0.96809999999999996</v>
      </c>
    </row>
    <row r="153" spans="2:53" s="244" customFormat="1" ht="15.75" customHeight="1">
      <c r="B153" s="248">
        <v>120</v>
      </c>
      <c r="C153" s="249">
        <v>0.97629999999999995</v>
      </c>
      <c r="D153" s="249">
        <v>0.97619999999999996</v>
      </c>
      <c r="E153" s="249">
        <v>0.97599999999999998</v>
      </c>
      <c r="F153" s="249">
        <v>0.97589999999999999</v>
      </c>
      <c r="G153" s="249">
        <v>0.97570000000000001</v>
      </c>
      <c r="H153" s="249">
        <v>0.97550000000000003</v>
      </c>
      <c r="I153" s="249">
        <v>0.97540000000000004</v>
      </c>
      <c r="J153" s="249">
        <v>0.97519999999999996</v>
      </c>
      <c r="K153" s="249">
        <v>0.97509999999999997</v>
      </c>
      <c r="L153" s="249">
        <v>0.97489999999999999</v>
      </c>
      <c r="M153" s="249">
        <v>0.97470000000000001</v>
      </c>
      <c r="N153" s="249">
        <v>0.97460000000000002</v>
      </c>
      <c r="O153" s="249">
        <v>0.97440000000000004</v>
      </c>
      <c r="P153" s="249">
        <v>0.97419999999999995</v>
      </c>
      <c r="Q153" s="249">
        <v>0.97409999999999997</v>
      </c>
      <c r="R153" s="249">
        <v>0.97389999999999999</v>
      </c>
      <c r="S153" s="249">
        <v>0.97370000000000001</v>
      </c>
      <c r="T153" s="249">
        <v>0.97360000000000002</v>
      </c>
      <c r="U153" s="249">
        <v>0.97340000000000004</v>
      </c>
      <c r="V153" s="249">
        <v>0.97330000000000005</v>
      </c>
      <c r="W153" s="249">
        <v>0.97309999999999997</v>
      </c>
      <c r="X153" s="249">
        <v>0.97289999999999999</v>
      </c>
      <c r="Y153" s="249">
        <v>0.9728</v>
      </c>
      <c r="Z153" s="249">
        <v>0.97260000000000002</v>
      </c>
      <c r="AA153" s="249">
        <v>0.97240000000000004</v>
      </c>
      <c r="AB153" s="249">
        <v>0.97219999999999995</v>
      </c>
      <c r="AC153" s="249">
        <v>0.97209999999999996</v>
      </c>
      <c r="AD153" s="249">
        <v>0.97189999999999999</v>
      </c>
      <c r="AE153" s="249">
        <v>0.97170000000000001</v>
      </c>
      <c r="AF153" s="249">
        <v>0.97160000000000002</v>
      </c>
      <c r="AG153" s="249">
        <v>0.97140000000000004</v>
      </c>
      <c r="AH153" s="249">
        <v>0.97119999999999995</v>
      </c>
      <c r="AI153" s="249">
        <v>0.97099999999999997</v>
      </c>
      <c r="AJ153" s="249">
        <v>0.97089999999999999</v>
      </c>
      <c r="AK153" s="249">
        <v>0.97070000000000001</v>
      </c>
      <c r="AL153" s="249">
        <v>0.97050000000000003</v>
      </c>
      <c r="AM153" s="249">
        <v>0.97030000000000005</v>
      </c>
      <c r="AN153" s="249">
        <v>0.97019999999999995</v>
      </c>
      <c r="AO153" s="249">
        <v>0.97</v>
      </c>
      <c r="AP153" s="249">
        <v>0.9698</v>
      </c>
      <c r="AQ153" s="249">
        <v>0.96960000000000002</v>
      </c>
      <c r="AR153" s="249">
        <v>0.96940000000000004</v>
      </c>
      <c r="AS153" s="249">
        <v>0.96930000000000005</v>
      </c>
      <c r="AT153" s="249">
        <v>0.96909999999999996</v>
      </c>
      <c r="AU153" s="249">
        <v>0.96889999999999998</v>
      </c>
      <c r="AV153" s="249">
        <v>0.96870000000000001</v>
      </c>
      <c r="AW153" s="249">
        <v>0.96850000000000003</v>
      </c>
      <c r="AX153" s="249">
        <v>0.96840000000000004</v>
      </c>
      <c r="AY153" s="249">
        <v>0.96819999999999995</v>
      </c>
      <c r="AZ153" s="249">
        <v>0.96799999999999997</v>
      </c>
      <c r="BA153" s="251">
        <v>0.96779999999999999</v>
      </c>
    </row>
    <row r="154" spans="2:53" s="244" customFormat="1" ht="15.75" customHeight="1">
      <c r="B154" s="248">
        <v>120.5</v>
      </c>
      <c r="C154" s="249">
        <v>0.97609999999999997</v>
      </c>
      <c r="D154" s="249">
        <v>0.97599999999999998</v>
      </c>
      <c r="E154" s="249">
        <v>0.9758</v>
      </c>
      <c r="F154" s="249">
        <v>0.97570000000000001</v>
      </c>
      <c r="G154" s="249">
        <v>0.97550000000000003</v>
      </c>
      <c r="H154" s="249">
        <v>0.97529999999999994</v>
      </c>
      <c r="I154" s="249">
        <v>0.97519999999999996</v>
      </c>
      <c r="J154" s="249">
        <v>0.97499999999999998</v>
      </c>
      <c r="K154" s="249">
        <v>0.97489999999999999</v>
      </c>
      <c r="L154" s="249">
        <v>0.97470000000000001</v>
      </c>
      <c r="M154" s="249">
        <v>0.97450000000000003</v>
      </c>
      <c r="N154" s="249">
        <v>0.97440000000000004</v>
      </c>
      <c r="O154" s="249">
        <v>0.97419999999999995</v>
      </c>
      <c r="P154" s="249">
        <v>0.97399999999999998</v>
      </c>
      <c r="Q154" s="249">
        <v>0.97389999999999999</v>
      </c>
      <c r="R154" s="249">
        <v>0.97370000000000001</v>
      </c>
      <c r="S154" s="249">
        <v>0.97350000000000003</v>
      </c>
      <c r="T154" s="249">
        <v>0.97340000000000004</v>
      </c>
      <c r="U154" s="249">
        <v>0.97319999999999995</v>
      </c>
      <c r="V154" s="249">
        <v>0.97299999999999998</v>
      </c>
      <c r="W154" s="249">
        <v>0.97289999999999999</v>
      </c>
      <c r="X154" s="249">
        <v>0.97270000000000001</v>
      </c>
      <c r="Y154" s="249">
        <v>0.97250000000000003</v>
      </c>
      <c r="Z154" s="249">
        <v>0.97240000000000004</v>
      </c>
      <c r="AA154" s="249">
        <v>0.97219999999999995</v>
      </c>
      <c r="AB154" s="249">
        <v>0.97199999999999998</v>
      </c>
      <c r="AC154" s="249">
        <v>0.9718</v>
      </c>
      <c r="AD154" s="249">
        <v>0.97170000000000001</v>
      </c>
      <c r="AE154" s="249">
        <v>0.97150000000000003</v>
      </c>
      <c r="AF154" s="249">
        <v>0.97130000000000005</v>
      </c>
      <c r="AG154" s="249">
        <v>0.97109999999999996</v>
      </c>
      <c r="AH154" s="249">
        <v>0.97099999999999997</v>
      </c>
      <c r="AI154" s="249">
        <v>0.9708</v>
      </c>
      <c r="AJ154" s="249">
        <v>0.97060000000000002</v>
      </c>
      <c r="AK154" s="249">
        <v>0.97040000000000004</v>
      </c>
      <c r="AL154" s="249">
        <v>0.97030000000000005</v>
      </c>
      <c r="AM154" s="249">
        <v>0.97009999999999996</v>
      </c>
      <c r="AN154" s="249">
        <v>0.96989999999999998</v>
      </c>
      <c r="AO154" s="249">
        <v>0.96970000000000001</v>
      </c>
      <c r="AP154" s="249">
        <v>0.96950000000000003</v>
      </c>
      <c r="AQ154" s="249">
        <v>0.96940000000000004</v>
      </c>
      <c r="AR154" s="249">
        <v>0.96919999999999995</v>
      </c>
      <c r="AS154" s="249">
        <v>0.96899999999999997</v>
      </c>
      <c r="AT154" s="249">
        <v>0.96879999999999999</v>
      </c>
      <c r="AU154" s="249">
        <v>0.96860000000000002</v>
      </c>
      <c r="AV154" s="249">
        <v>0.96850000000000003</v>
      </c>
      <c r="AW154" s="249">
        <v>0.96830000000000005</v>
      </c>
      <c r="AX154" s="249">
        <v>0.96809999999999996</v>
      </c>
      <c r="AY154" s="249">
        <v>0.96789999999999998</v>
      </c>
      <c r="AZ154" s="249">
        <v>0.9677</v>
      </c>
      <c r="BA154" s="251">
        <v>0.96750000000000003</v>
      </c>
    </row>
    <row r="155" spans="2:53" s="244" customFormat="1" ht="15.75" customHeight="1">
      <c r="B155" s="248">
        <v>121</v>
      </c>
      <c r="C155" s="249">
        <v>0.97589999999999999</v>
      </c>
      <c r="D155" s="249">
        <v>0.9758</v>
      </c>
      <c r="E155" s="249">
        <v>0.97560000000000002</v>
      </c>
      <c r="F155" s="249">
        <v>0.97550000000000003</v>
      </c>
      <c r="G155" s="249">
        <v>0.97529999999999994</v>
      </c>
      <c r="H155" s="249">
        <v>0.97509999999999997</v>
      </c>
      <c r="I155" s="249">
        <v>0.97499999999999998</v>
      </c>
      <c r="J155" s="249">
        <v>0.9748</v>
      </c>
      <c r="K155" s="249">
        <v>0.97460000000000002</v>
      </c>
      <c r="L155" s="249">
        <v>0.97450000000000003</v>
      </c>
      <c r="M155" s="249">
        <v>0.97430000000000005</v>
      </c>
      <c r="N155" s="249">
        <v>0.97409999999999997</v>
      </c>
      <c r="O155" s="249">
        <v>0.97399999999999998</v>
      </c>
      <c r="P155" s="249">
        <v>0.9738</v>
      </c>
      <c r="Q155" s="249">
        <v>0.97360000000000002</v>
      </c>
      <c r="R155" s="249">
        <v>0.97350000000000003</v>
      </c>
      <c r="S155" s="249">
        <v>0.97330000000000005</v>
      </c>
      <c r="T155" s="249">
        <v>0.97309999999999997</v>
      </c>
      <c r="U155" s="249">
        <v>0.97299999999999998</v>
      </c>
      <c r="V155" s="249">
        <v>0.9728</v>
      </c>
      <c r="W155" s="249">
        <v>0.97260000000000002</v>
      </c>
      <c r="X155" s="249">
        <v>0.97250000000000003</v>
      </c>
      <c r="Y155" s="249">
        <v>0.97230000000000005</v>
      </c>
      <c r="Z155" s="249">
        <v>0.97209999999999996</v>
      </c>
      <c r="AA155" s="249">
        <v>0.97189999999999999</v>
      </c>
      <c r="AB155" s="249">
        <v>0.9718</v>
      </c>
      <c r="AC155" s="249">
        <v>0.97160000000000002</v>
      </c>
      <c r="AD155" s="249">
        <v>0.97140000000000004</v>
      </c>
      <c r="AE155" s="249">
        <v>0.97130000000000005</v>
      </c>
      <c r="AF155" s="249">
        <v>0.97109999999999996</v>
      </c>
      <c r="AG155" s="249">
        <v>0.97089999999999999</v>
      </c>
      <c r="AH155" s="249">
        <v>0.97070000000000001</v>
      </c>
      <c r="AI155" s="249">
        <v>0.97050000000000003</v>
      </c>
      <c r="AJ155" s="249">
        <v>0.97040000000000004</v>
      </c>
      <c r="AK155" s="249">
        <v>0.97019999999999995</v>
      </c>
      <c r="AL155" s="249">
        <v>0.97</v>
      </c>
      <c r="AM155" s="249">
        <v>0.9698</v>
      </c>
      <c r="AN155" s="249">
        <v>0.96970000000000001</v>
      </c>
      <c r="AO155" s="249">
        <v>0.96950000000000003</v>
      </c>
      <c r="AP155" s="249">
        <v>0.96930000000000005</v>
      </c>
      <c r="AQ155" s="249">
        <v>0.96909999999999996</v>
      </c>
      <c r="AR155" s="249">
        <v>0.96889999999999998</v>
      </c>
      <c r="AS155" s="249">
        <v>0.96870000000000001</v>
      </c>
      <c r="AT155" s="249">
        <v>0.96860000000000002</v>
      </c>
      <c r="AU155" s="249">
        <v>0.96840000000000004</v>
      </c>
      <c r="AV155" s="249">
        <v>0.96819999999999995</v>
      </c>
      <c r="AW155" s="249">
        <v>0.96799999999999997</v>
      </c>
      <c r="AX155" s="249">
        <v>0.96779999999999999</v>
      </c>
      <c r="AY155" s="249">
        <v>0.96760000000000002</v>
      </c>
      <c r="AZ155" s="249">
        <v>0.96750000000000003</v>
      </c>
      <c r="BA155" s="251">
        <v>0.96730000000000005</v>
      </c>
    </row>
    <row r="156" spans="2:53" s="244" customFormat="1" ht="15.75" customHeight="1">
      <c r="B156" s="248">
        <v>121.5</v>
      </c>
      <c r="C156" s="249">
        <v>0.97570000000000001</v>
      </c>
      <c r="D156" s="249">
        <v>0.97560000000000002</v>
      </c>
      <c r="E156" s="249">
        <v>0.97540000000000004</v>
      </c>
      <c r="F156" s="249">
        <v>0.97529999999999994</v>
      </c>
      <c r="G156" s="249">
        <v>0.97509999999999997</v>
      </c>
      <c r="H156" s="249">
        <v>0.97489999999999999</v>
      </c>
      <c r="I156" s="249">
        <v>0.9748</v>
      </c>
      <c r="J156" s="249">
        <v>0.97460000000000002</v>
      </c>
      <c r="K156" s="249">
        <v>0.97440000000000004</v>
      </c>
      <c r="L156" s="249">
        <v>0.97430000000000005</v>
      </c>
      <c r="M156" s="249">
        <v>0.97409999999999997</v>
      </c>
      <c r="N156" s="249">
        <v>0.97389999999999999</v>
      </c>
      <c r="O156" s="249">
        <v>0.9738</v>
      </c>
      <c r="P156" s="249">
        <v>0.97360000000000002</v>
      </c>
      <c r="Q156" s="249">
        <v>0.97340000000000004</v>
      </c>
      <c r="R156" s="249">
        <v>0.97330000000000005</v>
      </c>
      <c r="S156" s="249">
        <v>0.97309999999999997</v>
      </c>
      <c r="T156" s="249">
        <v>0.97289999999999999</v>
      </c>
      <c r="U156" s="249">
        <v>0.9728</v>
      </c>
      <c r="V156" s="249">
        <v>0.97260000000000002</v>
      </c>
      <c r="W156" s="249">
        <v>0.97240000000000004</v>
      </c>
      <c r="X156" s="249">
        <v>0.97219999999999995</v>
      </c>
      <c r="Y156" s="249">
        <v>0.97209999999999996</v>
      </c>
      <c r="Z156" s="249">
        <v>0.97189999999999999</v>
      </c>
      <c r="AA156" s="249">
        <v>0.97170000000000001</v>
      </c>
      <c r="AB156" s="249">
        <v>0.97150000000000003</v>
      </c>
      <c r="AC156" s="249">
        <v>0.97140000000000004</v>
      </c>
      <c r="AD156" s="249">
        <v>0.97119999999999995</v>
      </c>
      <c r="AE156" s="249">
        <v>0.97099999999999997</v>
      </c>
      <c r="AF156" s="249">
        <v>0.9708</v>
      </c>
      <c r="AG156" s="249">
        <v>0.97070000000000001</v>
      </c>
      <c r="AH156" s="249">
        <v>0.97050000000000003</v>
      </c>
      <c r="AI156" s="249">
        <v>0.97030000000000005</v>
      </c>
      <c r="AJ156" s="249">
        <v>0.97009999999999996</v>
      </c>
      <c r="AK156" s="249">
        <v>0.96989999999999998</v>
      </c>
      <c r="AL156" s="249">
        <v>0.9698</v>
      </c>
      <c r="AM156" s="249">
        <v>0.96960000000000002</v>
      </c>
      <c r="AN156" s="249">
        <v>0.96940000000000004</v>
      </c>
      <c r="AO156" s="249">
        <v>0.96919999999999995</v>
      </c>
      <c r="AP156" s="249">
        <v>0.96899999999999997</v>
      </c>
      <c r="AQ156" s="249">
        <v>0.96889999999999998</v>
      </c>
      <c r="AR156" s="249">
        <v>0.96870000000000001</v>
      </c>
      <c r="AS156" s="249">
        <v>0.96850000000000003</v>
      </c>
      <c r="AT156" s="249">
        <v>0.96830000000000005</v>
      </c>
      <c r="AU156" s="249">
        <v>0.96809999999999996</v>
      </c>
      <c r="AV156" s="249">
        <v>0.96789999999999998</v>
      </c>
      <c r="AW156" s="249">
        <v>0.9677</v>
      </c>
      <c r="AX156" s="249">
        <v>0.96760000000000002</v>
      </c>
      <c r="AY156" s="249">
        <v>0.96740000000000004</v>
      </c>
      <c r="AZ156" s="249">
        <v>0.96719999999999995</v>
      </c>
      <c r="BA156" s="251">
        <v>0.96699999999999997</v>
      </c>
    </row>
    <row r="157" spans="2:53" s="244" customFormat="1" ht="15.75" customHeight="1">
      <c r="B157" s="248">
        <v>122</v>
      </c>
      <c r="C157" s="249">
        <v>0.97550000000000003</v>
      </c>
      <c r="D157" s="249">
        <v>0.97540000000000004</v>
      </c>
      <c r="E157" s="249">
        <v>0.97519999999999996</v>
      </c>
      <c r="F157" s="249">
        <v>0.97509999999999997</v>
      </c>
      <c r="G157" s="249">
        <v>0.97489999999999999</v>
      </c>
      <c r="H157" s="249">
        <v>0.97470000000000001</v>
      </c>
      <c r="I157" s="249">
        <v>0.97460000000000002</v>
      </c>
      <c r="J157" s="249">
        <v>0.97440000000000004</v>
      </c>
      <c r="K157" s="249">
        <v>0.97419999999999995</v>
      </c>
      <c r="L157" s="249">
        <v>0.97409999999999997</v>
      </c>
      <c r="M157" s="249">
        <v>0.97389999999999999</v>
      </c>
      <c r="N157" s="249">
        <v>0.97370000000000001</v>
      </c>
      <c r="O157" s="249">
        <v>0.97360000000000002</v>
      </c>
      <c r="P157" s="249">
        <v>0.97340000000000004</v>
      </c>
      <c r="Q157" s="249">
        <v>0.97319999999999995</v>
      </c>
      <c r="R157" s="249">
        <v>0.97299999999999998</v>
      </c>
      <c r="S157" s="249">
        <v>0.97289999999999999</v>
      </c>
      <c r="T157" s="249">
        <v>0.97270000000000001</v>
      </c>
      <c r="U157" s="249">
        <v>0.97250000000000003</v>
      </c>
      <c r="V157" s="249">
        <v>0.97240000000000004</v>
      </c>
      <c r="W157" s="249">
        <v>0.97219999999999995</v>
      </c>
      <c r="X157" s="249">
        <v>0.97199999999999998</v>
      </c>
      <c r="Y157" s="249">
        <v>0.9718</v>
      </c>
      <c r="Z157" s="249">
        <v>0.97170000000000001</v>
      </c>
      <c r="AA157" s="249">
        <v>0.97150000000000003</v>
      </c>
      <c r="AB157" s="249">
        <v>0.97130000000000005</v>
      </c>
      <c r="AC157" s="249">
        <v>0.97109999999999996</v>
      </c>
      <c r="AD157" s="249">
        <v>0.97099999999999997</v>
      </c>
      <c r="AE157" s="249">
        <v>0.9708</v>
      </c>
      <c r="AF157" s="249">
        <v>0.97060000000000002</v>
      </c>
      <c r="AG157" s="249">
        <v>0.97040000000000004</v>
      </c>
      <c r="AH157" s="249">
        <v>0.97019999999999995</v>
      </c>
      <c r="AI157" s="249">
        <v>0.97009999999999996</v>
      </c>
      <c r="AJ157" s="249">
        <v>0.96989999999999998</v>
      </c>
      <c r="AK157" s="249">
        <v>0.96970000000000001</v>
      </c>
      <c r="AL157" s="249">
        <v>0.96950000000000003</v>
      </c>
      <c r="AM157" s="249">
        <v>0.96930000000000005</v>
      </c>
      <c r="AN157" s="249">
        <v>0.96919999999999995</v>
      </c>
      <c r="AO157" s="249">
        <v>0.96899999999999997</v>
      </c>
      <c r="AP157" s="249">
        <v>0.96879999999999999</v>
      </c>
      <c r="AQ157" s="249">
        <v>0.96860000000000002</v>
      </c>
      <c r="AR157" s="249">
        <v>0.96840000000000004</v>
      </c>
      <c r="AS157" s="249">
        <v>0.96819999999999995</v>
      </c>
      <c r="AT157" s="249">
        <v>0.96799999999999997</v>
      </c>
      <c r="AU157" s="249">
        <v>0.96789999999999998</v>
      </c>
      <c r="AV157" s="249">
        <v>0.9677</v>
      </c>
      <c r="AW157" s="249">
        <v>0.96750000000000003</v>
      </c>
      <c r="AX157" s="249">
        <v>0.96730000000000005</v>
      </c>
      <c r="AY157" s="249">
        <v>0.96709999999999996</v>
      </c>
      <c r="AZ157" s="249">
        <v>0.96689999999999998</v>
      </c>
      <c r="BA157" s="251">
        <v>0.9667</v>
      </c>
    </row>
    <row r="158" spans="2:53" s="244" customFormat="1" ht="15.75" customHeight="1">
      <c r="B158" s="248">
        <v>122.5</v>
      </c>
      <c r="C158" s="249">
        <v>0.97529999999999994</v>
      </c>
      <c r="D158" s="249">
        <v>0.97519999999999996</v>
      </c>
      <c r="E158" s="249">
        <v>0.97499999999999998</v>
      </c>
      <c r="F158" s="249">
        <v>0.9748</v>
      </c>
      <c r="G158" s="249">
        <v>0.97470000000000001</v>
      </c>
      <c r="H158" s="249">
        <v>0.97450000000000003</v>
      </c>
      <c r="I158" s="249">
        <v>0.97430000000000005</v>
      </c>
      <c r="J158" s="249">
        <v>0.97419999999999995</v>
      </c>
      <c r="K158" s="249">
        <v>0.97399999999999998</v>
      </c>
      <c r="L158" s="249">
        <v>0.9738</v>
      </c>
      <c r="M158" s="249">
        <v>0.97370000000000001</v>
      </c>
      <c r="N158" s="249">
        <v>0.97350000000000003</v>
      </c>
      <c r="O158" s="249">
        <v>0.97330000000000005</v>
      </c>
      <c r="P158" s="249">
        <v>0.97319999999999995</v>
      </c>
      <c r="Q158" s="249">
        <v>0.97299999999999998</v>
      </c>
      <c r="R158" s="249">
        <v>0.9728</v>
      </c>
      <c r="S158" s="249">
        <v>0.97260000000000002</v>
      </c>
      <c r="T158" s="249">
        <v>0.97250000000000003</v>
      </c>
      <c r="U158" s="249">
        <v>0.97230000000000005</v>
      </c>
      <c r="V158" s="249">
        <v>0.97209999999999996</v>
      </c>
      <c r="W158" s="249">
        <v>0.97199999999999998</v>
      </c>
      <c r="X158" s="249">
        <v>0.9718</v>
      </c>
      <c r="Y158" s="249">
        <v>0.97160000000000002</v>
      </c>
      <c r="Z158" s="249">
        <v>0.97140000000000004</v>
      </c>
      <c r="AA158" s="249">
        <v>0.97130000000000005</v>
      </c>
      <c r="AB158" s="249">
        <v>0.97109999999999996</v>
      </c>
      <c r="AC158" s="249">
        <v>0.97089999999999999</v>
      </c>
      <c r="AD158" s="249">
        <v>0.97070000000000001</v>
      </c>
      <c r="AE158" s="249">
        <v>0.97050000000000003</v>
      </c>
      <c r="AF158" s="249">
        <v>0.97040000000000004</v>
      </c>
      <c r="AG158" s="249">
        <v>0.97019999999999995</v>
      </c>
      <c r="AH158" s="249">
        <v>0.97</v>
      </c>
      <c r="AI158" s="249">
        <v>0.9698</v>
      </c>
      <c r="AJ158" s="249">
        <v>0.96960000000000002</v>
      </c>
      <c r="AK158" s="249">
        <v>0.96950000000000003</v>
      </c>
      <c r="AL158" s="249">
        <v>0.96930000000000005</v>
      </c>
      <c r="AM158" s="249">
        <v>0.96909999999999996</v>
      </c>
      <c r="AN158" s="249">
        <v>0.96889999999999998</v>
      </c>
      <c r="AO158" s="249">
        <v>0.96870000000000001</v>
      </c>
      <c r="AP158" s="249">
        <v>0.96850000000000003</v>
      </c>
      <c r="AQ158" s="249">
        <v>0.96830000000000005</v>
      </c>
      <c r="AR158" s="249">
        <v>0.96819999999999995</v>
      </c>
      <c r="AS158" s="249">
        <v>0.96799999999999997</v>
      </c>
      <c r="AT158" s="249">
        <v>0.96779999999999999</v>
      </c>
      <c r="AU158" s="249">
        <v>0.96760000000000002</v>
      </c>
      <c r="AV158" s="249">
        <v>0.96740000000000004</v>
      </c>
      <c r="AW158" s="249">
        <v>0.96719999999999995</v>
      </c>
      <c r="AX158" s="249">
        <v>0.96699999999999997</v>
      </c>
      <c r="AY158" s="249">
        <v>0.96679999999999999</v>
      </c>
      <c r="AZ158" s="249">
        <v>0.96660000000000001</v>
      </c>
      <c r="BA158" s="251">
        <v>0.96650000000000003</v>
      </c>
    </row>
    <row r="159" spans="2:53" s="244" customFormat="1" ht="15.75" customHeight="1">
      <c r="B159" s="248">
        <v>123</v>
      </c>
      <c r="C159" s="249">
        <v>0.97509999999999997</v>
      </c>
      <c r="D159" s="249">
        <v>0.97499999999999998</v>
      </c>
      <c r="E159" s="249">
        <v>0.9748</v>
      </c>
      <c r="F159" s="249">
        <v>0.97460000000000002</v>
      </c>
      <c r="G159" s="249">
        <v>0.97450000000000003</v>
      </c>
      <c r="H159" s="249">
        <v>0.97430000000000005</v>
      </c>
      <c r="I159" s="249">
        <v>0.97409999999999997</v>
      </c>
      <c r="J159" s="249">
        <v>0.97399999999999998</v>
      </c>
      <c r="K159" s="249">
        <v>0.9738</v>
      </c>
      <c r="L159" s="249">
        <v>0.97360000000000002</v>
      </c>
      <c r="M159" s="249">
        <v>0.97350000000000003</v>
      </c>
      <c r="N159" s="249">
        <v>0.97330000000000005</v>
      </c>
      <c r="O159" s="249">
        <v>0.97309999999999997</v>
      </c>
      <c r="P159" s="249">
        <v>0.97299999999999998</v>
      </c>
      <c r="Q159" s="249">
        <v>0.9728</v>
      </c>
      <c r="R159" s="249">
        <v>0.97260000000000002</v>
      </c>
      <c r="S159" s="249">
        <v>0.97240000000000004</v>
      </c>
      <c r="T159" s="249">
        <v>0.97230000000000005</v>
      </c>
      <c r="U159" s="249">
        <v>0.97209999999999996</v>
      </c>
      <c r="V159" s="249">
        <v>0.97189999999999999</v>
      </c>
      <c r="W159" s="249">
        <v>0.97170000000000001</v>
      </c>
      <c r="X159" s="249">
        <v>0.97160000000000002</v>
      </c>
      <c r="Y159" s="249">
        <v>0.97140000000000004</v>
      </c>
      <c r="Z159" s="249">
        <v>0.97119999999999995</v>
      </c>
      <c r="AA159" s="249">
        <v>0.97099999999999997</v>
      </c>
      <c r="AB159" s="249">
        <v>0.9708</v>
      </c>
      <c r="AC159" s="249">
        <v>0.97070000000000001</v>
      </c>
      <c r="AD159" s="249">
        <v>0.97050000000000003</v>
      </c>
      <c r="AE159" s="249">
        <v>0.97030000000000005</v>
      </c>
      <c r="AF159" s="249">
        <v>0.97009999999999996</v>
      </c>
      <c r="AG159" s="249">
        <v>0.96989999999999998</v>
      </c>
      <c r="AH159" s="249">
        <v>0.9698</v>
      </c>
      <c r="AI159" s="249">
        <v>0.96960000000000002</v>
      </c>
      <c r="AJ159" s="249">
        <v>0.96940000000000004</v>
      </c>
      <c r="AK159" s="249">
        <v>0.96919999999999995</v>
      </c>
      <c r="AL159" s="249">
        <v>0.96899999999999997</v>
      </c>
      <c r="AM159" s="249">
        <v>0.96879999999999999</v>
      </c>
      <c r="AN159" s="249">
        <v>0.96870000000000001</v>
      </c>
      <c r="AO159" s="249">
        <v>0.96850000000000003</v>
      </c>
      <c r="AP159" s="249">
        <v>0.96830000000000005</v>
      </c>
      <c r="AQ159" s="249">
        <v>0.96809999999999996</v>
      </c>
      <c r="AR159" s="249">
        <v>0.96789999999999998</v>
      </c>
      <c r="AS159" s="249">
        <v>0.9677</v>
      </c>
      <c r="AT159" s="249">
        <v>0.96750000000000003</v>
      </c>
      <c r="AU159" s="249">
        <v>0.96730000000000005</v>
      </c>
      <c r="AV159" s="249">
        <v>0.96709999999999996</v>
      </c>
      <c r="AW159" s="249">
        <v>0.96699999999999997</v>
      </c>
      <c r="AX159" s="249">
        <v>0.96679999999999999</v>
      </c>
      <c r="AY159" s="249">
        <v>0.96660000000000001</v>
      </c>
      <c r="AZ159" s="249">
        <v>0.96640000000000004</v>
      </c>
      <c r="BA159" s="251">
        <v>0.96619999999999995</v>
      </c>
    </row>
    <row r="160" spans="2:53" s="244" customFormat="1" ht="15.75" customHeight="1">
      <c r="B160" s="248">
        <v>123.5</v>
      </c>
      <c r="C160" s="249">
        <v>0.97489999999999999</v>
      </c>
      <c r="D160" s="249">
        <v>0.9748</v>
      </c>
      <c r="E160" s="249">
        <v>0.97460000000000002</v>
      </c>
      <c r="F160" s="249">
        <v>0.97440000000000004</v>
      </c>
      <c r="G160" s="249">
        <v>0.97430000000000005</v>
      </c>
      <c r="H160" s="249">
        <v>0.97409999999999997</v>
      </c>
      <c r="I160" s="249">
        <v>0.97389999999999999</v>
      </c>
      <c r="J160" s="249">
        <v>0.9738</v>
      </c>
      <c r="K160" s="249">
        <v>0.97360000000000002</v>
      </c>
      <c r="L160" s="249">
        <v>0.97340000000000004</v>
      </c>
      <c r="M160" s="249">
        <v>0.97330000000000005</v>
      </c>
      <c r="N160" s="249">
        <v>0.97309999999999997</v>
      </c>
      <c r="O160" s="249">
        <v>0.97289999999999999</v>
      </c>
      <c r="P160" s="249">
        <v>0.97270000000000001</v>
      </c>
      <c r="Q160" s="249">
        <v>0.97260000000000002</v>
      </c>
      <c r="R160" s="249">
        <v>0.97240000000000004</v>
      </c>
      <c r="S160" s="249">
        <v>0.97219999999999995</v>
      </c>
      <c r="T160" s="249">
        <v>0.97199999999999998</v>
      </c>
      <c r="U160" s="249">
        <v>0.97189999999999999</v>
      </c>
      <c r="V160" s="249">
        <v>0.97170000000000001</v>
      </c>
      <c r="W160" s="249">
        <v>0.97150000000000003</v>
      </c>
      <c r="X160" s="249">
        <v>0.97130000000000005</v>
      </c>
      <c r="Y160" s="249">
        <v>0.97109999999999996</v>
      </c>
      <c r="Z160" s="249">
        <v>0.97099999999999997</v>
      </c>
      <c r="AA160" s="249">
        <v>0.9708</v>
      </c>
      <c r="AB160" s="249">
        <v>0.97060000000000002</v>
      </c>
      <c r="AC160" s="249">
        <v>0.97040000000000004</v>
      </c>
      <c r="AD160" s="249">
        <v>0.97019999999999995</v>
      </c>
      <c r="AE160" s="249">
        <v>0.97009999999999996</v>
      </c>
      <c r="AF160" s="249">
        <v>0.96989999999999998</v>
      </c>
      <c r="AG160" s="249">
        <v>0.96970000000000001</v>
      </c>
      <c r="AH160" s="249">
        <v>0.96950000000000003</v>
      </c>
      <c r="AI160" s="249">
        <v>0.96930000000000005</v>
      </c>
      <c r="AJ160" s="249">
        <v>0.96909999999999996</v>
      </c>
      <c r="AK160" s="249">
        <v>0.96899999999999997</v>
      </c>
      <c r="AL160" s="249">
        <v>0.96879999999999999</v>
      </c>
      <c r="AM160" s="249">
        <v>0.96860000000000002</v>
      </c>
      <c r="AN160" s="249">
        <v>0.96840000000000004</v>
      </c>
      <c r="AO160" s="249">
        <v>0.96819999999999995</v>
      </c>
      <c r="AP160" s="249">
        <v>0.96799999999999997</v>
      </c>
      <c r="AQ160" s="249">
        <v>0.96779999999999999</v>
      </c>
      <c r="AR160" s="249">
        <v>0.96760000000000002</v>
      </c>
      <c r="AS160" s="249">
        <v>0.96750000000000003</v>
      </c>
      <c r="AT160" s="249">
        <v>0.96730000000000005</v>
      </c>
      <c r="AU160" s="249">
        <v>0.96709999999999996</v>
      </c>
      <c r="AV160" s="249">
        <v>0.96689999999999998</v>
      </c>
      <c r="AW160" s="249">
        <v>0.9667</v>
      </c>
      <c r="AX160" s="249">
        <v>0.96650000000000003</v>
      </c>
      <c r="AY160" s="249">
        <v>0.96630000000000005</v>
      </c>
      <c r="AZ160" s="249">
        <v>0.96609999999999996</v>
      </c>
      <c r="BA160" s="251">
        <v>0.96589999999999998</v>
      </c>
    </row>
    <row r="161" spans="2:53" s="244" customFormat="1" ht="15.75" customHeight="1">
      <c r="B161" s="248">
        <v>124</v>
      </c>
      <c r="C161" s="249">
        <v>0.97470000000000001</v>
      </c>
      <c r="D161" s="249">
        <v>0.97460000000000002</v>
      </c>
      <c r="E161" s="249">
        <v>0.97440000000000004</v>
      </c>
      <c r="F161" s="249">
        <v>0.97419999999999995</v>
      </c>
      <c r="G161" s="249">
        <v>0.97409999999999997</v>
      </c>
      <c r="H161" s="249">
        <v>0.97389999999999999</v>
      </c>
      <c r="I161" s="249">
        <v>0.97370000000000001</v>
      </c>
      <c r="J161" s="249">
        <v>0.97360000000000002</v>
      </c>
      <c r="K161" s="249">
        <v>0.97340000000000004</v>
      </c>
      <c r="L161" s="249">
        <v>0.97319999999999995</v>
      </c>
      <c r="M161" s="249">
        <v>0.97299999999999998</v>
      </c>
      <c r="N161" s="249">
        <v>0.97289999999999999</v>
      </c>
      <c r="O161" s="249">
        <v>0.97270000000000001</v>
      </c>
      <c r="P161" s="249">
        <v>0.97250000000000003</v>
      </c>
      <c r="Q161" s="249">
        <v>0.97230000000000005</v>
      </c>
      <c r="R161" s="249">
        <v>0.97219999999999995</v>
      </c>
      <c r="S161" s="249">
        <v>0.97199999999999998</v>
      </c>
      <c r="T161" s="249">
        <v>0.9718</v>
      </c>
      <c r="U161" s="249">
        <v>0.97160000000000002</v>
      </c>
      <c r="V161" s="249">
        <v>0.97150000000000003</v>
      </c>
      <c r="W161" s="249">
        <v>0.97130000000000005</v>
      </c>
      <c r="X161" s="249">
        <v>0.97109999999999996</v>
      </c>
      <c r="Y161" s="249">
        <v>0.97089999999999999</v>
      </c>
      <c r="Z161" s="249">
        <v>0.97070000000000001</v>
      </c>
      <c r="AA161" s="249">
        <v>0.97060000000000002</v>
      </c>
      <c r="AB161" s="249">
        <v>0.97040000000000004</v>
      </c>
      <c r="AC161" s="249">
        <v>0.97019999999999995</v>
      </c>
      <c r="AD161" s="249">
        <v>0.97</v>
      </c>
      <c r="AE161" s="249">
        <v>0.9698</v>
      </c>
      <c r="AF161" s="249">
        <v>0.96960000000000002</v>
      </c>
      <c r="AG161" s="249">
        <v>0.96950000000000003</v>
      </c>
      <c r="AH161" s="249">
        <v>0.96930000000000005</v>
      </c>
      <c r="AI161" s="249">
        <v>0.96909999999999996</v>
      </c>
      <c r="AJ161" s="249">
        <v>0.96889999999999998</v>
      </c>
      <c r="AK161" s="249">
        <v>0.96870000000000001</v>
      </c>
      <c r="AL161" s="249">
        <v>0.96850000000000003</v>
      </c>
      <c r="AM161" s="249">
        <v>0.96830000000000005</v>
      </c>
      <c r="AN161" s="249">
        <v>0.96809999999999996</v>
      </c>
      <c r="AO161" s="249">
        <v>0.96799999999999997</v>
      </c>
      <c r="AP161" s="249">
        <v>0.96779999999999999</v>
      </c>
      <c r="AQ161" s="249">
        <v>0.96760000000000002</v>
      </c>
      <c r="AR161" s="249">
        <v>0.96740000000000004</v>
      </c>
      <c r="AS161" s="249">
        <v>0.96719999999999995</v>
      </c>
      <c r="AT161" s="249">
        <v>0.96699999999999997</v>
      </c>
      <c r="AU161" s="249">
        <v>0.96679999999999999</v>
      </c>
      <c r="AV161" s="249">
        <v>0.96660000000000001</v>
      </c>
      <c r="AW161" s="249">
        <v>0.96640000000000004</v>
      </c>
      <c r="AX161" s="249">
        <v>0.96619999999999995</v>
      </c>
      <c r="AY161" s="249">
        <v>0.96599999999999997</v>
      </c>
      <c r="AZ161" s="249">
        <v>0.96579999999999999</v>
      </c>
      <c r="BA161" s="251">
        <v>0.96560000000000001</v>
      </c>
    </row>
    <row r="162" spans="2:53" s="244" customFormat="1" ht="15.75" customHeight="1">
      <c r="B162" s="248">
        <v>124.5</v>
      </c>
      <c r="C162" s="249">
        <v>0.97450000000000003</v>
      </c>
      <c r="D162" s="249">
        <v>0.97440000000000004</v>
      </c>
      <c r="E162" s="249">
        <v>0.97419999999999995</v>
      </c>
      <c r="F162" s="249">
        <v>0.97399999999999998</v>
      </c>
      <c r="G162" s="249">
        <v>0.97389999999999999</v>
      </c>
      <c r="H162" s="249">
        <v>0.97370000000000001</v>
      </c>
      <c r="I162" s="249">
        <v>0.97350000000000003</v>
      </c>
      <c r="J162" s="249">
        <v>0.97340000000000004</v>
      </c>
      <c r="K162" s="249">
        <v>0.97319999999999995</v>
      </c>
      <c r="L162" s="249">
        <v>0.97299999999999998</v>
      </c>
      <c r="M162" s="249">
        <v>0.9728</v>
      </c>
      <c r="N162" s="249">
        <v>0.97270000000000001</v>
      </c>
      <c r="O162" s="249">
        <v>0.97250000000000003</v>
      </c>
      <c r="P162" s="249">
        <v>0.97230000000000005</v>
      </c>
      <c r="Q162" s="249">
        <v>0.97209999999999996</v>
      </c>
      <c r="R162" s="249">
        <v>0.97189999999999999</v>
      </c>
      <c r="S162" s="249">
        <v>0.9718</v>
      </c>
      <c r="T162" s="249">
        <v>0.97160000000000002</v>
      </c>
      <c r="U162" s="249">
        <v>0.97140000000000004</v>
      </c>
      <c r="V162" s="249">
        <v>0.97119999999999995</v>
      </c>
      <c r="W162" s="249">
        <v>0.97109999999999996</v>
      </c>
      <c r="X162" s="249">
        <v>0.97089999999999999</v>
      </c>
      <c r="Y162" s="249">
        <v>0.97070000000000001</v>
      </c>
      <c r="Z162" s="249">
        <v>0.97050000000000003</v>
      </c>
      <c r="AA162" s="249">
        <v>0.97030000000000005</v>
      </c>
      <c r="AB162" s="249">
        <v>0.97009999999999996</v>
      </c>
      <c r="AC162" s="249">
        <v>0.97</v>
      </c>
      <c r="AD162" s="249">
        <v>0.9698</v>
      </c>
      <c r="AE162" s="249">
        <v>0.96960000000000002</v>
      </c>
      <c r="AF162" s="249">
        <v>0.96940000000000004</v>
      </c>
      <c r="AG162" s="249">
        <v>0.96919999999999995</v>
      </c>
      <c r="AH162" s="249">
        <v>0.96899999999999997</v>
      </c>
      <c r="AI162" s="249">
        <v>0.96879999999999999</v>
      </c>
      <c r="AJ162" s="249">
        <v>0.96870000000000001</v>
      </c>
      <c r="AK162" s="249">
        <v>0.96850000000000003</v>
      </c>
      <c r="AL162" s="249">
        <v>0.96830000000000005</v>
      </c>
      <c r="AM162" s="249">
        <v>0.96809999999999996</v>
      </c>
      <c r="AN162" s="249">
        <v>0.96789999999999998</v>
      </c>
      <c r="AO162" s="249">
        <v>0.9677</v>
      </c>
      <c r="AP162" s="249">
        <v>0.96750000000000003</v>
      </c>
      <c r="AQ162" s="249">
        <v>0.96730000000000005</v>
      </c>
      <c r="AR162" s="249">
        <v>0.96709999999999996</v>
      </c>
      <c r="AS162" s="249">
        <v>0.96689999999999998</v>
      </c>
      <c r="AT162" s="249">
        <v>0.9667</v>
      </c>
      <c r="AU162" s="249">
        <v>0.96660000000000001</v>
      </c>
      <c r="AV162" s="249">
        <v>0.96640000000000004</v>
      </c>
      <c r="AW162" s="249">
        <v>0.96619999999999995</v>
      </c>
      <c r="AX162" s="249">
        <v>0.96599999999999997</v>
      </c>
      <c r="AY162" s="249">
        <v>0.96579999999999999</v>
      </c>
      <c r="AZ162" s="249">
        <v>0.96560000000000001</v>
      </c>
      <c r="BA162" s="251">
        <v>0.96540000000000004</v>
      </c>
    </row>
    <row r="163" spans="2:53" s="244" customFormat="1" ht="15.75" customHeight="1">
      <c r="B163" s="248">
        <v>125</v>
      </c>
      <c r="C163" s="249">
        <v>0.97430000000000005</v>
      </c>
      <c r="D163" s="249">
        <v>0.97419999999999995</v>
      </c>
      <c r="E163" s="249">
        <v>0.97399999999999998</v>
      </c>
      <c r="F163" s="249">
        <v>0.9738</v>
      </c>
      <c r="G163" s="249">
        <v>0.97370000000000001</v>
      </c>
      <c r="H163" s="249">
        <v>0.97350000000000003</v>
      </c>
      <c r="I163" s="249">
        <v>0.97330000000000005</v>
      </c>
      <c r="J163" s="249">
        <v>0.97309999999999997</v>
      </c>
      <c r="K163" s="249">
        <v>0.97299999999999998</v>
      </c>
      <c r="L163" s="249">
        <v>0.9728</v>
      </c>
      <c r="M163" s="249">
        <v>0.97260000000000002</v>
      </c>
      <c r="N163" s="249">
        <v>0.97240000000000004</v>
      </c>
      <c r="O163" s="249">
        <v>0.97230000000000005</v>
      </c>
      <c r="P163" s="249">
        <v>0.97209999999999996</v>
      </c>
      <c r="Q163" s="249">
        <v>0.97189999999999999</v>
      </c>
      <c r="R163" s="249">
        <v>0.97170000000000001</v>
      </c>
      <c r="S163" s="249">
        <v>0.97150000000000003</v>
      </c>
      <c r="T163" s="249">
        <v>0.97140000000000004</v>
      </c>
      <c r="U163" s="249">
        <v>0.97119999999999995</v>
      </c>
      <c r="V163" s="249">
        <v>0.97099999999999997</v>
      </c>
      <c r="W163" s="249">
        <v>0.9708</v>
      </c>
      <c r="X163" s="249">
        <v>0.97060000000000002</v>
      </c>
      <c r="Y163" s="249">
        <v>0.97050000000000003</v>
      </c>
      <c r="Z163" s="249">
        <v>0.97030000000000005</v>
      </c>
      <c r="AA163" s="249">
        <v>0.97009999999999996</v>
      </c>
      <c r="AB163" s="249">
        <v>0.96989999999999998</v>
      </c>
      <c r="AC163" s="249">
        <v>0.96970000000000001</v>
      </c>
      <c r="AD163" s="249">
        <v>0.96950000000000003</v>
      </c>
      <c r="AE163" s="249">
        <v>0.96940000000000004</v>
      </c>
      <c r="AF163" s="249">
        <v>0.96919999999999995</v>
      </c>
      <c r="AG163" s="249">
        <v>0.96899999999999997</v>
      </c>
      <c r="AH163" s="249">
        <v>0.96879999999999999</v>
      </c>
      <c r="AI163" s="249">
        <v>0.96860000000000002</v>
      </c>
      <c r="AJ163" s="249">
        <v>0.96840000000000004</v>
      </c>
      <c r="AK163" s="249">
        <v>0.96819999999999995</v>
      </c>
      <c r="AL163" s="249">
        <v>0.96799999999999997</v>
      </c>
      <c r="AM163" s="249">
        <v>0.96779999999999999</v>
      </c>
      <c r="AN163" s="249">
        <v>0.96760000000000002</v>
      </c>
      <c r="AO163" s="249">
        <v>0.96750000000000003</v>
      </c>
      <c r="AP163" s="249">
        <v>0.96730000000000005</v>
      </c>
      <c r="AQ163" s="249">
        <v>0.96709999999999996</v>
      </c>
      <c r="AR163" s="249">
        <v>0.96689999999999998</v>
      </c>
      <c r="AS163" s="249">
        <v>0.9667</v>
      </c>
      <c r="AT163" s="249">
        <v>0.96650000000000003</v>
      </c>
      <c r="AU163" s="249">
        <v>0.96630000000000005</v>
      </c>
      <c r="AV163" s="249">
        <v>0.96609999999999996</v>
      </c>
      <c r="AW163" s="249">
        <v>0.96589999999999998</v>
      </c>
      <c r="AX163" s="249">
        <v>0.9657</v>
      </c>
      <c r="AY163" s="249">
        <v>0.96550000000000002</v>
      </c>
      <c r="AZ163" s="249">
        <v>0.96530000000000005</v>
      </c>
      <c r="BA163" s="251">
        <v>0.96509999999999996</v>
      </c>
    </row>
    <row r="164" spans="2:53" s="244" customFormat="1" ht="15.75" customHeight="1">
      <c r="B164" s="248">
        <v>125.5</v>
      </c>
      <c r="C164" s="249">
        <v>0.97419999999999995</v>
      </c>
      <c r="D164" s="249">
        <v>0.97399999999999998</v>
      </c>
      <c r="E164" s="249">
        <v>0.9738</v>
      </c>
      <c r="F164" s="249">
        <v>0.97360000000000002</v>
      </c>
      <c r="G164" s="249">
        <v>0.97350000000000003</v>
      </c>
      <c r="H164" s="249">
        <v>0.97330000000000005</v>
      </c>
      <c r="I164" s="249">
        <v>0.97309999999999997</v>
      </c>
      <c r="J164" s="249">
        <v>0.97289999999999999</v>
      </c>
      <c r="K164" s="249">
        <v>0.9728</v>
      </c>
      <c r="L164" s="249">
        <v>0.97260000000000002</v>
      </c>
      <c r="M164" s="249">
        <v>0.97240000000000004</v>
      </c>
      <c r="N164" s="249">
        <v>0.97219999999999995</v>
      </c>
      <c r="O164" s="249">
        <v>0.97209999999999996</v>
      </c>
      <c r="P164" s="249">
        <v>0.97189999999999999</v>
      </c>
      <c r="Q164" s="249">
        <v>0.97170000000000001</v>
      </c>
      <c r="R164" s="249">
        <v>0.97150000000000003</v>
      </c>
      <c r="S164" s="249">
        <v>0.97130000000000005</v>
      </c>
      <c r="T164" s="249">
        <v>0.97109999999999996</v>
      </c>
      <c r="U164" s="249">
        <v>0.97099999999999997</v>
      </c>
      <c r="V164" s="249">
        <v>0.9708</v>
      </c>
      <c r="W164" s="249">
        <v>0.97060000000000002</v>
      </c>
      <c r="X164" s="249">
        <v>0.97040000000000004</v>
      </c>
      <c r="Y164" s="249">
        <v>0.97019999999999995</v>
      </c>
      <c r="Z164" s="249">
        <v>0.97</v>
      </c>
      <c r="AA164" s="249">
        <v>0.96989999999999998</v>
      </c>
      <c r="AB164" s="249">
        <v>0.96970000000000001</v>
      </c>
      <c r="AC164" s="249">
        <v>0.96950000000000003</v>
      </c>
      <c r="AD164" s="249">
        <v>0.96930000000000005</v>
      </c>
      <c r="AE164" s="249">
        <v>0.96909999999999996</v>
      </c>
      <c r="AF164" s="249">
        <v>0.96889999999999998</v>
      </c>
      <c r="AG164" s="249">
        <v>0.96870000000000001</v>
      </c>
      <c r="AH164" s="249">
        <v>0.96850000000000003</v>
      </c>
      <c r="AI164" s="249">
        <v>0.96840000000000004</v>
      </c>
      <c r="AJ164" s="249">
        <v>0.96819999999999995</v>
      </c>
      <c r="AK164" s="249">
        <v>0.96799999999999997</v>
      </c>
      <c r="AL164" s="249">
        <v>0.96779999999999999</v>
      </c>
      <c r="AM164" s="249">
        <v>0.96760000000000002</v>
      </c>
      <c r="AN164" s="249">
        <v>0.96740000000000004</v>
      </c>
      <c r="AO164" s="249">
        <v>0.96719999999999995</v>
      </c>
      <c r="AP164" s="249">
        <v>0.96699999999999997</v>
      </c>
      <c r="AQ164" s="249">
        <v>0.96679999999999999</v>
      </c>
      <c r="AR164" s="249">
        <v>0.96660000000000001</v>
      </c>
      <c r="AS164" s="249">
        <v>0.96640000000000004</v>
      </c>
      <c r="AT164" s="249">
        <v>0.96619999999999995</v>
      </c>
      <c r="AU164" s="249">
        <v>0.96599999999999997</v>
      </c>
      <c r="AV164" s="249">
        <v>0.96579999999999999</v>
      </c>
      <c r="AW164" s="249">
        <v>0.96560000000000001</v>
      </c>
      <c r="AX164" s="249">
        <v>0.96540000000000004</v>
      </c>
      <c r="AY164" s="249">
        <v>0.96519999999999995</v>
      </c>
      <c r="AZ164" s="249">
        <v>0.96499999999999997</v>
      </c>
      <c r="BA164" s="251">
        <v>0.96479999999999999</v>
      </c>
    </row>
    <row r="165" spans="2:53" s="244" customFormat="1" ht="15.75" customHeight="1">
      <c r="B165" s="248">
        <v>126</v>
      </c>
      <c r="C165" s="249">
        <v>0.97399999999999998</v>
      </c>
      <c r="D165" s="249">
        <v>0.9738</v>
      </c>
      <c r="E165" s="249">
        <v>0.97360000000000002</v>
      </c>
      <c r="F165" s="249">
        <v>0.97340000000000004</v>
      </c>
      <c r="G165" s="249">
        <v>0.97330000000000005</v>
      </c>
      <c r="H165" s="249">
        <v>0.97309999999999997</v>
      </c>
      <c r="I165" s="249">
        <v>0.97289999999999999</v>
      </c>
      <c r="J165" s="249">
        <v>0.97270000000000001</v>
      </c>
      <c r="K165" s="249">
        <v>0.97260000000000002</v>
      </c>
      <c r="L165" s="249">
        <v>0.97240000000000004</v>
      </c>
      <c r="M165" s="249">
        <v>0.97219999999999995</v>
      </c>
      <c r="N165" s="249">
        <v>0.97199999999999998</v>
      </c>
      <c r="O165" s="249">
        <v>0.9718</v>
      </c>
      <c r="P165" s="249">
        <v>0.97170000000000001</v>
      </c>
      <c r="Q165" s="249">
        <v>0.97150000000000003</v>
      </c>
      <c r="R165" s="249">
        <v>0.97130000000000005</v>
      </c>
      <c r="S165" s="249">
        <v>0.97109999999999996</v>
      </c>
      <c r="T165" s="249">
        <v>0.97089999999999999</v>
      </c>
      <c r="U165" s="249">
        <v>0.97070000000000001</v>
      </c>
      <c r="V165" s="249">
        <v>0.97060000000000002</v>
      </c>
      <c r="W165" s="249">
        <v>0.97040000000000004</v>
      </c>
      <c r="X165" s="249">
        <v>0.97019999999999995</v>
      </c>
      <c r="Y165" s="249">
        <v>0.97</v>
      </c>
      <c r="Z165" s="249">
        <v>0.9698</v>
      </c>
      <c r="AA165" s="249">
        <v>0.96960000000000002</v>
      </c>
      <c r="AB165" s="249">
        <v>0.96940000000000004</v>
      </c>
      <c r="AC165" s="249">
        <v>0.96930000000000005</v>
      </c>
      <c r="AD165" s="249">
        <v>0.96909999999999996</v>
      </c>
      <c r="AE165" s="249">
        <v>0.96889999999999998</v>
      </c>
      <c r="AF165" s="249">
        <v>0.96870000000000001</v>
      </c>
      <c r="AG165" s="249">
        <v>0.96850000000000003</v>
      </c>
      <c r="AH165" s="249">
        <v>0.96830000000000005</v>
      </c>
      <c r="AI165" s="249">
        <v>0.96809999999999996</v>
      </c>
      <c r="AJ165" s="249">
        <v>0.96789999999999998</v>
      </c>
      <c r="AK165" s="249">
        <v>0.9677</v>
      </c>
      <c r="AL165" s="249">
        <v>0.96750000000000003</v>
      </c>
      <c r="AM165" s="249">
        <v>0.96730000000000005</v>
      </c>
      <c r="AN165" s="249">
        <v>0.96709999999999996</v>
      </c>
      <c r="AO165" s="249">
        <v>0.96699999999999997</v>
      </c>
      <c r="AP165" s="249">
        <v>0.96679999999999999</v>
      </c>
      <c r="AQ165" s="249">
        <v>0.96660000000000001</v>
      </c>
      <c r="AR165" s="249">
        <v>0.96640000000000004</v>
      </c>
      <c r="AS165" s="249">
        <v>0.96619999999999995</v>
      </c>
      <c r="AT165" s="249">
        <v>0.96599999999999997</v>
      </c>
      <c r="AU165" s="249">
        <v>0.96579999999999999</v>
      </c>
      <c r="AV165" s="249">
        <v>0.96560000000000001</v>
      </c>
      <c r="AW165" s="249">
        <v>0.96540000000000004</v>
      </c>
      <c r="AX165" s="249">
        <v>0.96519999999999995</v>
      </c>
      <c r="AY165" s="249">
        <v>0.96499999999999997</v>
      </c>
      <c r="AZ165" s="249">
        <v>0.96479999999999999</v>
      </c>
      <c r="BA165" s="251">
        <v>0.96460000000000001</v>
      </c>
    </row>
    <row r="166" spans="2:53" s="244" customFormat="1" ht="15.75" customHeight="1">
      <c r="B166" s="248">
        <v>126.5</v>
      </c>
      <c r="C166" s="249">
        <v>0.9738</v>
      </c>
      <c r="D166" s="249">
        <v>0.97360000000000002</v>
      </c>
      <c r="E166" s="249">
        <v>0.97340000000000004</v>
      </c>
      <c r="F166" s="249">
        <v>0.97319999999999995</v>
      </c>
      <c r="G166" s="249">
        <v>0.97309999999999997</v>
      </c>
      <c r="H166" s="249">
        <v>0.97289999999999999</v>
      </c>
      <c r="I166" s="249">
        <v>0.97270000000000001</v>
      </c>
      <c r="J166" s="249">
        <v>0.97250000000000003</v>
      </c>
      <c r="K166" s="249">
        <v>0.97230000000000005</v>
      </c>
      <c r="L166" s="249">
        <v>0.97219999999999995</v>
      </c>
      <c r="M166" s="249">
        <v>0.97199999999999998</v>
      </c>
      <c r="N166" s="249">
        <v>0.9718</v>
      </c>
      <c r="O166" s="249">
        <v>0.97160000000000002</v>
      </c>
      <c r="P166" s="249">
        <v>0.97140000000000004</v>
      </c>
      <c r="Q166" s="249">
        <v>0.97130000000000005</v>
      </c>
      <c r="R166" s="249">
        <v>0.97109999999999996</v>
      </c>
      <c r="S166" s="249">
        <v>0.97089999999999999</v>
      </c>
      <c r="T166" s="249">
        <v>0.97070000000000001</v>
      </c>
      <c r="U166" s="249">
        <v>0.97050000000000003</v>
      </c>
      <c r="V166" s="249">
        <v>0.97030000000000005</v>
      </c>
      <c r="W166" s="249">
        <v>0.97009999999999996</v>
      </c>
      <c r="X166" s="249">
        <v>0.97</v>
      </c>
      <c r="Y166" s="249">
        <v>0.9698</v>
      </c>
      <c r="Z166" s="249">
        <v>0.96960000000000002</v>
      </c>
      <c r="AA166" s="249">
        <v>0.96940000000000004</v>
      </c>
      <c r="AB166" s="249">
        <v>0.96919999999999995</v>
      </c>
      <c r="AC166" s="249">
        <v>0.96899999999999997</v>
      </c>
      <c r="AD166" s="249">
        <v>0.96879999999999999</v>
      </c>
      <c r="AE166" s="249">
        <v>0.96860000000000002</v>
      </c>
      <c r="AF166" s="249">
        <v>0.96840000000000004</v>
      </c>
      <c r="AG166" s="249">
        <v>0.96830000000000005</v>
      </c>
      <c r="AH166" s="249">
        <v>0.96809999999999996</v>
      </c>
      <c r="AI166" s="249">
        <v>0.96789999999999998</v>
      </c>
      <c r="AJ166" s="249">
        <v>0.9677</v>
      </c>
      <c r="AK166" s="249">
        <v>0.96750000000000003</v>
      </c>
      <c r="AL166" s="249">
        <v>0.96730000000000005</v>
      </c>
      <c r="AM166" s="249">
        <v>0.96709999999999996</v>
      </c>
      <c r="AN166" s="249">
        <v>0.96689999999999998</v>
      </c>
      <c r="AO166" s="249">
        <v>0.9667</v>
      </c>
      <c r="AP166" s="249">
        <v>0.96650000000000003</v>
      </c>
      <c r="AQ166" s="249">
        <v>0.96630000000000005</v>
      </c>
      <c r="AR166" s="249">
        <v>0.96609999999999996</v>
      </c>
      <c r="AS166" s="249">
        <v>0.96589999999999998</v>
      </c>
      <c r="AT166" s="249">
        <v>0.9657</v>
      </c>
      <c r="AU166" s="249">
        <v>0.96550000000000002</v>
      </c>
      <c r="AV166" s="249">
        <v>0.96530000000000005</v>
      </c>
      <c r="AW166" s="249">
        <v>0.96509999999999996</v>
      </c>
      <c r="AX166" s="249">
        <v>0.96489999999999998</v>
      </c>
      <c r="AY166" s="249">
        <v>0.9647</v>
      </c>
      <c r="AZ166" s="249">
        <v>0.96450000000000002</v>
      </c>
      <c r="BA166" s="251">
        <v>0.96430000000000005</v>
      </c>
    </row>
    <row r="167" spans="2:53" s="244" customFormat="1" ht="15.75" customHeight="1">
      <c r="B167" s="248">
        <v>127</v>
      </c>
      <c r="C167" s="249">
        <v>0.97360000000000002</v>
      </c>
      <c r="D167" s="249">
        <v>0.97340000000000004</v>
      </c>
      <c r="E167" s="249">
        <v>0.97319999999999995</v>
      </c>
      <c r="F167" s="249">
        <v>0.97299999999999998</v>
      </c>
      <c r="G167" s="249">
        <v>0.9728</v>
      </c>
      <c r="H167" s="249">
        <v>0.97270000000000001</v>
      </c>
      <c r="I167" s="249">
        <v>0.97250000000000003</v>
      </c>
      <c r="J167" s="249">
        <v>0.97230000000000005</v>
      </c>
      <c r="K167" s="249">
        <v>0.97209999999999996</v>
      </c>
      <c r="L167" s="249">
        <v>0.97189999999999999</v>
      </c>
      <c r="M167" s="249">
        <v>0.9718</v>
      </c>
      <c r="N167" s="249">
        <v>0.97160000000000002</v>
      </c>
      <c r="O167" s="249">
        <v>0.97140000000000004</v>
      </c>
      <c r="P167" s="249">
        <v>0.97119999999999995</v>
      </c>
      <c r="Q167" s="249">
        <v>0.97099999999999997</v>
      </c>
      <c r="R167" s="249">
        <v>0.97089999999999999</v>
      </c>
      <c r="S167" s="249">
        <v>0.97070000000000001</v>
      </c>
      <c r="T167" s="249">
        <v>0.97050000000000003</v>
      </c>
      <c r="U167" s="249">
        <v>0.97030000000000005</v>
      </c>
      <c r="V167" s="249">
        <v>0.97009999999999996</v>
      </c>
      <c r="W167" s="249">
        <v>0.96989999999999998</v>
      </c>
      <c r="X167" s="249">
        <v>0.96970000000000001</v>
      </c>
      <c r="Y167" s="249">
        <v>0.96950000000000003</v>
      </c>
      <c r="Z167" s="249">
        <v>0.96940000000000004</v>
      </c>
      <c r="AA167" s="249">
        <v>0.96919999999999995</v>
      </c>
      <c r="AB167" s="249">
        <v>0.96899999999999997</v>
      </c>
      <c r="AC167" s="249">
        <v>0.96879999999999999</v>
      </c>
      <c r="AD167" s="249">
        <v>0.96860000000000002</v>
      </c>
      <c r="AE167" s="249">
        <v>0.96840000000000004</v>
      </c>
      <c r="AF167" s="249">
        <v>0.96819999999999995</v>
      </c>
      <c r="AG167" s="249">
        <v>0.96799999999999997</v>
      </c>
      <c r="AH167" s="249">
        <v>0.96779999999999999</v>
      </c>
      <c r="AI167" s="249">
        <v>0.96760000000000002</v>
      </c>
      <c r="AJ167" s="249">
        <v>0.96740000000000004</v>
      </c>
      <c r="AK167" s="249">
        <v>0.96719999999999995</v>
      </c>
      <c r="AL167" s="249">
        <v>0.96699999999999997</v>
      </c>
      <c r="AM167" s="249">
        <v>0.96679999999999999</v>
      </c>
      <c r="AN167" s="249">
        <v>0.96660000000000001</v>
      </c>
      <c r="AO167" s="249">
        <v>0.96640000000000004</v>
      </c>
      <c r="AP167" s="249">
        <v>0.96619999999999995</v>
      </c>
      <c r="AQ167" s="249">
        <v>0.96599999999999997</v>
      </c>
      <c r="AR167" s="249">
        <v>0.96579999999999999</v>
      </c>
      <c r="AS167" s="249">
        <v>0.96560000000000001</v>
      </c>
      <c r="AT167" s="249">
        <v>0.96540000000000004</v>
      </c>
      <c r="AU167" s="249">
        <v>0.96519999999999995</v>
      </c>
      <c r="AV167" s="249">
        <v>0.96499999999999997</v>
      </c>
      <c r="AW167" s="249">
        <v>0.96479999999999999</v>
      </c>
      <c r="AX167" s="249">
        <v>0.96460000000000001</v>
      </c>
      <c r="AY167" s="249">
        <v>0.96440000000000003</v>
      </c>
      <c r="AZ167" s="249">
        <v>0.96419999999999995</v>
      </c>
      <c r="BA167" s="251">
        <v>0.96399999999999997</v>
      </c>
    </row>
    <row r="168" spans="2:53" s="244" customFormat="1" ht="15.75" customHeight="1">
      <c r="B168" s="248">
        <v>127.5</v>
      </c>
      <c r="C168" s="249">
        <v>0.97340000000000004</v>
      </c>
      <c r="D168" s="249">
        <v>0.97319999999999995</v>
      </c>
      <c r="E168" s="249">
        <v>0.97299999999999998</v>
      </c>
      <c r="F168" s="249">
        <v>0.9728</v>
      </c>
      <c r="G168" s="249">
        <v>0.97260000000000002</v>
      </c>
      <c r="H168" s="249">
        <v>0.97250000000000003</v>
      </c>
      <c r="I168" s="249">
        <v>0.97230000000000005</v>
      </c>
      <c r="J168" s="249">
        <v>0.97209999999999996</v>
      </c>
      <c r="K168" s="249">
        <v>0.97189999999999999</v>
      </c>
      <c r="L168" s="249">
        <v>0.97170000000000001</v>
      </c>
      <c r="M168" s="249">
        <v>0.97160000000000002</v>
      </c>
      <c r="N168" s="249">
        <v>0.97140000000000004</v>
      </c>
      <c r="O168" s="249">
        <v>0.97119999999999995</v>
      </c>
      <c r="P168" s="249">
        <v>0.97099999999999997</v>
      </c>
      <c r="Q168" s="249">
        <v>0.9708</v>
      </c>
      <c r="R168" s="249">
        <v>0.97060000000000002</v>
      </c>
      <c r="S168" s="249">
        <v>0.97040000000000004</v>
      </c>
      <c r="T168" s="249">
        <v>0.97030000000000005</v>
      </c>
      <c r="U168" s="249">
        <v>0.97009999999999996</v>
      </c>
      <c r="V168" s="249">
        <v>0.96989999999999998</v>
      </c>
      <c r="W168" s="249">
        <v>0.96970000000000001</v>
      </c>
      <c r="X168" s="249">
        <v>0.96950000000000003</v>
      </c>
      <c r="Y168" s="249">
        <v>0.96930000000000005</v>
      </c>
      <c r="Z168" s="249">
        <v>0.96909999999999996</v>
      </c>
      <c r="AA168" s="249">
        <v>0.96889999999999998</v>
      </c>
      <c r="AB168" s="249">
        <v>0.96870000000000001</v>
      </c>
      <c r="AC168" s="249">
        <v>0.96850000000000003</v>
      </c>
      <c r="AD168" s="249">
        <v>0.96840000000000004</v>
      </c>
      <c r="AE168" s="249">
        <v>0.96819999999999995</v>
      </c>
      <c r="AF168" s="249">
        <v>0.96799999999999997</v>
      </c>
      <c r="AG168" s="249">
        <v>0.96779999999999999</v>
      </c>
      <c r="AH168" s="249">
        <v>0.96760000000000002</v>
      </c>
      <c r="AI168" s="249">
        <v>0.96740000000000004</v>
      </c>
      <c r="AJ168" s="249">
        <v>0.96719999999999995</v>
      </c>
      <c r="AK168" s="249">
        <v>0.96699999999999997</v>
      </c>
      <c r="AL168" s="249">
        <v>0.96679999999999999</v>
      </c>
      <c r="AM168" s="249">
        <v>0.96660000000000001</v>
      </c>
      <c r="AN168" s="249">
        <v>0.96640000000000004</v>
      </c>
      <c r="AO168" s="249">
        <v>0.96619999999999995</v>
      </c>
      <c r="AP168" s="249">
        <v>0.96599999999999997</v>
      </c>
      <c r="AQ168" s="249">
        <v>0.96579999999999999</v>
      </c>
      <c r="AR168" s="249">
        <v>0.96560000000000001</v>
      </c>
      <c r="AS168" s="249">
        <v>0.96540000000000004</v>
      </c>
      <c r="AT168" s="249">
        <v>0.96519999999999995</v>
      </c>
      <c r="AU168" s="249">
        <v>0.96499999999999997</v>
      </c>
      <c r="AV168" s="249">
        <v>0.96479999999999999</v>
      </c>
      <c r="AW168" s="249">
        <v>0.96460000000000001</v>
      </c>
      <c r="AX168" s="249">
        <v>0.96440000000000003</v>
      </c>
      <c r="AY168" s="249">
        <v>0.96419999999999995</v>
      </c>
      <c r="AZ168" s="249">
        <v>0.96399999999999997</v>
      </c>
      <c r="BA168" s="251">
        <v>0.9637</v>
      </c>
    </row>
    <row r="169" spans="2:53" s="244" customFormat="1" ht="15.75" customHeight="1">
      <c r="B169" s="248">
        <v>128</v>
      </c>
      <c r="C169" s="249">
        <v>0.97319999999999995</v>
      </c>
      <c r="D169" s="249">
        <v>0.97299999999999998</v>
      </c>
      <c r="E169" s="249">
        <v>0.9728</v>
      </c>
      <c r="F169" s="249">
        <v>0.97260000000000002</v>
      </c>
      <c r="G169" s="249">
        <v>0.97240000000000004</v>
      </c>
      <c r="H169" s="249">
        <v>0.97230000000000005</v>
      </c>
      <c r="I169" s="249">
        <v>0.97209999999999996</v>
      </c>
      <c r="J169" s="249">
        <v>0.97189999999999999</v>
      </c>
      <c r="K169" s="249">
        <v>0.97170000000000001</v>
      </c>
      <c r="L169" s="249">
        <v>0.97150000000000003</v>
      </c>
      <c r="M169" s="249">
        <v>0.97130000000000005</v>
      </c>
      <c r="N169" s="249">
        <v>0.97119999999999995</v>
      </c>
      <c r="O169" s="249">
        <v>0.97099999999999997</v>
      </c>
      <c r="P169" s="249">
        <v>0.9708</v>
      </c>
      <c r="Q169" s="249">
        <v>0.97060000000000002</v>
      </c>
      <c r="R169" s="249">
        <v>0.97040000000000004</v>
      </c>
      <c r="S169" s="249">
        <v>0.97019999999999995</v>
      </c>
      <c r="T169" s="249">
        <v>0.97</v>
      </c>
      <c r="U169" s="249">
        <v>0.9698</v>
      </c>
      <c r="V169" s="249">
        <v>0.96970000000000001</v>
      </c>
      <c r="W169" s="249">
        <v>0.96950000000000003</v>
      </c>
      <c r="X169" s="249">
        <v>0.96930000000000005</v>
      </c>
      <c r="Y169" s="249">
        <v>0.96909999999999996</v>
      </c>
      <c r="Z169" s="249">
        <v>0.96889999999999998</v>
      </c>
      <c r="AA169" s="249">
        <v>0.96870000000000001</v>
      </c>
      <c r="AB169" s="249">
        <v>0.96850000000000003</v>
      </c>
      <c r="AC169" s="249">
        <v>0.96830000000000005</v>
      </c>
      <c r="AD169" s="249">
        <v>0.96809999999999996</v>
      </c>
      <c r="AE169" s="249">
        <v>0.96789999999999998</v>
      </c>
      <c r="AF169" s="249">
        <v>0.9677</v>
      </c>
      <c r="AG169" s="249">
        <v>0.96750000000000003</v>
      </c>
      <c r="AH169" s="249">
        <v>0.96730000000000005</v>
      </c>
      <c r="AI169" s="249">
        <v>0.96709999999999996</v>
      </c>
      <c r="AJ169" s="249">
        <v>0.96689999999999998</v>
      </c>
      <c r="AK169" s="249">
        <v>0.9667</v>
      </c>
      <c r="AL169" s="249">
        <v>0.96650000000000003</v>
      </c>
      <c r="AM169" s="249">
        <v>0.96630000000000005</v>
      </c>
      <c r="AN169" s="249">
        <v>0.96609999999999996</v>
      </c>
      <c r="AO169" s="249">
        <v>0.96589999999999998</v>
      </c>
      <c r="AP169" s="249">
        <v>0.9657</v>
      </c>
      <c r="AQ169" s="249">
        <v>0.96550000000000002</v>
      </c>
      <c r="AR169" s="249">
        <v>0.96530000000000005</v>
      </c>
      <c r="AS169" s="249">
        <v>0.96509999999999996</v>
      </c>
      <c r="AT169" s="249">
        <v>0.96489999999999998</v>
      </c>
      <c r="AU169" s="249">
        <v>0.9647</v>
      </c>
      <c r="AV169" s="249">
        <v>0.96450000000000002</v>
      </c>
      <c r="AW169" s="249">
        <v>0.96430000000000005</v>
      </c>
      <c r="AX169" s="249">
        <v>0.96409999999999996</v>
      </c>
      <c r="AY169" s="249">
        <v>0.96389999999999998</v>
      </c>
      <c r="AZ169" s="249">
        <v>0.9637</v>
      </c>
      <c r="BA169" s="251">
        <v>0.96350000000000002</v>
      </c>
    </row>
    <row r="170" spans="2:53" s="244" customFormat="1" ht="15.75" customHeight="1">
      <c r="B170" s="248">
        <v>128.5</v>
      </c>
      <c r="C170" s="249">
        <v>0.97299999999999998</v>
      </c>
      <c r="D170" s="249">
        <v>0.9728</v>
      </c>
      <c r="E170" s="249">
        <v>0.97260000000000002</v>
      </c>
      <c r="F170" s="249">
        <v>0.97240000000000004</v>
      </c>
      <c r="G170" s="249">
        <v>0.97219999999999995</v>
      </c>
      <c r="H170" s="249">
        <v>0.97209999999999996</v>
      </c>
      <c r="I170" s="249">
        <v>0.97189999999999999</v>
      </c>
      <c r="J170" s="249">
        <v>0.97170000000000001</v>
      </c>
      <c r="K170" s="249">
        <v>0.97150000000000003</v>
      </c>
      <c r="L170" s="249">
        <v>0.97130000000000005</v>
      </c>
      <c r="M170" s="249">
        <v>0.97109999999999996</v>
      </c>
      <c r="N170" s="249">
        <v>0.97089999999999999</v>
      </c>
      <c r="O170" s="249">
        <v>0.9708</v>
      </c>
      <c r="P170" s="249">
        <v>0.97060000000000002</v>
      </c>
      <c r="Q170" s="249">
        <v>0.97040000000000004</v>
      </c>
      <c r="R170" s="249">
        <v>0.97019999999999995</v>
      </c>
      <c r="S170" s="249">
        <v>0.97</v>
      </c>
      <c r="T170" s="249">
        <v>0.9698</v>
      </c>
      <c r="U170" s="249">
        <v>0.96960000000000002</v>
      </c>
      <c r="V170" s="249">
        <v>0.96940000000000004</v>
      </c>
      <c r="W170" s="249">
        <v>0.96919999999999995</v>
      </c>
      <c r="X170" s="249">
        <v>0.96899999999999997</v>
      </c>
      <c r="Y170" s="249">
        <v>0.96889999999999998</v>
      </c>
      <c r="Z170" s="249">
        <v>0.96870000000000001</v>
      </c>
      <c r="AA170" s="249">
        <v>0.96850000000000003</v>
      </c>
      <c r="AB170" s="249">
        <v>0.96830000000000005</v>
      </c>
      <c r="AC170" s="249">
        <v>0.96809999999999996</v>
      </c>
      <c r="AD170" s="249">
        <v>0.96789999999999998</v>
      </c>
      <c r="AE170" s="249">
        <v>0.9677</v>
      </c>
      <c r="AF170" s="249">
        <v>0.96750000000000003</v>
      </c>
      <c r="AG170" s="249">
        <v>0.96730000000000005</v>
      </c>
      <c r="AH170" s="249">
        <v>0.96709999999999996</v>
      </c>
      <c r="AI170" s="249">
        <v>0.96689999999999998</v>
      </c>
      <c r="AJ170" s="249">
        <v>0.9667</v>
      </c>
      <c r="AK170" s="249">
        <v>0.96650000000000003</v>
      </c>
      <c r="AL170" s="249">
        <v>0.96630000000000005</v>
      </c>
      <c r="AM170" s="249">
        <v>0.96609999999999996</v>
      </c>
      <c r="AN170" s="249">
        <v>0.96589999999999998</v>
      </c>
      <c r="AO170" s="249">
        <v>0.9657</v>
      </c>
      <c r="AP170" s="249">
        <v>0.96550000000000002</v>
      </c>
      <c r="AQ170" s="249">
        <v>0.96530000000000005</v>
      </c>
      <c r="AR170" s="249">
        <v>0.96509999999999996</v>
      </c>
      <c r="AS170" s="249">
        <v>0.96489999999999998</v>
      </c>
      <c r="AT170" s="249">
        <v>0.9647</v>
      </c>
      <c r="AU170" s="249">
        <v>0.96450000000000002</v>
      </c>
      <c r="AV170" s="249">
        <v>0.96430000000000005</v>
      </c>
      <c r="AW170" s="249">
        <v>0.96399999999999997</v>
      </c>
      <c r="AX170" s="249">
        <v>0.96379999999999999</v>
      </c>
      <c r="AY170" s="249">
        <v>0.96360000000000001</v>
      </c>
      <c r="AZ170" s="249">
        <v>0.96340000000000003</v>
      </c>
      <c r="BA170" s="251">
        <v>0.96319999999999995</v>
      </c>
    </row>
    <row r="171" spans="2:53" s="244" customFormat="1" ht="15.75" customHeight="1">
      <c r="B171" s="248">
        <v>129</v>
      </c>
      <c r="C171" s="249">
        <v>0.9728</v>
      </c>
      <c r="D171" s="249">
        <v>0.97260000000000002</v>
      </c>
      <c r="E171" s="249">
        <v>0.97240000000000004</v>
      </c>
      <c r="F171" s="249">
        <v>0.97219999999999995</v>
      </c>
      <c r="G171" s="249">
        <v>0.97199999999999998</v>
      </c>
      <c r="H171" s="249">
        <v>0.9718</v>
      </c>
      <c r="I171" s="249">
        <v>0.97170000000000001</v>
      </c>
      <c r="J171" s="249">
        <v>0.97150000000000003</v>
      </c>
      <c r="K171" s="249">
        <v>0.97130000000000005</v>
      </c>
      <c r="L171" s="249">
        <v>0.97109999999999996</v>
      </c>
      <c r="M171" s="249">
        <v>0.97089999999999999</v>
      </c>
      <c r="N171" s="249">
        <v>0.97070000000000001</v>
      </c>
      <c r="O171" s="249">
        <v>0.97050000000000003</v>
      </c>
      <c r="P171" s="249">
        <v>0.97040000000000004</v>
      </c>
      <c r="Q171" s="249">
        <v>0.97019999999999995</v>
      </c>
      <c r="R171" s="249">
        <v>0.97</v>
      </c>
      <c r="S171" s="249">
        <v>0.9698</v>
      </c>
      <c r="T171" s="249">
        <v>0.96960000000000002</v>
      </c>
      <c r="U171" s="249">
        <v>0.96940000000000004</v>
      </c>
      <c r="V171" s="249">
        <v>0.96919999999999995</v>
      </c>
      <c r="W171" s="249">
        <v>0.96899999999999997</v>
      </c>
      <c r="X171" s="249">
        <v>0.96879999999999999</v>
      </c>
      <c r="Y171" s="249">
        <v>0.96860000000000002</v>
      </c>
      <c r="Z171" s="249">
        <v>0.96840000000000004</v>
      </c>
      <c r="AA171" s="249">
        <v>0.96819999999999995</v>
      </c>
      <c r="AB171" s="249">
        <v>0.96799999999999997</v>
      </c>
      <c r="AC171" s="249">
        <v>0.96779999999999999</v>
      </c>
      <c r="AD171" s="249">
        <v>0.96760000000000002</v>
      </c>
      <c r="AE171" s="249">
        <v>0.96750000000000003</v>
      </c>
      <c r="AF171" s="249">
        <v>0.96719999999999995</v>
      </c>
      <c r="AG171" s="249">
        <v>0.96709999999999996</v>
      </c>
      <c r="AH171" s="249">
        <v>0.96679999999999999</v>
      </c>
      <c r="AI171" s="249">
        <v>0.9667</v>
      </c>
      <c r="AJ171" s="249">
        <v>0.96640000000000004</v>
      </c>
      <c r="AK171" s="249">
        <v>0.96630000000000005</v>
      </c>
      <c r="AL171" s="249">
        <v>0.96599999999999997</v>
      </c>
      <c r="AM171" s="249">
        <v>0.96579999999999999</v>
      </c>
      <c r="AN171" s="249">
        <v>0.96560000000000001</v>
      </c>
      <c r="AO171" s="249">
        <v>0.96540000000000004</v>
      </c>
      <c r="AP171" s="249">
        <v>0.96519999999999995</v>
      </c>
      <c r="AQ171" s="249">
        <v>0.96499999999999997</v>
      </c>
      <c r="AR171" s="249">
        <v>0.96479999999999999</v>
      </c>
      <c r="AS171" s="249">
        <v>0.96460000000000001</v>
      </c>
      <c r="AT171" s="249">
        <v>0.96440000000000003</v>
      </c>
      <c r="AU171" s="249">
        <v>0.96419999999999995</v>
      </c>
      <c r="AV171" s="249">
        <v>0.96399999999999997</v>
      </c>
      <c r="AW171" s="249">
        <v>0.96379999999999999</v>
      </c>
      <c r="AX171" s="249">
        <v>0.96360000000000001</v>
      </c>
      <c r="AY171" s="249">
        <v>0.96340000000000003</v>
      </c>
      <c r="AZ171" s="249">
        <v>0.96309999999999996</v>
      </c>
      <c r="BA171" s="251">
        <v>0.96289999999999998</v>
      </c>
    </row>
    <row r="172" spans="2:53" s="244" customFormat="1" ht="15.75" customHeight="1">
      <c r="B172" s="248">
        <v>129.5</v>
      </c>
      <c r="C172" s="249">
        <v>0.97260000000000002</v>
      </c>
      <c r="D172" s="249">
        <v>0.97240000000000004</v>
      </c>
      <c r="E172" s="249">
        <v>0.97219999999999995</v>
      </c>
      <c r="F172" s="249">
        <v>0.97199999999999998</v>
      </c>
      <c r="G172" s="249">
        <v>0.9718</v>
      </c>
      <c r="H172" s="249">
        <v>0.97160000000000002</v>
      </c>
      <c r="I172" s="249">
        <v>0.97150000000000003</v>
      </c>
      <c r="J172" s="249">
        <v>0.97130000000000005</v>
      </c>
      <c r="K172" s="249">
        <v>0.97109999999999996</v>
      </c>
      <c r="L172" s="249">
        <v>0.97089999999999999</v>
      </c>
      <c r="M172" s="249">
        <v>0.97070000000000001</v>
      </c>
      <c r="N172" s="249">
        <v>0.97050000000000003</v>
      </c>
      <c r="O172" s="249">
        <v>0.97030000000000005</v>
      </c>
      <c r="P172" s="249">
        <v>0.97009999999999996</v>
      </c>
      <c r="Q172" s="249">
        <v>0.96989999999999998</v>
      </c>
      <c r="R172" s="249">
        <v>0.9698</v>
      </c>
      <c r="S172" s="249">
        <v>0.96960000000000002</v>
      </c>
      <c r="T172" s="249">
        <v>0.96940000000000004</v>
      </c>
      <c r="U172" s="249">
        <v>0.96919999999999995</v>
      </c>
      <c r="V172" s="249">
        <v>0.96899999999999997</v>
      </c>
      <c r="W172" s="249">
        <v>0.96879999999999999</v>
      </c>
      <c r="X172" s="249">
        <v>0.96860000000000002</v>
      </c>
      <c r="Y172" s="249">
        <v>0.96840000000000004</v>
      </c>
      <c r="Z172" s="249">
        <v>0.96819999999999995</v>
      </c>
      <c r="AA172" s="249">
        <v>0.96799999999999997</v>
      </c>
      <c r="AB172" s="249">
        <v>0.96779999999999999</v>
      </c>
      <c r="AC172" s="249">
        <v>0.96760000000000002</v>
      </c>
      <c r="AD172" s="249">
        <v>0.96740000000000004</v>
      </c>
      <c r="AE172" s="249">
        <v>0.96719999999999995</v>
      </c>
      <c r="AF172" s="249">
        <v>0.96699999999999997</v>
      </c>
      <c r="AG172" s="249">
        <v>0.96679999999999999</v>
      </c>
      <c r="AH172" s="249">
        <v>0.96660000000000001</v>
      </c>
      <c r="AI172" s="249">
        <v>0.96640000000000004</v>
      </c>
      <c r="AJ172" s="249">
        <v>0.96619999999999995</v>
      </c>
      <c r="AK172" s="249">
        <v>0.96599999999999997</v>
      </c>
      <c r="AL172" s="249">
        <v>0.96579999999999999</v>
      </c>
      <c r="AM172" s="249">
        <v>0.96560000000000001</v>
      </c>
      <c r="AN172" s="249">
        <v>0.96540000000000004</v>
      </c>
      <c r="AO172" s="249">
        <v>0.96519999999999995</v>
      </c>
      <c r="AP172" s="249">
        <v>0.96499999999999997</v>
      </c>
      <c r="AQ172" s="249">
        <v>0.96479999999999999</v>
      </c>
      <c r="AR172" s="249">
        <v>0.96460000000000001</v>
      </c>
      <c r="AS172" s="249">
        <v>0.96440000000000003</v>
      </c>
      <c r="AT172" s="249">
        <v>0.96409999999999996</v>
      </c>
      <c r="AU172" s="249">
        <v>0.96389999999999998</v>
      </c>
      <c r="AV172" s="249">
        <v>0.9637</v>
      </c>
      <c r="AW172" s="249">
        <v>0.96350000000000002</v>
      </c>
      <c r="AX172" s="249">
        <v>0.96330000000000005</v>
      </c>
      <c r="AY172" s="249">
        <v>0.96309999999999996</v>
      </c>
      <c r="AZ172" s="249">
        <v>0.96289999999999998</v>
      </c>
      <c r="BA172" s="251">
        <v>0.9627</v>
      </c>
    </row>
    <row r="173" spans="2:53" s="244" customFormat="1" ht="15.75" customHeight="1">
      <c r="B173" s="248">
        <v>130</v>
      </c>
      <c r="C173" s="249">
        <v>0.97240000000000004</v>
      </c>
      <c r="D173" s="249">
        <v>0.97219999999999995</v>
      </c>
      <c r="E173" s="249">
        <v>0.97199999999999998</v>
      </c>
      <c r="F173" s="249">
        <v>0.9718</v>
      </c>
      <c r="G173" s="249">
        <v>0.97160000000000002</v>
      </c>
      <c r="H173" s="249">
        <v>0.97140000000000004</v>
      </c>
      <c r="I173" s="249">
        <v>0.97119999999999995</v>
      </c>
      <c r="J173" s="249">
        <v>0.97109999999999996</v>
      </c>
      <c r="K173" s="249">
        <v>0.97089999999999999</v>
      </c>
      <c r="L173" s="249">
        <v>0.97070000000000001</v>
      </c>
      <c r="M173" s="249">
        <v>0.97050000000000003</v>
      </c>
      <c r="N173" s="249">
        <v>0.97030000000000005</v>
      </c>
      <c r="O173" s="249">
        <v>0.97009999999999996</v>
      </c>
      <c r="P173" s="249">
        <v>0.96989999999999998</v>
      </c>
      <c r="Q173" s="249">
        <v>0.96970000000000001</v>
      </c>
      <c r="R173" s="249">
        <v>0.96950000000000003</v>
      </c>
      <c r="S173" s="249">
        <v>0.96930000000000005</v>
      </c>
      <c r="T173" s="249">
        <v>0.96909999999999996</v>
      </c>
      <c r="U173" s="249">
        <v>0.96899999999999997</v>
      </c>
      <c r="V173" s="249">
        <v>0.96879999999999999</v>
      </c>
      <c r="W173" s="249">
        <v>0.96860000000000002</v>
      </c>
      <c r="X173" s="249">
        <v>0.96840000000000004</v>
      </c>
      <c r="Y173" s="249">
        <v>0.96819999999999995</v>
      </c>
      <c r="Z173" s="249">
        <v>0.96799999999999997</v>
      </c>
      <c r="AA173" s="249">
        <v>0.96779999999999999</v>
      </c>
      <c r="AB173" s="249">
        <v>0.96760000000000002</v>
      </c>
      <c r="AC173" s="249">
        <v>0.96740000000000004</v>
      </c>
      <c r="AD173" s="249">
        <v>0.96719999999999995</v>
      </c>
      <c r="AE173" s="249">
        <v>0.96699999999999997</v>
      </c>
      <c r="AF173" s="249">
        <v>0.96679999999999999</v>
      </c>
      <c r="AG173" s="249">
        <v>0.96660000000000001</v>
      </c>
      <c r="AH173" s="249">
        <v>0.96640000000000004</v>
      </c>
      <c r="AI173" s="249">
        <v>0.96619999999999995</v>
      </c>
      <c r="AJ173" s="249">
        <v>0.96599999999999997</v>
      </c>
      <c r="AK173" s="249">
        <v>0.96579999999999999</v>
      </c>
      <c r="AL173" s="249">
        <v>0.96560000000000001</v>
      </c>
      <c r="AM173" s="249">
        <v>0.96530000000000005</v>
      </c>
      <c r="AN173" s="249">
        <v>0.96509999999999996</v>
      </c>
      <c r="AO173" s="249">
        <v>0.96489999999999998</v>
      </c>
      <c r="AP173" s="249">
        <v>0.9647</v>
      </c>
      <c r="AQ173" s="249">
        <v>0.96450000000000002</v>
      </c>
      <c r="AR173" s="249">
        <v>0.96430000000000005</v>
      </c>
      <c r="AS173" s="249">
        <v>0.96409999999999996</v>
      </c>
      <c r="AT173" s="249">
        <v>0.96389999999999998</v>
      </c>
      <c r="AU173" s="249">
        <v>0.9637</v>
      </c>
      <c r="AV173" s="249">
        <v>0.96350000000000002</v>
      </c>
      <c r="AW173" s="249">
        <v>0.96319999999999995</v>
      </c>
      <c r="AX173" s="249">
        <v>0.96299999999999997</v>
      </c>
      <c r="AY173" s="249">
        <v>0.96279999999999999</v>
      </c>
      <c r="AZ173" s="249">
        <v>0.96260000000000001</v>
      </c>
      <c r="BA173" s="251">
        <v>0.96240000000000003</v>
      </c>
    </row>
    <row r="174" spans="2:53" s="244" customFormat="1" ht="15.75" customHeight="1">
      <c r="B174" s="248">
        <v>130.5</v>
      </c>
      <c r="C174" s="249">
        <v>0.97219999999999995</v>
      </c>
      <c r="D174" s="249">
        <v>0.97199999999999998</v>
      </c>
      <c r="E174" s="249">
        <v>0.9718</v>
      </c>
      <c r="F174" s="249">
        <v>0.97160000000000002</v>
      </c>
      <c r="G174" s="249">
        <v>0.97140000000000004</v>
      </c>
      <c r="H174" s="249">
        <v>0.97119999999999995</v>
      </c>
      <c r="I174" s="249">
        <v>0.97099999999999997</v>
      </c>
      <c r="J174" s="249">
        <v>0.97089999999999999</v>
      </c>
      <c r="K174" s="249">
        <v>0.97070000000000001</v>
      </c>
      <c r="L174" s="249">
        <v>0.97050000000000003</v>
      </c>
      <c r="M174" s="249">
        <v>0.97030000000000005</v>
      </c>
      <c r="N174" s="249">
        <v>0.97009999999999996</v>
      </c>
      <c r="O174" s="249">
        <v>0.96989999999999998</v>
      </c>
      <c r="P174" s="249">
        <v>0.96970000000000001</v>
      </c>
      <c r="Q174" s="249">
        <v>0.96950000000000003</v>
      </c>
      <c r="R174" s="249">
        <v>0.96930000000000005</v>
      </c>
      <c r="S174" s="249">
        <v>0.96909999999999996</v>
      </c>
      <c r="T174" s="249">
        <v>0.96889999999999998</v>
      </c>
      <c r="U174" s="249">
        <v>0.96870000000000001</v>
      </c>
      <c r="V174" s="249">
        <v>0.96850000000000003</v>
      </c>
      <c r="W174" s="249">
        <v>0.96830000000000005</v>
      </c>
      <c r="X174" s="249">
        <v>0.96809999999999996</v>
      </c>
      <c r="Y174" s="249">
        <v>0.96789999999999998</v>
      </c>
      <c r="Z174" s="249">
        <v>0.9677</v>
      </c>
      <c r="AA174" s="249">
        <v>0.96750000000000003</v>
      </c>
      <c r="AB174" s="249">
        <v>0.96730000000000005</v>
      </c>
      <c r="AC174" s="249">
        <v>0.96709999999999996</v>
      </c>
      <c r="AD174" s="249">
        <v>0.96689999999999998</v>
      </c>
      <c r="AE174" s="249">
        <v>0.9667</v>
      </c>
      <c r="AF174" s="249">
        <v>0.96650000000000003</v>
      </c>
      <c r="AG174" s="249">
        <v>0.96630000000000005</v>
      </c>
      <c r="AH174" s="249">
        <v>0.96609999999999996</v>
      </c>
      <c r="AI174" s="249">
        <v>0.96589999999999998</v>
      </c>
      <c r="AJ174" s="249">
        <v>0.9657</v>
      </c>
      <c r="AK174" s="249">
        <v>0.96550000000000002</v>
      </c>
      <c r="AL174" s="249">
        <v>0.96530000000000005</v>
      </c>
      <c r="AM174" s="249">
        <v>0.96509999999999996</v>
      </c>
      <c r="AN174" s="249">
        <v>0.96489999999999998</v>
      </c>
      <c r="AO174" s="249">
        <v>0.9647</v>
      </c>
      <c r="AP174" s="249">
        <v>0.96450000000000002</v>
      </c>
      <c r="AQ174" s="249">
        <v>0.96430000000000005</v>
      </c>
      <c r="AR174" s="249">
        <v>0.96399999999999997</v>
      </c>
      <c r="AS174" s="249">
        <v>0.96379999999999999</v>
      </c>
      <c r="AT174" s="249">
        <v>0.96360000000000001</v>
      </c>
      <c r="AU174" s="249">
        <v>0.96340000000000003</v>
      </c>
      <c r="AV174" s="249">
        <v>0.96319999999999995</v>
      </c>
      <c r="AW174" s="249">
        <v>0.96299999999999997</v>
      </c>
      <c r="AX174" s="249">
        <v>0.96279999999999999</v>
      </c>
      <c r="AY174" s="249">
        <v>0.96260000000000001</v>
      </c>
      <c r="AZ174" s="249">
        <v>0.96230000000000004</v>
      </c>
      <c r="BA174" s="251">
        <v>0.96209999999999996</v>
      </c>
    </row>
    <row r="175" spans="2:53" s="244" customFormat="1" ht="15.75" customHeight="1">
      <c r="B175" s="248">
        <v>131</v>
      </c>
      <c r="C175" s="249">
        <v>0.97199999999999998</v>
      </c>
      <c r="D175" s="249">
        <v>0.9718</v>
      </c>
      <c r="E175" s="249">
        <v>0.97160000000000002</v>
      </c>
      <c r="F175" s="249">
        <v>0.97140000000000004</v>
      </c>
      <c r="G175" s="249">
        <v>0.97119999999999995</v>
      </c>
      <c r="H175" s="249">
        <v>0.97099999999999997</v>
      </c>
      <c r="I175" s="249">
        <v>0.9708</v>
      </c>
      <c r="J175" s="249">
        <v>0.97060000000000002</v>
      </c>
      <c r="K175" s="249">
        <v>0.97050000000000003</v>
      </c>
      <c r="L175" s="249">
        <v>0.97030000000000005</v>
      </c>
      <c r="M175" s="249">
        <v>0.97009999999999996</v>
      </c>
      <c r="N175" s="249">
        <v>0.96989999999999998</v>
      </c>
      <c r="O175" s="249">
        <v>0.96970000000000001</v>
      </c>
      <c r="P175" s="249">
        <v>0.96950000000000003</v>
      </c>
      <c r="Q175" s="249">
        <v>0.96930000000000005</v>
      </c>
      <c r="R175" s="249">
        <v>0.96909999999999996</v>
      </c>
      <c r="S175" s="249">
        <v>0.96889999999999998</v>
      </c>
      <c r="T175" s="249">
        <v>0.96870000000000001</v>
      </c>
      <c r="U175" s="249">
        <v>0.96850000000000003</v>
      </c>
      <c r="V175" s="249">
        <v>0.96830000000000005</v>
      </c>
      <c r="W175" s="249">
        <v>0.96809999999999996</v>
      </c>
      <c r="X175" s="249">
        <v>0.96789999999999998</v>
      </c>
      <c r="Y175" s="249">
        <v>0.9677</v>
      </c>
      <c r="Z175" s="249">
        <v>0.96750000000000003</v>
      </c>
      <c r="AA175" s="249">
        <v>0.96730000000000005</v>
      </c>
      <c r="AB175" s="249">
        <v>0.96709999999999996</v>
      </c>
      <c r="AC175" s="249">
        <v>0.96689999999999998</v>
      </c>
      <c r="AD175" s="249">
        <v>0.9667</v>
      </c>
      <c r="AE175" s="249">
        <v>0.96650000000000003</v>
      </c>
      <c r="AF175" s="249">
        <v>0.96630000000000005</v>
      </c>
      <c r="AG175" s="249">
        <v>0.96609999999999996</v>
      </c>
      <c r="AH175" s="249">
        <v>0.96589999999999998</v>
      </c>
      <c r="AI175" s="249">
        <v>0.9657</v>
      </c>
      <c r="AJ175" s="249">
        <v>0.96550000000000002</v>
      </c>
      <c r="AK175" s="249">
        <v>0.96530000000000005</v>
      </c>
      <c r="AL175" s="249">
        <v>0.96509999999999996</v>
      </c>
      <c r="AM175" s="249">
        <v>0.96479999999999999</v>
      </c>
      <c r="AN175" s="249">
        <v>0.96460000000000001</v>
      </c>
      <c r="AO175" s="249">
        <v>0.96440000000000003</v>
      </c>
      <c r="AP175" s="249">
        <v>0.96419999999999995</v>
      </c>
      <c r="AQ175" s="249">
        <v>0.96399999999999997</v>
      </c>
      <c r="AR175" s="249">
        <v>0.96379999999999999</v>
      </c>
      <c r="AS175" s="249">
        <v>0.96360000000000001</v>
      </c>
      <c r="AT175" s="249">
        <v>0.96340000000000003</v>
      </c>
      <c r="AU175" s="249">
        <v>0.96319999999999995</v>
      </c>
      <c r="AV175" s="249">
        <v>0.96289999999999998</v>
      </c>
      <c r="AW175" s="249">
        <v>0.9627</v>
      </c>
      <c r="AX175" s="249">
        <v>0.96250000000000002</v>
      </c>
      <c r="AY175" s="249">
        <v>0.96230000000000004</v>
      </c>
      <c r="AZ175" s="249">
        <v>0.96209999999999996</v>
      </c>
      <c r="BA175" s="251">
        <v>0.96179999999999999</v>
      </c>
    </row>
    <row r="176" spans="2:53" s="244" customFormat="1" ht="15.75" customHeight="1">
      <c r="B176" s="248">
        <v>131.5</v>
      </c>
      <c r="C176" s="249">
        <v>0.9718</v>
      </c>
      <c r="D176" s="249">
        <v>0.97160000000000002</v>
      </c>
      <c r="E176" s="249">
        <v>0.97140000000000004</v>
      </c>
      <c r="F176" s="249">
        <v>0.97119999999999995</v>
      </c>
      <c r="G176" s="249">
        <v>0.97099999999999997</v>
      </c>
      <c r="H176" s="249">
        <v>0.9708</v>
      </c>
      <c r="I176" s="249">
        <v>0.97060000000000002</v>
      </c>
      <c r="J176" s="249">
        <v>0.97040000000000004</v>
      </c>
      <c r="K176" s="249">
        <v>0.97019999999999995</v>
      </c>
      <c r="L176" s="249">
        <v>0.97009999999999996</v>
      </c>
      <c r="M176" s="249">
        <v>0.96989999999999998</v>
      </c>
      <c r="N176" s="249">
        <v>0.96970000000000001</v>
      </c>
      <c r="O176" s="249">
        <v>0.96950000000000003</v>
      </c>
      <c r="P176" s="249">
        <v>0.96930000000000005</v>
      </c>
      <c r="Q176" s="249">
        <v>0.96909999999999996</v>
      </c>
      <c r="R176" s="249">
        <v>0.96889999999999998</v>
      </c>
      <c r="S176" s="249">
        <v>0.96870000000000001</v>
      </c>
      <c r="T176" s="249">
        <v>0.96850000000000003</v>
      </c>
      <c r="U176" s="249">
        <v>0.96830000000000005</v>
      </c>
      <c r="V176" s="249">
        <v>0.96809999999999996</v>
      </c>
      <c r="W176" s="249">
        <v>0.96789999999999998</v>
      </c>
      <c r="X176" s="249">
        <v>0.9677</v>
      </c>
      <c r="Y176" s="249">
        <v>0.96750000000000003</v>
      </c>
      <c r="Z176" s="249">
        <v>0.96730000000000005</v>
      </c>
      <c r="AA176" s="249">
        <v>0.96709999999999996</v>
      </c>
      <c r="AB176" s="249">
        <v>0.96689999999999998</v>
      </c>
      <c r="AC176" s="249">
        <v>0.9667</v>
      </c>
      <c r="AD176" s="249">
        <v>0.96650000000000003</v>
      </c>
      <c r="AE176" s="249">
        <v>0.96630000000000005</v>
      </c>
      <c r="AF176" s="249">
        <v>0.96609999999999996</v>
      </c>
      <c r="AG176" s="249">
        <v>0.96579999999999999</v>
      </c>
      <c r="AH176" s="249">
        <v>0.96560000000000001</v>
      </c>
      <c r="AI176" s="249">
        <v>0.96540000000000004</v>
      </c>
      <c r="AJ176" s="249">
        <v>0.96519999999999995</v>
      </c>
      <c r="AK176" s="249">
        <v>0.96499999999999997</v>
      </c>
      <c r="AL176" s="249">
        <v>0.96479999999999999</v>
      </c>
      <c r="AM176" s="249">
        <v>0.96460000000000001</v>
      </c>
      <c r="AN176" s="249">
        <v>0.96440000000000003</v>
      </c>
      <c r="AO176" s="249">
        <v>0.96419999999999995</v>
      </c>
      <c r="AP176" s="249">
        <v>0.96399999999999997</v>
      </c>
      <c r="AQ176" s="249">
        <v>0.9637</v>
      </c>
      <c r="AR176" s="249">
        <v>0.96350000000000002</v>
      </c>
      <c r="AS176" s="249">
        <v>0.96330000000000005</v>
      </c>
      <c r="AT176" s="249">
        <v>0.96309999999999996</v>
      </c>
      <c r="AU176" s="249">
        <v>0.96289999999999998</v>
      </c>
      <c r="AV176" s="249">
        <v>0.9627</v>
      </c>
      <c r="AW176" s="249">
        <v>0.96250000000000002</v>
      </c>
      <c r="AX176" s="249">
        <v>0.96220000000000006</v>
      </c>
      <c r="AY176" s="249">
        <v>0.96199999999999997</v>
      </c>
      <c r="AZ176" s="249">
        <v>0.96179999999999999</v>
      </c>
      <c r="BA176" s="251">
        <v>0.96160000000000001</v>
      </c>
    </row>
    <row r="177" spans="2:53" s="244" customFormat="1" ht="15.75" customHeight="1">
      <c r="B177" s="248">
        <v>132</v>
      </c>
      <c r="C177" s="249">
        <v>0.97160000000000002</v>
      </c>
      <c r="D177" s="249">
        <v>0.97140000000000004</v>
      </c>
      <c r="E177" s="249">
        <v>0.97119999999999995</v>
      </c>
      <c r="F177" s="249">
        <v>0.97099999999999997</v>
      </c>
      <c r="G177" s="249">
        <v>0.9708</v>
      </c>
      <c r="H177" s="249">
        <v>0.97060000000000002</v>
      </c>
      <c r="I177" s="249">
        <v>0.97040000000000004</v>
      </c>
      <c r="J177" s="249">
        <v>0.97019999999999995</v>
      </c>
      <c r="K177" s="249">
        <v>0.97</v>
      </c>
      <c r="L177" s="249">
        <v>0.9698</v>
      </c>
      <c r="M177" s="249">
        <v>0.96960000000000002</v>
      </c>
      <c r="N177" s="249">
        <v>0.96940000000000004</v>
      </c>
      <c r="O177" s="249">
        <v>0.96930000000000005</v>
      </c>
      <c r="P177" s="249">
        <v>0.96909999999999996</v>
      </c>
      <c r="Q177" s="249">
        <v>0.96889999999999998</v>
      </c>
      <c r="R177" s="249">
        <v>0.96870000000000001</v>
      </c>
      <c r="S177" s="249">
        <v>0.96850000000000003</v>
      </c>
      <c r="T177" s="249">
        <v>0.96830000000000005</v>
      </c>
      <c r="U177" s="249">
        <v>0.96809999999999996</v>
      </c>
      <c r="V177" s="249">
        <v>0.96789999999999998</v>
      </c>
      <c r="W177" s="249">
        <v>0.9677</v>
      </c>
      <c r="X177" s="249">
        <v>0.96750000000000003</v>
      </c>
      <c r="Y177" s="249">
        <v>0.96730000000000005</v>
      </c>
      <c r="Z177" s="249">
        <v>0.96709999999999996</v>
      </c>
      <c r="AA177" s="249">
        <v>0.96679999999999999</v>
      </c>
      <c r="AB177" s="249">
        <v>0.96660000000000001</v>
      </c>
      <c r="AC177" s="249">
        <v>0.96640000000000004</v>
      </c>
      <c r="AD177" s="249">
        <v>0.96619999999999995</v>
      </c>
      <c r="AE177" s="249">
        <v>0.96599999999999997</v>
      </c>
      <c r="AF177" s="249">
        <v>0.96579999999999999</v>
      </c>
      <c r="AG177" s="249">
        <v>0.96560000000000001</v>
      </c>
      <c r="AH177" s="249">
        <v>0.96540000000000004</v>
      </c>
      <c r="AI177" s="249">
        <v>0.96519999999999995</v>
      </c>
      <c r="AJ177" s="249">
        <v>0.96499999999999997</v>
      </c>
      <c r="AK177" s="249">
        <v>0.96479999999999999</v>
      </c>
      <c r="AL177" s="249">
        <v>0.96460000000000001</v>
      </c>
      <c r="AM177" s="249">
        <v>0.96430000000000005</v>
      </c>
      <c r="AN177" s="249">
        <v>0.96409999999999996</v>
      </c>
      <c r="AO177" s="249">
        <v>0.96389999999999998</v>
      </c>
      <c r="AP177" s="249">
        <v>0.9637</v>
      </c>
      <c r="AQ177" s="249">
        <v>0.96350000000000002</v>
      </c>
      <c r="AR177" s="249">
        <v>0.96330000000000005</v>
      </c>
      <c r="AS177" s="249">
        <v>0.96309999999999996</v>
      </c>
      <c r="AT177" s="249">
        <v>0.96279999999999999</v>
      </c>
      <c r="AU177" s="249">
        <v>0.96260000000000001</v>
      </c>
      <c r="AV177" s="249">
        <v>0.96240000000000003</v>
      </c>
      <c r="AW177" s="249">
        <v>0.96220000000000006</v>
      </c>
      <c r="AX177" s="249">
        <v>0.96199999999999997</v>
      </c>
      <c r="AY177" s="249">
        <v>0.96179999999999999</v>
      </c>
      <c r="AZ177" s="249">
        <v>0.96150000000000002</v>
      </c>
      <c r="BA177" s="251">
        <v>0.96130000000000004</v>
      </c>
    </row>
    <row r="178" spans="2:53" s="244" customFormat="1" ht="15.75" customHeight="1">
      <c r="B178" s="248">
        <v>132.5</v>
      </c>
      <c r="C178" s="249">
        <v>0.97140000000000004</v>
      </c>
      <c r="D178" s="249">
        <v>0.97119999999999995</v>
      </c>
      <c r="E178" s="249">
        <v>0.97099999999999997</v>
      </c>
      <c r="F178" s="249">
        <v>0.9708</v>
      </c>
      <c r="G178" s="249">
        <v>0.97060000000000002</v>
      </c>
      <c r="H178" s="249">
        <v>0.97040000000000004</v>
      </c>
      <c r="I178" s="249">
        <v>0.97019999999999995</v>
      </c>
      <c r="J178" s="249">
        <v>0.97</v>
      </c>
      <c r="K178" s="249">
        <v>0.9698</v>
      </c>
      <c r="L178" s="249">
        <v>0.96960000000000002</v>
      </c>
      <c r="M178" s="249">
        <v>0.96940000000000004</v>
      </c>
      <c r="N178" s="249">
        <v>0.96919999999999995</v>
      </c>
      <c r="O178" s="249">
        <v>0.96899999999999997</v>
      </c>
      <c r="P178" s="249">
        <v>0.96879999999999999</v>
      </c>
      <c r="Q178" s="249">
        <v>0.96860000000000002</v>
      </c>
      <c r="R178" s="249">
        <v>0.96840000000000004</v>
      </c>
      <c r="S178" s="249">
        <v>0.96819999999999995</v>
      </c>
      <c r="T178" s="249">
        <v>0.96799999999999997</v>
      </c>
      <c r="U178" s="249">
        <v>0.96779999999999999</v>
      </c>
      <c r="V178" s="249">
        <v>0.96760000000000002</v>
      </c>
      <c r="W178" s="249">
        <v>0.96740000000000004</v>
      </c>
      <c r="X178" s="249">
        <v>0.96719999999999995</v>
      </c>
      <c r="Y178" s="249">
        <v>0.96699999999999997</v>
      </c>
      <c r="Z178" s="249">
        <v>0.96679999999999999</v>
      </c>
      <c r="AA178" s="249">
        <v>0.96660000000000001</v>
      </c>
      <c r="AB178" s="249">
        <v>0.96640000000000004</v>
      </c>
      <c r="AC178" s="249">
        <v>0.96619999999999995</v>
      </c>
      <c r="AD178" s="249">
        <v>0.96599999999999997</v>
      </c>
      <c r="AE178" s="249">
        <v>0.96579999999999999</v>
      </c>
      <c r="AF178" s="249">
        <v>0.96560000000000001</v>
      </c>
      <c r="AG178" s="249">
        <v>0.96540000000000004</v>
      </c>
      <c r="AH178" s="249">
        <v>0.96519999999999995</v>
      </c>
      <c r="AI178" s="249">
        <v>0.96489999999999998</v>
      </c>
      <c r="AJ178" s="249">
        <v>0.9647</v>
      </c>
      <c r="AK178" s="249">
        <v>0.96450000000000002</v>
      </c>
      <c r="AL178" s="249">
        <v>0.96430000000000005</v>
      </c>
      <c r="AM178" s="249">
        <v>0.96409999999999996</v>
      </c>
      <c r="AN178" s="249">
        <v>0.96389999999999998</v>
      </c>
      <c r="AO178" s="249">
        <v>0.9637</v>
      </c>
      <c r="AP178" s="249">
        <v>0.96350000000000002</v>
      </c>
      <c r="AQ178" s="249">
        <v>0.96319999999999995</v>
      </c>
      <c r="AR178" s="249">
        <v>0.96299999999999997</v>
      </c>
      <c r="AS178" s="249">
        <v>0.96279999999999999</v>
      </c>
      <c r="AT178" s="249">
        <v>0.96260000000000001</v>
      </c>
      <c r="AU178" s="249">
        <v>0.96240000000000003</v>
      </c>
      <c r="AV178" s="249">
        <v>0.96209999999999996</v>
      </c>
      <c r="AW178" s="249">
        <v>0.96189999999999998</v>
      </c>
      <c r="AX178" s="249">
        <v>0.9617</v>
      </c>
      <c r="AY178" s="249">
        <v>0.96150000000000002</v>
      </c>
      <c r="AZ178" s="249">
        <v>0.96130000000000004</v>
      </c>
      <c r="BA178" s="251">
        <v>0.96099999999999997</v>
      </c>
    </row>
    <row r="179" spans="2:53" s="244" customFormat="1" ht="15.75" customHeight="1">
      <c r="B179" s="248">
        <v>133</v>
      </c>
      <c r="C179" s="249">
        <v>0.97119999999999995</v>
      </c>
      <c r="D179" s="249">
        <v>0.97099999999999997</v>
      </c>
      <c r="E179" s="249">
        <v>0.9708</v>
      </c>
      <c r="F179" s="249">
        <v>0.97060000000000002</v>
      </c>
      <c r="G179" s="249">
        <v>0.97040000000000004</v>
      </c>
      <c r="H179" s="249">
        <v>0.97019999999999995</v>
      </c>
      <c r="I179" s="249">
        <v>0.97</v>
      </c>
      <c r="J179" s="249">
        <v>0.9698</v>
      </c>
      <c r="K179" s="249">
        <v>0.96960000000000002</v>
      </c>
      <c r="L179" s="249">
        <v>0.96940000000000004</v>
      </c>
      <c r="M179" s="249">
        <v>0.96919999999999995</v>
      </c>
      <c r="N179" s="249">
        <v>0.96899999999999997</v>
      </c>
      <c r="O179" s="249">
        <v>0.96879999999999999</v>
      </c>
      <c r="P179" s="249">
        <v>0.96860000000000002</v>
      </c>
      <c r="Q179" s="249">
        <v>0.96840000000000004</v>
      </c>
      <c r="R179" s="249">
        <v>0.96819999999999995</v>
      </c>
      <c r="S179" s="249">
        <v>0.96799999999999997</v>
      </c>
      <c r="T179" s="249">
        <v>0.96779999999999999</v>
      </c>
      <c r="U179" s="249">
        <v>0.96760000000000002</v>
      </c>
      <c r="V179" s="249">
        <v>0.96740000000000004</v>
      </c>
      <c r="W179" s="249">
        <v>0.96719999999999995</v>
      </c>
      <c r="X179" s="249">
        <v>0.96699999999999997</v>
      </c>
      <c r="Y179" s="249">
        <v>0.96679999999999999</v>
      </c>
      <c r="Z179" s="249">
        <v>0.96660000000000001</v>
      </c>
      <c r="AA179" s="249">
        <v>0.96640000000000004</v>
      </c>
      <c r="AB179" s="249">
        <v>0.96619999999999995</v>
      </c>
      <c r="AC179" s="249">
        <v>0.96599999999999997</v>
      </c>
      <c r="AD179" s="249">
        <v>0.96579999999999999</v>
      </c>
      <c r="AE179" s="249">
        <v>0.96550000000000002</v>
      </c>
      <c r="AF179" s="249">
        <v>0.96530000000000005</v>
      </c>
      <c r="AG179" s="249">
        <v>0.96509999999999996</v>
      </c>
      <c r="AH179" s="249">
        <v>0.96489999999999998</v>
      </c>
      <c r="AI179" s="249">
        <v>0.9647</v>
      </c>
      <c r="AJ179" s="249">
        <v>0.96450000000000002</v>
      </c>
      <c r="AK179" s="249">
        <v>0.96430000000000005</v>
      </c>
      <c r="AL179" s="249">
        <v>0.96409999999999996</v>
      </c>
      <c r="AM179" s="249">
        <v>0.96379999999999999</v>
      </c>
      <c r="AN179" s="249">
        <v>0.96360000000000001</v>
      </c>
      <c r="AO179" s="249">
        <v>0.96340000000000003</v>
      </c>
      <c r="AP179" s="249">
        <v>0.96319999999999995</v>
      </c>
      <c r="AQ179" s="249">
        <v>0.96299999999999997</v>
      </c>
      <c r="AR179" s="249">
        <v>0.96279999999999999</v>
      </c>
      <c r="AS179" s="249">
        <v>0.96250000000000002</v>
      </c>
      <c r="AT179" s="249">
        <v>0.96230000000000004</v>
      </c>
      <c r="AU179" s="249">
        <v>0.96209999999999996</v>
      </c>
      <c r="AV179" s="249">
        <v>0.96189999999999998</v>
      </c>
      <c r="AW179" s="249">
        <v>0.9617</v>
      </c>
      <c r="AX179" s="249">
        <v>0.96140000000000003</v>
      </c>
      <c r="AY179" s="249">
        <v>0.96120000000000005</v>
      </c>
      <c r="AZ179" s="249">
        <v>0.96099999999999997</v>
      </c>
      <c r="BA179" s="251">
        <v>0.96079999999999999</v>
      </c>
    </row>
    <row r="180" spans="2:53" s="244" customFormat="1" ht="15.75" customHeight="1">
      <c r="B180" s="248">
        <v>133.5</v>
      </c>
      <c r="C180" s="249">
        <v>0.97099999999999997</v>
      </c>
      <c r="D180" s="249">
        <v>0.9708</v>
      </c>
      <c r="E180" s="249">
        <v>0.97060000000000002</v>
      </c>
      <c r="F180" s="249">
        <v>0.97040000000000004</v>
      </c>
      <c r="G180" s="249">
        <v>0.97019999999999995</v>
      </c>
      <c r="H180" s="249">
        <v>0.97</v>
      </c>
      <c r="I180" s="249">
        <v>0.9698</v>
      </c>
      <c r="J180" s="249">
        <v>0.96960000000000002</v>
      </c>
      <c r="K180" s="249">
        <v>0.96940000000000004</v>
      </c>
      <c r="L180" s="249">
        <v>0.96919999999999995</v>
      </c>
      <c r="M180" s="249">
        <v>0.96899999999999997</v>
      </c>
      <c r="N180" s="249">
        <v>0.96879999999999999</v>
      </c>
      <c r="O180" s="249">
        <v>0.96860000000000002</v>
      </c>
      <c r="P180" s="249">
        <v>0.96840000000000004</v>
      </c>
      <c r="Q180" s="249">
        <v>0.96819999999999995</v>
      </c>
      <c r="R180" s="249">
        <v>0.96799999999999997</v>
      </c>
      <c r="S180" s="249">
        <v>0.96779999999999999</v>
      </c>
      <c r="T180" s="249">
        <v>0.96760000000000002</v>
      </c>
      <c r="U180" s="249">
        <v>0.96740000000000004</v>
      </c>
      <c r="V180" s="249">
        <v>0.96719999999999995</v>
      </c>
      <c r="W180" s="249">
        <v>0.96699999999999997</v>
      </c>
      <c r="X180" s="249">
        <v>0.96679999999999999</v>
      </c>
      <c r="Y180" s="249">
        <v>0.96660000000000001</v>
      </c>
      <c r="Z180" s="249">
        <v>0.96640000000000004</v>
      </c>
      <c r="AA180" s="249">
        <v>0.96609999999999996</v>
      </c>
      <c r="AB180" s="249">
        <v>0.96589999999999998</v>
      </c>
      <c r="AC180" s="249">
        <v>0.9657</v>
      </c>
      <c r="AD180" s="249">
        <v>0.96550000000000002</v>
      </c>
      <c r="AE180" s="249">
        <v>0.96530000000000005</v>
      </c>
      <c r="AF180" s="249">
        <v>0.96509999999999996</v>
      </c>
      <c r="AG180" s="249">
        <v>0.96489999999999998</v>
      </c>
      <c r="AH180" s="249">
        <v>0.9647</v>
      </c>
      <c r="AI180" s="249">
        <v>0.96450000000000002</v>
      </c>
      <c r="AJ180" s="249">
        <v>0.96419999999999995</v>
      </c>
      <c r="AK180" s="249">
        <v>0.96399999999999997</v>
      </c>
      <c r="AL180" s="249">
        <v>0.96379999999999999</v>
      </c>
      <c r="AM180" s="249">
        <v>0.96360000000000001</v>
      </c>
      <c r="AN180" s="249">
        <v>0.96340000000000003</v>
      </c>
      <c r="AO180" s="249">
        <v>0.96319999999999995</v>
      </c>
      <c r="AP180" s="249">
        <v>0.96289999999999998</v>
      </c>
      <c r="AQ180" s="249">
        <v>0.9627</v>
      </c>
      <c r="AR180" s="249">
        <v>0.96250000000000002</v>
      </c>
      <c r="AS180" s="249">
        <v>0.96230000000000004</v>
      </c>
      <c r="AT180" s="249">
        <v>0.96209999999999996</v>
      </c>
      <c r="AU180" s="249">
        <v>0.96179999999999999</v>
      </c>
      <c r="AV180" s="249">
        <v>0.96160000000000001</v>
      </c>
      <c r="AW180" s="249">
        <v>0.96140000000000003</v>
      </c>
      <c r="AX180" s="249">
        <v>0.96120000000000005</v>
      </c>
      <c r="AY180" s="249">
        <v>0.96089999999999998</v>
      </c>
      <c r="AZ180" s="249">
        <v>0.9607</v>
      </c>
      <c r="BA180" s="251">
        <v>0.96050000000000002</v>
      </c>
    </row>
    <row r="181" spans="2:53" s="244" customFormat="1" ht="15.75" customHeight="1">
      <c r="B181" s="248">
        <v>134</v>
      </c>
      <c r="C181" s="249">
        <v>0.9708</v>
      </c>
      <c r="D181" s="249">
        <v>0.97060000000000002</v>
      </c>
      <c r="E181" s="249">
        <v>0.97040000000000004</v>
      </c>
      <c r="F181" s="249">
        <v>0.97019999999999995</v>
      </c>
      <c r="G181" s="249">
        <v>0.97</v>
      </c>
      <c r="H181" s="249">
        <v>0.9698</v>
      </c>
      <c r="I181" s="249">
        <v>0.96960000000000002</v>
      </c>
      <c r="J181" s="249">
        <v>0.96940000000000004</v>
      </c>
      <c r="K181" s="249">
        <v>0.96919999999999995</v>
      </c>
      <c r="L181" s="249">
        <v>0.96899999999999997</v>
      </c>
      <c r="M181" s="249">
        <v>0.96879999999999999</v>
      </c>
      <c r="N181" s="249">
        <v>0.96860000000000002</v>
      </c>
      <c r="O181" s="249">
        <v>0.96840000000000004</v>
      </c>
      <c r="P181" s="249">
        <v>0.96819999999999995</v>
      </c>
      <c r="Q181" s="249">
        <v>0.96799999999999997</v>
      </c>
      <c r="R181" s="249">
        <v>0.96779999999999999</v>
      </c>
      <c r="S181" s="249">
        <v>0.96760000000000002</v>
      </c>
      <c r="T181" s="249">
        <v>0.96740000000000004</v>
      </c>
      <c r="U181" s="249">
        <v>0.96719999999999995</v>
      </c>
      <c r="V181" s="249">
        <v>0.96699999999999997</v>
      </c>
      <c r="W181" s="249">
        <v>0.96679999999999999</v>
      </c>
      <c r="X181" s="249">
        <v>0.96650000000000003</v>
      </c>
      <c r="Y181" s="249">
        <v>0.96630000000000005</v>
      </c>
      <c r="Z181" s="249">
        <v>0.96609999999999996</v>
      </c>
      <c r="AA181" s="249">
        <v>0.96589999999999998</v>
      </c>
      <c r="AB181" s="249">
        <v>0.9657</v>
      </c>
      <c r="AC181" s="249">
        <v>0.96550000000000002</v>
      </c>
      <c r="AD181" s="249">
        <v>0.96530000000000005</v>
      </c>
      <c r="AE181" s="249">
        <v>0.96509999999999996</v>
      </c>
      <c r="AF181" s="249">
        <v>0.96489999999999998</v>
      </c>
      <c r="AG181" s="249">
        <v>0.96460000000000001</v>
      </c>
      <c r="AH181" s="249">
        <v>0.96440000000000003</v>
      </c>
      <c r="AI181" s="249">
        <v>0.96419999999999995</v>
      </c>
      <c r="AJ181" s="249">
        <v>0.96399999999999997</v>
      </c>
      <c r="AK181" s="249">
        <v>0.96379999999999999</v>
      </c>
      <c r="AL181" s="249">
        <v>0.96360000000000001</v>
      </c>
      <c r="AM181" s="249">
        <v>0.96330000000000005</v>
      </c>
      <c r="AN181" s="249">
        <v>0.96309999999999996</v>
      </c>
      <c r="AO181" s="249">
        <v>0.96289999999999998</v>
      </c>
      <c r="AP181" s="249">
        <v>0.9627</v>
      </c>
      <c r="AQ181" s="249">
        <v>0.96250000000000002</v>
      </c>
      <c r="AR181" s="249">
        <v>0.96220000000000006</v>
      </c>
      <c r="AS181" s="249">
        <v>0.96199999999999997</v>
      </c>
      <c r="AT181" s="249">
        <v>0.96179999999999999</v>
      </c>
      <c r="AU181" s="249">
        <v>0.96160000000000001</v>
      </c>
      <c r="AV181" s="249">
        <v>0.96140000000000003</v>
      </c>
      <c r="AW181" s="249">
        <v>0.96109999999999995</v>
      </c>
      <c r="AX181" s="249">
        <v>0.96089999999999998</v>
      </c>
      <c r="AY181" s="249">
        <v>0.9607</v>
      </c>
      <c r="AZ181" s="249">
        <v>0.96040000000000003</v>
      </c>
      <c r="BA181" s="251">
        <v>0.96020000000000005</v>
      </c>
    </row>
    <row r="182" spans="2:53" s="244" customFormat="1" ht="15.75" customHeight="1">
      <c r="B182" s="248">
        <v>134.5</v>
      </c>
      <c r="C182" s="249">
        <v>0.97060000000000002</v>
      </c>
      <c r="D182" s="249">
        <v>0.97040000000000004</v>
      </c>
      <c r="E182" s="249">
        <v>0.97019999999999995</v>
      </c>
      <c r="F182" s="249">
        <v>0.97</v>
      </c>
      <c r="G182" s="249">
        <v>0.9698</v>
      </c>
      <c r="H182" s="249">
        <v>0.96960000000000002</v>
      </c>
      <c r="I182" s="249">
        <v>0.96940000000000004</v>
      </c>
      <c r="J182" s="249">
        <v>0.96919999999999995</v>
      </c>
      <c r="K182" s="249">
        <v>0.96899999999999997</v>
      </c>
      <c r="L182" s="249">
        <v>0.96879999999999999</v>
      </c>
      <c r="M182" s="249">
        <v>0.96860000000000002</v>
      </c>
      <c r="N182" s="249">
        <v>0.96840000000000004</v>
      </c>
      <c r="O182" s="249">
        <v>0.96819999999999995</v>
      </c>
      <c r="P182" s="249">
        <v>0.96799999999999997</v>
      </c>
      <c r="Q182" s="249">
        <v>0.96779999999999999</v>
      </c>
      <c r="R182" s="249">
        <v>0.96760000000000002</v>
      </c>
      <c r="S182" s="249">
        <v>0.96740000000000004</v>
      </c>
      <c r="T182" s="249">
        <v>0.96709999999999996</v>
      </c>
      <c r="U182" s="249">
        <v>0.96689999999999998</v>
      </c>
      <c r="V182" s="249">
        <v>0.9667</v>
      </c>
      <c r="W182" s="249">
        <v>0.96650000000000003</v>
      </c>
      <c r="X182" s="249">
        <v>0.96630000000000005</v>
      </c>
      <c r="Y182" s="249">
        <v>0.96609999999999996</v>
      </c>
      <c r="Z182" s="249">
        <v>0.96589999999999998</v>
      </c>
      <c r="AA182" s="249">
        <v>0.9657</v>
      </c>
      <c r="AB182" s="249">
        <v>0.96550000000000002</v>
      </c>
      <c r="AC182" s="249">
        <v>0.96530000000000005</v>
      </c>
      <c r="AD182" s="249">
        <v>0.96499999999999997</v>
      </c>
      <c r="AE182" s="249">
        <v>0.96479999999999999</v>
      </c>
      <c r="AF182" s="249">
        <v>0.96460000000000001</v>
      </c>
      <c r="AG182" s="249">
        <v>0.96440000000000003</v>
      </c>
      <c r="AH182" s="249">
        <v>0.96419999999999995</v>
      </c>
      <c r="AI182" s="249">
        <v>0.96399999999999997</v>
      </c>
      <c r="AJ182" s="249">
        <v>0.9637</v>
      </c>
      <c r="AK182" s="249">
        <v>0.96350000000000002</v>
      </c>
      <c r="AL182" s="249">
        <v>0.96330000000000005</v>
      </c>
      <c r="AM182" s="249">
        <v>0.96309999999999996</v>
      </c>
      <c r="AN182" s="249">
        <v>0.96289999999999998</v>
      </c>
      <c r="AO182" s="249">
        <v>0.9627</v>
      </c>
      <c r="AP182" s="249">
        <v>0.96240000000000003</v>
      </c>
      <c r="AQ182" s="249">
        <v>0.96220000000000006</v>
      </c>
      <c r="AR182" s="249">
        <v>0.96199999999999997</v>
      </c>
      <c r="AS182" s="249">
        <v>0.96179999999999999</v>
      </c>
      <c r="AT182" s="249">
        <v>0.96150000000000002</v>
      </c>
      <c r="AU182" s="249">
        <v>0.96130000000000004</v>
      </c>
      <c r="AV182" s="249">
        <v>0.96109999999999995</v>
      </c>
      <c r="AW182" s="249">
        <v>0.96089999999999998</v>
      </c>
      <c r="AX182" s="249">
        <v>0.96060000000000001</v>
      </c>
      <c r="AY182" s="249">
        <v>0.96040000000000003</v>
      </c>
      <c r="AZ182" s="249">
        <v>0.96020000000000005</v>
      </c>
      <c r="BA182" s="251">
        <v>0.95989999999999998</v>
      </c>
    </row>
    <row r="183" spans="2:53" s="244" customFormat="1" ht="15.75" customHeight="1">
      <c r="B183" s="248">
        <v>135</v>
      </c>
      <c r="C183" s="249">
        <v>0.97040000000000004</v>
      </c>
      <c r="D183" s="249">
        <v>0.97019999999999995</v>
      </c>
      <c r="E183" s="249">
        <v>0.97</v>
      </c>
      <c r="F183" s="249">
        <v>0.9698</v>
      </c>
      <c r="G183" s="249">
        <v>0.96960000000000002</v>
      </c>
      <c r="H183" s="249">
        <v>0.96940000000000004</v>
      </c>
      <c r="I183" s="249">
        <v>0.96919999999999995</v>
      </c>
      <c r="J183" s="249">
        <v>0.96899999999999997</v>
      </c>
      <c r="K183" s="249">
        <v>0.96879999999999999</v>
      </c>
      <c r="L183" s="249">
        <v>0.96860000000000002</v>
      </c>
      <c r="M183" s="249">
        <v>0.96840000000000004</v>
      </c>
      <c r="N183" s="249">
        <v>0.96819999999999995</v>
      </c>
      <c r="O183" s="249">
        <v>0.96799999999999997</v>
      </c>
      <c r="P183" s="249">
        <v>0.96779999999999999</v>
      </c>
      <c r="Q183" s="249">
        <v>0.96760000000000002</v>
      </c>
      <c r="R183" s="249">
        <v>0.96730000000000005</v>
      </c>
      <c r="S183" s="249">
        <v>0.96709999999999996</v>
      </c>
      <c r="T183" s="249">
        <v>0.96689999999999998</v>
      </c>
      <c r="U183" s="249">
        <v>0.9667</v>
      </c>
      <c r="V183" s="249">
        <v>0.96650000000000003</v>
      </c>
      <c r="W183" s="249">
        <v>0.96630000000000005</v>
      </c>
      <c r="X183" s="249">
        <v>0.96609999999999996</v>
      </c>
      <c r="Y183" s="249">
        <v>0.96589999999999998</v>
      </c>
      <c r="Z183" s="249">
        <v>0.9657</v>
      </c>
      <c r="AA183" s="249">
        <v>0.96550000000000002</v>
      </c>
      <c r="AB183" s="249">
        <v>0.96519999999999995</v>
      </c>
      <c r="AC183" s="249">
        <v>0.96499999999999997</v>
      </c>
      <c r="AD183" s="249">
        <v>0.96479999999999999</v>
      </c>
      <c r="AE183" s="249">
        <v>0.96460000000000001</v>
      </c>
      <c r="AF183" s="249">
        <v>0.96440000000000003</v>
      </c>
      <c r="AG183" s="249">
        <v>0.96419999999999995</v>
      </c>
      <c r="AH183" s="249">
        <v>0.96389999999999998</v>
      </c>
      <c r="AI183" s="249">
        <v>0.9637</v>
      </c>
      <c r="AJ183" s="249">
        <v>0.96350000000000002</v>
      </c>
      <c r="AK183" s="249">
        <v>0.96330000000000005</v>
      </c>
      <c r="AL183" s="249">
        <v>0.96309999999999996</v>
      </c>
      <c r="AM183" s="249">
        <v>0.96279999999999999</v>
      </c>
      <c r="AN183" s="249">
        <v>0.96260000000000001</v>
      </c>
      <c r="AO183" s="249">
        <v>0.96240000000000003</v>
      </c>
      <c r="AP183" s="249">
        <v>0.96220000000000006</v>
      </c>
      <c r="AQ183" s="249">
        <v>0.96199999999999997</v>
      </c>
      <c r="AR183" s="249">
        <v>0.9617</v>
      </c>
      <c r="AS183" s="249">
        <v>0.96150000000000002</v>
      </c>
      <c r="AT183" s="249">
        <v>0.96130000000000004</v>
      </c>
      <c r="AU183" s="249">
        <v>0.96109999999999995</v>
      </c>
      <c r="AV183" s="249">
        <v>0.96079999999999999</v>
      </c>
      <c r="AW183" s="249">
        <v>0.96060000000000001</v>
      </c>
      <c r="AX183" s="249">
        <v>0.96040000000000003</v>
      </c>
      <c r="AY183" s="249">
        <v>0.96009999999999995</v>
      </c>
      <c r="AZ183" s="249">
        <v>0.95989999999999998</v>
      </c>
      <c r="BA183" s="251">
        <v>0.9597</v>
      </c>
    </row>
    <row r="184" spans="2:53" s="244" customFormat="1" ht="15.75" customHeight="1">
      <c r="B184" s="248">
        <v>135.5</v>
      </c>
      <c r="C184" s="249">
        <v>0.97019999999999995</v>
      </c>
      <c r="D184" s="249">
        <v>0.97</v>
      </c>
      <c r="E184" s="249">
        <v>0.9698</v>
      </c>
      <c r="F184" s="249">
        <v>0.96960000000000002</v>
      </c>
      <c r="G184" s="249">
        <v>0.96940000000000004</v>
      </c>
      <c r="H184" s="249">
        <v>0.96919999999999995</v>
      </c>
      <c r="I184" s="249">
        <v>0.96899999999999997</v>
      </c>
      <c r="J184" s="249">
        <v>0.96879999999999999</v>
      </c>
      <c r="K184" s="249">
        <v>0.96860000000000002</v>
      </c>
      <c r="L184" s="249">
        <v>0.96840000000000004</v>
      </c>
      <c r="M184" s="249">
        <v>0.96819999999999995</v>
      </c>
      <c r="N184" s="249">
        <v>0.96789999999999998</v>
      </c>
      <c r="O184" s="249">
        <v>0.9677</v>
      </c>
      <c r="P184" s="249">
        <v>0.96750000000000003</v>
      </c>
      <c r="Q184" s="249">
        <v>0.96730000000000005</v>
      </c>
      <c r="R184" s="249">
        <v>0.96709999999999996</v>
      </c>
      <c r="S184" s="249">
        <v>0.96689999999999998</v>
      </c>
      <c r="T184" s="249">
        <v>0.9667</v>
      </c>
      <c r="U184" s="249">
        <v>0.96650000000000003</v>
      </c>
      <c r="V184" s="249">
        <v>0.96630000000000005</v>
      </c>
      <c r="W184" s="249">
        <v>0.96609999999999996</v>
      </c>
      <c r="X184" s="249">
        <v>0.96589999999999998</v>
      </c>
      <c r="Y184" s="249">
        <v>0.96560000000000001</v>
      </c>
      <c r="Z184" s="249">
        <v>0.96540000000000004</v>
      </c>
      <c r="AA184" s="249">
        <v>0.96519999999999995</v>
      </c>
      <c r="AB184" s="249">
        <v>0.96499999999999997</v>
      </c>
      <c r="AC184" s="249">
        <v>0.96479999999999999</v>
      </c>
      <c r="AD184" s="249">
        <v>0.96460000000000001</v>
      </c>
      <c r="AE184" s="249">
        <v>0.96440000000000003</v>
      </c>
      <c r="AF184" s="249">
        <v>0.96409999999999996</v>
      </c>
      <c r="AG184" s="249">
        <v>0.96389999999999998</v>
      </c>
      <c r="AH184" s="249">
        <v>0.9637</v>
      </c>
      <c r="AI184" s="249">
        <v>0.96350000000000002</v>
      </c>
      <c r="AJ184" s="249">
        <v>0.96330000000000005</v>
      </c>
      <c r="AK184" s="249">
        <v>0.96299999999999997</v>
      </c>
      <c r="AL184" s="249">
        <v>0.96279999999999999</v>
      </c>
      <c r="AM184" s="249">
        <v>0.96260000000000001</v>
      </c>
      <c r="AN184" s="249">
        <v>0.96240000000000003</v>
      </c>
      <c r="AO184" s="249">
        <v>0.96209999999999996</v>
      </c>
      <c r="AP184" s="249">
        <v>0.96189999999999998</v>
      </c>
      <c r="AQ184" s="249">
        <v>0.9617</v>
      </c>
      <c r="AR184" s="249">
        <v>0.96150000000000002</v>
      </c>
      <c r="AS184" s="249">
        <v>0.96120000000000005</v>
      </c>
      <c r="AT184" s="249">
        <v>0.96099999999999997</v>
      </c>
      <c r="AU184" s="249">
        <v>0.96079999999999999</v>
      </c>
      <c r="AV184" s="249">
        <v>0.96060000000000001</v>
      </c>
      <c r="AW184" s="249">
        <v>0.96030000000000004</v>
      </c>
      <c r="AX184" s="249">
        <v>0.96009999999999995</v>
      </c>
      <c r="AY184" s="249">
        <v>0.95989999999999998</v>
      </c>
      <c r="AZ184" s="249">
        <v>0.95960000000000001</v>
      </c>
      <c r="BA184" s="251">
        <v>0.95940000000000003</v>
      </c>
    </row>
    <row r="185" spans="2:53" s="244" customFormat="1" ht="15.75" customHeight="1">
      <c r="B185" s="248">
        <v>136</v>
      </c>
      <c r="C185" s="249">
        <v>0.97</v>
      </c>
      <c r="D185" s="249">
        <v>0.9698</v>
      </c>
      <c r="E185" s="249">
        <v>0.96960000000000002</v>
      </c>
      <c r="F185" s="249">
        <v>0.96940000000000004</v>
      </c>
      <c r="G185" s="249">
        <v>0.96919999999999995</v>
      </c>
      <c r="H185" s="249">
        <v>0.96899999999999997</v>
      </c>
      <c r="I185" s="249">
        <v>0.96879999999999999</v>
      </c>
      <c r="J185" s="249">
        <v>0.96860000000000002</v>
      </c>
      <c r="K185" s="249">
        <v>0.96840000000000004</v>
      </c>
      <c r="L185" s="249">
        <v>0.96819999999999995</v>
      </c>
      <c r="M185" s="249">
        <v>0.96789999999999998</v>
      </c>
      <c r="N185" s="249">
        <v>0.9677</v>
      </c>
      <c r="O185" s="249">
        <v>0.96750000000000003</v>
      </c>
      <c r="P185" s="249">
        <v>0.96730000000000005</v>
      </c>
      <c r="Q185" s="249">
        <v>0.96709999999999996</v>
      </c>
      <c r="R185" s="249">
        <v>0.96689999999999998</v>
      </c>
      <c r="S185" s="249">
        <v>0.9667</v>
      </c>
      <c r="T185" s="249">
        <v>0.96650000000000003</v>
      </c>
      <c r="U185" s="249">
        <v>0.96630000000000005</v>
      </c>
      <c r="V185" s="249">
        <v>0.96609999999999996</v>
      </c>
      <c r="W185" s="249">
        <v>0.96579999999999999</v>
      </c>
      <c r="X185" s="249">
        <v>0.96560000000000001</v>
      </c>
      <c r="Y185" s="249">
        <v>0.96540000000000004</v>
      </c>
      <c r="Z185" s="249">
        <v>0.96519999999999995</v>
      </c>
      <c r="AA185" s="249">
        <v>0.96499999999999997</v>
      </c>
      <c r="AB185" s="249">
        <v>0.96479999999999999</v>
      </c>
      <c r="AC185" s="249">
        <v>0.96460000000000001</v>
      </c>
      <c r="AD185" s="249">
        <v>0.96430000000000005</v>
      </c>
      <c r="AE185" s="249">
        <v>0.96409999999999996</v>
      </c>
      <c r="AF185" s="249">
        <v>0.96389999999999998</v>
      </c>
      <c r="AG185" s="249">
        <v>0.9637</v>
      </c>
      <c r="AH185" s="249">
        <v>0.96350000000000002</v>
      </c>
      <c r="AI185" s="249">
        <v>0.96319999999999995</v>
      </c>
      <c r="AJ185" s="249">
        <v>0.96299999999999997</v>
      </c>
      <c r="AK185" s="249">
        <v>0.96279999999999999</v>
      </c>
      <c r="AL185" s="249">
        <v>0.96260000000000001</v>
      </c>
      <c r="AM185" s="249">
        <v>0.96230000000000004</v>
      </c>
      <c r="AN185" s="249">
        <v>0.96209999999999996</v>
      </c>
      <c r="AO185" s="249">
        <v>0.96189999999999998</v>
      </c>
      <c r="AP185" s="249">
        <v>0.9617</v>
      </c>
      <c r="AQ185" s="249">
        <v>0.96140000000000003</v>
      </c>
      <c r="AR185" s="249">
        <v>0.96120000000000005</v>
      </c>
      <c r="AS185" s="249">
        <v>0.96099999999999997</v>
      </c>
      <c r="AT185" s="249">
        <v>0.96079999999999999</v>
      </c>
      <c r="AU185" s="249">
        <v>0.96050000000000002</v>
      </c>
      <c r="AV185" s="249">
        <v>0.96030000000000004</v>
      </c>
      <c r="AW185" s="249">
        <v>0.96009999999999995</v>
      </c>
      <c r="AX185" s="249">
        <v>0.95979999999999999</v>
      </c>
      <c r="AY185" s="249">
        <v>0.95960000000000001</v>
      </c>
      <c r="AZ185" s="249">
        <v>0.95940000000000003</v>
      </c>
      <c r="BA185" s="251">
        <v>0.95909999999999995</v>
      </c>
    </row>
    <row r="186" spans="2:53" s="244" customFormat="1" ht="15.75" customHeight="1">
      <c r="B186" s="248">
        <v>136.5</v>
      </c>
      <c r="C186" s="249">
        <v>0.9698</v>
      </c>
      <c r="D186" s="249">
        <v>0.96960000000000002</v>
      </c>
      <c r="E186" s="249">
        <v>0.96940000000000004</v>
      </c>
      <c r="F186" s="249">
        <v>0.96919999999999995</v>
      </c>
      <c r="G186" s="249">
        <v>0.96899999999999997</v>
      </c>
      <c r="H186" s="249">
        <v>0.96879999999999999</v>
      </c>
      <c r="I186" s="249">
        <v>0.96860000000000002</v>
      </c>
      <c r="J186" s="249">
        <v>0.96840000000000004</v>
      </c>
      <c r="K186" s="249">
        <v>0.96809999999999996</v>
      </c>
      <c r="L186" s="249">
        <v>0.96789999999999998</v>
      </c>
      <c r="M186" s="249">
        <v>0.9677</v>
      </c>
      <c r="N186" s="249">
        <v>0.96750000000000003</v>
      </c>
      <c r="O186" s="249">
        <v>0.96730000000000005</v>
      </c>
      <c r="P186" s="249">
        <v>0.96709999999999996</v>
      </c>
      <c r="Q186" s="249">
        <v>0.96689999999999998</v>
      </c>
      <c r="R186" s="249">
        <v>0.9667</v>
      </c>
      <c r="S186" s="249">
        <v>0.96650000000000003</v>
      </c>
      <c r="T186" s="249">
        <v>0.96630000000000005</v>
      </c>
      <c r="U186" s="249">
        <v>0.96599999999999997</v>
      </c>
      <c r="V186" s="249">
        <v>0.96579999999999999</v>
      </c>
      <c r="W186" s="249">
        <v>0.96560000000000001</v>
      </c>
      <c r="X186" s="249">
        <v>0.96540000000000004</v>
      </c>
      <c r="Y186" s="249">
        <v>0.96519999999999995</v>
      </c>
      <c r="Z186" s="249">
        <v>0.96499999999999997</v>
      </c>
      <c r="AA186" s="249">
        <v>0.96479999999999999</v>
      </c>
      <c r="AB186" s="249">
        <v>0.96450000000000002</v>
      </c>
      <c r="AC186" s="249">
        <v>0.96430000000000005</v>
      </c>
      <c r="AD186" s="249">
        <v>0.96409999999999996</v>
      </c>
      <c r="AE186" s="249">
        <v>0.96389999999999998</v>
      </c>
      <c r="AF186" s="249">
        <v>0.9637</v>
      </c>
      <c r="AG186" s="249">
        <v>0.96340000000000003</v>
      </c>
      <c r="AH186" s="249">
        <v>0.96319999999999995</v>
      </c>
      <c r="AI186" s="249">
        <v>0.96299999999999997</v>
      </c>
      <c r="AJ186" s="249">
        <v>0.96279999999999999</v>
      </c>
      <c r="AK186" s="249">
        <v>0.96250000000000002</v>
      </c>
      <c r="AL186" s="249">
        <v>0.96230000000000004</v>
      </c>
      <c r="AM186" s="249">
        <v>0.96209999999999996</v>
      </c>
      <c r="AN186" s="249">
        <v>0.96189999999999998</v>
      </c>
      <c r="AO186" s="249">
        <v>0.96160000000000001</v>
      </c>
      <c r="AP186" s="249">
        <v>0.96140000000000003</v>
      </c>
      <c r="AQ186" s="249">
        <v>0.96120000000000005</v>
      </c>
      <c r="AR186" s="249">
        <v>0.96099999999999997</v>
      </c>
      <c r="AS186" s="249">
        <v>0.9607</v>
      </c>
      <c r="AT186" s="249">
        <v>0.96050000000000002</v>
      </c>
      <c r="AU186" s="249">
        <v>0.96030000000000004</v>
      </c>
      <c r="AV186" s="249">
        <v>0.96</v>
      </c>
      <c r="AW186" s="249">
        <v>0.95979999999999999</v>
      </c>
      <c r="AX186" s="249">
        <v>0.95960000000000001</v>
      </c>
      <c r="AY186" s="249">
        <v>0.95930000000000004</v>
      </c>
      <c r="AZ186" s="249">
        <v>0.95909999999999995</v>
      </c>
      <c r="BA186" s="251">
        <v>0.95889999999999997</v>
      </c>
    </row>
    <row r="187" spans="2:53" s="244" customFormat="1" ht="15.75" customHeight="1">
      <c r="B187" s="248">
        <v>137</v>
      </c>
      <c r="C187" s="249">
        <v>0.96960000000000002</v>
      </c>
      <c r="D187" s="249">
        <v>0.96940000000000004</v>
      </c>
      <c r="E187" s="249">
        <v>0.96919999999999995</v>
      </c>
      <c r="F187" s="249">
        <v>0.96899999999999997</v>
      </c>
      <c r="G187" s="249">
        <v>0.96879999999999999</v>
      </c>
      <c r="H187" s="249">
        <v>0.96860000000000002</v>
      </c>
      <c r="I187" s="249">
        <v>0.96830000000000005</v>
      </c>
      <c r="J187" s="249">
        <v>0.96809999999999996</v>
      </c>
      <c r="K187" s="249">
        <v>0.96789999999999998</v>
      </c>
      <c r="L187" s="249">
        <v>0.9677</v>
      </c>
      <c r="M187" s="249">
        <v>0.96750000000000003</v>
      </c>
      <c r="N187" s="249">
        <v>0.96730000000000005</v>
      </c>
      <c r="O187" s="249">
        <v>0.96709999999999996</v>
      </c>
      <c r="P187" s="249">
        <v>0.96689999999999998</v>
      </c>
      <c r="Q187" s="249">
        <v>0.9667</v>
      </c>
      <c r="R187" s="249">
        <v>0.96650000000000003</v>
      </c>
      <c r="S187" s="249">
        <v>0.96619999999999995</v>
      </c>
      <c r="T187" s="249">
        <v>0.96599999999999997</v>
      </c>
      <c r="U187" s="249">
        <v>0.96579999999999999</v>
      </c>
      <c r="V187" s="249">
        <v>0.96560000000000001</v>
      </c>
      <c r="W187" s="249">
        <v>0.96540000000000004</v>
      </c>
      <c r="X187" s="249">
        <v>0.96519999999999995</v>
      </c>
      <c r="Y187" s="249">
        <v>0.96499999999999997</v>
      </c>
      <c r="Z187" s="249">
        <v>0.9647</v>
      </c>
      <c r="AA187" s="249">
        <v>0.96450000000000002</v>
      </c>
      <c r="AB187" s="249">
        <v>0.96430000000000005</v>
      </c>
      <c r="AC187" s="249">
        <v>0.96409999999999996</v>
      </c>
      <c r="AD187" s="249">
        <v>0.96389999999999998</v>
      </c>
      <c r="AE187" s="249">
        <v>0.96360000000000001</v>
      </c>
      <c r="AF187" s="249">
        <v>0.96340000000000003</v>
      </c>
      <c r="AG187" s="249">
        <v>0.96319999999999995</v>
      </c>
      <c r="AH187" s="249">
        <v>0.96299999999999997</v>
      </c>
      <c r="AI187" s="249">
        <v>0.9627</v>
      </c>
      <c r="AJ187" s="249">
        <v>0.96250000000000002</v>
      </c>
      <c r="AK187" s="249">
        <v>0.96230000000000004</v>
      </c>
      <c r="AL187" s="249">
        <v>0.96209999999999996</v>
      </c>
      <c r="AM187" s="249">
        <v>0.96179999999999999</v>
      </c>
      <c r="AN187" s="249">
        <v>0.96160000000000001</v>
      </c>
      <c r="AO187" s="249">
        <v>0.96140000000000003</v>
      </c>
      <c r="AP187" s="249">
        <v>0.96120000000000005</v>
      </c>
      <c r="AQ187" s="249">
        <v>0.96089999999999998</v>
      </c>
      <c r="AR187" s="249">
        <v>0.9607</v>
      </c>
      <c r="AS187" s="249">
        <v>0.96050000000000002</v>
      </c>
      <c r="AT187" s="249">
        <v>0.96020000000000005</v>
      </c>
      <c r="AU187" s="249">
        <v>0.96</v>
      </c>
      <c r="AV187" s="249">
        <v>0.95979999999999999</v>
      </c>
      <c r="AW187" s="249">
        <v>0.95950000000000002</v>
      </c>
      <c r="AX187" s="249">
        <v>0.95930000000000004</v>
      </c>
      <c r="AY187" s="249">
        <v>0.95909999999999995</v>
      </c>
      <c r="AZ187" s="249">
        <v>0.95879999999999999</v>
      </c>
      <c r="BA187" s="251">
        <v>0.95860000000000001</v>
      </c>
    </row>
    <row r="188" spans="2:53" s="244" customFormat="1" ht="15.75" customHeight="1">
      <c r="B188" s="248">
        <v>137.5</v>
      </c>
      <c r="C188" s="249">
        <v>0.96940000000000004</v>
      </c>
      <c r="D188" s="249">
        <v>0.96919999999999995</v>
      </c>
      <c r="E188" s="249">
        <v>0.96899999999999997</v>
      </c>
      <c r="F188" s="249">
        <v>0.96879999999999999</v>
      </c>
      <c r="G188" s="249">
        <v>0.96860000000000002</v>
      </c>
      <c r="H188" s="249">
        <v>0.96840000000000004</v>
      </c>
      <c r="I188" s="249">
        <v>0.96809999999999996</v>
      </c>
      <c r="J188" s="249">
        <v>0.96789999999999998</v>
      </c>
      <c r="K188" s="249">
        <v>0.9677</v>
      </c>
      <c r="L188" s="249">
        <v>0.96750000000000003</v>
      </c>
      <c r="M188" s="249">
        <v>0.96730000000000005</v>
      </c>
      <c r="N188" s="249">
        <v>0.96709999999999996</v>
      </c>
      <c r="O188" s="249">
        <v>0.96689999999999998</v>
      </c>
      <c r="P188" s="249">
        <v>0.9667</v>
      </c>
      <c r="Q188" s="249">
        <v>0.96650000000000003</v>
      </c>
      <c r="R188" s="249">
        <v>0.96619999999999995</v>
      </c>
      <c r="S188" s="249">
        <v>0.96599999999999997</v>
      </c>
      <c r="T188" s="249">
        <v>0.96579999999999999</v>
      </c>
      <c r="U188" s="249">
        <v>0.96560000000000001</v>
      </c>
      <c r="V188" s="249">
        <v>0.96540000000000004</v>
      </c>
      <c r="W188" s="249">
        <v>0.96519999999999995</v>
      </c>
      <c r="X188" s="249">
        <v>0.96489999999999998</v>
      </c>
      <c r="Y188" s="249">
        <v>0.9647</v>
      </c>
      <c r="Z188" s="249">
        <v>0.96450000000000002</v>
      </c>
      <c r="AA188" s="249">
        <v>0.96430000000000005</v>
      </c>
      <c r="AB188" s="249">
        <v>0.96409999999999996</v>
      </c>
      <c r="AC188" s="249">
        <v>0.96379999999999999</v>
      </c>
      <c r="AD188" s="249">
        <v>0.96360000000000001</v>
      </c>
      <c r="AE188" s="249">
        <v>0.96340000000000003</v>
      </c>
      <c r="AF188" s="249">
        <v>0.96319999999999995</v>
      </c>
      <c r="AG188" s="249">
        <v>0.96299999999999997</v>
      </c>
      <c r="AH188" s="249">
        <v>0.9627</v>
      </c>
      <c r="AI188" s="249">
        <v>0.96250000000000002</v>
      </c>
      <c r="AJ188" s="249">
        <v>0.96230000000000004</v>
      </c>
      <c r="AK188" s="249">
        <v>0.96209999999999996</v>
      </c>
      <c r="AL188" s="249">
        <v>0.96179999999999999</v>
      </c>
      <c r="AM188" s="249">
        <v>0.96160000000000001</v>
      </c>
      <c r="AN188" s="249">
        <v>0.96140000000000003</v>
      </c>
      <c r="AO188" s="249">
        <v>0.96109999999999995</v>
      </c>
      <c r="AP188" s="249">
        <v>0.96089999999999998</v>
      </c>
      <c r="AQ188" s="249">
        <v>0.9607</v>
      </c>
      <c r="AR188" s="249">
        <v>0.96040000000000003</v>
      </c>
      <c r="AS188" s="249">
        <v>0.96020000000000005</v>
      </c>
      <c r="AT188" s="249">
        <v>0.96</v>
      </c>
      <c r="AU188" s="249">
        <v>0.9597</v>
      </c>
      <c r="AV188" s="249">
        <v>0.95950000000000002</v>
      </c>
      <c r="AW188" s="249">
        <v>0.95930000000000004</v>
      </c>
      <c r="AX188" s="249">
        <v>0.95899999999999996</v>
      </c>
      <c r="AY188" s="249">
        <v>0.95879999999999999</v>
      </c>
      <c r="AZ188" s="249">
        <v>0.95860000000000001</v>
      </c>
      <c r="BA188" s="251">
        <v>0.95830000000000004</v>
      </c>
    </row>
    <row r="189" spans="2:53" s="244" customFormat="1" ht="15.75" customHeight="1">
      <c r="B189" s="248">
        <v>138</v>
      </c>
      <c r="C189" s="249">
        <v>0.96919999999999995</v>
      </c>
      <c r="D189" s="249">
        <v>0.96899999999999997</v>
      </c>
      <c r="E189" s="249">
        <v>0.96879999999999999</v>
      </c>
      <c r="F189" s="249">
        <v>0.96860000000000002</v>
      </c>
      <c r="G189" s="249">
        <v>0.96840000000000004</v>
      </c>
      <c r="H189" s="249">
        <v>0.96809999999999996</v>
      </c>
      <c r="I189" s="249">
        <v>0.96789999999999998</v>
      </c>
      <c r="J189" s="249">
        <v>0.9677</v>
      </c>
      <c r="K189" s="249">
        <v>0.96750000000000003</v>
      </c>
      <c r="L189" s="249">
        <v>0.96730000000000005</v>
      </c>
      <c r="M189" s="249">
        <v>0.96709999999999996</v>
      </c>
      <c r="N189" s="249">
        <v>0.96689999999999998</v>
      </c>
      <c r="O189" s="249">
        <v>0.9667</v>
      </c>
      <c r="P189" s="249">
        <v>0.96650000000000003</v>
      </c>
      <c r="Q189" s="249">
        <v>0.96619999999999995</v>
      </c>
      <c r="R189" s="249">
        <v>0.96599999999999997</v>
      </c>
      <c r="S189" s="249">
        <v>0.96579999999999999</v>
      </c>
      <c r="T189" s="249">
        <v>0.96560000000000001</v>
      </c>
      <c r="U189" s="249">
        <v>0.96540000000000004</v>
      </c>
      <c r="V189" s="249">
        <v>0.96519999999999995</v>
      </c>
      <c r="W189" s="249">
        <v>0.96489999999999998</v>
      </c>
      <c r="X189" s="249">
        <v>0.9647</v>
      </c>
      <c r="Y189" s="249">
        <v>0.96450000000000002</v>
      </c>
      <c r="Z189" s="249">
        <v>0.96430000000000005</v>
      </c>
      <c r="AA189" s="249">
        <v>0.96409999999999996</v>
      </c>
      <c r="AB189" s="249">
        <v>0.96379999999999999</v>
      </c>
      <c r="AC189" s="249">
        <v>0.96360000000000001</v>
      </c>
      <c r="AD189" s="249">
        <v>0.96340000000000003</v>
      </c>
      <c r="AE189" s="249">
        <v>0.96319999999999995</v>
      </c>
      <c r="AF189" s="249">
        <v>0.96289999999999998</v>
      </c>
      <c r="AG189" s="249">
        <v>0.9627</v>
      </c>
      <c r="AH189" s="249">
        <v>0.96250000000000002</v>
      </c>
      <c r="AI189" s="249">
        <v>0.96230000000000004</v>
      </c>
      <c r="AJ189" s="249">
        <v>0.96199999999999997</v>
      </c>
      <c r="AK189" s="249">
        <v>0.96179999999999999</v>
      </c>
      <c r="AL189" s="249">
        <v>0.96160000000000001</v>
      </c>
      <c r="AM189" s="249">
        <v>0.96130000000000004</v>
      </c>
      <c r="AN189" s="249">
        <v>0.96109999999999995</v>
      </c>
      <c r="AO189" s="249">
        <v>0.96089999999999998</v>
      </c>
      <c r="AP189" s="249">
        <v>0.9607</v>
      </c>
      <c r="AQ189" s="249">
        <v>0.96040000000000003</v>
      </c>
      <c r="AR189" s="249">
        <v>0.96020000000000005</v>
      </c>
      <c r="AS189" s="249">
        <v>0.96</v>
      </c>
      <c r="AT189" s="249">
        <v>0.9597</v>
      </c>
      <c r="AU189" s="249">
        <v>0.95950000000000002</v>
      </c>
      <c r="AV189" s="249">
        <v>0.95920000000000005</v>
      </c>
      <c r="AW189" s="249">
        <v>0.95899999999999996</v>
      </c>
      <c r="AX189" s="249">
        <v>0.95879999999999999</v>
      </c>
      <c r="AY189" s="249">
        <v>0.95850000000000002</v>
      </c>
      <c r="AZ189" s="249">
        <v>0.95830000000000004</v>
      </c>
      <c r="BA189" s="251">
        <v>0.95799999999999996</v>
      </c>
    </row>
    <row r="190" spans="2:53" s="244" customFormat="1" ht="15.75" customHeight="1">
      <c r="B190" s="248">
        <v>138.5</v>
      </c>
      <c r="C190" s="249">
        <v>0.96899999999999997</v>
      </c>
      <c r="D190" s="249">
        <v>0.96879999999999999</v>
      </c>
      <c r="E190" s="249">
        <v>0.96860000000000002</v>
      </c>
      <c r="F190" s="249">
        <v>0.96840000000000004</v>
      </c>
      <c r="G190" s="249">
        <v>0.96809999999999996</v>
      </c>
      <c r="H190" s="249">
        <v>0.96789999999999998</v>
      </c>
      <c r="I190" s="249">
        <v>0.9677</v>
      </c>
      <c r="J190" s="249">
        <v>0.96750000000000003</v>
      </c>
      <c r="K190" s="249">
        <v>0.96730000000000005</v>
      </c>
      <c r="L190" s="249">
        <v>0.96709999999999996</v>
      </c>
      <c r="M190" s="249">
        <v>0.96689999999999998</v>
      </c>
      <c r="N190" s="249">
        <v>0.9667</v>
      </c>
      <c r="O190" s="249">
        <v>0.96650000000000003</v>
      </c>
      <c r="P190" s="249">
        <v>0.96619999999999995</v>
      </c>
      <c r="Q190" s="249">
        <v>0.96599999999999997</v>
      </c>
      <c r="R190" s="249">
        <v>0.96579999999999999</v>
      </c>
      <c r="S190" s="249">
        <v>0.96560000000000001</v>
      </c>
      <c r="T190" s="249">
        <v>0.96540000000000004</v>
      </c>
      <c r="U190" s="249">
        <v>0.96519999999999995</v>
      </c>
      <c r="V190" s="249">
        <v>0.96489999999999998</v>
      </c>
      <c r="W190" s="249">
        <v>0.9647</v>
      </c>
      <c r="X190" s="249">
        <v>0.96450000000000002</v>
      </c>
      <c r="Y190" s="249">
        <v>0.96430000000000005</v>
      </c>
      <c r="Z190" s="249">
        <v>0.96399999999999997</v>
      </c>
      <c r="AA190" s="249">
        <v>0.96379999999999999</v>
      </c>
      <c r="AB190" s="249">
        <v>0.96360000000000001</v>
      </c>
      <c r="AC190" s="249">
        <v>0.96340000000000003</v>
      </c>
      <c r="AD190" s="249">
        <v>0.96319999999999995</v>
      </c>
      <c r="AE190" s="249">
        <v>0.96289999999999998</v>
      </c>
      <c r="AF190" s="249">
        <v>0.9627</v>
      </c>
      <c r="AG190" s="249">
        <v>0.96250000000000002</v>
      </c>
      <c r="AH190" s="249">
        <v>0.96220000000000006</v>
      </c>
      <c r="AI190" s="249">
        <v>0.96199999999999997</v>
      </c>
      <c r="AJ190" s="249">
        <v>0.96179999999999999</v>
      </c>
      <c r="AK190" s="249">
        <v>0.96160000000000001</v>
      </c>
      <c r="AL190" s="249">
        <v>0.96130000000000004</v>
      </c>
      <c r="AM190" s="249">
        <v>0.96109999999999995</v>
      </c>
      <c r="AN190" s="249">
        <v>0.96089999999999998</v>
      </c>
      <c r="AO190" s="249">
        <v>0.96060000000000001</v>
      </c>
      <c r="AP190" s="249">
        <v>0.96040000000000003</v>
      </c>
      <c r="AQ190" s="249">
        <v>0.96020000000000005</v>
      </c>
      <c r="AR190" s="249">
        <v>0.95989999999999998</v>
      </c>
      <c r="AS190" s="249">
        <v>0.9597</v>
      </c>
      <c r="AT190" s="249">
        <v>0.95950000000000002</v>
      </c>
      <c r="AU190" s="249">
        <v>0.95920000000000005</v>
      </c>
      <c r="AV190" s="249">
        <v>0.95899999999999996</v>
      </c>
      <c r="AW190" s="249">
        <v>0.9587</v>
      </c>
      <c r="AX190" s="249">
        <v>0.95850000000000002</v>
      </c>
      <c r="AY190" s="249">
        <v>0.95830000000000004</v>
      </c>
      <c r="AZ190" s="249">
        <v>0.95799999999999996</v>
      </c>
      <c r="BA190" s="251">
        <v>0.95779999999999998</v>
      </c>
    </row>
    <row r="191" spans="2:53" s="244" customFormat="1" ht="15.75" customHeight="1">
      <c r="B191" s="248">
        <v>139</v>
      </c>
      <c r="C191" s="249">
        <v>0.96879999999999999</v>
      </c>
      <c r="D191" s="249">
        <v>0.96860000000000002</v>
      </c>
      <c r="E191" s="249">
        <v>0.96840000000000004</v>
      </c>
      <c r="F191" s="249">
        <v>0.96819999999999995</v>
      </c>
      <c r="G191" s="249">
        <v>0.96789999999999998</v>
      </c>
      <c r="H191" s="249">
        <v>0.9677</v>
      </c>
      <c r="I191" s="249">
        <v>0.96750000000000003</v>
      </c>
      <c r="J191" s="249">
        <v>0.96730000000000005</v>
      </c>
      <c r="K191" s="249">
        <v>0.96709999999999996</v>
      </c>
      <c r="L191" s="249">
        <v>0.96689999999999998</v>
      </c>
      <c r="M191" s="249">
        <v>0.9667</v>
      </c>
      <c r="N191" s="249">
        <v>0.96640000000000004</v>
      </c>
      <c r="O191" s="249">
        <v>0.96619999999999995</v>
      </c>
      <c r="P191" s="249">
        <v>0.96599999999999997</v>
      </c>
      <c r="Q191" s="249">
        <v>0.96579999999999999</v>
      </c>
      <c r="R191" s="249">
        <v>0.96560000000000001</v>
      </c>
      <c r="S191" s="249">
        <v>0.96540000000000004</v>
      </c>
      <c r="T191" s="249">
        <v>0.96509999999999996</v>
      </c>
      <c r="U191" s="249">
        <v>0.96489999999999998</v>
      </c>
      <c r="V191" s="249">
        <v>0.9647</v>
      </c>
      <c r="W191" s="249">
        <v>0.96450000000000002</v>
      </c>
      <c r="X191" s="249">
        <v>0.96430000000000005</v>
      </c>
      <c r="Y191" s="249">
        <v>0.96399999999999997</v>
      </c>
      <c r="Z191" s="249">
        <v>0.96379999999999999</v>
      </c>
      <c r="AA191" s="249">
        <v>0.96360000000000001</v>
      </c>
      <c r="AB191" s="249">
        <v>0.96340000000000003</v>
      </c>
      <c r="AC191" s="249">
        <v>0.96309999999999996</v>
      </c>
      <c r="AD191" s="249">
        <v>0.96289999999999998</v>
      </c>
      <c r="AE191" s="249">
        <v>0.9627</v>
      </c>
      <c r="AF191" s="249">
        <v>0.96250000000000002</v>
      </c>
      <c r="AG191" s="249">
        <v>0.96220000000000006</v>
      </c>
      <c r="AH191" s="249">
        <v>0.96199999999999997</v>
      </c>
      <c r="AI191" s="249">
        <v>0.96179999999999999</v>
      </c>
      <c r="AJ191" s="249">
        <v>0.96150000000000002</v>
      </c>
      <c r="AK191" s="249">
        <v>0.96130000000000004</v>
      </c>
      <c r="AL191" s="249">
        <v>0.96109999999999995</v>
      </c>
      <c r="AM191" s="249">
        <v>0.96079999999999999</v>
      </c>
      <c r="AN191" s="249">
        <v>0.96060000000000001</v>
      </c>
      <c r="AO191" s="249">
        <v>0.96040000000000003</v>
      </c>
      <c r="AP191" s="249">
        <v>0.96009999999999995</v>
      </c>
      <c r="AQ191" s="249">
        <v>0.95989999999999998</v>
      </c>
      <c r="AR191" s="249">
        <v>0.9597</v>
      </c>
      <c r="AS191" s="249">
        <v>0.95940000000000003</v>
      </c>
      <c r="AT191" s="249">
        <v>0.95920000000000005</v>
      </c>
      <c r="AU191" s="249">
        <v>0.95899999999999996</v>
      </c>
      <c r="AV191" s="249">
        <v>0.9587</v>
      </c>
      <c r="AW191" s="249">
        <v>0.95850000000000002</v>
      </c>
      <c r="AX191" s="249">
        <v>0.95820000000000005</v>
      </c>
      <c r="AY191" s="249">
        <v>0.95799999999999996</v>
      </c>
      <c r="AZ191" s="249">
        <v>0.9577</v>
      </c>
      <c r="BA191" s="251">
        <v>0.95750000000000002</v>
      </c>
    </row>
    <row r="192" spans="2:53" s="244" customFormat="1" ht="15.75" customHeight="1">
      <c r="B192" s="248">
        <v>139.5</v>
      </c>
      <c r="C192" s="249">
        <v>0.96860000000000002</v>
      </c>
      <c r="D192" s="249">
        <v>0.96840000000000004</v>
      </c>
      <c r="E192" s="249">
        <v>0.96819999999999995</v>
      </c>
      <c r="F192" s="249">
        <v>0.96789999999999998</v>
      </c>
      <c r="G192" s="249">
        <v>0.9677</v>
      </c>
      <c r="H192" s="249">
        <v>0.96750000000000003</v>
      </c>
      <c r="I192" s="249">
        <v>0.96730000000000005</v>
      </c>
      <c r="J192" s="249">
        <v>0.96709999999999996</v>
      </c>
      <c r="K192" s="249">
        <v>0.96689999999999998</v>
      </c>
      <c r="L192" s="249">
        <v>0.9667</v>
      </c>
      <c r="M192" s="249">
        <v>0.96650000000000003</v>
      </c>
      <c r="N192" s="249">
        <v>0.96619999999999995</v>
      </c>
      <c r="O192" s="249">
        <v>0.96599999999999997</v>
      </c>
      <c r="P192" s="249">
        <v>0.96579999999999999</v>
      </c>
      <c r="Q192" s="249">
        <v>0.96560000000000001</v>
      </c>
      <c r="R192" s="249">
        <v>0.96540000000000004</v>
      </c>
      <c r="S192" s="249">
        <v>0.96509999999999996</v>
      </c>
      <c r="T192" s="249">
        <v>0.96489999999999998</v>
      </c>
      <c r="U192" s="249">
        <v>0.9647</v>
      </c>
      <c r="V192" s="249">
        <v>0.96450000000000002</v>
      </c>
      <c r="W192" s="249">
        <v>0.96430000000000005</v>
      </c>
      <c r="X192" s="249">
        <v>0.96399999999999997</v>
      </c>
      <c r="Y192" s="249">
        <v>0.96379999999999999</v>
      </c>
      <c r="Z192" s="249">
        <v>0.96360000000000001</v>
      </c>
      <c r="AA192" s="249">
        <v>0.96340000000000003</v>
      </c>
      <c r="AB192" s="249">
        <v>0.96309999999999996</v>
      </c>
      <c r="AC192" s="249">
        <v>0.96289999999999998</v>
      </c>
      <c r="AD192" s="249">
        <v>0.9627</v>
      </c>
      <c r="AE192" s="249">
        <v>0.96250000000000002</v>
      </c>
      <c r="AF192" s="249">
        <v>0.96220000000000006</v>
      </c>
      <c r="AG192" s="249">
        <v>0.96199999999999997</v>
      </c>
      <c r="AH192" s="249">
        <v>0.96179999999999999</v>
      </c>
      <c r="AI192" s="249">
        <v>0.96150000000000002</v>
      </c>
      <c r="AJ192" s="249">
        <v>0.96130000000000004</v>
      </c>
      <c r="AK192" s="249">
        <v>0.96109999999999995</v>
      </c>
      <c r="AL192" s="249">
        <v>0.96079999999999999</v>
      </c>
      <c r="AM192" s="249">
        <v>0.96060000000000001</v>
      </c>
      <c r="AN192" s="249">
        <v>0.96040000000000003</v>
      </c>
      <c r="AO192" s="249">
        <v>0.96009999999999995</v>
      </c>
      <c r="AP192" s="249">
        <v>0.95989999999999998</v>
      </c>
      <c r="AQ192" s="249">
        <v>0.95960000000000001</v>
      </c>
      <c r="AR192" s="249">
        <v>0.95940000000000003</v>
      </c>
      <c r="AS192" s="249">
        <v>0.95920000000000005</v>
      </c>
      <c r="AT192" s="249">
        <v>0.95889999999999997</v>
      </c>
      <c r="AU192" s="249">
        <v>0.9587</v>
      </c>
      <c r="AV192" s="249">
        <v>0.95850000000000002</v>
      </c>
      <c r="AW192" s="249">
        <v>0.95820000000000005</v>
      </c>
      <c r="AX192" s="249">
        <v>0.95799999999999996</v>
      </c>
      <c r="AY192" s="249">
        <v>0.9577</v>
      </c>
      <c r="AZ192" s="249">
        <v>0.95750000000000002</v>
      </c>
      <c r="BA192" s="251">
        <v>0.95720000000000005</v>
      </c>
    </row>
    <row r="193" spans="2:53" s="244" customFormat="1" ht="15.75" customHeight="1">
      <c r="B193" s="248">
        <v>140</v>
      </c>
      <c r="C193" s="249">
        <v>0.96840000000000004</v>
      </c>
      <c r="D193" s="249">
        <v>0.96819999999999995</v>
      </c>
      <c r="E193" s="249">
        <v>0.96799999999999997</v>
      </c>
      <c r="F193" s="249">
        <v>0.9677</v>
      </c>
      <c r="G193" s="249">
        <v>0.96750000000000003</v>
      </c>
      <c r="H193" s="249">
        <v>0.96730000000000005</v>
      </c>
      <c r="I193" s="249">
        <v>0.96709999999999996</v>
      </c>
      <c r="J193" s="249">
        <v>0.96689999999999998</v>
      </c>
      <c r="K193" s="249">
        <v>0.9667</v>
      </c>
      <c r="L193" s="249">
        <v>0.96650000000000003</v>
      </c>
      <c r="M193" s="249">
        <v>0.96619999999999995</v>
      </c>
      <c r="N193" s="249">
        <v>0.96599999999999997</v>
      </c>
      <c r="O193" s="249">
        <v>0.96579999999999999</v>
      </c>
      <c r="P193" s="249">
        <v>0.96560000000000001</v>
      </c>
      <c r="Q193" s="249">
        <v>0.96540000000000004</v>
      </c>
      <c r="R193" s="249">
        <v>0.96509999999999996</v>
      </c>
      <c r="S193" s="249">
        <v>0.96489999999999998</v>
      </c>
      <c r="T193" s="249">
        <v>0.9647</v>
      </c>
      <c r="U193" s="249">
        <v>0.96450000000000002</v>
      </c>
      <c r="V193" s="249">
        <v>0.96430000000000005</v>
      </c>
      <c r="W193" s="249">
        <v>0.96399999999999997</v>
      </c>
      <c r="X193" s="249">
        <v>0.96379999999999999</v>
      </c>
      <c r="Y193" s="249">
        <v>0.96360000000000001</v>
      </c>
      <c r="Z193" s="249">
        <v>0.96340000000000003</v>
      </c>
      <c r="AA193" s="249">
        <v>0.96309999999999996</v>
      </c>
      <c r="AB193" s="249">
        <v>0.96289999999999998</v>
      </c>
      <c r="AC193" s="249">
        <v>0.9627</v>
      </c>
      <c r="AD193" s="249">
        <v>0.96240000000000003</v>
      </c>
      <c r="AE193" s="249">
        <v>0.96220000000000006</v>
      </c>
      <c r="AF193" s="249">
        <v>0.96199999999999997</v>
      </c>
      <c r="AG193" s="249">
        <v>0.9617</v>
      </c>
      <c r="AH193" s="249">
        <v>0.96150000000000002</v>
      </c>
      <c r="AI193" s="249">
        <v>0.96130000000000004</v>
      </c>
      <c r="AJ193" s="249">
        <v>0.96099999999999997</v>
      </c>
      <c r="AK193" s="249">
        <v>0.96079999999999999</v>
      </c>
      <c r="AL193" s="249">
        <v>0.96060000000000001</v>
      </c>
      <c r="AM193" s="249">
        <v>0.96030000000000004</v>
      </c>
      <c r="AN193" s="249">
        <v>0.96009999999999995</v>
      </c>
      <c r="AO193" s="249">
        <v>0.95989999999999998</v>
      </c>
      <c r="AP193" s="249">
        <v>0.95960000000000001</v>
      </c>
      <c r="AQ193" s="249">
        <v>0.95940000000000003</v>
      </c>
      <c r="AR193" s="249">
        <v>0.95920000000000005</v>
      </c>
      <c r="AS193" s="249">
        <v>0.95889999999999997</v>
      </c>
      <c r="AT193" s="249">
        <v>0.9587</v>
      </c>
      <c r="AU193" s="249">
        <v>0.95840000000000003</v>
      </c>
      <c r="AV193" s="249">
        <v>0.95820000000000005</v>
      </c>
      <c r="AW193" s="249">
        <v>0.95789999999999997</v>
      </c>
      <c r="AX193" s="249">
        <v>0.9577</v>
      </c>
      <c r="AY193" s="249">
        <v>0.95750000000000002</v>
      </c>
      <c r="AZ193" s="249">
        <v>0.95720000000000005</v>
      </c>
      <c r="BA193" s="251">
        <v>0.95699999999999996</v>
      </c>
    </row>
    <row r="194" spans="2:53" s="244" customFormat="1" ht="15.75" customHeight="1">
      <c r="B194" s="248">
        <v>140.5</v>
      </c>
      <c r="C194" s="249">
        <v>0.96819999999999995</v>
      </c>
      <c r="D194" s="249">
        <v>0.96799999999999997</v>
      </c>
      <c r="E194" s="249">
        <v>0.96779999999999999</v>
      </c>
      <c r="F194" s="249">
        <v>0.96750000000000003</v>
      </c>
      <c r="G194" s="249">
        <v>0.96730000000000005</v>
      </c>
      <c r="H194" s="249">
        <v>0.96709999999999996</v>
      </c>
      <c r="I194" s="249">
        <v>0.96689999999999998</v>
      </c>
      <c r="J194" s="249">
        <v>0.9667</v>
      </c>
      <c r="K194" s="249">
        <v>0.96650000000000003</v>
      </c>
      <c r="L194" s="249">
        <v>0.96619999999999995</v>
      </c>
      <c r="M194" s="249">
        <v>0.96599999999999997</v>
      </c>
      <c r="N194" s="249">
        <v>0.96579999999999999</v>
      </c>
      <c r="O194" s="249">
        <v>0.96560000000000001</v>
      </c>
      <c r="P194" s="249">
        <v>0.96540000000000004</v>
      </c>
      <c r="Q194" s="249">
        <v>0.96519999999999995</v>
      </c>
      <c r="R194" s="249">
        <v>0.96489999999999998</v>
      </c>
      <c r="S194" s="249">
        <v>0.9647</v>
      </c>
      <c r="T194" s="249">
        <v>0.96450000000000002</v>
      </c>
      <c r="U194" s="249">
        <v>0.96430000000000005</v>
      </c>
      <c r="V194" s="249">
        <v>0.96399999999999997</v>
      </c>
      <c r="W194" s="249">
        <v>0.96379999999999999</v>
      </c>
      <c r="X194" s="249">
        <v>0.96360000000000001</v>
      </c>
      <c r="Y194" s="249">
        <v>0.96340000000000003</v>
      </c>
      <c r="Z194" s="249">
        <v>0.96309999999999996</v>
      </c>
      <c r="AA194" s="249">
        <v>0.96289999999999998</v>
      </c>
      <c r="AB194" s="249">
        <v>0.9627</v>
      </c>
      <c r="AC194" s="249">
        <v>0.96240000000000003</v>
      </c>
      <c r="AD194" s="249">
        <v>0.96220000000000006</v>
      </c>
      <c r="AE194" s="249">
        <v>0.96199999999999997</v>
      </c>
      <c r="AF194" s="249">
        <v>0.9617</v>
      </c>
      <c r="AG194" s="249">
        <v>0.96150000000000002</v>
      </c>
      <c r="AH194" s="249">
        <v>0.96130000000000004</v>
      </c>
      <c r="AI194" s="249">
        <v>0.96099999999999997</v>
      </c>
      <c r="AJ194" s="249">
        <v>0.96079999999999999</v>
      </c>
      <c r="AK194" s="249">
        <v>0.96060000000000001</v>
      </c>
      <c r="AL194" s="249">
        <v>0.96030000000000004</v>
      </c>
      <c r="AM194" s="249">
        <v>0.96009999999999995</v>
      </c>
      <c r="AN194" s="249">
        <v>0.95989999999999998</v>
      </c>
      <c r="AO194" s="249">
        <v>0.95960000000000001</v>
      </c>
      <c r="AP194" s="249">
        <v>0.95940000000000003</v>
      </c>
      <c r="AQ194" s="249">
        <v>0.95909999999999995</v>
      </c>
      <c r="AR194" s="249">
        <v>0.95889999999999997</v>
      </c>
      <c r="AS194" s="249">
        <v>0.9587</v>
      </c>
      <c r="AT194" s="249">
        <v>0.95840000000000003</v>
      </c>
      <c r="AU194" s="249">
        <v>0.95820000000000005</v>
      </c>
      <c r="AV194" s="249">
        <v>0.95789999999999997</v>
      </c>
      <c r="AW194" s="249">
        <v>0.9577</v>
      </c>
      <c r="AX194" s="249">
        <v>0.95740000000000003</v>
      </c>
      <c r="AY194" s="249">
        <v>0.95720000000000005</v>
      </c>
      <c r="AZ194" s="249">
        <v>0.95689999999999997</v>
      </c>
      <c r="BA194" s="251">
        <v>0.95669999999999999</v>
      </c>
    </row>
    <row r="195" spans="2:53" s="244" customFormat="1" ht="15.75" customHeight="1">
      <c r="B195" s="248">
        <v>141</v>
      </c>
      <c r="C195" s="249">
        <v>0.96799999999999997</v>
      </c>
      <c r="D195" s="249">
        <v>0.96779999999999999</v>
      </c>
      <c r="E195" s="249">
        <v>0.96760000000000002</v>
      </c>
      <c r="F195" s="249">
        <v>0.96730000000000005</v>
      </c>
      <c r="G195" s="249">
        <v>0.96709999999999996</v>
      </c>
      <c r="H195" s="249">
        <v>0.96689999999999998</v>
      </c>
      <c r="I195" s="249">
        <v>0.9667</v>
      </c>
      <c r="J195" s="249">
        <v>0.96650000000000003</v>
      </c>
      <c r="K195" s="249">
        <v>0.96630000000000005</v>
      </c>
      <c r="L195" s="249">
        <v>0.96599999999999997</v>
      </c>
      <c r="M195" s="249">
        <v>0.96579999999999999</v>
      </c>
      <c r="N195" s="249">
        <v>0.96560000000000001</v>
      </c>
      <c r="O195" s="249">
        <v>0.96540000000000004</v>
      </c>
      <c r="P195" s="249">
        <v>0.96519999999999995</v>
      </c>
      <c r="Q195" s="249">
        <v>0.96489999999999998</v>
      </c>
      <c r="R195" s="249">
        <v>0.9647</v>
      </c>
      <c r="S195" s="249">
        <v>0.96450000000000002</v>
      </c>
      <c r="T195" s="249">
        <v>0.96430000000000005</v>
      </c>
      <c r="U195" s="249">
        <v>0.96399999999999997</v>
      </c>
      <c r="V195" s="249">
        <v>0.96379999999999999</v>
      </c>
      <c r="W195" s="249">
        <v>0.96360000000000001</v>
      </c>
      <c r="X195" s="249">
        <v>0.96330000000000005</v>
      </c>
      <c r="Y195" s="249">
        <v>0.96309999999999996</v>
      </c>
      <c r="Z195" s="249">
        <v>0.96289999999999998</v>
      </c>
      <c r="AA195" s="249">
        <v>0.9627</v>
      </c>
      <c r="AB195" s="249">
        <v>0.96240000000000003</v>
      </c>
      <c r="AC195" s="249">
        <v>0.96220000000000006</v>
      </c>
      <c r="AD195" s="249">
        <v>0.96199999999999997</v>
      </c>
      <c r="AE195" s="249">
        <v>0.9617</v>
      </c>
      <c r="AF195" s="249">
        <v>0.96150000000000002</v>
      </c>
      <c r="AG195" s="249">
        <v>0.96130000000000004</v>
      </c>
      <c r="AH195" s="249">
        <v>0.96099999999999997</v>
      </c>
      <c r="AI195" s="249">
        <v>0.96079999999999999</v>
      </c>
      <c r="AJ195" s="249">
        <v>0.96060000000000001</v>
      </c>
      <c r="AK195" s="249">
        <v>0.96030000000000004</v>
      </c>
      <c r="AL195" s="249">
        <v>0.96009999999999995</v>
      </c>
      <c r="AM195" s="249">
        <v>0.95979999999999999</v>
      </c>
      <c r="AN195" s="249">
        <v>0.95960000000000001</v>
      </c>
      <c r="AO195" s="249">
        <v>0.95940000000000003</v>
      </c>
      <c r="AP195" s="249">
        <v>0.95909999999999995</v>
      </c>
      <c r="AQ195" s="249">
        <v>0.95889999999999997</v>
      </c>
      <c r="AR195" s="249">
        <v>0.95860000000000001</v>
      </c>
      <c r="AS195" s="249">
        <v>0.95840000000000003</v>
      </c>
      <c r="AT195" s="249">
        <v>0.95809999999999995</v>
      </c>
      <c r="AU195" s="249">
        <v>0.95789999999999997</v>
      </c>
      <c r="AV195" s="249">
        <v>0.9577</v>
      </c>
      <c r="AW195" s="249">
        <v>0.95740000000000003</v>
      </c>
      <c r="AX195" s="249">
        <v>0.95720000000000005</v>
      </c>
      <c r="AY195" s="249">
        <v>0.95689999999999997</v>
      </c>
      <c r="AZ195" s="249">
        <v>0.95669999999999999</v>
      </c>
      <c r="BA195" s="251">
        <v>0.95640000000000003</v>
      </c>
    </row>
    <row r="196" spans="2:53" s="244" customFormat="1" ht="15.75" customHeight="1">
      <c r="B196" s="248">
        <v>141.5</v>
      </c>
      <c r="C196" s="249">
        <v>0.96779999999999999</v>
      </c>
      <c r="D196" s="249">
        <v>0.96760000000000002</v>
      </c>
      <c r="E196" s="249">
        <v>0.96740000000000004</v>
      </c>
      <c r="F196" s="249">
        <v>0.96709999999999996</v>
      </c>
      <c r="G196" s="249">
        <v>0.96689999999999998</v>
      </c>
      <c r="H196" s="249">
        <v>0.9667</v>
      </c>
      <c r="I196" s="249">
        <v>0.96650000000000003</v>
      </c>
      <c r="J196" s="249">
        <v>0.96630000000000005</v>
      </c>
      <c r="K196" s="249">
        <v>0.96599999999999997</v>
      </c>
      <c r="L196" s="249">
        <v>0.96579999999999999</v>
      </c>
      <c r="M196" s="249">
        <v>0.96560000000000001</v>
      </c>
      <c r="N196" s="249">
        <v>0.96540000000000004</v>
      </c>
      <c r="O196" s="249">
        <v>0.96519999999999995</v>
      </c>
      <c r="P196" s="249">
        <v>0.96489999999999998</v>
      </c>
      <c r="Q196" s="249">
        <v>0.9647</v>
      </c>
      <c r="R196" s="249">
        <v>0.96450000000000002</v>
      </c>
      <c r="S196" s="249">
        <v>0.96430000000000005</v>
      </c>
      <c r="T196" s="249">
        <v>0.96399999999999997</v>
      </c>
      <c r="U196" s="249">
        <v>0.96379999999999999</v>
      </c>
      <c r="V196" s="249">
        <v>0.96360000000000001</v>
      </c>
      <c r="W196" s="249">
        <v>0.96340000000000003</v>
      </c>
      <c r="X196" s="249">
        <v>0.96309999999999996</v>
      </c>
      <c r="Y196" s="249">
        <v>0.96289999999999998</v>
      </c>
      <c r="Z196" s="249">
        <v>0.9627</v>
      </c>
      <c r="AA196" s="249">
        <v>0.96240000000000003</v>
      </c>
      <c r="AB196" s="249">
        <v>0.96220000000000006</v>
      </c>
      <c r="AC196" s="249">
        <v>0.96199999999999997</v>
      </c>
      <c r="AD196" s="249">
        <v>0.9617</v>
      </c>
      <c r="AE196" s="249">
        <v>0.96150000000000002</v>
      </c>
      <c r="AF196" s="249">
        <v>0.96130000000000004</v>
      </c>
      <c r="AG196" s="249">
        <v>0.96099999999999997</v>
      </c>
      <c r="AH196" s="249">
        <v>0.96079999999999999</v>
      </c>
      <c r="AI196" s="249">
        <v>0.96060000000000001</v>
      </c>
      <c r="AJ196" s="249">
        <v>0.96030000000000004</v>
      </c>
      <c r="AK196" s="249">
        <v>0.96009999999999995</v>
      </c>
      <c r="AL196" s="249">
        <v>0.95979999999999999</v>
      </c>
      <c r="AM196" s="249">
        <v>0.95960000000000001</v>
      </c>
      <c r="AN196" s="249">
        <v>0.95940000000000003</v>
      </c>
      <c r="AO196" s="249">
        <v>0.95909999999999995</v>
      </c>
      <c r="AP196" s="249">
        <v>0.95889999999999997</v>
      </c>
      <c r="AQ196" s="249">
        <v>0.95860000000000001</v>
      </c>
      <c r="AR196" s="249">
        <v>0.95840000000000003</v>
      </c>
      <c r="AS196" s="249">
        <v>0.95809999999999995</v>
      </c>
      <c r="AT196" s="249">
        <v>0.95789999999999997</v>
      </c>
      <c r="AU196" s="249">
        <v>0.95760000000000001</v>
      </c>
      <c r="AV196" s="249">
        <v>0.95740000000000003</v>
      </c>
      <c r="AW196" s="249">
        <v>0.95709999999999995</v>
      </c>
      <c r="AX196" s="249">
        <v>0.95689999999999997</v>
      </c>
      <c r="AY196" s="249">
        <v>0.95669999999999999</v>
      </c>
      <c r="AZ196" s="249">
        <v>0.95640000000000003</v>
      </c>
      <c r="BA196" s="251">
        <v>0.95609999999999995</v>
      </c>
    </row>
    <row r="197" spans="2:53" s="244" customFormat="1" ht="15.75" customHeight="1">
      <c r="B197" s="248">
        <v>142</v>
      </c>
      <c r="C197" s="249">
        <v>0.96760000000000002</v>
      </c>
      <c r="D197" s="249">
        <v>0.96740000000000004</v>
      </c>
      <c r="E197" s="249">
        <v>0.96709999999999996</v>
      </c>
      <c r="F197" s="249">
        <v>0.96689999999999998</v>
      </c>
      <c r="G197" s="249">
        <v>0.9667</v>
      </c>
      <c r="H197" s="249">
        <v>0.96650000000000003</v>
      </c>
      <c r="I197" s="249">
        <v>0.96630000000000005</v>
      </c>
      <c r="J197" s="249">
        <v>0.96609999999999996</v>
      </c>
      <c r="K197" s="249">
        <v>0.96579999999999999</v>
      </c>
      <c r="L197" s="249">
        <v>0.96560000000000001</v>
      </c>
      <c r="M197" s="249">
        <v>0.96540000000000004</v>
      </c>
      <c r="N197" s="249">
        <v>0.96519999999999995</v>
      </c>
      <c r="O197" s="249">
        <v>0.96489999999999998</v>
      </c>
      <c r="P197" s="249">
        <v>0.9647</v>
      </c>
      <c r="Q197" s="249">
        <v>0.96450000000000002</v>
      </c>
      <c r="R197" s="249">
        <v>0.96430000000000005</v>
      </c>
      <c r="S197" s="249">
        <v>0.96399999999999997</v>
      </c>
      <c r="T197" s="249">
        <v>0.96379999999999999</v>
      </c>
      <c r="U197" s="249">
        <v>0.96360000000000001</v>
      </c>
      <c r="V197" s="249">
        <v>0.96340000000000003</v>
      </c>
      <c r="W197" s="249">
        <v>0.96309999999999996</v>
      </c>
      <c r="X197" s="249">
        <v>0.96289999999999998</v>
      </c>
      <c r="Y197" s="249">
        <v>0.9627</v>
      </c>
      <c r="Z197" s="249">
        <v>0.96240000000000003</v>
      </c>
      <c r="AA197" s="249">
        <v>0.96220000000000006</v>
      </c>
      <c r="AB197" s="249">
        <v>0.96199999999999997</v>
      </c>
      <c r="AC197" s="249">
        <v>0.9617</v>
      </c>
      <c r="AD197" s="249">
        <v>0.96150000000000002</v>
      </c>
      <c r="AE197" s="249">
        <v>0.96130000000000004</v>
      </c>
      <c r="AF197" s="249">
        <v>0.96099999999999997</v>
      </c>
      <c r="AG197" s="249">
        <v>0.96079999999999999</v>
      </c>
      <c r="AH197" s="249">
        <v>0.96050000000000002</v>
      </c>
      <c r="AI197" s="249">
        <v>0.96030000000000004</v>
      </c>
      <c r="AJ197" s="249">
        <v>0.96009999999999995</v>
      </c>
      <c r="AK197" s="249">
        <v>0.95979999999999999</v>
      </c>
      <c r="AL197" s="249">
        <v>0.95960000000000001</v>
      </c>
      <c r="AM197" s="249">
        <v>0.95930000000000004</v>
      </c>
      <c r="AN197" s="249">
        <v>0.95909999999999995</v>
      </c>
      <c r="AO197" s="249">
        <v>0.95889999999999997</v>
      </c>
      <c r="AP197" s="249">
        <v>0.95860000000000001</v>
      </c>
      <c r="AQ197" s="249">
        <v>0.95840000000000003</v>
      </c>
      <c r="AR197" s="249">
        <v>0.95809999999999995</v>
      </c>
      <c r="AS197" s="249">
        <v>0.95789999999999997</v>
      </c>
      <c r="AT197" s="249">
        <v>0.95760000000000001</v>
      </c>
      <c r="AU197" s="249">
        <v>0.95740000000000003</v>
      </c>
      <c r="AV197" s="249">
        <v>0.95709999999999995</v>
      </c>
      <c r="AW197" s="249">
        <v>0.95689999999999997</v>
      </c>
      <c r="AX197" s="249">
        <v>0.95660000000000001</v>
      </c>
      <c r="AY197" s="249">
        <v>0.95640000000000003</v>
      </c>
      <c r="AZ197" s="249">
        <v>0.95609999999999995</v>
      </c>
      <c r="BA197" s="251">
        <v>0.95589999999999997</v>
      </c>
    </row>
    <row r="198" spans="2:53" s="244" customFormat="1" ht="15.75" customHeight="1">
      <c r="B198" s="248">
        <v>142.5</v>
      </c>
      <c r="C198" s="249">
        <v>0.96740000000000004</v>
      </c>
      <c r="D198" s="249">
        <v>0.96719999999999995</v>
      </c>
      <c r="E198" s="249">
        <v>0.96689999999999998</v>
      </c>
      <c r="F198" s="249">
        <v>0.9667</v>
      </c>
      <c r="G198" s="249">
        <v>0.96650000000000003</v>
      </c>
      <c r="H198" s="249">
        <v>0.96630000000000005</v>
      </c>
      <c r="I198" s="249">
        <v>0.96609999999999996</v>
      </c>
      <c r="J198" s="249">
        <v>0.96579999999999999</v>
      </c>
      <c r="K198" s="249">
        <v>0.96560000000000001</v>
      </c>
      <c r="L198" s="249">
        <v>0.96540000000000004</v>
      </c>
      <c r="M198" s="249">
        <v>0.96519999999999995</v>
      </c>
      <c r="N198" s="249">
        <v>0.96489999999999998</v>
      </c>
      <c r="O198" s="249">
        <v>0.9647</v>
      </c>
      <c r="P198" s="249">
        <v>0.96450000000000002</v>
      </c>
      <c r="Q198" s="249">
        <v>0.96430000000000005</v>
      </c>
      <c r="R198" s="249">
        <v>0.96399999999999997</v>
      </c>
      <c r="S198" s="249">
        <v>0.96379999999999999</v>
      </c>
      <c r="T198" s="249">
        <v>0.96360000000000001</v>
      </c>
      <c r="U198" s="249">
        <v>0.96340000000000003</v>
      </c>
      <c r="V198" s="249">
        <v>0.96309999999999996</v>
      </c>
      <c r="W198" s="249">
        <v>0.96289999999999998</v>
      </c>
      <c r="X198" s="249">
        <v>0.9627</v>
      </c>
      <c r="Y198" s="249">
        <v>0.96240000000000003</v>
      </c>
      <c r="Z198" s="249">
        <v>0.96220000000000006</v>
      </c>
      <c r="AA198" s="249">
        <v>0.96199999999999997</v>
      </c>
      <c r="AB198" s="249">
        <v>0.9617</v>
      </c>
      <c r="AC198" s="249">
        <v>0.96150000000000002</v>
      </c>
      <c r="AD198" s="249">
        <v>0.96130000000000004</v>
      </c>
      <c r="AE198" s="249">
        <v>0.96099999999999997</v>
      </c>
      <c r="AF198" s="249">
        <v>0.96079999999999999</v>
      </c>
      <c r="AG198" s="249">
        <v>0.96050000000000002</v>
      </c>
      <c r="AH198" s="249">
        <v>0.96030000000000004</v>
      </c>
      <c r="AI198" s="249">
        <v>0.96009999999999995</v>
      </c>
      <c r="AJ198" s="249">
        <v>0.95979999999999999</v>
      </c>
      <c r="AK198" s="249">
        <v>0.95960000000000001</v>
      </c>
      <c r="AL198" s="249">
        <v>0.95930000000000004</v>
      </c>
      <c r="AM198" s="249">
        <v>0.95909999999999995</v>
      </c>
      <c r="AN198" s="249">
        <v>0.95879999999999999</v>
      </c>
      <c r="AO198" s="249">
        <v>0.95860000000000001</v>
      </c>
      <c r="AP198" s="249">
        <v>0.95840000000000003</v>
      </c>
      <c r="AQ198" s="249">
        <v>0.95809999999999995</v>
      </c>
      <c r="AR198" s="249">
        <v>0.95789999999999997</v>
      </c>
      <c r="AS198" s="249">
        <v>0.95760000000000001</v>
      </c>
      <c r="AT198" s="249">
        <v>0.95740000000000003</v>
      </c>
      <c r="AU198" s="249">
        <v>0.95709999999999995</v>
      </c>
      <c r="AV198" s="249">
        <v>0.95689999999999997</v>
      </c>
      <c r="AW198" s="249">
        <v>0.95660000000000001</v>
      </c>
      <c r="AX198" s="249">
        <v>0.95640000000000003</v>
      </c>
      <c r="AY198" s="249">
        <v>0.95609999999999995</v>
      </c>
      <c r="AZ198" s="249">
        <v>0.95589999999999997</v>
      </c>
      <c r="BA198" s="251">
        <v>0.9556</v>
      </c>
    </row>
    <row r="199" spans="2:53" s="244" customFormat="1" ht="15.75" customHeight="1">
      <c r="B199" s="248">
        <v>143</v>
      </c>
      <c r="C199" s="249">
        <v>0.96719999999999995</v>
      </c>
      <c r="D199" s="249">
        <v>0.96699999999999997</v>
      </c>
      <c r="E199" s="249">
        <v>0.9667</v>
      </c>
      <c r="F199" s="249">
        <v>0.96650000000000003</v>
      </c>
      <c r="G199" s="249">
        <v>0.96630000000000005</v>
      </c>
      <c r="H199" s="249">
        <v>0.96609999999999996</v>
      </c>
      <c r="I199" s="249">
        <v>0.96589999999999998</v>
      </c>
      <c r="J199" s="249">
        <v>0.96560000000000001</v>
      </c>
      <c r="K199" s="249">
        <v>0.96540000000000004</v>
      </c>
      <c r="L199" s="249">
        <v>0.96519999999999995</v>
      </c>
      <c r="M199" s="249">
        <v>0.96499999999999997</v>
      </c>
      <c r="N199" s="249">
        <v>0.9647</v>
      </c>
      <c r="O199" s="249">
        <v>0.96450000000000002</v>
      </c>
      <c r="P199" s="249">
        <v>0.96430000000000005</v>
      </c>
      <c r="Q199" s="249">
        <v>0.96409999999999996</v>
      </c>
      <c r="R199" s="249">
        <v>0.96379999999999999</v>
      </c>
      <c r="S199" s="249">
        <v>0.96360000000000001</v>
      </c>
      <c r="T199" s="249">
        <v>0.96340000000000003</v>
      </c>
      <c r="U199" s="249">
        <v>0.96309999999999996</v>
      </c>
      <c r="V199" s="249">
        <v>0.96289999999999998</v>
      </c>
      <c r="W199" s="249">
        <v>0.9627</v>
      </c>
      <c r="X199" s="249">
        <v>0.96240000000000003</v>
      </c>
      <c r="Y199" s="249">
        <v>0.96220000000000006</v>
      </c>
      <c r="Z199" s="249">
        <v>0.96199999999999997</v>
      </c>
      <c r="AA199" s="249">
        <v>0.9617</v>
      </c>
      <c r="AB199" s="249">
        <v>0.96150000000000002</v>
      </c>
      <c r="AC199" s="249">
        <v>0.96130000000000004</v>
      </c>
      <c r="AD199" s="249">
        <v>0.96099999999999997</v>
      </c>
      <c r="AE199" s="249">
        <v>0.96079999999999999</v>
      </c>
      <c r="AF199" s="249">
        <v>0.96050000000000002</v>
      </c>
      <c r="AG199" s="249">
        <v>0.96030000000000004</v>
      </c>
      <c r="AH199" s="249">
        <v>0.96009999999999995</v>
      </c>
      <c r="AI199" s="249">
        <v>0.95979999999999999</v>
      </c>
      <c r="AJ199" s="249">
        <v>0.95960000000000001</v>
      </c>
      <c r="AK199" s="249">
        <v>0.95930000000000004</v>
      </c>
      <c r="AL199" s="249">
        <v>0.95909999999999995</v>
      </c>
      <c r="AM199" s="249">
        <v>0.95879999999999999</v>
      </c>
      <c r="AN199" s="249">
        <v>0.95860000000000001</v>
      </c>
      <c r="AO199" s="249">
        <v>0.95840000000000003</v>
      </c>
      <c r="AP199" s="249">
        <v>0.95809999999999995</v>
      </c>
      <c r="AQ199" s="249">
        <v>0.95789999999999997</v>
      </c>
      <c r="AR199" s="249">
        <v>0.95760000000000001</v>
      </c>
      <c r="AS199" s="249">
        <v>0.95740000000000003</v>
      </c>
      <c r="AT199" s="249">
        <v>0.95709999999999995</v>
      </c>
      <c r="AU199" s="249">
        <v>0.95689999999999997</v>
      </c>
      <c r="AV199" s="249">
        <v>0.95660000000000001</v>
      </c>
      <c r="AW199" s="249">
        <v>0.95630000000000004</v>
      </c>
      <c r="AX199" s="249">
        <v>0.95609999999999995</v>
      </c>
      <c r="AY199" s="249">
        <v>0.95579999999999998</v>
      </c>
      <c r="AZ199" s="249">
        <v>0.9556</v>
      </c>
      <c r="BA199" s="251">
        <v>0.95530000000000004</v>
      </c>
    </row>
    <row r="200" spans="2:53" s="244" customFormat="1" ht="15.75" customHeight="1">
      <c r="B200" s="248">
        <v>143.5</v>
      </c>
      <c r="C200" s="249">
        <v>0.96699999999999997</v>
      </c>
      <c r="D200" s="249">
        <v>0.96679999999999999</v>
      </c>
      <c r="E200" s="249">
        <v>0.96650000000000003</v>
      </c>
      <c r="F200" s="249">
        <v>0.96630000000000005</v>
      </c>
      <c r="G200" s="249">
        <v>0.96609999999999996</v>
      </c>
      <c r="H200" s="249">
        <v>0.96589999999999998</v>
      </c>
      <c r="I200" s="249">
        <v>0.9657</v>
      </c>
      <c r="J200" s="249">
        <v>0.96540000000000004</v>
      </c>
      <c r="K200" s="249">
        <v>0.96519999999999995</v>
      </c>
      <c r="L200" s="249">
        <v>0.96499999999999997</v>
      </c>
      <c r="M200" s="249">
        <v>0.9647</v>
      </c>
      <c r="N200" s="249">
        <v>0.96450000000000002</v>
      </c>
      <c r="O200" s="249">
        <v>0.96430000000000005</v>
      </c>
      <c r="P200" s="249">
        <v>0.96409999999999996</v>
      </c>
      <c r="Q200" s="249">
        <v>0.96379999999999999</v>
      </c>
      <c r="R200" s="249">
        <v>0.96360000000000001</v>
      </c>
      <c r="S200" s="249">
        <v>0.96340000000000003</v>
      </c>
      <c r="T200" s="249">
        <v>0.96309999999999996</v>
      </c>
      <c r="U200" s="249">
        <v>0.96289999999999998</v>
      </c>
      <c r="V200" s="249">
        <v>0.9627</v>
      </c>
      <c r="W200" s="249">
        <v>0.96240000000000003</v>
      </c>
      <c r="X200" s="249">
        <v>0.96220000000000006</v>
      </c>
      <c r="Y200" s="249">
        <v>0.96199999999999997</v>
      </c>
      <c r="Z200" s="249">
        <v>0.9617</v>
      </c>
      <c r="AA200" s="249">
        <v>0.96150000000000002</v>
      </c>
      <c r="AB200" s="249">
        <v>0.96130000000000004</v>
      </c>
      <c r="AC200" s="249">
        <v>0.96099999999999997</v>
      </c>
      <c r="AD200" s="249">
        <v>0.96079999999999999</v>
      </c>
      <c r="AE200" s="249">
        <v>0.96050000000000002</v>
      </c>
      <c r="AF200" s="249">
        <v>0.96030000000000004</v>
      </c>
      <c r="AG200" s="249">
        <v>0.96009999999999995</v>
      </c>
      <c r="AH200" s="249">
        <v>0.95979999999999999</v>
      </c>
      <c r="AI200" s="249">
        <v>0.95960000000000001</v>
      </c>
      <c r="AJ200" s="249">
        <v>0.95930000000000004</v>
      </c>
      <c r="AK200" s="249">
        <v>0.95909999999999995</v>
      </c>
      <c r="AL200" s="249">
        <v>0.95879999999999999</v>
      </c>
      <c r="AM200" s="249">
        <v>0.95860000000000001</v>
      </c>
      <c r="AN200" s="249">
        <v>0.95830000000000004</v>
      </c>
      <c r="AO200" s="249">
        <v>0.95809999999999995</v>
      </c>
      <c r="AP200" s="249">
        <v>0.95779999999999998</v>
      </c>
      <c r="AQ200" s="249">
        <v>0.95760000000000001</v>
      </c>
      <c r="AR200" s="249">
        <v>0.95730000000000004</v>
      </c>
      <c r="AS200" s="249">
        <v>0.95709999999999995</v>
      </c>
      <c r="AT200" s="249">
        <v>0.95679999999999998</v>
      </c>
      <c r="AU200" s="249">
        <v>0.95660000000000001</v>
      </c>
      <c r="AV200" s="249">
        <v>0.95630000000000004</v>
      </c>
      <c r="AW200" s="249">
        <v>0.95609999999999995</v>
      </c>
      <c r="AX200" s="249">
        <v>0.95579999999999998</v>
      </c>
      <c r="AY200" s="249">
        <v>0.9556</v>
      </c>
      <c r="AZ200" s="249">
        <v>0.95530000000000004</v>
      </c>
      <c r="BA200" s="251">
        <v>0.95509999999999995</v>
      </c>
    </row>
    <row r="201" spans="2:53" s="244" customFormat="1" ht="15.75" customHeight="1">
      <c r="B201" s="248">
        <v>144</v>
      </c>
      <c r="C201" s="249">
        <v>0.96679999999999999</v>
      </c>
      <c r="D201" s="249">
        <v>0.96660000000000001</v>
      </c>
      <c r="E201" s="249">
        <v>0.96630000000000005</v>
      </c>
      <c r="F201" s="249">
        <v>0.96609999999999996</v>
      </c>
      <c r="G201" s="249">
        <v>0.96589999999999998</v>
      </c>
      <c r="H201" s="249">
        <v>0.9657</v>
      </c>
      <c r="I201" s="249">
        <v>0.96540000000000004</v>
      </c>
      <c r="J201" s="249">
        <v>0.96519999999999995</v>
      </c>
      <c r="K201" s="249">
        <v>0.96499999999999997</v>
      </c>
      <c r="L201" s="249">
        <v>0.96479999999999999</v>
      </c>
      <c r="M201" s="249">
        <v>0.96450000000000002</v>
      </c>
      <c r="N201" s="249">
        <v>0.96430000000000005</v>
      </c>
      <c r="O201" s="249">
        <v>0.96409999999999996</v>
      </c>
      <c r="P201" s="249">
        <v>0.96389999999999998</v>
      </c>
      <c r="Q201" s="249">
        <v>0.96360000000000001</v>
      </c>
      <c r="R201" s="249">
        <v>0.96340000000000003</v>
      </c>
      <c r="S201" s="249">
        <v>0.96319999999999995</v>
      </c>
      <c r="T201" s="249">
        <v>0.96289999999999998</v>
      </c>
      <c r="U201" s="249">
        <v>0.9627</v>
      </c>
      <c r="V201" s="249">
        <v>0.96240000000000003</v>
      </c>
      <c r="W201" s="249">
        <v>0.96220000000000006</v>
      </c>
      <c r="X201" s="249">
        <v>0.96199999999999997</v>
      </c>
      <c r="Y201" s="249">
        <v>0.9617</v>
      </c>
      <c r="Z201" s="249">
        <v>0.96150000000000002</v>
      </c>
      <c r="AA201" s="249">
        <v>0.96130000000000004</v>
      </c>
      <c r="AB201" s="249">
        <v>0.96099999999999997</v>
      </c>
      <c r="AC201" s="249">
        <v>0.96079999999999999</v>
      </c>
      <c r="AD201" s="249">
        <v>0.96050000000000002</v>
      </c>
      <c r="AE201" s="249">
        <v>0.96030000000000004</v>
      </c>
      <c r="AF201" s="249">
        <v>0.96009999999999995</v>
      </c>
      <c r="AG201" s="249">
        <v>0.95979999999999999</v>
      </c>
      <c r="AH201" s="249">
        <v>0.95960000000000001</v>
      </c>
      <c r="AI201" s="249">
        <v>0.95930000000000004</v>
      </c>
      <c r="AJ201" s="249">
        <v>0.95909999999999995</v>
      </c>
      <c r="AK201" s="249">
        <v>0.95879999999999999</v>
      </c>
      <c r="AL201" s="249">
        <v>0.95860000000000001</v>
      </c>
      <c r="AM201" s="249">
        <v>0.95830000000000004</v>
      </c>
      <c r="AN201" s="249">
        <v>0.95809999999999995</v>
      </c>
      <c r="AO201" s="249">
        <v>0.95779999999999998</v>
      </c>
      <c r="AP201" s="249">
        <v>0.95760000000000001</v>
      </c>
      <c r="AQ201" s="249">
        <v>0.95730000000000004</v>
      </c>
      <c r="AR201" s="249">
        <v>0.95709999999999995</v>
      </c>
      <c r="AS201" s="249">
        <v>0.95679999999999998</v>
      </c>
      <c r="AT201" s="249">
        <v>0.95660000000000001</v>
      </c>
      <c r="AU201" s="249">
        <v>0.95630000000000004</v>
      </c>
      <c r="AV201" s="249">
        <v>0.95609999999999995</v>
      </c>
      <c r="AW201" s="249">
        <v>0.95579999999999998</v>
      </c>
      <c r="AX201" s="249">
        <v>0.9556</v>
      </c>
      <c r="AY201" s="249">
        <v>0.95530000000000004</v>
      </c>
      <c r="AZ201" s="249">
        <v>0.95499999999999996</v>
      </c>
      <c r="BA201" s="251">
        <v>0.95479999999999998</v>
      </c>
    </row>
    <row r="202" spans="2:53" s="244" customFormat="1" ht="15.75" customHeight="1">
      <c r="B202" s="248">
        <v>144.5</v>
      </c>
      <c r="C202" s="249">
        <v>0.96660000000000001</v>
      </c>
      <c r="D202" s="249">
        <v>0.96640000000000004</v>
      </c>
      <c r="E202" s="249">
        <v>0.96609999999999996</v>
      </c>
      <c r="F202" s="249">
        <v>0.96589999999999998</v>
      </c>
      <c r="G202" s="249">
        <v>0.9657</v>
      </c>
      <c r="H202" s="249">
        <v>0.96550000000000002</v>
      </c>
      <c r="I202" s="249">
        <v>0.96519999999999995</v>
      </c>
      <c r="J202" s="249">
        <v>0.96499999999999997</v>
      </c>
      <c r="K202" s="249">
        <v>0.96479999999999999</v>
      </c>
      <c r="L202" s="249">
        <v>0.96460000000000001</v>
      </c>
      <c r="M202" s="249">
        <v>0.96430000000000005</v>
      </c>
      <c r="N202" s="249">
        <v>0.96409999999999996</v>
      </c>
      <c r="O202" s="249">
        <v>0.96389999999999998</v>
      </c>
      <c r="P202" s="249">
        <v>0.96360000000000001</v>
      </c>
      <c r="Q202" s="249">
        <v>0.96340000000000003</v>
      </c>
      <c r="R202" s="249">
        <v>0.96319999999999995</v>
      </c>
      <c r="S202" s="249">
        <v>0.96289999999999998</v>
      </c>
      <c r="T202" s="249">
        <v>0.9627</v>
      </c>
      <c r="U202" s="249">
        <v>0.96250000000000002</v>
      </c>
      <c r="V202" s="249">
        <v>0.96220000000000006</v>
      </c>
      <c r="W202" s="249">
        <v>0.96199999999999997</v>
      </c>
      <c r="X202" s="249">
        <v>0.9617</v>
      </c>
      <c r="Y202" s="249">
        <v>0.96150000000000002</v>
      </c>
      <c r="Z202" s="249">
        <v>0.96130000000000004</v>
      </c>
      <c r="AA202" s="249">
        <v>0.96099999999999997</v>
      </c>
      <c r="AB202" s="249">
        <v>0.96079999999999999</v>
      </c>
      <c r="AC202" s="249">
        <v>0.96050000000000002</v>
      </c>
      <c r="AD202" s="249">
        <v>0.96030000000000004</v>
      </c>
      <c r="AE202" s="249">
        <v>0.96009999999999995</v>
      </c>
      <c r="AF202" s="249">
        <v>0.95979999999999999</v>
      </c>
      <c r="AG202" s="249">
        <v>0.95960000000000001</v>
      </c>
      <c r="AH202" s="249">
        <v>0.95930000000000004</v>
      </c>
      <c r="AI202" s="249">
        <v>0.95909999999999995</v>
      </c>
      <c r="AJ202" s="249">
        <v>0.95879999999999999</v>
      </c>
      <c r="AK202" s="249">
        <v>0.95860000000000001</v>
      </c>
      <c r="AL202" s="249">
        <v>0.95830000000000004</v>
      </c>
      <c r="AM202" s="249">
        <v>0.95809999999999995</v>
      </c>
      <c r="AN202" s="249">
        <v>0.95779999999999998</v>
      </c>
      <c r="AO202" s="249">
        <v>0.95760000000000001</v>
      </c>
      <c r="AP202" s="249">
        <v>0.95730000000000004</v>
      </c>
      <c r="AQ202" s="249">
        <v>0.95709999999999995</v>
      </c>
      <c r="AR202" s="249">
        <v>0.95679999999999998</v>
      </c>
      <c r="AS202" s="249">
        <v>0.95660000000000001</v>
      </c>
      <c r="AT202" s="249">
        <v>0.95630000000000004</v>
      </c>
      <c r="AU202" s="249">
        <v>0.95609999999999995</v>
      </c>
      <c r="AV202" s="249">
        <v>0.95579999999999998</v>
      </c>
      <c r="AW202" s="249">
        <v>0.9556</v>
      </c>
      <c r="AX202" s="249">
        <v>0.95530000000000004</v>
      </c>
      <c r="AY202" s="249">
        <v>0.95499999999999996</v>
      </c>
      <c r="AZ202" s="249">
        <v>0.95479999999999998</v>
      </c>
      <c r="BA202" s="251">
        <v>0.95450000000000002</v>
      </c>
    </row>
    <row r="203" spans="2:53" s="244" customFormat="1" ht="15.75" customHeight="1">
      <c r="B203" s="248">
        <v>145</v>
      </c>
      <c r="C203" s="249">
        <v>0.96640000000000004</v>
      </c>
      <c r="D203" s="249">
        <v>0.96619999999999995</v>
      </c>
      <c r="E203" s="249">
        <v>0.96589999999999998</v>
      </c>
      <c r="F203" s="249">
        <v>0.9657</v>
      </c>
      <c r="G203" s="249">
        <v>0.96550000000000002</v>
      </c>
      <c r="H203" s="249">
        <v>0.96530000000000005</v>
      </c>
      <c r="I203" s="249">
        <v>0.96499999999999997</v>
      </c>
      <c r="J203" s="249">
        <v>0.96479999999999999</v>
      </c>
      <c r="K203" s="249">
        <v>0.96460000000000001</v>
      </c>
      <c r="L203" s="249">
        <v>0.96430000000000005</v>
      </c>
      <c r="M203" s="249">
        <v>0.96409999999999996</v>
      </c>
      <c r="N203" s="249">
        <v>0.96389999999999998</v>
      </c>
      <c r="O203" s="249">
        <v>0.9637</v>
      </c>
      <c r="P203" s="249">
        <v>0.96340000000000003</v>
      </c>
      <c r="Q203" s="249">
        <v>0.96319999999999995</v>
      </c>
      <c r="R203" s="249">
        <v>0.96299999999999997</v>
      </c>
      <c r="S203" s="249">
        <v>0.9627</v>
      </c>
      <c r="T203" s="249">
        <v>0.96250000000000002</v>
      </c>
      <c r="U203" s="249">
        <v>0.96220000000000006</v>
      </c>
      <c r="V203" s="249">
        <v>0.96199999999999997</v>
      </c>
      <c r="W203" s="249">
        <v>0.96179999999999999</v>
      </c>
      <c r="X203" s="249">
        <v>0.96150000000000002</v>
      </c>
      <c r="Y203" s="249">
        <v>0.96130000000000004</v>
      </c>
      <c r="Z203" s="249">
        <v>0.96099999999999997</v>
      </c>
      <c r="AA203" s="249">
        <v>0.96079999999999999</v>
      </c>
      <c r="AB203" s="249">
        <v>0.96060000000000001</v>
      </c>
      <c r="AC203" s="249">
        <v>0.96030000000000004</v>
      </c>
      <c r="AD203" s="249">
        <v>0.96009999999999995</v>
      </c>
      <c r="AE203" s="249">
        <v>0.95979999999999999</v>
      </c>
      <c r="AF203" s="249">
        <v>0.95960000000000001</v>
      </c>
      <c r="AG203" s="249">
        <v>0.95930000000000004</v>
      </c>
      <c r="AH203" s="249">
        <v>0.95909999999999995</v>
      </c>
      <c r="AI203" s="249">
        <v>0.95879999999999999</v>
      </c>
      <c r="AJ203" s="249">
        <v>0.95860000000000001</v>
      </c>
      <c r="AK203" s="249">
        <v>0.95830000000000004</v>
      </c>
      <c r="AL203" s="249">
        <v>0.95809999999999995</v>
      </c>
      <c r="AM203" s="249">
        <v>0.95779999999999998</v>
      </c>
      <c r="AN203" s="249">
        <v>0.95760000000000001</v>
      </c>
      <c r="AO203" s="249">
        <v>0.95730000000000004</v>
      </c>
      <c r="AP203" s="249">
        <v>0.95709999999999995</v>
      </c>
      <c r="AQ203" s="249">
        <v>0.95679999999999998</v>
      </c>
      <c r="AR203" s="249">
        <v>0.95660000000000001</v>
      </c>
      <c r="AS203" s="249">
        <v>0.95630000000000004</v>
      </c>
      <c r="AT203" s="249">
        <v>0.95609999999999995</v>
      </c>
      <c r="AU203" s="249">
        <v>0.95579999999999998</v>
      </c>
      <c r="AV203" s="249">
        <v>0.95550000000000002</v>
      </c>
      <c r="AW203" s="249">
        <v>0.95530000000000004</v>
      </c>
      <c r="AX203" s="249">
        <v>0.95499999999999996</v>
      </c>
      <c r="AY203" s="249">
        <v>0.95479999999999998</v>
      </c>
      <c r="AZ203" s="249">
        <v>0.95450000000000002</v>
      </c>
      <c r="BA203" s="251">
        <v>0.95420000000000005</v>
      </c>
    </row>
    <row r="204" spans="2:53" s="244" customFormat="1" ht="15.75" customHeight="1">
      <c r="B204" s="248">
        <v>145.5</v>
      </c>
      <c r="C204" s="249">
        <v>0.96619999999999995</v>
      </c>
      <c r="D204" s="249">
        <v>0.96599999999999997</v>
      </c>
      <c r="E204" s="249">
        <v>0.9657</v>
      </c>
      <c r="F204" s="249">
        <v>0.96550000000000002</v>
      </c>
      <c r="G204" s="249">
        <v>0.96530000000000005</v>
      </c>
      <c r="H204" s="249">
        <v>0.96509999999999996</v>
      </c>
      <c r="I204" s="249">
        <v>0.96479999999999999</v>
      </c>
      <c r="J204" s="249">
        <v>0.96460000000000001</v>
      </c>
      <c r="K204" s="249">
        <v>0.96440000000000003</v>
      </c>
      <c r="L204" s="249">
        <v>0.96409999999999996</v>
      </c>
      <c r="M204" s="249">
        <v>0.96389999999999998</v>
      </c>
      <c r="N204" s="249">
        <v>0.9637</v>
      </c>
      <c r="O204" s="249">
        <v>0.96340000000000003</v>
      </c>
      <c r="P204" s="249">
        <v>0.96319999999999995</v>
      </c>
      <c r="Q204" s="249">
        <v>0.96299999999999997</v>
      </c>
      <c r="R204" s="249">
        <v>0.9627</v>
      </c>
      <c r="S204" s="249">
        <v>0.96250000000000002</v>
      </c>
      <c r="T204" s="249">
        <v>0.96230000000000004</v>
      </c>
      <c r="U204" s="249">
        <v>0.96199999999999997</v>
      </c>
      <c r="V204" s="249">
        <v>0.96179999999999999</v>
      </c>
      <c r="W204" s="249">
        <v>0.96150000000000002</v>
      </c>
      <c r="X204" s="249">
        <v>0.96130000000000004</v>
      </c>
      <c r="Y204" s="249">
        <v>0.96109999999999995</v>
      </c>
      <c r="Z204" s="249">
        <v>0.96079999999999999</v>
      </c>
      <c r="AA204" s="249">
        <v>0.96060000000000001</v>
      </c>
      <c r="AB204" s="249">
        <v>0.96030000000000004</v>
      </c>
      <c r="AC204" s="249">
        <v>0.96009999999999995</v>
      </c>
      <c r="AD204" s="249">
        <v>0.95979999999999999</v>
      </c>
      <c r="AE204" s="249">
        <v>0.95960000000000001</v>
      </c>
      <c r="AF204" s="249">
        <v>0.95930000000000004</v>
      </c>
      <c r="AG204" s="249">
        <v>0.95909999999999995</v>
      </c>
      <c r="AH204" s="249">
        <v>0.95879999999999999</v>
      </c>
      <c r="AI204" s="249">
        <v>0.95860000000000001</v>
      </c>
      <c r="AJ204" s="249">
        <v>0.95830000000000004</v>
      </c>
      <c r="AK204" s="249">
        <v>0.95809999999999995</v>
      </c>
      <c r="AL204" s="249">
        <v>0.95779999999999998</v>
      </c>
      <c r="AM204" s="249">
        <v>0.95760000000000001</v>
      </c>
      <c r="AN204" s="249">
        <v>0.95730000000000004</v>
      </c>
      <c r="AO204" s="249">
        <v>0.95709999999999995</v>
      </c>
      <c r="AP204" s="249">
        <v>0.95679999999999998</v>
      </c>
      <c r="AQ204" s="249">
        <v>0.95660000000000001</v>
      </c>
      <c r="AR204" s="249">
        <v>0.95630000000000004</v>
      </c>
      <c r="AS204" s="249">
        <v>0.95609999999999995</v>
      </c>
      <c r="AT204" s="249">
        <v>0.95579999999999998</v>
      </c>
      <c r="AU204" s="249">
        <v>0.95550000000000002</v>
      </c>
      <c r="AV204" s="249">
        <v>0.95530000000000004</v>
      </c>
      <c r="AW204" s="249">
        <v>0.95499999999999996</v>
      </c>
      <c r="AX204" s="249">
        <v>0.95479999999999998</v>
      </c>
      <c r="AY204" s="249">
        <v>0.95450000000000002</v>
      </c>
      <c r="AZ204" s="249">
        <v>0.95420000000000005</v>
      </c>
      <c r="BA204" s="251">
        <v>0.95399999999999996</v>
      </c>
    </row>
    <row r="205" spans="2:53" s="244" customFormat="1" ht="15.75" customHeight="1">
      <c r="B205" s="248">
        <v>146</v>
      </c>
      <c r="C205" s="249">
        <v>0.96599999999999997</v>
      </c>
      <c r="D205" s="249">
        <v>0.96579999999999999</v>
      </c>
      <c r="E205" s="249">
        <v>0.96550000000000002</v>
      </c>
      <c r="F205" s="249">
        <v>0.96530000000000005</v>
      </c>
      <c r="G205" s="249">
        <v>0.96509999999999996</v>
      </c>
      <c r="H205" s="249">
        <v>0.96489999999999998</v>
      </c>
      <c r="I205" s="249">
        <v>0.96460000000000001</v>
      </c>
      <c r="J205" s="249">
        <v>0.96440000000000003</v>
      </c>
      <c r="K205" s="249">
        <v>0.96419999999999995</v>
      </c>
      <c r="L205" s="249">
        <v>0.96389999999999998</v>
      </c>
      <c r="M205" s="249">
        <v>0.9637</v>
      </c>
      <c r="N205" s="249">
        <v>0.96340000000000003</v>
      </c>
      <c r="O205" s="249">
        <v>0.96319999999999995</v>
      </c>
      <c r="P205" s="249">
        <v>0.96299999999999997</v>
      </c>
      <c r="Q205" s="249">
        <v>0.9627</v>
      </c>
      <c r="R205" s="249">
        <v>0.96250000000000002</v>
      </c>
      <c r="S205" s="249">
        <v>0.96230000000000004</v>
      </c>
      <c r="T205" s="249">
        <v>0.96199999999999997</v>
      </c>
      <c r="U205" s="249">
        <v>0.96179999999999999</v>
      </c>
      <c r="V205" s="249">
        <v>0.96150000000000002</v>
      </c>
      <c r="W205" s="249">
        <v>0.96130000000000004</v>
      </c>
      <c r="X205" s="249">
        <v>0.96109999999999995</v>
      </c>
      <c r="Y205" s="249">
        <v>0.96079999999999999</v>
      </c>
      <c r="Z205" s="249">
        <v>0.96060000000000001</v>
      </c>
      <c r="AA205" s="249">
        <v>0.96030000000000004</v>
      </c>
      <c r="AB205" s="249">
        <v>0.96009999999999995</v>
      </c>
      <c r="AC205" s="249">
        <v>0.95979999999999999</v>
      </c>
      <c r="AD205" s="249">
        <v>0.95960000000000001</v>
      </c>
      <c r="AE205" s="249">
        <v>0.95940000000000003</v>
      </c>
      <c r="AF205" s="249">
        <v>0.95909999999999995</v>
      </c>
      <c r="AG205" s="249">
        <v>0.95889999999999997</v>
      </c>
      <c r="AH205" s="249">
        <v>0.95860000000000001</v>
      </c>
      <c r="AI205" s="249">
        <v>0.95830000000000004</v>
      </c>
      <c r="AJ205" s="249">
        <v>0.95809999999999995</v>
      </c>
      <c r="AK205" s="249">
        <v>0.95779999999999998</v>
      </c>
      <c r="AL205" s="249">
        <v>0.95760000000000001</v>
      </c>
      <c r="AM205" s="249">
        <v>0.95730000000000004</v>
      </c>
      <c r="AN205" s="249">
        <v>0.95709999999999995</v>
      </c>
      <c r="AO205" s="249">
        <v>0.95679999999999998</v>
      </c>
      <c r="AP205" s="249">
        <v>0.95660000000000001</v>
      </c>
      <c r="AQ205" s="249">
        <v>0.95630000000000004</v>
      </c>
      <c r="AR205" s="249">
        <v>0.95609999999999995</v>
      </c>
      <c r="AS205" s="249">
        <v>0.95579999999999998</v>
      </c>
      <c r="AT205" s="249">
        <v>0.95550000000000002</v>
      </c>
      <c r="AU205" s="249">
        <v>0.95530000000000004</v>
      </c>
      <c r="AV205" s="249">
        <v>0.95499999999999996</v>
      </c>
      <c r="AW205" s="249">
        <v>0.95479999999999998</v>
      </c>
      <c r="AX205" s="249">
        <v>0.95450000000000002</v>
      </c>
      <c r="AY205" s="249">
        <v>0.95420000000000005</v>
      </c>
      <c r="AZ205" s="249">
        <v>0.95399999999999996</v>
      </c>
      <c r="BA205" s="251">
        <v>0.95369999999999999</v>
      </c>
    </row>
    <row r="206" spans="2:53" s="244" customFormat="1" ht="15.75" customHeight="1">
      <c r="B206" s="248">
        <v>146.5</v>
      </c>
      <c r="C206" s="249">
        <v>0.96579999999999999</v>
      </c>
      <c r="D206" s="249">
        <v>0.96560000000000001</v>
      </c>
      <c r="E206" s="249">
        <v>0.96530000000000005</v>
      </c>
      <c r="F206" s="249">
        <v>0.96509999999999996</v>
      </c>
      <c r="G206" s="249">
        <v>0.96489999999999998</v>
      </c>
      <c r="H206" s="249">
        <v>0.96460000000000001</v>
      </c>
      <c r="I206" s="249">
        <v>0.96440000000000003</v>
      </c>
      <c r="J206" s="249">
        <v>0.96419999999999995</v>
      </c>
      <c r="K206" s="249">
        <v>0.96389999999999998</v>
      </c>
      <c r="L206" s="249">
        <v>0.9637</v>
      </c>
      <c r="M206" s="249">
        <v>0.96350000000000002</v>
      </c>
      <c r="N206" s="249">
        <v>0.96319999999999995</v>
      </c>
      <c r="O206" s="249">
        <v>0.96299999999999997</v>
      </c>
      <c r="P206" s="249">
        <v>0.96279999999999999</v>
      </c>
      <c r="Q206" s="249">
        <v>0.96250000000000002</v>
      </c>
      <c r="R206" s="249">
        <v>0.96230000000000004</v>
      </c>
      <c r="S206" s="249">
        <v>0.96199999999999997</v>
      </c>
      <c r="T206" s="249">
        <v>0.96179999999999999</v>
      </c>
      <c r="U206" s="249">
        <v>0.96160000000000001</v>
      </c>
      <c r="V206" s="249">
        <v>0.96130000000000004</v>
      </c>
      <c r="W206" s="249">
        <v>0.96109999999999995</v>
      </c>
      <c r="X206" s="249">
        <v>0.96079999999999999</v>
      </c>
      <c r="Y206" s="249">
        <v>0.96060000000000001</v>
      </c>
      <c r="Z206" s="249">
        <v>0.96030000000000004</v>
      </c>
      <c r="AA206" s="249">
        <v>0.96009999999999995</v>
      </c>
      <c r="AB206" s="249">
        <v>0.95989999999999998</v>
      </c>
      <c r="AC206" s="249">
        <v>0.95960000000000001</v>
      </c>
      <c r="AD206" s="249">
        <v>0.95940000000000003</v>
      </c>
      <c r="AE206" s="249">
        <v>0.95909999999999995</v>
      </c>
      <c r="AF206" s="249">
        <v>0.95889999999999997</v>
      </c>
      <c r="AG206" s="249">
        <v>0.95860000000000001</v>
      </c>
      <c r="AH206" s="249">
        <v>0.95840000000000003</v>
      </c>
      <c r="AI206" s="249">
        <v>0.95809999999999995</v>
      </c>
      <c r="AJ206" s="249">
        <v>0.95779999999999998</v>
      </c>
      <c r="AK206" s="249">
        <v>0.95760000000000001</v>
      </c>
      <c r="AL206" s="249">
        <v>0.95730000000000004</v>
      </c>
      <c r="AM206" s="249">
        <v>0.95709999999999995</v>
      </c>
      <c r="AN206" s="249">
        <v>0.95679999999999998</v>
      </c>
      <c r="AO206" s="249">
        <v>0.95660000000000001</v>
      </c>
      <c r="AP206" s="249">
        <v>0.95630000000000004</v>
      </c>
      <c r="AQ206" s="249">
        <v>0.95609999999999995</v>
      </c>
      <c r="AR206" s="249">
        <v>0.95579999999999998</v>
      </c>
      <c r="AS206" s="249">
        <v>0.95550000000000002</v>
      </c>
      <c r="AT206" s="249">
        <v>0.95530000000000004</v>
      </c>
      <c r="AU206" s="249">
        <v>0.95499999999999996</v>
      </c>
      <c r="AV206" s="249">
        <v>0.95479999999999998</v>
      </c>
      <c r="AW206" s="249">
        <v>0.95450000000000002</v>
      </c>
      <c r="AX206" s="249">
        <v>0.95420000000000005</v>
      </c>
      <c r="AY206" s="249">
        <v>0.95399999999999996</v>
      </c>
      <c r="AZ206" s="249">
        <v>0.95369999999999999</v>
      </c>
      <c r="BA206" s="251">
        <v>0.95340000000000003</v>
      </c>
    </row>
    <row r="207" spans="2:53" s="244" customFormat="1" ht="15.75" customHeight="1">
      <c r="B207" s="248">
        <v>147</v>
      </c>
      <c r="C207" s="249">
        <v>0.96560000000000001</v>
      </c>
      <c r="D207" s="249">
        <v>0.96540000000000004</v>
      </c>
      <c r="E207" s="249">
        <v>0.96509999999999996</v>
      </c>
      <c r="F207" s="249">
        <v>0.96489999999999998</v>
      </c>
      <c r="G207" s="249">
        <v>0.9647</v>
      </c>
      <c r="H207" s="249">
        <v>0.96440000000000003</v>
      </c>
      <c r="I207" s="249">
        <v>0.96419999999999995</v>
      </c>
      <c r="J207" s="249">
        <v>0.96399999999999997</v>
      </c>
      <c r="K207" s="249">
        <v>0.9637</v>
      </c>
      <c r="L207" s="249">
        <v>0.96350000000000002</v>
      </c>
      <c r="M207" s="249">
        <v>0.96330000000000005</v>
      </c>
      <c r="N207" s="249">
        <v>0.96299999999999997</v>
      </c>
      <c r="O207" s="249">
        <v>0.96279999999999999</v>
      </c>
      <c r="P207" s="249">
        <v>0.96250000000000002</v>
      </c>
      <c r="Q207" s="249">
        <v>0.96230000000000004</v>
      </c>
      <c r="R207" s="249">
        <v>0.96209999999999996</v>
      </c>
      <c r="S207" s="249">
        <v>0.96179999999999999</v>
      </c>
      <c r="T207" s="249">
        <v>0.96160000000000001</v>
      </c>
      <c r="U207" s="249">
        <v>0.96130000000000004</v>
      </c>
      <c r="V207" s="249">
        <v>0.96109999999999995</v>
      </c>
      <c r="W207" s="249">
        <v>0.96089999999999998</v>
      </c>
      <c r="X207" s="249">
        <v>0.96060000000000001</v>
      </c>
      <c r="Y207" s="249">
        <v>0.96040000000000003</v>
      </c>
      <c r="Z207" s="249">
        <v>0.96009999999999995</v>
      </c>
      <c r="AA207" s="249">
        <v>0.95989999999999998</v>
      </c>
      <c r="AB207" s="249">
        <v>0.95960000000000001</v>
      </c>
      <c r="AC207" s="249">
        <v>0.95940000000000003</v>
      </c>
      <c r="AD207" s="249">
        <v>0.95909999999999995</v>
      </c>
      <c r="AE207" s="249">
        <v>0.95889999999999997</v>
      </c>
      <c r="AF207" s="249">
        <v>0.95860000000000001</v>
      </c>
      <c r="AG207" s="249">
        <v>0.95840000000000003</v>
      </c>
      <c r="AH207" s="249">
        <v>0.95809999999999995</v>
      </c>
      <c r="AI207" s="249">
        <v>0.95789999999999997</v>
      </c>
      <c r="AJ207" s="249">
        <v>0.95760000000000001</v>
      </c>
      <c r="AK207" s="249">
        <v>0.95740000000000003</v>
      </c>
      <c r="AL207" s="249">
        <v>0.95709999999999995</v>
      </c>
      <c r="AM207" s="249">
        <v>0.95679999999999998</v>
      </c>
      <c r="AN207" s="249">
        <v>0.95660000000000001</v>
      </c>
      <c r="AO207" s="249">
        <v>0.95630000000000004</v>
      </c>
      <c r="AP207" s="249">
        <v>0.95609999999999995</v>
      </c>
      <c r="AQ207" s="249">
        <v>0.95579999999999998</v>
      </c>
      <c r="AR207" s="249">
        <v>0.95550000000000002</v>
      </c>
      <c r="AS207" s="249">
        <v>0.95530000000000004</v>
      </c>
      <c r="AT207" s="249">
        <v>0.95499999999999996</v>
      </c>
      <c r="AU207" s="249">
        <v>0.95479999999999998</v>
      </c>
      <c r="AV207" s="249">
        <v>0.95450000000000002</v>
      </c>
      <c r="AW207" s="249">
        <v>0.95420000000000005</v>
      </c>
      <c r="AX207" s="249">
        <v>0.95399999999999996</v>
      </c>
      <c r="AY207" s="249">
        <v>0.95369999999999999</v>
      </c>
      <c r="AZ207" s="249">
        <v>0.95340000000000003</v>
      </c>
      <c r="BA207" s="251">
        <v>0.95320000000000005</v>
      </c>
    </row>
    <row r="208" spans="2:53" s="244" customFormat="1" ht="15.75" customHeight="1">
      <c r="B208" s="248">
        <v>147.5</v>
      </c>
      <c r="C208" s="249">
        <v>0.96540000000000004</v>
      </c>
      <c r="D208" s="249">
        <v>0.96519999999999995</v>
      </c>
      <c r="E208" s="249">
        <v>0.96489999999999998</v>
      </c>
      <c r="F208" s="249">
        <v>0.9647</v>
      </c>
      <c r="G208" s="249">
        <v>0.96450000000000002</v>
      </c>
      <c r="H208" s="249">
        <v>0.96419999999999995</v>
      </c>
      <c r="I208" s="249">
        <v>0.96399999999999997</v>
      </c>
      <c r="J208" s="249">
        <v>0.96379999999999999</v>
      </c>
      <c r="K208" s="249">
        <v>0.96350000000000002</v>
      </c>
      <c r="L208" s="249">
        <v>0.96330000000000005</v>
      </c>
      <c r="M208" s="249">
        <v>0.96299999999999997</v>
      </c>
      <c r="N208" s="249">
        <v>0.96279999999999999</v>
      </c>
      <c r="O208" s="249">
        <v>0.96260000000000001</v>
      </c>
      <c r="P208" s="249">
        <v>0.96230000000000004</v>
      </c>
      <c r="Q208" s="249">
        <v>0.96209999999999996</v>
      </c>
      <c r="R208" s="249">
        <v>0.96189999999999998</v>
      </c>
      <c r="S208" s="249">
        <v>0.96160000000000001</v>
      </c>
      <c r="T208" s="249">
        <v>0.96140000000000003</v>
      </c>
      <c r="U208" s="249">
        <v>0.96109999999999995</v>
      </c>
      <c r="V208" s="249">
        <v>0.96089999999999998</v>
      </c>
      <c r="W208" s="249">
        <v>0.96060000000000001</v>
      </c>
      <c r="X208" s="249">
        <v>0.96040000000000003</v>
      </c>
      <c r="Y208" s="249">
        <v>0.96009999999999995</v>
      </c>
      <c r="Z208" s="249">
        <v>0.95989999999999998</v>
      </c>
      <c r="AA208" s="249">
        <v>0.95960000000000001</v>
      </c>
      <c r="AB208" s="249">
        <v>0.95940000000000003</v>
      </c>
      <c r="AC208" s="249">
        <v>0.95909999999999995</v>
      </c>
      <c r="AD208" s="249">
        <v>0.95889999999999997</v>
      </c>
      <c r="AE208" s="249">
        <v>0.95860000000000001</v>
      </c>
      <c r="AF208" s="249">
        <v>0.95840000000000003</v>
      </c>
      <c r="AG208" s="249">
        <v>0.95809999999999995</v>
      </c>
      <c r="AH208" s="249">
        <v>0.95789999999999997</v>
      </c>
      <c r="AI208" s="249">
        <v>0.95760000000000001</v>
      </c>
      <c r="AJ208" s="249">
        <v>0.95740000000000003</v>
      </c>
      <c r="AK208" s="249">
        <v>0.95709999999999995</v>
      </c>
      <c r="AL208" s="249">
        <v>0.95679999999999998</v>
      </c>
      <c r="AM208" s="249">
        <v>0.95660000000000001</v>
      </c>
      <c r="AN208" s="249">
        <v>0.95630000000000004</v>
      </c>
      <c r="AO208" s="249">
        <v>0.95609999999999995</v>
      </c>
      <c r="AP208" s="249">
        <v>0.95579999999999998</v>
      </c>
      <c r="AQ208" s="249">
        <v>0.95550000000000002</v>
      </c>
      <c r="AR208" s="249">
        <v>0.95530000000000004</v>
      </c>
      <c r="AS208" s="249">
        <v>0.95499999999999996</v>
      </c>
      <c r="AT208" s="249">
        <v>0.95479999999999998</v>
      </c>
      <c r="AU208" s="249">
        <v>0.95450000000000002</v>
      </c>
      <c r="AV208" s="249">
        <v>0.95420000000000005</v>
      </c>
      <c r="AW208" s="249">
        <v>0.95399999999999996</v>
      </c>
      <c r="AX208" s="249">
        <v>0.95369999999999999</v>
      </c>
      <c r="AY208" s="249">
        <v>0.95340000000000003</v>
      </c>
      <c r="AZ208" s="249">
        <v>0.95320000000000005</v>
      </c>
      <c r="BA208" s="251">
        <v>0.95289999999999997</v>
      </c>
    </row>
    <row r="209" spans="2:53" s="244" customFormat="1" ht="15.75" customHeight="1">
      <c r="B209" s="248">
        <v>148</v>
      </c>
      <c r="C209" s="249">
        <v>0.96519999999999995</v>
      </c>
      <c r="D209" s="249">
        <v>0.96499999999999997</v>
      </c>
      <c r="E209" s="249">
        <v>0.9647</v>
      </c>
      <c r="F209" s="249">
        <v>0.96450000000000002</v>
      </c>
      <c r="G209" s="249">
        <v>0.96430000000000005</v>
      </c>
      <c r="H209" s="249">
        <v>0.96399999999999997</v>
      </c>
      <c r="I209" s="249">
        <v>0.96379999999999999</v>
      </c>
      <c r="J209" s="249">
        <v>0.96360000000000001</v>
      </c>
      <c r="K209" s="249">
        <v>0.96330000000000005</v>
      </c>
      <c r="L209" s="249">
        <v>0.96309999999999996</v>
      </c>
      <c r="M209" s="249">
        <v>0.96279999999999999</v>
      </c>
      <c r="N209" s="249">
        <v>0.96260000000000001</v>
      </c>
      <c r="O209" s="249">
        <v>0.96240000000000003</v>
      </c>
      <c r="P209" s="249">
        <v>0.96209999999999996</v>
      </c>
      <c r="Q209" s="249">
        <v>0.96189999999999998</v>
      </c>
      <c r="R209" s="249">
        <v>0.96160000000000001</v>
      </c>
      <c r="S209" s="249">
        <v>0.96140000000000003</v>
      </c>
      <c r="T209" s="249">
        <v>0.96109999999999995</v>
      </c>
      <c r="U209" s="249">
        <v>0.96089999999999998</v>
      </c>
      <c r="V209" s="249">
        <v>0.96060000000000001</v>
      </c>
      <c r="W209" s="249">
        <v>0.96040000000000003</v>
      </c>
      <c r="X209" s="249">
        <v>0.96009999999999995</v>
      </c>
      <c r="Y209" s="249">
        <v>0.95989999999999998</v>
      </c>
      <c r="Z209" s="249">
        <v>0.9597</v>
      </c>
      <c r="AA209" s="249">
        <v>0.95940000000000003</v>
      </c>
      <c r="AB209" s="249">
        <v>0.95920000000000005</v>
      </c>
      <c r="AC209" s="249">
        <v>0.95889999999999997</v>
      </c>
      <c r="AD209" s="249">
        <v>0.95860000000000001</v>
      </c>
      <c r="AE209" s="249">
        <v>0.95840000000000003</v>
      </c>
      <c r="AF209" s="249">
        <v>0.95809999999999995</v>
      </c>
      <c r="AG209" s="249">
        <v>0.95789999999999997</v>
      </c>
      <c r="AH209" s="249">
        <v>0.95760000000000001</v>
      </c>
      <c r="AI209" s="249">
        <v>0.95740000000000003</v>
      </c>
      <c r="AJ209" s="249">
        <v>0.95709999999999995</v>
      </c>
      <c r="AK209" s="249">
        <v>0.95689999999999997</v>
      </c>
      <c r="AL209" s="249">
        <v>0.95660000000000001</v>
      </c>
      <c r="AM209" s="249">
        <v>0.95630000000000004</v>
      </c>
      <c r="AN209" s="249">
        <v>0.95609999999999995</v>
      </c>
      <c r="AO209" s="249">
        <v>0.95579999999999998</v>
      </c>
      <c r="AP209" s="249">
        <v>0.9556</v>
      </c>
      <c r="AQ209" s="249">
        <v>0.95530000000000004</v>
      </c>
      <c r="AR209" s="249">
        <v>0.95499999999999996</v>
      </c>
      <c r="AS209" s="249">
        <v>0.95479999999999998</v>
      </c>
      <c r="AT209" s="249">
        <v>0.95450000000000002</v>
      </c>
      <c r="AU209" s="249">
        <v>0.95420000000000005</v>
      </c>
      <c r="AV209" s="249">
        <v>0.95399999999999996</v>
      </c>
      <c r="AW209" s="249">
        <v>0.95369999999999999</v>
      </c>
      <c r="AX209" s="249">
        <v>0.95340000000000003</v>
      </c>
      <c r="AY209" s="249">
        <v>0.95320000000000005</v>
      </c>
      <c r="AZ209" s="249">
        <v>0.95289999999999997</v>
      </c>
      <c r="BA209" s="251">
        <v>0.9526</v>
      </c>
    </row>
    <row r="210" spans="2:53" s="244" customFormat="1" ht="15.75" customHeight="1">
      <c r="B210" s="248">
        <v>148.5</v>
      </c>
      <c r="C210" s="249">
        <v>0.96499999999999997</v>
      </c>
      <c r="D210" s="249">
        <v>0.96479999999999999</v>
      </c>
      <c r="E210" s="249">
        <v>0.96450000000000002</v>
      </c>
      <c r="F210" s="249">
        <v>0.96430000000000005</v>
      </c>
      <c r="G210" s="249">
        <v>0.96409999999999996</v>
      </c>
      <c r="H210" s="249">
        <v>0.96379999999999999</v>
      </c>
      <c r="I210" s="249">
        <v>0.96360000000000001</v>
      </c>
      <c r="J210" s="249">
        <v>0.96330000000000005</v>
      </c>
      <c r="K210" s="249">
        <v>0.96309999999999996</v>
      </c>
      <c r="L210" s="249">
        <v>0.96289999999999998</v>
      </c>
      <c r="M210" s="249">
        <v>0.96260000000000001</v>
      </c>
      <c r="N210" s="249">
        <v>0.96240000000000003</v>
      </c>
      <c r="O210" s="249">
        <v>0.96209999999999996</v>
      </c>
      <c r="P210" s="249">
        <v>0.96189999999999998</v>
      </c>
      <c r="Q210" s="249">
        <v>0.9617</v>
      </c>
      <c r="R210" s="249">
        <v>0.96140000000000003</v>
      </c>
      <c r="S210" s="249">
        <v>0.96120000000000005</v>
      </c>
      <c r="T210" s="249">
        <v>0.96089999999999998</v>
      </c>
      <c r="U210" s="249">
        <v>0.9607</v>
      </c>
      <c r="V210" s="249">
        <v>0.96040000000000003</v>
      </c>
      <c r="W210" s="249">
        <v>0.96020000000000005</v>
      </c>
      <c r="X210" s="249">
        <v>0.95989999999999998</v>
      </c>
      <c r="Y210" s="249">
        <v>0.9597</v>
      </c>
      <c r="Z210" s="249">
        <v>0.95940000000000003</v>
      </c>
      <c r="AA210" s="249">
        <v>0.95920000000000005</v>
      </c>
      <c r="AB210" s="249">
        <v>0.95889999999999997</v>
      </c>
      <c r="AC210" s="249">
        <v>0.9587</v>
      </c>
      <c r="AD210" s="249">
        <v>0.95840000000000003</v>
      </c>
      <c r="AE210" s="249">
        <v>0.95820000000000005</v>
      </c>
      <c r="AF210" s="249">
        <v>0.95789999999999997</v>
      </c>
      <c r="AG210" s="249">
        <v>0.95760000000000001</v>
      </c>
      <c r="AH210" s="249">
        <v>0.95740000000000003</v>
      </c>
      <c r="AI210" s="249">
        <v>0.95709999999999995</v>
      </c>
      <c r="AJ210" s="249">
        <v>0.95689999999999997</v>
      </c>
      <c r="AK210" s="249">
        <v>0.95660000000000001</v>
      </c>
      <c r="AL210" s="249">
        <v>0.95630000000000004</v>
      </c>
      <c r="AM210" s="249">
        <v>0.95609999999999995</v>
      </c>
      <c r="AN210" s="249">
        <v>0.95579999999999998</v>
      </c>
      <c r="AO210" s="249">
        <v>0.9556</v>
      </c>
      <c r="AP210" s="249">
        <v>0.95530000000000004</v>
      </c>
      <c r="AQ210" s="249">
        <v>0.95499999999999996</v>
      </c>
      <c r="AR210" s="249">
        <v>0.95479999999999998</v>
      </c>
      <c r="AS210" s="249">
        <v>0.95450000000000002</v>
      </c>
      <c r="AT210" s="249">
        <v>0.95420000000000005</v>
      </c>
      <c r="AU210" s="249">
        <v>0.95399999999999996</v>
      </c>
      <c r="AV210" s="249">
        <v>0.95369999999999999</v>
      </c>
      <c r="AW210" s="249">
        <v>0.95340000000000003</v>
      </c>
      <c r="AX210" s="249">
        <v>0.95320000000000005</v>
      </c>
      <c r="AY210" s="249">
        <v>0.95289999999999997</v>
      </c>
      <c r="AZ210" s="249">
        <v>0.9526</v>
      </c>
      <c r="BA210" s="251">
        <v>0.95230000000000004</v>
      </c>
    </row>
    <row r="211" spans="2:53" s="244" customFormat="1" ht="15.75" customHeight="1">
      <c r="B211" s="248">
        <v>149</v>
      </c>
      <c r="C211" s="249">
        <v>0.96479999999999999</v>
      </c>
      <c r="D211" s="249">
        <v>0.96460000000000001</v>
      </c>
      <c r="E211" s="249">
        <v>0.96430000000000005</v>
      </c>
      <c r="F211" s="249">
        <v>0.96409999999999996</v>
      </c>
      <c r="G211" s="249">
        <v>0.96379999999999999</v>
      </c>
      <c r="H211" s="249">
        <v>0.96360000000000001</v>
      </c>
      <c r="I211" s="249">
        <v>0.96340000000000003</v>
      </c>
      <c r="J211" s="249">
        <v>0.96309999999999996</v>
      </c>
      <c r="K211" s="249">
        <v>0.96289999999999998</v>
      </c>
      <c r="L211" s="249">
        <v>0.9627</v>
      </c>
      <c r="M211" s="249">
        <v>0.96240000000000003</v>
      </c>
      <c r="N211" s="249">
        <v>0.96220000000000006</v>
      </c>
      <c r="O211" s="249">
        <v>0.96189999999999998</v>
      </c>
      <c r="P211" s="249">
        <v>0.9617</v>
      </c>
      <c r="Q211" s="249">
        <v>0.96140000000000003</v>
      </c>
      <c r="R211" s="249">
        <v>0.96120000000000005</v>
      </c>
      <c r="S211" s="249">
        <v>0.96089999999999998</v>
      </c>
      <c r="T211" s="249">
        <v>0.9607</v>
      </c>
      <c r="U211" s="249">
        <v>0.96040000000000003</v>
      </c>
      <c r="V211" s="249">
        <v>0.96020000000000005</v>
      </c>
      <c r="W211" s="249">
        <v>0.95989999999999998</v>
      </c>
      <c r="X211" s="249">
        <v>0.9597</v>
      </c>
      <c r="Y211" s="249">
        <v>0.95940000000000003</v>
      </c>
      <c r="Z211" s="249">
        <v>0.95920000000000005</v>
      </c>
      <c r="AA211" s="249">
        <v>0.95889999999999997</v>
      </c>
      <c r="AB211" s="249">
        <v>0.9587</v>
      </c>
      <c r="AC211" s="249">
        <v>0.95840000000000003</v>
      </c>
      <c r="AD211" s="249">
        <v>0.95820000000000005</v>
      </c>
      <c r="AE211" s="249">
        <v>0.95789999999999997</v>
      </c>
      <c r="AF211" s="249">
        <v>0.9577</v>
      </c>
      <c r="AG211" s="249">
        <v>0.95740000000000003</v>
      </c>
      <c r="AH211" s="249">
        <v>0.95709999999999995</v>
      </c>
      <c r="AI211" s="249">
        <v>0.95689999999999997</v>
      </c>
      <c r="AJ211" s="249">
        <v>0.95660000000000001</v>
      </c>
      <c r="AK211" s="249">
        <v>0.95640000000000003</v>
      </c>
      <c r="AL211" s="249">
        <v>0.95609999999999995</v>
      </c>
      <c r="AM211" s="249">
        <v>0.95579999999999998</v>
      </c>
      <c r="AN211" s="249">
        <v>0.9556</v>
      </c>
      <c r="AO211" s="249">
        <v>0.95530000000000004</v>
      </c>
      <c r="AP211" s="249">
        <v>0.95499999999999996</v>
      </c>
      <c r="AQ211" s="249">
        <v>0.95479999999999998</v>
      </c>
      <c r="AR211" s="249">
        <v>0.95450000000000002</v>
      </c>
      <c r="AS211" s="249">
        <v>0.95420000000000005</v>
      </c>
      <c r="AT211" s="249">
        <v>0.95399999999999996</v>
      </c>
      <c r="AU211" s="249">
        <v>0.95369999999999999</v>
      </c>
      <c r="AV211" s="249">
        <v>0.95340000000000003</v>
      </c>
      <c r="AW211" s="249">
        <v>0.95320000000000005</v>
      </c>
      <c r="AX211" s="249">
        <v>0.95289999999999997</v>
      </c>
      <c r="AY211" s="249">
        <v>0.9526</v>
      </c>
      <c r="AZ211" s="249">
        <v>0.95230000000000004</v>
      </c>
      <c r="BA211" s="251">
        <v>0.95209999999999995</v>
      </c>
    </row>
    <row r="212" spans="2:53" s="244" customFormat="1" ht="15.75" customHeight="1">
      <c r="B212" s="248">
        <v>149.5</v>
      </c>
      <c r="C212" s="249">
        <v>0.96460000000000001</v>
      </c>
      <c r="D212" s="249">
        <v>0.96440000000000003</v>
      </c>
      <c r="E212" s="249">
        <v>0.96409999999999996</v>
      </c>
      <c r="F212" s="249">
        <v>0.96389999999999998</v>
      </c>
      <c r="G212" s="249">
        <v>0.96360000000000001</v>
      </c>
      <c r="H212" s="249">
        <v>0.96340000000000003</v>
      </c>
      <c r="I212" s="249">
        <v>0.96319999999999995</v>
      </c>
      <c r="J212" s="249">
        <v>0.96289999999999998</v>
      </c>
      <c r="K212" s="249">
        <v>0.9627</v>
      </c>
      <c r="L212" s="249">
        <v>0.96240000000000003</v>
      </c>
      <c r="M212" s="249">
        <v>0.96220000000000006</v>
      </c>
      <c r="N212" s="249">
        <v>0.96189999999999998</v>
      </c>
      <c r="O212" s="249">
        <v>0.9617</v>
      </c>
      <c r="P212" s="249">
        <v>0.96150000000000002</v>
      </c>
      <c r="Q212" s="249">
        <v>0.96120000000000005</v>
      </c>
      <c r="R212" s="249">
        <v>0.96099999999999997</v>
      </c>
      <c r="S212" s="249">
        <v>0.9607</v>
      </c>
      <c r="T212" s="249">
        <v>0.96050000000000002</v>
      </c>
      <c r="U212" s="249">
        <v>0.96020000000000005</v>
      </c>
      <c r="V212" s="249">
        <v>0.96</v>
      </c>
      <c r="W212" s="249">
        <v>0.9597</v>
      </c>
      <c r="X212" s="249">
        <v>0.95950000000000002</v>
      </c>
      <c r="Y212" s="249">
        <v>0.95920000000000005</v>
      </c>
      <c r="Z212" s="249">
        <v>0.95899999999999996</v>
      </c>
      <c r="AA212" s="249">
        <v>0.9587</v>
      </c>
      <c r="AB212" s="249">
        <v>0.95840000000000003</v>
      </c>
      <c r="AC212" s="249">
        <v>0.95820000000000005</v>
      </c>
      <c r="AD212" s="249">
        <v>0.95789999999999997</v>
      </c>
      <c r="AE212" s="249">
        <v>0.9577</v>
      </c>
      <c r="AF212" s="249">
        <v>0.95740000000000003</v>
      </c>
      <c r="AG212" s="249">
        <v>0.95720000000000005</v>
      </c>
      <c r="AH212" s="249">
        <v>0.95689999999999997</v>
      </c>
      <c r="AI212" s="249">
        <v>0.95660000000000001</v>
      </c>
      <c r="AJ212" s="249">
        <v>0.95640000000000003</v>
      </c>
      <c r="AK212" s="249">
        <v>0.95609999999999995</v>
      </c>
      <c r="AL212" s="249">
        <v>0.95589999999999997</v>
      </c>
      <c r="AM212" s="249">
        <v>0.9556</v>
      </c>
      <c r="AN212" s="249">
        <v>0.95530000000000004</v>
      </c>
      <c r="AO212" s="249">
        <v>0.95509999999999995</v>
      </c>
      <c r="AP212" s="249">
        <v>0.95479999999999998</v>
      </c>
      <c r="AQ212" s="249">
        <v>0.95450000000000002</v>
      </c>
      <c r="AR212" s="249">
        <v>0.95420000000000005</v>
      </c>
      <c r="AS212" s="249">
        <v>0.95399999999999996</v>
      </c>
      <c r="AT212" s="249">
        <v>0.95369999999999999</v>
      </c>
      <c r="AU212" s="249">
        <v>0.95340000000000003</v>
      </c>
      <c r="AV212" s="249">
        <v>0.95320000000000005</v>
      </c>
      <c r="AW212" s="249">
        <v>0.95289999999999997</v>
      </c>
      <c r="AX212" s="249">
        <v>0.9526</v>
      </c>
      <c r="AY212" s="249">
        <v>0.95240000000000002</v>
      </c>
      <c r="AZ212" s="249">
        <v>0.95209999999999995</v>
      </c>
      <c r="BA212" s="251">
        <v>0.95179999999999998</v>
      </c>
    </row>
    <row r="213" spans="2:53" s="244" customFormat="1" ht="15.75" customHeight="1">
      <c r="B213" s="255">
        <v>150</v>
      </c>
      <c r="C213" s="256">
        <v>0.96440000000000003</v>
      </c>
      <c r="D213" s="256">
        <v>0.96419999999999995</v>
      </c>
      <c r="E213" s="256">
        <v>0.96389999999999998</v>
      </c>
      <c r="F213" s="256">
        <v>0.9637</v>
      </c>
      <c r="G213" s="256">
        <v>0.96340000000000003</v>
      </c>
      <c r="H213" s="256">
        <v>0.96319999999999995</v>
      </c>
      <c r="I213" s="256">
        <v>0.96299999999999997</v>
      </c>
      <c r="J213" s="256">
        <v>0.9627</v>
      </c>
      <c r="K213" s="256">
        <v>0.96250000000000002</v>
      </c>
      <c r="L213" s="256">
        <v>0.96220000000000006</v>
      </c>
      <c r="M213" s="256">
        <v>0.96199999999999997</v>
      </c>
      <c r="N213" s="256">
        <v>0.9617</v>
      </c>
      <c r="O213" s="256">
        <v>0.96150000000000002</v>
      </c>
      <c r="P213" s="256">
        <v>0.96120000000000005</v>
      </c>
      <c r="Q213" s="256">
        <v>0.96099999999999997</v>
      </c>
      <c r="R213" s="256">
        <v>0.9607</v>
      </c>
      <c r="S213" s="256">
        <v>0.96050000000000002</v>
      </c>
      <c r="T213" s="256">
        <v>0.96020000000000005</v>
      </c>
      <c r="U213" s="256">
        <v>0.96</v>
      </c>
      <c r="V213" s="256">
        <v>0.9597</v>
      </c>
      <c r="W213" s="256">
        <v>0.95950000000000002</v>
      </c>
      <c r="X213" s="256">
        <v>0.95920000000000005</v>
      </c>
      <c r="Y213" s="256">
        <v>0.95899999999999996</v>
      </c>
      <c r="Z213" s="256">
        <v>0.9587</v>
      </c>
      <c r="AA213" s="256">
        <v>0.95850000000000002</v>
      </c>
      <c r="AB213" s="256">
        <v>0.95820000000000005</v>
      </c>
      <c r="AC213" s="256">
        <v>0.95799999999999996</v>
      </c>
      <c r="AD213" s="256">
        <v>0.9577</v>
      </c>
      <c r="AE213" s="256">
        <v>0.95740000000000003</v>
      </c>
      <c r="AF213" s="256">
        <v>0.95720000000000005</v>
      </c>
      <c r="AG213" s="256">
        <v>0.95689999999999997</v>
      </c>
      <c r="AH213" s="256">
        <v>0.95660000000000001</v>
      </c>
      <c r="AI213" s="256">
        <v>0.95640000000000003</v>
      </c>
      <c r="AJ213" s="256">
        <v>0.95609999999999995</v>
      </c>
      <c r="AK213" s="256">
        <v>0.95589999999999997</v>
      </c>
      <c r="AL213" s="256">
        <v>0.9556</v>
      </c>
      <c r="AM213" s="256">
        <v>0.95530000000000004</v>
      </c>
      <c r="AN213" s="256">
        <v>0.95509999999999995</v>
      </c>
      <c r="AO213" s="256">
        <v>0.95479999999999998</v>
      </c>
      <c r="AP213" s="256">
        <v>0.95450000000000002</v>
      </c>
      <c r="AQ213" s="256">
        <v>0.95430000000000004</v>
      </c>
      <c r="AR213" s="256">
        <v>0.95399999999999996</v>
      </c>
      <c r="AS213" s="256">
        <v>0.95369999999999999</v>
      </c>
      <c r="AT213" s="256">
        <v>0.95340000000000003</v>
      </c>
      <c r="AU213" s="256">
        <v>0.95320000000000005</v>
      </c>
      <c r="AV213" s="256">
        <v>0.95289999999999997</v>
      </c>
      <c r="AW213" s="256">
        <v>0.9526</v>
      </c>
      <c r="AX213" s="256">
        <v>0.95230000000000004</v>
      </c>
      <c r="AY213" s="256">
        <v>0.95209999999999995</v>
      </c>
      <c r="AZ213" s="256">
        <v>0.95179999999999998</v>
      </c>
      <c r="BA213" s="257">
        <v>0.95150000000000001</v>
      </c>
    </row>
    <row r="214" spans="2:53" s="244" customFormat="1" ht="15.75" customHeight="1">
      <c r="W214" s="244">
        <v>0.95899999999999996</v>
      </c>
      <c r="X214" s="244">
        <v>0.95879999999999999</v>
      </c>
      <c r="Y214" s="244">
        <v>0.95850000000000002</v>
      </c>
      <c r="Z214" s="244">
        <v>0.95830000000000004</v>
      </c>
      <c r="AA214" s="244">
        <v>0.95799999999999996</v>
      </c>
      <c r="AB214" s="244">
        <v>0.9577</v>
      </c>
      <c r="AC214" s="244">
        <v>0.95750000000000002</v>
      </c>
      <c r="AD214" s="244">
        <v>0.95720000000000005</v>
      </c>
      <c r="AE214" s="244">
        <v>0.95699999999999996</v>
      </c>
      <c r="AF214" s="244">
        <v>0.95669999999999999</v>
      </c>
      <c r="AG214" s="244">
        <v>0.95640000000000003</v>
      </c>
      <c r="AH214" s="244">
        <v>0.95620000000000005</v>
      </c>
      <c r="AI214" s="244">
        <v>0.95589999999999997</v>
      </c>
      <c r="AJ214" s="244">
        <v>0.9556</v>
      </c>
      <c r="AK214" s="244">
        <v>0.95540000000000003</v>
      </c>
      <c r="AL214" s="244">
        <v>0.95509999999999995</v>
      </c>
      <c r="AM214" s="244">
        <v>0.95479999999999998</v>
      </c>
      <c r="AN214" s="244">
        <v>0.9546</v>
      </c>
      <c r="AO214" s="244">
        <v>0.95430000000000004</v>
      </c>
      <c r="AP214" s="244">
        <v>0.95399999999999996</v>
      </c>
      <c r="AQ214" s="244">
        <v>0.95369999999999999</v>
      </c>
    </row>
    <row r="215" spans="2:53" s="244" customFormat="1" ht="15.75" customHeight="1">
      <c r="W215" s="244">
        <v>0.95860000000000001</v>
      </c>
      <c r="X215" s="244">
        <v>0.95830000000000004</v>
      </c>
      <c r="Y215" s="244">
        <v>0.95809999999999995</v>
      </c>
      <c r="Z215" s="244">
        <v>0.95779999999999998</v>
      </c>
      <c r="AA215" s="244">
        <v>0.95750000000000002</v>
      </c>
      <c r="AB215" s="244">
        <v>0.95730000000000004</v>
      </c>
      <c r="AC215" s="244">
        <v>0.95699999999999996</v>
      </c>
      <c r="AD215" s="244">
        <v>0.95669999999999999</v>
      </c>
      <c r="AE215" s="244">
        <v>0.95650000000000002</v>
      </c>
      <c r="AF215" s="244">
        <v>0.95620000000000005</v>
      </c>
      <c r="AG215" s="244">
        <v>0.95589999999999997</v>
      </c>
      <c r="AH215" s="244">
        <v>0.95569999999999999</v>
      </c>
      <c r="AI215" s="244">
        <v>0.95540000000000003</v>
      </c>
      <c r="AJ215" s="244">
        <v>0.95509999999999995</v>
      </c>
      <c r="AK215" s="244">
        <v>0.95489999999999997</v>
      </c>
      <c r="AL215" s="244">
        <v>0.9546</v>
      </c>
      <c r="AM215" s="244">
        <v>0.95430000000000004</v>
      </c>
      <c r="AN215" s="244">
        <v>0.95409999999999995</v>
      </c>
      <c r="AO215" s="244">
        <v>0.95379999999999998</v>
      </c>
      <c r="AP215" s="244">
        <v>0.95350000000000001</v>
      </c>
      <c r="AQ215" s="244">
        <v>0.95320000000000005</v>
      </c>
    </row>
    <row r="216" spans="2:53" s="244" customFormat="1" ht="15.75" customHeight="1">
      <c r="W216" s="244">
        <v>0.95809999999999995</v>
      </c>
      <c r="X216" s="244">
        <v>0.95789999999999997</v>
      </c>
      <c r="Y216" s="244">
        <v>0.95760000000000001</v>
      </c>
      <c r="Z216" s="244">
        <v>0.95730000000000004</v>
      </c>
      <c r="AA216" s="244">
        <v>0.95709999999999995</v>
      </c>
      <c r="AB216" s="244">
        <v>0.95679999999999998</v>
      </c>
      <c r="AC216" s="244">
        <v>0.95650000000000002</v>
      </c>
      <c r="AD216" s="244">
        <v>0.95630000000000004</v>
      </c>
      <c r="AE216" s="244">
        <v>0.95599999999999996</v>
      </c>
      <c r="AF216" s="244">
        <v>0.95569999999999999</v>
      </c>
      <c r="AG216" s="244">
        <v>0.95550000000000002</v>
      </c>
      <c r="AH216" s="244">
        <v>0.95520000000000005</v>
      </c>
      <c r="AI216" s="244">
        <v>0.95489999999999997</v>
      </c>
      <c r="AJ216" s="244">
        <v>0.9546</v>
      </c>
      <c r="AK216" s="244">
        <v>0.95440000000000003</v>
      </c>
      <c r="AL216" s="244">
        <v>0.95409999999999995</v>
      </c>
      <c r="AM216" s="244">
        <v>0.95379999999999998</v>
      </c>
      <c r="AN216" s="244">
        <v>0.9536</v>
      </c>
      <c r="AO216" s="244">
        <v>0.95330000000000004</v>
      </c>
      <c r="AP216" s="244">
        <v>0.95299999999999996</v>
      </c>
      <c r="AQ216" s="244">
        <v>0.95269999999999999</v>
      </c>
    </row>
    <row r="217" spans="2:53" s="244" customFormat="1" ht="15.75" customHeight="1">
      <c r="W217" s="244">
        <v>0.9577</v>
      </c>
      <c r="X217" s="244">
        <v>0.95740000000000003</v>
      </c>
      <c r="Y217" s="244">
        <v>0.95709999999999995</v>
      </c>
      <c r="Z217" s="244">
        <v>0.95689999999999997</v>
      </c>
      <c r="AA217" s="244">
        <v>0.95660000000000001</v>
      </c>
      <c r="AB217" s="244">
        <v>0.95630000000000004</v>
      </c>
      <c r="AC217" s="244">
        <v>0.95609999999999995</v>
      </c>
      <c r="AD217" s="244">
        <v>0.95579999999999998</v>
      </c>
      <c r="AE217" s="244">
        <v>0.95550000000000002</v>
      </c>
      <c r="AF217" s="244">
        <v>0.95530000000000004</v>
      </c>
      <c r="AG217" s="244">
        <v>0.95499999999999996</v>
      </c>
      <c r="AH217" s="244">
        <v>0.95469999999999999</v>
      </c>
      <c r="AI217" s="244">
        <v>0.95440000000000003</v>
      </c>
      <c r="AJ217" s="244">
        <v>0.95420000000000005</v>
      </c>
      <c r="AK217" s="244">
        <v>0.95389999999999997</v>
      </c>
      <c r="AL217" s="244">
        <v>0.9536</v>
      </c>
      <c r="AM217" s="244">
        <v>0.95330000000000004</v>
      </c>
      <c r="AN217" s="244">
        <v>0.95299999999999996</v>
      </c>
      <c r="AO217" s="244">
        <v>0.95279999999999998</v>
      </c>
      <c r="AP217" s="244">
        <v>0.95250000000000001</v>
      </c>
      <c r="AQ217" s="244">
        <v>0.95220000000000005</v>
      </c>
    </row>
    <row r="218" spans="2:53" s="244" customFormat="1" ht="15.75" customHeight="1">
      <c r="W218" s="244">
        <v>0.95720000000000005</v>
      </c>
      <c r="X218" s="244">
        <v>0.95689999999999997</v>
      </c>
      <c r="Y218" s="244">
        <v>0.95669999999999999</v>
      </c>
      <c r="Z218" s="244">
        <v>0.95640000000000003</v>
      </c>
      <c r="AA218" s="244">
        <v>0.95609999999999995</v>
      </c>
      <c r="AB218" s="244">
        <v>0.95589999999999997</v>
      </c>
      <c r="AC218" s="244">
        <v>0.9556</v>
      </c>
      <c r="AD218" s="244">
        <v>0.95530000000000004</v>
      </c>
      <c r="AE218" s="244">
        <v>0.95509999999999995</v>
      </c>
      <c r="AF218" s="244">
        <v>0.95479999999999998</v>
      </c>
      <c r="AG218" s="244">
        <v>0.95450000000000002</v>
      </c>
      <c r="AH218" s="244">
        <v>0.95420000000000005</v>
      </c>
      <c r="AI218" s="244">
        <v>0.95389999999999997</v>
      </c>
      <c r="AJ218" s="244">
        <v>0.95369999999999999</v>
      </c>
      <c r="AK218" s="244">
        <v>0.95340000000000003</v>
      </c>
      <c r="AL218" s="244">
        <v>0.95309999999999995</v>
      </c>
      <c r="AM218" s="244">
        <v>0.95279999999999998</v>
      </c>
      <c r="AN218" s="244">
        <v>0.95250000000000001</v>
      </c>
      <c r="AO218" s="244">
        <v>0.95230000000000004</v>
      </c>
      <c r="AP218" s="244">
        <v>0.95199999999999996</v>
      </c>
      <c r="AQ218" s="244">
        <v>0.95169999999999999</v>
      </c>
    </row>
    <row r="219" spans="2:53" s="244" customFormat="1" ht="15.75" customHeight="1">
      <c r="W219" s="244">
        <v>0.95679999999999998</v>
      </c>
      <c r="X219" s="244">
        <v>0.95650000000000002</v>
      </c>
      <c r="Y219" s="244">
        <v>0.95620000000000005</v>
      </c>
      <c r="Z219" s="244">
        <v>0.95589999999999997</v>
      </c>
      <c r="AA219" s="244">
        <v>0.95569999999999999</v>
      </c>
      <c r="AB219" s="244">
        <v>0.95540000000000003</v>
      </c>
      <c r="AC219" s="244">
        <v>0.95509999999999995</v>
      </c>
      <c r="AD219" s="244">
        <v>0.95479999999999998</v>
      </c>
      <c r="AE219" s="244">
        <v>0.9546</v>
      </c>
      <c r="AF219" s="244">
        <v>0.95430000000000004</v>
      </c>
      <c r="AG219" s="244">
        <v>0.95399999999999996</v>
      </c>
      <c r="AH219" s="244">
        <v>0.95369999999999999</v>
      </c>
      <c r="AI219" s="244">
        <v>0.95350000000000001</v>
      </c>
      <c r="AJ219" s="244">
        <v>0.95320000000000005</v>
      </c>
      <c r="AK219" s="244">
        <v>0.95289999999999997</v>
      </c>
      <c r="AL219" s="244">
        <v>0.9526</v>
      </c>
      <c r="AM219" s="244">
        <v>0.95230000000000004</v>
      </c>
      <c r="AN219" s="244">
        <v>0.95199999999999996</v>
      </c>
      <c r="AO219" s="244">
        <v>0.95179999999999998</v>
      </c>
      <c r="AP219" s="244">
        <v>0.95150000000000001</v>
      </c>
      <c r="AQ219" s="244">
        <v>0.95120000000000005</v>
      </c>
    </row>
    <row r="220" spans="2:53" s="244" customFormat="1" ht="15.75" customHeight="1">
      <c r="W220" s="244">
        <v>0.95630000000000004</v>
      </c>
      <c r="X220" s="244">
        <v>0.95599999999999996</v>
      </c>
      <c r="Y220" s="244">
        <v>0.95579999999999998</v>
      </c>
      <c r="Z220" s="244">
        <v>0.95550000000000002</v>
      </c>
      <c r="AA220" s="244">
        <v>0.95520000000000005</v>
      </c>
      <c r="AB220" s="244">
        <v>0.95489999999999997</v>
      </c>
      <c r="AC220" s="244">
        <v>0.95469999999999999</v>
      </c>
      <c r="AD220" s="244">
        <v>0.95440000000000003</v>
      </c>
      <c r="AE220" s="244">
        <v>0.95409999999999995</v>
      </c>
      <c r="AF220" s="244">
        <v>0.95379999999999998</v>
      </c>
      <c r="AG220" s="244">
        <v>0.95350000000000001</v>
      </c>
      <c r="AH220" s="244">
        <v>0.95320000000000005</v>
      </c>
      <c r="AI220" s="244">
        <v>0.95299999999999996</v>
      </c>
      <c r="AJ220" s="244">
        <v>0.95269999999999999</v>
      </c>
      <c r="AK220" s="244">
        <v>0.95240000000000002</v>
      </c>
      <c r="AL220" s="244">
        <v>0.95209999999999995</v>
      </c>
      <c r="AM220" s="244">
        <v>0.95179999999999998</v>
      </c>
      <c r="AN220" s="244">
        <v>0.95150000000000001</v>
      </c>
      <c r="AO220" s="244">
        <v>0.95120000000000005</v>
      </c>
      <c r="AP220" s="244">
        <v>0.95099999999999996</v>
      </c>
      <c r="AQ220" s="244">
        <v>0.95069999999999999</v>
      </c>
    </row>
    <row r="221" spans="2:53" s="244" customFormat="1" ht="15.75" customHeight="1">
      <c r="W221" s="244">
        <v>0.95589999999999997</v>
      </c>
      <c r="X221" s="244">
        <v>0.9556</v>
      </c>
      <c r="Y221" s="244">
        <v>0.95530000000000004</v>
      </c>
      <c r="Z221" s="244">
        <v>0.95499999999999996</v>
      </c>
      <c r="AA221" s="244">
        <v>0.95469999999999999</v>
      </c>
      <c r="AB221" s="244">
        <v>0.95450000000000002</v>
      </c>
      <c r="AC221" s="244">
        <v>0.95420000000000005</v>
      </c>
      <c r="AD221" s="244">
        <v>0.95389999999999997</v>
      </c>
      <c r="AE221" s="244">
        <v>0.9536</v>
      </c>
      <c r="AF221" s="244">
        <v>0.95330000000000004</v>
      </c>
      <c r="AG221" s="244">
        <v>0.95299999999999996</v>
      </c>
      <c r="AH221" s="244">
        <v>0.95279999999999998</v>
      </c>
      <c r="AI221" s="244">
        <v>0.95250000000000001</v>
      </c>
      <c r="AJ221" s="244">
        <v>0.95220000000000005</v>
      </c>
      <c r="AK221" s="244">
        <v>0.95189999999999997</v>
      </c>
      <c r="AL221" s="244">
        <v>0.9516</v>
      </c>
      <c r="AM221" s="244">
        <v>0.95130000000000003</v>
      </c>
      <c r="AN221" s="244">
        <v>0.95099999999999996</v>
      </c>
      <c r="AO221" s="244">
        <v>0.95069999999999999</v>
      </c>
      <c r="AP221" s="244">
        <v>0.95040000000000002</v>
      </c>
      <c r="AQ221" s="244">
        <v>0.95009999999999994</v>
      </c>
    </row>
  </sheetData>
  <customSheetViews>
    <customSheetView guid="{9FD33A57-86F0-4BF5-A6C0-5833A5B59516}" showGridLines="0" state="hidden">
      <pane xSplit="2" ySplit="2" topLeftCell="C3" activePane="bottomRight" state="frozen"/>
      <selection pane="bottomRight" activeCell="J21" sqref="J21"/>
      <pageMargins left="0.7" right="0.7" top="0.75" bottom="0.75" header="0.3" footer="0.3"/>
      <pageSetup paperSize="9" orientation="portrait" r:id="rId1"/>
    </customSheetView>
  </customSheetViews>
  <phoneticPr fontId="153" type="noConversion"/>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221</vt:i4>
      </vt:variant>
    </vt:vector>
  </HeadingPairs>
  <TitlesOfParts>
    <vt:vector size="239" baseType="lpstr">
      <vt:lpstr>REPORT</vt:lpstr>
      <vt:lpstr>WELL TESTS</vt:lpstr>
      <vt:lpstr>WELL DATA</vt:lpstr>
      <vt:lpstr>WATER FLOOD WELLS</vt:lpstr>
      <vt:lpstr>INJECTION DATA</vt:lpstr>
      <vt:lpstr>MANIFOLDS</vt:lpstr>
      <vt:lpstr>EQUIPMENT DATA</vt:lpstr>
      <vt:lpstr>MOVEMENT</vt:lpstr>
      <vt:lpstr>TANKS</vt:lpstr>
      <vt:lpstr>DFL SHOTS</vt:lpstr>
      <vt:lpstr>LAB DATA</vt:lpstr>
      <vt:lpstr>PA &amp; TA </vt:lpstr>
      <vt:lpstr>DATA INPUT</vt:lpstr>
      <vt:lpstr>WELL LIST</vt:lpstr>
      <vt:lpstr>OAPCO FAX</vt:lpstr>
      <vt:lpstr>ADMIN</vt:lpstr>
      <vt:lpstr>TANK TABLES</vt:lpstr>
      <vt:lpstr>TEMPERATURE</vt:lpstr>
      <vt:lpstr>Actual_Ratio</vt:lpstr>
      <vt:lpstr>Actual_TDY</vt:lpstr>
      <vt:lpstr>Actual_YSD</vt:lpstr>
      <vt:lpstr>AGActual_Ratio</vt:lpstr>
      <vt:lpstr>API_RANGE</vt:lpstr>
      <vt:lpstr>AUTOFILL01</vt:lpstr>
      <vt:lpstr>AUTOFILL02</vt:lpstr>
      <vt:lpstr>AUTOFILL03</vt:lpstr>
      <vt:lpstr>AUTOFILL04</vt:lpstr>
      <vt:lpstr>AUTOFILL05</vt:lpstr>
      <vt:lpstr>AUTOFILL06</vt:lpstr>
      <vt:lpstr>'LAB DATA'!AUTOFILL07</vt:lpstr>
      <vt:lpstr>AUTOFILL07</vt:lpstr>
      <vt:lpstr>AUTOFILL08</vt:lpstr>
      <vt:lpstr>AUTOFILL09</vt:lpstr>
      <vt:lpstr>AUTOFILL10</vt:lpstr>
      <vt:lpstr>AUTOFILL11</vt:lpstr>
      <vt:lpstr>AUTOFILL13</vt:lpstr>
      <vt:lpstr>AUTOFILL14</vt:lpstr>
      <vt:lpstr>BFPD</vt:lpstr>
      <vt:lpstr>BOPD</vt:lpstr>
      <vt:lpstr>BSSTATUS</vt:lpstr>
      <vt:lpstr>BSW</vt:lpstr>
      <vt:lpstr>CALC01</vt:lpstr>
      <vt:lpstr>CALC02</vt:lpstr>
      <vt:lpstr>CALC03</vt:lpstr>
      <vt:lpstr>CALC04</vt:lpstr>
      <vt:lpstr>CALC05</vt:lpstr>
      <vt:lpstr>CALC06</vt:lpstr>
      <vt:lpstr>'LAB DATA'!CALC07</vt:lpstr>
      <vt:lpstr>CALC07</vt:lpstr>
      <vt:lpstr>CALC08</vt:lpstr>
      <vt:lpstr>CALC09</vt:lpstr>
      <vt:lpstr>CALC10</vt:lpstr>
      <vt:lpstr>CALC11</vt:lpstr>
      <vt:lpstr>CALC13</vt:lpstr>
      <vt:lpstr>CALC14</vt:lpstr>
      <vt:lpstr>CASING_STATUS</vt:lpstr>
      <vt:lpstr>CHOKE</vt:lpstr>
      <vt:lpstr>CLEARRANGE01</vt:lpstr>
      <vt:lpstr>CLEARRANGE02</vt:lpstr>
      <vt:lpstr>CLEARRANGE03</vt:lpstr>
      <vt:lpstr>'LAB DATA'!CLEARRANGE05</vt:lpstr>
      <vt:lpstr>CLEARRANGE05</vt:lpstr>
      <vt:lpstr>CLEARRANGE06</vt:lpstr>
      <vt:lpstr>CLEARRANGE07</vt:lpstr>
      <vt:lpstr>CLEARRANGE08</vt:lpstr>
      <vt:lpstr>CLEARRANGE09</vt:lpstr>
      <vt:lpstr>CLOSINGSTK</vt:lpstr>
      <vt:lpstr>COMMENT</vt:lpstr>
      <vt:lpstr>DATATAG</vt:lpstr>
      <vt:lpstr>DEF_PROD</vt:lpstr>
      <vt:lpstr>DELTA_DAY</vt:lpstr>
      <vt:lpstr>DEP_FGM</vt:lpstr>
      <vt:lpstr>DFLRANGE</vt:lpstr>
      <vt:lpstr>DT_CAUSE</vt:lpstr>
      <vt:lpstr>DT_CAUSES</vt:lpstr>
      <vt:lpstr>DTCAUSE</vt:lpstr>
      <vt:lpstr>EQUIP_DTCAUSE</vt:lpstr>
      <vt:lpstr>EQUIPHRS</vt:lpstr>
      <vt:lpstr>EST_GASPROD</vt:lpstr>
      <vt:lpstr>EST_PROD</vt:lpstr>
      <vt:lpstr>FACTOR_TABLE</vt:lpstr>
      <vt:lpstr>FIELD</vt:lpstr>
      <vt:lpstr>FIELD_GM</vt:lpstr>
      <vt:lpstr>FIELDLIST</vt:lpstr>
      <vt:lpstr>FLUIDTOTAL</vt:lpstr>
      <vt:lpstr>FLUIDTOTAL1</vt:lpstr>
      <vt:lpstr>FMGDATA</vt:lpstr>
      <vt:lpstr>GAS</vt:lpstr>
      <vt:lpstr>GAS_PROFAC</vt:lpstr>
      <vt:lpstr>GAS1</vt:lpstr>
      <vt:lpstr>GASLIFT</vt:lpstr>
      <vt:lpstr>GFH</vt:lpstr>
      <vt:lpstr>GPCTANK1</vt:lpstr>
      <vt:lpstr>GPCTANK2</vt:lpstr>
      <vt:lpstr>GPCTANK3</vt:lpstr>
      <vt:lpstr>GPCTANK4</vt:lpstr>
      <vt:lpstr>GPCTANK5</vt:lpstr>
      <vt:lpstr>HOURS</vt:lpstr>
      <vt:lpstr>INJ_ACTUAL</vt:lpstr>
      <vt:lpstr>INJ_FIELD</vt:lpstr>
      <vt:lpstr>INJ_RATE</vt:lpstr>
      <vt:lpstr>INJ_WATER</vt:lpstr>
      <vt:lpstr>INJCUMTARG</vt:lpstr>
      <vt:lpstr>INJSTATUS</vt:lpstr>
      <vt:lpstr>INJTARG</vt:lpstr>
      <vt:lpstr>INPUTDATA</vt:lpstr>
      <vt:lpstr>INPUTTARGET</vt:lpstr>
      <vt:lpstr>KDATA</vt:lpstr>
      <vt:lpstr>kpc_tankstctk</vt:lpstr>
      <vt:lpstr>l</vt:lpstr>
      <vt:lpstr>LocalPath</vt:lpstr>
      <vt:lpstr>NIPCOTANK1</vt:lpstr>
      <vt:lpstr>NIPCOTANK2</vt:lpstr>
      <vt:lpstr>NOTECOUNT</vt:lpstr>
      <vt:lpstr>'DATA INPUT'!NRQSHIPPED</vt:lpstr>
      <vt:lpstr>OAPCOLEVEL</vt:lpstr>
      <vt:lpstr>OAPCOTANK</vt:lpstr>
      <vt:lpstr>OIL</vt:lpstr>
      <vt:lpstr>OIL_PROFAC</vt:lpstr>
      <vt:lpstr>OIL_PROFAC2</vt:lpstr>
      <vt:lpstr>OIL_PROFAC3</vt:lpstr>
      <vt:lpstr>OIL1</vt:lpstr>
      <vt:lpstr>OIL14</vt:lpstr>
      <vt:lpstr>OIL2</vt:lpstr>
      <vt:lpstr>OIL3</vt:lpstr>
      <vt:lpstr>OPENINGSTK</vt:lpstr>
      <vt:lpstr>PASTEEQUIPDATA</vt:lpstr>
      <vt:lpstr>PASTEINJDATA</vt:lpstr>
      <vt:lpstr>PASTEMETERDATA</vt:lpstr>
      <vt:lpstr>PASTENWELLDATA</vt:lpstr>
      <vt:lpstr>PASTEWATERSWR</vt:lpstr>
      <vt:lpstr>PASTEWELLDATA</vt:lpstr>
      <vt:lpstr>'DATA INPUT'!Print_Area</vt:lpstr>
      <vt:lpstr>'DFL SHOTS'!Print_Area</vt:lpstr>
      <vt:lpstr>'EQUIPMENT DATA'!Print_Area</vt:lpstr>
      <vt:lpstr>'INJECTION DATA'!Print_Area</vt:lpstr>
      <vt:lpstr>'LAB DATA'!Print_Area</vt:lpstr>
      <vt:lpstr>MANIFOLDS!Print_Area</vt:lpstr>
      <vt:lpstr>'OAPCO FAX'!Print_Area</vt:lpstr>
      <vt:lpstr>'PA &amp; TA '!Print_Area</vt:lpstr>
      <vt:lpstr>REPORT!Print_Area</vt:lpstr>
      <vt:lpstr>TANKS!Print_Area</vt:lpstr>
      <vt:lpstr>'WATER FLOOD WELLS'!Print_Area</vt:lpstr>
      <vt:lpstr>'WELL DATA'!Print_Area</vt:lpstr>
      <vt:lpstr>'WELL TESTS'!Print_Area</vt:lpstr>
      <vt:lpstr>'WELL DATA'!Print_Titles</vt:lpstr>
      <vt:lpstr>PUMP_SIZE</vt:lpstr>
      <vt:lpstr>RECEIVEDFACILITY</vt:lpstr>
      <vt:lpstr>rep</vt:lpstr>
      <vt:lpstr>REPDATE</vt:lpstr>
      <vt:lpstr>REPORTDATE</vt:lpstr>
      <vt:lpstr>ReportDate1</vt:lpstr>
      <vt:lpstr>REPORTDAY</vt:lpstr>
      <vt:lpstr>ReportName</vt:lpstr>
      <vt:lpstr>REQ_RATE</vt:lpstr>
      <vt:lpstr>RPTEXTRACT</vt:lpstr>
      <vt:lpstr>RPTMONTH</vt:lpstr>
      <vt:lpstr>RZKCL1</vt:lpstr>
      <vt:lpstr>RZKCL10</vt:lpstr>
      <vt:lpstr>RZKCL11</vt:lpstr>
      <vt:lpstr>RZKCL12</vt:lpstr>
      <vt:lpstr>RZKCL13</vt:lpstr>
      <vt:lpstr>RZKCL2</vt:lpstr>
      <vt:lpstr>RZKCL3</vt:lpstr>
      <vt:lpstr>RZKCL4</vt:lpstr>
      <vt:lpstr>RZKCL5</vt:lpstr>
      <vt:lpstr>RZKCL6</vt:lpstr>
      <vt:lpstr>RZKCL7</vt:lpstr>
      <vt:lpstr>RZKCL8</vt:lpstr>
      <vt:lpstr>RZKCL9</vt:lpstr>
      <vt:lpstr>RZKOP1</vt:lpstr>
      <vt:lpstr>RZKOP10</vt:lpstr>
      <vt:lpstr>RZKOP11</vt:lpstr>
      <vt:lpstr>RZKOP12</vt:lpstr>
      <vt:lpstr>RZKOP13</vt:lpstr>
      <vt:lpstr>RZKOP2</vt:lpstr>
      <vt:lpstr>RZKOP3</vt:lpstr>
      <vt:lpstr>RZKOP4</vt:lpstr>
      <vt:lpstr>RZKOP5</vt:lpstr>
      <vt:lpstr>RZKOP6</vt:lpstr>
      <vt:lpstr>RZKOP7</vt:lpstr>
      <vt:lpstr>RZKOP8</vt:lpstr>
      <vt:lpstr>RZKOP9</vt:lpstr>
      <vt:lpstr>SHELL_FACTOR</vt:lpstr>
      <vt:lpstr>SHIPPED</vt:lpstr>
      <vt:lpstr>SORTLIST01</vt:lpstr>
      <vt:lpstr>SORTLIST02</vt:lpstr>
      <vt:lpstr>TANK201</vt:lpstr>
      <vt:lpstr>TANK201LEVEL</vt:lpstr>
      <vt:lpstr>TANK202</vt:lpstr>
      <vt:lpstr>TANK202LEVEL</vt:lpstr>
      <vt:lpstr>TANKPOLEVEL</vt:lpstr>
      <vt:lpstr>TANKPOWEROIL</vt:lpstr>
      <vt:lpstr>TANKSLVL</vt:lpstr>
      <vt:lpstr>TANKSTCTK</vt:lpstr>
      <vt:lpstr>TARG_FIELD</vt:lpstr>
      <vt:lpstr>TARG_WATER</vt:lpstr>
      <vt:lpstr>TDY_DELTA</vt:lpstr>
      <vt:lpstr>TDY_DELTA2</vt:lpstr>
      <vt:lpstr>TDYCUM</vt:lpstr>
      <vt:lpstr>TDYPROD</vt:lpstr>
      <vt:lpstr>TEMP_RANGE</vt:lpstr>
      <vt:lpstr>TEST_T</vt:lpstr>
      <vt:lpstr>TK1</vt:lpstr>
      <vt:lpstr>TK10</vt:lpstr>
      <vt:lpstr>TK11</vt:lpstr>
      <vt:lpstr>TK12</vt:lpstr>
      <vt:lpstr>TK13</vt:lpstr>
      <vt:lpstr>TK2</vt:lpstr>
      <vt:lpstr>TK3</vt:lpstr>
      <vt:lpstr>TK4</vt:lpstr>
      <vt:lpstr>TK5</vt:lpstr>
      <vt:lpstr>TK6</vt:lpstr>
      <vt:lpstr>TK7</vt:lpstr>
      <vt:lpstr>TK8</vt:lpstr>
      <vt:lpstr>TK9</vt:lpstr>
      <vt:lpstr>TOTPUMPED</vt:lpstr>
      <vt:lpstr>VERSION</vt:lpstr>
      <vt:lpstr>W</vt:lpstr>
      <vt:lpstr>WATERDRAIN</vt:lpstr>
      <vt:lpstr>WATERWELL_DTCAUSE</vt:lpstr>
      <vt:lpstr>WC</vt:lpstr>
      <vt:lpstr>WELL</vt:lpstr>
      <vt:lpstr>WELL_DTCAUSE</vt:lpstr>
      <vt:lpstr>WELL_FIELD</vt:lpstr>
      <vt:lpstr>WELL_NAME</vt:lpstr>
      <vt:lpstr>WELL_STATUS</vt:lpstr>
      <vt:lpstr>WELLNAME</vt:lpstr>
      <vt:lpstr>WELLNAME1</vt:lpstr>
      <vt:lpstr>WELLNAME12</vt:lpstr>
      <vt:lpstr>WEPCOF3</vt:lpstr>
      <vt:lpstr>WSSTATUS</vt:lpstr>
      <vt:lpstr>WSTATUS</vt:lpstr>
      <vt:lpstr>YSTCUM</vt:lpstr>
      <vt:lpstr>YTD_DELTA</vt:lpstr>
      <vt:lpstr>YTD_DELTA2</vt:lpstr>
      <vt:lpstr>YTDPROD</vt:lpstr>
      <vt:lpstr>ZONE</vt:lpstr>
      <vt:lpstr>ZONES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Salem Mahmoud ( AG - Process )</dc:creator>
  <cp:lastModifiedBy>Pro</cp:lastModifiedBy>
  <cp:lastPrinted>2026-10-03T04:55:09Z</cp:lastPrinted>
  <dcterms:created xsi:type="dcterms:W3CDTF">2022-03-03T12:39:10Z</dcterms:created>
  <dcterms:modified xsi:type="dcterms:W3CDTF">2026-10-24T06:39:00Z</dcterms:modified>
</cp:coreProperties>
</file>